
<file path=[Content_Types].xml><?xml version="1.0" encoding="utf-8"?>
<Types xmlns="http://schemas.openxmlformats.org/package/2006/content-types">
  <Default ContentType="application/vnd.openxmlformats-officedocument.vmlDrawing" Extension="vml"/>
  <Default ContentType="image/gif" Extension="gif"/>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vembro" sheetId="1" r:id="rId4"/>
    <sheet state="visible" name="Janeiro" sheetId="2" r:id="rId5"/>
    <sheet state="visible" name="Dezembro" sheetId="3" r:id="rId6"/>
    <sheet state="visible" name="Fevereiro" sheetId="4" r:id="rId7"/>
    <sheet state="visible" name="Março" sheetId="5" r:id="rId8"/>
    <sheet state="visible" name="Abril" sheetId="6" r:id="rId9"/>
    <sheet state="visible" name="Maio" sheetId="7" r:id="rId10"/>
    <sheet state="visible" name="Junho" sheetId="8" r:id="rId11"/>
    <sheet state="visible" name="Julho" sheetId="9" r:id="rId12"/>
    <sheet state="visible" name="Estágio - PP" sheetId="10" r:id="rId13"/>
    <sheet state="visible" name="NOTAS DOS ALUNOS- Simple" sheetId="11" r:id="rId14"/>
    <sheet state="visible" name="ALUNOS X CURSO -Simple" sheetId="12" r:id="rId15"/>
    <sheet state="visible" name="Certificação Pós" sheetId="13" r:id="rId16"/>
    <sheet state="visible" name="Certificação 2ª Graduação" sheetId="14" r:id="rId17"/>
    <sheet state="visible" name="Certidão de Matrícula  Históric" sheetId="15" r:id="rId18"/>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H50">
      <text>
        <t xml:space="preserve">Psicologia Aplicada a Comunicação	
Introdução à EAD - 30H
	-Jade Padua</t>
      </text>
    </comment>
    <comment authorId="0" ref="G4">
      <text>
        <t xml:space="preserve">•	RG (frente e verso)
•	CPF (frente e verso)
•	Certidão de nascimento ou casamento
•	Comprovante de residência (no seu nome ou do cônjuge)
•	Diploma e histórico de ensino superior (frente e verso)
•	Diploma de ensino médio (frente e verso)
•	Título de eleitor (frente e verso)
•	Comprovante de quitação eleitoral
•	Foto do aluno
	-Adriana Ishikawa</t>
      </text>
    </comment>
    <comment authorId="0" ref="G122">
      <text>
        <t xml:space="preserve">- comprovante de residência 
- RG frente e verso
	-Adriana Ishikawa</t>
      </text>
    </comment>
    <comment authorId="0" ref="G17">
      <text>
        <t xml:space="preserve">Solicitado via chat: Diploma e histórico ensino superior RG (frente e verso) e titulo eleitoral. Demais documentos, ok! 3/2/25
	-Adriana Ishikawa</t>
      </text>
    </comment>
    <comment authorId="0" ref="C45">
      <text>
        <t xml:space="preserve">Aluno já em processo de certificação
	-Mariana Bolis</t>
      </text>
    </comment>
    <comment authorId="0" ref="C43">
      <text>
        <t xml:space="preserve">Aluna na planilha como "próximo oficio"
	-Mariana Bolis</t>
      </text>
    </comment>
    <comment authorId="0" ref="C52">
      <text>
        <t xml:space="preserve">Aluno já cadastrado no JACAD
	-Mariana Bolis</t>
      </text>
    </comment>
    <comment authorId="0" ref="C125">
      <text>
        <t xml:space="preserve">Mesma aluna da linha 140?
	-Daniela Tovar</t>
      </text>
    </comment>
    <comment authorId="0" ref="H120">
      <text>
        <t xml:space="preserve">Até o momento finalizou apenas 2 disciplinas
	-Daniela Tovar
Introdução à EAD	
Diversidade Étnico Racial, Gênero e Direitos Humanos – 40H
	-Daniela Tovar</t>
      </text>
    </comment>
    <comment authorId="0" ref="H92">
      <text>
        <t xml:space="preserve">No aguardo do curso para poder realizar a análise plataforma.
	-Daniela Tovar</t>
      </text>
    </comment>
    <comment authorId="0" ref="C29">
      <text>
        <t xml:space="preserve">Aluna alega ser pós de brinde
	-Secretaria Zayn</t>
      </text>
    </comment>
    <comment authorId="0" ref="C75">
      <text>
        <t xml:space="preserve">Aluno já havia solicitado mas não chegou!
	-Secretaria Zayn</t>
      </text>
    </comment>
    <comment authorId="0" ref="C71">
      <text>
        <t xml:space="preserve">Claudinei
Aluna quitada aprovada desde 24/08/2022
	-Secretaria Zayn
Possui declaração e histórico
	-Secretaria Zayn</t>
      </text>
    </comment>
    <comment authorId="0" ref="C14">
      <text>
        <t xml:space="preserve">Urgente
	-Secretaria Zayn</t>
      </text>
    </comment>
    <comment authorId="0" ref="C59">
      <text>
        <t xml:space="preserve">Já possui declaração e histórico, mas não encontrei o diploma
	-Secretaria Zayn</t>
      </text>
    </comment>
    <comment authorId="0" ref="D74">
      <text>
        <t xml:space="preserve">Está com o Miguel para auxiliar na plataforma e enviar as PPs
	-Secretaria Zayn</t>
      </text>
    </comment>
    <comment authorId="0" ref="D120">
      <text>
        <t xml:space="preserve">Aguardando finalização
	-Secretaria Zayn</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G272">
      <text>
        <t xml:space="preserve">•	RG (frente e verso) - OK
•	CPF (frente e verso) - OK
•	Certidão de nascimento ou casamento - OK
•	Comprovante de residência (no seu nome ou do cônjuge) - OK (Qualidade Razoável)
•	Diploma e histórico de ensino superior (frente e verso) - Falta o histórico completo
•	Diploma e histórico de ensino médio (frente e verso) - OK
•	Título de eleitor (frente e verso) - OK
•	Comprovante de quitação eleitoral - Negado (Antigo)
•	Foto do aluno - OK
	-Jade Padua</t>
      </text>
    </comment>
    <comment authorId="0" ref="G91">
      <text>
        <t xml:space="preserve">- RG ✅
- CPF ✅
- Certidão De Nascimento/Casamento ✅
- Diploma De Ensino Superior ✅
- Comprovante De Residência ✅
- Histórico Do Ensino Superior ✅
- Diploma/Certificado Do Ensino Médio ✅
- Histórico Do Ensino Médio 🔴- Falta o verso
- Título De Eleitor ✅
- Quitação Eleitoral 🔴-Não encaminhado
	-Jade Padua</t>
      </text>
    </comment>
    <comment authorId="0" ref="G101">
      <text>
        <t xml:space="preserve">•	RG (frente e verso) ✅
•	CPF (frente e verso) ✅
•	Certidão de nascimento ou casamento 🔴 - Ilegível
•	Comprovante de residência (no seu nome ou do cônjuge) 🔴 - Arquivo não abre
•	Diploma e histórico de ensino superior (frente e verso) 🔴- Falta encaminhar
•	Diploma e histórico de ensino médio (frente e verso) 🔴 - Ilegível
•	Título de eleitor (frente e verso) ✅
•	Comprovante de quitação eleitoral 🔴- Falta encaminhar
•	Foto do aluno🔴- Falta encaminhar
	-Jade Padua</t>
      </text>
    </comment>
    <comment authorId="0" ref="E49">
      <text>
        <t xml:space="preserve">Qual nome do curso completo?
	-Jade Padua</t>
      </text>
    </comment>
    <comment authorId="0" ref="G67">
      <text>
        <t xml:space="preserve">-Diploma de ensino médio (frente e verso)
•	Título de eleitor (frente e verso)
•	Comprovante de quitação eleitoral
-Histórico do Ensino Médio
	-Adriana Ishikawa</t>
      </text>
    </comment>
    <comment authorId="0" ref="G222">
      <text>
        <t xml:space="preserve">- Solicitado RG Frente e verso
	-Adriana Ishikawa</t>
      </text>
    </comment>
    <comment authorId="0" ref="K127">
      <text>
        <t xml:space="preserve">- Instruções sobre PPs
	-Adriana Ishikawa</t>
      </text>
    </comment>
    <comment authorId="0" ref="G233">
      <text>
        <t xml:space="preserve">Falta enviar:
-Comprovante de Endereço
-Histórico de Ensino Médio (Frente e Verso)
-Diploma do Ensino Médio (Frente e Verso)
-Histórico de Ensino Superior (Frente e Verso)
	-Miguel Moura</t>
      </text>
    </comment>
    <comment authorId="0" ref="G212">
      <text>
        <t xml:space="preserve">Falta enviar:
-Comprovante de Endereço
	-Miguel Moura</t>
      </text>
    </comment>
    <comment authorId="0" ref="G260">
      <text>
        <t xml:space="preserve">Falta enviar:
-Certidão de Reservista
Certidão de Nascimento Casamento ou Divórcio
	-Miguel Moura</t>
      </text>
    </comment>
    <comment authorId="0" ref="G258">
      <text>
        <t xml:space="preserve">Falta enviar:
-Certidão de Nascimento Casamento ou Divórcio
-Comprovante de Endereço
	-Miguel Moura</t>
      </text>
    </comment>
    <comment authorId="0" ref="H252">
      <text>
        <t xml:space="preserve">Falta realizar;
-O Aparelho psíquico, aspectos clínicos e Teóricos – 40H
-Psicanálise da Criança e do Adolescente – 40H
-Psicanálise II – 50H
-Psicopatologias I – 40H
-Psicopatologias II – 50H
-Sonhos, Simbologia e Representação – 50H
-Tópicos Avançados em Clínica – 40H
-Tópicos Avançados em Sexualidade – 40H
	-Miguel Moura</t>
      </text>
    </comment>
    <comment authorId="0" ref="H249">
      <text>
        <t xml:space="preserve">Falta realizar:
-Práticas Pedagógicas - 400 Horas
	-Miguel Moura</t>
      </text>
    </comment>
    <comment authorId="0" ref="G249">
      <text>
        <t xml:space="preserve">Falta enviar:
-Comprovante de Quitação Eleitoral
( Não Enviado )
-Histórico de Ensino Médio (Frente e Verso)
-Diploma do Ensino Médio (Frente e Verso)
-Diploma do Ensino Superior (Frente)
-Diploma do Ensino Superior (Verso)
-Histórico de Ensino Superior (Frente e Verso)
-Título de Eleito (Frente e Verso)
	-Miguel Moura</t>
      </text>
    </comment>
    <comment authorId="0" ref="G246">
      <text>
        <t xml:space="preserve">Falta enviar:
-Documentos incompletos
	-Miguel Moura</t>
      </text>
    </comment>
    <comment authorId="0" ref="H242">
      <text>
        <t xml:space="preserve">Falta realizar o questionário das PPS
	-Miguel Moura</t>
      </text>
    </comment>
    <comment authorId="0" ref="G241">
      <text>
        <t xml:space="preserve">Falta:
-Diploma do Ensino Médio (Frente e Verso)
	-Miguel Moura</t>
      </text>
    </comment>
    <comment authorId="0" ref="G230">
      <text>
        <t xml:space="preserve">Documentos que falta:
-Histórico de Ensino Médio (Frente e Verso)
-Diploma do Ensino Médio (Frente e Verso)
-Título de Eleito (Frente e Verso)
	-Miguel Moura</t>
      </text>
    </comment>
    <comment authorId="0" ref="H230">
      <text>
        <t xml:space="preserve">Falta realizar o questionário das PPS
	-Miguel Moura</t>
      </text>
    </comment>
    <comment authorId="0" ref="G15">
      <text>
        <t xml:space="preserve">Documentos que faltam:
-RG (frente e verso)
-Título de Eleito (Frente e Verso)
	-Miguel Moura</t>
      </text>
    </comment>
    <comment authorId="0" ref="H16">
      <text>
        <t xml:space="preserve">Falta apenas o questionário das PPS
	-Miguel Moura</t>
      </text>
    </comment>
    <comment authorId="0" ref="H222">
      <text>
        <t xml:space="preserve">Falta apenas o questionário das PPS
	-Miguel Moura</t>
      </text>
    </comment>
    <comment authorId="0" ref="G221">
      <text>
        <t xml:space="preserve">Não enviados:
-Cpf
-Histórico de Ensino Médio (Frente e Verso)
-Diploma do Ensino Médio (Frente e Verso)
-Histórico de Ensino Superior (Frente e Verso)
	-Miguel Moura
-Titulo eleitor (Frente e verso) 
- Diploma e histórico de ensino médio
- Histórico de ensino Superior
Adriana 11/02/25
	-Adriana Ishikawa</t>
      </text>
    </comment>
    <comment authorId="0" ref="G207">
      <text>
        <t xml:space="preserve">Não enviados:
-Cpf
-Histórico de Ensino Médio (Frente e Verso)
-Diploma do Ensino Médio (Frente e Verso)
-Histórico de Ensino Superior (Frente e Verso)
	-Miguel Moura</t>
      </text>
    </comment>
    <comment authorId="0" ref="G14">
      <text>
        <t xml:space="preserve">Documentos que estão faltando:
-RG (frente e verso)
-Diploma do Ensino Superior (Frente)
-Diploma do Ensino Superior (Verso)
-Histórico de Ensino Superior (Frente e Verso)
-Foto do Aluno
	-Miguel Moura</t>
      </text>
    </comment>
    <comment authorId="0" ref="H182">
      <text>
        <t xml:space="preserve">Falta a aluna realizar:
- Categorias e Conceitos da Geografia – 50H
	-Miguel Moura</t>
      </text>
    </comment>
    <comment authorId="0" ref="H206">
      <text>
        <t xml:space="preserve">Aluno precisa realizar o questionário das praticas pedagógicas!
	-Miguel Moura</t>
      </text>
    </comment>
    <comment authorId="0" ref="F205">
      <text>
        <t xml:space="preserve">Aluna precisa realizar o questionário das praticas pedagógicas!
	-Miguel Moura</t>
      </text>
    </comment>
    <comment authorId="0" ref="G187">
      <text>
        <t xml:space="preserve">Simple não esta solicitando todos os docs do aluno, falta o mesmo encaminhar "Certidão de Nascimento Casamento ou Divórcio"
	-Miguel Moura</t>
      </text>
    </comment>
    <comment authorId="0" ref="H162">
      <text>
        <t xml:space="preserve">Logística de Armazenamento
	-Daniela Tovar</t>
      </text>
    </comment>
    <comment authorId="0" ref="H160">
      <text>
        <t xml:space="preserve">O Aparelho psíquico, aspectos clínicos e Teóricos – 40H
	-Daniela Tovar</t>
      </text>
    </comment>
    <comment authorId="0" ref="H146">
      <text>
        <t xml:space="preserve">Psicanálise II – 50H
Psicopatologias I – 40H
Psicopatologias II – 50H
	-Daniela Tovar</t>
      </text>
    </comment>
    <comment authorId="0" ref="H68">
      <text>
        <t xml:space="preserve">Tópicos Avançados em Sexualidade – 40H	
O Aparelho psíquico, aspectos clínicos e Teóricos – 40H
	-Daniela Tovar</t>
      </text>
    </comment>
    <comment authorId="0" ref="G31">
      <text>
        <t xml:space="preserve">Estarei entrando em contato para regularizar
	-Pedro Lucas
- Foto do Aluno
- RG (Frente e Verso)
- Comprovante de residência
- Histórico de ensino Superior
- Certificado ensino Médio 
(Adriana 10/2)
	-Adriana Ishikawa</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G95">
      <text>
        <t xml:space="preserve">• RG (frente e verso) ✅
• CPF (frente e verso) ✅
• Certidão de nascimento ou casamento 🔴 Deve ser feita uma segunda via, pois o carimbo está manchado por algum líquido
• Comprovante de residência (em seu nome ou no do cônjuge) ✅
• Diploma e histórico do ensino superior (frente e verso) 🟡- Está com o documento manchado
• Diploma e histórico do ensino médio (frente e verso) ✅
• Título de eleitor (frente e verso) ✅
• Comprovante de quitação eleitoral ✅
• Foto do aluno ✅
	-Jade Padua</t>
      </text>
    </comment>
    <comment authorId="0" ref="G40">
      <text>
        <t xml:space="preserve">•	Certidão de nascimento ou casamento
•	Comprovante de residência (no seu nome ou do cônjuge)
•	Diploma e histórico de ensino superior (frente e verso)
•	Diploma de ensino médio (frente e verso)
•	Título de eleitor (frente e verso)
•	Comprovante de quitação eleitoral
•	Foto do aluno
	-Adriana Ishikawa</t>
      </text>
    </comment>
    <comment authorId="0" ref="G195">
      <text>
        <t xml:space="preserve">Documentação da aluna está anexado no drive da secretaria
	-Pedro Lucas</t>
      </text>
    </comment>
    <comment authorId="0" ref="G102">
      <text>
        <t xml:space="preserve">Vou entrar em contato para regularizar
	-Pedro Lucas</t>
      </text>
    </comment>
    <comment authorId="0" ref="G99">
      <text>
        <t xml:space="preserve">Estou entrando em contato para regularizar
	-Pedro Lucas</t>
      </text>
    </comment>
    <comment authorId="0" ref="G98">
      <text>
        <t xml:space="preserve">Já entrei em contato com ela para regularizar
	-Pedro Lucas</t>
      </text>
    </comment>
    <comment authorId="0" ref="G77">
      <text>
        <t xml:space="preserve">Vou entrar em contato com a aluna
	-Pedro Lucas</t>
      </text>
    </comment>
    <comment authorId="0" ref="G76">
      <text>
        <t xml:space="preserve">Vou entrar em contato com o aluno, mas antes vou conferir com o financeiro se o aluno não está expirado, pois o mesmo tem que mandar as praticas pedagogicas para a correção.
	-Pedro Lucas</t>
      </text>
    </comment>
    <comment authorId="0" ref="G54">
      <text>
        <t xml:space="preserve">Já estou entrando em contato para ajudar o aluno a anexar.
	-Pedro Lucas</t>
      </text>
    </comment>
    <comment authorId="0" ref="G51">
      <text>
        <t xml:space="preserve">Já estou entrando em contato para ajudar o aluno a anexar.
	-Pedro Lucas</t>
      </text>
    </comment>
    <comment authorId="0" ref="G50">
      <text>
        <t xml:space="preserve">Já estou entrando em contato para ajudar o aluno a anexar.
	-Pedro Lucas</t>
      </text>
    </comment>
    <comment authorId="0" ref="G139">
      <text>
        <t xml:space="preserve">Certidão de Reservista
Comprovante de Quitação Eleitoral
Diploma do Ensino Médio (Frente e Verso)Histórico de Ensino Médio (Frente e Verso)
	-Daniela Tovar</t>
      </text>
    </comment>
    <comment authorId="0" ref="G109">
      <text>
        <t xml:space="preserve">Diploma do Ensino Médio (Frente e Verso)
Histórico de Ensino Médio (Frente e Verso)
	-Daniela Tovar</t>
      </text>
    </comment>
    <comment authorId="0" ref="G134">
      <text>
        <t xml:space="preserve">Diploma do Ensino Superior (Verso)
Cpf
	-Daniela Tovar</t>
      </text>
    </comment>
    <comment authorId="0" ref="G105">
      <text>
        <t xml:space="preserve">Diploma do Ensino Médio (Frente e Verso)
Histórico de Ensino Médio (Frente e Verso)
Certidão de Reservista
	-Daniela Tovar</t>
      </text>
    </comment>
    <comment authorId="0" ref="I23">
      <text>
        <t xml:space="preserve">O curso dele é para Bacharéis e Tecnólogos por isso pede trabalho de Práticas curriculares
	-Franciele Rosa dos Santos</t>
      </text>
    </comment>
    <comment authorId="0" ref="B9">
      <text>
        <t xml:space="preserve">Qual nome completo dos cursos??
	-Jade Padua</t>
      </text>
    </comment>
    <comment authorId="0" ref="G203">
      <text>
        <t xml:space="preserve">Histórico de Ensino Médio (Frente e Verso)
Diploma do Ensino Médio (Frente e Verso)
Diploma do Ensino Superior (Verso)
	-Daniela Tovar</t>
      </text>
    </comment>
    <comment authorId="0" ref="H203">
      <text>
        <t xml:space="preserve">A cognição Humana	
Atualidades e Estudo de Caso em Coordenação, Supervisão e Orientação Escolar	
Metodologia do Ensino Fundamental e Médio
	-Daniela Tovar</t>
      </text>
    </comment>
    <comment authorId="0" ref="H99">
      <text>
        <t xml:space="preserve">Psicopatologias I – 40H	
Introdução à EAD - 30H
	-Daniela Tovar</t>
      </text>
    </comment>
    <comment authorId="0" ref="H98">
      <text>
        <t xml:space="preserve">Terapia Aplicada a Sexualidade	
Tópicos Avançados em Sexualidade – 40H	
Ética em Terapia Sexual
	-Daniela Tovar</t>
      </text>
    </comment>
    <comment authorId="0" ref="E53">
      <text>
        <t xml:space="preserve">Qual o curso?
	-Daniela Tovar</t>
      </text>
    </comment>
    <comment authorId="0" ref="E60">
      <text>
        <t xml:space="preserve">Qual o curso?
	-Daniela Tovar</t>
      </text>
    </comment>
    <comment authorId="0" ref="E59">
      <text>
        <t xml:space="preserve">Qual o curso?
	-Daniela Tovar</t>
      </text>
    </comment>
    <comment authorId="0" ref="E6">
      <text>
        <t xml:space="preserve">Qual o curso?
	-Daniela Tovar</t>
      </text>
    </comment>
    <comment authorId="0" ref="B66">
      <text>
        <t xml:space="preserve">Mesma aluna da linha 51
	-Daniela Tovar
----
Mesmo aluno da linha 16.
	-Daniela Tovar</t>
      </text>
    </comment>
    <comment authorId="0" ref="B65">
      <text>
        <t xml:space="preserve">Mesmo aluno da linha 66
	-Daniela Tovar</t>
      </text>
    </comment>
    <comment authorId="0" ref="B69">
      <text>
        <t xml:space="preserve">O processo de certificação foi iniciado em 06/09/2024
	-Daniela Tovar</t>
      </text>
    </comment>
    <comment authorId="0" ref="B68">
      <text>
        <t xml:space="preserve">Aluna inicio o processo de certificação no dia 18/09/2024
	-Daniela Tovar</t>
      </text>
    </comment>
    <comment authorId="0" ref="E47">
      <text>
        <t xml:space="preserve">Qual o curso da aluna?
	-Daniela Tovar</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G61">
      <text>
        <t xml:space="preserve">Documentos:
•	RG (frente e verso) - Negado (tremido)
•	CPF (frente e verso) - Negado (tremido)
•	Certidão de nascimento ou casamento - Aceito
•	Comprovante de residência (no seu nome ou do cônjuge) - Negado (Sem parentesco comprovado)
•	Diploma e histórico de ensino superior (frente e verso) - Negado (Falta o histórico completo)
•	Diploma e histórico de ensino médio (frente e verso)- Negado (Bordas cortadas)
•	Título de eleitor (frente e verso)- Incompleto (somente frente)
•	Comprovante de quitação eleitoral - Não encaminhado
•	Foto do aluno- Aceito
	-Jade Padua</t>
      </text>
    </comment>
    <comment authorId="0" ref="G130">
      <text>
        <t xml:space="preserve">estão pendentes: 
- Certidão de nascimento/casamento
- Histórico de Ensino Médio
	-Jade Padua</t>
      </text>
    </comment>
    <comment authorId="0" ref="G200">
      <text>
        <t xml:space="preserve">-RG - Negado (Está ilegível e sem algumas partes)
-CPF - Aceito
-Certidão de nascimento/casamento - Aceito
-Comprovante de Residência - Aceito
- Diploma do Ensino Médio - Não encaminhado
- Histórico Ensino Médio - Não encaminhado
-Título de Eleitor - Não encaminhado
-Comprovante de Quitação Eleitoral - Não encaminhado
	-Jade Padua</t>
      </text>
    </comment>
    <comment authorId="0" ref="G203">
      <text>
        <t xml:space="preserve">Documentos:
•	RG (frente e verso) ✅
•	CPF (frente e verso) ✅
•	Certidão de nascimento ou casamento 🔴- Riscada, deve encaminhar 2° via
•	Comprovante de residência (no seu nome ou do cônjuge) ✅
•	Diploma e histórico de ensino superior (frente e verso) 🔴- Falta o Histórico
•	Diploma e histórico de ensino médio (frente e verso) 🔴- Não encaminhado
•	Título de eleitor (frente e verso) 🔴- Encaminhou print do e-título
•	Comprovante de quitação eleitoral 🔴- Muito antigo, de 2023
•	Foto do aluno 🔴- Não encaminhado
	-Jade Padua</t>
      </text>
    </comment>
    <comment authorId="0" ref="G154">
      <text>
        <t xml:space="preserve">Documentos Pessoais:
-FOTO DO ALUNO ✅
-CPF ✅
-RG (frente e verso) ✅
-CERTIDÃO DE NASCIMENTO , CASAMENTO OU DIVÓRCIO 🔴- Está sem as bordas
-CERTIDÃO DE RESERVISTA (Exclusivo para pessoas só sexo masculino) ✅
-COMPROVANTE DE ENDEREÇO ✅
-TÍTULO DE ELEITOR (Frente e Verso) 🔴 - Incompleto (Apenas verso)
-COMPROVANTE DE QUITAÇÃO ELEITORAL ✅
Documentos acadêmicos: 
-HISTÓRICO DO ENSINO MÉDIO (Frente e Verso)🔴- Ilegível
-DIPLOMA DO ENSINO DE MÉDIO (Frente e Verso)🔴- Ilegível
-DIPLOMA DO ENSINO SUPERIOR (Frente) - Apenas em Caso de Graduados.
-DIPLOMA DO ENSINO SUPERIOR (Verso) - Apenas em Caso de Graduados.
	-Jade Padua</t>
      </text>
    </comment>
    <comment authorId="0" ref="G192">
      <text>
        <t xml:space="preserve">Documentos que faltam: 
Diploma do Ensino Superior
Histórico do Ensino Superior
Comprovante de Endereço
Certidão de Casamento
	-Jade Padua</t>
      </text>
    </comment>
    <comment authorId="0" ref="G106">
      <text>
        <t xml:space="preserve">•	RG (frente e verso) ✅
•	CPF (frente e verso) ✅
•	Certidão de nascimento ou casamento ✅
•	Comprovante de residência (no seu nome ou do cônjuge) 🔴
•	Diploma e histórico de ensino superior (frente e verso) 🔴 - Deve reenviar o verso do Diploma
•	Diploma e histórico de ensino médio (frente e verso) ✅
•	Título de eleitor (frente e verso) ✅
•	Comprovante de quitação eleitoral 🔴
•	Foto do aluno ✅
	-Jade Padua</t>
      </text>
    </comment>
    <comment authorId="0" ref="G26">
      <text>
        <t xml:space="preserve">- Histórico de Ensino Superior
	-Adriana Ishikawa</t>
      </text>
    </comment>
    <comment authorId="0" ref="G92">
      <text>
        <t xml:space="preserve">•	RG (frente e verso)
•	CPF (frente e verso)
•	Certidão de nascimento ou casamento
•	Comprovante de residência (no seu nome ou do cônjuge)
•	Diploma e histórico de ensino médio (frente e verso)
•	Título de eleitor (frente e verso)
•	Comprovante de quitação eleitoral
•	Foto do aluno
	-Adriana Ishikawa</t>
      </text>
    </comment>
    <comment authorId="0" ref="G150">
      <text>
        <t xml:space="preserve">•	RG (frente e verso)
•	CPF (frente e verso)
•	Certidão de nascimento ou casamento
•	Comprovante de residência (no seu nome ou do cônjuge)
•	Diploma e histórico de ensino médio (frente e verso)
•	Título de eleitor (frente e verso)
•	Comprovante de quitação eleitoral
•	Foto do aluno
	-Adriana Ishikawa</t>
      </text>
    </comment>
    <comment authorId="0" ref="G33">
      <text>
        <t xml:space="preserve">Histórico Ensino Médio
	-Adriana Ishikawa</t>
      </text>
    </comment>
    <comment authorId="0" ref="G133">
      <text>
        <t xml:space="preserve">- Certidão de reservista
	-Adriana Ishikawa</t>
      </text>
    </comment>
    <comment authorId="0" ref="G104">
      <text>
        <t xml:space="preserve">CPF
Histórico Ensino Médio
Titulo de Eleitor - Frente e Verso
Comprovante de Quitação Eleitoral
	-Adriana Ishikawa</t>
      </text>
    </comment>
    <comment authorId="0" ref="G131">
      <text>
        <t xml:space="preserve">- Diploma de Ensino Superior
	-Adriana Ishikawa</t>
      </text>
    </comment>
    <comment authorId="0" ref="G24">
      <text>
        <t xml:space="preserve">•	RG (frente e verso)
•	CPF (frente e verso)
•	Certidão de nascimento ou casamento
•	Comprovante de residência (no seu nome ou do cônjuge)
•	Diploma e histórico de ensino superior (frente e verso)
•	Diploma de ensino médio (frente e verso)
•	Título de eleitor (frente e verso)
•	Comprovante de quitação eleitoral
•	Foto do aluno
	-Adriana Ishikawa</t>
      </text>
    </comment>
    <comment authorId="0" ref="G20">
      <text>
        <t xml:space="preserve">Falta enviar:
-Certidão de Nascimento Casamento ou Divórcio
-Comprovante de Endereço
-Comprovante de Quitação Eleitoral
-Histórico de Ensino Médio (Frente e Verso)
-Diploma do Ensino Médio (Frente e Verso)
-Título de Eleito (Frente e Verso)
	-Miguel Moura</t>
      </text>
    </comment>
    <comment authorId="0" ref="G7">
      <text>
        <t xml:space="preserve">Falta enviar:
-Comprovante de Quitação Eleitoral
	-Miguel Moura</t>
      </text>
    </comment>
    <comment authorId="0" ref="G19">
      <text>
        <t xml:space="preserve">Encaminhar novamente:
-Diploma do Ensino Médio (Frente e Verso)
-Histórico de Ensino Superior (Frente e Verso)
	-Miguel Moura
Ensino médio e o histórico do ensino superior 03/02/25 -Adriana
	-Adriana Ishikawa</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G85">
      <text>
        <t xml:space="preserve">Falta histórico do ensino médio
	-Miguel Moura</t>
      </text>
    </comment>
    <comment authorId="0" ref="G77">
      <text>
        <t xml:space="preserve">Falta o certificado e histórico do ensino médio.
	-Miguel Moura</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G54">
      <text>
        <t xml:space="preserve">-Frente e verso do RG
-Titulo de eleitor
- Certificado e histórico do ensino médio
- Diploma e Histórico do ensino superior.
- Certidão de casamento legível
	-Miguel Moura</t>
      </text>
    </comment>
    <comment authorId="0" ref="G84">
      <text>
        <t xml:space="preserve">Falta:
-Titulo de eleitor
-Quitação eleitoral
-Certificado e histórico ensino médio
-Comprovante de endereço
	-Miguel Moura</t>
      </text>
    </comment>
    <comment authorId="0" ref="G82">
      <text>
        <t xml:space="preserve">Falta:
-Histórico e certificado do ensino médio
	-Miguel Moura</t>
      </text>
    </comment>
    <comment authorId="0" ref="G78">
      <text>
        <t xml:space="preserve">Falta:
-Comprovante de endereço no nome do aluno
-Histórico do ensino superior
- Verso do titulo de eleitor
	-Miguel Moura</t>
      </text>
    </comment>
    <comment authorId="0" ref="G66">
      <text>
        <t xml:space="preserve">-Falta o titulo de eleitor
-Diploma e histórico da primeira graduação
	-Miguel Moura</t>
      </text>
    </comment>
    <comment authorId="0" ref="G62">
      <text>
        <t xml:space="preserve">Documentos faltantes:
CPF
Comprovante de endereço no nome do aluno
	-Miguel Moura</t>
      </text>
    </comment>
    <comment authorId="0" ref="G63">
      <text>
        <t xml:space="preserve">Documentos faltantes no drive:
-Frente do RG
-Diploma e histórico do ensino médio
-Titulo de eleitor
	-Miguel Moura</t>
      </text>
    </comment>
    <comment authorId="0" ref="G53">
      <text>
        <t xml:space="preserve">Falta título de eleitor
	-Miguel Moura</t>
      </text>
    </comment>
    <comment authorId="0" ref="G45">
      <text>
        <t xml:space="preserve">Falta 
-Quitação eleitoral 
-Diploma e histórico ensino médio
	-Miguel Moura</t>
      </text>
    </comment>
    <comment authorId="0" ref="G43">
      <text>
        <t xml:space="preserve">Falta
-comprovante de endereço(Legível)
-Quitação eleitoral
	-Miguel Moura</t>
      </text>
    </comment>
    <comment authorId="0" ref="G42">
      <text>
        <t xml:space="preserve">Falta apenas quitação eleitoral
	-Miguel Moura</t>
      </text>
    </comment>
  </commentList>
</comments>
</file>

<file path=xl/sharedStrings.xml><?xml version="1.0" encoding="utf-8"?>
<sst xmlns="http://schemas.openxmlformats.org/spreadsheetml/2006/main" count="14565" uniqueCount="5689">
  <si>
    <t>Status</t>
  </si>
  <si>
    <t>CPF</t>
  </si>
  <si>
    <t>Aluno</t>
  </si>
  <si>
    <t>Data Solicitação</t>
  </si>
  <si>
    <t>Curso</t>
  </si>
  <si>
    <t>Financeiro (Daniela Tovar)</t>
  </si>
  <si>
    <t>Documentação (Adriana)</t>
  </si>
  <si>
    <t>Atividades Plataforma</t>
  </si>
  <si>
    <t>Práticas Pedagógicas (Tais)</t>
  </si>
  <si>
    <t>Data Liberação p/ Cert. Erick</t>
  </si>
  <si>
    <t>Observações</t>
  </si>
  <si>
    <t>Análise Concluída, Aluno certificado</t>
  </si>
  <si>
    <t>035.527.509-08</t>
  </si>
  <si>
    <t>Nércia Meri Sganderla</t>
  </si>
  <si>
    <t>Segunda licenciatura em Artes Visuais</t>
  </si>
  <si>
    <t>Iniciou dia 24/10/2022 e expirou em 24/02/2024 curso quitado</t>
  </si>
  <si>
    <t>Documentação não encontrada, solicitar via chat</t>
  </si>
  <si>
    <t>É aluna da Unicv, e está como concluído já</t>
  </si>
  <si>
    <t>PPS aprovadas</t>
  </si>
  <si>
    <t>Aluna certificada 16/12</t>
  </si>
  <si>
    <t xml:space="preserve"> 199.202.598-37</t>
  </si>
  <si>
    <t>Carmem Lúcia Rosa</t>
  </si>
  <si>
    <t>Pós-Graduação em Educação Especial 620 Horas</t>
  </si>
  <si>
    <t>Quitada em 16/06/2023</t>
  </si>
  <si>
    <t>Entregues e deferidos</t>
  </si>
  <si>
    <t>Aprovada em todas as disciplinas</t>
  </si>
  <si>
    <t>Curso não possui</t>
  </si>
  <si>
    <t>Análise Concluída, Processo de certificação</t>
  </si>
  <si>
    <t>049.490.934-01</t>
  </si>
  <si>
    <t>Maria Gloridaiane de Oliveira teles</t>
  </si>
  <si>
    <t>Segunda licenciatura em artes visuais</t>
  </si>
  <si>
    <t>Iniciou dia 23/01/2021 e expirou em 23/05/2022 curso quitado</t>
  </si>
  <si>
    <t xml:space="preserve">Entregues e deferidos - Drive </t>
  </si>
  <si>
    <t>Aluna não localizada em nenhuma plataforma de estudo.</t>
  </si>
  <si>
    <t>Não localizada na plataforma Email com PCAprovado</t>
  </si>
  <si>
    <t>Aluna já encaminhada para Mariana - em processo de certificação</t>
  </si>
  <si>
    <t>021.341.932-71</t>
  </si>
  <si>
    <t>Alexandre Cardoso de Sousa</t>
  </si>
  <si>
    <t>Segunda Licenciatura em Música 1320 Horas</t>
  </si>
  <si>
    <t>Quitado em 15/09/2023 e expirou em 15/09/2024</t>
  </si>
  <si>
    <t>Aprovado em todas as disciplinas</t>
  </si>
  <si>
    <t>Aluno já foi certificado</t>
  </si>
  <si>
    <t>734.691.142-34</t>
  </si>
  <si>
    <t>Isaias Martins da Conceição</t>
  </si>
  <si>
    <t>Iniciou dia 31/03/2023 e expirou dia 29/07/2024 curso quitado contratou extensão dia 10/02/2025 e expira 10/03/2025</t>
  </si>
  <si>
    <t>Não finalizou todas as disciplinas</t>
  </si>
  <si>
    <t>Já inserido na planilha acompanhamento</t>
  </si>
  <si>
    <t>Falta Plataforma, Falta Documentação, Aluno no Setor de Cobrança</t>
  </si>
  <si>
    <t>388.690.328-17</t>
  </si>
  <si>
    <t>Daiane do Prado Martins</t>
  </si>
  <si>
    <t>Pós-Graduação em Enfermagem do Trabalho</t>
  </si>
  <si>
    <t>Iniciou 14/10/2020 e expirou 14/02/2022.Reativou o curso início 19/09/2023 e expirou 19/09/2024 curso quitado</t>
  </si>
  <si>
    <t>Aluna em negociação com Camila, Solicitado a mesma me delegar assim que finalizar</t>
  </si>
  <si>
    <t>Faltam 3 disciplinas para finalizar</t>
  </si>
  <si>
    <t>Pós em MBA em Gestão da Qualidade</t>
  </si>
  <si>
    <t>Pós-Graduação Vigilância Epidemiológica e Gestão de Serviço de Saúde</t>
  </si>
  <si>
    <t>Aluna não fez nenhuma disciplinas</t>
  </si>
  <si>
    <t xml:space="preserve">Aluno contratou a reativação dos cursos </t>
  </si>
  <si>
    <t xml:space="preserve">Não fez nenhuma disciplina </t>
  </si>
  <si>
    <t>Liberada</t>
  </si>
  <si>
    <t>MBA em Gestão da Qualidade</t>
  </si>
  <si>
    <t>488.003.921-72</t>
  </si>
  <si>
    <t>Rosangela de Oliveira</t>
  </si>
  <si>
    <t>Pós-Graduação em Psicanálise 800 Horas</t>
  </si>
  <si>
    <t>Quitado em 03/08/2023 vai expirar em 03/12/2024</t>
  </si>
  <si>
    <t xml:space="preserve">Liberada </t>
  </si>
  <si>
    <t>112.600.858-30</t>
  </si>
  <si>
    <t>Paulo Roberto Maciel dos Santos</t>
  </si>
  <si>
    <t>Formação Pedagógica em Ciências Biológicas</t>
  </si>
  <si>
    <t>Quitado, expirou dia 15/09/2023</t>
  </si>
  <si>
    <t>Já estava liberado</t>
  </si>
  <si>
    <t>029.784.976-02</t>
  </si>
  <si>
    <t>Marlena Cristina cruz</t>
  </si>
  <si>
    <t>Segunda Licenciatura em História</t>
  </si>
  <si>
    <t xml:space="preserve">Aluno com curso expirado </t>
  </si>
  <si>
    <t>104.803.069-58</t>
  </si>
  <si>
    <t>Bianca Batista Torres</t>
  </si>
  <si>
    <t>Segunda Licenciatura- Pedagogia</t>
  </si>
  <si>
    <t>Quitada no cartão de crédito e vai expirar em 08/12/2024</t>
  </si>
  <si>
    <t>Nenhuma disciplina feita</t>
  </si>
  <si>
    <t>Análise Concluída, Falta Tutoria</t>
  </si>
  <si>
    <t>056.591.779-05</t>
  </si>
  <si>
    <t>Rosemary da Penha Santos</t>
  </si>
  <si>
    <t>#SLUEF - Segunda Licenciatura em Educação Física</t>
  </si>
  <si>
    <t>Iniciou em 30/10/2023 e expira dia 30/02/2025 aluna possui 3 mensalidades em atraso</t>
  </si>
  <si>
    <t>PPS não foi localizado no dia 12 de maio de 2025 - Cobrado novamente o envio em 26/06/2025 - expirado 30/02/2025</t>
  </si>
  <si>
    <t>Encaminhada para Mariana</t>
  </si>
  <si>
    <t>Falta Plataforma, Falta Tutoria, Falta Documentação</t>
  </si>
  <si>
    <t>056.120.854-94</t>
  </si>
  <si>
    <t>Erivânia Silva Reis</t>
  </si>
  <si>
    <t>#SLPA- Segunda Licenciatura em Pedagogia 01</t>
  </si>
  <si>
    <t>Iniciou dia 26/09/2023 e expirou 26/01/2025 curso quitado</t>
  </si>
  <si>
    <t>Documentação solicitada via chat 03/02/2025</t>
  </si>
  <si>
    <t>Aluna não obteve aprovação nas disciplinas</t>
  </si>
  <si>
    <t>PPS não foi localizado no dia 12 de maio de 2025 - curso expirado 26/01/2025</t>
  </si>
  <si>
    <t>920.360.748-04</t>
  </si>
  <si>
    <t>Francisco das Chagas Ramalhaes de Souza</t>
  </si>
  <si>
    <t>Pós-graduação em Neuropsicologia</t>
  </si>
  <si>
    <t>Iniciou dia 20/03/2023 e expirou dia 29/01/2025 curso quitado</t>
  </si>
  <si>
    <t>697.837.566-72</t>
  </si>
  <si>
    <t>Edna Aparecida de Souza Gallo</t>
  </si>
  <si>
    <t>Pós-Graduação Psicopedagogia Clínica, Institucional e Hospitalar</t>
  </si>
  <si>
    <t>Quitado em 30/08/2024</t>
  </si>
  <si>
    <t>Aprovado</t>
  </si>
  <si>
    <t>Liberado 05/12/2024</t>
  </si>
  <si>
    <t>278.432.893-72</t>
  </si>
  <si>
    <t>Vilma da Cruz</t>
  </si>
  <si>
    <t>Pós-Graduação em Psicanálise</t>
  </si>
  <si>
    <t>Quitado em 14/11/2024 e expirou em 14/12/2024</t>
  </si>
  <si>
    <t>Liberada 06/12/2024</t>
  </si>
  <si>
    <t>054.718.928-10</t>
  </si>
  <si>
    <t>Jorge Ventura de Sena</t>
  </si>
  <si>
    <t>Iniciou dia 11/04/2022 e expirou dia 11/08/2023 curso quitado</t>
  </si>
  <si>
    <t>Liberado 06/12/2024</t>
  </si>
  <si>
    <t>645.609.291-49</t>
  </si>
  <si>
    <t>Estela Juliana Alves de Oliveira</t>
  </si>
  <si>
    <t>Psicanálise</t>
  </si>
  <si>
    <t>Quitado em 14/04/2023, aluna pela análise de Carla já estava na planilha de certificação</t>
  </si>
  <si>
    <t xml:space="preserve">Certificado já está no drive
</t>
  </si>
  <si>
    <t>016.633.772-27</t>
  </si>
  <si>
    <t>Jozinete Vinhas de Deus</t>
  </si>
  <si>
    <t>Pós-Graduação em Metodologia do Ensino de Filosofia e Sociologia</t>
  </si>
  <si>
    <t>Iniciou dia 24/11/2023 e expira 24/03/2025 curso quitado</t>
  </si>
  <si>
    <t>576.956.602-72</t>
  </si>
  <si>
    <t>Joelma Mendes de Sarges Vieira</t>
  </si>
  <si>
    <t>Capacitação em Educação e Inclusiva</t>
  </si>
  <si>
    <t>Iniciou em 01/11/2023 e expira 01/01/2025 não encontrei se a aluna quitou o curso!</t>
  </si>
  <si>
    <t>Encaminhado para Erick  04/02/2025</t>
  </si>
  <si>
    <t>864.627.681-34</t>
  </si>
  <si>
    <t>Joelita da Silva Soares Costa</t>
  </si>
  <si>
    <t>Pós-Graduação em Sexologia</t>
  </si>
  <si>
    <t>Iniciou em 01/08/2023 e expirou dia 01/12/2024 não consegui encontrar se ela está quitada!</t>
  </si>
  <si>
    <t>Certificada em 5 de dezembro 24</t>
  </si>
  <si>
    <t>018.937.529-92</t>
  </si>
  <si>
    <t>Fabiana de Moura e Costa</t>
  </si>
  <si>
    <t>Pós-Graduação em Terapia de Casais</t>
  </si>
  <si>
    <t>Quitado em 21/08/2023</t>
  </si>
  <si>
    <t>Certificado encaminhado em 12/11</t>
  </si>
  <si>
    <t>Passou para Camila ver se a mesma está quitada, documento ok - Aluna na planilha de Pós!</t>
  </si>
  <si>
    <t>305.100.398-04</t>
  </si>
  <si>
    <t>Vanessa Cristina Xavier Cardoso</t>
  </si>
  <si>
    <t>Pós-Graduação em Terapia em ABA- Análise do Comportamento Aplicada</t>
  </si>
  <si>
    <t>Quitado em 23/05/2023</t>
  </si>
  <si>
    <t>Solicitado documento e telefone via e-mail, aluna não está no Kinbox e telefone de contato errado. 4/2/2025</t>
  </si>
  <si>
    <t>Liberada 24/11/2024</t>
  </si>
  <si>
    <t>Sem emissão de certificado</t>
  </si>
  <si>
    <t>602.392.207-49</t>
  </si>
  <si>
    <t>Carla de Souza Moreira Portilho</t>
  </si>
  <si>
    <t>Quitado em 22/12/2024</t>
  </si>
  <si>
    <t>Análise Concluída, Falta Documentação</t>
  </si>
  <si>
    <t>389.106.238-96</t>
  </si>
  <si>
    <t>Gesielle Cristine Santos Anunciato (Aluna precisa até dia 28/11/2024-concurso)</t>
  </si>
  <si>
    <t>Pós-graduação em ensino de História e Geografia</t>
  </si>
  <si>
    <t>Foi pos de brinde</t>
  </si>
  <si>
    <t xml:space="preserve">Vai encaminhar/ Reforçado a solicitação 13/2 Telefone caixa postal </t>
  </si>
  <si>
    <t>Análise Concluída, Atualizada em Abril</t>
  </si>
  <si>
    <t>120.756.198-32</t>
  </si>
  <si>
    <t>Nilva Rodrigues do Prado Simões</t>
  </si>
  <si>
    <t>Pós-Graduação em Terapia em ABA- Análise do Comportamento Aplicada Clínica</t>
  </si>
  <si>
    <t>Iniciou em 21/08/2023 e expirou dia 21/12/2024 curso quitado</t>
  </si>
  <si>
    <t>Documento incompletos</t>
  </si>
  <si>
    <t>Resta concluir 1 disciplina</t>
  </si>
  <si>
    <t>O estágio não foi localizado no dia 12 de maio de 2025</t>
  </si>
  <si>
    <t>264.505.158-80</t>
  </si>
  <si>
    <t>Nivaldo da Silva Lima</t>
  </si>
  <si>
    <t>Quitado</t>
  </si>
  <si>
    <t>739.699.072-68</t>
  </si>
  <si>
    <t>Tatiane Nunes Mozaldo do Espírito Santo Aguiar</t>
  </si>
  <si>
    <t>Iniciou em 16/12/2022 e expirou dia 16/04/2024 curso quitado contratou extensão no dia 23/10/2024 e expirou dia 23/11/2024</t>
  </si>
  <si>
    <t>Liberada 13/12/2024</t>
  </si>
  <si>
    <t>Direcionado para tutoria - Aluno na planilha de pós</t>
  </si>
  <si>
    <t>Análise Concluída</t>
  </si>
  <si>
    <t>Segunda Licenciatura em Filosofia</t>
  </si>
  <si>
    <t>Aprovada em 12/12/2024</t>
  </si>
  <si>
    <t>Liberada em 07/01/2025</t>
  </si>
  <si>
    <t>692.972.824-15</t>
  </si>
  <si>
    <t>Ednelson Júnior Souza da Silva</t>
  </si>
  <si>
    <t>Quitado em 31/10/2023</t>
  </si>
  <si>
    <t>Falta 1 documento: Comprovante de endereço</t>
  </si>
  <si>
    <t>Liberado</t>
  </si>
  <si>
    <t>086.337.008-08</t>
  </si>
  <si>
    <t>Tânia Malheiros</t>
  </si>
  <si>
    <t>Pós Graduação em Psicanálise</t>
  </si>
  <si>
    <t>Aluna quitada, porém expirou em Outubro de 2024, precisa de análise de plataforma e documentação para saber quanto tempo é necessário de extensão</t>
  </si>
  <si>
    <t>Liberada em 22/11/2024</t>
  </si>
  <si>
    <t>Liberado?</t>
  </si>
  <si>
    <t>635.812.485-49</t>
  </si>
  <si>
    <t>Vanusia Ferreira da Silva Santos</t>
  </si>
  <si>
    <t>Formação Livre Psicanálise</t>
  </si>
  <si>
    <t xml:space="preserve">Iniciou dia 22/08/2023 e expirou 22/12/2024 curso quitado </t>
  </si>
  <si>
    <t xml:space="preserve">Entregues e deferidos - Certificado e Histórico salvos no Drive </t>
  </si>
  <si>
    <t>Encaminhada ao Miguel (30/12/2025)</t>
  </si>
  <si>
    <t>087.217.199-00</t>
  </si>
  <si>
    <t>Bruno Wilwert Tomio</t>
  </si>
  <si>
    <t>Pós-Graduação em Gestão Escolar</t>
  </si>
  <si>
    <t>Pós de brinde do curso Sl em geografia</t>
  </si>
  <si>
    <t>Aluno não é apto para certificação, Análise Concluída</t>
  </si>
  <si>
    <t>089.646.666-31</t>
  </si>
  <si>
    <t>Mirislei Soares Madalena</t>
  </si>
  <si>
    <t>Formação pedagógica em Pedagogia</t>
  </si>
  <si>
    <t>Iniciou dia 04/06/2020 e expirou dia 04/10/2021 curso quitado</t>
  </si>
  <si>
    <t>Aluna não localizada em nenhuma plataforma de estudos</t>
  </si>
  <si>
    <t>PPS não foi localizado no dia 12 de maio de 2025</t>
  </si>
  <si>
    <t>849.661.732-72</t>
  </si>
  <si>
    <t>Luciene Pereira dos Santos Bentes</t>
  </si>
  <si>
    <t>Pós-Graduação em Ensino da Literatura e Produção de Texto em Língua Inglesa</t>
  </si>
  <si>
    <t>Iniciou em 11/07/2022 e expirou dia 11/11/2023 curso quitado</t>
  </si>
  <si>
    <t>Falta Tutoria, Análise Concluída</t>
  </si>
  <si>
    <t>122.844.317-39</t>
  </si>
  <si>
    <t>Paolo Fernando Gaspary Gassen</t>
  </si>
  <si>
    <t>Formação Pedagógica em Música 1200 Horas</t>
  </si>
  <si>
    <t>Quitado, vai expirar em 30/12/2024</t>
  </si>
  <si>
    <t>PPS não foi localizado no dia 12 de maio de 2025 - Cobrado novamente o envio em 26/06/2025 - curso expirado 30/12/2024</t>
  </si>
  <si>
    <t>017.099.519-40</t>
  </si>
  <si>
    <t>Gisele Virgínia Becker de Oliveira</t>
  </si>
  <si>
    <t>Iniciou em 23/11/2022 e expirou dia 23/03/2023 curso quitado</t>
  </si>
  <si>
    <t>Liberada 10/12/2024</t>
  </si>
  <si>
    <t>Encaminhado para Erik 31/1 - Aluno não é Pós-Graduação</t>
  </si>
  <si>
    <t>719.251.399-72</t>
  </si>
  <si>
    <t>Luciana Maria Pastor Masala</t>
  </si>
  <si>
    <t>Iniciou em 27/11/2023 e expira dia 27/03/2025 curso quitado</t>
  </si>
  <si>
    <t>224.247.578-95</t>
  </si>
  <si>
    <t>Sue Hellen Cristina Pereira Ferreira</t>
  </si>
  <si>
    <t xml:space="preserve">Quitado em 10/09/2024 e expirado em 10/09/2024, já recebeu certificado digital, só falta o físico </t>
  </si>
  <si>
    <t xml:space="preserve">PPs aprovadas </t>
  </si>
  <si>
    <t>Encaminhado para o Erick 04/02/2025 - aluna na planilha de pós</t>
  </si>
  <si>
    <t>099.176.647-42</t>
  </si>
  <si>
    <t>Sabrina Ligneul Macedo de Victa</t>
  </si>
  <si>
    <t>Pós-Graduação em Educação Musical</t>
  </si>
  <si>
    <t>Quitado em 30/10/2024</t>
  </si>
  <si>
    <t>Liberada em 18/11/2024</t>
  </si>
  <si>
    <t>Encaminhado para Erik 31/1 - Já inserido na planilha acompanhamento</t>
  </si>
  <si>
    <t>029.789.275-42</t>
  </si>
  <si>
    <t>Jovilson Santos Tavares Ramos</t>
  </si>
  <si>
    <t>Segunda Licenciatura em Pedagogia 01</t>
  </si>
  <si>
    <t>Não localizei financeiro, olhar com aluna se está em nome dela e pedi comprovante de pagamento</t>
  </si>
  <si>
    <t>700.245.889-20</t>
  </si>
  <si>
    <t>Edna Fernandes de Queiroz</t>
  </si>
  <si>
    <t xml:space="preserve">Segunda Licenciatura em Pedagogia </t>
  </si>
  <si>
    <t>efetuou pagamento de 13 parcelas restando 3 para quitação (Boleto de quitação está como recebido em dinheiro ou seja devemos ter alguma prova do pagamento) iniciou em 05/04/2021 contratou extensão 30/07/2024 expirou em 30/08/2024.</t>
  </si>
  <si>
    <t>110.751.067-88</t>
  </si>
  <si>
    <t>Michele Chaves Amancio Teubner</t>
  </si>
  <si>
    <t>Quitado em 22/04/2024</t>
  </si>
  <si>
    <t>Iniciou dia 28/10/2022 e expirou dia 28/02/2024 curso quitado</t>
  </si>
  <si>
    <t>360.127.429-91</t>
  </si>
  <si>
    <t>Marli Bones Mello Cidral</t>
  </si>
  <si>
    <t>Quitado, aluna possui extensão até 01/2025</t>
  </si>
  <si>
    <t>Liberada 19/11/2024</t>
  </si>
  <si>
    <t>071.519.236-19</t>
  </si>
  <si>
    <t>Renata de Melo Pereira Zacarias</t>
  </si>
  <si>
    <t>Pós-Graduação em Ensino Religioso</t>
  </si>
  <si>
    <t>Quitado em 27/05/2024</t>
  </si>
  <si>
    <t>Faltam 2 disciplinas para finalizar</t>
  </si>
  <si>
    <t>Recebido certificado</t>
  </si>
  <si>
    <t>760.290.349-87</t>
  </si>
  <si>
    <t>Claudete Aparecida Pereira</t>
  </si>
  <si>
    <t>Quitado em 23/08/2024</t>
  </si>
  <si>
    <t>Liberada 13/01/2025</t>
  </si>
  <si>
    <t>005.891.632-64</t>
  </si>
  <si>
    <t>Jovani Pinheiro Alves</t>
  </si>
  <si>
    <t>Segunda Graduação em Pedagogia</t>
  </si>
  <si>
    <t>Quitado em 03/10/2024</t>
  </si>
  <si>
    <t>Entregues e deferidos - Drive</t>
  </si>
  <si>
    <t>068.884.276-33</t>
  </si>
  <si>
    <t>Naara Lídia Silva Julião Reis</t>
  </si>
  <si>
    <t>Docência do Ensino Religioso; Educação Especial e Inclusiva e Psicopedagogia Institucional.</t>
  </si>
  <si>
    <t>Iniciou dia 14/11/2020 e expirou dia 14/03/2022 curso quitado</t>
  </si>
  <si>
    <t>Solicitado documentação via chat 5/2/25</t>
  </si>
  <si>
    <t>Naõ localizada em nenhuma plataforma</t>
  </si>
  <si>
    <t>016.396.200-60</t>
  </si>
  <si>
    <t>Aline Daiane Fernandes Naparo</t>
  </si>
  <si>
    <t>Formação Livre em Psicanálise-2022</t>
  </si>
  <si>
    <t>Iniciou em 03/10/2023 e expirou 03/02/2025 curso quitado</t>
  </si>
  <si>
    <t>Repassada para Miguel ver se localiza no financeiro</t>
  </si>
  <si>
    <t>Falta Plataforma</t>
  </si>
  <si>
    <t>Financeiro quitado</t>
  </si>
  <si>
    <t>Aprovada nas duas disciplinas disponíveis</t>
  </si>
  <si>
    <t>Certificado será encaminhado no dia 10/01/2025</t>
  </si>
  <si>
    <t>Segunda Licenciatura em Sociologia</t>
  </si>
  <si>
    <t>Liberada em 09/01/2025</t>
  </si>
  <si>
    <t>Verifiquei no chat, aluna já recebeu certificado em dezembro 2024 (30/1/2025)</t>
  </si>
  <si>
    <t>205.058.988-37</t>
  </si>
  <si>
    <t>Jeozadaque Santos Martins</t>
  </si>
  <si>
    <t>Iniciou em 07/12/2022 e expirou dia 07/04/2023 curso quitado</t>
  </si>
  <si>
    <t>629.149.362-49</t>
  </si>
  <si>
    <t>Alessandra Jussara Santos da Silva Oliveira</t>
  </si>
  <si>
    <t>Formação pedagógica Pedagogia</t>
  </si>
  <si>
    <t>Quitada em 14/09/2024</t>
  </si>
  <si>
    <t>Liberada em 18/12/2024</t>
  </si>
  <si>
    <t>já enviado o certificado</t>
  </si>
  <si>
    <t>317.920.096-79</t>
  </si>
  <si>
    <t>Fabíola Prado Marques Vieira</t>
  </si>
  <si>
    <t>Segunda Licenciatura em Artes Visuais</t>
  </si>
  <si>
    <t>Iniciou dia 23/09/2021 e expirou 23/01/2023 curso quitado aluna contratou 2 extensão mas já expirou</t>
  </si>
  <si>
    <t>159.353.177-02</t>
  </si>
  <si>
    <t>George Lucas Maforte Machado</t>
  </si>
  <si>
    <t>Segunda Licenciatura Em Pedagogia</t>
  </si>
  <si>
    <t>Aluno retroativo</t>
  </si>
  <si>
    <t>Encaminhada para Mariana 4/2/25</t>
  </si>
  <si>
    <t>Falta Documentação, Falta Financeiro, Falta Plataforma</t>
  </si>
  <si>
    <t>854.065.702-34</t>
  </si>
  <si>
    <t>Silvana Barbosa Lopes</t>
  </si>
  <si>
    <t>Sexualidade humana</t>
  </si>
  <si>
    <t>Não localizada em nenhuma plataforma</t>
  </si>
  <si>
    <t>Já inserido na planilha acompanhamento/ Encaminhado Miguel 31/1/25</t>
  </si>
  <si>
    <t>Aluno certificado</t>
  </si>
  <si>
    <t>032.132.680-62</t>
  </si>
  <si>
    <t>Roberta Liliane Gonçalves</t>
  </si>
  <si>
    <t>Curso Livre em Psicanálise</t>
  </si>
  <si>
    <t>Não localizei financeiro completo, olhar com aluna se está em nome dela e pedi comprovante de pagamento</t>
  </si>
  <si>
    <t>Repassada para Miguel localizar no financeiro. Aluna não está em nenhuma plataforma</t>
  </si>
  <si>
    <t>474.798.168-39</t>
  </si>
  <si>
    <t>Natalia Regina Dias Amaral</t>
  </si>
  <si>
    <t>Pós-Graduação em Ensino da Literatura e Produção de Textos em Língua Portuguesa</t>
  </si>
  <si>
    <t>Quitado em 08/02/2023</t>
  </si>
  <si>
    <t>859.523.702-68</t>
  </si>
  <si>
    <t>Daniel da Silva Garcia</t>
  </si>
  <si>
    <t>Matemática 1200 Horas( falta somente parecer da tutoria)</t>
  </si>
  <si>
    <t>Aluno quitado e apto para certificação</t>
  </si>
  <si>
    <t>056.147.737-03</t>
  </si>
  <si>
    <t>Marco Aurélio Gomes Vilas Bôas</t>
  </si>
  <si>
    <t>Quitado em 05/02/2024</t>
  </si>
  <si>
    <t>066.887.741-35</t>
  </si>
  <si>
    <t>Larissa Costa da Silva</t>
  </si>
  <si>
    <t>Formação Pedagógica Educação Física</t>
  </si>
  <si>
    <t>Liberada em 12/12/2024</t>
  </si>
  <si>
    <t>309.458.278-81</t>
  </si>
  <si>
    <t>Cristiano Ares Ramos</t>
  </si>
  <si>
    <t xml:space="preserve">Quitado, expirou em: 20/06/2025
</t>
  </si>
  <si>
    <t xml:space="preserve">	787.840.691-04</t>
  </si>
  <si>
    <t>Nádia Maria Dorneles</t>
  </si>
  <si>
    <t>Pós-Graduação em Psicopedagogia Escolar</t>
  </si>
  <si>
    <t>Quitado em 28/10/2024</t>
  </si>
  <si>
    <t>Liberada 25/11/2024</t>
  </si>
  <si>
    <t>279.700.601-10</t>
  </si>
  <si>
    <t>Maria Teresa Martins dos Santos Seabra</t>
  </si>
  <si>
    <t>Enviada para Miguel 30/01/2025</t>
  </si>
  <si>
    <t>080.875.779-22</t>
  </si>
  <si>
    <t>Paloma de Campos Alé Pereira</t>
  </si>
  <si>
    <t>Segunda Licenciatura Letras - Português</t>
  </si>
  <si>
    <t>Aluno contratou extensão de 3 meses no dia 14/08/2024 (na descrição não informar o nome do curso)</t>
  </si>
  <si>
    <t xml:space="preserve">Iniciou em 15/06/2021 e expirou em 15/10/2022 curso quitado </t>
  </si>
  <si>
    <t>095.316.607-43</t>
  </si>
  <si>
    <t>Erika Cordulino Fernandes</t>
  </si>
  <si>
    <t>Segunda Graduação Letras Inglês</t>
  </si>
  <si>
    <t xml:space="preserve">Iniciou dia 10/04/2021 e expirou dia 10/08/2022 curso quitado </t>
  </si>
  <si>
    <t>Documentação no JACAD de acordo com informações</t>
  </si>
  <si>
    <t>Aluna se encontra com o curso concluído no Unicv</t>
  </si>
  <si>
    <t>157.877.798-43</t>
  </si>
  <si>
    <t>Tatiana Aparecida Carlino Pinheiro</t>
  </si>
  <si>
    <t xml:space="preserve">Pós graduação em psicanálise </t>
  </si>
  <si>
    <t>Aluna contratou extensão por 3 meses no dia 07/10/2024  Pós-Graduação em Psicanálise 2022</t>
  </si>
  <si>
    <t>Liberada 04/12</t>
  </si>
  <si>
    <t>Aluna já foi certificada</t>
  </si>
  <si>
    <t>Falta Tutoria</t>
  </si>
  <si>
    <t>052.675.674-85</t>
  </si>
  <si>
    <t>Ruslany Evangelista Lopes Medrado</t>
  </si>
  <si>
    <t>Segunda Licenciatura em Pedagogia</t>
  </si>
  <si>
    <t>Iniciou dia 25/10/2022 e expirou 25/02/2024 curso quitado contratou uma extensão por 2 meses e expira 16/02/2025</t>
  </si>
  <si>
    <t>PPS não foi localizado no dia 12 de maio de 2025 - Cobrado novamente em 26/06/2025 - Curso expirado 25/02/2024</t>
  </si>
  <si>
    <t xml:space="preserve">Iniciou em 07/12/2022 e expirou 07/04/2024 curso quitado </t>
  </si>
  <si>
    <t>Entregues e deferidos (Simple) 30/1/25</t>
  </si>
  <si>
    <t>Segunda Licenciatura Música 1200 Horas</t>
  </si>
  <si>
    <t>Liberado em 20/12/2024</t>
  </si>
  <si>
    <t>Recebido certificado em 10.12.2024</t>
  </si>
  <si>
    <t>357.291.778-60</t>
  </si>
  <si>
    <t>João Acelino Barbosa Filho</t>
  </si>
  <si>
    <t>Quitado em 23/06/2023</t>
  </si>
  <si>
    <t>Já está para certificação</t>
  </si>
  <si>
    <t>049.096.244-06</t>
  </si>
  <si>
    <t>Bruno Pontes da Costa</t>
  </si>
  <si>
    <t>Formação Pedagógica em Letras - Língua Portuguesa e Libras</t>
  </si>
  <si>
    <t>Quitado em 14/10/2022</t>
  </si>
  <si>
    <t>Liberado 10/12/2024</t>
  </si>
  <si>
    <t>897.263.591-04</t>
  </si>
  <si>
    <t>Cristina da Costa Pereira</t>
  </si>
  <si>
    <t>Curso se encontra expirado</t>
  </si>
  <si>
    <t>070.875.724-31</t>
  </si>
  <si>
    <t>Anderson José Francisco Silva</t>
  </si>
  <si>
    <t>Segunda Graduação em Filosofia.</t>
  </si>
  <si>
    <t>Quitado, precisa encaminhar pratica pedagógicas para certificação, já encaminhado</t>
  </si>
  <si>
    <t>Liberado 04/12/2024</t>
  </si>
  <si>
    <t>062.120.666-04</t>
  </si>
  <si>
    <t>Rosely Aparecida Vilela Costa</t>
  </si>
  <si>
    <t>Pós-Graduação em TDAH – Transtorno do Déficit de Atenção e Hiperatividade</t>
  </si>
  <si>
    <t>Quitado em 12/07/2023</t>
  </si>
  <si>
    <t>070.523.174-78</t>
  </si>
  <si>
    <t>Nathalia Medeiros Marques</t>
  </si>
  <si>
    <t>Pós Direito penal e processual penal</t>
  </si>
  <si>
    <t>Solicitado via chat 3-2-25 / reforçado dia 5/2/25</t>
  </si>
  <si>
    <t>115.813.977-20</t>
  </si>
  <si>
    <t>Elma Tertuliano de Paiva</t>
  </si>
  <si>
    <t xml:space="preserve">Formação Livre em Terapia Cognitiva Comportamental </t>
  </si>
  <si>
    <t>Iniciou dia 18/05/2024 e expira dia 18/09/2025 curso quitado</t>
  </si>
  <si>
    <t>Solicitado via chat 3-2-25 / reforçado dia 5/2/25 e 13/2 e 26/2 e recado cx postal</t>
  </si>
  <si>
    <t>118.022.917-76</t>
  </si>
  <si>
    <t>Carlos Soares da Costa</t>
  </si>
  <si>
    <t>Quitado, aluno contratou extensão no dia 23/07/2024</t>
  </si>
  <si>
    <t>Liberado 09/12/2024</t>
  </si>
  <si>
    <t>811.043.402-91</t>
  </si>
  <si>
    <t>Jorgete santos de souza</t>
  </si>
  <si>
    <t>Pós-Graduação em Ensino de Geografia e História</t>
  </si>
  <si>
    <t>Iniciou no dia 03/08/2021 e expirou dia 03/12/2022 curso quitado</t>
  </si>
  <si>
    <t>Aluna não obteve aprovação em todas as disciplinas</t>
  </si>
  <si>
    <t>Iniciou em 17/09/2021 e expirou dia 17/01/2023 curso quitado</t>
  </si>
  <si>
    <t>892.763.294-04</t>
  </si>
  <si>
    <t>Lucidalva Nobre Lacerda da Silva</t>
  </si>
  <si>
    <t>Iniciou em 12/05/2022 e expirou 12/09/2023 curso quitado contratou extensão 24/06/2024 e expirou 24/07/2024</t>
  </si>
  <si>
    <t>Já enviado certificado</t>
  </si>
  <si>
    <t>015.930.571-30</t>
  </si>
  <si>
    <t>Kelcilene Lagasse Brites Curado</t>
  </si>
  <si>
    <t>Quitado 12/02/2024</t>
  </si>
  <si>
    <t>069.297.164-56</t>
  </si>
  <si>
    <t>Andreza Luana de Andrade Santos</t>
  </si>
  <si>
    <t xml:space="preserve"> Iniciou em 22/01/2022 e expirou em 22/05/2023 curso quitado contratou extensão dia 28/08/2023 expirou dia 28/09/2023</t>
  </si>
  <si>
    <t>371.989.198-47</t>
  </si>
  <si>
    <t>Josilaine Bramer Candido</t>
  </si>
  <si>
    <t>Pós-Graduação em Alfabetização e Letramento e a Psicopedagogia</t>
  </si>
  <si>
    <t>Iniciou dia 17/01/2023 expirou dia 17/05/2024 curso quitado</t>
  </si>
  <si>
    <t>Pós-Graduação em Educação Inclusiva e Diversidade</t>
  </si>
  <si>
    <t>Liberada enviado em 11/09/2024</t>
  </si>
  <si>
    <t>Encaminhado para Erick - 7/2/25</t>
  </si>
  <si>
    <t>Falta Documentação, Falta Plataforma, Falta Tutoria</t>
  </si>
  <si>
    <t>994.264.556-04</t>
  </si>
  <si>
    <t>Eliane Reis Cunha</t>
  </si>
  <si>
    <t>?</t>
  </si>
  <si>
    <t>Início: 05/03/2021 expirou em: 05/07/2022 quitado</t>
  </si>
  <si>
    <t>PPS não foi localizado no dia 12 de maio de 2025 - curso expirado 05/07/2022</t>
  </si>
  <si>
    <t>215.765.758-45</t>
  </si>
  <si>
    <t>João Dias de Almeida</t>
  </si>
  <si>
    <t xml:space="preserve"> Segunda Licenciatura em Música 2022 </t>
  </si>
  <si>
    <t xml:space="preserve">Quitado em 16/02/2024, contratou um mês de extensão no dia 08/11/2024 </t>
  </si>
  <si>
    <t>Liberado 02/01/2024</t>
  </si>
  <si>
    <t>013.951.835-54</t>
  </si>
  <si>
    <t xml:space="preserve">Maria Angelica Carvalho dos Santos Silva </t>
  </si>
  <si>
    <t>Segunda graduação em Música</t>
  </si>
  <si>
    <t>Iniciou 23/06/2023 e expirou em 23/10/2024 curso quitado contratou extensão dia 05/12/2024 e expirou dia 05/01/2025</t>
  </si>
  <si>
    <t>Entregues e deferidos (drive)</t>
  </si>
  <si>
    <t>873.787.369-53</t>
  </si>
  <si>
    <t>Simone da Silva Tristão</t>
  </si>
  <si>
    <t>Segunda Licenciatura Letras - Inglês</t>
  </si>
  <si>
    <t>Quitada em 09/08/2023</t>
  </si>
  <si>
    <t>Liberada em 19/12/2024</t>
  </si>
  <si>
    <t>016.600.012-42</t>
  </si>
  <si>
    <t>Miguel Portilho Lobo</t>
  </si>
  <si>
    <t>Quitado, expira em 11/02/2025 iniciou em 11/10/2023</t>
  </si>
  <si>
    <t>062.934.833-24</t>
  </si>
  <si>
    <t>Danilo Dias Paes Landim</t>
  </si>
  <si>
    <t>Quitado em 01/08/2023, pagou uma extensão de 1 mês no dia 06/11/2024 e já expirou em 06/12/2024</t>
  </si>
  <si>
    <t>121.848.292-34</t>
  </si>
  <si>
    <t>Edivaldo Nogueira de Souza</t>
  </si>
  <si>
    <t>Formação Pedagógica em Pedagogia</t>
  </si>
  <si>
    <t>Quitado em 22/11/2024</t>
  </si>
  <si>
    <t>Liberado em 18/12/2024</t>
  </si>
  <si>
    <t>063.262.316-04</t>
  </si>
  <si>
    <t>Marcos Luiz Clemente</t>
  </si>
  <si>
    <t>Matriculado em 19/06/2023, parcelou o curso em 16x 79,92 e quitou o curso em 07 de outubro de 2024, aluno provavelmente fez acordo financeiro e por isso finalizou pagamento agora. Expirou no dia 07 de outubro de 2024.</t>
  </si>
  <si>
    <t>Liberado 07/12/2024</t>
  </si>
  <si>
    <t>719.055.881-00</t>
  </si>
  <si>
    <t>Ana Paula dos Santos Dias Braga</t>
  </si>
  <si>
    <t>Formação Pedagógica em Letras – Português e Inglês</t>
  </si>
  <si>
    <t>032.544.436-67</t>
  </si>
  <si>
    <t>Marcilene Cristina Souza Araujo Menon Lopes</t>
  </si>
  <si>
    <t>Formação Livre em Psicanálise</t>
  </si>
  <si>
    <t>Iniciou dia 26/12/2022 e expirou dia 26/04/2024 curso quitado</t>
  </si>
  <si>
    <t xml:space="preserve">Solicitado via chat 4/2/25 por via das dúvidas </t>
  </si>
  <si>
    <t>950.699.090-53</t>
  </si>
  <si>
    <t>Luis Dagmar da Rocha</t>
  </si>
  <si>
    <t>Iniciou dia 10/11/2023 e expira dia 10/03/2025 curso quitado</t>
  </si>
  <si>
    <t>Confirmando Erick para verificar se aluna já foi certificada. Confirmando informações do kinbox 4/2/25</t>
  </si>
  <si>
    <t>042.727.152-59</t>
  </si>
  <si>
    <t xml:space="preserve">Sauiny da Silva Bento </t>
  </si>
  <si>
    <t>segunda licenciatura de geografia</t>
  </si>
  <si>
    <t xml:space="preserve">Documentação correta - Drive </t>
  </si>
  <si>
    <t xml:space="preserve">Pós-Graduação em Ensino de História e Geografia </t>
  </si>
  <si>
    <t>Iniciou dia 06/09/2024 e expira em 06/10/2025 curso quitado</t>
  </si>
  <si>
    <t xml:space="preserve">Liberada em caráter de urgência </t>
  </si>
  <si>
    <t>020.336.227-62</t>
  </si>
  <si>
    <t>Natalino Henriqueta dos Santos</t>
  </si>
  <si>
    <t>Pedagogia para Bacharéis e Tecnólogos (2022)</t>
  </si>
  <si>
    <t>Iniciou em 06/07/2022 e expirou em 06/11/2023 curso quitado contratou extensão dia 21/10/2024 expirou em 21/11/2024</t>
  </si>
  <si>
    <t>023.885.267-95</t>
  </si>
  <si>
    <t>Flavia Corrêa Natal</t>
  </si>
  <si>
    <t>Pós em Neuropsicologia clínica</t>
  </si>
  <si>
    <t>Quitada 10/01/2024</t>
  </si>
  <si>
    <t>Dispensa de TCC via email - 18/08/2023</t>
  </si>
  <si>
    <t>Já está na planilha de certificações, aguardando prazo para encaminhar certificação</t>
  </si>
  <si>
    <t>128.216.727-80</t>
  </si>
  <si>
    <t>Alex Martins Moreira</t>
  </si>
  <si>
    <t>Pós-Graduação em Direito Processual Penal</t>
  </si>
  <si>
    <t>Iniciou dia 01/07/2021 e expirou em 01/11/2023 curso quitado contratou extensão no dia 07/10/2024 e expirou dia 07/11/2024</t>
  </si>
  <si>
    <t>Solicitado via chat 4/2/25</t>
  </si>
  <si>
    <t>Aluno não localizado em nenhuma plataforma de estudos</t>
  </si>
  <si>
    <t>040.211.946-06</t>
  </si>
  <si>
    <t xml:space="preserve">Cristiana de Souza Freire </t>
  </si>
  <si>
    <t xml:space="preserve">início dia 18/01/2023 e expirou dia 18/05/2024 curso quitado </t>
  </si>
  <si>
    <t>Aluna concluiu apenas 1 disciplina do curso</t>
  </si>
  <si>
    <t>044.559.113-75</t>
  </si>
  <si>
    <t>Elayne Emily Siqueira Coelho</t>
  </si>
  <si>
    <t>Capacitação em Psicanálise 800H 2022</t>
  </si>
  <si>
    <t>Iniciou dia 03/02/2022 e expirou em 03/06/2023 curso quitado</t>
  </si>
  <si>
    <t>000.932.850-51</t>
  </si>
  <si>
    <t>Adriana de Almeida Abreu</t>
  </si>
  <si>
    <t>Pós-Graduação em Metodologia do Ensino de Língua Inglesa</t>
  </si>
  <si>
    <t>Iniciou dia 10/04/2023 e expirou 10/08/2024 curso quitado</t>
  </si>
  <si>
    <t>Certificado já encaminhado no dia 05/12</t>
  </si>
  <si>
    <t>Encaminhei a aluna para o Erick 05/02/2025</t>
  </si>
  <si>
    <t>464.842.723-87</t>
  </si>
  <si>
    <t>Daniel Vieira da Silva</t>
  </si>
  <si>
    <t>(ZAYN-Modal) Segunda Licenciatura Música</t>
  </si>
  <si>
    <t>Iniciou dia 15/09/2023 e expirou dia 15/01/2024 curso quitado</t>
  </si>
  <si>
    <t>Liberado em 17/12/2024</t>
  </si>
  <si>
    <t>043.473.361-01</t>
  </si>
  <si>
    <t>SAULO ARAUJO DE MENEZES</t>
  </si>
  <si>
    <t>Segunda Licenciatura Pedagogia</t>
  </si>
  <si>
    <t>Quitado em 30/11/2024</t>
  </si>
  <si>
    <t>023.129.532-42</t>
  </si>
  <si>
    <t>Yasmin Pinho Woodcock</t>
  </si>
  <si>
    <t>Pós-Graduação em Psicologia do Trânsito</t>
  </si>
  <si>
    <t>Não localizei financeiro, olhar com aluna se está em nome dela e pedir comprovante de pagamento</t>
  </si>
  <si>
    <t>Aluna resolveu com a Radiante</t>
  </si>
  <si>
    <t>Radiante</t>
  </si>
  <si>
    <t>041.764.294-61</t>
  </si>
  <si>
    <t>José Antônio dos Santos Silva</t>
  </si>
  <si>
    <t>#FPMF- Formação Pedagógica em Música 1200 Horas</t>
  </si>
  <si>
    <t xml:space="preserve">Iniciou dia 11/04/2023 e expirou 11/08/2024  curso quitado contratou extensão dia 15/08/2024 e expirou 15/09/2024 </t>
  </si>
  <si>
    <t>Aluno já foi liberado para certificação em 18/12/2024</t>
  </si>
  <si>
    <t>364.994.878-80</t>
  </si>
  <si>
    <t>Thiago Ribeiro Silva</t>
  </si>
  <si>
    <t>Iniciou em 22/03/2023 e expirou dia 22/07/2024 curso quitado</t>
  </si>
  <si>
    <t>117.744.186-14</t>
  </si>
  <si>
    <t>Sheila dos Reis Madeira</t>
  </si>
  <si>
    <t>06/11//2024</t>
  </si>
  <si>
    <t>Português - Letras e Libras</t>
  </si>
  <si>
    <t>Quitada, iniciou em 22/12/2022 e expirou em 22/04/2024</t>
  </si>
  <si>
    <t>018.253.831-11</t>
  </si>
  <si>
    <t>Adelita Priamo da Silva</t>
  </si>
  <si>
    <t>31/10//2024</t>
  </si>
  <si>
    <t>Iniciou dia 03/03/2023 e expirou dia 03/07/2024 curso quitado</t>
  </si>
  <si>
    <t>Liberada em 08/01/2025</t>
  </si>
  <si>
    <t>363.860.878-60</t>
  </si>
  <si>
    <t>Carla Emiliane da Costa Magela</t>
  </si>
  <si>
    <t>Aluna 2022/2023</t>
  </si>
  <si>
    <t>Quitado em 24/09/2023</t>
  </si>
  <si>
    <t>Tais: PPS pré aprovadas (falta plataforma)</t>
  </si>
  <si>
    <t>581.981.483-53</t>
  </si>
  <si>
    <t>Francisco Alves Farias</t>
  </si>
  <si>
    <t>Não encontrado</t>
  </si>
  <si>
    <t>Aluno ganhou está pós de brinde</t>
  </si>
  <si>
    <t>015.100.250-90</t>
  </si>
  <si>
    <t>Fabiane Jevinski</t>
  </si>
  <si>
    <t>#SLLIA - Segunda Licenciatura em Letras Inglês 760 Horas</t>
  </si>
  <si>
    <t xml:space="preserve"> Iniciou 04/05/2021 e expirou 04/09/2022 curso quitado aluna contratou extensão em 09/12/2024 e expirou dia 09/01/2025</t>
  </si>
  <si>
    <t>Reforçado pedido de documentação via cha 4/2/25</t>
  </si>
  <si>
    <t>148.578.124-87</t>
  </si>
  <si>
    <t>Luiz carlos Lisboa Gondim</t>
  </si>
  <si>
    <t>Não localizado</t>
  </si>
  <si>
    <t>Quitado, contratou extensão 09/09/2024 expiração: 09/03/2025</t>
  </si>
  <si>
    <t>Solicitado via chat Reforçado via chat 3/2/25</t>
  </si>
  <si>
    <t>Aprovado 13/01/2025</t>
  </si>
  <si>
    <t>117.482.757-20</t>
  </si>
  <si>
    <t>Mauricio Fogli Cruzeiro Machado</t>
  </si>
  <si>
    <t>Quitado, iniciou em 28/09/2022 e expirou em 28/12/2023</t>
  </si>
  <si>
    <t xml:space="preserve">Aluno informa recebimento do certificado </t>
  </si>
  <si>
    <t>Salete Tereza Holdefer Siqueira</t>
  </si>
  <si>
    <t>SEGUNDA LICENCIATURA EM EDUCAÇÃO ESPECIAL</t>
  </si>
  <si>
    <t xml:space="preserve">Quitada Iniciou: 01/11/2023 expirou em: 01/03/2025 </t>
  </si>
  <si>
    <t>Aprovada</t>
  </si>
  <si>
    <t>Financeiro</t>
  </si>
  <si>
    <t>Documentação</t>
  </si>
  <si>
    <t xml:space="preserve">Práticas Pedagógicas </t>
  </si>
  <si>
    <t>Data Liberação para/ Certificação</t>
  </si>
  <si>
    <t>Observação</t>
  </si>
  <si>
    <t>Valéria Coelho dos Santos</t>
  </si>
  <si>
    <t>401.580.458-90</t>
  </si>
  <si>
    <t>Segunda Licenciatura em Educação Especial</t>
  </si>
  <si>
    <t>Quitada, iniciou em 10/08/2023 contratou extensão e expira em 28/02/2025.</t>
  </si>
  <si>
    <t>Entregue e deferida</t>
  </si>
  <si>
    <t>Aluna finalizou todas as disciplinas</t>
  </si>
  <si>
    <t>PPs Aprovadas</t>
  </si>
  <si>
    <t>Urgente</t>
  </si>
  <si>
    <t>Antônio Alberto Prata Teodoro</t>
  </si>
  <si>
    <t>020.967.886-09</t>
  </si>
  <si>
    <t>FORMAÇÃO PEDAGÓGICA EM SOCIOLOGIA - 56M</t>
  </si>
  <si>
    <t>Iniciou o curso dia 20-07-2024 expira dia 20-07-2025 curso quitado</t>
  </si>
  <si>
    <t xml:space="preserve">Aluno foi aprovado em todas as avaliações, </t>
  </si>
  <si>
    <t>FORMAÇÃO PEDAGÓGICA EM FILOSOFIA - 62M</t>
  </si>
  <si>
    <t>FORMAÇÃO PEDAGÓGICA EM CIÊNCIAS DA RELIGIÃO - 63M</t>
  </si>
  <si>
    <t>FORMAÇÃO PEDAGÓGICA EM GEOGRAFIA - 64M</t>
  </si>
  <si>
    <t>FORMAÇÃO PEDAGÓGICA EM ARTES VISUAIS - 67M</t>
  </si>
  <si>
    <t>Aluno foi aprovado em todas as avaliações,</t>
  </si>
  <si>
    <t>FORMAÇÃO PEDAGÓGICA EM EDUCAÇÃO FÍSICA - 71M</t>
  </si>
  <si>
    <t>Urgente, Aluno certificado</t>
  </si>
  <si>
    <t>PÓS-GRADUAÇÃO EM DIREITO DO TRABALHO E PROCESSUAL TRABALHISTA - 74M</t>
  </si>
  <si>
    <t>Devido a contratação dos cursos de Formação pedagógica aluna ganhou esta pós de brinde</t>
  </si>
  <si>
    <t>Urgente, Análise Concluída</t>
  </si>
  <si>
    <t>Benedito Garcia Rebouças Filho</t>
  </si>
  <si>
    <t>010.842.461-80</t>
  </si>
  <si>
    <t>Iniciou dia 23/10/2023 e expirou em 21/01/2025 curso quitado</t>
  </si>
  <si>
    <t>Encaminhado para Miguel 31/1</t>
  </si>
  <si>
    <t>Iniciou dia 05/05/2023 e expirou em 05/09/2024 curso quitado</t>
  </si>
  <si>
    <t>Não tem no curso</t>
  </si>
  <si>
    <t>Patrícia Cláudia Fonseca</t>
  </si>
  <si>
    <t>032.138.536-58</t>
  </si>
  <si>
    <t>PÓS-GRADUAÇÃO EM TERAPIA DE CASAL</t>
  </si>
  <si>
    <t>Suzana Moura da Silva Torres</t>
  </si>
  <si>
    <t>595.278.032-68</t>
  </si>
  <si>
    <t>Cleibe Martins de Souza</t>
  </si>
  <si>
    <t>100.531.876-01</t>
  </si>
  <si>
    <t>FORMAÇÃO PEDAGÓGICA EM EDUCAÇÃO FÍSICA - 2024</t>
  </si>
  <si>
    <t>Início dia 27/03/2024 e vai expirar 24/07/2025 curso quitado</t>
  </si>
  <si>
    <t>Documentos incompletos</t>
  </si>
  <si>
    <t>Pré aprovado(falta regularização dos documentos)</t>
  </si>
  <si>
    <t xml:space="preserve">Jonnhy Pierri Oliveira Mota	</t>
  </si>
  <si>
    <t>574.558.135-20</t>
  </si>
  <si>
    <t>Início dia 28/09/2023 e expira dia 28/01/2025 falta 3 parcelas para o aluno quitar o curso</t>
  </si>
  <si>
    <t>Aluno finalizou todas as disciplinas</t>
  </si>
  <si>
    <t>Marco Túlio de Abreu</t>
  </si>
  <si>
    <t>576.466.946-49</t>
  </si>
  <si>
    <t>Iniciou dia 17/08/2023 e expirou 17/12/2024 curso quitado dividido em 16x de 99,90</t>
  </si>
  <si>
    <t>Entregue e Deferido  - Drive</t>
  </si>
  <si>
    <t>Encaminhado para Taís - Acompanha</t>
  </si>
  <si>
    <t>Mediana</t>
  </si>
  <si>
    <t>Geni Gomes da Rocha</t>
  </si>
  <si>
    <t>089.349.486-04</t>
  </si>
  <si>
    <t>PÓS-GRADUAÇÃO EM ENSINO RELIGIOSO</t>
  </si>
  <si>
    <t>Não necessita</t>
  </si>
  <si>
    <t>Livia Tavares Silva Cabral</t>
  </si>
  <si>
    <t>114.129.897-01</t>
  </si>
  <si>
    <t>Pedagogia para Bacharéis e Tecnólogos</t>
  </si>
  <si>
    <t>Início em 23/09/2022 e expirou dia 23/01/2024 quitado no cartão de crédito!</t>
  </si>
  <si>
    <t>Entregue e Deferido</t>
  </si>
  <si>
    <t xml:space="preserve">Sem acesso a plataforma( Eu creio que seja um erro pois não está dando para acessar o curso da aluna)
</t>
  </si>
  <si>
    <t xml:space="preserve">TCC aprovado. </t>
  </si>
  <si>
    <t>Davyson Vieira de Oliveira</t>
  </si>
  <si>
    <t>107.588.068-84</t>
  </si>
  <si>
    <t>Início em 27/09/2023 e expirou dia 27/01/2024 curso quitado, aluno contratou extensão por 3 meses expira dia 21/04/2025</t>
  </si>
  <si>
    <t>PPS pré aprovada, verificando se precisa de extensão</t>
  </si>
  <si>
    <t>Sandra Raquel de Siqueira Costa de Souza</t>
  </si>
  <si>
    <t xml:space="preserve">Aguardando analise </t>
  </si>
  <si>
    <t>Pós-Graduação em Inspeção Escolar</t>
  </si>
  <si>
    <t>Iniciou dia 15/08/2023 e expirou em 15/12/2024 curso quitado</t>
  </si>
  <si>
    <t>Entregue e Deferido - DRIVE</t>
  </si>
  <si>
    <t>Não precisa neste curso</t>
  </si>
  <si>
    <t>Marines Paifer martins</t>
  </si>
  <si>
    <t>#FPT1-Pedagogia para Bacharéis e Tecnólogos (2022)</t>
  </si>
  <si>
    <t>Quitada, iniciou em 12/01/2023 e expirou em 12/05/2024</t>
  </si>
  <si>
    <t>Falta Título de Eleitor</t>
  </si>
  <si>
    <t>Aluna foi aprovada em todas as disciplinas</t>
  </si>
  <si>
    <t>Aprovada 06/01</t>
  </si>
  <si>
    <t>Thágyne Cristina Lima de Souza Silveira</t>
  </si>
  <si>
    <t>#FPULPI- Formação Pedagógica em Letras – Português e Inglês</t>
  </si>
  <si>
    <t>Quitada, iniciou em 05/12/2023 e expirou em 05/04/2024</t>
  </si>
  <si>
    <t>Aluna com a plataforma completa</t>
  </si>
  <si>
    <t>Pré aprovada, falta enviar documentação.</t>
  </si>
  <si>
    <t>Luiz Henrique Soares Fontes</t>
  </si>
  <si>
    <t>916.441.006-49</t>
  </si>
  <si>
    <t>Um financeiro localizado no asaas, sem descrição porém está quitado</t>
  </si>
  <si>
    <t>Aprovado 12/11/2024</t>
  </si>
  <si>
    <t>Marília Selva dos Santos</t>
  </si>
  <si>
    <t>620.569.994-04</t>
  </si>
  <si>
    <t>Segunda Licenciatura em Letras Inglês disciplinas</t>
  </si>
  <si>
    <t>Aprovada 14/01/2025</t>
  </si>
  <si>
    <t>Normal</t>
  </si>
  <si>
    <t>Bruna Raquel de Oliveira Castello Branco</t>
  </si>
  <si>
    <t>019.422.911-40</t>
  </si>
  <si>
    <t>Dois financeiros localizados no asaas, um deles sem descrição porém quitado</t>
  </si>
  <si>
    <t>Não enviou o trabalho para correção</t>
  </si>
  <si>
    <t>Carlos Cleber Borges Silva</t>
  </si>
  <si>
    <t>012.442.287-02</t>
  </si>
  <si>
    <t>#SLMF - Segunda Licenciatura em Música 1320 Horas</t>
  </si>
  <si>
    <t>Aluno foi aprovado em todas as disciplinas</t>
  </si>
  <si>
    <t>Aprovado 13/12/2024</t>
  </si>
  <si>
    <t>Liberado em 13/01/2025</t>
  </si>
  <si>
    <t>Elisangela Maria da Silva</t>
  </si>
  <si>
    <t>045.485.106-56</t>
  </si>
  <si>
    <t>Segunda Licenciatura em Geografia</t>
  </si>
  <si>
    <t>Quitado, curso pago no cartão de crédito</t>
  </si>
  <si>
    <t>Aprovada 10/01/2025</t>
  </si>
  <si>
    <t>Abrahão Nascimento Dos Santos</t>
  </si>
  <si>
    <t>814.925.884-15</t>
  </si>
  <si>
    <t>Quitado, contratou extensão e expira em 02/02/2025.</t>
  </si>
  <si>
    <t>Documentação entregue e deferida</t>
  </si>
  <si>
    <t>Liberado em 07/01/2025</t>
  </si>
  <si>
    <t>Célio Gomes de Oliveira</t>
  </si>
  <si>
    <t xml:space="preserve">Quitada </t>
  </si>
  <si>
    <t xml:space="preserve">Entregue e deferida </t>
  </si>
  <si>
    <t xml:space="preserve">Não exige </t>
  </si>
  <si>
    <t>Rúbia de Souza Silva</t>
  </si>
  <si>
    <t>Quitada, iniciou em 05/07/2024 expira 05/11/2025</t>
  </si>
  <si>
    <t>Aprovado em 22 de maio de 2025</t>
  </si>
  <si>
    <t>Kelly Cristina Rodrigues da Silva</t>
  </si>
  <si>
    <t>Fez um acordo para quitar o curso mais ainda tem duas parcelas para pagar</t>
  </si>
  <si>
    <t>Aprovada em 02/01/2025</t>
  </si>
  <si>
    <t>Acompanha</t>
  </si>
  <si>
    <t>Silvania Corrêa Veloso</t>
  </si>
  <si>
    <t>SEGUNDA LICENCIATURA EM LETRAS PORTUGUÊS/INGLÊS</t>
  </si>
  <si>
    <t>Quitada, pagou pelo curso à vista</t>
  </si>
  <si>
    <t>Aluna ainda precisa concluir 4 disciplinas</t>
  </si>
  <si>
    <t>Aprovada em 06/03/2025</t>
  </si>
  <si>
    <t xml:space="preserve">SEGUNDA LICENCIATURA EM LETRAS PORTUGUÊS - LIBRAS </t>
  </si>
  <si>
    <t>Elizangela Coutinho da Cunha</t>
  </si>
  <si>
    <t>Boleto de Quitação no Cartão de crédito em 10 x para o dia 11/12/20224 referente ao curso de Segunda licenciatura em Educação Especial.</t>
  </si>
  <si>
    <t>Documentação entregue e deferida - Histórico Ensino Superior no Drive</t>
  </si>
  <si>
    <t>Aluna em processo de certificação na planilha de Já inserido na planilha acompanhamentomento geral 13/2/25 - Adriana</t>
  </si>
  <si>
    <t>Cinthia Ferreira Arcanjo Silva</t>
  </si>
  <si>
    <t>008.650.371-59</t>
  </si>
  <si>
    <t>Aprovada 02/01/25</t>
  </si>
  <si>
    <t>Alexandre Lazarotto Lago</t>
  </si>
  <si>
    <t>098.787.147-13</t>
  </si>
  <si>
    <t>Quitada</t>
  </si>
  <si>
    <t>Aprovado 14/01/25</t>
  </si>
  <si>
    <t>Karla Patrícia Menezes Costa</t>
  </si>
  <si>
    <t>804.899.403-82</t>
  </si>
  <si>
    <t>Aprovado 03/01/25</t>
  </si>
  <si>
    <t>Paulo Henrique Antonini</t>
  </si>
  <si>
    <t>304.864.668-09</t>
  </si>
  <si>
    <t xml:space="preserve"> Formação Pedagógica em Música 2022</t>
  </si>
  <si>
    <t>Aprovado em 10/03/2025</t>
  </si>
  <si>
    <t>Guilherme de Jesus Straccini</t>
  </si>
  <si>
    <t>431.693.778-25</t>
  </si>
  <si>
    <t>Iniciou dia 20/06/2023 expirou dia 20/10/2024 aluno pagou a vista</t>
  </si>
  <si>
    <t>Rosilaine Aparecida de Asunção</t>
  </si>
  <si>
    <t>849.599.759-20</t>
  </si>
  <si>
    <t xml:space="preserve"> Segunda Licenciatura em Música</t>
  </si>
  <si>
    <t>Giovana Cristiane dos Santos Ferreira</t>
  </si>
  <si>
    <t>051.778.176-01</t>
  </si>
  <si>
    <t>Pós-Graduação em Neuropsicopedagogia Institucional, Clínica e Hospitalar 850h</t>
  </si>
  <si>
    <t>Quitada, liberada até 13/06/2025</t>
  </si>
  <si>
    <t>Aprovada no estágio</t>
  </si>
  <si>
    <t>Aluna contratou o combo de curso dia 11/08/2023 e quitou dia 19/12/2024 expira dia 10/02/2025</t>
  </si>
  <si>
    <t>Não realizou nenhuma disciplina</t>
  </si>
  <si>
    <t>Não precisa entregar nenhum trabalho.</t>
  </si>
  <si>
    <t>Pós-Graduação em Biblioteconomia</t>
  </si>
  <si>
    <t>Restam 9 disciplinas para concluir</t>
  </si>
  <si>
    <t>Pós-Graduação Neurociência e Aprendizagem</t>
  </si>
  <si>
    <t>Não concluiu nenhuma disciplina</t>
  </si>
  <si>
    <t>Adilson Nei Menezes da Conceicao</t>
  </si>
  <si>
    <t>Formação Pedagógica em Geografia</t>
  </si>
  <si>
    <t>Quitada, iniciou em 22/12/2023 e expira em 22/04/2025</t>
  </si>
  <si>
    <t>*</t>
  </si>
  <si>
    <t>Aprovado em todas as disciplinas.</t>
  </si>
  <si>
    <t>Aprovado em 05/02/25 15:34:25</t>
  </si>
  <si>
    <t>Falta Documentação</t>
  </si>
  <si>
    <t>Adão Lima Felix</t>
  </si>
  <si>
    <t>030.258.062-06</t>
  </si>
  <si>
    <t>Formação Pedagógica em Educação Física</t>
  </si>
  <si>
    <t>Iniciou em 27/11/2023 e expira 27/03/2025 aluna pagou apenas 4 parcelas na lytex e não consegui encontrar o restante do parcelamento em lugar algum</t>
  </si>
  <si>
    <t>Solicitado documentação complementar via chat 07/02/2025/ Reforçado dia 14/2</t>
  </si>
  <si>
    <t>Falta Documentação, Falta Plataforma</t>
  </si>
  <si>
    <t>Pós-Graduação em Nutrição Esportiva</t>
  </si>
  <si>
    <t>Não fez nenhuma disciplina</t>
  </si>
  <si>
    <t>Não possui no curso</t>
  </si>
  <si>
    <t>Jovanil da Silva Campos</t>
  </si>
  <si>
    <t>280 271 671 91</t>
  </si>
  <si>
    <t>Segunda Licenciatura em Letras.</t>
  </si>
  <si>
    <t>Aluno quitado iniciou em 25/02/2021 tendo até 25/06/2022. não localizei em nenhuma plataforma.</t>
  </si>
  <si>
    <t>Solciitado documentação via chat 10/2/2025</t>
  </si>
  <si>
    <t>Júnio: pre aprovada PRAZO: 07/07/23</t>
  </si>
  <si>
    <t>Solicitado documentações via chat 10/2/25</t>
  </si>
  <si>
    <t>Elizabeth Cristina Sales pereira Ferraz</t>
  </si>
  <si>
    <t>103.479.896-08</t>
  </si>
  <si>
    <t>Pós-graduação em Biblioteconomia</t>
  </si>
  <si>
    <t>Aluna em dia iniciou curso em 21/12/2024. Expira em 21/04/2026</t>
  </si>
  <si>
    <t>Edmilson Barbosa Silvano</t>
  </si>
  <si>
    <t xml:space="preserve">709.903.957-15	</t>
  </si>
  <si>
    <t xml:space="preserve">Pós-Graduação em Psicanálise </t>
  </si>
  <si>
    <t>Resta 2 parcelas, iniciou em 05/02/2024 expira 05/06/2025</t>
  </si>
  <si>
    <t>Luiz Alberto Leite da Silva</t>
  </si>
  <si>
    <t>058.375.204-73</t>
  </si>
  <si>
    <t>SEGUNDA LICENCIATURA EM CIÊNCIAS DA RELIGIÃO</t>
  </si>
  <si>
    <t>Aprovado 05/02/2025</t>
  </si>
  <si>
    <t>Formação Pedagógica História</t>
  </si>
  <si>
    <t>Aprovado nas práticas pedagógicas (Via e-mail em 12 de julho de 2023)</t>
  </si>
  <si>
    <t>Pós-graduação em DIREITO PENAL 480h</t>
  </si>
  <si>
    <t>Brinde</t>
  </si>
  <si>
    <t>PÓS-GRADUAÇÃO EM DIREITO DIGITAL</t>
  </si>
  <si>
    <t>Finalizou apenas 2 disciplinas</t>
  </si>
  <si>
    <t>Formação Pedagógica em Educação Especial</t>
  </si>
  <si>
    <t>Quitado, iniciou em 14/10/2024 e expira em 14/02/2026.</t>
  </si>
  <si>
    <t>Aprovado nas práticas pedagógicas via e-mail em 12 de março, às 15:12 (há 7 dias)</t>
  </si>
  <si>
    <t>FORMAÇÃO PEDAGÓGICA EM SOCIOLOGIA</t>
  </si>
  <si>
    <t xml:space="preserve">Quitado, iniciou em 21/08/2024 expira em 21/12/2025. </t>
  </si>
  <si>
    <t>Aluno obteve aprovação em todas as disciplinas</t>
  </si>
  <si>
    <t>FORMAÇÃO PEDAGÓGICA EM FILOSOFIA</t>
  </si>
  <si>
    <t>FORMAÇÃO PEDAGÓGICA EM CIÊNCIAS DA RELIGIÃO</t>
  </si>
  <si>
    <t xml:space="preserve">Aprovado em todas as avaliação finais ( realizou simulado de apenas duas disciplinas </t>
  </si>
  <si>
    <t>Rodrigo Pereira Silva</t>
  </si>
  <si>
    <t>981.444.720-04</t>
  </si>
  <si>
    <t xml:space="preserve">Formação Pedagógica em Música </t>
  </si>
  <si>
    <t>O aluno fez um acordo para quitar o curso e não pagou, precisa ir para o financeiro</t>
  </si>
  <si>
    <t>Plágio na PPI, aguardando finalizar analise para informar aluno.</t>
  </si>
  <si>
    <t>FORMAÇÃO PEDAGÓGICA EM GEOGRAFIA</t>
  </si>
  <si>
    <t>Quitado, iniciou em 21/08/2024 expira em 21/12/2025.</t>
  </si>
  <si>
    <t>FORMAÇÃO PEDAGÓGICA EM ARTES VISUAIS</t>
  </si>
  <si>
    <t>FORMAÇÃO PEDAGÓGICA EM EDUCAÇÃO FÍSICA</t>
  </si>
  <si>
    <t>PÓS-GRADUAÇÃO EM DIREITO DO TRABALHO E PROCESSUAL TRABALHISTA</t>
  </si>
  <si>
    <t>Flávio Roberto Dutra de Oliveira</t>
  </si>
  <si>
    <t xml:space="preserve">Comprovante de endereço ilegivel </t>
  </si>
  <si>
    <t>Não localizado nas plataformas em 20 de maio de 2025</t>
  </si>
  <si>
    <t>Bruna Jeniffer Barbosa Dos Santos</t>
  </si>
  <si>
    <t>Quitada, iniciou em 19/01/2024 expira em 19/05/2025</t>
  </si>
  <si>
    <t>Roseli de Paula Dias</t>
  </si>
  <si>
    <t>120.531.938-75</t>
  </si>
  <si>
    <t>Solcitado via chat documentos complementares 19/2</t>
  </si>
  <si>
    <t>Não finalizou nenhuma disciplina</t>
  </si>
  <si>
    <t>Cristiane Limão Santos da Silva</t>
  </si>
  <si>
    <t>Aluna foi reprovada em 2 disciplinas</t>
  </si>
  <si>
    <t>Lidiane Cristina Cavallin</t>
  </si>
  <si>
    <t>Aluna ainda tem 11 disciplinas para finalizar</t>
  </si>
  <si>
    <t>Leandro Roberto De Morais</t>
  </si>
  <si>
    <t>Formação Pedagógica em Artes Visuais</t>
  </si>
  <si>
    <t>Aluno aprovado em todas as disciplinas</t>
  </si>
  <si>
    <t>Aprovado em 08/01/25</t>
  </si>
  <si>
    <t>Formação Pedagógica em Música</t>
  </si>
  <si>
    <t>Cristina da Costa Pereira (Aluna foi aprovada nas PPs)</t>
  </si>
  <si>
    <t xml:space="preserve"> Segunda Licenciatura em Música </t>
  </si>
  <si>
    <t>Aprovada em 09/01/25</t>
  </si>
  <si>
    <t>Weliton José Soares da costa</t>
  </si>
  <si>
    <t>Unico financeiro localizado está sem descrição mas está quitado</t>
  </si>
  <si>
    <t>Meirelane Aparecida Fonseca Franco</t>
  </si>
  <si>
    <t>Pós-Graduação Terapia Cognitiva Comportamental</t>
  </si>
  <si>
    <t>Celina Maria de Souza Olivindo</t>
  </si>
  <si>
    <t>Financeiro não localizado, a mesma pagou varios cursos no cartão, pode ter ganhado de brinde</t>
  </si>
  <si>
    <t>Nenhuma disciplina finalizada na simple</t>
  </si>
  <si>
    <t>Pós-Graduação em Engenharia Ambiental e Energias Renováveis</t>
  </si>
  <si>
    <t>Financeiro localizado sem descrição mas pago no cartão de crédito</t>
  </si>
  <si>
    <t>Aluna obteve aprovação em todas as disciplinas</t>
  </si>
  <si>
    <t>Rozana Ferreira da Silva</t>
  </si>
  <si>
    <t>Quitada, iniciou em 10/12/2022 e expirou em 10/04/2023</t>
  </si>
  <si>
    <t>Sem documentação</t>
  </si>
  <si>
    <t>Thamires Nayara da Silva Pavão</t>
  </si>
  <si>
    <t>Quitada, iniciou em 04/03/2022 e expirou em 04/07/2023</t>
  </si>
  <si>
    <t>Aluna ainda precisa finalizar 2 disciplinas</t>
  </si>
  <si>
    <t>Dayane Carvalho dos Reis</t>
  </si>
  <si>
    <t>CAPACITAÇÃO EM EDUCAÇÃO FÍSICA INFANTIL</t>
  </si>
  <si>
    <t>Aluna pagou apenas um boleto no valor de 340, pelos dois cursos. Delegar ao financeiro verificar mais a fundo</t>
  </si>
  <si>
    <t>Anexado documentos 3-2-2025</t>
  </si>
  <si>
    <t>CAPACITAÇÃO EM ALFABETIZAÇÃO E LETRAMENTO</t>
  </si>
  <si>
    <t>Financeiro não localizado, a mesma pagou à vista um curso e deve ter ganhado a pós de brinde</t>
  </si>
  <si>
    <t>Liberada 14/01/2025</t>
  </si>
  <si>
    <t>Edna Florentino de Oliveira Ferreira</t>
  </si>
  <si>
    <t>Quitada, iniciou em 10/03/2022 e expirou em 10/03/2023- Contratou extensão por 1 mês e expirou em 10/12/2023</t>
  </si>
  <si>
    <t>Ludymilla Aparecida Mendes Ribeiro</t>
  </si>
  <si>
    <t>Quitada, iniciou em 30/03/2024 e expira em 30/07/2025</t>
  </si>
  <si>
    <t>Falta carta de apresentação, e dissertação sobre a BNCC, sinalização para envio dia 01-07-2025</t>
  </si>
  <si>
    <t>Valmir Antonio de Freitas</t>
  </si>
  <si>
    <t>Aluno ainda precisa finalizar 12 disciplinas</t>
  </si>
  <si>
    <t>Carlos de Braga e Queiroz</t>
  </si>
  <si>
    <t>563.280.011-34</t>
  </si>
  <si>
    <t>Pós-Graduação em Análise de Projeto de Software</t>
  </si>
  <si>
    <t>Quitado, iniciou em 16/05/2022 contratou extensão e expirou em 22/12/2024</t>
  </si>
  <si>
    <t>Solciitado documentos via chat 6/2/25/ Reforçado 13/2</t>
  </si>
  <si>
    <t>Valdenira Amancio dos Santos Albuquerque</t>
  </si>
  <si>
    <t>FORMAÇÃO PEDAGÓGICA EM PEDAGOGIA</t>
  </si>
  <si>
    <t>PPs não localizadas</t>
  </si>
  <si>
    <t>Rainer Costa Ferreira</t>
  </si>
  <si>
    <t>Quitado, iniciou em 25/03/2024 e expira em 25/06/2025</t>
  </si>
  <si>
    <t>Solicitado diploma e histórico de ensino superior 13-2</t>
  </si>
  <si>
    <t>Aprovadas</t>
  </si>
  <si>
    <t>Andressa Berton De Carli</t>
  </si>
  <si>
    <t>LUÍS GUSTAVO DE FREITAS DIAS</t>
  </si>
  <si>
    <t>Pós-Graduação em Ensino de Artes</t>
  </si>
  <si>
    <t xml:space="preserve">Liberado </t>
  </si>
  <si>
    <t>Análise Concluída, Aluno certificado, Falta Documentação</t>
  </si>
  <si>
    <t>Joane Faustino Araújo</t>
  </si>
  <si>
    <t>Quitada, iniciou em 02/08/2023 e expirou em 02/12/2024</t>
  </si>
  <si>
    <t>Falta certificado do ensino médio</t>
  </si>
  <si>
    <t>Tais: Carta de apresentação com assinatura digitada, não enviou a PPI (BNCC) e a entrevista precisa de formatação correta em formato perguntas e respostas em word. (Falta analise do aluno para informar sobre as correções)</t>
  </si>
  <si>
    <t>Pós-Graduação em Ensino de Língua Inglesa</t>
  </si>
  <si>
    <t>Financeiros localizados se encontram sem descrição, aluna não tem nenhum boleto em aberto.</t>
  </si>
  <si>
    <t>Solicitado RG via chat 17/2</t>
  </si>
  <si>
    <t>Falta Histórico Ensino Superior,Título de Eleitor,</t>
  </si>
  <si>
    <r>
      <rPr>
        <rFont val="Arial"/>
        <color rgb="FF000000"/>
        <sz val="10.0"/>
      </rPr>
      <t xml:space="preserve">Júnio: PP - ela precisa consertar todo o trabalho, pois fez voltado para o curso de neuropsicopedagogia, deverá corrigir informações na capa, providenciar uma nova carta de apresentação e responder o questionário na plataforma. </t>
    </r>
    <r>
      <rPr>
        <rFont val="Arial"/>
        <color rgb="FF000000"/>
        <sz val="10.0"/>
      </rPr>
      <t>PRAZO: 21/10/23 /</t>
    </r>
    <r>
      <rPr>
        <rFont val="Arial"/>
        <color rgb="FF000000"/>
        <sz val="10.0"/>
      </rPr>
      <t>/Júnio: aprovada: 03/11/2023</t>
    </r>
  </si>
  <si>
    <t>Maria Tereza Moraes Campos</t>
  </si>
  <si>
    <t>Financeiro não localizado.</t>
  </si>
  <si>
    <t>Grasiela Körner de Souza</t>
  </si>
  <si>
    <t>Quitada, iniciou em 26/10/2023 expira em 26/02/2025</t>
  </si>
  <si>
    <t>PPs aprovadas 18/09</t>
  </si>
  <si>
    <t>Segunda Licenciatura em Letras Inglês 760 Horas</t>
  </si>
  <si>
    <t>Quitada, expirada em 29/09/2024</t>
  </si>
  <si>
    <t>PPS Aprovadas</t>
  </si>
  <si>
    <t>Encaminhada para certificação -Mariana - 15/02</t>
  </si>
  <si>
    <t>Kauana Alves Oliveira</t>
  </si>
  <si>
    <t>101.164.049-06</t>
  </si>
  <si>
    <t>Iniciou em 08/03/2024 e expira dia 08/07/2025 curso quitado</t>
  </si>
  <si>
    <t>José idalecio de Sousa galvao</t>
  </si>
  <si>
    <t>FORMAÇÃO PEDAGÓGICA EM HISTÓRIA - 116M</t>
  </si>
  <si>
    <t>Quitada, iniciou em 21/10/2022 e expirou em 21/10/2023- Contratou extensão por 3 meses expirando agora em 03/03/2025</t>
  </si>
  <si>
    <t>Ivanildo Batista Correa Junior</t>
  </si>
  <si>
    <t>PÓS-GRADUAÇÃO EM ENSINO DE HISTÓRIA E GEOGRAFIA</t>
  </si>
  <si>
    <t>Aluna em dia, ainda tem para pagar 6 parcelas do curso. Iniciou em 10/09/2024 e expira em 10/01/2025</t>
  </si>
  <si>
    <t>Marcelo Augusto da Silva Evangelista</t>
  </si>
  <si>
    <t>Pós-Graduação em Educação Especial</t>
  </si>
  <si>
    <t>06/11/2024 Aprovado</t>
  </si>
  <si>
    <t>Mediana, Atualizado em Abril</t>
  </si>
  <si>
    <t>Pabline de Sales Santos Oliveira</t>
  </si>
  <si>
    <t>Início: 15/04/2024 Situação: Em dia Pagou: 12 de 16 parcelas Parcelou o curso em 15 vezes de R$ 129,90 + 1 parcela de  R$ 123,45(Boleto referente ao acordo de pagamento da parcela vencida)  Total a ser pago: R$ 2.071,95 Expira em: 15/08/2025</t>
  </si>
  <si>
    <t>Documento incompleto</t>
  </si>
  <si>
    <t>Josué De Oliveira Melo</t>
  </si>
  <si>
    <t>Qual o curso do aluno? Ass: Dani Tovar</t>
  </si>
  <si>
    <t>Qual o curso do aluno?</t>
  </si>
  <si>
    <t>Marines Paifer Martins</t>
  </si>
  <si>
    <t>Quitada, iniciou em 26/12/2022 e expirou em 26/12/2023</t>
  </si>
  <si>
    <t>José Antonio de Moura varão Albuquerque</t>
  </si>
  <si>
    <t>Segunda licenciatura em matemática</t>
  </si>
  <si>
    <t>Iniciou em 06/02/2023 e expirou em 06/06/2024. Foi parcelado em 16 vezes, porém efetuou pagamento de apenas 5 parcelas.</t>
  </si>
  <si>
    <t>Aluno não localizado em nossas plataformas de estudos</t>
  </si>
  <si>
    <t>Marcelo Pereira do Nascimento</t>
  </si>
  <si>
    <t>Quitado, ativo até 25-03-2025</t>
  </si>
  <si>
    <t>Aprovado 15/01/2025</t>
  </si>
  <si>
    <t>Joel Darlan Demarchi</t>
  </si>
  <si>
    <t>Quitado, iniciou em 02/06/2023 e expirou em 02/10/2024</t>
  </si>
  <si>
    <t>Documentação regularizada</t>
  </si>
  <si>
    <t>Maxwell Alves Rodrigues</t>
  </si>
  <si>
    <t>Não localizadas</t>
  </si>
  <si>
    <t>Evanilde de Sousa Lima</t>
  </si>
  <si>
    <t>Segunda licenciatura em história</t>
  </si>
  <si>
    <t>Aprovada 17/01</t>
  </si>
  <si>
    <t>Urgente, Processo de certificação</t>
  </si>
  <si>
    <t>Aluna curso Pós graduação em neuropsicologia quitado</t>
  </si>
  <si>
    <t>Encaminhada para Miguel 31/1/2025</t>
  </si>
  <si>
    <t>Amauri José do Nascimento</t>
  </si>
  <si>
    <t>PÓS-GRADUAÇÃO EM NUTRIÇÃO ESPORTIVA</t>
  </si>
  <si>
    <t>Financeiro não localizado, aluno pagou por um curso à vista esta pós deve ter sido de brinde</t>
  </si>
  <si>
    <t>Rosemara dos Santos Fermino</t>
  </si>
  <si>
    <t>Quitada, iniciou em 28/07/2022 e expirou em 28/07/2023- Contratou extensão por 3 meses expirando em 30/06/2024</t>
  </si>
  <si>
    <t>Liberada 16/01</t>
  </si>
  <si>
    <t>Tatiane Freitas da Silva</t>
  </si>
  <si>
    <t>Segunda Licenciatura Em Educação Especial</t>
  </si>
  <si>
    <t>Quitada, iniciou em 13/12/2022 e expirou em 13/12/2023</t>
  </si>
  <si>
    <t>Aprovada 16/01/2024</t>
  </si>
  <si>
    <t>Mayara de Souza Silva</t>
  </si>
  <si>
    <t>Quitada, expira em 23/11/2025</t>
  </si>
  <si>
    <t>Francineide Costa de Oliveira</t>
  </si>
  <si>
    <t>697.577.471-49</t>
  </si>
  <si>
    <t xml:space="preserve"> Quitado, iniciou em 28/06/2024 expira 28/10/2025</t>
  </si>
  <si>
    <t>Guilherme Martinez Freire</t>
  </si>
  <si>
    <t>Quitado, iniciou em 15/06/2023 expirou em 15/10/2024.</t>
  </si>
  <si>
    <t>Kaina Weiber Waisberg</t>
  </si>
  <si>
    <t>Pós-Graduação em Tecnologias Educacionais</t>
  </si>
  <si>
    <t>Quitada, iniciou em 28/11/2023 e expirou em 28/03/2025.</t>
  </si>
  <si>
    <t>Aluna aprovada em todas as disciplinas</t>
  </si>
  <si>
    <t>iniciou dia 28/11/2023 e expirou em 28/03/2025. Contratou uma extensão em 02/08/2024 por 3 meses e expira dia 28/06/2025.</t>
  </si>
  <si>
    <t>Pós - graduação Psicanálise</t>
  </si>
  <si>
    <t>Aluna pagou um curso à vista, o mesmo se encontra sem descrição. Essa pós ela deve ter ganhado de brinde</t>
  </si>
  <si>
    <t>Nilton José de Souza</t>
  </si>
  <si>
    <t>PÓS-GRADUAÇÃO EM NEUROPSICANÁLISE</t>
  </si>
  <si>
    <t>Quitada, iniciou em 26/10/2024 e expira em 26/02/2025</t>
  </si>
  <si>
    <t>Marcos Silva Lima</t>
  </si>
  <si>
    <t>Quitado, iniciou em 10/06/2023 10/10/2024</t>
  </si>
  <si>
    <t>Falta Título de eleitor e quitação eleitoral</t>
  </si>
  <si>
    <t>Lucas de Campos Silva</t>
  </si>
  <si>
    <t>Diplomação por Competência Pedagogia</t>
  </si>
  <si>
    <t>aluno novo, em dia com o pagamento, efetuou somente a matrícula e iniciou suas atividades em 28/12/2024. expira em 28/04/2026.</t>
  </si>
  <si>
    <t>Prática Aprovada 17/01</t>
  </si>
  <si>
    <t>Sebastião Sousa Pereira</t>
  </si>
  <si>
    <t>PÓS-GRADUAÇÃO EM ATENDIMENTO EDUCACIONAL ESPECIALIZADO ÊNFASE EM EDUCAÇÃO ESPECIAL E INCLUSIVA</t>
  </si>
  <si>
    <t>Gabriel Pigosso Ribeiro</t>
  </si>
  <si>
    <t>Quitada, iniciou em 20/09/2023 e expira em 20/01/2025</t>
  </si>
  <si>
    <t>PPs Aprovada</t>
  </si>
  <si>
    <t>Rosangela Aparecida da Silva (Aluna antiga, vai certificar?)</t>
  </si>
  <si>
    <t>Localizamos um financeiro, foi pago à vista. - Iniciou em 10/07/2023 e expirou em 10/01/2025- Delegar ao financeiro</t>
  </si>
  <si>
    <t>Não localizada nas nossas plataformas de estudos</t>
  </si>
  <si>
    <t>Rita de Cassia Bertoldo Vendite</t>
  </si>
  <si>
    <t>Quitada, iniciou em 17/05/2023 expirou em 17/09/2024</t>
  </si>
  <si>
    <t>Deve reenviar o diploma de ensino médio</t>
  </si>
  <si>
    <t>Gesiane Silva Damacena</t>
  </si>
  <si>
    <t>005.958.202-20</t>
  </si>
  <si>
    <t>Iniciou em 18/09/2023 e expirou em 18/02/2025, curso quitado. Contratou uma extensão de um mês em 30/01/2025 e expirou em 30/02/2025</t>
  </si>
  <si>
    <t xml:space="preserve">Encaminhado para Tais </t>
  </si>
  <si>
    <t>Roziane Barreto dos Santos Távora</t>
  </si>
  <si>
    <t>Quitada, iniciou em 29/01/2024 e expirou em 29/05/2025</t>
  </si>
  <si>
    <t>Aprovada em 18/12/24</t>
  </si>
  <si>
    <t>Leandro Maia Ribeiro dos Santos</t>
  </si>
  <si>
    <t>Quitada, iniciou em 13/01/2024 e expirou em 13/05/2025</t>
  </si>
  <si>
    <t>Liberado 16/01</t>
  </si>
  <si>
    <t>Pós-graduação em Serviço Social</t>
  </si>
  <si>
    <t>Aluno ainda tem 7 disciplinas para finalizar</t>
  </si>
  <si>
    <t>Marcos Luiz clemente</t>
  </si>
  <si>
    <t>Quitada, iniciou em 07/07/2023 e expirou em 07/01/2025</t>
  </si>
  <si>
    <t>não foi encontrada as PPs</t>
  </si>
  <si>
    <t>Santiago dos Santos Santarém</t>
  </si>
  <si>
    <t>Quitado, iniciou em 21/09/2024, expira em 21/01/2026</t>
  </si>
  <si>
    <t>Aprovada 13/01</t>
  </si>
  <si>
    <t>Fabiola Manuela Simões de alcântara</t>
  </si>
  <si>
    <t>Aluna em dia, ainda tem 4 parcelas a serem pagas. Iniciou em 30/03/2024 expira em 30/07/2025</t>
  </si>
  <si>
    <t>Aprovada em 08/01/25</t>
  </si>
  <si>
    <t>Não localizada</t>
  </si>
  <si>
    <t>Lisandra de Oliveira Santana</t>
  </si>
  <si>
    <t>Pós-graduação Neuropsicopedagogia institucional, clínica e hospitalar</t>
  </si>
  <si>
    <t>Quitada, iniciou em 12/04/2021 expirou em 12/04/2024 contratou extensão por 3 meses expirando em 11/01/2025</t>
  </si>
  <si>
    <t>Gabriela Conceição Santos</t>
  </si>
  <si>
    <t>Pós-graduação em Sexologia</t>
  </si>
  <si>
    <t>Quitada, iniciou em 03/10/2022 e expirou em 03/10/2023- Contratou extensão por 1 mês e expirou em 04/10/2024</t>
  </si>
  <si>
    <t>Eni Alves Pereira</t>
  </si>
  <si>
    <t>Matemática</t>
  </si>
  <si>
    <t>Quitada, iniciou em 20/10/2021 e expirou em 20/10/2022- Contratou extensão por 3 meses e expirou em 20/01/2023</t>
  </si>
  <si>
    <t>Aluna da chamilo</t>
  </si>
  <si>
    <t>pós de metodologia de ensino de matemática e física</t>
  </si>
  <si>
    <t>Financeiro não localizado, mas a pós deve ser da mesma data que o outro curso</t>
  </si>
  <si>
    <t>Luana Benaia Flora Matos Hangui</t>
  </si>
  <si>
    <t>Quitada, 05-02-2025</t>
  </si>
  <si>
    <t>TCC pré aprovada, falta regularizar documentação.</t>
  </si>
  <si>
    <t>Debora Helena Moreira da Silva</t>
  </si>
  <si>
    <t>Quitada, iniciou em 24/01/2023 e expirou em 24/05/2024</t>
  </si>
  <si>
    <t>ythr Render Feitosa Sobrinho</t>
  </si>
  <si>
    <t>Quitada, iniciou em 24/09/2023 e expirou em 24/01/2025</t>
  </si>
  <si>
    <t>Luciana Borges de Almeida Lopes</t>
  </si>
  <si>
    <t>Formação Livre TDAH – Transtorno do Déficit de Atenção e Hiperatividade</t>
  </si>
  <si>
    <t>Financeiro não localizado, delegar ao financeiro para investigar mais a fundo</t>
  </si>
  <si>
    <t>Não localizados</t>
  </si>
  <si>
    <t>Patrice Surrage Bueno Pires Candido</t>
  </si>
  <si>
    <t>Quitada, iniciou em 04/05/2023 e expirou em 05/09/2024</t>
  </si>
  <si>
    <t>Aprovado em 10/07/2024</t>
  </si>
  <si>
    <t>Delegar ao financeiro para localizar o financeiro</t>
  </si>
  <si>
    <t>Rafaella Moreira de Lima</t>
  </si>
  <si>
    <t>Segunda Licenciatura História</t>
  </si>
  <si>
    <t>Quitado, iniciou em 24/08/2024 e expira em 24/12/2024</t>
  </si>
  <si>
    <t xml:space="preserve">Ainda precisa concluir 1 disciplina </t>
  </si>
  <si>
    <t>Segunda Licenciatura Geografia</t>
  </si>
  <si>
    <t>Quitado, iniciou em 23/08/2024 e expira em 23/12/2024</t>
  </si>
  <si>
    <t>Aluno ainda tem duas disciplinas para cursar</t>
  </si>
  <si>
    <t>Everson Gomes de Oliveira</t>
  </si>
  <si>
    <t>PÓS-GRADUAÇÃO EM PSICANÁLISE</t>
  </si>
  <si>
    <t>Financeiro não localizado, o mais provável é que tenha ganhado de brinde após pagar um curso à vista</t>
  </si>
  <si>
    <t>Aluno ainda precisa finalizar 3 disciplinas</t>
  </si>
  <si>
    <t>Ana Paula Di Pace Menezes</t>
  </si>
  <si>
    <t>Quitada, iniciou em 25/09/2023 expira em 25/01/2025</t>
  </si>
  <si>
    <t>Financeiro não localizado, o mais provável é que tenha ganhado de brinde após pagar uma pós à vista</t>
  </si>
  <si>
    <t>Katia regina generoso cotta</t>
  </si>
  <si>
    <t>002.561.816-40</t>
  </si>
  <si>
    <t xml:space="preserve">Quitada, iniciou em 20/06/2023 e expirou em 20/10/2024 Foi isenta da extensão e tem ate o dia 20/05/2025 </t>
  </si>
  <si>
    <t>Patrícia Maria da Silva Soares</t>
  </si>
  <si>
    <t>022.290.624-33</t>
  </si>
  <si>
    <t>Segunda licenciatura de Pedagogia</t>
  </si>
  <si>
    <t>Quitada, Iniciou o curso em 30/06/2021 e, em 05/01/2023, contratou uma extensão de 4 meses, que expirou em 05/04/2023.</t>
  </si>
  <si>
    <t>Entregue e deferida - Drive</t>
  </si>
  <si>
    <t>Encaminhada para Mariana 11/02/25</t>
  </si>
  <si>
    <t>Reila Regia da Silva</t>
  </si>
  <si>
    <t>Música</t>
  </si>
  <si>
    <t>Quitada, iniciou em 30/01/2023 expirou em 30/05/2024</t>
  </si>
  <si>
    <t>PPs aprovadas</t>
  </si>
  <si>
    <t>Robson Prati Neves de Oliveira</t>
  </si>
  <si>
    <t xml:space="preserve">Financeiro não localizado, delegar ao financeiro para investigar mais a fundo </t>
  </si>
  <si>
    <t>TCC aprovado em 17/01/25</t>
  </si>
  <si>
    <t xml:space="preserve">Vanessa Angulo Barros </t>
  </si>
  <si>
    <t>Quitada, iniciou em 13/09/2021 expirou em 13/09/2022-Contratou extensão do curso de Pedagogia iniciando na data 24/01/2023 á 24/04/2023.</t>
  </si>
  <si>
    <t>Quitada, iniciou em 10/10/2020 e expirou em 10/10/2021- Contratou extensão por 1 mês e expirou em 30/08/2024</t>
  </si>
  <si>
    <t>#FPEEF- Formação Pedagógica Educação Física</t>
  </si>
  <si>
    <t>Quitado, iniciou em 15/06/2023 e expirou em 15/10/2024</t>
  </si>
  <si>
    <t>Magna Gomes dos Santo</t>
  </si>
  <si>
    <t>Formação Pedagógica em Ciências Sociais</t>
  </si>
  <si>
    <t>Aluna quitada Início: 08-05-2023 Expirou em : 08-05-2024</t>
  </si>
  <si>
    <t>Aprovada em 15/07/24</t>
  </si>
  <si>
    <t>Eunice Rodrigues Moreira</t>
  </si>
  <si>
    <t>Psicopedagogia Clínica e Institucional</t>
  </si>
  <si>
    <t>Quitada, iniciou em 01/11/2021 e expirou em 01/11/2022- Contratou extensão por 3 meses e expirou em 31/01/2024</t>
  </si>
  <si>
    <t>ANGELA MARIA DA SILVA BARROS</t>
  </si>
  <si>
    <t>SEXOLOGIA</t>
  </si>
  <si>
    <t>Quitada, iniciou em 27/12/2022 e expirou em 27/12/2023</t>
  </si>
  <si>
    <t>PSICANÁLISE</t>
  </si>
  <si>
    <t>Fernanda Gomes dos Santos</t>
  </si>
  <si>
    <t>Quitada, iniciou em 10/09/2023 e expirou em 10/01/2025</t>
  </si>
  <si>
    <t>Antonio César Nunes de Oliveira</t>
  </si>
  <si>
    <t>Segunda licenciatura em Matemática</t>
  </si>
  <si>
    <t>Quitada, iniciou em 15/02/2021 expirou em 15/02/2022-Contratou extensão por duas oportunidades e a última expirou em 12/09/2023</t>
  </si>
  <si>
    <t>Tais: TCC pré aprovado, falta analise</t>
  </si>
  <si>
    <t>Vagner Chaves Tonon</t>
  </si>
  <si>
    <t>Pós-Graduação em Engenharia Logística</t>
  </si>
  <si>
    <t>Quitada, iniciou em 12/07/2021 e expirou em 12/07/2022</t>
  </si>
  <si>
    <t>Segunda licenciatura Espanhol</t>
  </si>
  <si>
    <t>Quitado, iniciou em 27/12/2024 e expira em 21/03/2025</t>
  </si>
  <si>
    <t>Quitado, iniciou em 06/11/2023 e expirou em 06/04/2024</t>
  </si>
  <si>
    <t xml:space="preserve">Aprovado em Franciele - 14/01/25 11:59:01
</t>
  </si>
  <si>
    <t>Alex Faria dos Santos</t>
  </si>
  <si>
    <t>Wilson Alexandre dos Santos</t>
  </si>
  <si>
    <t xml:space="preserve">501.769.601-63	</t>
  </si>
  <si>
    <t>Quitado, iniciou em 06/11/2023 e irá expirar em 06/03/2025</t>
  </si>
  <si>
    <t>Adilson Faria dos Santos</t>
  </si>
  <si>
    <t>Quitado, iniciou em 17/11/2023 e expirou em 17/04/2024</t>
  </si>
  <si>
    <t>Ailton Farias dos Santos</t>
  </si>
  <si>
    <t>Quitado, iniciou em 22/11/2023 e expirou em 22/04/2024</t>
  </si>
  <si>
    <t>Marcelo Leandro Pereira Lopes</t>
  </si>
  <si>
    <t>Quitado, iniciou em 07/10/2023 expirou em 07/02/2024</t>
  </si>
  <si>
    <t>PPs aprovadas / Franciele - 08/01/25 13:01:10</t>
  </si>
  <si>
    <t>Vanessa Machado de Sousa de Lima</t>
  </si>
  <si>
    <t>SEGUNDA LICENCIATURA EM PEDAGOGIA</t>
  </si>
  <si>
    <t>Delegar ao financeiro para entender melhor o financeiro.</t>
  </si>
  <si>
    <t>Encaminhado para Camila 7/2/25 / Encaminhado para tutoria 14/2</t>
  </si>
  <si>
    <t>FORMAÇÃO PEDAGÓGICA EM ARTES VISUAIS - 2024</t>
  </si>
  <si>
    <t>Quitada, iniciou em 25/03/2024 e expira em 25/06/2025</t>
  </si>
  <si>
    <t>Nâo localizadas</t>
  </si>
  <si>
    <t>Leticia Trambini Correa</t>
  </si>
  <si>
    <t>Segunda Licenciatura em Música</t>
  </si>
  <si>
    <t>Quitada, iniciou em 03/07/2023 e expirou em 07/11/2024</t>
  </si>
  <si>
    <t>Seu trabalho foi analisado e encontra-se aprovado.</t>
  </si>
  <si>
    <t>Quitado, iniciou em 22/09/2022 expirou em 22/09/2023</t>
  </si>
  <si>
    <t>Aluno não localizado nas plataformas de estudos</t>
  </si>
  <si>
    <t>Rainatinen Kely de Oliveira Neves</t>
  </si>
  <si>
    <t>Segunda licenciatura em letras/ inglês</t>
  </si>
  <si>
    <t>Quitada, iniciou em 17/05/2024 e expira em 17/09/2025</t>
  </si>
  <si>
    <t>Caso tenha dúvidas ou necessite de novos esclarecimentos, estamos à disposição.</t>
  </si>
  <si>
    <t>043.800.247-41</t>
  </si>
  <si>
    <t>Quitado, iniciou em 17/10/2022 e expirou em 17/02/2024- Contratou extensão por 1 mês e expirou em 30/10/2024</t>
  </si>
  <si>
    <t>Lilian Cristina de Oliveira</t>
  </si>
  <si>
    <t>Quitada, iniciou em 27/12/2021 e expirou em 27/12/2022</t>
  </si>
  <si>
    <t>não necessita</t>
  </si>
  <si>
    <t>Jonas Miguel Destro</t>
  </si>
  <si>
    <t>Pós-Graduação em Análise de Comportamento Aplicada ao Autismo-ABA Com Habilitação em Docência no Ensino Superior</t>
  </si>
  <si>
    <t>Início 28/08/2023 Expirou em 28/12/2024</t>
  </si>
  <si>
    <t>Não finalizou nenhuma disciplina na simple</t>
  </si>
  <si>
    <t>Elton Souza Costa</t>
  </si>
  <si>
    <t>Quitado, iniciou em 16/09/2022 e expirou em 16/09/2023- Contratou ativação do curso por 1 mês e expirou em 08/09/2024</t>
  </si>
  <si>
    <t>Falta envio da PPI</t>
  </si>
  <si>
    <t>Danielly Sousa Campelo</t>
  </si>
  <si>
    <t>Quitada, iniciou em 27/04/2023 e expirou em 27/08/2024- Contratou um mês de extensão e expirou em 14/02/2025</t>
  </si>
  <si>
    <t xml:space="preserve">Não enviou </t>
  </si>
  <si>
    <t>Marlene Barbosa Lima</t>
  </si>
  <si>
    <t>Aluna já foi liberada para certificação.</t>
  </si>
  <si>
    <t>Quitada, iniciou em 04/08/2023 e expirou em 03/12/2024</t>
  </si>
  <si>
    <t>Aliny da Silva Bento</t>
  </si>
  <si>
    <t xml:space="preserve">Segunda Licenciatura em Geografia </t>
  </si>
  <si>
    <t>Iniciou dia 06/09/2024 expira 06/01/2026 curso quitado</t>
  </si>
  <si>
    <t>Aluno não finalizou todas as disciplinas</t>
  </si>
  <si>
    <t>Falta Plataforma, Falta Documentação</t>
  </si>
  <si>
    <t>Mauricio Aires Vieira</t>
  </si>
  <si>
    <t>907.142.530-49</t>
  </si>
  <si>
    <t>Pós-Graduação Docência do Ensino Superior, Gestão e Tutoria EAD</t>
  </si>
  <si>
    <t>Pelo que eu analisei esta pós é de brinde do curso de pedagogia mas esta expirada visto o curso tambem esta!</t>
  </si>
  <si>
    <t>Aluno não finalizou nenhuma disciplina</t>
  </si>
  <si>
    <t>Formação Pedagógica em Pedagogia R2</t>
  </si>
  <si>
    <t>Iniciou dia 12/12/2020 e expirou em 12/04/2021 curso quitado, contratou uma extensão de 3 meses dia 21/02/2024  e expirou em 21/05/2024</t>
  </si>
  <si>
    <t>Aluno pagou a vista no cartão de crédito início 18/09/2023 e o curso expirou dia 18/01/2025</t>
  </si>
  <si>
    <t>Antônio Carlos de Jesus</t>
  </si>
  <si>
    <t>Formação em Psicanálise</t>
  </si>
  <si>
    <t>Aluno devendo 1 mensalidade de 12( Dia 14/10/2024) início dia 28/11/2023 expira dia 28/03/2025</t>
  </si>
  <si>
    <t>Mediana, Análise Concluída, Aluno certificado</t>
  </si>
  <si>
    <t>Elionete Maria Regina Souza Rezende</t>
  </si>
  <si>
    <t>026.276.586-11</t>
  </si>
  <si>
    <t>Quitado, porém expirada</t>
  </si>
  <si>
    <t>Mariana informou que ela está em processo de certificação. 17/2</t>
  </si>
  <si>
    <t>Juliana Pacheco Ferreira Sousa</t>
  </si>
  <si>
    <t>Pós Alfabetização e Letramento</t>
  </si>
  <si>
    <t>Aluna iniciou dia 01/07/2020 e expirou dia 26/06/2022 (Contratou extensão por 2 meses)</t>
  </si>
  <si>
    <t>Magda Coelho da Silva</t>
  </si>
  <si>
    <t>Pós-Graduação em Psicomotricidade</t>
  </si>
  <si>
    <t>Rosimeire Aparecida Martin Rosa</t>
  </si>
  <si>
    <t>Pós-Graduação em Neuropsicologia Clínica</t>
  </si>
  <si>
    <t>Aluna está quitada 15/08/2023 e expirou dia 15/12/2024</t>
  </si>
  <si>
    <t>Jailton Galdino dos Santos</t>
  </si>
  <si>
    <t>108.416.164-85</t>
  </si>
  <si>
    <t>Aluno quitado contratou o curso dia 23/08/2023 expirou dia 23/12/2024</t>
  </si>
  <si>
    <t xml:space="preserve">Aprovado Rayssa Caroline Santos Guimarães - 29/10/24 10:15:56
</t>
  </si>
  <si>
    <t>Maria Helena Alves Ramos</t>
  </si>
  <si>
    <t>681.809.426-00</t>
  </si>
  <si>
    <t xml:space="preserve">Segunda Licenciatura por Música </t>
  </si>
  <si>
    <t>Foi solicitada correções ao aluno</t>
  </si>
  <si>
    <t>Encaminhado para Miguel para verfiicar financeiro</t>
  </si>
  <si>
    <t>Thainara Ribeiro dos Santos</t>
  </si>
  <si>
    <t>PÓS-GRADUAÇÃO EM PSICOPEDAGOGIA E EDUCAÇÃO ESPECIAL</t>
  </si>
  <si>
    <t>Solicitado documentos via chat 31/1/25/ Reforçado 13/2</t>
  </si>
  <si>
    <t>Encaminhada para Miguel 13/2</t>
  </si>
  <si>
    <t>Leandro Roberto de Morais</t>
  </si>
  <si>
    <t>Pós-graduação em Gestão Escolar Integradora com Ênfase em Supervisão, Orientação, Administração e Inspeção</t>
  </si>
  <si>
    <t>FORMAÇÃO PEDAGÓGICA ARTES VISUAIS</t>
  </si>
  <si>
    <t>José Arthur carneiro da costa</t>
  </si>
  <si>
    <t>126.551.137-30</t>
  </si>
  <si>
    <t>Início dia 22/09/2023 expirou dia 22/01/2024 curso quitado</t>
  </si>
  <si>
    <t>Tiago Silvio Dedoné</t>
  </si>
  <si>
    <t>935.445.539-53</t>
  </si>
  <si>
    <t>Segunda licenciatura em Geografia</t>
  </si>
  <si>
    <t>Iniciou dia 22/09/2023 e expirou no dia 22/01/2024 Curso quitado</t>
  </si>
  <si>
    <t>Aprovado 14/02/2025</t>
  </si>
  <si>
    <t>Segunda licenciatura em História</t>
  </si>
  <si>
    <t>Franciany de Lima Alves</t>
  </si>
  <si>
    <t>328.170.548-06</t>
  </si>
  <si>
    <t>Iniciou dia 30/07/2024 expira dia 30/11/2025 curso quitado</t>
  </si>
  <si>
    <t>Valdineia Rosa de Oliveira</t>
  </si>
  <si>
    <t>857.607.061-87</t>
  </si>
  <si>
    <t>Fabiola Manoela Simões de alcantara</t>
  </si>
  <si>
    <t xml:space="preserve">Aprovada Franciele - 08/01/25 13:58:14
</t>
  </si>
  <si>
    <t>Elizete Soares de Jesus Lima</t>
  </si>
  <si>
    <t>052.750.926-44</t>
  </si>
  <si>
    <t>Segunda Licenciatura em Educação Física</t>
  </si>
  <si>
    <t>iniciou em 18/04/2023 expirou dia 18/08/2024 curso quitado contratou extensão por um mês e expira em 24/02/2025</t>
  </si>
  <si>
    <t>Aprovada em 03/02/25</t>
  </si>
  <si>
    <t>Jonathan Firmino dos Santos</t>
  </si>
  <si>
    <t>000.808.821-70</t>
  </si>
  <si>
    <t>Segunda Licenciatura Educação Física 1200 Horas</t>
  </si>
  <si>
    <t>Iniciou o curso dia 10/06/2021 e expirou dia 10/12/2022 curso quitado,contratou uma extensão no dia 17/12/2024 e terá até o dia 17/02/2025</t>
  </si>
  <si>
    <t xml:space="preserve">Aprovado Tais - 07/02/25 09:21:12
</t>
  </si>
  <si>
    <t>Fábio José Reis da Silva</t>
  </si>
  <si>
    <t>986.076.505-72</t>
  </si>
  <si>
    <t>Início dia 14/02/2024 e vai expirar dia 14/06/2025 curso quitado no cartão de crédito</t>
  </si>
  <si>
    <t>Não necessita.</t>
  </si>
  <si>
    <t>Samuel Domingues Silva</t>
  </si>
  <si>
    <t>130.312.836-51</t>
  </si>
  <si>
    <t>Música - Diplomação por competência</t>
  </si>
  <si>
    <t>Sergio de Nazaré Rodrigues Lima Júnior</t>
  </si>
  <si>
    <t>898.527.702-25</t>
  </si>
  <si>
    <t>Monique Torres Manfroni</t>
  </si>
  <si>
    <t>381.887.438-79</t>
  </si>
  <si>
    <t>Formação Livre em Sexologia</t>
  </si>
  <si>
    <t>Ana Lucia Moreto</t>
  </si>
  <si>
    <t>001.701.247-38</t>
  </si>
  <si>
    <t>Pós-Graduação em Educação Física Escolar</t>
  </si>
  <si>
    <t>Aluna encaminhou somente comprovante de votação é preciso que encaminhe a quitação eleitoral</t>
  </si>
  <si>
    <t>Monique Ribeiro dos Santos</t>
  </si>
  <si>
    <t>805.513.002-72</t>
  </si>
  <si>
    <t>Segunda Licenciatura em Letras Português-Inglês</t>
  </si>
  <si>
    <t>Iniciou em 13/07/2023 e expirou em 13/11/2024 curso quitado</t>
  </si>
  <si>
    <t xml:space="preserve">Entregue e Deferido </t>
  </si>
  <si>
    <t>Felipe Reis Rodrigues</t>
  </si>
  <si>
    <t>098.677.516-98</t>
  </si>
  <si>
    <t>Formação Pedagógica em Música - 1200 horas</t>
  </si>
  <si>
    <t>Quitado, iniciou em 10/01/2024 expira em 10/05/2025.</t>
  </si>
  <si>
    <t>João Batista Fontenele Veras</t>
  </si>
  <si>
    <t>873.070.063-91</t>
  </si>
  <si>
    <t xml:space="preserve"> SEGUNDA LICENCIATURA EM MÚSICA </t>
  </si>
  <si>
    <t>Início dia 10/04/2024 e vai expirar dia 10//08/2025 curso quitado</t>
  </si>
  <si>
    <t>035.312.131-21</t>
  </si>
  <si>
    <t xml:space="preserve">Adilson Faria dos Santos </t>
  </si>
  <si>
    <t>975.616.301-15</t>
  </si>
  <si>
    <t>Denyse Cruz de Oliveira</t>
  </si>
  <si>
    <t>024.466.872-88</t>
  </si>
  <si>
    <t xml:space="preserve">Pós-graduação Em Direito Tributário E Processual Tributário - 98m </t>
  </si>
  <si>
    <t xml:space="preserve">Pós-graduação Em Direito Empresarial - 101m </t>
  </si>
  <si>
    <t>Carla Lopes da Silva Vieira</t>
  </si>
  <si>
    <t>055.153.396-06</t>
  </si>
  <si>
    <t xml:space="preserve"> Formação pedagógica em pedagogia</t>
  </si>
  <si>
    <t>Iniciou dia 23/05/2022 e expirou em 23/09/2023 curso quitado</t>
  </si>
  <si>
    <t>Nenhum documento enviado</t>
  </si>
  <si>
    <t xml:space="preserve">Aluna sem plataforma </t>
  </si>
  <si>
    <t>Samara Soares Fernandes</t>
  </si>
  <si>
    <t xml:space="preserve">	370.294.788-43</t>
  </si>
  <si>
    <t>#SLUPE- Segunda Licenciatura em Letras – Português e Espanhol</t>
  </si>
  <si>
    <t>Solicitado documentação correta via chat 7/2/25 / reforçado solicitação de documentos 11/02/2025</t>
  </si>
  <si>
    <t>Allanis Gluck Thomaz Franzini</t>
  </si>
  <si>
    <t>123.408.389-24</t>
  </si>
  <si>
    <t xml:space="preserve">Segunda Licenciatura em Música </t>
  </si>
  <si>
    <t>Início dia 07/02/2024 e vai expirar dia 07/06/2025 curso quitado</t>
  </si>
  <si>
    <t>Encaminhado para Débora - 18/2/25</t>
  </si>
  <si>
    <t>Maria da Paz Silva</t>
  </si>
  <si>
    <t>075.560.014-23</t>
  </si>
  <si>
    <t xml:space="preserve">Em dia, iniciou em 31/07/2024 e expira em 31/11/2025.
</t>
  </si>
  <si>
    <t>Soliciados via chat 31/1/ Reforçado solicitação 10/2 -14/02</t>
  </si>
  <si>
    <t>Resta concluir algumas disciplinas</t>
  </si>
  <si>
    <t>Não encaminhou as praticas pedgogicas</t>
  </si>
  <si>
    <t>Claudenir cordeiro de lima</t>
  </si>
  <si>
    <t>109.693.004-84</t>
  </si>
  <si>
    <t>Gestão Pública</t>
  </si>
  <si>
    <t>111.612.086-07</t>
  </si>
  <si>
    <t>Segunda licenciatura em Pedagogia</t>
  </si>
  <si>
    <t>Início dia 29/02/2024 expira dia 29/06/2025 curso quitado pago no pix!</t>
  </si>
  <si>
    <t>Segunda licenciatura em Educação especial</t>
  </si>
  <si>
    <t>Início dia 09/11/2023 e expirou dia  09/03/2024 curso quitado pago no pix!</t>
  </si>
  <si>
    <t>Início dia 24/08/2024 e expira dia 24/12/2025 curso quitado pago no pix!</t>
  </si>
  <si>
    <t>Maria Tereza de Moraes Campos</t>
  </si>
  <si>
    <t>669.308.557-15</t>
  </si>
  <si>
    <t>Gabriel Ortiz Hübner</t>
  </si>
  <si>
    <t>013.137.450-81</t>
  </si>
  <si>
    <t>Formação pedagógica em Geografia</t>
  </si>
  <si>
    <t xml:space="preserve">Iniciou dia 13/10/2023 e expira dia 13/02/2025 curso quitado! </t>
  </si>
  <si>
    <t>Marivaldo jose do nascimento</t>
  </si>
  <si>
    <t>048.253.794-94</t>
  </si>
  <si>
    <t xml:space="preserve"> Iniciou dia 09/10/2023 expirou dia 09/02/2025 Aluno falta pagar 4 parcelas!</t>
  </si>
  <si>
    <t>Foi solicitado correções ao aluno</t>
  </si>
  <si>
    <t>Jean Carlos Triches</t>
  </si>
  <si>
    <t>009.112.770-05</t>
  </si>
  <si>
    <t>Dineia Braga da Silva</t>
  </si>
  <si>
    <t>000.323.341-33</t>
  </si>
  <si>
    <t>Segunda Licenciatura em Música 1320Horas</t>
  </si>
  <si>
    <t>Iniciou em 14/08/2023 e expirou em 30/01/2025 curso quitado</t>
  </si>
  <si>
    <t>Alexandre Felizardo da Cruz</t>
  </si>
  <si>
    <t>213.445.508-00</t>
  </si>
  <si>
    <t>Segunda Licenciatura em Pedagogia (Simple)</t>
  </si>
  <si>
    <t>Pós-Graduação Neuropsicopedagogia (Gringa)</t>
  </si>
  <si>
    <t>642.024.103-00</t>
  </si>
  <si>
    <t>PÓS-GRADUAÇÃO EM ALFABETIZAÇÃO E LETRAMENTO</t>
  </si>
  <si>
    <t>Letícia Machado Tadeu da Silva</t>
  </si>
  <si>
    <t>#SLUA- Segunda Licenciatura em Artes Visuais</t>
  </si>
  <si>
    <t>MÔNICA VIEIRA RAMOS VELOSO</t>
  </si>
  <si>
    <t>#SLUPI - SEGUNDA LICENCIATURA EM LETRAS – PORTUGUÊS E INGLÊS</t>
  </si>
  <si>
    <t>Karine Alves de Lima Bitencourt</t>
  </si>
  <si>
    <t>037.066.791-32</t>
  </si>
  <si>
    <t xml:space="preserve">iniciou dia 01/03/2023 e expirou dia 01/07/2024 curso quitado! </t>
  </si>
  <si>
    <t>pps corrigidas, aguardando correção do aluno</t>
  </si>
  <si>
    <t>Jacy Krissy de Oliveira Silva</t>
  </si>
  <si>
    <t>041.861.144-04</t>
  </si>
  <si>
    <t>Início dia 30/03/2023 e expirou dia 30/07/2024 curso quitado. Aluna contatou uma extensão no dia 19/08/2024 e expirou dia 19/09/2024</t>
  </si>
  <si>
    <t>Izaura Aparecida Ferreira</t>
  </si>
  <si>
    <t>Aluna não finalizou todas as disciplinas</t>
  </si>
  <si>
    <t>Roberta Cassia da Silva de Faria</t>
  </si>
  <si>
    <t>039.269.459-07</t>
  </si>
  <si>
    <t>Pós em Alfabetização e Letramento</t>
  </si>
  <si>
    <t>Solicitado documentações 15/02/25</t>
  </si>
  <si>
    <t>Hildon Santos Pinto</t>
  </si>
  <si>
    <t>262.028.718-90</t>
  </si>
  <si>
    <t>PÓS-GRADUAÇÃO EM INTELIGÊNCIA ARTIFICIAL</t>
  </si>
  <si>
    <t>Financeiro não localizado</t>
  </si>
  <si>
    <t>Sem plataforma</t>
  </si>
  <si>
    <t>Juazete Soares de Souza</t>
  </si>
  <si>
    <t>001.822.687-64</t>
  </si>
  <si>
    <t>Quitada, iniciou 01/08/2023 expirou 01/12/2024.</t>
  </si>
  <si>
    <t>Entregue e Deferido - Histórico e Diploma salvo no Drive pois não tinha campo na Simple</t>
  </si>
  <si>
    <t>Aprovada em todas as disciplinas.</t>
  </si>
  <si>
    <t>Encaminhado para Miguel para verfiicar financeiro 14/02</t>
  </si>
  <si>
    <t>Diego Rodrigues de Oliveira</t>
  </si>
  <si>
    <t>099.425.157-20</t>
  </si>
  <si>
    <t>iniciou em 02/06/2023 expirou em 02/10/2024 curso quitado!</t>
  </si>
  <si>
    <t>Entregue e deferidos</t>
  </si>
  <si>
    <t>Aprovado 31/01/25</t>
  </si>
  <si>
    <t xml:space="preserve">Emanuele Alexandra de Jesus Touça </t>
  </si>
  <si>
    <t>079.089.617-62</t>
  </si>
  <si>
    <t xml:space="preserve"> iniciou em 02/06/2023 e expirou 02/10/2024 curso quitado. Contratou uma extensão no dia  20/01/2025 e expira em 20/02/2025 </t>
  </si>
  <si>
    <t>Foi corrigido, falta PPI</t>
  </si>
  <si>
    <t>Lazara Aparecida Rodrigues</t>
  </si>
  <si>
    <t>783.650.746-72</t>
  </si>
  <si>
    <t>Pós-Graduação em Gestão Escolar Integrada com Ênfase em Supervisão, Orientação, Administração e Inspeção</t>
  </si>
  <si>
    <t>Quitada, iniciou em 16/03/2019 expirou em 16/07/2020 contratou taxa de reabertura em 26/01/2021 expirou em 26/02/2021</t>
  </si>
  <si>
    <t>Encaminhada para o Erick - 19/2/2025</t>
  </si>
  <si>
    <t xml:space="preserve">Michele Amanda Ribas Rodrigues Ferreira </t>
  </si>
  <si>
    <t>314.738.278-84</t>
  </si>
  <si>
    <t>Pedagogia para Bacharéis</t>
  </si>
  <si>
    <t>Iniciou dia 28/11/2022 e expirou 28/03/2024 curso quitado, contratou uma extensão no dia 11/09/2024 e expirou dia 11/10/2024!</t>
  </si>
  <si>
    <t>Daniela de Fatima Bontempi</t>
  </si>
  <si>
    <t>022.098.223-5</t>
  </si>
  <si>
    <t>Pós-graduação em Psicanálise</t>
  </si>
  <si>
    <t>Monalikyson Fernanda Rodrigues Barrozo</t>
  </si>
  <si>
    <t>Vânia Cícero Dionízio de Souza</t>
  </si>
  <si>
    <t>012.167.714-13</t>
  </si>
  <si>
    <t>Iniciou o curso em 30/11/2023 expira dia 30/03/2025 curso quitado</t>
  </si>
  <si>
    <t xml:space="preserve">Entregue e Deferido - Diploma de ensino Médio/ Titulo/ Quitação - salvos no Drive (simple sem campo para anexar) </t>
  </si>
  <si>
    <t>Encaminhada para Erick 24/2</t>
  </si>
  <si>
    <t>Alini Rosa Bertoldi do Carmo</t>
  </si>
  <si>
    <t>117.818.307-62</t>
  </si>
  <si>
    <t>Pós-Graduação em Terapia em ABA</t>
  </si>
  <si>
    <t>Silvana Campos de Faria</t>
  </si>
  <si>
    <t>023.217.759-71</t>
  </si>
  <si>
    <t>Iniciou em 11/12/2024 e expira em 11/04/2025 curso quitado</t>
  </si>
  <si>
    <t>Marcos Antônio de Farias</t>
  </si>
  <si>
    <t>Carlandia Alves da Silva</t>
  </si>
  <si>
    <t>PPS pré aprovadas</t>
  </si>
  <si>
    <t>Daniela Aparecida de Oliveira</t>
  </si>
  <si>
    <t>006.900.300-96</t>
  </si>
  <si>
    <t>Iniciou dia 16/04/2021 e expirou dia 16/08/2022  aluna fez uma recompra no dia 13/11/2023 e expira dia 13/03/2025 curso quitado!</t>
  </si>
  <si>
    <t>Paula de Espindola Martins Albino</t>
  </si>
  <si>
    <t>036.420.699-32</t>
  </si>
  <si>
    <t>Iniciou dia 16/10/2023 e expira 16/02/2025 curso quitado!</t>
  </si>
  <si>
    <t>Encaminhado para Miguel e o mesmo foi instruido a dircionar para tutoria 31/1/25</t>
  </si>
  <si>
    <t>Fabiane Bastos Freire</t>
  </si>
  <si>
    <t>043.071.396-74</t>
  </si>
  <si>
    <t>Segunda Licenciatura em Socilogia</t>
  </si>
  <si>
    <t>Iniciou dia 18/07/2023 e expirou dia 18/11/2024 curso quitado</t>
  </si>
  <si>
    <t>Entregue e Deferido - Drive</t>
  </si>
  <si>
    <t>PPs aprovada 05/02/2025</t>
  </si>
  <si>
    <t>Benedito Antônio dos Santos</t>
  </si>
  <si>
    <t>959.154.941-53</t>
  </si>
  <si>
    <t>Iniciou em 01/09/2022 e expirou 01/01/2024 curso quitado, pagou extensão dia 31/10/2024 expirou dia 31/11/2024</t>
  </si>
  <si>
    <t>Encaminhado para Natália 17/2/25</t>
  </si>
  <si>
    <t>Pedro Batista de Andrade</t>
  </si>
  <si>
    <t>357.208.754-68</t>
  </si>
  <si>
    <t>Iniciou dia 01/11/2023 e expira em 01/03/2025 curso quitado</t>
  </si>
  <si>
    <t>Jonnyka Maria Figueiredo Nascimento Lima</t>
  </si>
  <si>
    <t>PÓS-GRADUAÇÃO EM SEXOLOGIA</t>
  </si>
  <si>
    <t>Marcos Vinício Machado do Nascimento</t>
  </si>
  <si>
    <t>Documentação Diplomação Por Competência - Música</t>
  </si>
  <si>
    <t>Solicitado documentação via chat 15/2</t>
  </si>
  <si>
    <t>Encaminhado para Claudinei 10/2/2025</t>
  </si>
  <si>
    <t>Sergio Ricardo Ferreira</t>
  </si>
  <si>
    <t>033.132.389-39</t>
  </si>
  <si>
    <t>Formação Pedagógica em Matemática</t>
  </si>
  <si>
    <t>Contratou dia 27/03/2023 e expirou dia 27/07 2024</t>
  </si>
  <si>
    <t>Vinícius de Oliveira Melo</t>
  </si>
  <si>
    <t>SEGUNDA LICENCIATURA EM LETRAS-PORTUGUÊS/ESPANHOL</t>
  </si>
  <si>
    <t xml:space="preserve">Concluídas </t>
  </si>
  <si>
    <t xml:space="preserve">Aprovado </t>
  </si>
  <si>
    <t>Gabriel Maçalai</t>
  </si>
  <si>
    <t>Segunda Licenciatura CIências da Religião</t>
  </si>
  <si>
    <t>Paulo Henrique Teixeira</t>
  </si>
  <si>
    <t>Eli Cristiane Aparecida de Oliveira</t>
  </si>
  <si>
    <t>Formação Pedagógica em Física</t>
  </si>
  <si>
    <t>Incompleto</t>
  </si>
  <si>
    <t>Cpf</t>
  </si>
  <si>
    <t>Atividades Plataforma (Daniela Tovar)</t>
  </si>
  <si>
    <t>Práticas Pedagógicas (Fran)</t>
  </si>
  <si>
    <t>Liberação/Data</t>
  </si>
  <si>
    <t>Natália Fernandes Birches Lopes</t>
  </si>
  <si>
    <t>#FPUP-FORMAÇÃO PEDAGÓGICA EM PEDAGOGIA- U e Pós-graduação em Gestão Escolar</t>
  </si>
  <si>
    <t>Quitado em 06/12/2024, expira em 20/03/2025.</t>
  </si>
  <si>
    <t>Documentação completa</t>
  </si>
  <si>
    <t>Não precisa entregar nenhum trabalho</t>
  </si>
  <si>
    <t>Já inserido na planilha acompanhamento (Pedagogia)</t>
  </si>
  <si>
    <t>Nayara Helena de Araújo Oliveira</t>
  </si>
  <si>
    <t>082.578.206-60</t>
  </si>
  <si>
    <t xml:space="preserve">	Pós-Graduação em Psicanálise</t>
  </si>
  <si>
    <t>Iniciou em 12/04/2023 e expirou em 12/06/2024 curso quitado contratou extensão dia 04/12/2024 e expirou 04/01/2025</t>
  </si>
  <si>
    <t>Não exige</t>
  </si>
  <si>
    <t>Pós-Graduação em ABA - Análise do Comportamento Aplicada</t>
  </si>
  <si>
    <t>Iniciou em 20/12/2021 e expirou 20/04/2023 curso quitado</t>
  </si>
  <si>
    <r>
      <rPr>
        <rFont val="Arial"/>
        <color rgb="FF000000"/>
        <sz val="11.0"/>
      </rPr>
      <t xml:space="preserve">Documentação completa - </t>
    </r>
    <r>
      <rPr>
        <rFont val="Arial"/>
        <b/>
        <color rgb="FF000000"/>
        <sz val="11.0"/>
      </rPr>
      <t>ALUNA SEM PLATAFORMA, SALVO NO DRIVE</t>
    </r>
  </si>
  <si>
    <t>Aluna não localizada em nenhuma plataforma de estudos.</t>
  </si>
  <si>
    <t>Lucilaine Maria de Abreu Boraschi Pereira</t>
  </si>
  <si>
    <t>039.775.146-01</t>
  </si>
  <si>
    <t>Pós-Graduação em Neuropsicopedagogia</t>
  </si>
  <si>
    <t>Inicio dia 09/11/2021 e expirou em 09/03/2023 curso quitado contratou uma extensão dia 23/10/2024 e expira em 23/02/2025</t>
  </si>
  <si>
    <t>Documentação está correta</t>
  </si>
  <si>
    <t>Aluno certificado, Análise Concluída</t>
  </si>
  <si>
    <t>Aprovado em 22/01/25</t>
  </si>
  <si>
    <t>Mauricio de Arimathea Dias</t>
  </si>
  <si>
    <t>Quitado em 18/04/2024</t>
  </si>
  <si>
    <t>Aprovado em 02/07/2024</t>
  </si>
  <si>
    <t>Quitado em 26/07/2024</t>
  </si>
  <si>
    <t>Aprovado 16/01/2024</t>
  </si>
  <si>
    <t>Joana de souza toppan</t>
  </si>
  <si>
    <t>SEGUNDA LICENCIATURA EM CIÊNCIAS DA RELIGIÃO / Filosofia</t>
  </si>
  <si>
    <t>Aluna quitada, pagou a quitação em 3 parcelas de 1.000</t>
  </si>
  <si>
    <t>Aprovada em 11/12/2024</t>
  </si>
  <si>
    <t>Liberada em 16/12/2024</t>
  </si>
  <si>
    <t>Quitado, pagou no cartão de crédito</t>
  </si>
  <si>
    <t xml:space="preserve">Aprovada em 12/12/2024 </t>
  </si>
  <si>
    <t>Carlos Germano do Nascimento Rodrigues</t>
  </si>
  <si>
    <t>Quitado em 06/06/2024 expirou em 28/11/2024</t>
  </si>
  <si>
    <t xml:space="preserve">Delcia Cristina de Oliveira </t>
  </si>
  <si>
    <t>Formação Pedagógica em Geografia - U</t>
  </si>
  <si>
    <t>Aprovada 16/01/2025</t>
  </si>
  <si>
    <t>Rebecca Rodrigues Carvalho</t>
  </si>
  <si>
    <t xml:space="preserve"> 032.853.981-32</t>
  </si>
  <si>
    <t>Quitada contratou uma extensão de um mês em 20/10/2024, que expirou em 20/11/2024.</t>
  </si>
  <si>
    <t>Não exige nenhum trabalho</t>
  </si>
  <si>
    <t>Certificada</t>
  </si>
  <si>
    <t>Simone Cristina Comodo</t>
  </si>
  <si>
    <t>118.440.858-05</t>
  </si>
  <si>
    <t xml:space="preserve"> Iniciou dia 19/08/2023 e expira dia 19/01/2025 curso quitado </t>
  </si>
  <si>
    <t>Anderson Thiago Passos Veloso</t>
  </si>
  <si>
    <t>Formação Pedagógica em Música 1200Horas</t>
  </si>
  <si>
    <t>Não encotrei o financeiro, pede ao aluna para encaminhe o comprovante de pagamento</t>
  </si>
  <si>
    <t>Aprovada em 02/12/2024</t>
  </si>
  <si>
    <t>Liberada em 17/12/2024</t>
  </si>
  <si>
    <t>Regina Célia De Araújo Jacob</t>
  </si>
  <si>
    <t>Segunda Licenciatura em Educação Especial.</t>
  </si>
  <si>
    <t>Quitado 05/07/2024</t>
  </si>
  <si>
    <t>Liberada 09/12/2024</t>
  </si>
  <si>
    <t>Aprovado 12/12/2024</t>
  </si>
  <si>
    <t>Jocilene Souza Santos</t>
  </si>
  <si>
    <t>Solicitar diploma de ensino médio</t>
  </si>
  <si>
    <t>Não tem trabalho</t>
  </si>
  <si>
    <t>Segunda Licenciatura Letras - Português e Inglês</t>
  </si>
  <si>
    <t xml:space="preserve"> Iniciou dia 07/11/2023 e expira dia 07/03/2025 curso quitado</t>
  </si>
  <si>
    <t>Falta Plataforma, Falta Tutoria</t>
  </si>
  <si>
    <t>Arthur Veloso Leal Ardizzoni</t>
  </si>
  <si>
    <t>217.212.418-41</t>
  </si>
  <si>
    <t>Inicio dia 22/11/2023 e expira 22/03/2025 curso quitado</t>
  </si>
  <si>
    <t>Aluno não concluiu nenhuma disciplina na plataforma</t>
  </si>
  <si>
    <t>Laurianne Camargo Ferreira de Souza Santos</t>
  </si>
  <si>
    <t>Quitado 05/06/2024</t>
  </si>
  <si>
    <t>Liberada em 20/12/2024</t>
  </si>
  <si>
    <t>Fagner Pessoa da Silva</t>
  </si>
  <si>
    <t>Formação pedagógica Letras - Português</t>
  </si>
  <si>
    <t>Quitado, contratou extensão por um més em 22/08/2024</t>
  </si>
  <si>
    <t>Aprovada em 19/08/24</t>
  </si>
  <si>
    <t>Pós-Graduação em Gestão Educacional</t>
  </si>
  <si>
    <t>Iniciou em, 23/01/2023 e expirou dia 23/05/2024 curso quitado, contratou extensão no dia 11/12/2024 e expirou dia 11/01/2025</t>
  </si>
  <si>
    <t>Práticas Curriculares Aprovadas em 18/12/2024</t>
  </si>
  <si>
    <t>Pós-Graduação em Coordenação Educacional</t>
  </si>
  <si>
    <t>Práticas Curriculares Aprovadas em 18/12/2025</t>
  </si>
  <si>
    <t>Ederson Farley Riedel</t>
  </si>
  <si>
    <t>091.986.517-81</t>
  </si>
  <si>
    <t>Pós-Graduação em Musicoterapia</t>
  </si>
  <si>
    <t>Inicio em 24/07/2023 e expirou 24/11/2024 curso quitado</t>
  </si>
  <si>
    <t>Quitado 22/11/2024</t>
  </si>
  <si>
    <t>PPs aprovadas 20/12/2024</t>
  </si>
  <si>
    <t>Liberado 02/01/2025</t>
  </si>
  <si>
    <t>José Fernando de Cerqueira temote</t>
  </si>
  <si>
    <t>131.184.734-01</t>
  </si>
  <si>
    <t>Inicio dia 09/02/2024 e expira 09/06/2025 curso quitado</t>
  </si>
  <si>
    <t>Luciano Machado da Silva</t>
  </si>
  <si>
    <t>Não encontrei o finaceiro referente a esse curso</t>
  </si>
  <si>
    <t>Dejailson Luiz Carolino</t>
  </si>
  <si>
    <t>Quitado, e contratou 3 meses de extensão validos até dia 25/12/2024</t>
  </si>
  <si>
    <t>Aprovado 16/01/2025</t>
  </si>
  <si>
    <t>Liberado em 20/01/2025 - Carla</t>
  </si>
  <si>
    <t>Planilha de Música</t>
  </si>
  <si>
    <t>Anacélia da Silva Brito</t>
  </si>
  <si>
    <t>305.401.468-11</t>
  </si>
  <si>
    <t>inicio dia 20/04/2023 expirou dia 20/08/2024 curso quitado, contratou 2 extensão a ultima expirou dia 03/01/2024</t>
  </si>
  <si>
    <t>Solicitar comprovante de endereço nome da aluna ou conjugue</t>
  </si>
  <si>
    <t>Quitada + Pós de brinde, iniciou em 27/06/2023 expirou em 27/10/2024</t>
  </si>
  <si>
    <t>Aprovado em 03/12/2024</t>
  </si>
  <si>
    <t>Encaminado Mariana 4/2/25</t>
  </si>
  <si>
    <t>Bruno Renato Paschoal</t>
  </si>
  <si>
    <t>883.900.126-34</t>
  </si>
  <si>
    <t>Inicio dia 17/07/2023 e expirou 17/11/2024 curso quitado</t>
  </si>
  <si>
    <t>Leticia Rodrigues de Souza</t>
  </si>
  <si>
    <t>477.728.968-08</t>
  </si>
  <si>
    <t>Segunda Licenciatura lingua portuguesa e lingua Espanhola</t>
  </si>
  <si>
    <t xml:space="preserve">Iniciou em 15/09/2022 e expirou dia 15/02/2024 curso quitado </t>
  </si>
  <si>
    <t xml:space="preserve">Solicitar documentação </t>
  </si>
  <si>
    <t>PPS não foi localizado no dia 12 de maio de 2025, curso expirado 15/02/2024</t>
  </si>
  <si>
    <t>Leandro Fortolan Sampaio</t>
  </si>
  <si>
    <t>435.278.808-28</t>
  </si>
  <si>
    <t>Pós Graduação em Engenharia de Segurança do Trabalho</t>
  </si>
  <si>
    <t>Quitada 31/07/2024</t>
  </si>
  <si>
    <t>014.043.086-52</t>
  </si>
  <si>
    <t>Segunda Licenciatura em Letras - Português/Espanhol</t>
  </si>
  <si>
    <t>Aluno contratou a reativação do curso no dia 30/09/2024</t>
  </si>
  <si>
    <t>Aprovado em 04/12/2024</t>
  </si>
  <si>
    <t>Liberado em 10/01/2025</t>
  </si>
  <si>
    <t>Eliane Aparecida Bassotto</t>
  </si>
  <si>
    <t>564.768.330-49</t>
  </si>
  <si>
    <t>Aluna quitada e ativa até 30-12-2024.</t>
  </si>
  <si>
    <t>Maryellen dos santos pereira</t>
  </si>
  <si>
    <t>Terapia cognitiva comportamental</t>
  </si>
  <si>
    <t>Aluna quitada</t>
  </si>
  <si>
    <t>Não precisa enviar</t>
  </si>
  <si>
    <t>Adilson Norberto da Silva</t>
  </si>
  <si>
    <t>Quitado em 03/05/2024, expirou em 03/10/2024.</t>
  </si>
  <si>
    <t>Liberada em 23/12/2024</t>
  </si>
  <si>
    <t>Tatiana Fernanda Leite de Mello Friande</t>
  </si>
  <si>
    <t>Pós-Graduação em Orientação Educacional</t>
  </si>
  <si>
    <t>Quitado em 15/10/2024, expira em 15/05/2025.</t>
  </si>
  <si>
    <t xml:space="preserve">Andressa da Silva Guedes Abreu </t>
  </si>
  <si>
    <t>Quitado em 23/05/2023, expirou em 30/07/2023.</t>
  </si>
  <si>
    <t>Solicitado via chat 14/2</t>
  </si>
  <si>
    <t>Aluna ainda precisa finalizar 2 disciplinas nas quais foi reprovada</t>
  </si>
  <si>
    <t>Curso expirado 30/07/2023</t>
  </si>
  <si>
    <t>Milena Zilda Góes</t>
  </si>
  <si>
    <t>Pós-Graduação Alfabetização e Letramento</t>
  </si>
  <si>
    <t>Aluna quitada e o curso expira em 10/01/2025.</t>
  </si>
  <si>
    <t>Luziene Zucolotto Honorato</t>
  </si>
  <si>
    <t>Novo-Pós-Graduação em Sexologia 800Horas</t>
  </si>
  <si>
    <t>Quitada em 01/07/2023, contratou extensão 08/08/2023 e expirou em 08/11/2023</t>
  </si>
  <si>
    <t>Tania Carneiro da Rosa Dias</t>
  </si>
  <si>
    <t>Quitada, contratou extensão no dia 02 de dezembro de 2024, ela tem até dia 02 de janeiro de 2025 para finalizar o curso</t>
  </si>
  <si>
    <t>Aprovado 05/12/2023</t>
  </si>
  <si>
    <t>Quitado 11/06/2024</t>
  </si>
  <si>
    <t>Aprovada 10/01/2024</t>
  </si>
  <si>
    <t>Vanessa de Mauro Pitta</t>
  </si>
  <si>
    <t>Quitada em 05/07/2024, contratou dois meses de extensão em 20/09/2024 e expirou em 20/11/2024</t>
  </si>
  <si>
    <t>Graciete Lima dos Santos Eloi de França</t>
  </si>
  <si>
    <t>Segunda Licenciatura em Letras – Língua Portuguesa e Libras</t>
  </si>
  <si>
    <t xml:space="preserve">Quitada em 07/10/2024 </t>
  </si>
  <si>
    <t>Aprovado 10/01/2024</t>
  </si>
  <si>
    <t>Elizabete Lima Sousa</t>
  </si>
  <si>
    <t>Aluna quitada e contratou extensão até o dia 09/01/2025</t>
  </si>
  <si>
    <t>Foi solicitado correções no dia 30/01 - curso expirado 09/01/2025</t>
  </si>
  <si>
    <t>Quitado 15/05/2024</t>
  </si>
  <si>
    <t>Clayton Oliveira Vieira da Silva</t>
  </si>
  <si>
    <t>Formação Pedagógica em Matemática - 760 horas</t>
  </si>
  <si>
    <t>expira em 04/01/2025</t>
  </si>
  <si>
    <t>Ivone dos Santos Poltranieri Ferreira</t>
  </si>
  <si>
    <t>Quitada em 26/07/2024</t>
  </si>
  <si>
    <t>Foi solicitado correções no dia 16/04 - Estágio não foi localizado no dia 12 de maio de 2025</t>
  </si>
  <si>
    <t>Encaminhada para Financeiro</t>
  </si>
  <si>
    <t>Pós-graduação em educação especial e inclusiva</t>
  </si>
  <si>
    <t>Financeiro não localizado, deve ter ganho a pós de brinde pois pagou a FP no cartão de crédito</t>
  </si>
  <si>
    <t>Ketlin Naiara Machado Pedretti</t>
  </si>
  <si>
    <t>Aprovada 09/12</t>
  </si>
  <si>
    <t>Adriana Ferreira Figueiredo dos Santos</t>
  </si>
  <si>
    <t>#SLPT- Segunda Licenciatura em Pedagogia</t>
  </si>
  <si>
    <t>Aprovada em 13/08/24</t>
  </si>
  <si>
    <t>Falta Documentação, Falta Tutoria</t>
  </si>
  <si>
    <t>Leila Costa Castro</t>
  </si>
  <si>
    <t>Quitada em 19/03/2023, pagou uma taxa de extensão por três meses mas já expirou.</t>
  </si>
  <si>
    <t>Solicitado via chat 14/2 - 24/02 - 28-2</t>
  </si>
  <si>
    <t>Aluna obteve aprovação e todas as disciplinas</t>
  </si>
  <si>
    <t>PPS não foi localizado no dia 12 de maio de 2025 - extensão expirada</t>
  </si>
  <si>
    <t>Renato José Justicia</t>
  </si>
  <si>
    <t>Quitado em 09/12/2024</t>
  </si>
  <si>
    <t>Juliana Luzia Dias</t>
  </si>
  <si>
    <t>Quitada em 09/12/2024</t>
  </si>
  <si>
    <t>Aprovada em 10/12/2024</t>
  </si>
  <si>
    <t>Liberada em 26/12/2024</t>
  </si>
  <si>
    <t>Pollyanna Sela</t>
  </si>
  <si>
    <t>046.221.459-10</t>
  </si>
  <si>
    <t>Formação Pedagógica em Música 2022</t>
  </si>
  <si>
    <t>Iniciou dia 06/10/2022 e expirou 06/02/2024 curso quitado  contratou extensão dia 03/12/2024 e expirou dia 03/01/2025</t>
  </si>
  <si>
    <t>Aprovada em 05/12/24</t>
  </si>
  <si>
    <t>Encaminhada Miguel via chat 31/1/25</t>
  </si>
  <si>
    <t>Josemir José da Silva</t>
  </si>
  <si>
    <t>Formação Pedagógica em História</t>
  </si>
  <si>
    <t>Quitado em 10/12/2024</t>
  </si>
  <si>
    <t>Aprovado 10/12/2024</t>
  </si>
  <si>
    <t>Liberado em 23/12/2024</t>
  </si>
  <si>
    <t>Falta Tutoria, Falta Documentação, Falta Plataforma, Urgente</t>
  </si>
  <si>
    <t>Efrain Rael de Eron Silva de Azevedo</t>
  </si>
  <si>
    <t>pós-Graduação em Musicoterapia.</t>
  </si>
  <si>
    <t>Aprovado Alexiane em 17/07/2024</t>
  </si>
  <si>
    <t>Quitado em 15/06/2023 pagou à vista.</t>
  </si>
  <si>
    <t>Aprovado 08/01/2025</t>
  </si>
  <si>
    <t>Crispim Souza Santos</t>
  </si>
  <si>
    <t xml:space="preserve">Quitado em 04/07/2023 </t>
  </si>
  <si>
    <t>Falta Documentação, Análise Concluída, Aluno certificado</t>
  </si>
  <si>
    <t>Rafael Fernandes</t>
  </si>
  <si>
    <t>349.083.768-16</t>
  </si>
  <si>
    <t>Iniciou dia 23/04/2023 e expirou dia 23/07/2024 curso quitado</t>
  </si>
  <si>
    <t>Acidália Vaz Sampaio Neta Moura</t>
  </si>
  <si>
    <t>410.573.925-53</t>
  </si>
  <si>
    <t xml:space="preserve"> Iniciou em 16/07/2021 e expirou dia 16/11/2022 curso quitado</t>
  </si>
  <si>
    <t>Patrícia Vieira Mendes</t>
  </si>
  <si>
    <t>Quitada em 12/11/2024</t>
  </si>
  <si>
    <t>Antônio José Roque</t>
  </si>
  <si>
    <t xml:space="preserve">Quitado em 10/12/2024 </t>
  </si>
  <si>
    <t>José Fernando de Cerqueira Temoteo</t>
  </si>
  <si>
    <t>Quitado 11/11/2024</t>
  </si>
  <si>
    <t>Documentação está correta (verificar comprovante de residência)</t>
  </si>
  <si>
    <t xml:space="preserve">Aluno ainda precisa concluir uma disciplina na qual foi reprovado </t>
  </si>
  <si>
    <t>Pós-Graduação em Educação Física Escolar e Treinamento Desportivo</t>
  </si>
  <si>
    <t>Pagamentos não localizados ele deve ter ganhado a pós de brinde pois pagou a FP à vista.</t>
  </si>
  <si>
    <t>Letícia da Silva Lemes</t>
  </si>
  <si>
    <t>Quitada em 30/07/2024</t>
  </si>
  <si>
    <t>Maurício da Costa Lyra</t>
  </si>
  <si>
    <t>Quitado em 29/04/2024</t>
  </si>
  <si>
    <t>Aprovado em 22/01/2024</t>
  </si>
  <si>
    <t>Liberado em 30/12/2024</t>
  </si>
  <si>
    <t>Priscila Almeida da Cruz Brito</t>
  </si>
  <si>
    <t>Letras - Português</t>
  </si>
  <si>
    <t>Quitada em 07/08/2024</t>
  </si>
  <si>
    <t>Aprovada 17/12/2024</t>
  </si>
  <si>
    <t>Liberada em 02/01/2024</t>
  </si>
  <si>
    <t>Paulo Sávio Vieira Fernandes Saturnino</t>
  </si>
  <si>
    <t xml:space="preserve">Quitado em 09/12/2024  </t>
  </si>
  <si>
    <t>Aprovado 17/12/2024</t>
  </si>
  <si>
    <t>Joana de Souza Tupan</t>
  </si>
  <si>
    <t>Segunda Licenciatura em Ciências da Religião</t>
  </si>
  <si>
    <t xml:space="preserve">Quitada em 04/06/2024 </t>
  </si>
  <si>
    <t>Aprovada em 12/11/2024</t>
  </si>
  <si>
    <t>SEGUNDA LICENCIATURA EM EDUCAÇÃO ESPECIAL - 41M</t>
  </si>
  <si>
    <t>Renato henrique neves franco</t>
  </si>
  <si>
    <t>Formação pedagogica em artes</t>
  </si>
  <si>
    <t xml:space="preserve">Quitado em 03/10/2024 </t>
  </si>
  <si>
    <t>Aprovado em 13/05/2024</t>
  </si>
  <si>
    <t>Sérgio Henrique de Campos</t>
  </si>
  <si>
    <t>Educação física</t>
  </si>
  <si>
    <t>Quitado em 10/12/2022, expirado em 10/12/2023</t>
  </si>
  <si>
    <t xml:space="preserve">Aluno não tem documentação </t>
  </si>
  <si>
    <t>PPS não foi localizado no dia 12 de maio de 2025 - curso expirado 10/12/2023</t>
  </si>
  <si>
    <t>Fabiana Ferreira Neves Goveia</t>
  </si>
  <si>
    <t>801.858.861-91</t>
  </si>
  <si>
    <t xml:space="preserve">Segunda Licenciatura em Matemática </t>
  </si>
  <si>
    <t>Quitada, iniciou em 08/05/2024 e expira em 08/09/2025</t>
  </si>
  <si>
    <t>Finalizou apenas duas disciplinas</t>
  </si>
  <si>
    <t>Aprovada em 21/05/2025</t>
  </si>
  <si>
    <t>Beatriz Silvério Mariano</t>
  </si>
  <si>
    <t>Segunda licenciatura em Educação Especial</t>
  </si>
  <si>
    <t>Quitada em 18/03/2024</t>
  </si>
  <si>
    <t xml:space="preserve">Aprovado em 19/09/2024 </t>
  </si>
  <si>
    <t>Adriana Sant'Ana das Neves</t>
  </si>
  <si>
    <t>Matriculada em 07/03/2022, quitada desde 23/07/2023.</t>
  </si>
  <si>
    <t>Não precisa entregar nenhuma trabalho</t>
  </si>
  <si>
    <t>Ana Cristina Silva Coimbra Miguel.</t>
  </si>
  <si>
    <t>702.725.591-05</t>
  </si>
  <si>
    <t>Segunda Licenciatura Educação Física</t>
  </si>
  <si>
    <t>Quitada, iniciou em 15/01/2024 e expira em 15/05/2025</t>
  </si>
  <si>
    <t>Encaminhou protocolo sem o trabalho no dia 05/08/24</t>
  </si>
  <si>
    <t>Foi solicitado correções no dia 11/04 - PPS não foi localizado no dia 27 de junho de 2025, curso expirado</t>
  </si>
  <si>
    <t>Urgente, Análise Concluída, Aluno certificado</t>
  </si>
  <si>
    <t>Antoninho José Augusto da Silva</t>
  </si>
  <si>
    <t>Quitada, iniciou em 15/01/2024 e expira em 15/05/2025.</t>
  </si>
  <si>
    <t>Waldemar Alvarenga Lapoente</t>
  </si>
  <si>
    <t>Pós-Graduação em FARMACOLOGIA CLÍNICA</t>
  </si>
  <si>
    <t>Financeiro não localizado, o aluno pagou uma FP à vista, deve ter ganhado a pós de brinde</t>
  </si>
  <si>
    <t>Não há no curso</t>
  </si>
  <si>
    <t>Edson Cabral de Oliveira</t>
  </si>
  <si>
    <t>Quitado em 11/12/2024</t>
  </si>
  <si>
    <t>Aprovado em 23/12/24</t>
  </si>
  <si>
    <t>Milena da Silva Albuquerque</t>
  </si>
  <si>
    <t xml:space="preserve">Quitada em 05/12/2024 </t>
  </si>
  <si>
    <t>Aprovado em 12/12/2024</t>
  </si>
  <si>
    <t>Sara Nikayse da Silva Marinho Mota</t>
  </si>
  <si>
    <t>Quitada em 11/12/2024</t>
  </si>
  <si>
    <t>Gabriela Ortiz da Rosa Barboza Jacoby</t>
  </si>
  <si>
    <t>Pedagogia</t>
  </si>
  <si>
    <t>Aluna ainda está pagando o curso, restam 9 pagamentos e um deles está em atraso que é a parcela do mês 12.</t>
  </si>
  <si>
    <t xml:space="preserve">Aluna sen documentação </t>
  </si>
  <si>
    <t>Letras Português - Inglês</t>
  </si>
  <si>
    <t>Não localizei o financeiro deste curso apenas do curso de pedagogia e de um curso de matemática.</t>
  </si>
  <si>
    <t>Ainda precisa concluir 3 disciplinas.</t>
  </si>
  <si>
    <t>Anelise Porn</t>
  </si>
  <si>
    <t>Quitada em  19/06/2023</t>
  </si>
  <si>
    <t xml:space="preserve">Aprovada em 11/12/2024 </t>
  </si>
  <si>
    <t>Patrick Westphal Elias</t>
  </si>
  <si>
    <t>Quitado em 19/11/2024</t>
  </si>
  <si>
    <t>Cyntia laura Xavier soares</t>
  </si>
  <si>
    <t>Quitada desde 05/01/2024</t>
  </si>
  <si>
    <t>Aprovada em 17/09/2024</t>
  </si>
  <si>
    <t xml:space="preserve">William Geronimo Santesso Da Silva </t>
  </si>
  <si>
    <t>Quitado em 07/12/2024</t>
  </si>
  <si>
    <t>Patrocínio Santos de Sousa</t>
  </si>
  <si>
    <t>Quitado em  17/06/2023</t>
  </si>
  <si>
    <t xml:space="preserve">Aluno sem documentação </t>
  </si>
  <si>
    <t>Maria de Lourdes da Silva Lima</t>
  </si>
  <si>
    <t xml:space="preserve">Segunda Licenciatura em História </t>
  </si>
  <si>
    <t>Quitada em 08/05/2024</t>
  </si>
  <si>
    <t>Aprovada 13/09/2024</t>
  </si>
  <si>
    <t>Bernadete Eloi Bottoli</t>
  </si>
  <si>
    <t>377.123.222-87</t>
  </si>
  <si>
    <t>Iniciou dia 10/10/2023 e expirou 10/02/2025 curso quitado</t>
  </si>
  <si>
    <t>Documentação Completa</t>
  </si>
  <si>
    <t>Vinicius Figueiredo Santos</t>
  </si>
  <si>
    <t>008.008.515-60</t>
  </si>
  <si>
    <t>Aluno muito enjoado, está liberado para a certifcação, foi isento de extensão e não vai fazer os trabalhos.</t>
  </si>
  <si>
    <t>Liberado 13/12/2024</t>
  </si>
  <si>
    <t>Glênia Aparecida Souza Santos</t>
  </si>
  <si>
    <t>Segunda Lincenciatura em História</t>
  </si>
  <si>
    <t>Quitada em 30/06/2022</t>
  </si>
  <si>
    <t>Foi solicitado correções para a aluna no dia 09/07/24</t>
  </si>
  <si>
    <t>Tatiana Tássia Sampaio Pires</t>
  </si>
  <si>
    <t xml:space="preserve">Encaminhado para certificação </t>
  </si>
  <si>
    <t>Sonete Odivino De Oliveira Silva</t>
  </si>
  <si>
    <t>Quitado em  19/07/2024</t>
  </si>
  <si>
    <t>Aluna já em processo de certificação</t>
  </si>
  <si>
    <t>Aluna aindaprecisa finalizar duas disciplinas</t>
  </si>
  <si>
    <t>Roberta chaves martins</t>
  </si>
  <si>
    <t>Segunda licenciatura em pedagogia</t>
  </si>
  <si>
    <t>Aluna não localizada em nenhuma plataforma</t>
  </si>
  <si>
    <t>Aluna não localizada em nenhuma plataforma em 12/05</t>
  </si>
  <si>
    <t>Segunda licenciatura Musica</t>
  </si>
  <si>
    <t>Ainda estão faltando duas parcelas para quitar o curso</t>
  </si>
  <si>
    <t>Aprovado 22/01/2025</t>
  </si>
  <si>
    <t>Normal, Análise Concluída, Aluno certificado</t>
  </si>
  <si>
    <t>Quitada em 30/12/2022, contratou uma extensão de 3 meses em 14/08/2024, expirou em 14/11/2024</t>
  </si>
  <si>
    <t>Pós-graduação em Gestão Escolar Integradora com Ênfase em Supervisão, Orientação, Administração e Inspeção 740Horas</t>
  </si>
  <si>
    <t>Financeiro não localizado o mesmo possui uma FP em historia que pagou no cartão, deve ter ganhado a pós de brinde</t>
  </si>
  <si>
    <t>Eunice Alves</t>
  </si>
  <si>
    <t>Falta enviar alguns documentos ainda</t>
  </si>
  <si>
    <t>Aprovada em  13/12/2024</t>
  </si>
  <si>
    <t>Willian Joventino Antônio de Souza</t>
  </si>
  <si>
    <t>Quitado, contratou extensão no dia 17/12 por um mês</t>
  </si>
  <si>
    <t>Aprovado 20/12/2024</t>
  </si>
  <si>
    <t>Leonice Aparecida de Fatima Alves Pereira Mourad</t>
  </si>
  <si>
    <t>Liberada até 15-12-2024 para finalizar</t>
  </si>
  <si>
    <t>Liberada em 02/01/2025</t>
  </si>
  <si>
    <t>Falta enviar o RG, o resto ta ok</t>
  </si>
  <si>
    <t>Wesley Violetti Evangelista</t>
  </si>
  <si>
    <t>Willian Barbosa da Silva</t>
  </si>
  <si>
    <t>Segunda Licenciatura em Pedagogia 1200h</t>
  </si>
  <si>
    <t>Aluno curso quitado, ativo até 30-01-2025</t>
  </si>
  <si>
    <t>Isaquiel dos Santos de Sousa Pereira</t>
  </si>
  <si>
    <t>Quitado, Contratou extensão no dia 18/10/2024 Data de expiração 18/11/2024</t>
  </si>
  <si>
    <t>Cristiane de Lazari Poli</t>
  </si>
  <si>
    <t xml:space="preserve">Aprovada </t>
  </si>
  <si>
    <t>Quitado em 27/11/2023</t>
  </si>
  <si>
    <t>Não precisa enviar nenhum trabalho.</t>
  </si>
  <si>
    <t>Marcileia Ana Dos Santos</t>
  </si>
  <si>
    <t>Quitada, iniciou 10/10/2023 e expirou em 10/02/2025.</t>
  </si>
  <si>
    <t>Aprovada em 16/12/2024</t>
  </si>
  <si>
    <t>Guilherme Lopes</t>
  </si>
  <si>
    <t>Aprovado em 19/09/24</t>
  </si>
  <si>
    <t>Thais Cristina Costa Barbosa</t>
  </si>
  <si>
    <t>Aprovado- Correção não Liberada/BloqueadoAtrasoParcela</t>
  </si>
  <si>
    <t>Daniele Santos da Silva Marinho</t>
  </si>
  <si>
    <t>#SLCBA - Segunda Licenciatura em Ciências Biológicas</t>
  </si>
  <si>
    <t>Aprovada em 09/09/2024</t>
  </si>
  <si>
    <t>Bruno Soares da Silva</t>
  </si>
  <si>
    <t>376.426.928-62</t>
  </si>
  <si>
    <t xml:space="preserve"> Formação Pedagógica em Matemática</t>
  </si>
  <si>
    <t>Iniciou dia 07/01/2023 e expirou 07/05/2024 curso quitado contratou uma extensão dia 13/11/2024 e expirou em 13/12/2024</t>
  </si>
  <si>
    <t>Falta apenas 1 disciplinas para concluir</t>
  </si>
  <si>
    <t>Angela Maria da Silva</t>
  </si>
  <si>
    <t>Aluna quitada no cartão de crédito</t>
  </si>
  <si>
    <t xml:space="preserve">Aluna obteve aprovação em todas as disciplinas </t>
  </si>
  <si>
    <t>Não encontradas em 27/06/2025</t>
  </si>
  <si>
    <t>Ozeias Ribeiro Silva</t>
  </si>
  <si>
    <t>Aluno quitado</t>
  </si>
  <si>
    <t>Aprovado em 26/08/2024</t>
  </si>
  <si>
    <t>Adriana Rodrigues Nascimento Passos</t>
  </si>
  <si>
    <t>015.035.913-60</t>
  </si>
  <si>
    <t>Quitado, iniciou em 16/01/2023 e expirou em 16/05/2024</t>
  </si>
  <si>
    <t>Não encontradas em 13/05/2025 protocolo sem anexo. (verificado novamente em 12/05) Verificado novamente 27/06 - curso expirado</t>
  </si>
  <si>
    <t>Larissa Albuquerque de Lima da Silva</t>
  </si>
  <si>
    <t>Falta enviar foto do RG novamente, o resto está ok</t>
  </si>
  <si>
    <t>Simone Cândida da Silva Gomes</t>
  </si>
  <si>
    <t>Pós-Graduação MBA em Gestão Hospitalar</t>
  </si>
  <si>
    <t>Aluna quitada e ativa até 30-12-2024</t>
  </si>
  <si>
    <t>Não precisa enviar nenhum trabalho</t>
  </si>
  <si>
    <t>Jusley Caroliny Santos</t>
  </si>
  <si>
    <t>Segunda licenciatura em Sociologia</t>
  </si>
  <si>
    <t>Iniciou dia 17/07/2024 curso expira 17/11/2025  pagou a vista na Lytex</t>
  </si>
  <si>
    <t>Segunda licenciatura em Ciência da Religião</t>
  </si>
  <si>
    <t>Iniciou dia 22/07/2024 curso expira 22/11/2025 999,00 10x Cartão quitado</t>
  </si>
  <si>
    <t>Maiza Moreira da Silva</t>
  </si>
  <si>
    <t>Ainda precisa enviar 2 documentos</t>
  </si>
  <si>
    <t>Aprovada 08/01/2025</t>
  </si>
  <si>
    <t>Kelly Cristina Ferreira dos Santos</t>
  </si>
  <si>
    <t xml:space="preserve">Aluna quitada </t>
  </si>
  <si>
    <t>Aprovada em 15/12/2024</t>
  </si>
  <si>
    <t>Tiago Augusto Gasparotto</t>
  </si>
  <si>
    <t>Aluno quitado, expira em 04/01/2025</t>
  </si>
  <si>
    <t>Ivone Maria Da Silva Souza</t>
  </si>
  <si>
    <t>#SLMF - Segunda Licenciatura em Música 1320Horas</t>
  </si>
  <si>
    <t xml:space="preserve">PPS aprovadas </t>
  </si>
  <si>
    <t>Greiccy Kelly Gomes da Silva</t>
  </si>
  <si>
    <t>Aprovada em 21/08/2024</t>
  </si>
  <si>
    <t>Rosana Cristina de Souza Siqueira</t>
  </si>
  <si>
    <t>Aprovada em  17/12/2024</t>
  </si>
  <si>
    <t>Alex Moraes Oliveira</t>
  </si>
  <si>
    <t>Liberado em 09/01/2025</t>
  </si>
  <si>
    <t>Kaina Weiber Waisbek</t>
  </si>
  <si>
    <t>324.372.848-77</t>
  </si>
  <si>
    <t xml:space="preserve"> Iniciou dia 05/08/2024 a aluna pagou a vista no cartão no dia 06/11/2024!</t>
  </si>
  <si>
    <t>Aprovada em 07/11/2024</t>
  </si>
  <si>
    <t>Eunaítala Farias da Silva</t>
  </si>
  <si>
    <t>Quitada,  iniciou em 24/08/2023 e expira em 24/12/2024.</t>
  </si>
  <si>
    <t>Carlos Zalberto Boa Morte Filho</t>
  </si>
  <si>
    <t>Precisa enviar o diploma do ensino medio, o resto ta ok</t>
  </si>
  <si>
    <t>PPS não foi localizado no dia 12 de maio de 2025, procuradas novamente em 27/06/2025</t>
  </si>
  <si>
    <t>Financeiro não localizado, o aluno deve ter ganhado de brinde por ter pago uma FP no cartão</t>
  </si>
  <si>
    <t>Katia Almeida da Silva</t>
  </si>
  <si>
    <t>Fernanda Bastos Rezende Siqueira</t>
  </si>
  <si>
    <t>Quitada - Conforme informação Camila Kinbox</t>
  </si>
  <si>
    <t>Encaminhada Mariana 6/2/2025</t>
  </si>
  <si>
    <t>Maria Rosete da Silva Santos</t>
  </si>
  <si>
    <t>SEGUNDA LICENCIATURA EM LETRAS – PORTUGUÊS E INGLÊS</t>
  </si>
  <si>
    <t>Marivalda de cassia Almeida Mendes Soares</t>
  </si>
  <si>
    <t>Antônio Vieira da Silva Júnior</t>
  </si>
  <si>
    <t>Pós Graduação em Gestão, Licenciamento e Auditoria Ambiental</t>
  </si>
  <si>
    <t>Financeiro não localizado, o aluno deve ter ganhado de brinde por ter pago uma SL no cartão</t>
  </si>
  <si>
    <t>Precisa enviar apenas mais um documento</t>
  </si>
  <si>
    <t>Tatiana Farias Bezerra</t>
  </si>
  <si>
    <t>Aluna quitada-ativa até 19/01/2025</t>
  </si>
  <si>
    <t>Aluna não localizada nas plataformas de estudo</t>
  </si>
  <si>
    <t>Will Robson Paulo da Silva</t>
  </si>
  <si>
    <t>Jeneffer Vilela de Souza</t>
  </si>
  <si>
    <t xml:space="preserve"> Formação Pedagógica em Pedagogia R2</t>
  </si>
  <si>
    <t>Financeiro localizado se encontra sem descrição mas está todo pago</t>
  </si>
  <si>
    <t xml:space="preserve">historico do ensino medio ilegivel </t>
  </si>
  <si>
    <t>Aprovada em 12/12/24</t>
  </si>
  <si>
    <t>ANDRESSA BERTON DE CARLI</t>
  </si>
  <si>
    <t>PPS não foi localizado no dia 12 de maio de 2025, nao foram encontradas novamente 27/06/2025</t>
  </si>
  <si>
    <t>Diógenes Almeida Queiroz Diógenes Segundo</t>
  </si>
  <si>
    <t>Aprovado em 29/02/2024</t>
  </si>
  <si>
    <t>Heitor Dias Antunes Pereira</t>
  </si>
  <si>
    <t xml:space="preserve">PPs Aprovadas 16/01/2024- TCC aprovado 16/01/2024 </t>
  </si>
  <si>
    <t>Certidão de Casamento</t>
  </si>
  <si>
    <t>Ana Paula Menini Perusini</t>
  </si>
  <si>
    <t>Aluna ainda tem 2 parcelas para pagar, uma dela se encontra em atraso</t>
  </si>
  <si>
    <t>Aprovada em 30/08/24</t>
  </si>
  <si>
    <t>Gilvan Herbert de Freitas</t>
  </si>
  <si>
    <t>Quitado, expirou em 07/11/2024 e contratou 2 meses de extensão validos até dia 28/01/2025</t>
  </si>
  <si>
    <t>Aprovado 08/01</t>
  </si>
  <si>
    <t>VANESSA BATISTA ALMEIDA DA SILVA</t>
  </si>
  <si>
    <t>FORMAÇÃO PEDAGÓGICA EM GEOGRAFIA- U</t>
  </si>
  <si>
    <t>Aprovado 19/12</t>
  </si>
  <si>
    <t>Márcia Cristina Borges de Sousa</t>
  </si>
  <si>
    <t>Camila Pereira Gonçalves de Souza</t>
  </si>
  <si>
    <t>Ricardo Luiz Rodrigues</t>
  </si>
  <si>
    <t xml:space="preserve"> Segunda Licenciatura em Pedagogia</t>
  </si>
  <si>
    <t>Aluno ainda precisa regularizar 3 parcelas que tem para pagar uma delas inclsuive está vencida</t>
  </si>
  <si>
    <t xml:space="preserve">Aprovado em 31/01/25 </t>
  </si>
  <si>
    <t>Beatriz Cristina Batista Rodrigues</t>
  </si>
  <si>
    <t>Aluna com varios financeiros sem descrição a qual curso pertence mas não tem nada mais para pagar</t>
  </si>
  <si>
    <t>Aprovada não liberada a correção- BloqueadoContrato expirado</t>
  </si>
  <si>
    <t>Solange de Assunção Colaça</t>
  </si>
  <si>
    <t>Pós-graduação em psicanálise</t>
  </si>
  <si>
    <t>Quitada e iniciou em 10/08/2022, contratou uma extensão por um mês e expira em 16/01/2025.</t>
  </si>
  <si>
    <t>Estágio não localizado</t>
  </si>
  <si>
    <t>Manoel Oliveira Izoton</t>
  </si>
  <si>
    <t>Formação Pedagógica em Educação Física - 1200 Horas</t>
  </si>
  <si>
    <t>Curso quitado</t>
  </si>
  <si>
    <t>Precisa enviar o (Comprovante de Quitação Eleitoral)</t>
  </si>
  <si>
    <t>Aprovado em 22/12/24</t>
  </si>
  <si>
    <t>Giovana Cristiane Dos Santos Ferreira</t>
  </si>
  <si>
    <t>Aluna ainda tem 18 parcelas para pagar e tem a parcela deste mês em atraso</t>
  </si>
  <si>
    <t>Não localizada na simple</t>
  </si>
  <si>
    <t xml:space="preserve">Jovanil da Silva Campos </t>
  </si>
  <si>
    <t>280.271.671-91</t>
  </si>
  <si>
    <t>Segunda Licenciatura em Letras</t>
  </si>
  <si>
    <t>Iniciou dia 24/01/2021 e expirou 21/05/2022 curso quitado contratou extensão de um mês mas a expirou</t>
  </si>
  <si>
    <t>Precisa finalizar 9 disciplinas</t>
  </si>
  <si>
    <t>Estágio pré aprovado em 12/05/2025. Aguardando análise</t>
  </si>
  <si>
    <t>Lusineide Carvalho de Matos</t>
  </si>
  <si>
    <t>Aprovada em 08/11/24</t>
  </si>
  <si>
    <t>Diploma do Ensino Superior e ensino medio</t>
  </si>
  <si>
    <t>019.399.494-16</t>
  </si>
  <si>
    <t>Iniciou dia 17/10/2023 e expira em 17/02/2023 curso quitado</t>
  </si>
  <si>
    <t>Aldeir de Moura Costa</t>
  </si>
  <si>
    <t>Um financeiro localizado, sem descrição pago no cartão de crédito</t>
  </si>
  <si>
    <t>Aprovado 16/01</t>
  </si>
  <si>
    <t>Edmar da Mota Ferreira</t>
  </si>
  <si>
    <t>Aprovado em 24/12/24</t>
  </si>
  <si>
    <t>Sergio Alves Muniz</t>
  </si>
  <si>
    <t>Um financeiro localizado, sem descrição porém foi pago à vista</t>
  </si>
  <si>
    <t>Precisa enviar o CPF novamente</t>
  </si>
  <si>
    <t>Aprovado em 27/12/24</t>
  </si>
  <si>
    <t>Aluna pagou 2 cursos a vista ela ganhou esta pós de brinde</t>
  </si>
  <si>
    <t xml:space="preserve"> TCC não é obrigatório</t>
  </si>
  <si>
    <t>Felipe Rodrigues Borges</t>
  </si>
  <si>
    <t>Financeiro sem descrição, pago</t>
  </si>
  <si>
    <t>PPs enviadas e solicitação de correção encaminhada/ Contrato expirado</t>
  </si>
  <si>
    <t>Fabiano Luciano Pessoa</t>
  </si>
  <si>
    <t>074.790.436-78</t>
  </si>
  <si>
    <t>Quitado, curso pago à vista</t>
  </si>
  <si>
    <t>Aprovado 09/01/2025</t>
  </si>
  <si>
    <t>Precisa enviar ainda varios documentos</t>
  </si>
  <si>
    <t>Precisa finalizar 7 disciplinas</t>
  </si>
  <si>
    <t>Viviane Rosa Pires</t>
  </si>
  <si>
    <t>Quitada. Aluna ativa até 11-01-2025</t>
  </si>
  <si>
    <t xml:space="preserve">Precisa enviar o RG </t>
  </si>
  <si>
    <t>Aprovada 19/12/2024</t>
  </si>
  <si>
    <t>Filipe Lopes de Oliveira</t>
  </si>
  <si>
    <t>Aluna ainda possui duas parcelas a serem pagas para quitar o curso</t>
  </si>
  <si>
    <t>Siro de Oliveira Santos</t>
  </si>
  <si>
    <t>Alan Maxi de Paula Dionísio</t>
  </si>
  <si>
    <t>Segunda Licenciatura em Matemática</t>
  </si>
  <si>
    <t>Sônia Maria Gomes Coelho</t>
  </si>
  <si>
    <t>Ranina Santos da Silva</t>
  </si>
  <si>
    <t>José Muriel Oliveira Alves</t>
  </si>
  <si>
    <t>Solicitação de correção via email 27/06/2025</t>
  </si>
  <si>
    <t>Luiz José Mesquita Fratini</t>
  </si>
  <si>
    <t>Pós-graduação neuroeducação</t>
  </si>
  <si>
    <t>Precisa finalizar 1 disciplina ainda</t>
  </si>
  <si>
    <t>Fausta Galdino Beleza</t>
  </si>
  <si>
    <t>Certidão de nascimento ilegivel, RG ilegivel</t>
  </si>
  <si>
    <t>Aprovada em 04/02/25</t>
  </si>
  <si>
    <t>Sandra Cristina Bradley de Souza Leão</t>
  </si>
  <si>
    <t>-</t>
  </si>
  <si>
    <t>Análise Concluída, Atualizada em Abril, Urgente</t>
  </si>
  <si>
    <t>Fabiana de Campos Oliveira Goncalez</t>
  </si>
  <si>
    <t>024.623.921-22</t>
  </si>
  <si>
    <t>FP - Ciências Sociais educa +. #FPCS+ 580h</t>
  </si>
  <si>
    <t xml:space="preserve">Efetuou o pagamento de 10 parcelas de R$ 99,90 (não sei se foi promoção). Iniciou em 20/12/2022 e expirou em 13/04/2024
</t>
  </si>
  <si>
    <t>Restam  2 disciplinas para concluir</t>
  </si>
  <si>
    <t xml:space="preserve">Não encaminhou as práticas pedagógicas
</t>
  </si>
  <si>
    <t xml:space="preserve">Jaqueline Rangel </t>
  </si>
  <si>
    <t>Preciso saber qual curso e plataforma da aluna</t>
  </si>
  <si>
    <t>Yennifer Andrea Escobar Restrepo</t>
  </si>
  <si>
    <t>FORMAÇÃO PEDAGÓGICA EM LETRAS PORTUGUÊS / INGLÊS</t>
  </si>
  <si>
    <t>Financeiro localizado se encontra sem descrição mas a aluna não deve nada</t>
  </si>
  <si>
    <t>Precisa enviar o (Título de Eleito )</t>
  </si>
  <si>
    <t>Pré Aprovada falta regularizar documentação</t>
  </si>
  <si>
    <t>Aluna deve ter ganhado essa pós de brinde após ter pago dois cursos à vista</t>
  </si>
  <si>
    <t>Não encaminhou as práticas pedagógicas</t>
  </si>
  <si>
    <t>Segunda Licenciatura Em Letras Português / Espanhol</t>
  </si>
  <si>
    <t>Quitada, pagou à vista</t>
  </si>
  <si>
    <t>Aluno Certificado</t>
  </si>
  <si>
    <t>José Ademir de Medeiros</t>
  </si>
  <si>
    <t>Um financeiro localizado, sem descrição porém se encontra todo pago</t>
  </si>
  <si>
    <t>Não localizei entrega de práticas pedagógicas entrei em contato com o aluno.</t>
  </si>
  <si>
    <t>Beatriz Terezinha de Vargas</t>
  </si>
  <si>
    <t>Formação Pedagógica em Filosofia</t>
  </si>
  <si>
    <t>Aluna inadimplente, com muitas parcelas vencidas. (Encaminhar ao financeiro)</t>
  </si>
  <si>
    <t>Formação Pedagógica Em Pedagogia</t>
  </si>
  <si>
    <t>Leandra Ribeiro de Almeida Nogueira</t>
  </si>
  <si>
    <t>Quitada no cartão de crédito em 12 vezes. Iniciou em 05/10/2022 e expirou em 05/02/2024</t>
  </si>
  <si>
    <t>Aluno não localizado nas plataformas de estudo</t>
  </si>
  <si>
    <t>William Marques De Souza</t>
  </si>
  <si>
    <t>Quitado, inicio em 06/10/2023 expira em 06/02/2025.</t>
  </si>
  <si>
    <t>Geraldo Dornelas de Assis Júnior</t>
  </si>
  <si>
    <t>Quitado, contratou 3 meses de extensão validos até dia 03/10/2024</t>
  </si>
  <si>
    <t>Wilson Raphael Monteiro da Silva</t>
  </si>
  <si>
    <t>Complementação pedagógica em Música</t>
  </si>
  <si>
    <t>Quitado em 18/09/2024, expirou em 30/11/2024.</t>
  </si>
  <si>
    <t>Rosinalva Moreira Santos Bezerra</t>
  </si>
  <si>
    <t>Segunda Licenciatura em Pedagogia 2022</t>
  </si>
  <si>
    <t>Quitado em 17/04/2023, expirou em 18/06/2023.</t>
  </si>
  <si>
    <t>Ezequiel Teixeira Cruz</t>
  </si>
  <si>
    <t>Pós-Graduação em Inteligência Artificial</t>
  </si>
  <si>
    <t>Quitado, vai expirou em 30/12/2024</t>
  </si>
  <si>
    <t>Encaminado para Erik 31/1 - Aluno não é Pós-Graduação</t>
  </si>
  <si>
    <t>Normal, Análise Concluída</t>
  </si>
  <si>
    <t>Nicolle Luiza Benfica Brandão</t>
  </si>
  <si>
    <t>Não solicitado</t>
  </si>
  <si>
    <t>Aprovada em 07/02/25</t>
  </si>
  <si>
    <t>Sérgio Henrique de Campos Esporte</t>
  </si>
  <si>
    <t>Quitado em 10/09/2022 expirou em 01/01/2024</t>
  </si>
  <si>
    <t>Precisa  enviar toda a documentação</t>
  </si>
  <si>
    <t>Maurício Fogli Cruzeiro Machado</t>
  </si>
  <si>
    <t>Quitado, pagou no cartão de credito</t>
  </si>
  <si>
    <t>Aluno ainda precisa finalizar algumas disciplinas</t>
  </si>
  <si>
    <t>Soraia Maria Batista Andrade de Sousa</t>
  </si>
  <si>
    <t>807 231 281 20</t>
  </si>
  <si>
    <t>Documentação Incompleto</t>
  </si>
  <si>
    <t>Falta PPII</t>
  </si>
  <si>
    <t>Cristiana de Souza Freire</t>
  </si>
  <si>
    <t>Iniciou dia 15/08/2023 e expirou dia 15/12/2024 curso quitado</t>
  </si>
  <si>
    <t>Aluna realizou apenas uma disciplina</t>
  </si>
  <si>
    <t>Foi verificado novamente em 29 de maio e não foram localizadas</t>
  </si>
  <si>
    <t xml:space="preserve"> Iniciou dia 08/11/2023 e expira em 08/03/2025 curso quitado </t>
  </si>
  <si>
    <t>Aluna não realizou nenhuma disciplina</t>
  </si>
  <si>
    <t>Luana Moreira de Souza</t>
  </si>
  <si>
    <t>340.673.278-03</t>
  </si>
  <si>
    <t>NOVO-Pós-Graduação em Psicanálise 800 Horas</t>
  </si>
  <si>
    <t>Quitado, iniciou em 14/11/2023 expirou 14/03/2025.</t>
  </si>
  <si>
    <t>Aprovdo em todas as disciplinas</t>
  </si>
  <si>
    <t>Valberto Ferreira da Silva</t>
  </si>
  <si>
    <t>039.234.944-24</t>
  </si>
  <si>
    <t>SEGUNDA LICENCIATURA EM MÚSICA - 2024</t>
  </si>
  <si>
    <t>Juliana Bessa de Souza Rocha</t>
  </si>
  <si>
    <t>101.414.377-23</t>
  </si>
  <si>
    <t>Segunda Licenciatura em Letras Português-Libras</t>
  </si>
  <si>
    <t>Iniciou em 16/06/2022 e expirou 16/10/2023 aluna deve muitas parcelas</t>
  </si>
  <si>
    <t>Encaminhado para Miguel 3-2</t>
  </si>
  <si>
    <t>Lucas Gomes Ramos</t>
  </si>
  <si>
    <t xml:space="preserve">018.849.412-06	</t>
  </si>
  <si>
    <t>Iniciou em 20/07/2023 e expirou dia 20/11/2024 curso quitado</t>
  </si>
  <si>
    <t>Quitado, iniciou em 09/06/2023 e expirou em 09/10/2024.</t>
  </si>
  <si>
    <t>Reprovada em uma disciplina</t>
  </si>
  <si>
    <t>Não necessario.</t>
  </si>
  <si>
    <t>Juliana Maria Corallo Quinan</t>
  </si>
  <si>
    <t>926.965.970-49</t>
  </si>
  <si>
    <t>Encaminhada para Miguel 11/2/25</t>
  </si>
  <si>
    <t>013.187.702-03</t>
  </si>
  <si>
    <t>PÓS-GRADUAÇÃO EM MUSICOTERAPIA</t>
  </si>
  <si>
    <t>TCC pré aprovado.</t>
  </si>
  <si>
    <t>908.804.802-97</t>
  </si>
  <si>
    <t>Regiane Alves Rodrigues</t>
  </si>
  <si>
    <t>131.250.556-79</t>
  </si>
  <si>
    <t>Iniciou dia 13/03/2023 e expirou em 13/07/2024 curso quitado</t>
  </si>
  <si>
    <t>Entregue e deferida-  Na simple não tinha campo para inserir titulo eleitoral, documentos de ensino médio. Devido a isso, foram salvos no Drive</t>
  </si>
  <si>
    <t xml:space="preserve">Aluna apta </t>
  </si>
  <si>
    <t>Renata Pires Tavares</t>
  </si>
  <si>
    <t>969.293.671-68</t>
  </si>
  <si>
    <t xml:space="preserve">Aprovada em 13/11/24 </t>
  </si>
  <si>
    <t>Danieli de Castro Silva</t>
  </si>
  <si>
    <t>369.365.528-62</t>
  </si>
  <si>
    <t>Anna Karina Silva de Souza</t>
  </si>
  <si>
    <t>027.239.532-38</t>
  </si>
  <si>
    <t>Iniciou em 07/06/2023 expirou dia 07/10/2024 curso quitado</t>
  </si>
  <si>
    <t>Jônatas Silva</t>
  </si>
  <si>
    <t>144.865.267-75</t>
  </si>
  <si>
    <t>Pós-Graduação em Metodologia do Ensino de Filosofia</t>
  </si>
  <si>
    <t>Aurimar Silvestre Spalatti</t>
  </si>
  <si>
    <t>452.933.091-53</t>
  </si>
  <si>
    <t>Pós graduação em recursos humanos</t>
  </si>
  <si>
    <t>Iniciou dia 04/01/2023 e expira em 04/05/2025 aluna pagou apenas 3 parcelas</t>
  </si>
  <si>
    <t>Noelma Martins Sant Anna</t>
  </si>
  <si>
    <t>075.162.167-63</t>
  </si>
  <si>
    <t>iniciou em 16/05/2023 e expirou 16/09/2024 curso quitado no cartão de crédito</t>
  </si>
  <si>
    <t>Foi solicitado correções para a aluna, PP BNCC.</t>
  </si>
  <si>
    <t>Encaminhado para Tais - 3-2-25</t>
  </si>
  <si>
    <t>Ariana Guimarães Silva</t>
  </si>
  <si>
    <t>007.384.971-50</t>
  </si>
  <si>
    <t>Iniciou em 14/02/2023 e expirou dia 14/06/2024 curso quitado</t>
  </si>
  <si>
    <t>Urgente, Falta Documentação</t>
  </si>
  <si>
    <t>Jeane Mendes da Silva Muniz</t>
  </si>
  <si>
    <t>088.934.844-80</t>
  </si>
  <si>
    <t>Iniciou em 05/01/2022 e expirou curso quitado contratou uma extensão dde um mês no dia 13/08/2024 e expirou dia 13/09/2024</t>
  </si>
  <si>
    <t>Solicitado via chat 11/2/25/ Refprçado dia 12/2</t>
  </si>
  <si>
    <t>Estagio Aprovadas</t>
  </si>
  <si>
    <t>Patrícia Pimenta Prado</t>
  </si>
  <si>
    <t>278.532.038-70</t>
  </si>
  <si>
    <t>Segunda Licenciatura em Ciências Biológicas</t>
  </si>
  <si>
    <t>Iniciou em 29/06/2023 e expirou 29/10/2024 curso quitado</t>
  </si>
  <si>
    <t>Mariana Aparecida Almeida Amaral</t>
  </si>
  <si>
    <t>091.333.296-80</t>
  </si>
  <si>
    <t>Pós Graduação em Educação Especial</t>
  </si>
  <si>
    <t>Não encontrei a aluna em lugar algum!</t>
  </si>
  <si>
    <t>Aluna sem plataforma</t>
  </si>
  <si>
    <t>Encaminhado para Miguel 3-2-25</t>
  </si>
  <si>
    <t>Roseli de Paula Souza Dias</t>
  </si>
  <si>
    <t xml:space="preserve">Pós em Psicanálise </t>
  </si>
  <si>
    <t>Iniciou dia 21/06/2022 e expirou em 21/010/2023 curso quitado</t>
  </si>
  <si>
    <t>Solciitado via chat 3/2/25/ Reforçado via chat 12/2</t>
  </si>
  <si>
    <t>003.590.910-24</t>
  </si>
  <si>
    <t xml:space="preserve">Segunda Licenciatura em história </t>
  </si>
  <si>
    <t>Iniciou dia 13/10/2023 e expirou dia 13/02/2025 curso quitado</t>
  </si>
  <si>
    <t>Jonnhy Pierri Oliveira Mota</t>
  </si>
  <si>
    <t xml:space="preserve"> Formação Pedagógica em Pedagogia</t>
  </si>
  <si>
    <t>Iniciou dia 28/09/2023 e expira 28/02/2025 falta 2 parcelas para o aluno quitar</t>
  </si>
  <si>
    <t>Érica Patrícia Pinheiro de Oliveira</t>
  </si>
  <si>
    <t>102.063.806-07</t>
  </si>
  <si>
    <t>Pós-Graduação em Ensino de Ciências</t>
  </si>
  <si>
    <t>documentos incompletos</t>
  </si>
  <si>
    <t>Jose Arthur carneiro da costa</t>
  </si>
  <si>
    <t>Eugênio Tavares de Mendonça Júnior</t>
  </si>
  <si>
    <t>115.042.786-82</t>
  </si>
  <si>
    <t>Pós graduação em Gestão Empresarial</t>
  </si>
  <si>
    <t>031.361.690-69</t>
  </si>
  <si>
    <t>Iniciou em 05/10/2023 e expira 05/02/2023 curso quitado</t>
  </si>
  <si>
    <t>072.748.191-60</t>
  </si>
  <si>
    <t>Pós-Graduação em Psicologia Educacional</t>
  </si>
  <si>
    <t>Quitado, iniciou em 31/03/2023 expirou 31/07/2024.</t>
  </si>
  <si>
    <t>aprovado em todas as disciplinas.</t>
  </si>
  <si>
    <t>Mediana, Urgente</t>
  </si>
  <si>
    <t>Aline ferreira dos Santos</t>
  </si>
  <si>
    <t>039.733.329-32</t>
  </si>
  <si>
    <t>Aprovada 06/02/2025</t>
  </si>
  <si>
    <t>Marcilene Gonçalves Moreira</t>
  </si>
  <si>
    <t>660.226.652-72</t>
  </si>
  <si>
    <t>Iniciou dia 13/12/2022 e expirou em 13/04/2024 curso quitado</t>
  </si>
  <si>
    <t>Entregue e Deferido - HISTORICO E CERTIFICADO NO DRIVE</t>
  </si>
  <si>
    <t>Janathan Firmino Dos Santos</t>
  </si>
  <si>
    <t>Aprovado em 07/02/25</t>
  </si>
  <si>
    <t>Thaís do Sacramento Catramby</t>
  </si>
  <si>
    <t>PÓS-GRADUAÇÃO EM ENSINO DA LÍNGUA INGLESA</t>
  </si>
  <si>
    <t>Quitada, iniciou em 18/10/2024 expira em 18 de outubro de 2024.</t>
  </si>
  <si>
    <t>Falta Tutoria, Falta Documentação</t>
  </si>
  <si>
    <t>Irene Carracena Moreira</t>
  </si>
  <si>
    <t>090.807.287-21</t>
  </si>
  <si>
    <t xml:space="preserve">Pós graduação em neuropsicopedagogia clinica e institucional </t>
  </si>
  <si>
    <t>Quitado, iniciou em 04/08/2021 e expirou em 04/12/2022. Agendou o pagamento da extensão para hoje (31/03/2025) , mas até o momento desta análise o pagamento está pendente.</t>
  </si>
  <si>
    <t>Falta Documentação, Falta Plataforma, Falta Tutoria, Falta Financeiro</t>
  </si>
  <si>
    <t>Dayanna Cecília de Oliveira e Silva Pantoja</t>
  </si>
  <si>
    <t>858.961.872-20</t>
  </si>
  <si>
    <t>Quitado iniciou em 16/11/2021 expirou em 16/03/2023</t>
  </si>
  <si>
    <t>Não localizdo</t>
  </si>
  <si>
    <t>Não encontrei plataforma</t>
  </si>
  <si>
    <t>PPS Não localizadas</t>
  </si>
  <si>
    <t>Cláudio Regina Silva Medeiros</t>
  </si>
  <si>
    <t>647.073.005-10</t>
  </si>
  <si>
    <t xml:space="preserve"> Iniciou dia 30/09/2023 e expirou em 30/01/2025</t>
  </si>
  <si>
    <t>Elisiane Andrade Lima</t>
  </si>
  <si>
    <t>106.027.036-62</t>
  </si>
  <si>
    <t>Iniciou dia 20/04/2021 e expirou dia 20/08/2022 curso quitado contratou uma extensão dia 04/07/2023 e expirou dia 04/08/2023, contratou mais uma extensão dia 30/01/2024 e expirou dia 30/02/2024</t>
  </si>
  <si>
    <t>Solciitado documentação via chat 19/2</t>
  </si>
  <si>
    <t>Pós de brinde do curso a cima!</t>
  </si>
  <si>
    <t>Não precisa no curso</t>
  </si>
  <si>
    <t>José Everton de Castro Júnior</t>
  </si>
  <si>
    <t>357.577.603-20</t>
  </si>
  <si>
    <t xml:space="preserve">Iniciou dia 06/09/2022 e expirou em 06/01/2024 curso quitado </t>
  </si>
  <si>
    <t>Aprovada em apenas uma disciplina</t>
  </si>
  <si>
    <t>Patricia de Sousa Gomes</t>
  </si>
  <si>
    <t>008.051.343-36</t>
  </si>
  <si>
    <t>Iniciou dia 26/04/2023 e expirou dia 26/08/2024 curso quitado</t>
  </si>
  <si>
    <t>Jacy Krissly de Oliveira Silva</t>
  </si>
  <si>
    <t xml:space="preserve">	041.861.144-04</t>
  </si>
  <si>
    <t>Iniciou dia 10/05/2023 e expirou dia 10/09/2024 curso quitado</t>
  </si>
  <si>
    <t>Carlos Alberto Sousa dos Santos</t>
  </si>
  <si>
    <t>133.776.668-26</t>
  </si>
  <si>
    <t>Iniciou dia 31/01/2024 e expira dia 31/05/2025 Quitado</t>
  </si>
  <si>
    <t>Não tem neste curso</t>
  </si>
  <si>
    <t xml:space="preserve">027.738.751-50
</t>
  </si>
  <si>
    <t>Capacitação em alfabetização e letramento</t>
  </si>
  <si>
    <t xml:space="preserve"> Iniciou dia 16/12/2024 e expira 16/12/2025 curso quitado</t>
  </si>
  <si>
    <t>Capacitação em educação física infantil</t>
  </si>
  <si>
    <t>Francisca Dantas de Almeida</t>
  </si>
  <si>
    <t>900.398.404-25</t>
  </si>
  <si>
    <t>Iniciou dia 09/07/2024 e expirou em 09/12/2025 curso quitado</t>
  </si>
  <si>
    <t xml:space="preserve">Entregue e Deferido no Drive, não está salvando os docs na Gringa </t>
  </si>
  <si>
    <t>José Genildo Araújo Silva Junior</t>
  </si>
  <si>
    <t>Quitado, iniciou em 08/01/2021, contratou extensões expirou em 13/03/2023</t>
  </si>
  <si>
    <t xml:space="preserve">Naisa Cândida Garcia </t>
  </si>
  <si>
    <t>214.916.258-05</t>
  </si>
  <si>
    <t>Pós-Graduação em Terapia Familíar</t>
  </si>
  <si>
    <t>Em dia, falta 1 parcela para quitar, iniciou em 19/04/2022 expirou em 19/08/2023.</t>
  </si>
  <si>
    <t>Concluída</t>
  </si>
  <si>
    <t>Encaminhada para Miguel</t>
  </si>
  <si>
    <t>Débora Mascarenhas Medeiros</t>
  </si>
  <si>
    <t>028.888.919-30</t>
  </si>
  <si>
    <t>Segunda Licenciatura em Pedagogia.</t>
  </si>
  <si>
    <t>Iniciou dia 01/08/2024 e expira 01/12/2025 curso quitado</t>
  </si>
  <si>
    <t>PPS aprovadas dia 10/01/2025</t>
  </si>
  <si>
    <t>Danielle Mendonça Brandão</t>
  </si>
  <si>
    <t>002.543.375-03</t>
  </si>
  <si>
    <t>Curso pós graduação em psicanálise/Inicio: 27/10/2023/Expira em : 27/02/2025/Financeiro quitado</t>
  </si>
  <si>
    <t>Gilmar Rodrigues</t>
  </si>
  <si>
    <t>039.985.886-55</t>
  </si>
  <si>
    <t>Pós-Graduação em Neuropsicanálise Clínica</t>
  </si>
  <si>
    <t>Quitado, iniciou em 15/12/2023 e expira em 15/04/2025.</t>
  </si>
  <si>
    <t>Não encaminhou documentos</t>
  </si>
  <si>
    <t>Não encaminhou estágio</t>
  </si>
  <si>
    <t>Luiz Jose Mesquita Fratini</t>
  </si>
  <si>
    <t>Aprovado em 16/01/25</t>
  </si>
  <si>
    <t>Alison Rosado Pinheiro</t>
  </si>
  <si>
    <t>006.079.150-05</t>
  </si>
  <si>
    <t>062.172.386-08</t>
  </si>
  <si>
    <t>Maria Domingas Alves</t>
  </si>
  <si>
    <t>001.795.255-73</t>
  </si>
  <si>
    <t>Iniciou dia 04/08/2023 e expirou em 04/012/2024 curso quitado</t>
  </si>
  <si>
    <t xml:space="preserve">Encaminhada Mariana </t>
  </si>
  <si>
    <t>Falta Plataforma, Falta Documentação, Falta Tutoria</t>
  </si>
  <si>
    <t>Inara Celiny Tavares Chave</t>
  </si>
  <si>
    <t>049.103.991-35</t>
  </si>
  <si>
    <t xml:space="preserve">Segunda licenciatura em pedagogia 
</t>
  </si>
  <si>
    <t>Iniciou dia 03/04/2023 e expirou 03/08/2024 curso quitado</t>
  </si>
  <si>
    <t>Aluna não foi aprovada em uma disciplina</t>
  </si>
  <si>
    <t>Jaci Ribeiro de Jesus</t>
  </si>
  <si>
    <t>Assinatura da carta de apresentação incorreta. (aguardando analise)</t>
  </si>
  <si>
    <t>Claudio Emir Bergmann</t>
  </si>
  <si>
    <t>Documentação incompleta</t>
  </si>
  <si>
    <t>Aprovado em 14/01/25</t>
  </si>
  <si>
    <t>Luis Pereira dos Santos</t>
  </si>
  <si>
    <t>406.305.281-87</t>
  </si>
  <si>
    <t>Segunda Licenciatura em Artes Visuais.</t>
  </si>
  <si>
    <t>Quitado, iniciou em 23/12/2024 e expira em 23/06/2026.</t>
  </si>
  <si>
    <t xml:space="preserve">Não localizadas - Cobrado envio do trabalho em </t>
  </si>
  <si>
    <t>Encaminhado Financeiro</t>
  </si>
  <si>
    <t>Encam</t>
  </si>
  <si>
    <t>Falta Documentação, Falta Financeiro, Falta Tutoria</t>
  </si>
  <si>
    <t>André Luis Peres de Souza</t>
  </si>
  <si>
    <t>321.551.838-44</t>
  </si>
  <si>
    <t>Formação pedagogica em pedagogia</t>
  </si>
  <si>
    <t>Iniciou dia 12/09/2023 e expirou em 12/01/2025 pagou apenas 1 parcela do curso</t>
  </si>
  <si>
    <t>Falta Documentação, Falta Plataforma, Falta Financeiro, Falta Tutoria</t>
  </si>
  <si>
    <t>Rafael Fernandes Ferreira</t>
  </si>
  <si>
    <t>909-907-652.53</t>
  </si>
  <si>
    <t xml:space="preserve"> Formação Pedagógica em Educação Física</t>
  </si>
  <si>
    <t>Iniciou dia 12/12/2023 e expira em 12/04/2025 falta uma parcela para quitar</t>
  </si>
  <si>
    <t>Maria da Glória Rabelo</t>
  </si>
  <si>
    <t>554.006.476-34</t>
  </si>
  <si>
    <t>Quitada, iniciou em 09/02/2023 contratou extensão por um més expirou em 27/04/2024.</t>
  </si>
  <si>
    <t>Aprovada em todas as diciplinas.</t>
  </si>
  <si>
    <t xml:space="preserve"> TCC Aprovado.</t>
  </si>
  <si>
    <t>Encaminhada para Erick</t>
  </si>
  <si>
    <t>Análise Concluída, Prcesso de certificação</t>
  </si>
  <si>
    <t>Isabela Rodrigues Helfstein</t>
  </si>
  <si>
    <t>979.966.291-53</t>
  </si>
  <si>
    <t>Iniciou dia 19/04/2023 e expirou em 19/08/2024 curso quitado contratou extesão de um mês no dia 22/10/2024 e expiru 22/11/2024</t>
  </si>
  <si>
    <t xml:space="preserve">Geni Gomes da Rocha </t>
  </si>
  <si>
    <t>Pós graduação em ensino religioso</t>
  </si>
  <si>
    <t>Gilson nascimento dos santos</t>
  </si>
  <si>
    <t>068.175.544-03</t>
  </si>
  <si>
    <t>Iniciou dia 26/10/2023 e expira 26/02/2025 curso quitado!</t>
  </si>
  <si>
    <t>Não localizei</t>
  </si>
  <si>
    <t>Urgente, Falta Tutoria, Falta Documentação, Falta Plataforma, Falta Financeiro</t>
  </si>
  <si>
    <t>Marcos de Jesus Alves</t>
  </si>
  <si>
    <t>PPs aprovadas, porém falta documentação e plataforma para formalização</t>
  </si>
  <si>
    <t>Lidia Santos Pereira</t>
  </si>
  <si>
    <t>716.498.162-00</t>
  </si>
  <si>
    <t>Iniciou dia 08/12/2023 e expirou em 08/04/2025 curso quitado</t>
  </si>
  <si>
    <t>Maria dos Santos Cardoso</t>
  </si>
  <si>
    <t>Aprovada em 10/02/25</t>
  </si>
  <si>
    <t>Alexandre Lima da SIlva</t>
  </si>
  <si>
    <t>759.509.362-72</t>
  </si>
  <si>
    <t>Iniciou dia 02/11/2023 e expira em 02/03/2025 curso quitado</t>
  </si>
  <si>
    <t>Viviane Santos Natal Silva</t>
  </si>
  <si>
    <t>045.552.656-70</t>
  </si>
  <si>
    <t>Iniciou dia 30/06/2023 e expirou dia 30/10/2024 curso quitado</t>
  </si>
  <si>
    <t>Karine Miguel Garcia</t>
  </si>
  <si>
    <t>325.961.268-85</t>
  </si>
  <si>
    <t>Iniciou dia 29/07/2022 e expirou em 29/11/2023 curso quitado, contratou extensão dia 08/03/2024 e expirou em 08/06/2024!</t>
  </si>
  <si>
    <t>Solicitado documentação via chat 10/2/2025</t>
  </si>
  <si>
    <t>Jocival Oliveira Melo</t>
  </si>
  <si>
    <t>781.800.905-15</t>
  </si>
  <si>
    <t>Iniciou dia 13/12/2022 e expirou 13/03/2024 curso quitado contratou extensão de 2 meses no dia 24/01/2025 e expira em 24/03/2025</t>
  </si>
  <si>
    <t>Laila Salermo Vieira Silva</t>
  </si>
  <si>
    <t xml:space="preserve">397.697.528-19 </t>
  </si>
  <si>
    <t>Iniciou dia 06/07/2024 e expira em 06/11/2025 curso quitado</t>
  </si>
  <si>
    <t>Práticas pedagógicas aprovadas</t>
  </si>
  <si>
    <t>Falta Financeiro, Falta Tutoria</t>
  </si>
  <si>
    <t>Vilson Ribeiro Santos</t>
  </si>
  <si>
    <t>184.616.678-08</t>
  </si>
  <si>
    <t xml:space="preserve">Segunda Licenciatura em pedagogia </t>
  </si>
  <si>
    <t>Inicio: 07-01-2025/ Não pagou nada, e está como cancelado</t>
  </si>
  <si>
    <t>Encaminhado ao financeiro</t>
  </si>
  <si>
    <t>Raquel Maria de Morais</t>
  </si>
  <si>
    <t>340.084.478-06</t>
  </si>
  <si>
    <t>Quitada, iniciou em 20/06/2020 contratou extensão e expirou em 01/03/2024.</t>
  </si>
  <si>
    <t>A aluna precisa encaminhar toda a documentação.</t>
  </si>
  <si>
    <t>Aprovado em todas disciplinas.</t>
  </si>
  <si>
    <t>Não encaminhou o trabalho com as correções solicitadas.</t>
  </si>
  <si>
    <t>Railena Pereira Braga</t>
  </si>
  <si>
    <t>Iniciou dia 14/04/2023 e expirou em 14/08/2024 aluna não quitou o curso</t>
  </si>
  <si>
    <t>Não enviou nenhum documento</t>
  </si>
  <si>
    <t xml:space="preserve">Solicitado correções para a aluna </t>
  </si>
  <si>
    <t>107.998.887-45</t>
  </si>
  <si>
    <t>iniciou o curso 24/07/2023 e expirou dia 24/11/2024 curso quitado</t>
  </si>
  <si>
    <t xml:space="preserve">Ivone dos Santos Poltranieri Ferreira </t>
  </si>
  <si>
    <t>066.803.661-35</t>
  </si>
  <si>
    <t>Quitada, iniciou em 26/07/2024 e expira em 26/11/2025.</t>
  </si>
  <si>
    <t>Encaminhada para Tutoria</t>
  </si>
  <si>
    <t xml:space="preserve">Cirlene Lopes de Lima </t>
  </si>
  <si>
    <t>042.452.983-16</t>
  </si>
  <si>
    <t>Pós-Graduação em Neuropsicopedagogia Institucional</t>
  </si>
  <si>
    <t>Quitada, iniciou em 28/12/2021 expirou em: 28/04/2023</t>
  </si>
  <si>
    <t xml:space="preserve">Roseli de Paula Dias </t>
  </si>
  <si>
    <t>Solicitado via chat 19/2</t>
  </si>
  <si>
    <t>Amanda Cristina Reis Clauzen</t>
  </si>
  <si>
    <t>304.990.838-65</t>
  </si>
  <si>
    <t xml:space="preserve"> Quitada, iniciou em 21/07/2023 expirou em 21/11/2024.
</t>
  </si>
  <si>
    <t>Sonize Herculino Bernardo</t>
  </si>
  <si>
    <t>010.721.154-84</t>
  </si>
  <si>
    <t>Quitada, iniciou em 28/07/2024 e expira em 28/11/2025</t>
  </si>
  <si>
    <t>Kelley Adriana Lopes Martins</t>
  </si>
  <si>
    <t>061.811.346-03</t>
  </si>
  <si>
    <t>Formação pedagógica em pedagogia</t>
  </si>
  <si>
    <t>Iniciou 28/10/2023 e expira dia 28/02/2025 curso quitado</t>
  </si>
  <si>
    <t>Solicitada via chat 14/2/25</t>
  </si>
  <si>
    <t>Pós-Graduação Educação Especial e Inclusiva</t>
  </si>
  <si>
    <t>Gabriela Rocha Araujo koppes</t>
  </si>
  <si>
    <t>064.664.283-97</t>
  </si>
  <si>
    <t xml:space="preserve"> iniciou dia 22/02/2023 e expirou em 22/06/2024 curso quitado</t>
  </si>
  <si>
    <t>Solicitado documentação</t>
  </si>
  <si>
    <t>Rafael Oliveira Silva</t>
  </si>
  <si>
    <t>021.310.741-40</t>
  </si>
  <si>
    <t xml:space="preserve"> Segunda licenciatura em matemática</t>
  </si>
  <si>
    <t>Iniciou dia 17/08/2023 e expirou dia 17/12/2024 curso quitado</t>
  </si>
  <si>
    <t>Urgente, Falta Tutoria, Falta Financeiro</t>
  </si>
  <si>
    <t>Rosineia Corrêa da Silva Aires</t>
  </si>
  <si>
    <t>017.927.627-12</t>
  </si>
  <si>
    <t>Encaminhada para Claudinei - Financeiro</t>
  </si>
  <si>
    <t xml:space="preserve">Ednalva de Sousa Saraiva </t>
  </si>
  <si>
    <t>283.211.462-87</t>
  </si>
  <si>
    <t xml:space="preserve"> Iniciou dia 15/04/2020 e expirou dia 15/08/2021 curso quitado, aluna fez um acordo de reativação 08/08/2024 e expirou</t>
  </si>
  <si>
    <t xml:space="preserve">Aluna aprovada no estagio remoto! </t>
  </si>
  <si>
    <t>Pagou taxa Unift</t>
  </si>
  <si>
    <t>Helena Silvia Mathei Sather</t>
  </si>
  <si>
    <t>000.298.240-44</t>
  </si>
  <si>
    <t>Patrícia Lopes de Freitas Silva</t>
  </si>
  <si>
    <t>106.310.137-92</t>
  </si>
  <si>
    <t>Inicou em 29/03/2023 e expiru em 29/07/2024 curso quitado</t>
  </si>
  <si>
    <t>Iniciou dia 04/02/2022 e expirou em 04/06/2023 curso quitado</t>
  </si>
  <si>
    <t>Cristiane Reis Soares</t>
  </si>
  <si>
    <t>008.432.185-76</t>
  </si>
  <si>
    <t>Pós-Graduação Em Neuropsicopedagogia Institucional, Clínica E Hospitalar</t>
  </si>
  <si>
    <t>Não enviou o estágio</t>
  </si>
  <si>
    <t>Lilian graciela moreira</t>
  </si>
  <si>
    <t xml:space="preserve">	285.943.998-63</t>
  </si>
  <si>
    <t>Iniciou dia 10/06/2022 e expirou em 10/10/2023 curso quitado</t>
  </si>
  <si>
    <t>Falta Tutoria, Falta Financeiro</t>
  </si>
  <si>
    <t>Segunda Licenciatura em geografia</t>
  </si>
  <si>
    <t>Iniciou dia 29/09/2023 e expirou 29/01/2025 aluna esta devendo diversas parcelas do curso</t>
  </si>
  <si>
    <t>Não foi aprovada em todas as disciplinas</t>
  </si>
  <si>
    <t>Falta Documentação, Falta Tutoria, Falta Financeiro</t>
  </si>
  <si>
    <t>Luis carlos da fonseca</t>
  </si>
  <si>
    <t>132.233.838-83</t>
  </si>
  <si>
    <t>Iniciou dia 29/09/2023 e expirou 29/01/2025 aluno esta devendo diversas parcelas do curso</t>
  </si>
  <si>
    <t>Glaibe Martins de Souza</t>
  </si>
  <si>
    <t>Formação pedagógica em educação física</t>
  </si>
  <si>
    <t>Iniciou dia 26/02/2024 e expira em 26/05/2025 curso quitado</t>
  </si>
  <si>
    <t>Pré aprovado, falta regularizar documentos.</t>
  </si>
  <si>
    <t>Valéria Santos Ribeiro Felix</t>
  </si>
  <si>
    <t>017.412.527-50</t>
  </si>
  <si>
    <t>Segunda licenciatura em Letras português inglês</t>
  </si>
  <si>
    <t>Iniciou dia 26/12/2022 e expirou em 26/04/2024 curso quitado contratou uma extensão         01/10/2024 e expirou em 01/11/2024</t>
  </si>
  <si>
    <t>William Alves da Silva</t>
  </si>
  <si>
    <t>352.165.458-32</t>
  </si>
  <si>
    <t>uitado, iniciou em 10/07/2023 expirou em 10/11/2024.</t>
  </si>
  <si>
    <t>Rafael Alves Da Silva</t>
  </si>
  <si>
    <t xml:space="preserve">	044.868.764-07</t>
  </si>
  <si>
    <t>Iniciou dia 24/01/2024 e expira em 24/05/2025 curso quitado</t>
  </si>
  <si>
    <t>Elbio Luiz Silva de Oliveira</t>
  </si>
  <si>
    <t>395.650.921-87</t>
  </si>
  <si>
    <t>Quitado, iniciou em 01/07/2021, contratou extensão e expirou em 16/02/2025</t>
  </si>
  <si>
    <t xml:space="preserve">Aprovado em todas as disciplinas
</t>
  </si>
  <si>
    <t>Luana Ribeiro Matos Rosa</t>
  </si>
  <si>
    <t xml:space="preserve">398.986.558-79
</t>
  </si>
  <si>
    <t>Iniciou dia 30/01/2023 e expira em 30/05/2025 curso quitado</t>
  </si>
  <si>
    <t>Dispensada da realização de PPS</t>
  </si>
  <si>
    <t>Pedro Martins Junior</t>
  </si>
  <si>
    <t>Sugestões</t>
  </si>
  <si>
    <t>Matheus Henrique Schio</t>
  </si>
  <si>
    <t xml:space="preserve"> 098.152.219-06
</t>
  </si>
  <si>
    <t>Formação pedagógica em geografia</t>
  </si>
  <si>
    <t>Gessirlane de Almeida Amarante</t>
  </si>
  <si>
    <t>092.350.467-26</t>
  </si>
  <si>
    <t xml:space="preserve">iniciou dia 31/03/2020 e expirou 30/07/2022, pagou um acordo dia 09/09/2023 e expirou dia 09/09/2024 </t>
  </si>
  <si>
    <t>Caroline Regina Custódio</t>
  </si>
  <si>
    <t>094.819.549-51</t>
  </si>
  <si>
    <t xml:space="preserve"> Formação Pedagógica em Música</t>
  </si>
  <si>
    <t>iniciou dia 15/09/2023 e expirou em 15/02/2025 curso quitado</t>
  </si>
  <si>
    <t>Villana Mercia Oliveira Freire Gomes</t>
  </si>
  <si>
    <t>014.349.243-86</t>
  </si>
  <si>
    <t>Iniciou dia 07/07/2022 e expirou em 07/11/2023 curso quitado</t>
  </si>
  <si>
    <t>Glauce Ariane Dias Barbara</t>
  </si>
  <si>
    <t>065.494.949-23</t>
  </si>
  <si>
    <t xml:space="preserve"> Iniciou dia 25/10/2022 e expirou em 25/02/2024 curso quitado(O unico financeiro que encontrei foi este do curso de PEDAGOGIA PARA BACHARÉIS E TECNÓLOGOS (TELESAPIENS) 2022 - Grupo Zayn - Segunda Graduação</t>
  </si>
  <si>
    <t>Documento no Drive (tem encaminhar quitação eleitoral atualizado e foto do aluno.</t>
  </si>
  <si>
    <t>Karine Monteiro Silva Brasil Almeida</t>
  </si>
  <si>
    <t>866.803.071-04</t>
  </si>
  <si>
    <t>Não encontrei em lugar algum, aluno contratou uma pós em sexologia a vista creio que esta pós de brinde!</t>
  </si>
  <si>
    <t>Falta Tutoria, Falta Documentação, Aluno no Setor de Cobrança</t>
  </si>
  <si>
    <t>Carla de Cássia Vieira Socca</t>
  </si>
  <si>
    <t>297.651.338-47</t>
  </si>
  <si>
    <t>Em contato com a Camila</t>
  </si>
  <si>
    <t>Kety Adriana bichet</t>
  </si>
  <si>
    <t>064.915.759-18</t>
  </si>
  <si>
    <t>Quitado, iniciou em 02/01/2024 e expirou em 02/05/2025.</t>
  </si>
  <si>
    <t>Everaldo José Da Cruz</t>
  </si>
  <si>
    <t>992.329.796-91</t>
  </si>
  <si>
    <t>encaminhado Debora</t>
  </si>
  <si>
    <t>Willian Barbosa da Silva Pinheiro</t>
  </si>
  <si>
    <t>Quitado, teve acesso até 30-01-2025.</t>
  </si>
  <si>
    <t>Marina Nunes Batista</t>
  </si>
  <si>
    <t>simple</t>
  </si>
  <si>
    <t>Iniciou dia 12/03/2024 e expira em 12/07/2025 curso quitado</t>
  </si>
  <si>
    <t>Aprovado nas praticas pedagogicas</t>
  </si>
  <si>
    <t>Gislaine Cristina da Silva Santos</t>
  </si>
  <si>
    <t>729.748.341-91</t>
  </si>
  <si>
    <t>Quitado, iniciou em 06/06/2023 e expirou em 06/10/2024.</t>
  </si>
  <si>
    <t>Luana Benaia Lora Matos Hangui</t>
  </si>
  <si>
    <t>738.488.752- 68</t>
  </si>
  <si>
    <t>Pós-Graduação em Neuropsicopedagogia Institucional, Clínica e Hospitalar</t>
  </si>
  <si>
    <t>Iniciou dia 15/02/2023 e expirou em 15/06/2024 curso quitado contratou uma extensão de dois meses dia 05/12/2024 e expirou dia 05/02/2025</t>
  </si>
  <si>
    <t>Encaminhada para Miguel 12/2/25</t>
  </si>
  <si>
    <t>Francisco Felipe de Lima Araujo</t>
  </si>
  <si>
    <t>887.319.283-15</t>
  </si>
  <si>
    <t xml:space="preserve">Pós-Graduação em Neuropsicopedagogia Institucional, Clínica e Hospitalar </t>
  </si>
  <si>
    <t>Aluno realizou parcelamento no cartão de credtio mas foi estornado</t>
  </si>
  <si>
    <t>Encaminhado para Miguel 12/2/25</t>
  </si>
  <si>
    <t>Cirlene Lopes de Lima</t>
  </si>
  <si>
    <t>Pós Graduação Em Terapia Em Aba-Análise Do Comportamento Aplicada Clínico</t>
  </si>
  <si>
    <t>Solicitado via chat 13/2/25</t>
  </si>
  <si>
    <t>Encaminhado para Miguel 13/2/25</t>
  </si>
  <si>
    <t>Jacilma Lopes Carneiro</t>
  </si>
  <si>
    <t>365.291.925-49</t>
  </si>
  <si>
    <t>Pós Graduação em Sexologia</t>
  </si>
  <si>
    <t>Aluna isenta da taxa de extensão de curso</t>
  </si>
  <si>
    <t>Plataforma: OK</t>
  </si>
  <si>
    <t>Encaminhada Erick</t>
  </si>
  <si>
    <t>Adauto Freire Filho</t>
  </si>
  <si>
    <t>403.203.165-73</t>
  </si>
  <si>
    <t>Segunda Licenciatura Em Letras-Português/Espanhol</t>
  </si>
  <si>
    <t>Quitado, ativo até 24/01/2025</t>
  </si>
  <si>
    <t>Reforçado solicitação via chat 14/2 / 22/02</t>
  </si>
  <si>
    <t>PPs e TCC pré aprovados, aguardando análise.</t>
  </si>
  <si>
    <t>Roni Raggi Teixeira</t>
  </si>
  <si>
    <t>Falta Plataforma, Falta Tutoria, Análise Concluída</t>
  </si>
  <si>
    <t>Alessandra Bento da Silva dos Santos</t>
  </si>
  <si>
    <t>057.718.759-70</t>
  </si>
  <si>
    <t>Quitada em 17/10/2023, a expirar em 17/02/2025.</t>
  </si>
  <si>
    <t>Rodrigo Maciel Capanema</t>
  </si>
  <si>
    <t>039.919.576-98</t>
  </si>
  <si>
    <t>Janaína Karla Duarte Barbosa</t>
  </si>
  <si>
    <t>TCC pré aprovado, falta analise</t>
  </si>
  <si>
    <t>Gabriela Souza Silva</t>
  </si>
  <si>
    <t>075.305.725-55</t>
  </si>
  <si>
    <t>Formação Pedagógica-Português/Espanhol</t>
  </si>
  <si>
    <t>Solicitado via chat 15/02/25</t>
  </si>
  <si>
    <t xml:space="preserve">PPs Aprovadas </t>
  </si>
  <si>
    <t>Segunda Licenciatura em Letras - Português - Inglês</t>
  </si>
  <si>
    <t>Urgente, Falta Tutoria, Análise Concluída</t>
  </si>
  <si>
    <t>Flávio Pereira da Silva Oliveira</t>
  </si>
  <si>
    <t>007.495.737-67</t>
  </si>
  <si>
    <t>Quitado, iniciou em 08/09/2022 expirou em 08/01/2024.</t>
  </si>
  <si>
    <t>Aprovado em todas disciplinass</t>
  </si>
  <si>
    <t>Tais: PPI ok, falta envio da PPII</t>
  </si>
  <si>
    <t>546.138.501-00</t>
  </si>
  <si>
    <t>Quitado, iniciou em 14/10/2021 contratou extensão do curso e expirou em 16/01/2025.</t>
  </si>
  <si>
    <t>Práticas pedagogicas aprovadas</t>
  </si>
  <si>
    <t>Segunda Licenciatura em Ciências Sociais</t>
  </si>
  <si>
    <t>Quitada, iniciou em 20/06/2023 expirou em 20/10/2024</t>
  </si>
  <si>
    <t>Resta 2 disiciplinas para concluir</t>
  </si>
  <si>
    <t>Dileide Ferreira Camilo</t>
  </si>
  <si>
    <t>006.916.421-50</t>
  </si>
  <si>
    <t>Quitada, iniciou em 13/12/2023 e expira em 13/04/2025.</t>
  </si>
  <si>
    <t>Elionete María Regina Souza Rezende</t>
  </si>
  <si>
    <t>285.943.998-63</t>
  </si>
  <si>
    <t>Pós-Graduação em Educação Ambiental e Sustentabilidade</t>
  </si>
  <si>
    <t>Quitada, iniciou 20/12/2023 expira 20/04/2025.</t>
  </si>
  <si>
    <t>Olandim de Sousa Sueth</t>
  </si>
  <si>
    <t>Quitado, iniciou em 26/08/2020, contratou reativação e expira em 12-04-2025.</t>
  </si>
  <si>
    <t>Aprovada em todas disiciplinas</t>
  </si>
  <si>
    <t>Fernando da Silva Barros</t>
  </si>
  <si>
    <t>006.951.992-77</t>
  </si>
  <si>
    <t xml:space="preserve">O aluno parcelou o curso em 4 vezes de 520 reais, porém não realizou nenhum pagamento até 06/12/2024 (Boleto excluído pela associação).
</t>
  </si>
  <si>
    <t>Wilson Roberto Diamente</t>
  </si>
  <si>
    <t>139.181.698-63</t>
  </si>
  <si>
    <t>Iniciou dia 05/07/2023, contratou a extensão e expirou em 03/12/2024. (Claudinei)</t>
  </si>
  <si>
    <t>Fernanda Viana Azevedo Protásio</t>
  </si>
  <si>
    <t>Geniana Mônica de Oliveira</t>
  </si>
  <si>
    <t>011.197.031-82</t>
  </si>
  <si>
    <t>Segunda Licenciatura Português - Inglês</t>
  </si>
  <si>
    <t xml:space="preserve">Iniciou dia 17/05/2022 e expirou em 17/09/2023 curso quitado </t>
  </si>
  <si>
    <t>Diomarques Amancio de Jesus</t>
  </si>
  <si>
    <t>PPs pré aprovadas, falta analise</t>
  </si>
  <si>
    <t>Cristino Renato da Silva</t>
  </si>
  <si>
    <t>625.398.091-20</t>
  </si>
  <si>
    <t>Entregue e Deferido  - Quitação Eleitoral salva no Drive</t>
  </si>
  <si>
    <t>Fabio Borda de Vuono</t>
  </si>
  <si>
    <t>274.098.418-93</t>
  </si>
  <si>
    <t>Formação Pedagógica Em Música</t>
  </si>
  <si>
    <t>Quitado inicio 09/02/2024 expira em: 09/06/2025</t>
  </si>
  <si>
    <t>Falta Documentação, Análise Concluída, Falta Tutoria, Falta extensão</t>
  </si>
  <si>
    <t>Isac Alves Batista</t>
  </si>
  <si>
    <t>299.543.803-10</t>
  </si>
  <si>
    <t xml:space="preserve">Segunda Licenciatura Em Música </t>
  </si>
  <si>
    <t>Quitado, iniciou em 12/07/2023 expirou em 12/11/2024.</t>
  </si>
  <si>
    <t>Documento incompleto falta Histórico superior</t>
  </si>
  <si>
    <t xml:space="preserve">Laila Salermo Vieira Silva </t>
  </si>
  <si>
    <t>397.697.528-19</t>
  </si>
  <si>
    <t>iniciou dia 06/07/2024 e expira em 06/11/2025 curso quitado</t>
  </si>
  <si>
    <t>Jairo Machado de Sousa</t>
  </si>
  <si>
    <t>748.462.132-34</t>
  </si>
  <si>
    <t>Entregue e Deferido - VERIFICAR RG</t>
  </si>
  <si>
    <t xml:space="preserve">Wallyson Klleuver Silva dos Santos </t>
  </si>
  <si>
    <t>040.378.361-57</t>
  </si>
  <si>
    <t xml:space="preserve"> Quitado -01-08-2023 Expirou : 01-12-2024</t>
  </si>
  <si>
    <t>Qual curso?</t>
  </si>
  <si>
    <t>Thiago Damaceno</t>
  </si>
  <si>
    <t>327.751.028-08</t>
  </si>
  <si>
    <t>Diplomação Por Competência</t>
  </si>
  <si>
    <t>Inicio: 07/02/2025 Situação: Quitado no Cartão de Crédito Expira em: 07/08/2026</t>
  </si>
  <si>
    <t>Encaminhado para Débora</t>
  </si>
  <si>
    <t>Amanda Velloso Nogueira Cordeiro</t>
  </si>
  <si>
    <t>368.282.288-71</t>
  </si>
  <si>
    <t>Quitado, iniciou em 10/11/2023 e expira em 10/03/2025.</t>
  </si>
  <si>
    <t>Claudio Wesley Ferreira Costa</t>
  </si>
  <si>
    <t>016.168.403-31</t>
  </si>
  <si>
    <t>Segunda Licenciatura Em Letras – Português E Inglês</t>
  </si>
  <si>
    <t>Aprovado nas Praticas Pedagogicas</t>
  </si>
  <si>
    <t>Derek Miranda de Souza</t>
  </si>
  <si>
    <t>089.409.279-07</t>
  </si>
  <si>
    <t>Quitado, iniciou em 20/06/2024 expiração 20/10/2025.</t>
  </si>
  <si>
    <t>Darci Antonio Siqueira</t>
  </si>
  <si>
    <t>098.694.628-12</t>
  </si>
  <si>
    <t>Iniciou dia 07/12/2023 e expirou em 07/04/2025 curso quitado</t>
  </si>
  <si>
    <t>Lyvia Prais</t>
  </si>
  <si>
    <t>115.292.686-13</t>
  </si>
  <si>
    <t>Iniciou dia 12/12/2022 e expirou em 12/04/2024 curso quitado</t>
  </si>
  <si>
    <t>Flaviana dos Santos Silva</t>
  </si>
  <si>
    <t>054.197.923-03</t>
  </si>
  <si>
    <t xml:space="preserve"> Quitado, iniciou em 14/02/2024 expira em 14/06/2025</t>
  </si>
  <si>
    <t>Williams Crystian Tanoeiro Melo</t>
  </si>
  <si>
    <t>Quitado inicio: 30/06/2023 expira em: 30/10/2024</t>
  </si>
  <si>
    <t xml:space="preserve">Alice Bernardi Braga </t>
  </si>
  <si>
    <t>309.834.238-22</t>
  </si>
  <si>
    <t>Quitado inicio: 24/11/2023 expirou em 24/03/2025</t>
  </si>
  <si>
    <t>Solicitado documentação 24/02/25</t>
  </si>
  <si>
    <t>Rafaela Vitor de Carvalho</t>
  </si>
  <si>
    <t>#NOVO Pós-Graduação em Neuropsicopedagogia Institucional, Clínica e Hospitalar</t>
  </si>
  <si>
    <t>Quitado 10/07/2023 expirou: 10/11/2024</t>
  </si>
  <si>
    <t>Foi solicitado correções</t>
  </si>
  <si>
    <t>Silvania Moraes Mascarin Bezerra</t>
  </si>
  <si>
    <t>841.527.881-00</t>
  </si>
  <si>
    <t>Quitado, iniciou em 08/11/2023 expirou em 08/03/2025.</t>
  </si>
  <si>
    <t>Tatiani de carvalho oliveira</t>
  </si>
  <si>
    <t>075.056.186-60</t>
  </si>
  <si>
    <t>Pedagogia para Bacharéis e tecnólogos</t>
  </si>
  <si>
    <t>Iniciou dia 12/05/20220 e expirou em 12/09/2021 curso quitado contratou uma extensão que expirou em 26/06/2022</t>
  </si>
  <si>
    <t>Tem aprovação em 2022 pelo Junio</t>
  </si>
  <si>
    <t>Pós-Graduação em Docência do Ensino Superior, Gestão EAD</t>
  </si>
  <si>
    <t>Iniciou dia 12/05/2020 e expirou em 12/09/2021 curso quitado, contratou uma extensão que expirou em 30/10/2021</t>
  </si>
  <si>
    <t>TCC aprovado</t>
  </si>
  <si>
    <t>Eny Andrade</t>
  </si>
  <si>
    <t>477.986.707-00</t>
  </si>
  <si>
    <t>Iniciou dia 09/11/2022 e expirou em 09/03/2024 curso quitado</t>
  </si>
  <si>
    <t>Documento entregue e deferidos</t>
  </si>
  <si>
    <t>Patrícia Maria Alves Paranhos</t>
  </si>
  <si>
    <t>30/02/2025</t>
  </si>
  <si>
    <t>Iniciou dia 01/07/2021 e expira em 01/11/2022 curso quitado contratou uma extensão por um mês no dia 22/01/2025 e expirou em 22/02/2025</t>
  </si>
  <si>
    <t>Iniciou dia 09/07/2024 e expirou em 09/11/2025 curso quitado</t>
  </si>
  <si>
    <t>Carlosnaik Martins Veras Filho</t>
  </si>
  <si>
    <t>628.432.653-04</t>
  </si>
  <si>
    <t>Pós-Graduação em Psicanálise 2/2023</t>
  </si>
  <si>
    <t>Quitado, iniciou em 31/01/2023 e expirou em 31/05/2024.</t>
  </si>
  <si>
    <t>Documentos incompleto</t>
  </si>
  <si>
    <t>Gabriele Pedro da Silva</t>
  </si>
  <si>
    <t>Iniciou em 10/07/2023 Situação: Quitada Expirou em: 10/11/2024 Contratou extensão: 20/03/2025 - 20/04/2025</t>
  </si>
  <si>
    <t>Documentos incompleto solicitado novamente em 02/07/2025</t>
  </si>
  <si>
    <t>Encaminhou 19/02/2025 (simple), correção pendente.</t>
  </si>
  <si>
    <t>Cleber Claus Garcia Salvatico</t>
  </si>
  <si>
    <t>057.948.061-50</t>
  </si>
  <si>
    <t>Quitado, iniciou em 09/03/2023, contratou extensão e expirou em 16/01/2025.</t>
  </si>
  <si>
    <t>Entregue e Deferidos</t>
  </si>
  <si>
    <t>Tais: PPII correta, aluno informou que enviou as PPI no entanto não foi encontrada, e se negou a enviar novamente, por ser plataforma antiga Alana autorizou a aprovação do ALuno.</t>
  </si>
  <si>
    <t>Liliane Pinto</t>
  </si>
  <si>
    <t>335.410.26-08</t>
  </si>
  <si>
    <t>Quitado 09-02-2024 09-06-2025</t>
  </si>
  <si>
    <t>Cintia Santos Dias</t>
  </si>
  <si>
    <t>Ativa até 19/10/2024 - Quitada</t>
  </si>
  <si>
    <t>Tatiana Marcillino Felácio</t>
  </si>
  <si>
    <t>Iniciou dia 29/09/2022 e expirou em 29/01/2024 curso quitado</t>
  </si>
  <si>
    <t>Iniciou em 03/03/2023 e expirou  03/07/2024 curso quitado</t>
  </si>
  <si>
    <t>Falta adequações no aluno</t>
  </si>
  <si>
    <t>Marinete dos Santos Pereira</t>
  </si>
  <si>
    <t>Iniciou em  04/09/2023 e expira em 04/01/2025 curso quitado</t>
  </si>
  <si>
    <t>Falta 1 disciplina: Práticas Pedagógicas - 400 Horas</t>
  </si>
  <si>
    <t>Mikaele de Brito Lima</t>
  </si>
  <si>
    <t>028.917.992-08</t>
  </si>
  <si>
    <t>Quitado, iniciou em 24/08/2024 expira em 24/12/2025.</t>
  </si>
  <si>
    <t>Resta 2 disciplinas para concluir</t>
  </si>
  <si>
    <t>Jackson Luiz Henrique</t>
  </si>
  <si>
    <t>041.403.699-90</t>
  </si>
  <si>
    <t>Segunda LIcenciatura em Educação Física</t>
  </si>
  <si>
    <t>Iniciou dia 23/02/2024  e expirou em 23/06/2025 curso quitado</t>
  </si>
  <si>
    <t>Jones de Paulo Ferreira</t>
  </si>
  <si>
    <t>Segunda Licenciatura em Letras – Português e Espanhol</t>
  </si>
  <si>
    <t>Wendson cleber cardoso da cruz</t>
  </si>
  <si>
    <t>066.298.439-08</t>
  </si>
  <si>
    <t>Segunda Licenciatura em Educação física</t>
  </si>
  <si>
    <t>Iniciou dia 24/06/2024 e expira dia 24/10/2025 curso quitado</t>
  </si>
  <si>
    <t>PPS aprovadas em 29 de maio de 2025</t>
  </si>
  <si>
    <t>Rodrigo Augusto Alves da Silva</t>
  </si>
  <si>
    <t>311.016.388-85</t>
  </si>
  <si>
    <t>Formação pedagógica em Artes visuais</t>
  </si>
  <si>
    <t>Iniciou dia 16/06/2021 e expirou em 16/10/2022 curso quitado</t>
  </si>
  <si>
    <t>Não aprovado</t>
  </si>
  <si>
    <t>Pós graduação em Arte e Educação</t>
  </si>
  <si>
    <t xml:space="preserve">Iniciou dia 16/06/2021 e expirou em 16/10/2022 curso quitado(Creio que a pós seja de brinde do curso de FP Artes </t>
  </si>
  <si>
    <t>Juliana Andrigo Piquetti Santos</t>
  </si>
  <si>
    <t>215.114.768-18</t>
  </si>
  <si>
    <t>Segunda Licencitura em Artes Visuais</t>
  </si>
  <si>
    <t>Quitado, iniciou 06/12/2022 expirou 06/04/2024</t>
  </si>
  <si>
    <t>incompleto</t>
  </si>
  <si>
    <t>Falta Tutoria, Falta Documentação, Falta Plataforma</t>
  </si>
  <si>
    <t>Francisca Maria Cunha Viana</t>
  </si>
  <si>
    <t>705.105.713-87</t>
  </si>
  <si>
    <t>Iniciou dia 11/07/2022 e expirou em 11/11/2023 curso quitado</t>
  </si>
  <si>
    <t>Falta Documentação, Falta Plataforma, Falta Tutoria, Falta extensão</t>
  </si>
  <si>
    <t>Iniciou dia 27/08/2024 expira 27/12/2025 curso quitado</t>
  </si>
  <si>
    <t>Segunda Graduação em Pedagogia.</t>
  </si>
  <si>
    <t>Gabriela Ferrari</t>
  </si>
  <si>
    <t>340.626.808-07</t>
  </si>
  <si>
    <t>Segnda Licenciatura em Artes Visuais</t>
  </si>
  <si>
    <t>Quitada /expiração: 06/08/2025</t>
  </si>
  <si>
    <t>097.078.417-10</t>
  </si>
  <si>
    <t>Quitada, Inicio: 17-11-2023 Expira: 17-03-2025</t>
  </si>
  <si>
    <t>Aprovado em todas as diciplinas.</t>
  </si>
  <si>
    <t>Ghedoneis Galdino de Almeida</t>
  </si>
  <si>
    <t>Incompleta</t>
  </si>
  <si>
    <t>Disciplinas Concluídas</t>
  </si>
  <si>
    <t>Tais: Estagio pré aprovado</t>
  </si>
  <si>
    <t>Patrícia de Cássia Ramos Barbosa</t>
  </si>
  <si>
    <t>012.607.426-79</t>
  </si>
  <si>
    <t>Iniciou dia 07/05/2021 e expirou em 07/09/2022 curso quitado</t>
  </si>
  <si>
    <t>Juliana Rocha da Silva</t>
  </si>
  <si>
    <t>007.633.082-69</t>
  </si>
  <si>
    <t>Quitada, Iniciou em 17/02/2023 e expira em 18/04/2025.</t>
  </si>
  <si>
    <t>Solicitado documentações para aluna via chat e mensagem no celular</t>
  </si>
  <si>
    <t>Falta Documentação, Falta Financeiro, Falta Plataforma, Falta Tutoria</t>
  </si>
  <si>
    <t>Segunda Licenciatura Em Ciências Da Religião</t>
  </si>
  <si>
    <t>Quitado, iniciou em 03/07/2024 e expira em 03/11/2025.</t>
  </si>
  <si>
    <t>Não encaminhou documentação</t>
  </si>
  <si>
    <t>Não encaminhou Práticas Pedagógicas</t>
  </si>
  <si>
    <t>Jamile Souza Pereira Costa</t>
  </si>
  <si>
    <t>Pós-graduação em Engenharia da Qualidade</t>
  </si>
  <si>
    <t>Quitado, iniciou em 10/09/2021 e liberado até 28-04-2025</t>
  </si>
  <si>
    <t>Entregue e Deferido na Gringa - RG e CPF salvos no Drive</t>
  </si>
  <si>
    <t>Encaminhado para Erick</t>
  </si>
  <si>
    <t>Pós-graduação em MBA em Logística Empresarial</t>
  </si>
  <si>
    <t>Quitado, iniciou em 10/09/2021 e liberado até 28-04-2026</t>
  </si>
  <si>
    <t>Não precisa</t>
  </si>
  <si>
    <t>Pós-Graduação Em Direito Do Trabalho E Processual Trabalhista</t>
  </si>
  <si>
    <t>Quitado, iniciou em 10/09/2021 e liberado até 28-04-2027</t>
  </si>
  <si>
    <t>Elisa Moreira Alcântara Tavares</t>
  </si>
  <si>
    <t>216.640.388-33</t>
  </si>
  <si>
    <t>Quitado, iniciou em 26/01/2023 expirou em 26/05/2024.</t>
  </si>
  <si>
    <t>Mediana, Análise Concluída</t>
  </si>
  <si>
    <t>Marcos André Gomes de Andrade</t>
  </si>
  <si>
    <t>039.908.834-29</t>
  </si>
  <si>
    <t>Quitada, iniciou em 14/07/2022 contratou extensão e expira em 05/03/2025</t>
  </si>
  <si>
    <t>Érica Arcelino de Macedo</t>
  </si>
  <si>
    <t>Quitado, iniciou em 01/11/2021 reativou o curso e expira em 01/03/2025.</t>
  </si>
  <si>
    <t xml:space="preserve">Aprovado em todas em disciplinas. </t>
  </si>
  <si>
    <t>Na planilha de pós</t>
  </si>
  <si>
    <t xml:space="preserve">Lazara Aparecida Rodrigues </t>
  </si>
  <si>
    <t>Quitada, iniciou em 20/03/2019 expírou em 20/07/2020.</t>
  </si>
  <si>
    <t>Aprovado em todas diciplinas.</t>
  </si>
  <si>
    <t>019.798.225-57</t>
  </si>
  <si>
    <t>Aluno liberado para finalizar até 24-03-2025
Houve falha no sistema, onde o mesmo não conseguiu finalizar. Gentileza liberar o acesso para concluir.</t>
  </si>
  <si>
    <t>Resta 4 disciplina para concluir.</t>
  </si>
  <si>
    <t>Renata Cristina Mendes da Silva Ferreira</t>
  </si>
  <si>
    <t>055.921.326-38</t>
  </si>
  <si>
    <t>Formação Pedagógica em Música 2022 e 2023</t>
  </si>
  <si>
    <t>Efetuou pagamento de 1 parcelas das 16 restando 15 para quitar</t>
  </si>
  <si>
    <t>Não encontrei nada</t>
  </si>
  <si>
    <t>Ulisses Fernando de Abreu</t>
  </si>
  <si>
    <t>080.950.548-79</t>
  </si>
  <si>
    <t>Pedagogia para Bacharéis e Tecnólogos (TELESAPIENS) 2022</t>
  </si>
  <si>
    <t xml:space="preserve"> Restam 6 parcelas para quitar. Início: 31-07-2022 Expira: 31-01-2024</t>
  </si>
  <si>
    <t>Ultimo registro Júnio: falta etapa 4</t>
  </si>
  <si>
    <t>Mateus Evangelista Alves de Melo</t>
  </si>
  <si>
    <t>110.518.897-31</t>
  </si>
  <si>
    <t>DIPLOMAÇÃO POR COMPETÊNCIA - MÚSICA</t>
  </si>
  <si>
    <t>Em dia, iniciou em 09/02/2025 expira em 09/02/2026.</t>
  </si>
  <si>
    <t>Resta concluir 05 disciplinas</t>
  </si>
  <si>
    <t>Não encaminhou nenhum trabalho no e-mail da tutoria em que tenho acesso.</t>
  </si>
  <si>
    <t>Aguardando envio de documentação</t>
  </si>
  <si>
    <t>Alessandra Silva Gurgel</t>
  </si>
  <si>
    <t>964.407.323-15</t>
  </si>
  <si>
    <t xml:space="preserve"> Efetuou o pagamento de 15 parcelas de 16, restando uma para quitar. Iniciou em 29/10/2022 e expirou em 29/02/2024.</t>
  </si>
  <si>
    <t>Resta concluir todas as diciplinas</t>
  </si>
  <si>
    <t>Sarah Holanda Uchôa Carvalho</t>
  </si>
  <si>
    <t>009.742.433-10</t>
  </si>
  <si>
    <t>FORMAÇÃO PEDAGÓGICA EM MÚSICA</t>
  </si>
  <si>
    <t>Quitada, iniciou 07/01/2025</t>
  </si>
  <si>
    <t>Aguardando correção (ainda não tem 6 meses de curso)</t>
  </si>
  <si>
    <t>Arnaldo Barros dos Santos</t>
  </si>
  <si>
    <t>529.031.683-34</t>
  </si>
  <si>
    <t>SEGUNDA LICENCIATURA EM EDUCAÇÃO FÍSICA</t>
  </si>
  <si>
    <t>Em dia, iniciou em 09/05/2024 e expira em 09/09/2025.</t>
  </si>
  <si>
    <t>PPs pré aprovadas, esperando regularização dos documentos para formalização da aprovação.</t>
  </si>
  <si>
    <t>Solicitado os documentos 28/03/2025</t>
  </si>
  <si>
    <t>Wallyson Klleuver Silva dos Santos</t>
  </si>
  <si>
    <t>Segunda Licenciatura em Música 2022 - 880 Horas / Pós-Graduação em Musicoterapia</t>
  </si>
  <si>
    <t>Quitado, iniciou em 04/09/2023 e expirou em 04/01/2025</t>
  </si>
  <si>
    <t>TCC aprovado / PPs aprovadas</t>
  </si>
  <si>
    <t>Leandro José Osti</t>
  </si>
  <si>
    <t>339.699.948-70</t>
  </si>
  <si>
    <t>DIPLOMAÇÃO POR COMPETÊNCIA - MÚSICA/PÓS-GRADUAÇÃO EM ENSINO DE ARTES</t>
  </si>
  <si>
    <t xml:space="preserve"> Quitado, iniciou em 04/02/2025 expira em 04/02/2026.</t>
  </si>
  <si>
    <t>Madequier Jesus Naressi</t>
  </si>
  <si>
    <t>325.719.838-81</t>
  </si>
  <si>
    <t xml:space="preserve">Segunda Licenciatura em Pedagogia/ Pós-Graduação em História e Fundamentos da Filosofia
</t>
  </si>
  <si>
    <t>Quitado, iniciou em 27/02/2023, contratou extensão e expirou em 05/01/2025.</t>
  </si>
  <si>
    <t xml:space="preserve">A correção por parte do aluno ainda estava pendente, contudo em outra conversa, tem a sinalização de certificação em processo de certificação. Devido a isso, para não gerar insatisfação no aluno, sinalizamos que conseguimos verificar a assinatura das PPs e para considerar o que foi informado no áudio. </t>
  </si>
  <si>
    <t>.</t>
  </si>
  <si>
    <t>690.664.341-04</t>
  </si>
  <si>
    <t>Segunda Licenciatura em Pedaogia</t>
  </si>
  <si>
    <t>Quitado, iniciou em 11/12/2023 e expira em 11/04/2025.</t>
  </si>
  <si>
    <t>Aprovado em toda as disciplinas</t>
  </si>
  <si>
    <t>Aprovado em 31/01/2025</t>
  </si>
  <si>
    <t>086.092.126-37</t>
  </si>
  <si>
    <t>Não Localizado</t>
  </si>
  <si>
    <t>Quitado, iniciou em 02/01/2024 e expirou em 02/05/2025</t>
  </si>
  <si>
    <t>Segunda Licenciatura em Pedagogia/Pós-graduação em Gestão Escolar...</t>
  </si>
  <si>
    <t>Quitado, iniciou em 05/06/2023 e expirou em 05/10/2024.</t>
  </si>
  <si>
    <t>Aprovado em 10 de janeiro de 2025</t>
  </si>
  <si>
    <t>Stela Paula Félix</t>
  </si>
  <si>
    <t>005.454.161-16</t>
  </si>
  <si>
    <t>Segunda LIcenciatura em Pedagogia</t>
  </si>
  <si>
    <t>Quitada, iniciou em 11/09/2023 contratou extensão e expira 10/03/2025</t>
  </si>
  <si>
    <t>Leandro dos Santos Machado</t>
  </si>
  <si>
    <t>935.510.880-04</t>
  </si>
  <si>
    <t xml:space="preserve"> Capacitação em música</t>
  </si>
  <si>
    <t>Quitado, iniciou em 07/03/2023 expirou em  07/07/2024.</t>
  </si>
  <si>
    <t>Nada Localizado</t>
  </si>
  <si>
    <t xml:space="preserve"> Nada encontrado.</t>
  </si>
  <si>
    <t>Sheila Siqueira Lontra</t>
  </si>
  <si>
    <t>079.936.857-10</t>
  </si>
  <si>
    <t>SEGUNDA LICENCIATURA EM PEDAGOGIA - 2024/ Pós-Graduação em Coordenação e Orientação Escolar.</t>
  </si>
  <si>
    <t>Quitou o curso, porém contratou reativação em 25/07/2024, mas realizou o pagamento de apenas a 1ª parcela no ASSAS 697</t>
  </si>
  <si>
    <t>Danielle dos Santos Felisberto Lagni</t>
  </si>
  <si>
    <t>Pós em Administração pública, Gestão Escolar Integradora, Gestão Escolar e Coordenação Pedagógica e Direito Educacional</t>
  </si>
  <si>
    <t>Quitada, iniciou em 02/10/2021 e expirou em 02/02/2023</t>
  </si>
  <si>
    <t>Nada Localizado 11 de Abril</t>
  </si>
  <si>
    <t>Hildegard Angel Angelim Pereira</t>
  </si>
  <si>
    <t>913.076.862-49</t>
  </si>
  <si>
    <t>Segunda Licenciatura em pedagogia.</t>
  </si>
  <si>
    <t>Quitado, iniciou em 19/04/2024 expirou em 19/04/2024.</t>
  </si>
  <si>
    <t>Não encaminhou nenhum documento</t>
  </si>
  <si>
    <t>Resta apena 1 disciplina para aluno realizar</t>
  </si>
  <si>
    <t>Maria José de Paula Ribeiro</t>
  </si>
  <si>
    <t>749.000.137-49</t>
  </si>
  <si>
    <t>Pós-Graduação em Psicanálise 800 Horas/ Pós-Graduação em MBA em Gestão de Pessoas e Talentos</t>
  </si>
  <si>
    <t>Quitada, iniciou em 12/06/2023 expirou em 12/10/2024.</t>
  </si>
  <si>
    <t>Cristiane do Nascimento Silva</t>
  </si>
  <si>
    <t>998.736.131-53</t>
  </si>
  <si>
    <t xml:space="preserve"> SEGUNDA LICENCIATURA EM EDUCAÇÃO FÍSICA</t>
  </si>
  <si>
    <t>Quitação realizada, iniciou em 10/05/2021, contratou extensão e expirou em 04/05/2023.</t>
  </si>
  <si>
    <t xml:space="preserve"> Johanna Meury Oliveira de Freita</t>
  </si>
  <si>
    <t>979.910.312-68</t>
  </si>
  <si>
    <t>Quitado, iniciou em 06/03/2023 e contratou extensões, expirando em 06/04/2025.</t>
  </si>
  <si>
    <t>Estágio aprovado para certificação</t>
  </si>
  <si>
    <t>Sueli da Silva feitosa de Sousa</t>
  </si>
  <si>
    <t>282.890.418-02</t>
  </si>
  <si>
    <t>Quitado, iniciou em 02/01/2024 expirou  02/05/2025.</t>
  </si>
  <si>
    <t>Solicitado os documentos variadas vezes desde o dia 07/03/2025</t>
  </si>
  <si>
    <t>Samuel Elói dos Santos</t>
  </si>
  <si>
    <t>186.125.798-80</t>
  </si>
  <si>
    <t>SEGUNDA LICENCIATURA EM HISTÓRIA - 2024</t>
  </si>
  <si>
    <t>Quitada, iniciou em 20/06/2023 reativou curso expirou em  08/02/2025.</t>
  </si>
  <si>
    <t>Thaisa Alice Portela da Silva</t>
  </si>
  <si>
    <t>017.994.094-57</t>
  </si>
  <si>
    <t>Quitada, iniciou em 30/11/2021 e expira em 13/06/2024</t>
  </si>
  <si>
    <t>Rhanna Hayara Costa Santos</t>
  </si>
  <si>
    <t>044.397.451-99</t>
  </si>
  <si>
    <t xml:space="preserve">  Quitada .Iniciou em : 08-01-2024.Expira em : 08-05-2025</t>
  </si>
  <si>
    <t>Aprovado em todas a disciplinas</t>
  </si>
  <si>
    <t>Sueli Catarina Da Silva</t>
  </si>
  <si>
    <t>290.560.202-34</t>
  </si>
  <si>
    <t>Quitada, iniciou em 30/05/2023 expirou em 30/09/2024.</t>
  </si>
  <si>
    <t>Pós-Graduação em Gestão de Marketing Digital</t>
  </si>
  <si>
    <t>Quitado, inicou em 10/11/2023 expira em 10/03/2025</t>
  </si>
  <si>
    <t>Damaris Ramos Mendes Chagas</t>
  </si>
  <si>
    <t>028.275.916-69</t>
  </si>
  <si>
    <t xml:space="preserve"> Segunda Licenciatura em Música 1320Horas</t>
  </si>
  <si>
    <t>Quitada, 30/11/2023 expira em 30/03/2025.</t>
  </si>
  <si>
    <t>Aprovado nas  Práticas Pedagógicas</t>
  </si>
  <si>
    <t>Vera Lucia Souza</t>
  </si>
  <si>
    <t>PPI correta, falta envio da PPII (falta analise financeira e disciplinas)</t>
  </si>
  <si>
    <t xml:space="preserve">Salete Tereza Holdefer Siqueira </t>
  </si>
  <si>
    <t>Quitada, iniciou em 04/12/2023 expira em 04/04/2025</t>
  </si>
  <si>
    <t>Nailze Suanne de Almeida Santos</t>
  </si>
  <si>
    <t>041.689.615-40</t>
  </si>
  <si>
    <t>PÓS-GRADUAÇÃO EM MATEMÁTICA FINANCEIRA E ESTATÍSTICA 560h</t>
  </si>
  <si>
    <t>Quitada, iniciou em 26/11/2021, contratou várias extensões e expirou em 28/02/2025</t>
  </si>
  <si>
    <t>Lucia Margareth Bezerra</t>
  </si>
  <si>
    <t>406.836.484-20</t>
  </si>
  <si>
    <t xml:space="preserve"> Formação Pedagógica em Letras – Português e Inglês</t>
  </si>
  <si>
    <t>Quitada, iniciou em 01/07/2021, contratou extensão e expirou em 04/03/2025</t>
  </si>
  <si>
    <t>406.836.484-21</t>
  </si>
  <si>
    <t>Quitada, iniciou em 01/07/2021, contratou extensão e expirou em 04/03/2026</t>
  </si>
  <si>
    <t>Édney Sander Aquino Leite</t>
  </si>
  <si>
    <t>844.385.093-00</t>
  </si>
  <si>
    <t>Segunda Licenciatura em Música - 1200 horas</t>
  </si>
  <si>
    <t>Quitado. Iniciou em 14/04/2023, contratou extensão e expira em 30/03/2025</t>
  </si>
  <si>
    <t xml:space="preserve">Quitado, iniciou em 05/06/2023 expirou em 05/10/2024
</t>
  </si>
  <si>
    <t xml:space="preserve">Carla Bovo Fernandes
</t>
  </si>
  <si>
    <t>370.337.548-50</t>
  </si>
  <si>
    <t>Segunda Licenciatura em Letras Português/Inglês</t>
  </si>
  <si>
    <t>Quitado, iniciou em 28/07/2023 e expirou em 28/11/2024.Obs: Aluna isenta da taxa até 15-03-2025.</t>
  </si>
  <si>
    <t>Ana Cláudia da Silva Lopes</t>
  </si>
  <si>
    <t xml:space="preserve"> 037.793.616-20</t>
  </si>
  <si>
    <t>Formação Livre em Psicanálise / Formação Livre em Sexologia</t>
  </si>
  <si>
    <t>Em dia, faltam 6 parcelas do acordo para quitar. Início: 15/10/2023 Expira: 15/02/2025</t>
  </si>
  <si>
    <t>Flavio Pereira da Silva Oliveira</t>
  </si>
  <si>
    <t>#FPMF- Formação Pedagógica em Música 1200Horas</t>
  </si>
  <si>
    <t>Quitado início: 01/09/2022 expirou: 01/01/2024</t>
  </si>
  <si>
    <t>Nâo encaminhou todas as atividades 4 de Abril</t>
  </si>
  <si>
    <t>Simone Barbosa Pontes Beltrão</t>
  </si>
  <si>
    <t>544.843.594-72</t>
  </si>
  <si>
    <t>Aluna dispensada de estágio. Quando iniciou o curso não era obrigatório e há protocolo de registro de conversa sobre dispensa na Simple, que a mesma foi realizada pelo whatsapp, contudo não é possível encontrar no histórico. - Alana / Tutoria</t>
  </si>
  <si>
    <t>Rafael Radke Nascimento</t>
  </si>
  <si>
    <t>123.329.137-85</t>
  </si>
  <si>
    <t>Cristiane Sousa Gomes Duarte</t>
  </si>
  <si>
    <t>317.814.033-68</t>
  </si>
  <si>
    <t>quitada, iniciou o curso em 16/12/2022, contratou uma extensão de um mês que expira em 03/02/2025.</t>
  </si>
  <si>
    <t>Não Exige</t>
  </si>
  <si>
    <t xml:space="preserve">Monique Ribeiro dos Santos </t>
  </si>
  <si>
    <t>Quitado, iniciou em 13/07/2023 expirou em 13/11/2024.</t>
  </si>
  <si>
    <t xml:space="preserve">Roseli de Paula Souza Dias </t>
  </si>
  <si>
    <t>Quitado, iniciou em 21/06/2022 e expirou em 21/10/2023.</t>
  </si>
  <si>
    <t>082.325.777-03</t>
  </si>
  <si>
    <t>Pós-Graduação em Ensino de Geografia</t>
  </si>
  <si>
    <t>Este curso foi oferecido como brinde juntamente com a FORMAÇÃO PEDAGÓGICA EM GEOGRAFIA, que já foi certificada.</t>
  </si>
  <si>
    <t>Deyze Karla da Silva Laurentino</t>
  </si>
  <si>
    <t>048.282.447-60</t>
  </si>
  <si>
    <t>pós-Graduação em Psicanálise 800 Horas</t>
  </si>
  <si>
    <t>Quitado. Iniciou em 24/06/2023, contratou extensão e expirou em 01/03/2025</t>
  </si>
  <si>
    <t>Elaine Regina Heimovski Ribeiro</t>
  </si>
  <si>
    <t>607.591.359-91</t>
  </si>
  <si>
    <t>607.591.359-92</t>
  </si>
  <si>
    <t>Quitado, iniciou em 12/09/2023 expirou em 12/01/2025.</t>
  </si>
  <si>
    <t>Resta concluir 3 disciplinas</t>
  </si>
  <si>
    <t>Nada Localizado 4 de Abril</t>
  </si>
  <si>
    <t>Danielle Santos do monte</t>
  </si>
  <si>
    <t>869.789.692-49</t>
  </si>
  <si>
    <t>Em dia, resta uma parcela para quitar, iniciou em 19/01/2024 e expira em 19/05/2025.</t>
  </si>
  <si>
    <t>Janieli Vidal Pontes Prates</t>
  </si>
  <si>
    <t xml:space="preserve">086.719.864-89
</t>
  </si>
  <si>
    <t>Quitada, iniciou 27/04/2023 expira 27/08/2024</t>
  </si>
  <si>
    <t>Thiago Jeremias Araújo</t>
  </si>
  <si>
    <t>116.919.657-16</t>
  </si>
  <si>
    <t>Diplomação Por competencia - Musica</t>
  </si>
  <si>
    <t>Efetuou o pagamento somente da primeira parcela do curso, a segunda parcela e a terceira parcela estão vencidas</t>
  </si>
  <si>
    <t>Aguardando o envio da documentação, porém a alun não interagiu! Deixo registrado na data 06/03/2025 que, após tentativas acima, estou finalizando o atendimento!</t>
  </si>
  <si>
    <t>061.934.234-00</t>
  </si>
  <si>
    <t>Pós-graduação em neuropsicopedagogia</t>
  </si>
  <si>
    <t>Iniciou dia 09/06/2021 e expirou em 09/10/2022 curso quitado contratou uma extensão por 3 meses no dia 16/12/2024 e expira 16/03/2025</t>
  </si>
  <si>
    <t>Dandara Alfonso Borges</t>
  </si>
  <si>
    <t>021.488.571-26</t>
  </si>
  <si>
    <t xml:space="preserve"> Quitado, iniciou em 03/11/2023, contratou extensão e expira em 13/02/2025. (Pós ganha de brinde pelo contrato do curso Formação Pedagógica em Pedagogia)</t>
  </si>
  <si>
    <t xml:space="preserve"> 864.627.681-34</t>
  </si>
  <si>
    <t>Efetuou pagamento somente de 3 parcelas de 16 na Edunext Antiga iniciou em 01/08/2023 expirou em 01/12/2024.</t>
  </si>
  <si>
    <t xml:space="preserve"> 864.627.681-35</t>
  </si>
  <si>
    <t xml:space="preserve">Pós-Graduação em Sexologia (Brinde) </t>
  </si>
  <si>
    <t>Jéssica Queiróz</t>
  </si>
  <si>
    <t>085.920.839-74</t>
  </si>
  <si>
    <t xml:space="preserve"> Formação Pedagógica em Música 1200Horas</t>
  </si>
  <si>
    <t>Quitado, iniciou 23/10/2023 expiração 23/02/2025.</t>
  </si>
  <si>
    <t>Everton Paulo Medeiros Duarte</t>
  </si>
  <si>
    <t>049.161.773-98</t>
  </si>
  <si>
    <t>Não loalizado</t>
  </si>
  <si>
    <t>3 Cursos de Extensão de 120h e 2 cursos de Extensão de 360h.</t>
  </si>
  <si>
    <t>Quitado, iniciou em 14/02/2025 expira em 14/08/2026.</t>
  </si>
  <si>
    <t>Nao necessita</t>
  </si>
  <si>
    <t>Não possui 06 meses de curso</t>
  </si>
  <si>
    <t>Tanziana da Silva Arcos Cabral</t>
  </si>
  <si>
    <t>002.359.762-37</t>
  </si>
  <si>
    <t>Pós-Graduação em História da Arte</t>
  </si>
  <si>
    <t>Quitada, iniciou em 15/07/2022 e expirou em 15/11/2023</t>
  </si>
  <si>
    <t>Sergio Luiz Augusto Dias</t>
  </si>
  <si>
    <t>092.700.248-57</t>
  </si>
  <si>
    <t>Quitado, Iniciou em 19/05/2023 e expirou em 19/09/2024</t>
  </si>
  <si>
    <t>Aprovado em 02/08/2024</t>
  </si>
  <si>
    <t>Thaisa Alice Portela da silva</t>
  </si>
  <si>
    <t xml:space="preserve">017.994.094-57
</t>
  </si>
  <si>
    <t>Quitado, Iniciou em 29/11/2021 e contratou uma extensão que expira em 11/04/2025.</t>
  </si>
  <si>
    <t>Beatriz Ferreira Santos</t>
  </si>
  <si>
    <t>053.194.106-03</t>
  </si>
  <si>
    <t>Pós-Graduação em Atendimento Educacional Especializado com Ênfase em Educação Especial e Inclusa</t>
  </si>
  <si>
    <t>Quitado, iniciou em 18/03/2022 contratou reativação e tem até 11/04/2025</t>
  </si>
  <si>
    <t>Elizeu Rocha dos Santos Júnior</t>
  </si>
  <si>
    <t xml:space="preserve">719.332.802-63
</t>
  </si>
  <si>
    <t>SEGUNDA LICENCIATURA EM MATEMÁTICA - 2024</t>
  </si>
  <si>
    <t>Quitado, iniciou em 27/09/2023 e expirou em 27/01/2025.</t>
  </si>
  <si>
    <t>José Carlos da Silva</t>
  </si>
  <si>
    <t>405.093.384-53</t>
  </si>
  <si>
    <t>Pós-Graduação em Psicanálise / Pós-Graduação em Licitações e Contratos Administrativos - 520 horas</t>
  </si>
  <si>
    <t>Quitado, Início: 30-12-2021, expira em 30-04-2023.</t>
  </si>
  <si>
    <t>Libiane Cristine Barroso</t>
  </si>
  <si>
    <t>354.346.328-42</t>
  </si>
  <si>
    <t>Quitado. Início em 07/03/2024 (Recompra), com vencimento em 07/03/2025.</t>
  </si>
  <si>
    <t>PÓS-GRADUAÇÃO EM ENSINO DE ARTES</t>
  </si>
  <si>
    <t>Brinde da diplomação por competencia em musica.</t>
  </si>
  <si>
    <t>Luciana de Oliveira Batalha</t>
  </si>
  <si>
    <t>084.436.947-00</t>
  </si>
  <si>
    <t>Quitado, iniciou em 01/12/2023 expirou e 01/04/2025.</t>
  </si>
  <si>
    <t>Resta 1 disciplina para concluir</t>
  </si>
  <si>
    <t>Alexandre Lessa Pereira da Silva</t>
  </si>
  <si>
    <t>024.461.137-88</t>
  </si>
  <si>
    <t>Pós-Graduação em Direito Administrativo / Pós-Graduação em Docência do Ensino Superior e Tutoria de Educação a Distância</t>
  </si>
  <si>
    <t>Ailton Alves de Carvalho</t>
  </si>
  <si>
    <t>080.699.974-86</t>
  </si>
  <si>
    <t>Quitado. Iniciou em 21/01/2023, contratou a extensão e expirou em 12/10/2024.</t>
  </si>
  <si>
    <t xml:space="preserve"> Quitada, iniciou 20/12/2023 expirou 20/04/2025.</t>
  </si>
  <si>
    <t>Maria do Carmo Rodrigues Pinheiro</t>
  </si>
  <si>
    <t>059.291.253-17</t>
  </si>
  <si>
    <t>Aluna trocou o curso de pedagogia para bachareis para o curso de segunda licenciatura em filosofia. 
A mesma terá do dia 08/01/2025 Até 08/04/2025 para concluir.
Gentileza realizar a troca na plataforma. Quitado.</t>
  </si>
  <si>
    <t xml:space="preserve">Anderson Bruno Costa
</t>
  </si>
  <si>
    <t xml:space="preserve">043.107.814-97
</t>
  </si>
  <si>
    <t xml:space="preserve">Efetuou o pagamento de 15 de 16 parcelas, restando 1 para quitar. iniciou em 20/04/2023 e a expirou em 20/08/2024.
</t>
  </si>
  <si>
    <t xml:space="preserve">Emanuelle Reis de Melo
</t>
  </si>
  <si>
    <t>217.259.718-01</t>
  </si>
  <si>
    <t xml:space="preserve"> Quitado, iniciou em 14/08/2023 e expirou em 14/12/2024.</t>
  </si>
  <si>
    <t>Janaciara Moreira Ribas</t>
  </si>
  <si>
    <t>031.956.719-21</t>
  </si>
  <si>
    <t>Quitada, iniciou em 24/06/2023 expirou em 24/10/2024. (Aluna liberada até 29-03-2025 para concluir o curso.</t>
  </si>
  <si>
    <t>Quitado, iniciou em 07/03/2024 expira em 07/07/2025</t>
  </si>
  <si>
    <t>Praticas pedagógicas aprovada</t>
  </si>
  <si>
    <t xml:space="preserve">Julio Cezar de Oliveira Santos </t>
  </si>
  <si>
    <t>686.307.430-34</t>
  </si>
  <si>
    <t>Quitado, iniciado em 10/04/2023 e a extensão foi contratada por um més, expirando em 14/03/2025.</t>
  </si>
  <si>
    <t>Pós-Graduação em Gestão Escolar Integradora com Ênfase em Supervisão, Orientação, Administração e Inspeção 870Horas</t>
  </si>
  <si>
    <t>Ana Ernestina Chaves Brito</t>
  </si>
  <si>
    <t>047.262.035-50</t>
  </si>
  <si>
    <t>Segunda Licenciatura em Música 2022 - 880 Horas</t>
  </si>
  <si>
    <t>Quitada, iniciou em 23/02/2023 e expirou em 23/06/2024.</t>
  </si>
  <si>
    <t>Quitado, iniciou em 27/09/2022 e expirou em 27/01/2024.</t>
  </si>
  <si>
    <t>Resta uma disciplina para concluir</t>
  </si>
  <si>
    <t>Gilzelio de Jesus Souza</t>
  </si>
  <si>
    <t>624.477.266-00</t>
  </si>
  <si>
    <t>Em dia, fez novo parcelamento iniciado em 22/01/2025 e com vencimento em 22/05/2026.</t>
  </si>
  <si>
    <t>Não necessaria</t>
  </si>
  <si>
    <t>Joanil Maria da Silva</t>
  </si>
  <si>
    <t>004.492.971-44</t>
  </si>
  <si>
    <t>Segunda Licenciatura em Artes Visuais - 47M</t>
  </si>
  <si>
    <t>Quitada, iniciou em 01/07/2024 e expira em 01/11/2025.</t>
  </si>
  <si>
    <t xml:space="preserve">089.349.486-04
</t>
  </si>
  <si>
    <t>Quitado, no cartão iniciou em 04/11/2024 e expira em 27/02/2026</t>
  </si>
  <si>
    <t>Rodrigo de Carvalhos</t>
  </si>
  <si>
    <t>042.238.089-07</t>
  </si>
  <si>
    <t>SEGUNDA LICENCIATURA EM MÚSICA</t>
  </si>
  <si>
    <t xml:space="preserve">Em dia, iniciou em 27/02/2025 e expira em 27/06/2026
</t>
  </si>
  <si>
    <t>Jasiel da Silva Freitas</t>
  </si>
  <si>
    <t>844.916.126-68</t>
  </si>
  <si>
    <t>Efetuou pagamento apenas da primeira parcela. A segunda está vencida, iniciou em 29/01/2025 e expira em 29/01/2026.</t>
  </si>
  <si>
    <t>Thallya Dhanyelly dos Santos e Silva Siqueira</t>
  </si>
  <si>
    <t>617.295.123-80</t>
  </si>
  <si>
    <t>PÓS-GRADUAÇÃO EM ATENDIMENTO EDUCACIONAL ESPECIALIZADO COM ÊNFASE EM EDUCAÇÃO ESPECIAL E INCLUSIVA</t>
  </si>
  <si>
    <t>Quitada, iniciou em 10/02/2025 expira em 10/08/2026.</t>
  </si>
  <si>
    <t>Concluiu apenas 1 disciplina</t>
  </si>
  <si>
    <t xml:space="preserve"> Leila Costa Castro</t>
  </si>
  <si>
    <t>779.950.662-87</t>
  </si>
  <si>
    <t>Quitada, iniciou em 16/01/2021, contratou reativação e expirou em 14/07/2023.</t>
  </si>
  <si>
    <t>Resta concluir 2 disciplinas</t>
  </si>
  <si>
    <t>779.950.662-88</t>
  </si>
  <si>
    <t>Pós-Graduação em Coordenação Pedágogica</t>
  </si>
  <si>
    <t>Lairce Ferreira Lopes</t>
  </si>
  <si>
    <t xml:space="preserve">266.138.448-02 </t>
  </si>
  <si>
    <t>Quitado, iniciou em 28/10/2023 expirou em 28/02/2025.</t>
  </si>
  <si>
    <t xml:space="preserve">as atividades estão no nome de outra pessoa. </t>
  </si>
  <si>
    <t>Wilson Santos Cavalho</t>
  </si>
  <si>
    <t>133.733.948-21</t>
  </si>
  <si>
    <t>Quitado, iniciou em 11/08/2023 expirou 11/12/2024.</t>
  </si>
  <si>
    <t>Luis Eduardo Kreling Vanzella</t>
  </si>
  <si>
    <t>056.629.869-40</t>
  </si>
  <si>
    <t>FORMAÇÃO PEDAGÓGICA EM PEDAGOGIA - 2024</t>
  </si>
  <si>
    <t>Quitado, iniciou em 08/03/2024 e expira em 08/07/2025.</t>
  </si>
  <si>
    <t>Inácia Maria Silva Freire</t>
  </si>
  <si>
    <t>039.218.534-27</t>
  </si>
  <si>
    <t>Quitada, iniciou em 23/09/2022 expirou em 23/01/2024.</t>
  </si>
  <si>
    <t>André Alves Senhorinho</t>
  </si>
  <si>
    <t>087.225.977-35</t>
  </si>
  <si>
    <t>Quitado, iniciou em 09/09/2024 e expira em 09/01/2026</t>
  </si>
  <si>
    <t>Ricardo Alexandre da Silva Lima</t>
  </si>
  <si>
    <t>817.540.862-68</t>
  </si>
  <si>
    <t>Formação Pedagógica em Música 2024</t>
  </si>
  <si>
    <t>Quitado, expira 15/06/2025 (contratou extensão)</t>
  </si>
  <si>
    <t>Tais: PPI pré aprovada, falta envio da PPII (Aguardando analise para informar ao aluno)</t>
  </si>
  <si>
    <t>043.467.711-65</t>
  </si>
  <si>
    <t>PÓS-GRADUAÇÃO EM NEUROEDUCAÇÃO - 79M</t>
  </si>
  <si>
    <t>Quitado, iniciou em 13/06/2024 e expira em 13/10/2025.</t>
  </si>
  <si>
    <t>043.467.711-66</t>
  </si>
  <si>
    <t>PÓS-GRADUAÇÃO EM PSICOPEDAGOGIA E EDUCAÇÃO ESPECIAL - 95M</t>
  </si>
  <si>
    <t>Bruno Dias de Freitas</t>
  </si>
  <si>
    <t>045.468.523-80</t>
  </si>
  <si>
    <t>Pós-Graduação em Ciências de Dados</t>
  </si>
  <si>
    <t>045.468.523-81</t>
  </si>
  <si>
    <t>Quitado, iniciou em 08/01/2024 e expira em 08/05/2025</t>
  </si>
  <si>
    <t>terá que realizar correções na carta de apresentação</t>
  </si>
  <si>
    <t>Tanisio Emanuel Neves de Aguiar</t>
  </si>
  <si>
    <t>032.025.365-16</t>
  </si>
  <si>
    <t>Quitado, iniciou em 13/09/2022, contratou reativação e expirou em 03/03/2025</t>
  </si>
  <si>
    <t>032.025.365-17</t>
  </si>
  <si>
    <t>Quitado, iniciou em 13/09/2022, contratou reativação e expirou em 03/03/2026</t>
  </si>
  <si>
    <t>Cleini Fernandes Matos Cortes</t>
  </si>
  <si>
    <t>096.041.497-50</t>
  </si>
  <si>
    <t xml:space="preserve">Pós-Graduação em Sexologia	</t>
  </si>
  <si>
    <t>Quitada, iniciou em 22/09/2022 expirou em 22/01/2024.</t>
  </si>
  <si>
    <t>Michael Douglas Conceição de Oliveira</t>
  </si>
  <si>
    <t>155.688.897-08</t>
  </si>
  <si>
    <t>FORMAÇÃO LIVRE EM PSICANÁLISE</t>
  </si>
  <si>
    <t>Quitado, iniciou em 10/10/2023 e expirou em 10/02/2025</t>
  </si>
  <si>
    <t>Fabiani da Costa Cruz</t>
  </si>
  <si>
    <t>732.759.722-00</t>
  </si>
  <si>
    <t>Pós-Graduação em Alfabetização e Letramento e Psicopedagogia</t>
  </si>
  <si>
    <t>Quitado, iniciou em 15/09/2023 e expirou em 15/01/2025</t>
  </si>
  <si>
    <t>Já na planilha de Pós</t>
  </si>
  <si>
    <t>Bianca Maria Rocha Guerra</t>
  </si>
  <si>
    <t>085.495.607-74</t>
  </si>
  <si>
    <t>PÓS-GRADUAÇÃO EM METODOLOGIA DO ENSINO DA MATEMÁTICA</t>
  </si>
  <si>
    <t>Joana Carina souza Araujo mendes Pereira</t>
  </si>
  <si>
    <t>658.851.472-72</t>
  </si>
  <si>
    <t>Quitado, iniciou em 29/10/2021 expirou em 29/02/2023.</t>
  </si>
  <si>
    <t>Eva Evorniza Ribeiro de Macedo</t>
  </si>
  <si>
    <t>015.048.309-03</t>
  </si>
  <si>
    <t xml:space="preserve"> Efetuou o pagamento de 14 de 16 parcelas, restando 2 para quitar. Iniciou em 27/01/2023 e expira em 27/05/2024.</t>
  </si>
  <si>
    <t>Iara Rocha Pereira</t>
  </si>
  <si>
    <t>050.592.136-76</t>
  </si>
  <si>
    <t>Quitada, iniciou em 26/12/2022, reativou o curso e expirou em 01/03/2025</t>
  </si>
  <si>
    <t>Aprovada em todas asdiscipliinas</t>
  </si>
  <si>
    <t>Murilo José da Silva</t>
  </si>
  <si>
    <t>336.568.448-44</t>
  </si>
  <si>
    <t>Segunda Licenciatura em Música -&gt; Formação Pedagógica em Música</t>
  </si>
  <si>
    <t>Quitado, iniciou em 22/01/2024 e expira em 22/05/2025.</t>
  </si>
  <si>
    <t>Izabella Dias Basso Aragão</t>
  </si>
  <si>
    <t>436.299.278-23</t>
  </si>
  <si>
    <t xml:space="preserve">SEGUNDA LICENCIATURA EM PEDAGOGIA
</t>
  </si>
  <si>
    <t xml:space="preserve">Quitada, iniciou em 21/03/2025 e expira em 20/03/2025.
</t>
  </si>
  <si>
    <t>251.312.458-85</t>
  </si>
  <si>
    <t>Quitado, iniciou em 19/05/2023 e expirou em 19/09/2024</t>
  </si>
  <si>
    <t>Samara Fernandes Costa</t>
  </si>
  <si>
    <t xml:space="preserve"> Quitada, iniciou 19/10/2023 expirou em 19/02/2025.</t>
  </si>
  <si>
    <t>Sirmária Brito Dias</t>
  </si>
  <si>
    <t>019.026.165-02</t>
  </si>
  <si>
    <t>Aluna realizou novo parcelamento iniciando em 10/01/2024 e expirando em 10/05/2025</t>
  </si>
  <si>
    <t>foi solicitado correções para aluna</t>
  </si>
  <si>
    <t>Gersiane Gama da Silva</t>
  </si>
  <si>
    <t>704.598.605-00</t>
  </si>
  <si>
    <t>Quitado, iniciou em 09/09/2021 e expirou em 09/01/2023.</t>
  </si>
  <si>
    <t>Cleverson Moreira Lino</t>
  </si>
  <si>
    <t>707.471.561-15</t>
  </si>
  <si>
    <t>Quitado, iniciou em 02/01/2024 e expira em 02/05/2025</t>
  </si>
  <si>
    <t>Charles Araújo Oliveira</t>
  </si>
  <si>
    <t>839.618.286-87</t>
  </si>
  <si>
    <t>Quitado, iniciou em 15/05/2021, contratou várias extensões e por último reativou o curso, com expiração em 05/04/2025</t>
  </si>
  <si>
    <t>Sergivano Antonio dos Santos</t>
  </si>
  <si>
    <t>027.953.594-56</t>
  </si>
  <si>
    <t xml:space="preserve">Pós-graduação em Psicanálise
</t>
  </si>
  <si>
    <t>Efetuou o pagamento de 8 parcelas de 16, restando 8 para quitar. Iniciou em 30/10/2023 e expirou em 30/02/2025</t>
  </si>
  <si>
    <t>Rejane Inês da Silva</t>
  </si>
  <si>
    <t>147.875.928-31</t>
  </si>
  <si>
    <t>Quitada, iniciou em 07/11/2022 e expirou em 07/03/2024</t>
  </si>
  <si>
    <t>Antonio José Ferreira Junior</t>
  </si>
  <si>
    <t>315.095.308-19</t>
  </si>
  <si>
    <t>Quitado, iniciou em 02/01/2023, reativado e expira em 24/03/2025</t>
  </si>
  <si>
    <t>PPs pré aprovadas, falta documentação para formalizar.</t>
  </si>
  <si>
    <t>Pós-Graduação em Gestão Escolar...</t>
  </si>
  <si>
    <t>João Paulo Reis Costa</t>
  </si>
  <si>
    <t>088.656.816-16</t>
  </si>
  <si>
    <t>Quitado, iniciou em 08/05/2023, reativou o curso e expira em 07/04/2025</t>
  </si>
  <si>
    <t>Análise Concluída, Falta Plataforma</t>
  </si>
  <si>
    <t>088.656.816-17</t>
  </si>
  <si>
    <t>Amanda Gusmão de Souza Goebel</t>
  </si>
  <si>
    <t>123.546.477-60</t>
  </si>
  <si>
    <t>Quitado, iniciou em 10/01/2024 e expira em 10/05/2025.</t>
  </si>
  <si>
    <t>Paulo Lourenço Filho</t>
  </si>
  <si>
    <t>033.719.468-86</t>
  </si>
  <si>
    <t>Quitado, iniciou em 12/09/2024 expia em 12/01/2026.</t>
  </si>
  <si>
    <t>Izabel Cristina Rosa da Silva</t>
  </si>
  <si>
    <t>508.157.251-91</t>
  </si>
  <si>
    <t>Pós-Graduação em MBA em Gestão de Pessoas e Talentos</t>
  </si>
  <si>
    <t>Quitada, iniciou em 12/03/2024 e expira em 12/07/2025.</t>
  </si>
  <si>
    <t>Luis Carlos Bereta Botelho</t>
  </si>
  <si>
    <t>030.594.897-00</t>
  </si>
  <si>
    <t>Quitado, iniciou em 04/08/2023 expirou em 04/12/2024.</t>
  </si>
  <si>
    <t>Fabiana Hames</t>
  </si>
  <si>
    <t>041.535.819-17</t>
  </si>
  <si>
    <t xml:space="preserve">Quitada, iniciou em 06/11/2023 expirou 06/03/2025.
</t>
  </si>
  <si>
    <t>Christian Rodrigues dos Santos</t>
  </si>
  <si>
    <t>053.597.199-07</t>
  </si>
  <si>
    <t>Em dia, iniciou em 18/02/2025 expira em 18/06/2026.</t>
  </si>
  <si>
    <t>Tais: PPI ok, entrevista ok, falta carta de apresentação assinada (falta documentação)</t>
  </si>
  <si>
    <t>Andria Paula Costa Rodrigues</t>
  </si>
  <si>
    <t xml:space="preserve">014.850.700-07
</t>
  </si>
  <si>
    <t xml:space="preserve">#FPMF- Formação Pedagógica em Música 1200Horas	
</t>
  </si>
  <si>
    <t>Quitado ,iniciou em 12/09/2023 e expira em 28/03/2025.</t>
  </si>
  <si>
    <t>Maria Aparecida da Costa</t>
  </si>
  <si>
    <t xml:space="preserve">#SLUPI - SEGUNDA LICENCIATURA EM LETRAS – PORTUGUÊS E INGLÊS
</t>
  </si>
  <si>
    <t>Quitada, iniciou em 04/07/2023 expirou em 04/11/2024</t>
  </si>
  <si>
    <t>Lilian Alexandre Santiago</t>
  </si>
  <si>
    <t>033.850.754-08</t>
  </si>
  <si>
    <t>Quitação, iniciou em 03/08/2022 expirou em 03/12/2023.</t>
  </si>
  <si>
    <t xml:space="preserve">Silvana Francisca de Souza
</t>
  </si>
  <si>
    <t>513.874.509-30</t>
  </si>
  <si>
    <t>Quitado, iniciou em 09/03/2023 expirou em 09/07/2024.</t>
  </si>
  <si>
    <t xml:space="preserve">Marina de Freitas Rodrigues Andrade        </t>
  </si>
  <si>
    <t>013.086.086-75</t>
  </si>
  <si>
    <t>Quitada, iniciou em 18/09/2023 e expirou em 18/01/2025.</t>
  </si>
  <si>
    <t>Diploma de Tecnólogo</t>
  </si>
  <si>
    <t xml:space="preserve">Tarcísia Nascimento de Carvalho
</t>
  </si>
  <si>
    <t>022.909.675-13</t>
  </si>
  <si>
    <t>Quitada, iniicou em 22/12/2022, contratou  reativação do curso e expirou em 05/08/2024.</t>
  </si>
  <si>
    <t>Falta 1 disciplina</t>
  </si>
  <si>
    <t>Aprovada em 24/10/24 15:16:04</t>
  </si>
  <si>
    <t xml:space="preserve">Mara Gonçalves Marchesin
</t>
  </si>
  <si>
    <t>119.186.498-71</t>
  </si>
  <si>
    <t>Quitado, iniciou 16/05/2023, contratou extensão e expirou em 18/03/2025.</t>
  </si>
  <si>
    <t>083.107.387-06</t>
  </si>
  <si>
    <t>Quitada, iniciou em 10/03/2022, expirou em 10/07/2023.</t>
  </si>
  <si>
    <t xml:space="preserve">Sarah Estevão da Costa Teixeira </t>
  </si>
  <si>
    <t>983.941.423-20</t>
  </si>
  <si>
    <t>Quitada, iniciou em 26/09/2023, reativou o curso e expira em 27/04/2025</t>
  </si>
  <si>
    <t>Andressa da Silva Guedes Abreu</t>
  </si>
  <si>
    <t>099.920.987-67</t>
  </si>
  <si>
    <t>Mislene Silva</t>
  </si>
  <si>
    <t>063.719.566-39</t>
  </si>
  <si>
    <t>Diplomação por Competência em Pedagogia</t>
  </si>
  <si>
    <t>Quitado, iniciou em 16/01/2025 expira em 16/01/2026.</t>
  </si>
  <si>
    <t xml:space="preserve">Gabriela Queiroz Saraiva
</t>
  </si>
  <si>
    <t>094.941.356-95</t>
  </si>
  <si>
    <t>#SLUP - SEGUNDA LICENCIATURA EM PEDAGOGIA</t>
  </si>
  <si>
    <t>Quitada, iniciou em 11/12/2023 e expirou em 03/03/2025</t>
  </si>
  <si>
    <t>Michael Adam Oliveira Cruz</t>
  </si>
  <si>
    <t>405.395.268-94</t>
  </si>
  <si>
    <t>Diplomação por Competência em Música</t>
  </si>
  <si>
    <t>Quitado, iniciou em 14/03/2023 expirou em 14/07/2024 ????</t>
  </si>
  <si>
    <t xml:space="preserve">Arnaldo Barros dos Santos
</t>
  </si>
  <si>
    <t>Quitado, iniciou em 14/03/2023 expirou em 14/07/2024</t>
  </si>
  <si>
    <t>Aprovado em 03/01/24</t>
  </si>
  <si>
    <t>Laís Natália Nogueira Pedrosa</t>
  </si>
  <si>
    <t>054.675.211-01</t>
  </si>
  <si>
    <t>Quitada, expira em: 30/05/2025</t>
  </si>
  <si>
    <t>Gabriela Queiroz Saraiva</t>
  </si>
  <si>
    <t>Não encaminhou!</t>
  </si>
  <si>
    <t>Samara de Oliveira Santos Pereira</t>
  </si>
  <si>
    <t>033.244.975-07</t>
  </si>
  <si>
    <t>Segunda Licenciatura em Letras-Português/Inglês</t>
  </si>
  <si>
    <t>Iniciou em: 01/05/2021 Situação: Quitada Expirou em: 01/09/2022 Ultima extensão: 19/01/2024 - 19/03/2024</t>
  </si>
  <si>
    <t>PPI pré aprovada, falta enviar a PPII</t>
  </si>
  <si>
    <t xml:space="preserve">Ivanilde Helena Braga
</t>
  </si>
  <si>
    <t xml:space="preserve">	006.902.316-60</t>
  </si>
  <si>
    <t>Quitada, iniciou em 25/09/2023, contratou reativação e expirou em 05/03/2025.</t>
  </si>
  <si>
    <t>Foi solicitada correções para aluna</t>
  </si>
  <si>
    <t>Viviane Márcia Gonçalves Silva</t>
  </si>
  <si>
    <t>015.716.976-67</t>
  </si>
  <si>
    <t xml:space="preserve">Formação Pedagógica em Pedagogia
</t>
  </si>
  <si>
    <t xml:space="preserve">Quitada, iniciou em 22/08/2023 expirou em 22/12/2024.
</t>
  </si>
  <si>
    <t xml:space="preserve">Aprovado em todas as disciplinas </t>
  </si>
  <si>
    <t>Marcinelio Estevão de Oliveira</t>
  </si>
  <si>
    <t xml:space="preserve">        014.296.426-37</t>
  </si>
  <si>
    <t>Quitado (de acordo com anotação da Camila) Iniciou em 12/09/2023 e expirou em 12/01/2025</t>
  </si>
  <si>
    <t xml:space="preserve">Matheus Quessada Cardoso de Matos
</t>
  </si>
  <si>
    <t xml:space="preserve">303.837.538-13
</t>
  </si>
  <si>
    <t xml:space="preserve">Segunda Licenciatura em Pedagogia
</t>
  </si>
  <si>
    <t>Quitado, iniciou em 08/02/2023 expirou em 08/06/2024.</t>
  </si>
  <si>
    <t>PPII aprovada, falta o envio da PPI</t>
  </si>
  <si>
    <t>Rosa Maria Cavalcanti Brito</t>
  </si>
  <si>
    <t>269.998.624-00</t>
  </si>
  <si>
    <t>Quitado, iniciou em 04/05/2021, contratou extensão e expira em 26/03/2025</t>
  </si>
  <si>
    <t xml:space="preserve"> Pós-Graduação em Neuropsicologia</t>
  </si>
  <si>
    <t>Tamara Lúcia Angelin Figueiredo</t>
  </si>
  <si>
    <t>515.875.802-68</t>
  </si>
  <si>
    <t>Em dia, iniciou em 03/07/2023, contratou extensão e expira em 05/04/2025</t>
  </si>
  <si>
    <t>Aprovada nas práticas pedagógicas</t>
  </si>
  <si>
    <t>Élcio Alves da Silva</t>
  </si>
  <si>
    <t>053.913.067-28</t>
  </si>
  <si>
    <t>Quitado, iniciou em 06/06/2023, contratou extensão e expira em 11/06/2025.</t>
  </si>
  <si>
    <t>Quitada, iniciou em 23/10/2023 e expirou em 23/02/2025.</t>
  </si>
  <si>
    <t>O aluno encaminhou via WhatsApp e obteve aprovação. "PPs aprovadas".</t>
  </si>
  <si>
    <t>Jenyffer Nicodemos Fraga</t>
  </si>
  <si>
    <t>131.912.146-23</t>
  </si>
  <si>
    <t>Pós-Graduação em Neuropsicopedagogia Clínica e Institucional</t>
  </si>
  <si>
    <t>Quitada, iniciou em 19/01/2024 e expira em 19/05/2025</t>
  </si>
  <si>
    <t>Resta uma disciplina para concluir.</t>
  </si>
  <si>
    <t>Não encaminhou o estágio</t>
  </si>
  <si>
    <t>Fabio José Reis da Silva</t>
  </si>
  <si>
    <t xml:space="preserve">Sonize Herculino Bernardo
</t>
  </si>
  <si>
    <t xml:space="preserve">010.721.154-84
</t>
  </si>
  <si>
    <t>Quitada, iniciou em 28/07/2024 e expira em 28/11/2025.</t>
  </si>
  <si>
    <t xml:space="preserve">Mandou PPS em branco. </t>
  </si>
  <si>
    <t>Cícero Pereira Batista</t>
  </si>
  <si>
    <t>723.941.961-49</t>
  </si>
  <si>
    <t>Pós-Graduação em Licitações e Contratos Administrativos - 520 horas</t>
  </si>
  <si>
    <t>Quitado, Início: 30-12-2021, expira em 30-04-2023. (Aluno foi liberado por Camila para concluir até 17/03/2025)</t>
  </si>
  <si>
    <t>915.113.482-91</t>
  </si>
  <si>
    <t>Quitado, iniciou em 26/06/2021, contratou extensão e expirou em 01/12/2023</t>
  </si>
  <si>
    <t>Fernanda Viana Azevedo Protasio</t>
  </si>
  <si>
    <t>875.021.002-53</t>
  </si>
  <si>
    <t>SEGUNDA LICENCIATURA EM PEDAGOGIA/ Pós-graduação em Gestão Escolar</t>
  </si>
  <si>
    <t>Quitado, iniciou em 12/12/2023 e expirou em 12/04/2025</t>
  </si>
  <si>
    <t>Antônio Ferreira da Silva</t>
  </si>
  <si>
    <t>884.869.151-04</t>
  </si>
  <si>
    <t>Inicio: 10/08/2022 Expirou: 10/12/2023 Quitado</t>
  </si>
  <si>
    <t>Bianca clemencia Teixeira da Silva de Freitas</t>
  </si>
  <si>
    <t>056.203.607-50</t>
  </si>
  <si>
    <t>Quitada, iniciou em 07/11/2024 e expira em 07/05/2026.</t>
  </si>
  <si>
    <t>PPs corrigidas, não enviou carta de apresentação.</t>
  </si>
  <si>
    <t>Nelson Rosa Ferreira</t>
  </si>
  <si>
    <t>642.423.822-00</t>
  </si>
  <si>
    <t>Formação Livre em Música</t>
  </si>
  <si>
    <t xml:space="preserve"> Boleto de quitação vencido no ASSAS 867, iniciado em 03/05/2023 e expirado em 03/09/2024.</t>
  </si>
  <si>
    <t>Letícia Trambini Corrêa</t>
  </si>
  <si>
    <t>484.053.198-67</t>
  </si>
  <si>
    <t>Quitada, iniciou em 18/05/2022 expirou em 18/09/2023.</t>
  </si>
  <si>
    <t>484.053.198-68</t>
  </si>
  <si>
    <t>Pós-Graduação em Terapia em ABA - Análise do Comportamento Aplicada Clínica</t>
  </si>
  <si>
    <t>Quitada, iniciou em 04/05/2023 e expirou em 04/09/2024</t>
  </si>
  <si>
    <t>Resta uma disciplinas para concluir</t>
  </si>
  <si>
    <t>Aprovado no estágio</t>
  </si>
  <si>
    <t xml:space="preserve">Rafael Fernandes Ferreira </t>
  </si>
  <si>
    <t>909.907.652-53</t>
  </si>
  <si>
    <t>#FPUEF - Formação Pedagógica em Educação Física - 1200 Horas</t>
  </si>
  <si>
    <t>Quitado, iniciou em 12/12/2023 e expira em 12/04/2025</t>
  </si>
  <si>
    <t>Pré aprovado</t>
  </si>
  <si>
    <t>Fábio Márcio Araújo de Oliveira</t>
  </si>
  <si>
    <t>045.981.944-56</t>
  </si>
  <si>
    <t>Suelen Ferreira Barbosa</t>
  </si>
  <si>
    <t>050.022.359-99</t>
  </si>
  <si>
    <t>Quitada. Iniciou em 07/03/2023 e expirou em 07/07/2024.</t>
  </si>
  <si>
    <t>Nayara Tallita Moreno Rodrigues</t>
  </si>
  <si>
    <t xml:space="preserve">005.401.352-67
</t>
  </si>
  <si>
    <t xml:space="preserve">Pós-Graduação em Educação Musical
</t>
  </si>
  <si>
    <t>Quitada, iniciou em 03/07/2023 expirou em 03/11/2024.</t>
  </si>
  <si>
    <t xml:space="preserve">TCC pré aprovado, falta regularizar documentos. </t>
  </si>
  <si>
    <t>Jeane Carla da Silveira</t>
  </si>
  <si>
    <t>053.901.986-03</t>
  </si>
  <si>
    <t xml:space="preserve"> Segunda Licenciatura em Educação Especial</t>
  </si>
  <si>
    <t>Quitada, iniciou 06/09/2023, reativou o curso e expira em 10/04/2025.</t>
  </si>
  <si>
    <t>Terá que realizar correções nos trabalhos (aguardando analise)</t>
  </si>
  <si>
    <t>Luis Davi Cucco Avelar de Freitas</t>
  </si>
  <si>
    <t>145.009.677-88</t>
  </si>
  <si>
    <t>Formação Pedagógica em Letras Português - Inglês</t>
  </si>
  <si>
    <t>Quitado, iniciou em 19/02/2025 e expirou em 19/06/2026</t>
  </si>
  <si>
    <t>Carlos Eduardo Martins dos Santos</t>
  </si>
  <si>
    <t>040.071.739-58</t>
  </si>
  <si>
    <t>Quitado, iniciou em 31/10/2022 expirou em 31/02/2024</t>
  </si>
  <si>
    <t>Edilson Furtado Farias</t>
  </si>
  <si>
    <t>030.165.722-06</t>
  </si>
  <si>
    <t xml:space="preserve">SEGUNDA LICENCIATURA PEDAGOGIA - 2024	</t>
  </si>
  <si>
    <t>Quitado, iniciou em 02/04/2024 e expira em 02/08/2025.</t>
  </si>
  <si>
    <t>SEGUNDA LICENCIATURA EM MATEMÁTICA</t>
  </si>
  <si>
    <t>Aprovado em apenas 3 disciplinas, restando 11 para concluir</t>
  </si>
  <si>
    <t>Rosangela Gonçalves Jacovine</t>
  </si>
  <si>
    <t>630.658.196-00</t>
  </si>
  <si>
    <t>Pós-graduação em Gestão Escolar</t>
  </si>
  <si>
    <t xml:space="preserve">Quitada, iniciou em 05/12/2022 expirou em 05/04/2024.
</t>
  </si>
  <si>
    <t>Pós-Graduação em Informática Forense</t>
  </si>
  <si>
    <t xml:space="preserve">Brinde </t>
  </si>
  <si>
    <t>Quitado, iniciou em 30/10/2024 e expira em 22/02/2026</t>
  </si>
  <si>
    <t>PPs enviadas em 15/11/2024</t>
  </si>
  <si>
    <t>Hugo Alexandre da Silva Resende</t>
  </si>
  <si>
    <t>069.633.297-37</t>
  </si>
  <si>
    <t>Quitada, iniciou em 05/04/2022 expira 10/04/2025.</t>
  </si>
  <si>
    <t>Duplicado</t>
  </si>
  <si>
    <t>Rosiane Gomes Alves</t>
  </si>
  <si>
    <t>064.485.455-30</t>
  </si>
  <si>
    <t>Quitado. Iniciou em 12/06/2023, reativou o curso e expira em 19/04/2025</t>
  </si>
  <si>
    <t>Vanessa Bensa de Oliveira Neves</t>
  </si>
  <si>
    <t>090.287.017-37</t>
  </si>
  <si>
    <t xml:space="preserve">Quitada, iniciou em 19/12/2022, contratou extensão e expira em 14/01/2025 </t>
  </si>
  <si>
    <t xml:space="preserve">Pós-Graduação em Psicopedagogia Clínica, Institucional e Hospitalar 
</t>
  </si>
  <si>
    <t>Provavelmente brinde, pois não localizei Financeiro</t>
  </si>
  <si>
    <t xml:space="preserve">Pós-Graduação em Neuropsicologia Clínica 
</t>
  </si>
  <si>
    <t>Josinete Silva da Silva</t>
  </si>
  <si>
    <t>774.605.292-49</t>
  </si>
  <si>
    <t>Quitado, iniciou 23/01/2024 expira em 23/05/2025</t>
  </si>
  <si>
    <t>Solicitada correções em 03/12/2024</t>
  </si>
  <si>
    <t>Leonardo Ricardo Miranda</t>
  </si>
  <si>
    <t>086.788.424-07</t>
  </si>
  <si>
    <t>Pós-Graduação em Psicanálise.</t>
  </si>
  <si>
    <t>Lucimar Aparecida de Souza</t>
  </si>
  <si>
    <t>428.669.361-91</t>
  </si>
  <si>
    <t>PÓS-GRADUAÇÃO EM GESTÃO ESCOLAR...</t>
  </si>
  <si>
    <t>Quitada, iniciou em 18/10/2022, contratou extensão e expirou em 22/12/2024</t>
  </si>
  <si>
    <t>Resta concluir uma disciplina</t>
  </si>
  <si>
    <t>Cíntia Campos de Mendonça Brum</t>
  </si>
  <si>
    <t>073.038.566.33</t>
  </si>
  <si>
    <t>Pós-Graduação em Educação Especial e Inclusiva</t>
  </si>
  <si>
    <t xml:space="preserve">- </t>
  </si>
  <si>
    <t xml:space="preserve">Luciene Teresinha de Souza Bezerra </t>
  </si>
  <si>
    <t>316.409.311-04</t>
  </si>
  <si>
    <t>PÓS-GRADUAÇÃO EM GESTÃO ESCOLAR</t>
  </si>
  <si>
    <t>Quitada, iniciou em 17/10/2022, contratou extensão e expirou em 22/12/2024</t>
  </si>
  <si>
    <t>Sérgio Alberto Silva Santos</t>
  </si>
  <si>
    <t>391.441.863-04</t>
  </si>
  <si>
    <t>uitado, iniciou em 15/01/2025 e expira em 15/07/2026</t>
  </si>
  <si>
    <t>Pós-Graduação em Gestão Escolar Integradora com Ênfase em Supervisão, Orientação, Administração e Inspeção</t>
  </si>
  <si>
    <t>Falta 06 disciplinas</t>
  </si>
  <si>
    <t>Eduarda Schütz</t>
  </si>
  <si>
    <t>108.311.169-86</t>
  </si>
  <si>
    <t>Quitado, iniciou em 01/10/2024 expira em  01/02/2026.</t>
  </si>
  <si>
    <t>Formação Pedagógica em Ciências da Religião</t>
  </si>
  <si>
    <t>Em dia, iniciou em 04/06/2024 e expira em 04/10/2025.</t>
  </si>
  <si>
    <t>Maria Victoria González Peña</t>
  </si>
  <si>
    <t>743.977.961-49</t>
  </si>
  <si>
    <t>SEGUNDA LICENCIATURA EM PEDAGOGIA - 37M</t>
  </si>
  <si>
    <t>Quitada, Iniciou em 09/04/2024 e expira em 09/08/2025.</t>
  </si>
  <si>
    <t>PPs pré aprovadas - falta financeiro e documentação para formalizar</t>
  </si>
  <si>
    <t>Aluna estrangeira, documentos diferentes</t>
  </si>
  <si>
    <t>Maiza Deca Dos Reis</t>
  </si>
  <si>
    <t>010.843.753-11</t>
  </si>
  <si>
    <t>Quitada, expira em: 07/06/2025</t>
  </si>
  <si>
    <t>PPII pré aprovada, falta realizar a PPI (Falta regularizar documentação)</t>
  </si>
  <si>
    <t>Ricardo Alves Ribeiro</t>
  </si>
  <si>
    <t>338.781.548-44</t>
  </si>
  <si>
    <t>Quitada, iniciou em 08/03/2023, contratou extensão e expirou em 07/03/2025.</t>
  </si>
  <si>
    <t>Flavio Roberto Caetano</t>
  </si>
  <si>
    <t>077.590.238-12</t>
  </si>
  <si>
    <t>Não encaminhou nenhuma documentação</t>
  </si>
  <si>
    <t>Mayara Rodrigues de Brito</t>
  </si>
  <si>
    <t>000.448.542-42</t>
  </si>
  <si>
    <t>Quitada, iniciou em 18/09/2024 expira em 18/01/2026.</t>
  </si>
  <si>
    <t>PPI pré aprovada, falta envio da PPII.</t>
  </si>
  <si>
    <t>José Holanda Venancio Santos</t>
  </si>
  <si>
    <t>885.979.113-87</t>
  </si>
  <si>
    <t>PPs pré aprovadas, falta analise financeira.</t>
  </si>
  <si>
    <t>José Roberto de Oliveira Martins</t>
  </si>
  <si>
    <t>186.693.441-49</t>
  </si>
  <si>
    <t>Formação Pedagógica em Sociologia</t>
  </si>
  <si>
    <t>Quitado, iniciou em 01/10/2024 e expira em 01/02/2026</t>
  </si>
  <si>
    <t>Quitado, iniciou em 01/10/2024 e expira em 01/02/2027</t>
  </si>
  <si>
    <t>Pós-Graduação Ensino da Lingua Espanhola</t>
  </si>
  <si>
    <t>Kevny Claudino de Oliveira Braz</t>
  </si>
  <si>
    <t>449.139.878-01</t>
  </si>
  <si>
    <t>Pós-Graduação em Engenharia de Segurança do Trabalho</t>
  </si>
  <si>
    <t>Quitada, iniciou em 20/07/2021, contratou extensão e expirou em 08/11/2024.</t>
  </si>
  <si>
    <t>Não concluiu nenhuma discipina</t>
  </si>
  <si>
    <t>Falta Tutoria, Falta Plataforma, Falta Documentação</t>
  </si>
  <si>
    <t>Edison Estanislau da Silva Jr</t>
  </si>
  <si>
    <t>029.018.649-88</t>
  </si>
  <si>
    <t>Falta 3 disciplinas</t>
  </si>
  <si>
    <t>Petrônio Dias da Silva</t>
  </si>
  <si>
    <t>509.884.414-20</t>
  </si>
  <si>
    <t>Quitado, iniciou em 13/11/2023 expirou em 13/03/2025.</t>
  </si>
  <si>
    <t>PPs pré aprovadas, verificando possibilidade de extensão</t>
  </si>
  <si>
    <t>Quitado, iniciou em 13/11/2023 e expirou em 07/03/2025</t>
  </si>
  <si>
    <t>Marlla Angélica dos Santos da Costa</t>
  </si>
  <si>
    <t>721.503.001-68</t>
  </si>
  <si>
    <t>PPS pré aprovadas, falta analise</t>
  </si>
  <si>
    <t>Pós-Graduação em Neuropsicopedagogia Clínica e Hospitalar</t>
  </si>
  <si>
    <t>Luis Lóris dos Santos Lopes</t>
  </si>
  <si>
    <t>509.641.000-53</t>
  </si>
  <si>
    <t>Formação pedagógica em música</t>
  </si>
  <si>
    <t xml:space="preserve"> Efetuou o pagamento de 13 de 16 parcelas, restando 3 para quitar. Iniciou em 17/04/2023 e expirou em 17/08/2024.</t>
  </si>
  <si>
    <t>Henrique Fumagali</t>
  </si>
  <si>
    <t>982.102.381-91</t>
  </si>
  <si>
    <t>TCC pré aprovado</t>
  </si>
  <si>
    <t>Marta Gabriela de Miranda da Silva</t>
  </si>
  <si>
    <t>319.207.928-21</t>
  </si>
  <si>
    <t>Efetuou o pagamento de 6 de 16 parcelas, restando 10 para quitar. Iniciou em 07/06/2023 e expirou em 07/10/2024.</t>
  </si>
  <si>
    <t>Falta 05 disciplinas</t>
  </si>
  <si>
    <t>007.774.322-93</t>
  </si>
  <si>
    <t xml:space="preserve">Quitado, iniciou em 25/07/2023, contratou extensão e expira em 07/04/2025.
</t>
  </si>
  <si>
    <t>Documentos entregues e deferidos</t>
  </si>
  <si>
    <t>Joyci Pereira Lima</t>
  </si>
  <si>
    <t>757.964.652-87</t>
  </si>
  <si>
    <t>Pós-Graduação em Terapia em TDAH Clínica - 920 horas</t>
  </si>
  <si>
    <t>Quitada, iniciou em 21/08/2023, contratou extensão e expira em 05/04/2025</t>
  </si>
  <si>
    <t xml:space="preserve">Pré aprovada, falta regularizar documentos. </t>
  </si>
  <si>
    <t>757.964.652-88</t>
  </si>
  <si>
    <t>Pós-Graduação em Psicologia Hospitalar</t>
  </si>
  <si>
    <t>Quitada, iniciou em 17/06/2021 e contratou reativação e expira em 05/04/2025</t>
  </si>
  <si>
    <t>Josy Michelly Ferreira da Costa</t>
  </si>
  <si>
    <t>026.932.873-40</t>
  </si>
  <si>
    <t>Quitada, iniciou em 03/11/2023 e expirou em 03/03/2025.</t>
  </si>
  <si>
    <t>Marly Gonçalves Lima</t>
  </si>
  <si>
    <t>102.033.096-18</t>
  </si>
  <si>
    <t>Quitada, iniciou em 11/11/2022, contratou reativação e expirou em 30/01/2025</t>
  </si>
  <si>
    <t>Daniela Carvalho Ximendes</t>
  </si>
  <si>
    <t>737.698.270-15</t>
  </si>
  <si>
    <t>Quitado, iniciou em 13/07/2022 e expirou em 13/11/2023</t>
  </si>
  <si>
    <t>Falta Financeiro, Falta Plataforma, Falta Tutoria, Falta Documentação</t>
  </si>
  <si>
    <t>Regina Ferreira Barra</t>
  </si>
  <si>
    <t>541.880.596-72</t>
  </si>
  <si>
    <t>Aluna provavelmente antiga *Confirmar cursos*</t>
  </si>
  <si>
    <t>Beatriz Saraiva Garcia</t>
  </si>
  <si>
    <t>102.633.279-65</t>
  </si>
  <si>
    <t>Não Localizei</t>
  </si>
  <si>
    <t>Diplomação por Competência em Letras/Inglês (Gringa está SEGUNDA LICENCIATURA EM LETRAS PORTUGUÊS - INGLÊS)</t>
  </si>
  <si>
    <t>Quitado, iniciou em 13/01/2025 e expira em 13/07/2026.</t>
  </si>
  <si>
    <t>(restam 9 disciplinas para concluir)</t>
  </si>
  <si>
    <t>Mariângela Benedita de Oliveira!</t>
  </si>
  <si>
    <t>132.115.868-81</t>
  </si>
  <si>
    <t>Efetuou o pagamento de 10 parcelas de 16, restando 6 para quitar. Iniciou em 26/06/2023 e expira em 26/10/2024.</t>
  </si>
  <si>
    <t>Reprovado</t>
  </si>
  <si>
    <t>Quitado, iniciou em 18/09/2023 e expirou em 18/01/2025.</t>
  </si>
  <si>
    <t>Kamila Valeria Cavalcante de Medeiros</t>
  </si>
  <si>
    <t>064.319.874-11</t>
  </si>
  <si>
    <t>Quitada, iniciou em 31/08/2022 e expirou em 31/12/2023</t>
  </si>
  <si>
    <t>Restam 16 disciplinas para concluir</t>
  </si>
  <si>
    <t>064.319.874-12</t>
  </si>
  <si>
    <t>Quitada, iniciou em 10/11/2023 e expirou em 10/03/2025.</t>
  </si>
  <si>
    <t>064.319.874-13</t>
  </si>
  <si>
    <t>Pós-Graduação em Língua Portuguesa, Redação e Oratória</t>
  </si>
  <si>
    <t xml:space="preserve"> Acredito ser brinde.</t>
  </si>
  <si>
    <t xml:space="preserve">Aprovada em todas as disciplinas
</t>
  </si>
  <si>
    <t>027.738.751-50</t>
  </si>
  <si>
    <t>CAPACITAÇÃO EM EDUCAÇÃO FÍSICA INFANTIL E CAPACITAÇÃO EM ALFABETIZAÇÃO E LETRAMENTO</t>
  </si>
  <si>
    <t>Quitado, iniciou em 16/12/2024 e expirou em 16/06/2026</t>
  </si>
  <si>
    <t>Pós-Graduação em Tecnologias Educacionais / Pós-Graduação em Biblioteconomia</t>
  </si>
  <si>
    <t xml:space="preserve">Quitada, iniciou em 02/01/2024 e expirou em 02/05/2025
</t>
  </si>
  <si>
    <t>Documentos já solicitados 27/03/2025</t>
  </si>
  <si>
    <t>053.913.067-29</t>
  </si>
  <si>
    <t>Fernanda da Silva</t>
  </si>
  <si>
    <t>087.471.369-28</t>
  </si>
  <si>
    <t>Quitada, Inicio: 06-11-2023 expirou em 06-03-2025 - Aluna já pagou extensão.Está ativa até 20-04-2025</t>
  </si>
  <si>
    <t>Josué Fiaz Canazza</t>
  </si>
  <si>
    <t>730.323.791-72</t>
  </si>
  <si>
    <t xml:space="preserve">Quitada, iniciou em 20/01/2023 e expirou em 20/05/2024.
</t>
  </si>
  <si>
    <t>Valdonei dos Santos</t>
  </si>
  <si>
    <t xml:space="preserve">008.366.339-89
</t>
  </si>
  <si>
    <t>Quitado, iniciou em 28/04/2023 e expirou em 28/08/2024</t>
  </si>
  <si>
    <t xml:space="preserve">David Wendel Luiz Batista da Cruz </t>
  </si>
  <si>
    <t>418.411.148-39</t>
  </si>
  <si>
    <t xml:space="preserve"> Não localizado</t>
  </si>
  <si>
    <t>Documento entegues e deferidos</t>
  </si>
  <si>
    <t xml:space="preserve">Resta concluir duas disciplinas </t>
  </si>
  <si>
    <t xml:space="preserve">Não localizado </t>
  </si>
  <si>
    <t xml:space="preserve"> PÓS-GRADUAÇÃO EM ENSINO DA LÍNGUA INGLESA</t>
  </si>
  <si>
    <t>Em dia, iniciou em 07/02/2025 e expira em 07/08/2026</t>
  </si>
  <si>
    <t>Resta concluir todos os simulados</t>
  </si>
  <si>
    <t>102.633.279-66</t>
  </si>
  <si>
    <t>Acredito ser brinde</t>
  </si>
  <si>
    <t>102.633.279-67</t>
  </si>
  <si>
    <t>PÓS-GRADUAÇÃO EM EDUCAÇÃO ESPECIAL E INCLUSIVA</t>
  </si>
  <si>
    <t>Quitado, iniciou em 06/09/2023, reativou o curso e expira em 10/04/2025</t>
  </si>
  <si>
    <t>Quitado. iniciou 12/06/2023 expirou 19/01/2025</t>
  </si>
  <si>
    <t>falta 1 disciplinas</t>
  </si>
  <si>
    <t>Pré aprovada</t>
  </si>
  <si>
    <t xml:space="preserve"> Paulo Henrique Teixeira</t>
  </si>
  <si>
    <t>035.935.081-09</t>
  </si>
  <si>
    <t>Quitado, iniciou em 19/03/2025 e expira em 19/07/2026 (Recompra)</t>
  </si>
  <si>
    <t>Documento entregues e deferidos</t>
  </si>
  <si>
    <t>035.935.081-10</t>
  </si>
  <si>
    <t xml:space="preserve">Quitada, iniciou em 22/12/2023 e expirou em 22/04/2025.
</t>
  </si>
  <si>
    <t xml:space="preserve">Resta uma disciplina para concluir </t>
  </si>
  <si>
    <t>Encaminhou as práticas pedagógicas e obteve a aprovação via e-mail na data de 27 de dezembro de 2023.</t>
  </si>
  <si>
    <t>Juciara Maciel</t>
  </si>
  <si>
    <t>693.883.692-20</t>
  </si>
  <si>
    <t>Quitada, iniciou 29/11/2024 explica 29/05/2026.</t>
  </si>
  <si>
    <t>resta concluiu uma disciplinas</t>
  </si>
  <si>
    <t>Encaminhou a primeira etapa da praticas pedagogicas, ainda não possui 6 meses de curso</t>
  </si>
  <si>
    <t>693.883.692-21</t>
  </si>
  <si>
    <t xml:space="preserve">PÓS-GRADUAÇÃO EM ENSINO DE HISTÓRIA E GEOGRAFIA
</t>
  </si>
  <si>
    <t>Não concluiu nenhuma discipiina</t>
  </si>
  <si>
    <t>Zenilda Barbosa Vilela dos Santos</t>
  </si>
  <si>
    <t>537.397.951-15</t>
  </si>
  <si>
    <t>PÓS-GRADUAÇÃO EM ATENDIMENTO EDUCACIONAL ESPECIALIZADO...</t>
  </si>
  <si>
    <t xml:space="preserve">Quitado, iniciou em 05/12/2024 e expira em 05/04/2026.
</t>
  </si>
  <si>
    <t>SEGUNDA LICENCIATURA HISTÓRIA - 46M</t>
  </si>
  <si>
    <t>Quitada, iniciou em 05/07/2024 e expira em 05/11/2025.</t>
  </si>
  <si>
    <t>721.503.001-69</t>
  </si>
  <si>
    <t xml:space="preserve">PÓS-GRADUAÇÃO EM NEUROPSICOPEDAGOGIA CLÍNICA E INSTITUCIONAL - 85M
</t>
  </si>
  <si>
    <t xml:space="preserve">Reprovada no simulado de uma disciplina </t>
  </si>
  <si>
    <t>Não encaminhou estagio</t>
  </si>
  <si>
    <t>Letícia Aparecida dos Reis e Silva David</t>
  </si>
  <si>
    <t>019.576.071-90</t>
  </si>
  <si>
    <t>Quitada, iniciou em 13/10/2023 e expirou em 13/02/2025.</t>
  </si>
  <si>
    <t>Liliane Malaquias Fernandes</t>
  </si>
  <si>
    <t>925.681.575-34</t>
  </si>
  <si>
    <t xml:space="preserve"> SEGUNDA LICENCIATURA EM MATEMÁTICA</t>
  </si>
  <si>
    <t>Quitada, iniciou em 14/12/2023 e expira em 14/04/2025</t>
  </si>
  <si>
    <t>Aluna com a Carla para verificar</t>
  </si>
  <si>
    <t xml:space="preserve"> Aprovado no TCC, práticas pedagógicas não encaminhadas</t>
  </si>
  <si>
    <t xml:space="preserve"> Cícero Pereira Batista</t>
  </si>
  <si>
    <t>Quitado, iniciou em 07/12/2022 e expirou em 07/04/2024.</t>
  </si>
  <si>
    <t>Documento não encaminhou</t>
  </si>
  <si>
    <t>723.941.961-50</t>
  </si>
  <si>
    <t>Nathan Ferreira Cardim</t>
  </si>
  <si>
    <t>128.631.487-96</t>
  </si>
  <si>
    <t xml:space="preserve">SEGUNDA LICENCIATURA EM MÚSICA - 52M </t>
  </si>
  <si>
    <t>Quitada, iniciou em 26/06/2023 e expirou em 26/10/2024.</t>
  </si>
  <si>
    <t>Edaildes Brandão de Sousa</t>
  </si>
  <si>
    <t>376.410.678-67</t>
  </si>
  <si>
    <t>376.410.678-68</t>
  </si>
  <si>
    <t>SEGUNDA LICENCIATURA EM FILOSOFIA - 2024</t>
  </si>
  <si>
    <t>Quitada, iniciou em 17/05/2023 e expirou em 26/10/2024.</t>
  </si>
  <si>
    <t>PPI aprovada, não encaminhou PPII</t>
  </si>
  <si>
    <t xml:space="preserve">Nara Elizama Machado da Silveira Rodrigues	</t>
  </si>
  <si>
    <t xml:space="preserve">013.389.315-47
</t>
  </si>
  <si>
    <t>Quitado, iniciou em 29/01/2024 e expira em 29/05/2025.</t>
  </si>
  <si>
    <t>Aprovada em todas a sdisciplinas</t>
  </si>
  <si>
    <t>Aprovada via email dia 02 de julho de 2025</t>
  </si>
  <si>
    <t xml:space="preserve">Pós-Graduação em Neuropsicopedagogia	</t>
  </si>
  <si>
    <t>Aprovada em todas a disciplinas</t>
  </si>
  <si>
    <t>Clodoaldo Bezerra da Silva :???????</t>
  </si>
  <si>
    <t>572.713.301-78</t>
  </si>
  <si>
    <t>Em dia, iniciou em 31/07/2024 e expira em 30/11/2025</t>
  </si>
  <si>
    <t>Formação Pedagógica em Matemática - 760 Horas</t>
  </si>
  <si>
    <t>Quitado, iniciou em 07/01/2023, contratou extensão e expirou em 26/03/2025.</t>
  </si>
  <si>
    <t>015.567.881-77</t>
  </si>
  <si>
    <t xml:space="preserve">Quitado, iniciou em 16/10/2023 e expirou em 16/02/2025
</t>
  </si>
  <si>
    <t xml:space="preserve">Cíntia Campos de Mendonça Brum
</t>
  </si>
  <si>
    <t>Não localizaod</t>
  </si>
  <si>
    <t xml:space="preserve">Pós-Graduação em Educação Especial e Inclusiva
</t>
  </si>
  <si>
    <t>Quitada, iniciou em 28/11/2024 e expira em 28/03/2026</t>
  </si>
  <si>
    <t>578.188.351-72</t>
  </si>
  <si>
    <t xml:space="preserve"> Segunda Licenciatura em História</t>
  </si>
  <si>
    <t>Quitado, iniciou em 02/08/2023 e expirou em 02/12/2024</t>
  </si>
  <si>
    <t>Quitado, iniciou em 27/01/2025 e expira em 21/07/2026</t>
  </si>
  <si>
    <t>009.742.433-11</t>
  </si>
  <si>
    <t>PÓS-GRADUAÇÃO EM AUTISMO</t>
  </si>
  <si>
    <t>Processo de certificação</t>
  </si>
  <si>
    <t>Rita de Cássia Bertoldo Vendite</t>
  </si>
  <si>
    <t>167.770.538-83</t>
  </si>
  <si>
    <t>Quitado, iniciou em 18/12/2023 e expirou em 18/04/2025.</t>
  </si>
  <si>
    <t>Aprovada em todas as práticas pedagógicas</t>
  </si>
  <si>
    <t>Flávio Teixeira de Melo</t>
  </si>
  <si>
    <t>037.964.456-83</t>
  </si>
  <si>
    <t xml:space="preserve">FORMAÇÃO PEDAGÓGICA EM MÚSICA - 2024        </t>
  </si>
  <si>
    <t>Em dia, iniciou em 10/04/2024 e expira em 03/08/2025</t>
  </si>
  <si>
    <t xml:space="preserve"> Thays Alves Rodrigues Menezes
</t>
  </si>
  <si>
    <t>040.584.491-36</t>
  </si>
  <si>
    <t>PÓS-GRADUAÇÃO EM ATENDIMENTO EDUCACIONAL ESPECIALIZADO COM ÊNFASE EM EDUCAÇÃO ESPECIAL E INCLUSIVA - 223M</t>
  </si>
  <si>
    <t>040.584.491-37</t>
  </si>
  <si>
    <t>Efetuou pagamento de 1 de 16, restando 15 para efetuar pagamento iniciou em 25/03/2024 e expira em 25/07/2025.</t>
  </si>
  <si>
    <t>Resta 10 discipinas para concluir</t>
  </si>
  <si>
    <t>Pablo Epitacio de Farias</t>
  </si>
  <si>
    <t>030.600.644-82</t>
  </si>
  <si>
    <t>PÓS-GRADUAÇÃO EM ENGENHARIA DE SEGURANÇA DO TRABALHO</t>
  </si>
  <si>
    <t>Quitado, iniciou em 17/08/2021, reativou e expira em 17/04/2025</t>
  </si>
  <si>
    <t>Paulo César Lino</t>
  </si>
  <si>
    <t>091.814.648-86</t>
  </si>
  <si>
    <t>Efetuou o pagamento de 13 de 16 parcelas, restando 3 para efetuar o pagamento. Iniciou em 22/01/2024 e expirou em 22/05/2025.</t>
  </si>
  <si>
    <t>Leonardo da Silva Oliveira dos Santos</t>
  </si>
  <si>
    <t>131.350.687-73</t>
  </si>
  <si>
    <t>Quitado, iniciou em 26/01/2024 e expira em 26/05/2025.</t>
  </si>
  <si>
    <t>095.716.877-23</t>
  </si>
  <si>
    <t>Quitado, iniciou em 22/06/2023, contratou extensão e expirou em 23/01/2025</t>
  </si>
  <si>
    <t>Rodrigo Silva Ambrósio</t>
  </si>
  <si>
    <t>083.086.747-39</t>
  </si>
  <si>
    <t xml:space="preserve">SEGUNDA LICENCIATURA EM SOCIOLOGIA - 55M
</t>
  </si>
  <si>
    <t xml:space="preserve"> Henrique Fumagali</t>
  </si>
  <si>
    <t>Quitado, iniciiou em 14/02/2022 reativou o curso e expirou em 01/03/2025</t>
  </si>
  <si>
    <t xml:space="preserve">TCC pré aprovado, falta regularizar documentação para formalizar. </t>
  </si>
  <si>
    <t>Aline de Fátima Borges Martins</t>
  </si>
  <si>
    <t>982.569.200-68</t>
  </si>
  <si>
    <t>Quitado, iniciou em 20/06/2023 e expirou em 20/10/2024</t>
  </si>
  <si>
    <t>SEGUNDA LICENCIATURA EM LETRAS PORTUGUÊS/INGLÊS - 57M</t>
  </si>
  <si>
    <t>Quitada, iniciou em 30/10/2023 e expira em 30/04/2025</t>
  </si>
  <si>
    <t>Não encaminhou</t>
  </si>
  <si>
    <t>Maria Elvira Pereira Tremonte</t>
  </si>
  <si>
    <t>254.777.458-51</t>
  </si>
  <si>
    <t xml:space="preserve"> SEGUNDA LICENCIATURA EM PEDAGOGIA</t>
  </si>
  <si>
    <t>Quitado, iniciou em 08/01/2025 e expira em 08/07/2026</t>
  </si>
  <si>
    <t>Tais: Apresentou declaração de experiencia. Não precisa realizar PPs.</t>
  </si>
  <si>
    <t xml:space="preserve">Ivaneide de Souza
</t>
  </si>
  <si>
    <t>164.970.068-77</t>
  </si>
  <si>
    <t>Hitalo Wedemberg de Andrade Santos</t>
  </si>
  <si>
    <t>104.791.644-44</t>
  </si>
  <si>
    <t>Quitado, iniciou em 06/12/2023 e expirou em 06/04/2025</t>
  </si>
  <si>
    <t>PPs aprovadas (respondido pelo email).</t>
  </si>
  <si>
    <t>MARINETE DOS SANTOS PEREIRA</t>
  </si>
  <si>
    <t>624.974.562-91</t>
  </si>
  <si>
    <t>Quitado, iniciou em 01/09/2023, contratou extensão e expira em 01/05/2025</t>
  </si>
  <si>
    <t>Aprovado nas práticas pedagógicas</t>
  </si>
  <si>
    <t>Rayssa de Jesus Cabral</t>
  </si>
  <si>
    <t>017.689.322-98</t>
  </si>
  <si>
    <t>Em dia Início: 28/05/2024 Pagou apenas 08 parcelas de R$119,90, totalizando R$ 959,20. Restam 05 parcelas para pagar, todas canceladas. Aluna com parcelas em atraso, porém ela possui um boleto aguardando pagamento com vencimento para o dia 10/05/2025, no valor de R$ 240,00, sendo assim está em dia. Expira em: 28/09/2025, iniciou em 28/05/2024 e expira em 28/09/2025</t>
  </si>
  <si>
    <t>Resta 3 disciplinas para concluir</t>
  </si>
  <si>
    <t xml:space="preserve"> Não encaminhou as práticas pedagógicas
</t>
  </si>
  <si>
    <t>Raimundo Nonato Batista de Lima</t>
  </si>
  <si>
    <t>385.378.262-00</t>
  </si>
  <si>
    <t>Quitado, iniciou em 16/01/2023, contratou extensão e expirou em 10/03/2025</t>
  </si>
  <si>
    <t xml:space="preserve"> Renato Lopes Almeida</t>
  </si>
  <si>
    <t xml:space="preserve"> 005.756.293-80
</t>
  </si>
  <si>
    <t>Inicio: 11/08/2023 Situação: Quitado Expira em: 11/12/2024</t>
  </si>
  <si>
    <t>SEBASTIÃO JORGE SIQUEIRA</t>
  </si>
  <si>
    <t>073.028.597-95</t>
  </si>
  <si>
    <t>Quitado, iniciou em 17/04/2023 e expirou em 17/08/2024.</t>
  </si>
  <si>
    <t>Pré Aprovado, aguardando regularizar documentação.</t>
  </si>
  <si>
    <t>Pollyanna Esteves da Cruz Marques</t>
  </si>
  <si>
    <t>732.208.921-91</t>
  </si>
  <si>
    <t xml:space="preserve"> FORMAÇÃO PEDAGÓGICA EM PEDAGOGIA</t>
  </si>
  <si>
    <t>Quitado, iniciou em 26/01/2024 e expira em 26/05/2025</t>
  </si>
  <si>
    <t xml:space="preserve"> Não encaminhou as práticas pedagógicas</t>
  </si>
  <si>
    <t xml:space="preserve">Helzilane Virgínia Gomes De Oliveira
</t>
  </si>
  <si>
    <t>047.141.456-57</t>
  </si>
  <si>
    <t>PÓS-GRADUAÇÃO EM NEUROPSICOLOGIA - 65M</t>
  </si>
  <si>
    <t xml:space="preserve"> Quitado, iniciou em 10/01/2024 e expirou em 10/05/2025</t>
  </si>
  <si>
    <t xml:space="preserve">Aprovada em todas as disciplinas.
</t>
  </si>
  <si>
    <t xml:space="preserve"> Izabella Dias Basso Aragão</t>
  </si>
  <si>
    <t>Quitado, iniciou em 26/12/2023 expira em 26/04/2025</t>
  </si>
  <si>
    <t>Aprovada em 02/04/25</t>
  </si>
  <si>
    <t>436.299.278-24</t>
  </si>
  <si>
    <t xml:space="preserve"> Pós-Graduação em Coordenação Educacional</t>
  </si>
  <si>
    <t>João Felipe Parreiras de Oliveira</t>
  </si>
  <si>
    <t>716.168.371-87</t>
  </si>
  <si>
    <t>Segunda Licenciatura em Música - 1320 horas</t>
  </si>
  <si>
    <t>Quitado, iniciou em 27/02/2023 e expirou em 27/06/2024</t>
  </si>
  <si>
    <t>Não encaminhou para práticas pedagógicas</t>
  </si>
  <si>
    <t>Lúcia de Fátima Meirelles</t>
  </si>
  <si>
    <t>146.614.318-55</t>
  </si>
  <si>
    <t>SEGUNDA LICENCIATURA EM EDUCAÇÃO ESPECIAL - 2024</t>
  </si>
  <si>
    <t>Quitado, iniciou em 21/08/2023 e expirou em 21/12/2024.</t>
  </si>
  <si>
    <t>entregues e deferidos</t>
  </si>
  <si>
    <t>Não encaminhou as práticas pedagógicas / Aprovado no TCC</t>
  </si>
  <si>
    <t>146.614.318-56</t>
  </si>
  <si>
    <t>Tais: TCC aprovado, falta realizar as praticas pedagógicas.</t>
  </si>
  <si>
    <t>464.550.758-38</t>
  </si>
  <si>
    <t xml:space="preserve"> Formação Pedagógica em Educação Física - 1200 Horas
</t>
  </si>
  <si>
    <t xml:space="preserve">Quitado, iniciou em 06/10/2023 e expirou em 06/02/2025.
</t>
  </si>
  <si>
    <t>Susana Machado Ribeiro</t>
  </si>
  <si>
    <t>006.101.799-00</t>
  </si>
  <si>
    <t>Quitada, iniciou em 24/04/2021 e expirou em 24/08/2022.</t>
  </si>
  <si>
    <t>Análise Concluída, Falta extensão</t>
  </si>
  <si>
    <t xml:space="preserve"> 019.798.225-57</t>
  </si>
  <si>
    <t xml:space="preserve">SEGUNDA LICENCIATURA EM HISTÓRIA - 2024
</t>
  </si>
  <si>
    <t>Quitado, iniciou em 05/09/2022. Aluno liberado. até 24-03-2025,</t>
  </si>
  <si>
    <t xml:space="preserve"> Resta concluir 8 disciplinas</t>
  </si>
  <si>
    <t>PPs pré aprovadas, aguardando extensão para formalizar.</t>
  </si>
  <si>
    <t>Falta extensão, Análise Concluída</t>
  </si>
  <si>
    <t>Cristiane Maria Rezende</t>
  </si>
  <si>
    <t>827.588.321-00</t>
  </si>
  <si>
    <t>Pós-Graduação em Psicomotricidade e Educação Especial</t>
  </si>
  <si>
    <t>Luciana santos</t>
  </si>
  <si>
    <t xml:space="preserve">043.576.147-16
</t>
  </si>
  <si>
    <t>efetuou pagamento de 15 restando 1 para quitar iniciou em 06/10/2022 expirou em 06/02/2024</t>
  </si>
  <si>
    <t>Resta 6 disciplinas para concluir</t>
  </si>
  <si>
    <t>Nivaldo Lisboa da Silva</t>
  </si>
  <si>
    <t>001.017.552-01</t>
  </si>
  <si>
    <t>Efetuou pagamento de somente 1 parcela na Lytex
iniciou em 13/11/2023 expirou em 13/03/2025</t>
  </si>
  <si>
    <t>Jacqueline Helen de Lima</t>
  </si>
  <si>
    <t>073.759.556-62</t>
  </si>
  <si>
    <t>Quitada, iniciou em 02/09/2024 e expirou em 26/12/2025.</t>
  </si>
  <si>
    <t>Não realizou simulado em 8 disciplinas, aprovada em todas as avaliações finais.</t>
  </si>
  <si>
    <t>PPI não tem 4 laudas completas (falta analise completa)</t>
  </si>
  <si>
    <t>Quitada, iniciou em 05/09/2024 e expira em 29/12/2025</t>
  </si>
  <si>
    <t>Robson Rodrigues de Siqueira</t>
  </si>
  <si>
    <t>Iniciou em: 28/08/2023 Situação: Quitado Valor total pago: R$ 1.434,00 + R$ 436,02 = R$ 1870,02 Expirou em: 28/12/2024 + 1 Extensão (15/01/2025 - 15/02/2025)</t>
  </si>
  <si>
    <t>PPI pré aprovadas(falta analise completa)</t>
  </si>
  <si>
    <t>Gilson de Assis Silva</t>
  </si>
  <si>
    <t>PÓS-GRADUAÇÃO EM PSICANÁLISE - 2024</t>
  </si>
  <si>
    <t>Quitado, iniciou em 04/07/2023 e expirou em 04/11/2024</t>
  </si>
  <si>
    <t>Rawllinson Cícero Silva de Lima</t>
  </si>
  <si>
    <t>040.486.224-12</t>
  </si>
  <si>
    <t>FORMAÇÃO PEDAGÓGICA EM MÚSICA - 2024</t>
  </si>
  <si>
    <t>Efetuou o pagamento de duas parcelas de 16, restando 14 para quitar. Iniciou em 28/03/2024 e expira em 28/07/2025</t>
  </si>
  <si>
    <t xml:space="preserve">PPS pré aprovadas, falta regularizar financeiro e documentos </t>
  </si>
  <si>
    <t>CLERINGTON DA SILVA INÁCIO</t>
  </si>
  <si>
    <t>099.314.127-71</t>
  </si>
  <si>
    <t>FORMAÇÃO LIVRE EM PSICANÁLISE - 151M</t>
  </si>
  <si>
    <t>Quitado, iniciou em 03/10/2023 e expirou em 03/02/2025</t>
  </si>
  <si>
    <t xml:space="preserve">Não necessita
</t>
  </si>
  <si>
    <t xml:space="preserve">Kelley Adriana Lopes Martins	</t>
  </si>
  <si>
    <t>Quitado, iniciou em 28/10/2023 e expirou em 28/02/2025.</t>
  </si>
  <si>
    <t xml:space="preserve">Realizou apenas 1 disciplina </t>
  </si>
  <si>
    <t>Leila Santos de Oliveira</t>
  </si>
  <si>
    <t>074.495.315-42</t>
  </si>
  <si>
    <t xml:space="preserve">Formação Pedagógica em Pedagogia R2
</t>
  </si>
  <si>
    <t>Quitado, iniciou em 09/10/2023 e expirou em 09/02/2025</t>
  </si>
  <si>
    <t xml:space="preserve">Não concluiu nenhuma disciplina
</t>
  </si>
  <si>
    <t xml:space="preserve">Não encaminhou
</t>
  </si>
  <si>
    <t>074.495.315-43</t>
  </si>
  <si>
    <t xml:space="preserve">Pós-Graduação em Psicologia Hospitalar </t>
  </si>
  <si>
    <t xml:space="preserve">Sonia Maria Gomes Coelho </t>
  </si>
  <si>
    <t>736.135.096-87</t>
  </si>
  <si>
    <t>Quitado, iniciou em 17/07/2023 e expirou em 17/11/2024.</t>
  </si>
  <si>
    <t xml:space="preserve">Aprovada em todas as disciplinas </t>
  </si>
  <si>
    <t>Aprovada nas PPS</t>
  </si>
  <si>
    <t>Mateus Cardoso Soares dos Santos</t>
  </si>
  <si>
    <t>044.112.871-88</t>
  </si>
  <si>
    <t>Quitado, iniciou em 11/09/2023 e expirou em 11/01/2025</t>
  </si>
  <si>
    <t>PPs pré aprovadas, falta regularizar documentos para formalizar</t>
  </si>
  <si>
    <t>Soraya Maria Vieira de Lima</t>
  </si>
  <si>
    <t>022.582.884-79</t>
  </si>
  <si>
    <t>Quitada, iniciou em 07/08/2023 e expirou em 07/12/2024</t>
  </si>
  <si>
    <t>Jurandir Sousa Saraiva Neto</t>
  </si>
  <si>
    <t>038.160.723-21</t>
  </si>
  <si>
    <t>Quitado, iniciou em 06/09/2023, contratou extensão e expira 05/04/2025</t>
  </si>
  <si>
    <t>038.160.723-22</t>
  </si>
  <si>
    <t>Formação Livre em Terapia Cognitiva Comportamental</t>
  </si>
  <si>
    <t>Adly Gaby</t>
  </si>
  <si>
    <t>704.773.751-03</t>
  </si>
  <si>
    <t xml:space="preserve"> SEGUNDA LICENCIATURA EM ARTES VISUAIS</t>
  </si>
  <si>
    <t>Em dia, iniciou em 09/12/2024 e expira em 03/04/2026</t>
  </si>
  <si>
    <t>Aluno precisa encaminha correção</t>
  </si>
  <si>
    <t>Carla Silene de Faria Bragaglia</t>
  </si>
  <si>
    <t>735.627.856-15</t>
  </si>
  <si>
    <t xml:space="preserve"> Pós-Graduação em Terapia Cognitiva Comportamental</t>
  </si>
  <si>
    <t>Quitado, iniciou em 29/08/2023 e expirou em 21/12/2024</t>
  </si>
  <si>
    <t>Klynder Ribeiro do Carmo</t>
  </si>
  <si>
    <t>992.228.847-87</t>
  </si>
  <si>
    <t>Quitado, iniciou em 28/02/2023 e expirou em 22/06/2024</t>
  </si>
  <si>
    <t>Aprovado em todas as dsiciplinas</t>
  </si>
  <si>
    <t>Em dia, iniciou em 30/01/2025 e expira em 25/05/2026</t>
  </si>
  <si>
    <t>Uiara Castorina Pereira de Sousa Martins</t>
  </si>
  <si>
    <t>707.423.591-15</t>
  </si>
  <si>
    <t xml:space="preserve"> Formação Pedagógica em Música - 1200 Horas
</t>
  </si>
  <si>
    <t>Efetuou o pagamento de 14 parcelas (analisar se foram negociadas 14 parcelas, pois acredito que sim). Iniciou em 27/11/2023 e expirou em 21/03/2025</t>
  </si>
  <si>
    <t>Pré aprovada, verificar financeiro</t>
  </si>
  <si>
    <t>707.423.591-16</t>
  </si>
  <si>
    <t>Quitada, iniciou em 14/08/2023 e expirou em 06/12/2024</t>
  </si>
  <si>
    <t>PRé aprovada, Mandou PPs após expirar o curso.</t>
  </si>
  <si>
    <t>Dábila Velasco Dutra Carvalho</t>
  </si>
  <si>
    <t>054.367.687-09</t>
  </si>
  <si>
    <t xml:space="preserve"> Boleto de quitação vencido na Associação Assas, iniciado em 02/04/2022 e expirado em 26/07/2023.</t>
  </si>
  <si>
    <t>Gabrielle Barra Tarocco</t>
  </si>
  <si>
    <t>Pós-Graduação em História da Arte - 2022</t>
  </si>
  <si>
    <t>Paulo Vieira de Alencar</t>
  </si>
  <si>
    <t>: 063.690.433-46</t>
  </si>
  <si>
    <t>Em dia, faltam 14 parcelas para quitar. Iniciou em 19/01/2025 e expira em 13/07/2026.</t>
  </si>
  <si>
    <t>Aprovado em todasa as disciplinas</t>
  </si>
  <si>
    <t>: Não encaminhou as práticas pedagógicas</t>
  </si>
  <si>
    <t>Monique D'Alva dos Santos Mota</t>
  </si>
  <si>
    <t>722.173.083-00</t>
  </si>
  <si>
    <t>Segunda Licenciatura em Letras Espanhol</t>
  </si>
  <si>
    <t xml:space="preserve">Efetuou pagamento de apenas 5 de 18 parcelas, restando 13 para quitar. Iniciou em 31/07/2021 e expirou em 23/11/2022.
</t>
  </si>
  <si>
    <t>Não licalizado</t>
  </si>
  <si>
    <t>Jacirene Ferreira do Nascimento</t>
  </si>
  <si>
    <t xml:space="preserve">642.175.582-87
</t>
  </si>
  <si>
    <t>Letras/Inglês e Pedagogia (Não identifiquei a modalidade)</t>
  </si>
  <si>
    <t>Efetuou o pagamento de apenas 1 de 16 parcelas, iniciado em 18/09/2023 e expirado em 18/09/2023</t>
  </si>
  <si>
    <t>Jorgete Santos de Souza</t>
  </si>
  <si>
    <t xml:space="preserve"> 811.043.402-91</t>
  </si>
  <si>
    <t xml:space="preserve"> Quitada, iniciou em 03/08/2021, contratou extensão e expirou em 26/03/2025</t>
  </si>
  <si>
    <t>Falta concluir uma disciplina</t>
  </si>
  <si>
    <t>Mauro César Correia da Cunha</t>
  </si>
  <si>
    <t>076.966.357-51</t>
  </si>
  <si>
    <t>Quitado, iniciou em 16/11/2023 e expirou em 10/03/2025.</t>
  </si>
  <si>
    <t xml:space="preserve">Resta concluir 4 disciplinas </t>
  </si>
  <si>
    <t>Adriano Toledo Paiva</t>
  </si>
  <si>
    <t>064.709.996-97</t>
  </si>
  <si>
    <t>Quitada, iniciou em 28/06/2023 e expirou em 20/10/2024</t>
  </si>
  <si>
    <t>Resta concluir 7 disciplinas</t>
  </si>
  <si>
    <t>064.709.996-98</t>
  </si>
  <si>
    <t>Daniel Regis ferreira de oliveira</t>
  </si>
  <si>
    <t>059.778.343-81</t>
  </si>
  <si>
    <t xml:space="preserve"> Formação Pedagógica em Música - 1200 Horas</t>
  </si>
  <si>
    <t>Quitado, iniciou em 18/01/2023 e expirou em 10/04/2024</t>
  </si>
  <si>
    <t xml:space="preserve"> Aprovado em todas as disciplinas</t>
  </si>
  <si>
    <t>138.705.846-02</t>
  </si>
  <si>
    <t>FORMAÇÃO PEDAGÓGICA EM LETRAS PORTUGUÊS/INGLÊS - 50M</t>
  </si>
  <si>
    <t>Quitada. Início em 18/06/2024, expira em 09/09/2025.</t>
  </si>
  <si>
    <t xml:space="preserve"> Liliane Monteiro de Rosa
</t>
  </si>
  <si>
    <t>266.354.038-25</t>
  </si>
  <si>
    <t>Brinde Iniciou em 18/06/2024 expira em 18/10/2025</t>
  </si>
  <si>
    <t>Michelle Rodrigues Rossi Oliveira</t>
  </si>
  <si>
    <t>060.051.096-42</t>
  </si>
  <si>
    <t xml:space="preserve">PÓS-GRADUAÇÃO EM SEXOLOGIA 2022
</t>
  </si>
  <si>
    <t>Quitado, iniciou em 22/12/2022 e expirou em 14/03/2024.</t>
  </si>
  <si>
    <t>Alex Bonfim Siqueira</t>
  </si>
  <si>
    <t xml:space="preserve">031.481.992-43
</t>
  </si>
  <si>
    <t>SEGUNDA LICENCIATURA EM EDUCAÇÃO FÍSICA - 2024</t>
  </si>
  <si>
    <t>Quitada, iniciou em 01/07/2024 e expira em 22/09/2025.</t>
  </si>
  <si>
    <t>Liliane Aparecida da Silva Domingues</t>
  </si>
  <si>
    <t>035.641.126-50</t>
  </si>
  <si>
    <t>Quitada. Iniciou em 05/08/2022, contratou extensão e expirou em 27/10/2023.</t>
  </si>
  <si>
    <t>Não encaminhou as práticas pedagógicas.</t>
  </si>
  <si>
    <t>Maria Adriana Silva do Nascimento</t>
  </si>
  <si>
    <t>603.118.443-59</t>
  </si>
  <si>
    <t>Capacitação em Psicanálise - 800 horas (2022)</t>
  </si>
  <si>
    <t>Quitado, iniciou em 18/08/2022 e expirou em 09/11/2023</t>
  </si>
  <si>
    <t>Nâo Localizado</t>
  </si>
  <si>
    <t>Everaldo Porto Pedroso</t>
  </si>
  <si>
    <t>077.835.708-28</t>
  </si>
  <si>
    <t xml:space="preserve">Formação Pedagógica em Filosofia
</t>
  </si>
  <si>
    <t>Iniciou: 10/10/2023 Situação: Quitado Expirou em: 10/02/2025</t>
  </si>
  <si>
    <t>Dissertação igual do curso de Sociologia (aguardando análise)</t>
  </si>
  <si>
    <t>077.835.708-29</t>
  </si>
  <si>
    <t>FORMAÇÃO PEDAGÓGICA EM SOCIOLOGIA - 56H</t>
  </si>
  <si>
    <t>Em dia, iniciou em 05/08/2024 e expira em 27/10/2025.</t>
  </si>
  <si>
    <t>Resta concluir 01 disciplinas</t>
  </si>
  <si>
    <t xml:space="preserve">Dissertação igual do curso de Filosofia (aguardando análise) (mandou a mesma carta de apresentação para os dois cursos). </t>
  </si>
  <si>
    <t>077.835.708-30</t>
  </si>
  <si>
    <t>PÓS-GRADUAÇÃO EM NEUROPSICANÁLISE CLÍNICA - 99M</t>
  </si>
  <si>
    <t>Em dia, Iniciou em 05/08/2024 e expira em 27/10/2025.</t>
  </si>
  <si>
    <t>Algumas disciplinas faltam simulado:</t>
  </si>
  <si>
    <t>Não encaminhou o estagio</t>
  </si>
  <si>
    <t>077.835.708-31</t>
  </si>
  <si>
    <t>PÓS-GRADUAÇÃO EM NUTRIÇÃO ESPORTIVA - 215M</t>
  </si>
  <si>
    <t>Maria Alcivana Alves Pessoa</t>
  </si>
  <si>
    <t>755.646. 022-34</t>
  </si>
  <si>
    <t>EGUNDA LICENCIATURA EM LETRAS PORTUGUÊS - ESPANHOL - 147M</t>
  </si>
  <si>
    <t xml:space="preserve">Quitado, iniciou em 30/04/2020, foi liberado e expirou em 15/03/2025
</t>
  </si>
  <si>
    <t>Pré aprovada, falta regularizar documentação para formalizar</t>
  </si>
  <si>
    <t>755.646. 022-35</t>
  </si>
  <si>
    <t>PÓS-GRADUAÇÃO EM ENSINO DA LÍNGUA PORTUGUESA - 97M</t>
  </si>
  <si>
    <t>Aprovada no TCC</t>
  </si>
  <si>
    <t>Eliani Laurentino da Silva Sperfeld</t>
  </si>
  <si>
    <t>050.411.619-33</t>
  </si>
  <si>
    <t>Em dia, faltam 3 parcelas para quitar. Iniciou em 29/08/2024 e expira em 20/11/2025.</t>
  </si>
  <si>
    <t xml:space="preserve"> Lêda Neres da Silva Melo</t>
  </si>
  <si>
    <t>961.298.163-91</t>
  </si>
  <si>
    <t xml:space="preserve">Quitado, inciou em 05/09/2022 expirou 27/11/2023. </t>
  </si>
  <si>
    <t>Resta concluir 4 disciplinas</t>
  </si>
  <si>
    <t>961.298.163-92</t>
  </si>
  <si>
    <t>Pós-Graduação em Neuropsicopedagogia Institucional, Clínica e Hospitalar - 850h</t>
  </si>
  <si>
    <t xml:space="preserve"> Restam 18 disciplinas para concluir</t>
  </si>
  <si>
    <t>Gabriel Linhares Alves Quintão</t>
  </si>
  <si>
    <t>141.981.927-58</t>
  </si>
  <si>
    <t>Formação pedagógica em Música</t>
  </si>
  <si>
    <t xml:space="preserve">Quitado, iniciou em 19/04/2024 e expira em 11/07/2025
</t>
  </si>
  <si>
    <t>Dispensado das práticas pedagógicas</t>
  </si>
  <si>
    <t>141.981.927-59</t>
  </si>
  <si>
    <t xml:space="preserve">PÓS-GRADUAÇÃO EM METODOLOGIA DO ENSINO DE ARTES - 2024	</t>
  </si>
  <si>
    <t>Quitado, iniciou em 08/05/2024 e expira em 30/07/2025</t>
  </si>
  <si>
    <t>Fabiano Tavares Peralva</t>
  </si>
  <si>
    <t>137.625.237-62</t>
  </si>
  <si>
    <t>Aluno cancelou o curso</t>
  </si>
  <si>
    <t>Cinthia Silva Raslan</t>
  </si>
  <si>
    <t>797.715.056-53</t>
  </si>
  <si>
    <t>Quitado, iniciou em 08/06/2023, reativou e expirou em 27/03/2025</t>
  </si>
  <si>
    <t>Ana Maria Leite Melo</t>
  </si>
  <si>
    <t>001.478.727-07</t>
  </si>
  <si>
    <t>Iniciou em: 10/11/2022 Situação: Quitada Expirou em: 10/03/2024</t>
  </si>
  <si>
    <t>007.486.454-89</t>
  </si>
  <si>
    <t>Djulia Suellen da Silva Otonio</t>
  </si>
  <si>
    <t>138.553.296-30</t>
  </si>
  <si>
    <t xml:space="preserve">Em dia, resta somente 1 parcela para quitar. Iniciou em 16/01/2024 e expira em 16/05/2025
</t>
  </si>
  <si>
    <t>PPS pré aprovadas, falta analise para formalizar.</t>
  </si>
  <si>
    <t>Vanessa Moura Cotrin</t>
  </si>
  <si>
    <t>078.427.929-25</t>
  </si>
  <si>
    <t xml:space="preserve"> Efetuou o pagamento de 14 parcelas (analisar se foi negociado somente 14 parcelas de 99,90 iniciou em 22/11/2023 e expirou em 22/03/2025).</t>
  </si>
  <si>
    <t>Kelly Cristina Pinheiro Inácio</t>
  </si>
  <si>
    <t>052.516.186-46</t>
  </si>
  <si>
    <t>Pós-Graduação em Psicanálise 2022</t>
  </si>
  <si>
    <t>Quitada, iniciou em 13/04/2022 e expira em 06/08/2023</t>
  </si>
  <si>
    <t>Sérgio Rodrigo Coêlho de Oliveira</t>
  </si>
  <si>
    <t>885.532.725-91</t>
  </si>
  <si>
    <t xml:space="preserve"> FORMAÇÃO PEDAGÓGICA EM LETRAS - INGLÊS</t>
  </si>
  <si>
    <t>Quitada, iniciou em 07/11/2023 e expirou em 01/03/2025</t>
  </si>
  <si>
    <t>Faltam 3 disciplinas para concluir</t>
  </si>
  <si>
    <t>Não encaminhou as práticas Pedagógicas</t>
  </si>
  <si>
    <t xml:space="preserve">428.669.361-91
</t>
  </si>
  <si>
    <t>Quitada, iniciou em 18/10/2022, contratou extensão e expirou em 22/11/2024.</t>
  </si>
  <si>
    <t xml:space="preserve">Falta concluir uma disciplina  </t>
  </si>
  <si>
    <t>Quitada, iniciou em 03/11/2023, contratou extensão e expirou em 14/03/2025</t>
  </si>
  <si>
    <t xml:space="preserve">bruna </t>
  </si>
  <si>
    <t>021.488.571-27</t>
  </si>
  <si>
    <t>Jackelinne Brasileiro Nascimento</t>
  </si>
  <si>
    <t xml:space="preserve">891.622.774-72
</t>
  </si>
  <si>
    <t>Quitado, iniciou em 02/10/2023 e expirou em 02/02/2025.</t>
  </si>
  <si>
    <t xml:space="preserve">PPs pré aprovadas, falta regularizar documentos. </t>
  </si>
  <si>
    <t xml:space="preserve">Stela Paula Félix </t>
  </si>
  <si>
    <t>Quitado, iniciou em 11/09/2023, expirou em 10/03/2025 após contratar extensão</t>
  </si>
  <si>
    <t>Emanuele Alexandra de Jesus Touça</t>
  </si>
  <si>
    <t>Quitada, iniciou em 02/06/2023, contratou extensão e expirou em 20/02/2025</t>
  </si>
  <si>
    <t xml:space="preserve">Restam duas disciplinas para concluir 
</t>
  </si>
  <si>
    <t>Rosilea lopes de Vargas</t>
  </si>
  <si>
    <t xml:space="preserve">071.016.217-08
</t>
  </si>
  <si>
    <t xml:space="preserve">DIPLOMAÇÃO POR COMPETÊNCIA - MÚSICA
</t>
  </si>
  <si>
    <t>Na Lytex consta boleto expirado, ou seja, não efetuou nenhum pagamento</t>
  </si>
  <si>
    <t>Não encaminhou nenhum documento.</t>
  </si>
  <si>
    <t>Não encaminhou nenhum trabalho</t>
  </si>
  <si>
    <t>Augusto Sérgio Meireles</t>
  </si>
  <si>
    <t>418.688.618-05</t>
  </si>
  <si>
    <t>Quitado, iniciou em 17/10/2022 e expirou em 09/02/2024</t>
  </si>
  <si>
    <t>Tais: Estagio de 200h pré aprovado, falta regularizar documentos.</t>
  </si>
  <si>
    <t>418.688.618-06</t>
  </si>
  <si>
    <t>Quitada, iniciou em 17/10/2022 e expirou em 09/02/2024</t>
  </si>
  <si>
    <t xml:space="preserve">Valdecir Ferreira da Cruz </t>
  </si>
  <si>
    <t>109.262.298-50</t>
  </si>
  <si>
    <t xml:space="preserve"> Quitado, iniciou em 13/12/2023 e expirou em 06/04/2025.
</t>
  </si>
  <si>
    <t>Sandra da Silva Bovolato Machado</t>
  </si>
  <si>
    <t>304.893.208-99</t>
  </si>
  <si>
    <t>Quitado, iniciou em 26/12/2023 e expira em 19/04/2025.</t>
  </si>
  <si>
    <t>Luiz Fernando de Oliveira</t>
  </si>
  <si>
    <t xml:space="preserve">003.959.731-80
</t>
  </si>
  <si>
    <t>Quitado no cartão, iniciou em 02/01/2024 e expirou em 26/04/2025</t>
  </si>
  <si>
    <t>Pós-Graduação em Direito LGBTQIAPN</t>
  </si>
  <si>
    <t xml:space="preserve">Pós-Graduação em MBA Gestão de Marketing Digital
</t>
  </si>
  <si>
    <t>Rogério Fontes Tomaz</t>
  </si>
  <si>
    <t>043.582.436-81</t>
  </si>
  <si>
    <t xml:space="preserve">Formação Pedagógica em Música 1200 Horas
</t>
  </si>
  <si>
    <t xml:space="preserve">falta concluir uma disciplina
</t>
  </si>
  <si>
    <t>SEGUNDA LICENCIATURA EM GEOGRAFIA</t>
  </si>
  <si>
    <t>Quitado no cartão, iniciou em 15/02/2024 e expira em 09/06/2025</t>
  </si>
  <si>
    <t>857.607.061-88</t>
  </si>
  <si>
    <t>Pós-Graduação em Educação Especial - 620 horas</t>
  </si>
  <si>
    <t>Não encaminhou TCC, mandou praticas pedagógicas de geografia</t>
  </si>
  <si>
    <t>Bruno Rodrigues Gonçalves</t>
  </si>
  <si>
    <t>393.334.708-40</t>
  </si>
  <si>
    <t xml:space="preserve">Diplomação por competência em música
</t>
  </si>
  <si>
    <t xml:space="preserve">Em dia, efetuou o pagamento de apenas 1 parcela, iniciada em 20/03/2025 e com vencimento em 11/09/2026
</t>
  </si>
  <si>
    <t>Falta reaizar o simulado e uma disciplina</t>
  </si>
  <si>
    <t>Gabriela Muniz Macedo</t>
  </si>
  <si>
    <t>073.800.684-07</t>
  </si>
  <si>
    <t xml:space="preserve"> Pós-Graduação em Coordenação Pedagógica - 520 horas, 2022</t>
  </si>
  <si>
    <t xml:space="preserve"> Quitado, iniciou em 18/03/2022 e expirou em 11/07/2023
</t>
  </si>
  <si>
    <t>KARLA KAROLYNE SOUSA COELHO</t>
  </si>
  <si>
    <t xml:space="preserve">076.287.194-65
</t>
  </si>
  <si>
    <t xml:space="preserve"> Quitado no cartão, iniciou em 02/10/2023 e expirou em 02/02/2025</t>
  </si>
  <si>
    <t xml:space="preserve"> Felipe da Silva Carvalho</t>
  </si>
  <si>
    <t>077.285.487-43</t>
  </si>
  <si>
    <t>Formação Pedagógica em Música - 1200 Horas</t>
  </si>
  <si>
    <t xml:space="preserve">Quitada, iniciou em 18/10/2023 e expirou em 09/02/2025 </t>
  </si>
  <si>
    <t>PPI pré aprovada, falta envio PPII (aguardando regularizar documentos).</t>
  </si>
  <si>
    <t>Altair de Souza</t>
  </si>
  <si>
    <t>518.967.969-15</t>
  </si>
  <si>
    <t>Quitado, iniciou em 23/03/2022 e expirou em 16/07/2023.</t>
  </si>
  <si>
    <t xml:space="preserve">Marcel Ribeiro Risso </t>
  </si>
  <si>
    <t>615.702.733-91</t>
  </si>
  <si>
    <t xml:space="preserve">Formação Pedagógica em Matemática
</t>
  </si>
  <si>
    <t>Quitado pelo cartão, iniciou em 19/09/2023 e expirou em 11/01/2025</t>
  </si>
  <si>
    <t xml:space="preserve"> Aprovado em todas as disciplinas
</t>
  </si>
  <si>
    <t>615.702.733-92</t>
  </si>
  <si>
    <t>Beatriz Rosa de Souza</t>
  </si>
  <si>
    <t>420.338.818-06</t>
  </si>
  <si>
    <t xml:space="preserve">Quitado, iniciou em 10/10/2023 e expirou em 01/02/2025
</t>
  </si>
  <si>
    <t>PPI pré aprovada, falta envio PPII (aguardando regularizar documentos).e disciplinas.</t>
  </si>
  <si>
    <t>968.506.475-04</t>
  </si>
  <si>
    <t>Boleto de quitação vencido, iniciou em 21/12/2023 e expira em 21/04/2025</t>
  </si>
  <si>
    <t>Cristiane Giamberardino Rochavetz Rosa</t>
  </si>
  <si>
    <t>043.159.569-02</t>
  </si>
  <si>
    <t>Quitada, iniciou em 26/12/2023 e expira em 26/04/2025</t>
  </si>
  <si>
    <t xml:space="preserve">Nilva Rodrigues do Prado Simões
</t>
  </si>
  <si>
    <t xml:space="preserve">NOVO - Pós-Graduação em Psicanálise 800 Horas
</t>
  </si>
  <si>
    <t>Quitada, iniciou em 21/08/2023 e expirou em 13/12/2024.</t>
  </si>
  <si>
    <t>Mirian Mariano da Silva Matheus</t>
  </si>
  <si>
    <t>639.405.151-91</t>
  </si>
  <si>
    <t>PÓS-GRADUAÇÃO EM EDUCAÇÃO ESPECIAL E INCLUSIVA - 42M</t>
  </si>
  <si>
    <t xml:space="preserve"> Quitado no cartão, iniciou em 09/09/2024 e expira em 02/01/2026</t>
  </si>
  <si>
    <t>Emelly Aparecida Rocha Borges</t>
  </si>
  <si>
    <t>072.005.406-09</t>
  </si>
  <si>
    <t>FORMAÇÃO PEDAGÓGICA EM LETRAS PORTUGUÊS - ESPANHOL</t>
  </si>
  <si>
    <t>Em dia, iniciou em 03/04/2025 e expira em 25/09/2026</t>
  </si>
  <si>
    <t>005.066.502-27</t>
  </si>
  <si>
    <t xml:space="preserve"> Efetuou o pagamento de 7 de 16 parcelas, iniciou em 16/05/2023 e expirou em 07/09/2024.</t>
  </si>
  <si>
    <t>Reprovada na prática pedagógica (Plágio)</t>
  </si>
  <si>
    <t>Bruno da Silva Freire</t>
  </si>
  <si>
    <t>098.262.947-80</t>
  </si>
  <si>
    <t>SEGUNDA LICENCIATURA EM HISTÓRIA</t>
  </si>
  <si>
    <t xml:space="preserve"> Quitado, iniciou em 20/09/2024 e expira em 20/01/2026.</t>
  </si>
  <si>
    <t>098.262.947-81</t>
  </si>
  <si>
    <t>Quitado, iniciou em 22/09/2024 e expirou em 22/01/2026</t>
  </si>
  <si>
    <t>Gabriele da Silveira Gardinal</t>
  </si>
  <si>
    <t>024.199.219-25</t>
  </si>
  <si>
    <t xml:space="preserve">Pós-Graduação em Neuropsicologia Clínica
</t>
  </si>
  <si>
    <t>Quitado, iniciou em 17/11/2021 e expirou em 17/03/2023</t>
  </si>
  <si>
    <t>Djulia suellen da silva otonio</t>
  </si>
  <si>
    <t>138.553.297-30</t>
  </si>
  <si>
    <t>Lucia de Fátima Meirelles</t>
  </si>
  <si>
    <t xml:space="preserve"> Aprovada nas práticas pedagógicas</t>
  </si>
  <si>
    <t>Não encaminhou práticas pedagógicas</t>
  </si>
  <si>
    <t>Pedro Apolinario</t>
  </si>
  <si>
    <t>909.378.649-00</t>
  </si>
  <si>
    <t>Segunda Licenciatura em Música - 760 horas 2022</t>
  </si>
  <si>
    <t>Efetuou o pagamento de 8 de 16 parcelas, restando 8 para quitar. Iniciou em 15/09/2022 e expira em 15/01/2024.</t>
  </si>
  <si>
    <t>Valdice querem silva freire</t>
  </si>
  <si>
    <t>077.688.195-78</t>
  </si>
  <si>
    <t>Quitada, expirou em: 10/05/2025</t>
  </si>
  <si>
    <t>Pré-aprovado aguardando análise</t>
  </si>
  <si>
    <t>077.688.195-79</t>
  </si>
  <si>
    <t>Pós-Graduação em Avaliação Psicológica e Psicodiagnóstico</t>
  </si>
  <si>
    <t>Quitada, iniciou em 03/11/2023, expirou em 03/03/2025</t>
  </si>
  <si>
    <t>Clarice Martins Ramalho</t>
  </si>
  <si>
    <t>012.275.176-02</t>
  </si>
  <si>
    <t>Boletos excluídos no sistema 483, nunca efetuou pagamento (pelo menos não encontrei)</t>
  </si>
  <si>
    <t>Resta apenas uma disciplina para concluir</t>
  </si>
  <si>
    <t>PPS necessitam de correção.</t>
  </si>
  <si>
    <t>Maria Edna Santos Souza Pinheiro</t>
  </si>
  <si>
    <t>027.963.516-88</t>
  </si>
  <si>
    <t>SEGUNDA LICENCIATURA EM ARTES VISUAIS - 47M</t>
  </si>
  <si>
    <t>2 faturas vencidas do curso que iniciou em 14/11/2024 e expirou em 14/03/2026</t>
  </si>
  <si>
    <t>Marcus Wilson Seixas do Nascimento</t>
  </si>
  <si>
    <t>120.292.087-01</t>
  </si>
  <si>
    <t>Quitado, pagou 18 parcelas de R$ 99,00 = R$1.782 Inicio: 06/03/2022 Expirou: 06/07/2023 Contratou extensão para 03 meses (11/09/2024 - 11/12/2024) Contratou + 1 extensão para 01 mês (27/03/2025 - 27/04/2025)</t>
  </si>
  <si>
    <t>Hamilton Portella Junior</t>
  </si>
  <si>
    <t>193.249.369-72</t>
  </si>
  <si>
    <t xml:space="preserve">Brinde (Formação Pedagógica em Música) Início: 02/01/2024 Expira: 02/05/2025 Quitado, 12 x R$ 165,00 = 1.980 </t>
  </si>
  <si>
    <t>Alessandra de França Dias</t>
  </si>
  <si>
    <t>010.978.967-90</t>
  </si>
  <si>
    <t>Pós-Graduação em Biomedicina Estética</t>
  </si>
  <si>
    <t>Brinde Início: 29/12/2020 Expirou em: 29/04/2022</t>
  </si>
  <si>
    <t>Acesso transferido, confirmar com a aluna</t>
  </si>
  <si>
    <t>Brinde Início: 01/09/2023 Expirou em: 01/01/2025</t>
  </si>
  <si>
    <t>Quitada, 10 x R$109,90 = R$1099,00 Início: 01/09/2023 Expirou em: 01/01/2025</t>
  </si>
  <si>
    <t>Não Encaminhou as práticas pedagógicas</t>
  </si>
  <si>
    <t>Isabel Cristina Nunes Lacau Conte</t>
  </si>
  <si>
    <t>966.227.250-04</t>
  </si>
  <si>
    <t>Quitada, 5x R$197,31 = 986,55 Início: 12/09/2023 Expirou em: 12/01/2025 Contratou uma extensão referente a um mês: 03/03/2025 - 03/04/2025</t>
  </si>
  <si>
    <t>Liliane de Souza Xavier e Xavier</t>
  </si>
  <si>
    <t>659.165.145-49</t>
  </si>
  <si>
    <t>Financeiro: Quitada, Pago 3 de 3 parcelas no valor de R$166,34 cada, dando um total de 498,99. Início: 06/03/2023 Expirou em: 06/07/2024 - Aluna tem até 08/04/2025, foi uma aluna que pedi a Ana, devido a Reclamação no Reclame Aqui</t>
  </si>
  <si>
    <t>003.959.731-80</t>
  </si>
  <si>
    <t xml:space="preserve">Quitado, iniciou em 08/01/2024 e expira em 08/05/2025
</t>
  </si>
  <si>
    <t>003.959.731-81</t>
  </si>
  <si>
    <t xml:space="preserve">Pós-Graduação em Psicanálise
</t>
  </si>
  <si>
    <t>003.959.731-82</t>
  </si>
  <si>
    <t>Renata Patrícia Lahr</t>
  </si>
  <si>
    <t>038.365.639-75</t>
  </si>
  <si>
    <t>Quitado. Iniciou em 12-01-2021, contratou extensão e expirou em 12-02-2025</t>
  </si>
  <si>
    <t>Pré aprovada, aguardando regularizar documentação</t>
  </si>
  <si>
    <t>José Clenildo de Almeida</t>
  </si>
  <si>
    <t>425.932.203-68</t>
  </si>
  <si>
    <t xml:space="preserve"> Quitado, iniciou em 21/09/2022, contratou extensão e expirou em 06/04/2025</t>
  </si>
  <si>
    <t xml:space="preserve">Leonidas Pereira Viana Junior	</t>
  </si>
  <si>
    <t>079.866.657-93</t>
  </si>
  <si>
    <t xml:space="preserve">SEGUNDA LICENCIATURA EM MÚSICA - 2024
</t>
  </si>
  <si>
    <t xml:space="preserve"> Quitado, iniciou em 22/03/2024 e expira em 22/07/2025</t>
  </si>
  <si>
    <t>Marina Ratts da Silva</t>
  </si>
  <si>
    <t>670.950.030-68</t>
  </si>
  <si>
    <t>Efetuou o pagamento de 15 de 16 parcelas, restando 1 parcela. Iniciou em 09/08/2022 e expirou em 09/12/2023.</t>
  </si>
  <si>
    <t>Não necessária</t>
  </si>
  <si>
    <t>Flávio da Silva Chagas</t>
  </si>
  <si>
    <t>306.761.288-40</t>
  </si>
  <si>
    <t>Quitado, iniciou em 09/08/2023 e expirou em 09/12/2024</t>
  </si>
  <si>
    <t>PPII pré aprovada, falta envio da PPI (falta documentos e disciplinas).</t>
  </si>
  <si>
    <t>Quitada, iniciou em 12/03/2024 e expira em 12/07/2025</t>
  </si>
  <si>
    <t>508.157.251-92</t>
  </si>
  <si>
    <t xml:space="preserve"> Não concluiu nenhuma disciplina</t>
  </si>
  <si>
    <t>Daniela Souza de Oliveira</t>
  </si>
  <si>
    <t>040.148.505-60</t>
  </si>
  <si>
    <t>PÓS-GRADUAÇÃO EM NEUROPSICOPEDAGOGIA INSTITUCIONAL, CLÍNICA E HOSPITALAR - 96M</t>
  </si>
  <si>
    <t>Quitado, iniciou em 19/11/2021, contratou reativação e expirou em 07/04/2025</t>
  </si>
  <si>
    <t>não encaminhou o estágio</t>
  </si>
  <si>
    <t xml:space="preserve">Everaldo Porto Pedroso
</t>
  </si>
  <si>
    <t xml:space="preserve">077.835.708-28 </t>
  </si>
  <si>
    <t>Início: 10/10/2023 Situação: Quitado Parcelou o curso em 14 x R$ 133,00 = R$ 1.862,00 Expirou em: 10/02/2025</t>
  </si>
  <si>
    <t>Aluno informa a impossibilidade de entrega do histórico</t>
  </si>
  <si>
    <t>Brinde Início: 10/10/2023 Situação: Quitado Parcelou o curso em 14 x R$ 133,00 = R$ 1.862,00 Expirou em: 10/02/2025</t>
  </si>
  <si>
    <t>Ailton Ricardo Gomes</t>
  </si>
  <si>
    <t>064.592.758-90</t>
  </si>
  <si>
    <t>SEGUNDA LICENCIATURA EM LETRAS PORTUGUÊS E INGLÊS</t>
  </si>
  <si>
    <t>Aluno parcelou o curso em 12 vezes de R$ 109,90. Pagou 03/12, está em dia. Iniciou em: 26/02/2025 Expira em: 26/08/2026</t>
  </si>
  <si>
    <t>PPs pré aprovadas, ainda não tem 6 meses de curso.</t>
  </si>
  <si>
    <t>Alisson Quirino Nunes Vicente</t>
  </si>
  <si>
    <t>037.882.544-59</t>
  </si>
  <si>
    <t>Aluno parcelou o curso em 16 parcelas no valor de R$ 99,00, no entanto pagou apenas 06 parcelas.
Início: 06/06/2023
Expirou em: 06/10/2024</t>
  </si>
  <si>
    <t>Ana Cristina Oliveira dos Santos</t>
  </si>
  <si>
    <t>985.944.355-68</t>
  </si>
  <si>
    <t>Iniciou em: 16/03/2020 Pagou 2/2 parcelas referente a Taxa de Matrícula dando um total de R$262,00 Pagou 04 de 16 parcelas, no valor de 189,00 cada. Em 07/07/2020, aluna pagou uma taxa de trancamento de curso no valor de R$ 30,00. Na data: 02/10/2023 aluna realizou um novo pagamento no valor total de 999,00. Expirou em: 02/02/2025 Contratou uma extensão para um mês no valor de R$ 150,00 (03/03/2025 - 03/04/2025);</t>
  </si>
  <si>
    <t>PPI com plágio de 50%, PPII pré aprovada</t>
  </si>
  <si>
    <t>Eliane Silva de Oliveira</t>
  </si>
  <si>
    <t>917.316.312-00</t>
  </si>
  <si>
    <t>Diplomação por Competência - PEDAGOGI</t>
  </si>
  <si>
    <t>Iniciou em: 10/02/2025 Pagou uma taxa de matrícula no valor de R$ 300,00 Parcelou R$ 2.350,00 em 10 vezes, pagou 01/10 parcelas Com 1 parcela pendente (venceu em: 10/04/2025) O valor total do curso será de R$ 2.650,00 Expira em: 10/08/2026</t>
  </si>
  <si>
    <t>Resta realizar o simulado em todas as disciplinas</t>
  </si>
  <si>
    <t>Encaminhou via e-mail comprovação de experiência Envio Portfólio</t>
  </si>
  <si>
    <t>Cleudiana Araújo de Souza</t>
  </si>
  <si>
    <t>832.297.442-68</t>
  </si>
  <si>
    <t>Pós-Graduação em Gestão em RH com Ênfase em Treinamento e Desenvolvimento</t>
  </si>
  <si>
    <t>Iniciou: 04/01/2023 Situação: Quitada Parcelou o curso em 12 vezes de R$ 102,40, dando um total R$ 1.228.80 Expirou em: 04/05/2024</t>
  </si>
  <si>
    <t>Restam 15 disciplinas para concluir</t>
  </si>
  <si>
    <t>Hellane de Sena Oliveira</t>
  </si>
  <si>
    <t>099.663.967-56</t>
  </si>
  <si>
    <t xml:space="preserve"> PÓS-GRADUAÇÃO EM MBA EM GESTÃO PÚBLICA - 119M</t>
  </si>
  <si>
    <t>Brinde - Início: 10/03/2023 Situação: Quitada Parcelou em 12 vezes de R$ 126,90, totalizando R$ 1.522,80 Expirou: 10/07/2024 Contratou uma extensão por mais 03 meses (03/02/2025 - 03/05/2025) Aluna no prazo</t>
  </si>
  <si>
    <t>099.663.967-57</t>
  </si>
  <si>
    <t xml:space="preserve">SEGUNDA LICENCIATURA EM PEDAGOGIA - 37M
</t>
  </si>
  <si>
    <t>Início: 10/03/2023 Situação: Quitada Parcelou em 12 vezes de R$ 126,90, totalizando R$ 1.522,80 Expirou: 10/07/2024 Contratou uma extensão por mais 03 meses (03/02/2025 - 03/05/2025) Aluna no prazo</t>
  </si>
  <si>
    <t xml:space="preserve">PPI pré aprovada, falta regularizar documentos. </t>
  </si>
  <si>
    <t>Ibraim Sales Magalhães Júnior</t>
  </si>
  <si>
    <t xml:space="preserve"> 099.663.967-56</t>
  </si>
  <si>
    <t>FORMAÇÃO PEDAGÓGICA EM PEDAGOGIA - 40H</t>
  </si>
  <si>
    <t>Início: 30/04/2024 Expira em: 30/08/2025 Situação: Quitada Pagou no PIX o valor de R$ 1.700,00</t>
  </si>
  <si>
    <t xml:space="preserve"> 099.663.967-57</t>
  </si>
  <si>
    <t>PÓS-GRADUAÇÃO EM GESTÃO E ORIENTAÇÃO ESCOLAR - 75M</t>
  </si>
  <si>
    <t>Igor Tavares Farias Costa</t>
  </si>
  <si>
    <t>022.795.471-80</t>
  </si>
  <si>
    <t>SEGUNDA LICENCIATURA EM PEDAGOGIA - 2024</t>
  </si>
  <si>
    <t>Início: 21/08/2024 Situação: Quitado Expira em: 21/12/2025</t>
  </si>
  <si>
    <t>PPS pré aprovadas, falta regularizar disciplinas.</t>
  </si>
  <si>
    <t>Luiz Henrique Mascioli</t>
  </si>
  <si>
    <t>109.026.578-60</t>
  </si>
  <si>
    <t>Análise Financeira: Inicio: 13/11/2024 799,00 Expira em: 13/03/2026</t>
  </si>
  <si>
    <t xml:space="preserve">Não encaminhou as práticas pedagógicas
</t>
  </si>
  <si>
    <t>Paulo Cesar Souza Machado</t>
  </si>
  <si>
    <t>576.695.975-34</t>
  </si>
  <si>
    <t>Iniciou em: 19/08/2022 Parcelou o curso em 14 vezes, dando um total de R$ 914,73 Situação: Quitado Expirou em: 19/12/2023 Tem um boleto no valor de 150 reais referente a reativação do curso, mas o mesmo se encontra vencido e sem pagamento</t>
  </si>
  <si>
    <t>Faltam 8 disciplinas para concluir</t>
  </si>
  <si>
    <t xml:space="preserve"> Não necessita</t>
  </si>
  <si>
    <t>Mercedes Gomes Michaud Cunha</t>
  </si>
  <si>
    <t>053.949.409-75</t>
  </si>
  <si>
    <t>Segunda Licenciatura em Música - 1320 Horas</t>
  </si>
  <si>
    <t>Início: 09/09/2023 Situação: Quitado Parcelou o curso em 16 x R$ 99,00 = R$ 1584,00 Expirou em: 09/01/2025</t>
  </si>
  <si>
    <t>Restam 8 disciplinas para concluir</t>
  </si>
  <si>
    <t>William Geronimo Santesso da Silva</t>
  </si>
  <si>
    <t>361.189.918.63</t>
  </si>
  <si>
    <t>Pós-graduação em Sexologia e Pós-graduação em Psicanálise</t>
  </si>
  <si>
    <t>Início: 14/06/2022 Pagou 7 parcelas no valor de R$ 84,90 Pagou 1 de 3 parcelas referente a quitação do curso no valor de R$ 100,00 cada (11/10/2024). Pagou boleto referente a quitação dos cursos no valor de R$ 210,00 Situação: Quitado Total pago: R$ 904,30 Expirou em: 14/10/2023</t>
  </si>
  <si>
    <t xml:space="preserve"> Não localizada</t>
  </si>
  <si>
    <t>Antonio Hugo Moreira de Brito</t>
  </si>
  <si>
    <t>151.377.592-87</t>
  </si>
  <si>
    <t>Início: 05/08/2024 Situação: Em dia Parcelou em 14 vezes de R$ 129,90 Pagou 11 de 14 parcelas Ao total dará: R$ 1.818,60 Expira em: 05/12/2025</t>
  </si>
  <si>
    <t>PPs pré aprovadas, falta regularizar documentação.</t>
  </si>
  <si>
    <t xml:space="preserve">Equima Nogueira Dos Santos Paz
</t>
  </si>
  <si>
    <t>607.397.892-87</t>
  </si>
  <si>
    <t>FORMAÇÃO PEDAGÓGICA EM EDUCAÇÃO ESPECIAL</t>
  </si>
  <si>
    <t>Início: 24/02/2025 Situação: Inadimplente Parcelou em 12 vezes de R$ 109,90, o que dará ao final R$ 1.318,80, mas pagou apenas 1 parcela. Expira em: 24/08/2026</t>
  </si>
  <si>
    <t>Início: 27/11/2023 Situação: Quitada Parcelou o curso em 14 x R$ 99,90 Expirou em: 27/03/2025 Contratou uma extensão para 01 mês no valor de R$ 150,00 (07/04/2025 - 07/05/2025) Dando um total junto a extensão de R$ 1.548,60.</t>
  </si>
  <si>
    <t xml:space="preserve"> Regina Ferreira Barra </t>
  </si>
  <si>
    <t>PÓS-GRADUAÇÃO EM PSICOLOGIA DO TRÂNSITO</t>
  </si>
  <si>
    <t>Quitada, iniciou em 21/09/2022, contratou reativação e está ativa até 08/05/2025.</t>
  </si>
  <si>
    <t>Realizou a dispensa do tcc</t>
  </si>
  <si>
    <t>541.880.596-73</t>
  </si>
  <si>
    <t>PÓS-GRADUAÇÃO EM NEUROPSICOLOGIA.</t>
  </si>
  <si>
    <t>541.880.596-74</t>
  </si>
  <si>
    <t>PÓS-GRADUAÇÃO EM HISTÓRIA DA ARTE</t>
  </si>
  <si>
    <t>122.655.736-80</t>
  </si>
  <si>
    <t>Pós-Graduação em História da Arte-2022</t>
  </si>
  <si>
    <t>Nenhum pagamento encontrado, todos os boletos estão excluídos no Assas 483</t>
  </si>
  <si>
    <t xml:space="preserve">Gabriela Lima de Aquino </t>
  </si>
  <si>
    <t>604.050.143-09</t>
  </si>
  <si>
    <t>Iniciou em: 24/04/2023 Situação: Quitada Parcelou em 3 vezes de R$ 233,00, dando um total de R$ 699,00 Expirou em: 24/08/2024</t>
  </si>
  <si>
    <t xml:space="preserve">Restam 4 disciplinas para concluir: </t>
  </si>
  <si>
    <t>Quitada, iniciou em 19/12/2022, contratou extensão e expira em 14/01/2025</t>
  </si>
  <si>
    <t>090.287.017-38</t>
  </si>
  <si>
    <t xml:space="preserve"> Pós-Graduação em Psicopedagogia Clínica, Institucional e Hospitalar - 660 horas</t>
  </si>
  <si>
    <t xml:space="preserve">Brinde Quitada, iniciou em 19/12/2022, contratou extensão e expira em 14/01/2025 </t>
  </si>
  <si>
    <t>090.287.017-39</t>
  </si>
  <si>
    <t xml:space="preserve"> 061.811.346-03</t>
  </si>
  <si>
    <t>Inicio: 28/10/2023 Situação: Quitada Total pago: R$ 1.000,00 Expiração: 28/02/2025</t>
  </si>
  <si>
    <t>Restam 10 disciplinas para concluir</t>
  </si>
  <si>
    <t>Adeilma Lima dos Santos</t>
  </si>
  <si>
    <t xml:space="preserve"> 099.826.104-14</t>
  </si>
  <si>
    <t>Formação Pedagógica em Educação Física 2022</t>
  </si>
  <si>
    <t>Iniciou em: 07/06/2022 Aluna não pagou o curso no valor de R$ 1.522,80 Parcela excluida</t>
  </si>
  <si>
    <t>Lorrayne Raika Oliveira Marques de Figueiredo</t>
  </si>
  <si>
    <t>099.079.306-01</t>
  </si>
  <si>
    <t>Início: 10/11/2023 Situação: Quitada Parcelou de 12 x R$ 133,16 = 1.597,92 Expirou em: 10/03/2025 Contratou extensão para 01 mês (04/04/2025 - 04/05/2025)</t>
  </si>
  <si>
    <t>Flávio Luiz Souza dos Santos</t>
  </si>
  <si>
    <t>141.502.267-41</t>
  </si>
  <si>
    <t>Segunda Licenciatura em Música - 1200 Horas</t>
  </si>
  <si>
    <t>Iniciou em: 26/01/2024 Expira em: 26/05/2025 Quitado, pagou 3 parcelas de R$ 333,00 = R$ 999,00</t>
  </si>
  <si>
    <t>Reprovado na PPI, terá qie realizar correções e não mandou PPII</t>
  </si>
  <si>
    <t xml:space="preserve"> Jairo Machado de Sousa
</t>
  </si>
  <si>
    <t>Expira em: 26/05/2025</t>
  </si>
  <si>
    <t xml:space="preserve"> Faltam 3 disciplinas para o aluno concluir.</t>
  </si>
  <si>
    <t>Rafael Araújo Menezes</t>
  </si>
  <si>
    <t>417.414.448-61</t>
  </si>
  <si>
    <t>Quitado, pagou 3 parcelas de R$ 333,00 = R$ 999,00</t>
  </si>
  <si>
    <t xml:space="preserve">Restam 12 disciplinas a serem concluídas
</t>
  </si>
  <si>
    <t>Rita de Cássia Guimarães Rodrigues Martins</t>
  </si>
  <si>
    <t>223.082.508-95</t>
  </si>
  <si>
    <t xml:space="preserve">Segunda Licenciatura em Ciências Biológicas
</t>
  </si>
  <si>
    <t>Início: 03/05/2023 Situação: Quitada Parcelou em 16 x R$ 99,90 = R$ 1.598,4 Expirou em: 03/09/2024</t>
  </si>
  <si>
    <t xml:space="preserve">Juliane dos Santos Veiga	</t>
  </si>
  <si>
    <t xml:space="preserve"> 047.981.609-38</t>
  </si>
  <si>
    <t>Pagou 13 de 16 parcelas no valor de R$ 79,90Início:12/06/2023 Expirou em : 12/10/2024</t>
  </si>
  <si>
    <t>Resta concluir 6 disciplinas</t>
  </si>
  <si>
    <t>046.445.831-54</t>
  </si>
  <si>
    <t>Iniciou em: 05/12/2023 Situação: Quitada Valor pago: R$ 1.820,00 Expirou em: 05/04/2025</t>
  </si>
  <si>
    <t>Luana Carolina Alexandre Dantas</t>
  </si>
  <si>
    <t xml:space="preserve"> Formação Pedagógica em Educação Física - 1200 Horas</t>
  </si>
  <si>
    <t>Quitada, iniciou em 21/12/2023 e expira em 21/04/2025.</t>
  </si>
  <si>
    <t>Ederson Leifer de Souza</t>
  </si>
  <si>
    <t>089.457.076-54</t>
  </si>
  <si>
    <t>Em dia, pagou 02/12 parcelas - Início: 04/03/2025 - Expira em: 04/09/2026</t>
  </si>
  <si>
    <t>PPI Pré aprovada, falta regularizar documentos. Ainda não tem 6 meses de curso</t>
  </si>
  <si>
    <t>Arthur Simões Índio do Brasil</t>
  </si>
  <si>
    <t>391.822.958-08</t>
  </si>
  <si>
    <t>Pós-Graduação em Análise do Comportamento Aplicada 2022</t>
  </si>
  <si>
    <t>Iniciou em: 17/07/2023 Situação: Quitado Expirou:17/11/2024</t>
  </si>
  <si>
    <t>Restam 5 disciplinas para concluir</t>
  </si>
  <si>
    <t xml:space="preserve"> Realizou dispensa do TCC</t>
  </si>
  <si>
    <t>Sullivan Cândido Laurindo</t>
  </si>
  <si>
    <t>057.887.646-96</t>
  </si>
  <si>
    <t>#FPUP - Formação Pedagógica em Pedagogia - U</t>
  </si>
  <si>
    <t>Iniciou em: 27/11/2023 Situação: Quitado Valor total pago: R$ 2.081,00 Expirou em: 27/03/2025</t>
  </si>
  <si>
    <t>PPS pré aprovadas, falta regularizar financeiro e documentos para formalização.</t>
  </si>
  <si>
    <t xml:space="preserve"> Robson Rodrigues de Siqueira</t>
  </si>
  <si>
    <t>001.929.270-86</t>
  </si>
  <si>
    <t xml:space="preserve">PPs pré aprovadas, falta regularizar documentação. </t>
  </si>
  <si>
    <t>Início: 28/03/2024 Situação: Em dia, pagou 13 de 16 parcelas Ao final dará um total pago de R$ 2381,88 Expira em: 28/07/2025</t>
  </si>
  <si>
    <t>Rachel Menezes Oliveira dos Santos</t>
  </si>
  <si>
    <t xml:space="preserve">390.220.638-10
</t>
  </si>
  <si>
    <t>Início: 13/02/2021 Situação: Quitada Expirou em: 13/06/2022 Contratou a última extensão em: 02/01/2024 - 02/04/2024</t>
  </si>
  <si>
    <t>Restam 4 disciplinas para concluir</t>
  </si>
  <si>
    <t>Edcarlos Batista dos Santos</t>
  </si>
  <si>
    <t>834.395.105-06</t>
  </si>
  <si>
    <t>Início: 01/08/2023 Situação: Quitado Expirou em: 01/12/2024</t>
  </si>
  <si>
    <t>resta 1 disciplia para concluir</t>
  </si>
  <si>
    <t>Wamberson Adelino</t>
  </si>
  <si>
    <t>093.043.864-70</t>
  </si>
  <si>
    <t>Iniciou em: 03/07/2023 Situação: Quitado Expirou em: 03/11/2024 Extensão: (01/04/2025 - 01/05/2025)</t>
  </si>
  <si>
    <t>Anderson Fernando de Araújo da Silva</t>
  </si>
  <si>
    <t>000.390.072-00</t>
  </si>
  <si>
    <t>Iniciou em: 21/11/2023 Situação: Quitado Expirou em: 21/03/2025</t>
  </si>
  <si>
    <t>Falta Tutoria, Falta Plataforma</t>
  </si>
  <si>
    <t>Jeaninha Neves De Menezes</t>
  </si>
  <si>
    <t>006.689.399-23</t>
  </si>
  <si>
    <t>Iniciou em: 03/04/2023 Situação: Quitada Expirou em: 03/08/2024</t>
  </si>
  <si>
    <t>Lázara Margarida de Oliveira Teixeira</t>
  </si>
  <si>
    <t>132.323.068-88</t>
  </si>
  <si>
    <t>Segunda Licenciatura em Letras - Espanhol</t>
  </si>
  <si>
    <t>Iniciou em: 11/08/2022 Situação: Quitada Expirou em: 11/12/2023</t>
  </si>
  <si>
    <t>Reprovado (faltou anexar a entrevista).</t>
  </si>
  <si>
    <t>Cinthia Ferreira de Alencar Nagahama</t>
  </si>
  <si>
    <t>041.324.199-83</t>
  </si>
  <si>
    <t xml:space="preserve">Iniciou em: 30/10/2023 Expirou em: 30/02/2025 Quitada </t>
  </si>
  <si>
    <t>041.324.199-84</t>
  </si>
  <si>
    <t>Iniciou em: 30/10/2023 Expirou em: 30/02/2025 Quitada Pós foi de BRINDE, pois só tem um financeiro</t>
  </si>
  <si>
    <t>Restam 7 disciplinas para concluir</t>
  </si>
  <si>
    <t>Ana Angélica da Silva</t>
  </si>
  <si>
    <t>614.271.285-53</t>
  </si>
  <si>
    <t xml:space="preserve">Iniciou em: 15/07/2024 Situação: Quitada Expira em: 15/11/2025 </t>
  </si>
  <si>
    <t>PPII com entrevista escaneada, carta de apresentação sem assinatura e não mandou a PPI</t>
  </si>
  <si>
    <t>Laércio Hernane Amorim Gonçalves</t>
  </si>
  <si>
    <t>013.036.896-26</t>
  </si>
  <si>
    <t xml:space="preserve"> Segunda Licenciatura em Música - 1320 horas</t>
  </si>
  <si>
    <t>Iniciou em: 27/10/2023 Situação: Quitado Expirou em: 27/02/2025 Pós provavelmente Brinde</t>
  </si>
  <si>
    <t>013.036.896-27</t>
  </si>
  <si>
    <t>Pós-Graduação em MBA em Gestão Pública</t>
  </si>
  <si>
    <t>Jayni Sampaio dos Santos</t>
  </si>
  <si>
    <t>029.461.772-89</t>
  </si>
  <si>
    <t>Iniciou em: 31/08/2023 Situação: Quitada Expirou em: 31/12/2024</t>
  </si>
  <si>
    <t>Resta 1 disciplia para concluir</t>
  </si>
  <si>
    <t>PPI pre aprovada, falta realizar PPII</t>
  </si>
  <si>
    <t>Jesmey Bruno Pereira</t>
  </si>
  <si>
    <t>898.544.382-87</t>
  </si>
  <si>
    <t>quitado, iniciou em 31/08/2022 expirou em 24/12/2023 Parcelas de 16x de 129,90</t>
  </si>
  <si>
    <t>Precisa de correções no estágio, Aguardando documento</t>
  </si>
  <si>
    <t>Charles Miranda</t>
  </si>
  <si>
    <t xml:space="preserve"> 022.965.187-96</t>
  </si>
  <si>
    <t xml:space="preserve"> PÓS-GRADUAÇÃO EM MUSICOTERAPIA</t>
  </si>
  <si>
    <t>Suposto brinde</t>
  </si>
  <si>
    <t xml:space="preserve"> 022.965.187-97</t>
  </si>
  <si>
    <t>PÓS-GRADUAÇÃO EM PSICOLOGIA CLÍNICA</t>
  </si>
  <si>
    <t xml:space="preserve">Não encaminhou o estágio </t>
  </si>
  <si>
    <t xml:space="preserve"> 022.965.187-98</t>
  </si>
  <si>
    <t>Início: 13/02/2025 Situação: Quitado Expira em: 13/08/2026</t>
  </si>
  <si>
    <t xml:space="preserve"> 022.965.187-99</t>
  </si>
  <si>
    <t>PÓS-GRADUAÇÃO EM ANÁLISE DE COMPORTAMENTO APLICADA AO AUTISMO</t>
  </si>
  <si>
    <t>Núbia Souza</t>
  </si>
  <si>
    <t>591.320.781-53</t>
  </si>
  <si>
    <t>Nada localizado da aluna</t>
  </si>
  <si>
    <t>Tais: PPs pré aprovadas, aguardando analise financeiro para informar aprovação.</t>
  </si>
  <si>
    <t>Vera Lúcia Souza</t>
  </si>
  <si>
    <t>852.658.101-53</t>
  </si>
  <si>
    <t xml:space="preserve">Laís Natália Nogueira Pedrosa
</t>
  </si>
  <si>
    <t>Pedro Ernesto Ruvieri Martins</t>
  </si>
  <si>
    <t xml:space="preserve">354.964.498-12
</t>
  </si>
  <si>
    <t>Quitado, iniciou em 15/11/2021, contratou extensão e expira em 26/04/2025</t>
  </si>
  <si>
    <t>Danilo Mendes</t>
  </si>
  <si>
    <t>121.871.376-35</t>
  </si>
  <si>
    <t>Início: 24/02/2025 Situação: Quitou no cartão de crédito Expiração: Indeterminado</t>
  </si>
  <si>
    <t xml:space="preserve"> Concluiu o simulado em apenas 1 disciplina, o restante está ok.</t>
  </si>
  <si>
    <t>Não encaminhou trabalho.</t>
  </si>
  <si>
    <t>370.294.788-43</t>
  </si>
  <si>
    <t>SEGUNDA LICENCIATURA EM LETRAS PORTUGUÊS - INGLÊS</t>
  </si>
  <si>
    <t>Não localizei nada sobre a aluna</t>
  </si>
  <si>
    <t>Encaminhou protocolo sem o trabalho anexado.</t>
  </si>
  <si>
    <t>084.549.164-40</t>
  </si>
  <si>
    <t>Encontrei apenas 1 cobrança (paga) no valor de 499,00. Iniciou em: 05/07/2023 Expirou em: 05/11/2024 Contratou extensão de 01 mês (10/03/2025 - 10/04/2025)</t>
  </si>
  <si>
    <t>Foi solicitado  correções para a aluna.</t>
  </si>
  <si>
    <t xml:space="preserve"> Samara Fernandes Costa</t>
  </si>
  <si>
    <t>Quitado em 19/10/2023 e expirado em 10/02/2025. Valor total: R$ 1.099,98.</t>
  </si>
  <si>
    <t xml:space="preserve">Aprovada nas práticas pedagógicas.
</t>
  </si>
  <si>
    <t>Karen Bruna Silva Chaves</t>
  </si>
  <si>
    <t>016.956.371-51</t>
  </si>
  <si>
    <t>Iniciou em: 10/06/2022 Situação: Quitada Expirou em: 10/10/2023 Contratou extensão em: 31/01/2024 - 31/07/2024</t>
  </si>
  <si>
    <t>Encaminhou as Práticas Pedagógias (aluna precisa realizar correções)</t>
  </si>
  <si>
    <t xml:space="preserve"> 000.390.072-00
</t>
  </si>
  <si>
    <t>SEGUNDA LICENCIATURA EM LETRAS PORTUGUÊS - LIBRAS</t>
  </si>
  <si>
    <t>Em dia, iniciou em 22/01/2025 e expira em 16/07/2026.</t>
  </si>
  <si>
    <t>Regina Dos Passos Venâncio</t>
  </si>
  <si>
    <t>948.782.699-87</t>
  </si>
  <si>
    <t>Iniciou em: 01/06/2021 Situação: QuitadaExpirou em: 01/10/2022 Extensões:17/07/2023 -17/10/2023 / 31/10/2023 - 31/11/2023</t>
  </si>
  <si>
    <t>Pós-Graduação Psicopedagogia Institucional</t>
  </si>
  <si>
    <t>Angela Ferreira de Sousa</t>
  </si>
  <si>
    <t>192.598.308-00</t>
  </si>
  <si>
    <t>Quitada, iniciou em 05/08/2022 expirou em 28/11/2023</t>
  </si>
  <si>
    <t>Allan Daniel Mendes Terra</t>
  </si>
  <si>
    <t>101.729.266-37</t>
  </si>
  <si>
    <t xml:space="preserve"> Formação Livre em Psicanálise</t>
  </si>
  <si>
    <t>Início: 15/02/2023 Situação: Inadimplente, pagou 08 de 16 parcelas Expirou em: 15/06/2024</t>
  </si>
  <si>
    <t>Restam 18 disciplinas para concluir</t>
  </si>
  <si>
    <t xml:space="preserve">Não necessária
</t>
  </si>
  <si>
    <t>101.729.266-38</t>
  </si>
  <si>
    <t>João Paulo Bernardo</t>
  </si>
  <si>
    <t>280.939.288-98</t>
  </si>
  <si>
    <t>Iniciou em: 21/06/2023 Situação: Quitado Expirou em: 21/10/2024 Contratou extensão: 02/04/2025 - 02/05/2025</t>
  </si>
  <si>
    <t>Dárisson Miller Marinho de Jesus</t>
  </si>
  <si>
    <t>014.302.882-05</t>
  </si>
  <si>
    <t>Iniciou em: 15/05/2023 Expirou em: 15/09/2024 Quitado</t>
  </si>
  <si>
    <t>Não realizou nenhuma disciplinas</t>
  </si>
  <si>
    <t>014.302.882-06</t>
  </si>
  <si>
    <t xml:space="preserve"> Maria José da Silva Duarte</t>
  </si>
  <si>
    <t>038.274.784-48</t>
  </si>
  <si>
    <t>SEGUNDA LICENCIATURA EM ARTES VISUAIS</t>
  </si>
  <si>
    <t>Início: 24/02/2025 Situação: Quitada no Cartão de Crédito Expira em: 24/08/2026</t>
  </si>
  <si>
    <t>Não encaminhou carta de apresentação, falta analise financeira e documentos</t>
  </si>
  <si>
    <t>038.274.784-49</t>
  </si>
  <si>
    <t>PÓS-GRADUAÇÃO EM ENSINO DA LÍNGUA PORTUGUESA</t>
  </si>
  <si>
    <t xml:space="preserve">Ana Angélica da Silva
</t>
  </si>
  <si>
    <t>SEGUNDA LICENCIATURA EM HISTÓRIA - 46M</t>
  </si>
  <si>
    <t>Iniciou em: 15/07/2024 Expira em: 15/11/2025 Situação: Quitada</t>
  </si>
  <si>
    <t>Carta de apresentação sem assinatura, entrevista escaneada, e não mandou a PPI</t>
  </si>
  <si>
    <t>390.220.638-10</t>
  </si>
  <si>
    <t xml:space="preserve">Segunda Licenciatura em Educação Física
</t>
  </si>
  <si>
    <t>HERMÓGENES OLIVEIRA NEVES</t>
  </si>
  <si>
    <t>161.055.085-49</t>
  </si>
  <si>
    <t>Iniciou em: 08/01/2024 Situação: Quitado Expira em: 08/05/2025</t>
  </si>
  <si>
    <t xml:space="preserve"> Ivone dos Santos Poltranieri Ferreira</t>
  </si>
  <si>
    <t>FORMAÇÃO PEDAGÓGICA EM PEDAGOGIA - 40M</t>
  </si>
  <si>
    <t>066.803.661-36</t>
  </si>
  <si>
    <t xml:space="preserve">PÓS-GRADUAÇÃO EM EDUCAÇÃO ESPECIAL E INCLUSIVA - 42M
</t>
  </si>
  <si>
    <t xml:space="preserve">José Roberto de Oliveira Martins
</t>
  </si>
  <si>
    <t>Iniciou: 01/10/2024 Situação: Quitado no cartão de crédito Expira em: 01/02/2026</t>
  </si>
  <si>
    <t>Aprovado em 1 de Abril de 2025</t>
  </si>
  <si>
    <t>186.693.441-50</t>
  </si>
  <si>
    <t xml:space="preserve">Encaminhou mesma carta de apresentação do curso de Filosofia, </t>
  </si>
  <si>
    <t>186.693.441-51</t>
  </si>
  <si>
    <t>PÓS-GRADUAÇÃO EM ENSINO DA LÍNGUA ESPANHOLA</t>
  </si>
  <si>
    <t>Tais: Plágio de 50% na dissertação, PPII pré aprovada, aguardando regularizar documentos</t>
  </si>
  <si>
    <t>Wagner Aparecido de Moura</t>
  </si>
  <si>
    <t>003.663.366-65</t>
  </si>
  <si>
    <t>Inicio: 02/10/2023 Situação: Quitada Expirou em: 02/02/2025</t>
  </si>
  <si>
    <t>Aprovado em 23/04/2025</t>
  </si>
  <si>
    <t>Aluno liberado até 20-04-2025 para concluir, pois houve erro na plataforma e o mesmo estava sem acesso.</t>
  </si>
  <si>
    <t xml:space="preserve"> Isabel Cristina Nunes Lacau Conte
</t>
  </si>
  <si>
    <t>Terá que reenviar em Pdf a PPII</t>
  </si>
  <si>
    <t xml:space="preserve">Elisângela Maria da Silva
</t>
  </si>
  <si>
    <t xml:space="preserve">045.485.106-56
</t>
  </si>
  <si>
    <t>Início: 03/10/2023 Situação: Quitado Expirou em: 03/02/2025</t>
  </si>
  <si>
    <t>Mauro Henrique Magalini</t>
  </si>
  <si>
    <t xml:space="preserve">881.184.286-72
</t>
  </si>
  <si>
    <t>Início: 29/08/2024 Situação: Inadimplente Expira em: 29/12/2025</t>
  </si>
  <si>
    <t>Restam 2 disciplinas para concluir:</t>
  </si>
  <si>
    <t xml:space="preserve">Não encaminhou as Práticas Pedagógicas
</t>
  </si>
  <si>
    <t>Eliete da Silva Cambraia</t>
  </si>
  <si>
    <t xml:space="preserve">178.162.598-08
</t>
  </si>
  <si>
    <t xml:space="preserve">Pós-Graduação em Psicopedagogia Escolar	</t>
  </si>
  <si>
    <t>Início: 18/04/2023 Pagou: 5 x R$ 100,00+ 557,00 (quitação do curso) Situação: Quitada Expiração: 18/08/2024</t>
  </si>
  <si>
    <t>Brinde Início: 22/08/2023 Situação: Quitada Expiração: 22/12/2024</t>
  </si>
  <si>
    <t>Aline Sergio Simonato</t>
  </si>
  <si>
    <t>125.420.457-12</t>
  </si>
  <si>
    <t>Pós-Graduação em Libras</t>
  </si>
  <si>
    <t>Quitada, iniciou em 03/10/2023 e expirou em 25/01/2025.</t>
  </si>
  <si>
    <t>125.420.457-13</t>
  </si>
  <si>
    <t xml:space="preserve"> 084.549.164-40</t>
  </si>
  <si>
    <t xml:space="preserve"> Reprovada</t>
  </si>
  <si>
    <t>Leandro Teodoro</t>
  </si>
  <si>
    <t>055.394.739-73</t>
  </si>
  <si>
    <t xml:space="preserve"> SEGUNDA LICENCIATURA EM MÚSICA - 52M</t>
  </si>
  <si>
    <t>Início: 07/02/2025 Quitado Expira em: 07/08/2026</t>
  </si>
  <si>
    <t xml:space="preserve">Edlenne Cristina Pereira Rodrigues dos Santos
</t>
  </si>
  <si>
    <t>420.885.168-67</t>
  </si>
  <si>
    <t xml:space="preserve">Iniciou em: 01/12/2023 Situação: Quitada Expirou em: 01/04/2025. Aluna ativa até 30-05-2025 para concluir. </t>
  </si>
  <si>
    <t>PPI pré aprovada</t>
  </si>
  <si>
    <t>PEDAGOGIA PARA BACHARÉIS E TECNÓLOGOS</t>
  </si>
  <si>
    <t>Iniciou em: 09/03/2023 Situação: Quitado Expirou em:09/07/2024 Extensão: 14/03/2025 - 14/04/2025</t>
  </si>
  <si>
    <t>Fábio Rogério Borges Alves</t>
  </si>
  <si>
    <t>715.053.854-15</t>
  </si>
  <si>
    <t>Segunda Licenciatura em Pedagogia - 1030H 2022</t>
  </si>
  <si>
    <t>Iniciou em: 23/12/2022 Situação: Efetuou o pagamento de 9 parcelas de um total de 16, restando 7 parcelas para efetuar o pagamento. Expirou em: 23/04/2024</t>
  </si>
  <si>
    <t>Vanuza Souza dos Santos Lelis</t>
  </si>
  <si>
    <t>651.186.261-53</t>
  </si>
  <si>
    <t xml:space="preserve"> FORMAÇÃO PEDAGÓGICA EM PEDAGOGIA - 40M</t>
  </si>
  <si>
    <t>Iniciou em: 26/08/2024 Situação: Quitada no Cartão de Crédito Expiração: 26/12/2025</t>
  </si>
  <si>
    <t>Antonia Mary dos Santos Souza</t>
  </si>
  <si>
    <t>988.141.095-91</t>
  </si>
  <si>
    <t>Iniciou em: 11/05/2023 Situação: Quitada Expirou em: 11/09/2024 Extensão: 30/03/2025 - 30/04/2025</t>
  </si>
  <si>
    <t xml:space="preserve"> Reprovado em uma disciplina</t>
  </si>
  <si>
    <t>Em dia Iniciou em 09/12/2024 e expira em 02/06/2026. (Não tem 6 meses de curso)</t>
  </si>
  <si>
    <t>Raphael Oliveira de Lima</t>
  </si>
  <si>
    <t>792.766.602-91</t>
  </si>
  <si>
    <t>Quitado, iniciou em 12/03/2024 e expira em 05/07/2025. Parcelou em 10x de 189,90, totalizando 1.899.</t>
  </si>
  <si>
    <t>Entrevista com respostas a caneta</t>
  </si>
  <si>
    <t>Antonia Sacramento dos Santos</t>
  </si>
  <si>
    <t>005.100.085-77</t>
  </si>
  <si>
    <t>Não  localizado</t>
  </si>
  <si>
    <t>FORMAÇÃO LIVRE EM SEXOLOGIA</t>
  </si>
  <si>
    <t>Efetuou pagamento de 3 parcelas, uma unificação de mais 3 parcelas está vencida, iniciou em 11/11/2024 e expira em 06/03/2026.</t>
  </si>
  <si>
    <t>Não concluiur nenhuma disciplina</t>
  </si>
  <si>
    <t>Luzane Francisca Gomes</t>
  </si>
  <si>
    <t>630.362.231-34</t>
  </si>
  <si>
    <t>Iniciou em: 05/09/2022 Situação: Quitada Expirou em: 05/01/2024 Contratou uma extensão: 13/02/2025 - 13/03/2025</t>
  </si>
  <si>
    <t>Não concluiu uma disciplina</t>
  </si>
  <si>
    <t>Larah Pedro Forte</t>
  </si>
  <si>
    <t>457.206.378-85</t>
  </si>
  <si>
    <t>Início: 07/07/2023 Situação: Inadimplente, Pagou 13 de 16 parcelas Expirou em: 07/11/2024</t>
  </si>
  <si>
    <t>Restam duas disciplinas para concluir</t>
  </si>
  <si>
    <t>Inicio: 22-12-2023 Situação: Em dia Expira em: 22-04-2025</t>
  </si>
  <si>
    <t>Jaqueline de Fátima Marcos de Paula</t>
  </si>
  <si>
    <t>607.138.286-68</t>
  </si>
  <si>
    <t xml:space="preserve">PÓS-GRADUAÇÃO EM PSICANÁLISE - 2024
</t>
  </si>
  <si>
    <t>Iniciou em: 02/02/2024 Situação: Quitada Expira em: 02/06/2025</t>
  </si>
  <si>
    <t xml:space="preserve">Gilberto Cássio Cesário da Silva
</t>
  </si>
  <si>
    <t>879.086.469-72</t>
  </si>
  <si>
    <t>Início: 04/07/2023 Situação: Quitado Expirou em: 04/11/2024 Extensão: 15/02/2025-15/03/2025</t>
  </si>
  <si>
    <t>Foi solicitado correções.</t>
  </si>
  <si>
    <t>Jaqueline Batista Cordeiro</t>
  </si>
  <si>
    <t>032.341.587-38</t>
  </si>
  <si>
    <t>Pós-Graduação em Psicanálise - 800 Horas</t>
  </si>
  <si>
    <t>Restam 7 disciplinas a serem concluídas</t>
  </si>
  <si>
    <t xml:space="preserve">Zoraia de Jesus Pereira dos Santos 
</t>
  </si>
  <si>
    <t>756.470.100-59</t>
  </si>
  <si>
    <t xml:space="preserve"> Quitada, em Iniciou em 01/09/2023 e expirou em 24/12/2024.</t>
  </si>
  <si>
    <t>Robson José de Lacerda</t>
  </si>
  <si>
    <t>069.285.226-31</t>
  </si>
  <si>
    <t xml:space="preserve"> Pós-Graduação em Sexologia 2022</t>
  </si>
  <si>
    <t>Início: 17/08/2022 Situação: Pagou 14 de 16 parcelas Expiração: 17/12/2023</t>
  </si>
  <si>
    <t>Jeterson Franco</t>
  </si>
  <si>
    <t xml:space="preserve">073.338.297-58
</t>
  </si>
  <si>
    <t>Em dia, iniciou em 19/03/2025 e expira em 10/09/2026.Parcelou em 12 vezes de R$ 109,90, totalizando R$ 1.318,80.</t>
  </si>
  <si>
    <t>Não encaminhou as Práticas Pedagógicas</t>
  </si>
  <si>
    <t>082.572.926-21</t>
  </si>
  <si>
    <t xml:space="preserve">Segunda Licenciatura Letras - Espanhol
</t>
  </si>
  <si>
    <t>Efetuou o pagamento de 12 de 16 parcelas, restando 4 para quitar.iniciou em 25/04/2023 expirou  17/08/2024.</t>
  </si>
  <si>
    <t>Não concluiu nehuma disciplina</t>
  </si>
  <si>
    <t xml:space="preserve">Encaminhou as Práticas Pedagógicas (Correção pendente) </t>
  </si>
  <si>
    <t>Iniciou em: 14/02/2024 Situação: Quitada Expira em: 14/06/2025</t>
  </si>
  <si>
    <t xml:space="preserve">Ediana dos Santos Ramos
</t>
  </si>
  <si>
    <t>137.806.287-67</t>
  </si>
  <si>
    <t xml:space="preserve">SEGUNDA LICENCIATURA EM ARTES VISUAIS
</t>
  </si>
  <si>
    <t>Iniciou em: 13/09/2022 Situação: Quitada Expirou em:13/01/2024 Extensão: 31/03/2025-31/06/2025</t>
  </si>
  <si>
    <t xml:space="preserve">Ediana dos Santos Ramos
</t>
  </si>
  <si>
    <t>137.806.287-68</t>
  </si>
  <si>
    <t>Iniciou em: 31/03/2025 Situação: Quitada Expira em: 30/09/2026</t>
  </si>
  <si>
    <t xml:space="preserve">Patrícia Costa Almeida </t>
  </si>
  <si>
    <t>009.405.115-17</t>
  </si>
  <si>
    <t>DIPLOMAÇÃO POR COMPETÊNCIA - PEDAGOGIA</t>
  </si>
  <si>
    <t>Início: 08/04/2025 Situação: Quitada Expira em: 08/10/2026</t>
  </si>
  <si>
    <t xml:space="preserve">Não encaminhou o trabalho </t>
  </si>
  <si>
    <t>009.405.115-18</t>
  </si>
  <si>
    <t xml:space="preserve">PÓS-GRADUAÇÃO EM ALFABETIZAÇÃO, LETRAMENTO E PSICOPEDAGOGIA
</t>
  </si>
  <si>
    <t>Iniciou em: 28/08/2023 Situação: Quitada Expirou em: 28/12/2024 Contratou extensão: 04/04/2025 - 04/05/2025</t>
  </si>
  <si>
    <t>PPS aprovadas em 22 de maio de 2025</t>
  </si>
  <si>
    <t xml:space="preserve">Soraia Maria Batista Andrade de Sousa
</t>
  </si>
  <si>
    <t xml:space="preserve">807.231.281-20
</t>
  </si>
  <si>
    <t>PPI pré aprovada, PPII precisa de correção.</t>
  </si>
  <si>
    <t>Eliane Dantas Silva</t>
  </si>
  <si>
    <t>662.261.122-04</t>
  </si>
  <si>
    <t>Início: 28/05/2021 Situação: Quitada Expirou em: 28/09/2022 Contratou extensões: 02/01/2024-02/03/2024 - De acordo com valor creio que seja por 2 meses</t>
  </si>
  <si>
    <t>PPII pré aprovada, terá que realizar correções na PPI</t>
  </si>
  <si>
    <t>Marcio Nascimento Paz</t>
  </si>
  <si>
    <t>376.913.252-15</t>
  </si>
  <si>
    <t>Quitada, iniciou em 30/07/2021, contratou reativação em 17/10/2024 por 3 meses e expirou em 17/01/2025</t>
  </si>
  <si>
    <t xml:space="preserve">PPS não estão de acordo com o que pede no guia </t>
  </si>
  <si>
    <t xml:space="preserve">Geraldo Aparecido da Silva
</t>
  </si>
  <si>
    <t>713.828.956-15</t>
  </si>
  <si>
    <t>Quitado no cartão de crédito em 5 parcelas de R$ 199,80. Iniciou em 13/10/2023 e expirou em 13/02/2025</t>
  </si>
  <si>
    <t>713.828.956-16</t>
  </si>
  <si>
    <t xml:space="preserve">Pós-Graduação em Neuropsicopedagogia Institucional, Clínica e Hospitalar 850h
</t>
  </si>
  <si>
    <t>Maria Edilene de Almeida</t>
  </si>
  <si>
    <t xml:space="preserve">034.784.174-06
</t>
  </si>
  <si>
    <t>Pós-graduação em Neuropsicopedagogia (Com base no que a aluna citou)</t>
  </si>
  <si>
    <t>Quitado, iniciou em 15/10/2020 e expirou em 15/02/2022</t>
  </si>
  <si>
    <t>Yhthr rhnder feitosa sobrinho</t>
  </si>
  <si>
    <t>886.788.811-00</t>
  </si>
  <si>
    <t>Quitado, iniciou em 24/09/2023 e expirou em 24/01/2025</t>
  </si>
  <si>
    <t>José Adriano de Lima</t>
  </si>
  <si>
    <t>098.738.744-88</t>
  </si>
  <si>
    <t>Eliã Ambrósio Cândido da Silva</t>
  </si>
  <si>
    <t>279.716.601-97</t>
  </si>
  <si>
    <t>Efetuou o pagamento de 11 parcelas de 16, restando 5 para quitar. Duas estão vencidas. Iniciou em 08/04/2024 e expira em 08/08/2025</t>
  </si>
  <si>
    <t>Resta concluir apenas 1 disciplina</t>
  </si>
  <si>
    <t>Jaqueline de fatima Marcos de Paula</t>
  </si>
  <si>
    <t xml:space="preserve">607.138.286-68
</t>
  </si>
  <si>
    <t>Quitado, iniciou em 02/02/2024 expira 02/06/2025.</t>
  </si>
  <si>
    <t xml:space="preserve">Rodrigo Alexandre Alves
</t>
  </si>
  <si>
    <t>009.141.271-44</t>
  </si>
  <si>
    <t xml:space="preserve">Efetuou o pagamento de 6 parcelas de R$ 183,33, totalizando R$ 1.099,98 (duas parcelas canceladas, iniciou em 02/10/2023 e expirou em 02/02/2025).
</t>
  </si>
  <si>
    <t>Maria Luiza Hespanholo Ricci</t>
  </si>
  <si>
    <t>471.348.008-81</t>
  </si>
  <si>
    <t>Resta somente uma parcela para quitar, iniciou em 02/02/2024 e expira em 02/06/2025</t>
  </si>
  <si>
    <t>Resta concluir 10 disciplinas</t>
  </si>
  <si>
    <t>Andréa Iolanda da Silva</t>
  </si>
  <si>
    <t>671.645.529-91</t>
  </si>
  <si>
    <t>FORMAÇÃO PEDAGÓGICAEM SOCIOLOGIA</t>
  </si>
  <si>
    <t>Efetuou o pagamento de duas parcelas de 4 e está com inadimplência. Iniciou em 15/02/2025 e expira em 15/08/2026.</t>
  </si>
  <si>
    <t xml:space="preserve">FORMAÇÃO PEDAGÓGICA EM LETRAS PORTUGUÊS / INGLÊS - 2024
</t>
  </si>
  <si>
    <t>Quitado no cartão de crédito, iniciou em 28/02/2023, contrtatou extensão teve até 05/06/2025</t>
  </si>
  <si>
    <t>PPI pré aprovada, falta envio da PPII (aguardando analise completa)</t>
  </si>
  <si>
    <t xml:space="preserve">SEGUNDA LICENCIATURA EM MATEMÁTICA - 2024
</t>
  </si>
  <si>
    <t>Quitada, iniciou em 08/05/2024 e expira em 08/09/2025.</t>
  </si>
  <si>
    <t>Alvacy Moreira Pinheiro</t>
  </si>
  <si>
    <t>655.099.515-91</t>
  </si>
  <si>
    <t>Quitada, iniciou em 01/07/2022 e expirou em 01/11/2023</t>
  </si>
  <si>
    <t>Aprovada nas práticas pedagógicas em 19 de dezembro de 2023</t>
  </si>
  <si>
    <t xml:space="preserve">Efetuou o pagamento de 15 parcelas de 99,90 no boleto, totalizando 1.498,50. Iniciou em 04/01/2024 e expirou em 04/05/2025
</t>
  </si>
  <si>
    <t>Resta concluir 9 disciplinas</t>
  </si>
  <si>
    <t>Ana Carla Pereira Sá</t>
  </si>
  <si>
    <t>013.483.005-90</t>
  </si>
  <si>
    <t>Pós-graduação em Metodologia do Ensino Superior nas Várias Modalidades 2022</t>
  </si>
  <si>
    <t>Quitado, iniciou em 02/01/2023 e expirou em 02/05/2024</t>
  </si>
  <si>
    <t>Pedagogia (Nomeclatura não indentificada)</t>
  </si>
  <si>
    <t>Mauro Garritano de Carvalho</t>
  </si>
  <si>
    <t>008.552.927-33</t>
  </si>
  <si>
    <t>Quitado, iniciou em 08/12/2023 e expirou em 08/04/2025</t>
  </si>
  <si>
    <t>Jocerlando Araujo de Souza</t>
  </si>
  <si>
    <t>752.943.464-00</t>
  </si>
  <si>
    <t>Brinde iniciou em 13/03/2023 e expirou em 13/07/2024.</t>
  </si>
  <si>
    <t>Foi reprovado em Formação e Ética do Psicanalista – 30H, faltam 15 disciplinas para concluir.</t>
  </si>
  <si>
    <t xml:space="preserve">Ulsthayley Wandherson Benjamin de Lima
</t>
  </si>
  <si>
    <t>998.655.482-91</t>
  </si>
  <si>
    <t>Quitado, iniciou em 13/06/2022 e expirou em 13/10/2023</t>
  </si>
  <si>
    <t xml:space="preserve">Tiago da Costa Santos </t>
  </si>
  <si>
    <t xml:space="preserve">333.226.858-96 
</t>
  </si>
  <si>
    <t>Quitado, iniciou em 07/08/2023 e expirou em 07/12/2024.</t>
  </si>
  <si>
    <t>PPS pre aprovadas, falta regularizar documentos</t>
  </si>
  <si>
    <t>Tereza da Conceição</t>
  </si>
  <si>
    <t>021.416.821-26</t>
  </si>
  <si>
    <t xml:space="preserve">Pós-Graduação em SECRETARIADO ESCOLAR 600h
</t>
  </si>
  <si>
    <t xml:space="preserve">Quitado, iniciou em 09/02/2024 e expirou em 09/06/2025
</t>
  </si>
  <si>
    <t>Reprovada em 3 disciplinas</t>
  </si>
  <si>
    <t>Quitado, iniciou em 22/01/2024 e expirou em 22/05/2025</t>
  </si>
  <si>
    <t>PPI com plagio e falta PPII</t>
  </si>
  <si>
    <t>Diego Magela Magalhães</t>
  </si>
  <si>
    <t>101.112.336-31</t>
  </si>
  <si>
    <t>Segunda Licenciatura em Educação Física - 1200 horas</t>
  </si>
  <si>
    <t>Quitada, iniciou em 22/01/2024 e expira em 22/05/2025</t>
  </si>
  <si>
    <t>Emerson Carlos Ribeiro</t>
  </si>
  <si>
    <t>307.691.748-09</t>
  </si>
  <si>
    <t>PÓS-GRADUAÇÃO EM DOCÊNCIA DO ENSINO SUPERIOR</t>
  </si>
  <si>
    <t xml:space="preserve">Brinde, iniciou em 19/03/2025 e expira em 19/09/2026
</t>
  </si>
  <si>
    <t xml:space="preserve">Glauber Lúcio Alves Santiago
</t>
  </si>
  <si>
    <t>417.824.962-20</t>
  </si>
  <si>
    <t xml:space="preserve"> Formação Pedagógica em Música - 1200 horas</t>
  </si>
  <si>
    <t>Quitado, iniciou em 09/08/2023 expirou em 09/12/2024.</t>
  </si>
  <si>
    <t>Evandro dos Santos Carlos Nolasco</t>
  </si>
  <si>
    <t>058.102.411-74</t>
  </si>
  <si>
    <t>SEGUNDA LICENCIATURA EM SOCIOLOGIA</t>
  </si>
  <si>
    <t>Quitado. Pelo cartão de crédito, iniciou em 12/03/2025 e expira em 12/07/2026.</t>
  </si>
  <si>
    <t xml:space="preserve">Reprovado em todos os simulados, mas aprovado em todas as avaliações finais. Algumas disciplinas não estão concluídas, pois não está escrito "Yes" na frente.
</t>
  </si>
  <si>
    <t>Dissertação igual a do curso de Filosofia</t>
  </si>
  <si>
    <t xml:space="preserve">José Holanda Venancio Santos
</t>
  </si>
  <si>
    <t xml:space="preserve">885.979.113-87
</t>
  </si>
  <si>
    <t xml:space="preserve">Segunda Licenciatura em Música
</t>
  </si>
  <si>
    <t>Quitada, iniciou 22/11/2022 contratou extensão e expirou em 18/03/2025</t>
  </si>
  <si>
    <t xml:space="preserve"> Entregues e deferidos</t>
  </si>
  <si>
    <t>Pré Aprovado, aguardando analise completa.</t>
  </si>
  <si>
    <t>Raquel Peres de Souza</t>
  </si>
  <si>
    <t>052.163.747-36</t>
  </si>
  <si>
    <t>Início: 06/11/2023 Situação: Em dia, Falta 1 de 14 parcelas Expirou em: 06/03/2025</t>
  </si>
  <si>
    <t>Michel Guilherme Martins Gonçalves</t>
  </si>
  <si>
    <t xml:space="preserve">088.510.339-43
</t>
  </si>
  <si>
    <t xml:space="preserve">Formação Pedagógica em Ciências Sociais
</t>
  </si>
  <si>
    <t>Quitado, iniciou em 06/05/2023 expirou me 06/09/2024 , contratou extensão e está ativo até 06/06/2025</t>
  </si>
  <si>
    <t>Resta somente duas disciplina para concluir</t>
  </si>
  <si>
    <t>Jânia Ferreira Vitor Araujo</t>
  </si>
  <si>
    <t>043.856.486-38</t>
  </si>
  <si>
    <t>Quitada, iniciou em 18/05/2021 contratou extensão e expirou em 26/07/2024</t>
  </si>
  <si>
    <t>Jeferson da Silva</t>
  </si>
  <si>
    <t>069.416.159-40</t>
  </si>
  <si>
    <t>Quitado, iniciou em 21/06/2023 expirou em 21/10/2024.</t>
  </si>
  <si>
    <t xml:space="preserve"> Resta concluir 2 disciplinas</t>
  </si>
  <si>
    <t>Aguardando análise</t>
  </si>
  <si>
    <t>069.416.159-41</t>
  </si>
  <si>
    <t>Quitada, iniciou em 06/10/2023 expirou em 06/02/2025.</t>
  </si>
  <si>
    <t>Caroline da Silva Cezar</t>
  </si>
  <si>
    <t>007.814.460-40</t>
  </si>
  <si>
    <t>Quitado no cartão de credito, iniciou em 14/08/2023  expirou em 14/12/2024.</t>
  </si>
  <si>
    <t>resta concutiu uma disciplina</t>
  </si>
  <si>
    <t>Estagio Aprovado</t>
  </si>
  <si>
    <t xml:space="preserve"> Leandro Maia Ribeiro dos Santos</t>
  </si>
  <si>
    <t>735.319.360-34</t>
  </si>
  <si>
    <t xml:space="preserve">Pós-graduação em Serviço Social 640h
</t>
  </si>
  <si>
    <t>Brinde, iniciou em 14/02/2024 expira em 14/06/2025.</t>
  </si>
  <si>
    <t>Resta 8 disciplinas para concluir</t>
  </si>
  <si>
    <t>Laísa Coelho Gomes</t>
  </si>
  <si>
    <t>105.641.126-07</t>
  </si>
  <si>
    <t>FORMAÇÃO PEDAGÓGICA EM EDUCAÇÃO ESPECIAL- U</t>
  </si>
  <si>
    <t>Quitado, iniciou em 04/11/2023 expirou em 04/03/2025</t>
  </si>
  <si>
    <t>Tais: PPS pré aprovadas, falta documentação para sinalização</t>
  </si>
  <si>
    <t>Ketura delin de Araújo</t>
  </si>
  <si>
    <t>678.932.526-34</t>
  </si>
  <si>
    <t xml:space="preserve">Quitado, iniciou em 11/09/2023 expirou 11/01/2025.
</t>
  </si>
  <si>
    <t xml:space="preserve">Não concluiu nenhuma disciplinas </t>
  </si>
  <si>
    <t>678.932.526-35</t>
  </si>
  <si>
    <t>Brinde, quitado, iniciou em 11/09/2023 expirou 11/01/2025</t>
  </si>
  <si>
    <t xml:space="preserve">resta concluir 5 disciplinas </t>
  </si>
  <si>
    <t>José Erisson Bezerra de lima</t>
  </si>
  <si>
    <t>093.071.344-30</t>
  </si>
  <si>
    <t>Boleto de quitação mais reativação por 3 meses vencido no Assas 867, iniciou em 29/12/2023 expirou em 29/04/2025.</t>
  </si>
  <si>
    <t>Não encaminhou as práticas Pedagógicas.</t>
  </si>
  <si>
    <t>Guilherme Borges de Novais</t>
  </si>
  <si>
    <t>072.023.361-54</t>
  </si>
  <si>
    <t>FORMAÇÃO PEDAGÓGICA EM LETRAS – PORTUGUÊS E ESPANHOL- U</t>
  </si>
  <si>
    <t>Iniciou em: 10/08/2023Situação: Quitado Expirou em: 10/12/2024</t>
  </si>
  <si>
    <t xml:space="preserve">Adilson de Sousa
</t>
  </si>
  <si>
    <t>281.471.368-03</t>
  </si>
  <si>
    <t>Segunda Licenciatura em Música 1320 Hora</t>
  </si>
  <si>
    <t>Quitado, iniciou em 15/05/2023 expirou 15/09/2024.</t>
  </si>
  <si>
    <t>Aprovado na Práticas Pedagógicas via e-mail.</t>
  </si>
  <si>
    <t>361.583.598-07</t>
  </si>
  <si>
    <t>Quitada, iniciou em 05/03/2022 expirou em 05/07/2023.</t>
  </si>
  <si>
    <t xml:space="preserve"> Resta concluir 7 disciplinas </t>
  </si>
  <si>
    <t>Rosane Muchinski Kucarz</t>
  </si>
  <si>
    <t>059.175.889-02</t>
  </si>
  <si>
    <t>#SLEEF- Segunda Licenciatura Educação Física</t>
  </si>
  <si>
    <t>Início: 26/09/2023 Situação: Quitada Expirou em: 26/01/2025</t>
  </si>
  <si>
    <t xml:space="preserve">Selma de oliveira
</t>
  </si>
  <si>
    <t xml:space="preserve">034.338.186-90
</t>
  </si>
  <si>
    <t>Pós-Graduação em Saúde Mental com Ênfase em Dependência Química</t>
  </si>
  <si>
    <t>Quitado, iniciou em 13/09/2023 expirou 13/01/2025.</t>
  </si>
  <si>
    <t xml:space="preserve"> Ivanil Fernandes da silva</t>
  </si>
  <si>
    <t>035.179.727-03</t>
  </si>
  <si>
    <t>Quitada, iniciou 12/05/2020 expirou 12/11/2021.</t>
  </si>
  <si>
    <t xml:space="preserve">resta concluir 7 disciplinas </t>
  </si>
  <si>
    <t>Análise Concluída, Analisando Caso</t>
  </si>
  <si>
    <t xml:space="preserve">Milena Da Silva Albuquerque
</t>
  </si>
  <si>
    <t>008.268.231-30</t>
  </si>
  <si>
    <t>Quitado, iniciou em 05/08/2024 expira em 05/12/2025</t>
  </si>
  <si>
    <t>Aprovado no simulado e avaliação final</t>
  </si>
  <si>
    <t>Marcia de Oliveira Duarte</t>
  </si>
  <si>
    <t>303.213.358-05</t>
  </si>
  <si>
    <t>Brinde Quitada Início: 17/10/2022 Expirou em: 17/02/2024</t>
  </si>
  <si>
    <t>Raquel Soares dos Reis Santos</t>
  </si>
  <si>
    <t>981.864.771-87</t>
  </si>
  <si>
    <t>Início: 10/06/2022 Situação: Quitada Expirou em: 10/10/2023 Extensão: 06/11/2023 - 06/02/2024</t>
  </si>
  <si>
    <t xml:space="preserve">Plágio de 96%, dissertação não tem 4 laudas e falta carta de apresentação. do </t>
  </si>
  <si>
    <t>031.481.992-43</t>
  </si>
  <si>
    <t>Início: 29/08/2023 Situação: Quitado Expirou em: 29/12/2024 Contratou extensão (07/04/2025 - 07/05/2025)</t>
  </si>
  <si>
    <t>PPs pré aprovadas.</t>
  </si>
  <si>
    <t>Eduardo Francisco Sobral da Silva</t>
  </si>
  <si>
    <t>025.974.059-40</t>
  </si>
  <si>
    <t>Iniciou em: 21/12/2022 Situação: Quitado Expirou em: 21/04/2024</t>
  </si>
  <si>
    <t>Analisando Caso</t>
  </si>
  <si>
    <t>Donizete Augusto Lucas</t>
  </si>
  <si>
    <t>068.676.628-89</t>
  </si>
  <si>
    <t>Extensão até 15/03/2024 Quitado</t>
  </si>
  <si>
    <t>Saulo Maciel da Silva</t>
  </si>
  <si>
    <t>149.481.317-33</t>
  </si>
  <si>
    <t xml:space="preserve">Formação Pedagógica em Educação Física </t>
  </si>
  <si>
    <t>Iniciou em: 14/08/2023 Situação: Quitado Expirou em: 14/12/2024 Aluno ativo até 29/05/2025</t>
  </si>
  <si>
    <t>Iniciou em: 02/01/2024 Situação: Quitada Expira em: 02/05/2025 Contratou extensão: 31/03/2025 - 31/04/2025</t>
  </si>
  <si>
    <t>Pré aprovado, aguardando analise completa.</t>
  </si>
  <si>
    <t>Patricia Rodrigues Maran</t>
  </si>
  <si>
    <t>381.714.938-74</t>
  </si>
  <si>
    <t>Início: 02/01/2023 Situação: Quitado Expirou em: 02/05/2024 Contratou extensão e expira em 03-06-2025.</t>
  </si>
  <si>
    <t>Juliana de Oliveira Mendonça da Silva</t>
  </si>
  <si>
    <t>110.177.537-84</t>
  </si>
  <si>
    <t>Iniciou em: 31/03/2023 Situação: Quitado Expirou em: 31/07/2024</t>
  </si>
  <si>
    <t>Resta 10 disciplinas para concluir</t>
  </si>
  <si>
    <t>Brinde, Iniciou em: 31/03/2023 Situação: Quitado Expirou em: 31/07/2024</t>
  </si>
  <si>
    <t>Resta 19 disciplinas para concluir</t>
  </si>
  <si>
    <t>Jonathan Felipe Bressan</t>
  </si>
  <si>
    <t>064.512.759-05</t>
  </si>
  <si>
    <t>Iniciou em: 18/09/2023 Situação: Quitado Expirou em: 18/01/2025 Contratou extensão: 08/04/2025 - 08/05/2025</t>
  </si>
  <si>
    <t>PPs pré aprovadas, aguardando análise</t>
  </si>
  <si>
    <t>Ambrósio Correa de Queiroz Neto</t>
  </si>
  <si>
    <t>054.943.697-90</t>
  </si>
  <si>
    <t>Iniciou em: 24/04/2025 Situação: Quitado no cartão de crédito Expira em: 24/10/2026</t>
  </si>
  <si>
    <t>Berenice de Castro Herculano Silva</t>
  </si>
  <si>
    <t>226.393.438-31</t>
  </si>
  <si>
    <t>Iniciou em: 08/06/2022 Situação: Quitada Expirou em: 08/10/2023 Contratou extensão em: 25/03/2025 - 25/04/2025</t>
  </si>
  <si>
    <t>Clarissa Leite Mendes</t>
  </si>
  <si>
    <t>043.952.366-48</t>
  </si>
  <si>
    <t>Iniciou em: 05/04/2023 Situação: Quitada Expirou em:05/08/2024</t>
  </si>
  <si>
    <t>Brinde (único financeiro encontrado) Iniciou em: 05/04/2023 Situação: Quitada Expirou em:05/08/2024</t>
  </si>
  <si>
    <t>Restam 03 disciplinas para concluir</t>
  </si>
  <si>
    <t>PÓS-GRADUAÇÃO EM EDUCAÇÃO MUSICAL</t>
  </si>
  <si>
    <t>Iniciou em: 17/10/2023 Situação: Quitada Expira em: 17/02/2025 Contratou extensão: 14/03/2025 - 14-09-2025</t>
  </si>
  <si>
    <t>Anilady Cris Godoi</t>
  </si>
  <si>
    <t>Iniciou em: 10/05/2024 Situação: Quitada Expira em: 10/09/2025</t>
  </si>
  <si>
    <t>Raimundo Nonato do Carmo</t>
  </si>
  <si>
    <t>213.688.995-87</t>
  </si>
  <si>
    <t>SEGUNDA LICENÇA EM EDUCAÇÃO FÍSICA</t>
  </si>
  <si>
    <t>Iniciou em: 10/12/2024 Situação: Em dia Expira em: 10/06/2026</t>
  </si>
  <si>
    <t>Sandra Berté</t>
  </si>
  <si>
    <t>722.143.680-00</t>
  </si>
  <si>
    <t xml:space="preserve"> Pós-Graduação em Atendimento Educacional Especializado com ênfase em Educação Especial e Inclusiva.</t>
  </si>
  <si>
    <t>Iniciou em: 29/01/2025 Situação: Em dia Expira em: 29/07/2026</t>
  </si>
  <si>
    <t xml:space="preserve">Renato Gomes De Oliveira </t>
  </si>
  <si>
    <t>702.185.601-68</t>
  </si>
  <si>
    <t>Iniciou em: 08/12/2023 Situação: Quitado Expirou em: 08/04/2025</t>
  </si>
  <si>
    <t>Fernanda Cruz Machado</t>
  </si>
  <si>
    <t>014.003.305-05</t>
  </si>
  <si>
    <t>SEGUNDA LICENÇA EM EDUCAÇÃO FÍSICA - 44M</t>
  </si>
  <si>
    <t>Iniciou em: 21/10/2022 Situação: Quitada Expirou em: 21/02/2024 Contratou extensão: 06/03/2025-06/04/2025</t>
  </si>
  <si>
    <t>Tais: PPS pré aprovadas, falta regularizar documentos.</t>
  </si>
  <si>
    <t>Washington Jesus de Azevedo</t>
  </si>
  <si>
    <t>110.821.047-36</t>
  </si>
  <si>
    <t>Início: 05/10/2023 Situação: Quitado Expirou em: 05/02/2025</t>
  </si>
  <si>
    <t>Rosimeire Ferreira Merval Silva</t>
  </si>
  <si>
    <t>735.318.983-53</t>
  </si>
  <si>
    <t>Iniciou em: 24/10/2023 Situação: Quitada Expirou em: 24/02/2025 Contratou extensão: 28/03/2024-28/04/2024</t>
  </si>
  <si>
    <t>Mariana Marques Perina</t>
  </si>
  <si>
    <t>006.631.141-10</t>
  </si>
  <si>
    <t>Iniciou: 07/04/2025 Situação: Em dia Expira em: 07/10/2026</t>
  </si>
  <si>
    <t>Aguardando análise para auxiliar a aluna</t>
  </si>
  <si>
    <t>Ana Paula de Carvalho Silva Dias Cordeiro</t>
  </si>
  <si>
    <t>279.489.548-64</t>
  </si>
  <si>
    <t>Quitado, iniciou em 03/07/2021 contratou extensão e expirou em 23/12/2023.</t>
  </si>
  <si>
    <t>Terá que reenviar em PDF o estágio, aguardando documentação para sinalizar.</t>
  </si>
  <si>
    <t>Márcia dos Santos da Rosa</t>
  </si>
  <si>
    <t>035.643.841-46</t>
  </si>
  <si>
    <t>Segunda Licenciatura em Pedagógia</t>
  </si>
  <si>
    <t xml:space="preserve">Quitado, iniciou 29/08/2020 expirou em 22/12/2021  </t>
  </si>
  <si>
    <t xml:space="preserve"> Lucas: Falta formatar o trabalho de acordo com as orientações, etapa 1, 2, 3 e 4.  (20/01/2022)</t>
  </si>
  <si>
    <t>Luciana Rodrigues da Conceição</t>
  </si>
  <si>
    <t>093.602.296-52</t>
  </si>
  <si>
    <t xml:space="preserve">Quitado, iniciou em 16/04/2020 reativou o curso e expirou 31/11/2024
</t>
  </si>
  <si>
    <t xml:space="preserve"> encaminhou práticas pedagógicas via e-mail em (27 de jan. de 2023)</t>
  </si>
  <si>
    <t xml:space="preserve"> Fernanda Paula De Castro Pereira</t>
  </si>
  <si>
    <t>086.450.016-59</t>
  </si>
  <si>
    <t>Quitado, iniciou em 06/09/2019 expirou em 29/12/2020.</t>
  </si>
  <si>
    <t>086.450.016-60</t>
  </si>
  <si>
    <t xml:space="preserve">Segunda Licenciatura Letras/Português-Inglês </t>
  </si>
  <si>
    <t>Quitado, iniciou em 21/01/2022 expirou 16/05/2023.</t>
  </si>
  <si>
    <t>Em dia, resta 4 parcelas para quitar iniciou em 05/08/2024 expira em 05/12/2025.</t>
  </si>
  <si>
    <t xml:space="preserve"> Resta 6 disciplina para concluir</t>
  </si>
  <si>
    <t>Tais: Dissertação igual do curso de Sociologia (aguardando análise)</t>
  </si>
  <si>
    <t>Efetuou pagamento14 de 16 parcelas iniciou em 10/10/2023 expirou em  10/02/2025.</t>
  </si>
  <si>
    <t>Diomara dos Santos Pereira</t>
  </si>
  <si>
    <t>016.445.385-71</t>
  </si>
  <si>
    <t>Quitado, iniciou em 26/09/2022 expirou em 26/01/2024.</t>
  </si>
  <si>
    <t>Resta 11 disciplinas para concluir</t>
  </si>
  <si>
    <t>Resta 17 disciplina para concluir</t>
  </si>
  <si>
    <t>Danilo da silva gomes</t>
  </si>
  <si>
    <t>016.444.313-43</t>
  </si>
  <si>
    <t>Quitado, iniciou em 25/11/2022 expirou em 25/03/2024</t>
  </si>
  <si>
    <t>Alexandre Oliveira de Sousa</t>
  </si>
  <si>
    <t>915.097.533-68</t>
  </si>
  <si>
    <t>Quitado, iniciou em 25/09/2023 expirou em 25/01/2025.</t>
  </si>
  <si>
    <t>Nadja Jeane Maria de Jesus Sampaio</t>
  </si>
  <si>
    <t>004.956.795-00</t>
  </si>
  <si>
    <t>Em dia, iniciou em 10/02/2025 expira em 10/06/2026. (recontrato)</t>
  </si>
  <si>
    <t>AGUARDANDO ANEXAR</t>
  </si>
  <si>
    <t>Aguardando envio do TCC</t>
  </si>
  <si>
    <t xml:space="preserve">PÓS-GRADUAÇÃO EM ATENDIMENTO EDUCACIONAL ESPECIALIZADO COM ÊNFASE EM EDUCAÇÃO ESPECIAL E INCLUSIVA
</t>
  </si>
  <si>
    <t xml:space="preserve"> Em dia, iniciou em 29/01/2025 expira em 29/07/2026. </t>
  </si>
  <si>
    <t>Renato Luiz de Oliveira Ferreira</t>
  </si>
  <si>
    <t xml:space="preserve">351.891.425-15
</t>
  </si>
  <si>
    <t>Nada localizado do aluno</t>
  </si>
  <si>
    <t>Fabio Zanussi Mortol</t>
  </si>
  <si>
    <t>245.776.548-06</t>
  </si>
  <si>
    <t>Quitado, iniciou em 14-12-2023 expirou em 14-04-2025 (Recontrato)</t>
  </si>
  <si>
    <t>PPI pré aprovada, falta enviar a PPII (29/05)</t>
  </si>
  <si>
    <t>Diógenes de Oliveira Costa</t>
  </si>
  <si>
    <t xml:space="preserve">812;981;961-91
</t>
  </si>
  <si>
    <t xml:space="preserve">Segunda Licenciatura em Letras Inglês 760 Horas
</t>
  </si>
  <si>
    <t>Quitado, iniciou em 10/08/2022 expirou em 10/12/2023. Contratou extensão e está ativo até 09/06/2025.</t>
  </si>
  <si>
    <t>Ficha de registro sem assinatura, termo de conclusão não está autenticado e precisa completar com 36 horas de gestão as fichas de registro.</t>
  </si>
  <si>
    <t>Marcos de Oliveira Machado</t>
  </si>
  <si>
    <t>032.516.027-99</t>
  </si>
  <si>
    <t>Segunda Licenciatura em Pedagogia - 139m (Instituto Silva)</t>
  </si>
  <si>
    <t>Caroline Voigt</t>
  </si>
  <si>
    <t>045.386.089-39</t>
  </si>
  <si>
    <t>Segunda Licenciatura em Música - 2024</t>
  </si>
  <si>
    <t>Quitado, iniciou 28/07/2023 expirou em 28/11/2024.</t>
  </si>
  <si>
    <t>Concluiu somente uma disciplina</t>
  </si>
  <si>
    <t>PPs pré aprovadas, falta regularizar analise</t>
  </si>
  <si>
    <t xml:space="preserve">370.294.788-43
</t>
  </si>
  <si>
    <t xml:space="preserve">Segunda Licenciatura em Letras – Português e Inglês
</t>
  </si>
  <si>
    <t>Aprovada nas Práticas Pedagógicas</t>
  </si>
  <si>
    <t xml:space="preserve">Pós-Graduação em Neuropsicopedagogia Institucional, Clínica e Hospitalar
</t>
  </si>
  <si>
    <t>Quitada, iniciou em  05/07/2023 contratou extensão e expirou em 10/04/2025Foi liberada até 30/04/2025</t>
  </si>
  <si>
    <t>Aprovada nos estágio</t>
  </si>
  <si>
    <t>Maríuda Lima de Carvalho</t>
  </si>
  <si>
    <t>002.023.791-08</t>
  </si>
  <si>
    <t>Quitada, iniciou em 16/10/2023 expirou 16/02/2025.</t>
  </si>
  <si>
    <t>Resta 13 disciplinas para concluir</t>
  </si>
  <si>
    <t>Joselita Joaquina dos Santos</t>
  </si>
  <si>
    <t>077.102.538-65</t>
  </si>
  <si>
    <t>Inicio: 07/07/2023 Situação: Quitada Expirou em: 07/11/2024 Extensão: 07/01/2025-07/02/2025</t>
  </si>
  <si>
    <t>Inicio: 01/07/2024 Situação: Quitado Expira em: 01/11/2025</t>
  </si>
  <si>
    <t>Aprovada nas Práticas Pedagógicas e TCC</t>
  </si>
  <si>
    <t>Mayara Faria da Silva</t>
  </si>
  <si>
    <t>010.748.410-26</t>
  </si>
  <si>
    <t>Segunda Licenciatura Música</t>
  </si>
  <si>
    <t>Iniciou em: 03/07/2023 Situação: Quitada Expirou em: 08/06/2025 (Extensão)</t>
  </si>
  <si>
    <t>Carla Souza Andrade</t>
  </si>
  <si>
    <t>002.342.455-90</t>
  </si>
  <si>
    <t>Formação Pedagógica em Letras Português/Inglês</t>
  </si>
  <si>
    <t>Iniciou em: 16/01/2025 Situação: Quitada Expira em: 16/07/2026</t>
  </si>
  <si>
    <t>Análise Concluída, Aluno no Setor de Cobrança</t>
  </si>
  <si>
    <t>Gabriela Rosas Brandão</t>
  </si>
  <si>
    <t>039.510.071-25</t>
  </si>
  <si>
    <t>Quitada, expira em: 07-06-2025</t>
  </si>
  <si>
    <t>Ilma Maria do Nascimento</t>
  </si>
  <si>
    <t>107.823.128-10</t>
  </si>
  <si>
    <t>Início: 11/04/2023 Situação: Quitada Expirou em: 11/08/2024</t>
  </si>
  <si>
    <t>Resta 12 disciplinas para concluir</t>
  </si>
  <si>
    <t>Ênio Chrystian Goulart de Oliveira</t>
  </si>
  <si>
    <t>055.169.491-22</t>
  </si>
  <si>
    <t>Pós-graduação em Metodologias Ativas e Tecnologias Educacionais</t>
  </si>
  <si>
    <t>Inicio: 05/05/2023 Situação: Quitado Expirou em: 05/09/2024</t>
  </si>
  <si>
    <t>TCC Aprovado</t>
  </si>
  <si>
    <t>Sérgio Cordeiro</t>
  </si>
  <si>
    <t>770.321.522-87</t>
  </si>
  <si>
    <t>Iniciou em: 27/11/2023 Situação: Quitado Expirou em: 27/03/2025</t>
  </si>
  <si>
    <t>Priscila de Paiva Gonçalves</t>
  </si>
  <si>
    <t>064.704.296-70</t>
  </si>
  <si>
    <t>Inicio: 07/08/2023 Situação: Encontrei faturas vencidas, canceladas Expirou em: 07/12/2024</t>
  </si>
  <si>
    <t>Resta 20 disciplinas para concluir</t>
  </si>
  <si>
    <t>Claudivam Santos Silva</t>
  </si>
  <si>
    <t>280.178.938-09</t>
  </si>
  <si>
    <t>Iniciou em: 20/04/2023 Situação: Quitado Expirou em: 20/08/2024</t>
  </si>
  <si>
    <t>Tiago Silva</t>
  </si>
  <si>
    <t>038.591.173-43</t>
  </si>
  <si>
    <t>Iniciou em: 13/02/2025 Situação: Em dia Expira em: 13/08/2026</t>
  </si>
  <si>
    <t>Aguardando retorno do Guilherme</t>
  </si>
  <si>
    <t>Carol Costa Meis</t>
  </si>
  <si>
    <t>912.957.269-04</t>
  </si>
  <si>
    <t>Iniciou em: 29/09/2022 Situação: Quitada Expirou em: 29/01/2024</t>
  </si>
  <si>
    <t>Gleice Moreira da Silva</t>
  </si>
  <si>
    <t>030.270.446-99</t>
  </si>
  <si>
    <t>Inadimplente, pagou 02 acordos e 1 parcela, mas não está quitada</t>
  </si>
  <si>
    <t>Luciano Silva de Albuquerque</t>
  </si>
  <si>
    <t>075.916.517-30</t>
  </si>
  <si>
    <t>Iniciou em: 22/05/2023 Situação: Quitado Expirou em: 22/09/2024</t>
  </si>
  <si>
    <t>Aquiles Douglas Lucas</t>
  </si>
  <si>
    <t>055.585.986-03</t>
  </si>
  <si>
    <t>Localizado apenas uma parcela paga na data 09/05/2023, valor 129,90</t>
  </si>
  <si>
    <t>708.990.962-04</t>
  </si>
  <si>
    <t>Inicio: 03/02/2025 Situação: Inadimplente Expira em: 03/08/2026</t>
  </si>
  <si>
    <t>Vanessa Soares de Lucena</t>
  </si>
  <si>
    <t>009.402.551-70</t>
  </si>
  <si>
    <t>Cheila Aparecida Amandio Rinaldo</t>
  </si>
  <si>
    <t>065.686.799-09</t>
  </si>
  <si>
    <t>Iniciou em: 05/12/2023 Situação: Quitada Expirou em: 05/05/2025</t>
  </si>
  <si>
    <t>Pós-Graduação em Psicopedagogia Institucional e Clínica</t>
  </si>
  <si>
    <t>Diego Alberto Gheorghiou Angulo Sánchez</t>
  </si>
  <si>
    <t>064.274.429-70</t>
  </si>
  <si>
    <t>Início: 26/12/2022 Situação: Quitado Expirou em: 26/04/2024 Última extensão: 25/07/2024 - 25/09/2024</t>
  </si>
  <si>
    <t>Formação Pedagógica em Letras/Espanhol</t>
  </si>
  <si>
    <t xml:space="preserve">Quitada,  iniciou 23/01/2023 e expirada em 23/05/2024. </t>
  </si>
  <si>
    <t>Adilson de Sousa</t>
  </si>
  <si>
    <t>Brinde, Iniciou em: 15/05/2023 Situação: Quitado Expirou em: 15/09/2024.</t>
  </si>
  <si>
    <t xml:space="preserve">Eleide Laura Silva de Arruda </t>
  </si>
  <si>
    <t>004.332.281-64</t>
  </si>
  <si>
    <t>Inicio: 23/05/2024 Situação: Em dia Expira em: 23/09/2025</t>
  </si>
  <si>
    <t>Resta 08 disciplinas para concluir</t>
  </si>
  <si>
    <t>Daniela Fernanda Guerreiro</t>
  </si>
  <si>
    <t>265.102.568-27</t>
  </si>
  <si>
    <t>Inicio: 04/11/2024 Situação: Inadimplente Expira em: 04/03/2026</t>
  </si>
  <si>
    <t>Thiago Alexandre Gomes Favaris</t>
  </si>
  <si>
    <t>057.885.887-82</t>
  </si>
  <si>
    <t>Formação Pedagógica em Letras Português e Espanhol</t>
  </si>
  <si>
    <t>Iniciou em: 14/02/2024 Situação: Quitado Expira em: 14/06/2025</t>
  </si>
  <si>
    <t>Giliard Antônio Rodrigues</t>
  </si>
  <si>
    <t>065.420.084-03</t>
  </si>
  <si>
    <t>Iniciou em: 02/08/2023 Situação: Inadimplente Expirou em: 02/12/2024</t>
  </si>
  <si>
    <t>Resta 16 disciplinas para concluir</t>
  </si>
  <si>
    <t>Inicio: 04/01/2024 Situação: Quitada Expirou em: 04/05/2025</t>
  </si>
  <si>
    <t>083.659.864-42</t>
  </si>
  <si>
    <t>Resta 14 disciplinas para concluir</t>
  </si>
  <si>
    <t>Rosimeyre Soares Neiva</t>
  </si>
  <si>
    <t>521.952.281-72</t>
  </si>
  <si>
    <t>Segunda Licenciatura em Letras - Português e Inglês</t>
  </si>
  <si>
    <t>Iniciou em: 15/08/2023 Situação: Quitado Expirou em: 15/12/2024 Contratou extensão: 31/01/2025 - 03/03/2025</t>
  </si>
  <si>
    <t>PPS pré aprovadas, aguardando regularizar</t>
  </si>
  <si>
    <t>Elizabeth Forni</t>
  </si>
  <si>
    <t>220.516.918-19</t>
  </si>
  <si>
    <t>Pós-Graduação em Administração Pública</t>
  </si>
  <si>
    <t>Inicio: 16/04/2025 Situação: Quitada no Cartão de Crédito Expira em: 16/10/2026</t>
  </si>
  <si>
    <t>Aureneide Dias de Andrade</t>
  </si>
  <si>
    <t>685.651.354-20</t>
  </si>
  <si>
    <t>Inicio: 20/01/2023 Situação: Quitada Expirou em: 20/05/2024</t>
  </si>
  <si>
    <t>Resta 09 disciplinas para concluir</t>
  </si>
  <si>
    <t>Milton Cardoso de Oliveira Neto</t>
  </si>
  <si>
    <t>999.149.995-49</t>
  </si>
  <si>
    <t>Inicio: 30/01/2023 Situação: Quitado Expirou em: 30/05/2024</t>
  </si>
  <si>
    <t>Resta 01 disciplina para concluir</t>
  </si>
  <si>
    <t>Êndreson Ribeiro da Silva</t>
  </si>
  <si>
    <t>031.179.094-19</t>
  </si>
  <si>
    <t>Iniciou em: 08/05/2023 Situação: Quitado Expirou em: 08/09/2024</t>
  </si>
  <si>
    <t>Andrêssa Cristina Generoso Tripode</t>
  </si>
  <si>
    <t>780.357.401-72</t>
  </si>
  <si>
    <t>Inicio: 26/02/2024 Situação: Quitada no Cartão de Crédito Expira em: 26/06/2025</t>
  </si>
  <si>
    <t>Pós-Graduação em Educação Especial com Ênfase em Transtornos Globais do Desenvolvimento (TGD)</t>
  </si>
  <si>
    <t>Inicio: 02/08/2022 Situação: Quitada Expirou em: 02/12/2023</t>
  </si>
  <si>
    <t xml:space="preserve">Pós-Graduação em Psicopedagogia Clinica, Institucional e Hospitalar </t>
  </si>
  <si>
    <t>Inicio: 30/12/2024 Situação: Em dia Expira em: 30/06/2026</t>
  </si>
  <si>
    <t>Andrei Ferreira Garcia</t>
  </si>
  <si>
    <t>016.166.606-00</t>
  </si>
  <si>
    <t>Inicio: 07/02/2025 Situação: Quitado no cartão de crédito Expira em: 07/08/2026</t>
  </si>
  <si>
    <t>Matheus de Souza Santos</t>
  </si>
  <si>
    <t>861.587.945-11</t>
  </si>
  <si>
    <t>Iniciou em: 01/03/2023 Situação: Inadimplente Expirou em: 01/07/2024</t>
  </si>
  <si>
    <t>Herbert Alessandro de Carvalho Bastos</t>
  </si>
  <si>
    <t>120.662.808-10</t>
  </si>
  <si>
    <t>Sequencial Superior em Segurança Pública e Privada</t>
  </si>
  <si>
    <t>Inicio: 29/01/2025 Situação: Quitado Expira: 29/07/2026</t>
  </si>
  <si>
    <t>Tamiris Freitas do Couto</t>
  </si>
  <si>
    <t>082.752.776-47</t>
  </si>
  <si>
    <t>Inicio: 04/08/2023 Situação: Quitado Expirou em: 04/12/2024</t>
  </si>
  <si>
    <t>Kelly Regina Mastrogiovanni</t>
  </si>
  <si>
    <t>274.337.488-81</t>
  </si>
  <si>
    <t>Inicio: 08/07/2022 Situação: Quitada Expirou em: 08/11/2023 Contratou extensão: 08/11/2023 - 08/12/2023</t>
  </si>
  <si>
    <t>PPs pré aprovadas, falta analise completa</t>
  </si>
  <si>
    <t>Helena Maria Borges do Nascimento</t>
  </si>
  <si>
    <t>495.133.706.15</t>
  </si>
  <si>
    <t>Inicio: 01/11/2024 Situação: Quitada no Cartão de Crédito Expira em: 01/05/2026</t>
  </si>
  <si>
    <t>Falta carta de apresentação</t>
  </si>
  <si>
    <t>Letícia Pereira Peromingo</t>
  </si>
  <si>
    <t>430.862.268-97</t>
  </si>
  <si>
    <t>Inicio: 15/01/2024 Situação: Quitada Expira em: 15/05/2025</t>
  </si>
  <si>
    <t>Rogério de Azevedo Figueira</t>
  </si>
  <si>
    <t>522.358.902-53</t>
  </si>
  <si>
    <t>Inicio: 25/07/2023 Situação: Quitado Expirou em: 25/11/2024 Extensão: 22/11/2024-22/12/2024</t>
  </si>
  <si>
    <t>Inicio: 17/08/2022 Situação: Quitado Expirou em: 17/12/2023</t>
  </si>
  <si>
    <t>Igor da Silva Bernardo</t>
  </si>
  <si>
    <t>10.558.882-25</t>
  </si>
  <si>
    <t>Início: 24/02/2025 Situação: Quitado no Cartão de Credito Expira em: 24/08/2026</t>
  </si>
  <si>
    <t>Inicio: 11/07/2022 Situação: Quitada Expirou em: 11/11/2023 Contratou extensão e estará ativa até: 17-06-2025</t>
  </si>
  <si>
    <t>Inicio: 27/08/2024 Situação: Quitada Expira em: 27/12/2025</t>
  </si>
  <si>
    <t>Ronald José de Lima Albuquerque</t>
  </si>
  <si>
    <t>046.932.684-02</t>
  </si>
  <si>
    <t>Inicio: 17/04/2025 Situação: Quitado no Cartão de Crédito Expira em: 17/10/2026</t>
  </si>
  <si>
    <t>Katiucia Severino da Silva Lottermann</t>
  </si>
  <si>
    <t>001.337.851-14</t>
  </si>
  <si>
    <t xml:space="preserve">Segunda Licenciatura em Artes Visuais </t>
  </si>
  <si>
    <t xml:space="preserve">Inicio: 13/09/2024 Situação: Quitada Expira em: 13/01/2026 </t>
  </si>
  <si>
    <t>Michele Gomes da Costa Silvério</t>
  </si>
  <si>
    <t>055.415.685-79</t>
  </si>
  <si>
    <t>Pós-Graduação em Educação Especial 720Horas</t>
  </si>
  <si>
    <t>Inicio: 15/08/2023 Situação: Quitada Expirou em: 15/12/2024</t>
  </si>
  <si>
    <t>Resta 15 disciplinas para concluir</t>
  </si>
  <si>
    <t>Janaína Marchioretto Mella</t>
  </si>
  <si>
    <t>004.912.910-43</t>
  </si>
  <si>
    <t>Segunda Licenciatura em Letras Português - Espanhol</t>
  </si>
  <si>
    <t>Inicio 09/03/2025 Situação: Quitada Expira em: 09/07/2026</t>
  </si>
  <si>
    <t>Falta realizar todos simulados</t>
  </si>
  <si>
    <t>Rejany Almeida Cruz</t>
  </si>
  <si>
    <t>009.327.536-63</t>
  </si>
  <si>
    <t>Inicio: 21/07/2023 (primeira contratação) Aluna pagou 3 de16 parcelas, realizou acordo e pagou 2 de 8 parcelas</t>
  </si>
  <si>
    <t>Resta 05 disciplinas para concluir</t>
  </si>
  <si>
    <t>Aline Correa da Gama</t>
  </si>
  <si>
    <t>007.608.530-96</t>
  </si>
  <si>
    <t>Inicio: 21/10/2023 Situação: Quitada Pagou extensão e ficou ativa até 17/04/25</t>
  </si>
  <si>
    <t>Werber Carlos da Silveira Freitas</t>
  </si>
  <si>
    <t>085.071.424-94</t>
  </si>
  <si>
    <t>Pós-Graduação em Autismo</t>
  </si>
  <si>
    <t>Início: 26/02/2024 Situação: Quitado Expira: 26/06/2025</t>
  </si>
  <si>
    <t>Bárbara Espindola Conzatti</t>
  </si>
  <si>
    <t>019.297.130-10</t>
  </si>
  <si>
    <t>Inicio: 21/10/2022 Situação: Quitada Expirou em: 21/02/2024 Contratou extensão em: 31/10/2024 - 31/11/2024</t>
  </si>
  <si>
    <t>Resta 02 disciplinas para concluir</t>
  </si>
  <si>
    <t>Inicio: 26/02/2024 Situação: Quitado Expira em: 26/06/2025</t>
  </si>
  <si>
    <t>Aluno encaminhou um TCE na simple (08/04/2024)</t>
  </si>
  <si>
    <t>Marceli da Silva Eugênio</t>
  </si>
  <si>
    <t>062.158.338-35</t>
  </si>
  <si>
    <t>Inicio: 20/12/2022 Situação: Pagou apenas 08 parcelas Expirou em: 20/04/2024</t>
  </si>
  <si>
    <t>675.879.683-34</t>
  </si>
  <si>
    <t>Inicio: 25/09/2023 Situação: Quitado Expira em: 25/01/2025</t>
  </si>
  <si>
    <t>Adenilton dos Reis Lima</t>
  </si>
  <si>
    <t>722.227.352-20</t>
  </si>
  <si>
    <t>Rafaela Salles Alves Pradella</t>
  </si>
  <si>
    <t>446.090.668-66</t>
  </si>
  <si>
    <t>Inicio: 12/03/2024 Situação: Quitado no Cartão de Credito Expira em: 12/07/2025</t>
  </si>
  <si>
    <t>PPS pré Aprovadas, falta nome completo da aluna na carta de apresentação</t>
  </si>
  <si>
    <t>James Souza da Cruz</t>
  </si>
  <si>
    <t>961.652.862-91</t>
  </si>
  <si>
    <t>Inicio: 06/11/2023 Situação: Pagou apenas 4 parcelas Expira em: 06/03/2025</t>
  </si>
  <si>
    <t>Ivani de Oliveira Saraiva</t>
  </si>
  <si>
    <t>665.533.002-59</t>
  </si>
  <si>
    <t>Inicio: 02/02/2024 Situação: Quitada Expira: 02/06/2025</t>
  </si>
  <si>
    <t>Tais: PPI ok, entrevista ok, falta mandar carta de apresentação (falta documentação para sinalização)</t>
  </si>
  <si>
    <t>Uilton Santos Souza</t>
  </si>
  <si>
    <t>057.285.165-05</t>
  </si>
  <si>
    <t>Inicio: 26/12/2023 Situação: pagou 04 de 16 parcelas Expirou em: 26/04/2025</t>
  </si>
  <si>
    <t>Francieli de Freitas Silva</t>
  </si>
  <si>
    <t>021.445.581-59</t>
  </si>
  <si>
    <t>Inicio: 30/09/2024 Situação: Pagou 05 de 12 parcelas, inadimplente Expira em: 30/01/2026</t>
  </si>
  <si>
    <t>Iara Lázara Batista de Souza</t>
  </si>
  <si>
    <t>034.818.771-88</t>
  </si>
  <si>
    <t>Inicio: 11/08/2023 Situação: Quitada Expira: 11/12/2024 Contratou extensão: 24/01/2025 - 24/04/2025</t>
  </si>
  <si>
    <t>Fernanda Pereira Tonhá</t>
  </si>
  <si>
    <t>050.583.805-28</t>
  </si>
  <si>
    <t>(EDUCA+) Formação Pedagógica em Ciências Sociais- 760 horas 2022</t>
  </si>
  <si>
    <t>Inicio: 16/11/2022 Situação: Quitada Expirou em:16/03/2024</t>
  </si>
  <si>
    <t>Junio César Oliveira Martins</t>
  </si>
  <si>
    <t>063.739.426-78</t>
  </si>
  <si>
    <t>Inicio: 04/09/2024 Situação: Quitado no Cartão de Crédito Expira em: 04/01/2026</t>
  </si>
  <si>
    <t>Antônio Cezar Pedrosa de Oliveira</t>
  </si>
  <si>
    <t>019.901.344-67</t>
  </si>
  <si>
    <t>Inicio: 25/09/2024 Situação: Quitado no cartão de crédito Expira em: 25/01/2026</t>
  </si>
  <si>
    <t>Ademilson Jose Francisco</t>
  </si>
  <si>
    <t>258.543.378-19</t>
  </si>
  <si>
    <t xml:space="preserve"> Inicio: 11/05/2023 Situação: Não está quitada, pois pagou 11/12 parcelas Expira em: 11/09/2024</t>
  </si>
  <si>
    <t>Breno Sozinho Pinheiro</t>
  </si>
  <si>
    <t>036.281.722-76</t>
  </si>
  <si>
    <t>Quitado, expira em: 15/05/2025</t>
  </si>
  <si>
    <t>Fernanda Ferreira Chaves</t>
  </si>
  <si>
    <t>005.178.152-22</t>
  </si>
  <si>
    <t>Inicio: 05/12/2022 Situação: Pagou 7 parcelas, porém uma equivale a 3 Expirou em: 05/04/2024</t>
  </si>
  <si>
    <t>Silvia Maria da Rocha Nascimento</t>
  </si>
  <si>
    <t>684.676.563-87</t>
  </si>
  <si>
    <t xml:space="preserve">Inicio: 06/03/2024 Situação: Quitado Expira em: 06/07/2025 </t>
  </si>
  <si>
    <t xml:space="preserve">Reginaldo José Nogueira Prado </t>
  </si>
  <si>
    <t>145.741.758-85</t>
  </si>
  <si>
    <t>Inicio: 16/12/2022 Situação: Pagou 11 de 16 parcelas Expirou em: 16/04/2024</t>
  </si>
  <si>
    <t>Pós-Graduação em Metodologia do Ensino da Matemática</t>
  </si>
  <si>
    <t xml:space="preserve">Formação Livre em Psicanálise </t>
  </si>
  <si>
    <t>Brinde, Iniciou em: 03/07/2023 Situação: Quitado Expirou em: 03/11/2024 Extensão: (01/04/2025 - 01/05/2025)</t>
  </si>
  <si>
    <t>Alexandre Sabbagh Benetti</t>
  </si>
  <si>
    <t>145.814.338-43</t>
  </si>
  <si>
    <t>Inicio: 14/09/2023 Situação: Quitado Expirou em: 14/01/2025</t>
  </si>
  <si>
    <t>Rosalita Ferreira Melo</t>
  </si>
  <si>
    <t>565.368.521-68</t>
  </si>
  <si>
    <t>Inicio: 09/11/2021 Situação: Quitada Expira em: 09/03/2023 Contratou extensão e estava ativa até: 19/04/2025</t>
  </si>
  <si>
    <t xml:space="preserve">Aprovada no estagio remoto antigo </t>
  </si>
  <si>
    <t xml:space="preserve">Eurico de Assis Cardoso </t>
  </si>
  <si>
    <t xml:space="preserve">006.458.949-82 </t>
  </si>
  <si>
    <t>Inicio: 12/07/2024 Situação: Inadimplente Expira em: 12/11/2025</t>
  </si>
  <si>
    <t>Moara Cristina Silva dos Santos de Mattos</t>
  </si>
  <si>
    <t>091.497.656-71</t>
  </si>
  <si>
    <t>Inicio: 12/05/2020 Situação: Quitada Expirou em: 12/09/2021</t>
  </si>
  <si>
    <t>No drive secretaria 01 tem uma pasta de documentos da aluna</t>
  </si>
  <si>
    <t>Localizado um TCE remoto</t>
  </si>
  <si>
    <t>na data 21/04/2022 há uma TAXA DE ENVIO DO CORREIO - SEDEX Pelo que localizei a aluna não recebeu o Diploma, mas localizei o certificado e histórico no drive secretaria 01</t>
  </si>
  <si>
    <t>Gest. Es. Int com Enf. em Super. (Nomenclatura encontrada)</t>
  </si>
  <si>
    <t>Brinde, Inicio: 12/05/2020 Situação: Quitada Expirou em: 12/09/2021</t>
  </si>
  <si>
    <t>Pelo que localizei a aluna está no livro 002 FL156 N° 309/21</t>
  </si>
  <si>
    <t>Marcos Klabunde</t>
  </si>
  <si>
    <t>613.370.139-00</t>
  </si>
  <si>
    <t>Inicio: 11/10/2023 Situação: Quitado Expirou em: 11/02/2025</t>
  </si>
  <si>
    <t>Lidiene Cristina de Oliveira Santos</t>
  </si>
  <si>
    <t>036.822.986-65</t>
  </si>
  <si>
    <t>Inicio: 22/09/2023 Situação: Quitada Expirou em: 22/01/2025</t>
  </si>
  <si>
    <t>Alexsiane: pp, primeira etapa está igual o guia de orientações, aluna deve alterar.  Etapa 2 ok</t>
  </si>
  <si>
    <t>Não corrigido, devido a pendências</t>
  </si>
  <si>
    <t>Michelle Lima de Souza</t>
  </si>
  <si>
    <t>302.467.598-10</t>
  </si>
  <si>
    <t>Pós-Graduação em Saúde Mental</t>
  </si>
  <si>
    <t>Inicio: 01/02/2024 Situação: Quitada Expira em: 01/06/2025</t>
  </si>
  <si>
    <t>Pós-Graduação em Psicologia Clínica</t>
  </si>
  <si>
    <t>Fernanda Ferreira Lima</t>
  </si>
  <si>
    <t>748.883.822-04</t>
  </si>
  <si>
    <t>Inicio: 02/02/2024 Situação: Quitada Expira em: 02/06/2025</t>
  </si>
  <si>
    <t>Inicio: 08/01/2024 Situação: Quitado Expirou em: 08/05/2025</t>
  </si>
  <si>
    <t>Quitado, expirou em 27/04/2025</t>
  </si>
  <si>
    <t>Alberto Damas da Silva</t>
  </si>
  <si>
    <t>780.112.807-91</t>
  </si>
  <si>
    <t xml:space="preserve"> Inicio: 18/12/2023 Situação: encontrei apenas 08 parcelas, todas pagas Expirou em: 18/04/2025</t>
  </si>
  <si>
    <t>Resta 01 disciplinas para concluir</t>
  </si>
  <si>
    <t>Hebertt Willianns Borges Ferreira</t>
  </si>
  <si>
    <t>019.177.021-32</t>
  </si>
  <si>
    <t>Inicio: 03/02/2025 Situação: Em dia Expira em: 03/08/2026</t>
  </si>
  <si>
    <t>PPs pré aprovadas, aguardando documentação para sinalizar.</t>
  </si>
  <si>
    <t>Quitada, expira em: 04/06/2025</t>
  </si>
  <si>
    <t>Resta 04 disciplinas para concluir</t>
  </si>
  <si>
    <t>Tais: PPI não possui as 4 laudas exigidas e falta mandar carta de apresentação (falta documentação)</t>
  </si>
  <si>
    <t>Quitada, expirou em 10/05/2025</t>
  </si>
  <si>
    <t>Jorge Luiz Pais</t>
  </si>
  <si>
    <t>746.284.539-34</t>
  </si>
  <si>
    <t>Inicio: 07/05/2024 Situação: Quitado Expira em: 07/09/2025</t>
  </si>
  <si>
    <t>Rafael de Oliveira Orlof</t>
  </si>
  <si>
    <t>220.673.808-26</t>
  </si>
  <si>
    <t>Inicio: 16/08/2023 Situação: Quitado Expirou em: 16/12/2024</t>
  </si>
  <si>
    <t>Inicio: 05/09/2023 Situação: Inadimplente Expirou em: 05/01/2025</t>
  </si>
  <si>
    <t>Pendente de correção (Informação passada pela Alana)</t>
  </si>
  <si>
    <t>Gabriela Aguiar Seole</t>
  </si>
  <si>
    <t>459.087.678-75</t>
  </si>
  <si>
    <t>Segunda Licenciatura em Letras Português - Inglês</t>
  </si>
  <si>
    <t>Inicio: 11/11/2024 Situação: Quitada Expira em: 11/05/2026</t>
  </si>
  <si>
    <t>Lusandro Lima Lopes</t>
  </si>
  <si>
    <t>961.116.071-20</t>
  </si>
  <si>
    <t>Inicio: 11/09/2023 Situação: Inadimplente Expirou em: 11/01/2025</t>
  </si>
  <si>
    <t xml:space="preserve">Waldiney Rodrigues Romão </t>
  </si>
  <si>
    <t>271.304.968-78</t>
  </si>
  <si>
    <t>Inicio: 25/03/2025 Situação: Quitado no cartão de crédito Expira em: 25/09/2026</t>
  </si>
  <si>
    <t>Viviane de Oliveira Arantes Cardoso</t>
  </si>
  <si>
    <t>276.720.848-10</t>
  </si>
  <si>
    <t>Inicio: 22/11/2023 Situação: Inadimplente, pagou 02 de 14 parcelas Expirou em: 22/03/2025</t>
  </si>
  <si>
    <t>Jhonathan Antonny de Sousa Santos Machado</t>
  </si>
  <si>
    <t>106.244.894-42</t>
  </si>
  <si>
    <t>Inicio: 28/10/2024 Situação: Quitado no Cartão de Crédito Expira em: 28/02/2026</t>
  </si>
  <si>
    <t>PPS aprovadas e TCC aprovado</t>
  </si>
  <si>
    <t>Dassayew Klelwin de Vasconcelos Rocha</t>
  </si>
  <si>
    <t>012.911.092-26</t>
  </si>
  <si>
    <t>Inicio: 28/06/2023 Situação: Inadimplente Expirou em:28/10/2024.</t>
  </si>
  <si>
    <t>Vivian Nara Bracco Luccas</t>
  </si>
  <si>
    <t>312.772.778-00</t>
  </si>
  <si>
    <t>Inicio: 22/11/2022 Situação: A verificar, pois a mesma tem pago 13 parcelas Expirou em: 22/03/2024</t>
  </si>
  <si>
    <t>Aline Fernanda Simiano Ribeiro</t>
  </si>
  <si>
    <t>080.834.399-83</t>
  </si>
  <si>
    <t>Inicio: 22/01/2025 Situação: Inadimplente Expira em: 22/07/2026</t>
  </si>
  <si>
    <t>Adriana Marilda Figueira</t>
  </si>
  <si>
    <t>858.445.009-20</t>
  </si>
  <si>
    <t>Inicio: 27/01/2025 Situação: Quitada Expira em:  27/07/2026</t>
  </si>
  <si>
    <t>Falta carta de apresentação.</t>
  </si>
  <si>
    <t>Christianno Ikemiyashiro</t>
  </si>
  <si>
    <t>966.532.481-00</t>
  </si>
  <si>
    <t>Início: 08/09/2023 Situação Inadimplente, pagou 02 de 16 parcelas Expirou em: 08/01/2025</t>
  </si>
  <si>
    <t>TCC pré aprovado, nao mandou Praticas Pedagógicas</t>
  </si>
  <si>
    <t>Aislan Marreiro de Melo Cavalcante</t>
  </si>
  <si>
    <t>846.113.593-87</t>
  </si>
  <si>
    <t>Inicio: 20/11/2023 Situação: Quitado Expirou em: 20/03/2025</t>
  </si>
  <si>
    <t>Carlos Roberto Pereira Rodrigues</t>
  </si>
  <si>
    <t>720.176.191-91</t>
  </si>
  <si>
    <t>Inicio: 24/07/2023 Pagou 10 de 16 parcelas Expirou em: 24/11/2024</t>
  </si>
  <si>
    <t>420.500.028-66</t>
  </si>
  <si>
    <t>Quitado, expirou em: 30/04/2025</t>
  </si>
  <si>
    <t>Quitado, expirou em: 07/05/2025.</t>
  </si>
  <si>
    <t>Aprovada via email em 20 de maio de 2025</t>
  </si>
  <si>
    <t>Carlândia Alves da Silva</t>
  </si>
  <si>
    <t>673.337.612-15</t>
  </si>
  <si>
    <t>Inicio: 06/09/2024 Situação: Quitada no Cartão de Crédito Expira em: 06/01/2026</t>
  </si>
  <si>
    <t>Túlio Arcelino de Almeida Silva</t>
  </si>
  <si>
    <t>076.104.985-13</t>
  </si>
  <si>
    <t>Inicio: 05/03/2025 Situação: Quitado no Cartão de Crédito Expira em: 05/09/2026</t>
  </si>
  <si>
    <t>Arlete Tavares Duarte</t>
  </si>
  <si>
    <t>281.280.728-89</t>
  </si>
  <si>
    <t>Inicio: 07/10/2024 Situação: Em dia Expira em: 07/02/2026</t>
  </si>
  <si>
    <t>Entrevista ok, não preencheu carta de apresentação e nem dados do aluno e falta a PPI. Aguardando analise completa</t>
  </si>
  <si>
    <t>Financeiro da aluna está com o nome: Arlete Tavares Dutra</t>
  </si>
  <si>
    <t>Maione Vieira Teixeira Souza</t>
  </si>
  <si>
    <t>976.335.695-49</t>
  </si>
  <si>
    <t>Inicio: 05/01/2024 Situação: Quitada Expirou em: 05/05/2025</t>
  </si>
  <si>
    <t>907.372.619-00</t>
  </si>
  <si>
    <t>Inicio: 27/03/2023 Situação: Quitada Expirou em: 27/07/2024</t>
  </si>
  <si>
    <t>Falta encaminhar as PPs com as correções</t>
  </si>
  <si>
    <t>Wmarley Antônio Pedro Martins</t>
  </si>
  <si>
    <t>440.597.361-04</t>
  </si>
  <si>
    <t>Inicio: 01/04/2025 Situação: Quitado no Cartão de Crédito Expira em: 01/10/2026</t>
  </si>
  <si>
    <t>666.579.201-30</t>
  </si>
  <si>
    <t>Quitado, expirou em 18/01/2025</t>
  </si>
  <si>
    <t>Só encaminhou TCC, faltam as PPs</t>
  </si>
  <si>
    <t>Brinde, Inicio: 02/08/2022 Situação: Quitada Expirou em: 02/12/2023</t>
  </si>
  <si>
    <t>Maria de Lourdes de Jesus</t>
  </si>
  <si>
    <t>013.571.646-29</t>
  </si>
  <si>
    <t>Não localizada Nomenclatura</t>
  </si>
  <si>
    <t>Inicio: 23/11/2021 Situação: Quitada Expirou em: 23/03/2023 Contratou Extensão: (04/10/2023 - 04/01/2024)</t>
  </si>
  <si>
    <t>Ben-Hail Harrison Guimarães</t>
  </si>
  <si>
    <t>694.741.332-04</t>
  </si>
  <si>
    <t>Formação Pedagógica em Letras - Inglês</t>
  </si>
  <si>
    <t>Inicio: 09/02/2022 Situação: Pagou 14 de 15 parcelas Expirou em: 09/06/2023 Contratou extensão: (05/07/2024 - 05/08/2024)</t>
  </si>
  <si>
    <t>Pelo guru declaração de experiencia válida (Júnio)</t>
  </si>
  <si>
    <t xml:space="preserve">Nivaldo dos Santos Pereira Júnior </t>
  </si>
  <si>
    <t>490.257.831-04</t>
  </si>
  <si>
    <t>Inicio: 31/07/2023 Situação: Quitado Expirou em: 30/11/2024</t>
  </si>
  <si>
    <t>PPs pré aprovadas (aguardando regularizar disciplinas e documentos).</t>
  </si>
  <si>
    <t>Resta 06 disciplinas para concluir</t>
  </si>
  <si>
    <t xml:space="preserve">Igor Magalhães da Silva </t>
  </si>
  <si>
    <t>034.083.492-74</t>
  </si>
  <si>
    <t>Inicio em 28 abril de 2025 Parcela de 10x 229,84 no cartão de crédito</t>
  </si>
  <si>
    <t>Gezer Neris</t>
  </si>
  <si>
    <t xml:space="preserve">299.340.818-65
</t>
  </si>
  <si>
    <t>Inicio: 22/04/2025 Situação: Quitado no Cartão de Crédito Expira em: 22/08/2026</t>
  </si>
  <si>
    <t>Inicio: 07/02/2025 Situação: Quitada no cartão de crédito Expira em: 07/08/2026</t>
  </si>
  <si>
    <t>PPs pré-aprovadas, aguardando análise (data de envio: 01 de maio de 2025)</t>
  </si>
  <si>
    <t>Diordan Ramon Pinheiro Santos</t>
  </si>
  <si>
    <t>036.331.432-62</t>
  </si>
  <si>
    <t>Inicio: 23/08/2024 Situação: Pagou 01 de 05 parcelas e tem um boleto de quitação cancelado Expira em: 23/12/2025</t>
  </si>
  <si>
    <t>PPs pré-aprovadas, aguardando análise (data de envio: 08 de dezembro de 2024)</t>
  </si>
  <si>
    <t>Inicio: 26/02/2024 Situação: Quitada no cartão de crédito Expira em: 26/06/2025</t>
  </si>
  <si>
    <t>Quitada, Expira em: 25/04/2025 (extensão contratada)</t>
  </si>
  <si>
    <t>Plágio de 70% na PPI, PPII ok, aguardando regularizar documentos.</t>
  </si>
  <si>
    <t>705.339.604-52</t>
  </si>
  <si>
    <t>Inicio: 04/09/2023 Situação: Quitado Expirou em: 04/01/2025</t>
  </si>
  <si>
    <t>Correção, aguardando documento para sinalização</t>
  </si>
  <si>
    <t>Inicio: 24/09/2022 Situação: Quitado Expirou em: 24/01/2024</t>
  </si>
  <si>
    <t>Aline Gomes Egeli</t>
  </si>
  <si>
    <t>016.753.557-33</t>
  </si>
  <si>
    <t>Inicio: 23/01/2019 Situação: Quitado Expirou em: 23/05/2020</t>
  </si>
  <si>
    <t>Inicio: 16/06/2023 Situação: Quitado Expirou em: 16/10/2024</t>
  </si>
  <si>
    <t>PPs encaminhadas depois da expiração: 18/10/2024</t>
  </si>
  <si>
    <t>José Deilson Moreira da Silva</t>
  </si>
  <si>
    <t>688.049.385-87</t>
  </si>
  <si>
    <t>Inicio: 16/01/2025 Situação: Quitado Expira em: 16/07/2026</t>
  </si>
  <si>
    <t>Fez 01 de 10 simulados - Não aprovado</t>
  </si>
  <si>
    <t xml:space="preserve">Fabiano Achilles de Souza Braga </t>
  </si>
  <si>
    <t>044.970.346-07</t>
  </si>
  <si>
    <t>Inicio: 01/07/2021 Situação: Quitado Expirou em: 01/11/2022</t>
  </si>
  <si>
    <t>Financeiro sem descrição, a nomenclatura do curso foi dada de acordo com informações passadas pelo aluno</t>
  </si>
  <si>
    <t>Clenilda Bergamasqui Lima</t>
  </si>
  <si>
    <t>311.936.068-61</t>
  </si>
  <si>
    <t>Inicio: 10/02/2025 Situação: Quitada Expira em: 10/08/2026</t>
  </si>
  <si>
    <t>Aprovado (email 01/07/2025)</t>
  </si>
  <si>
    <t>Leonildo Ferreira do Nascimento</t>
  </si>
  <si>
    <t>223.879.138-84</t>
  </si>
  <si>
    <t>Inicio: 04/02/2025 Situação: Quitado no cartão de crédito Expira em: 04/08/2026</t>
  </si>
  <si>
    <t>Vanessa da Silva Costa</t>
  </si>
  <si>
    <t>015.481.265-00</t>
  </si>
  <si>
    <t>Inicio: 25/05/2022 Situação: Quitada Expirou em: 25/09/2023</t>
  </si>
  <si>
    <t>Aluna possui uma taxa de troca de curso, a primeira descrição se refere ao curso de Sexologia, mas aluna informa que é psicanálise, creio que houve esta troca.</t>
  </si>
  <si>
    <t>Walber Jonatas da Silva Mata</t>
  </si>
  <si>
    <t>718.370.511-00</t>
  </si>
  <si>
    <t>Inicio: 01/04/2024 Situação: Pagou 07 de 16 parcelas Expira em:  01/08/2025</t>
  </si>
  <si>
    <t>Inicio: 12/03/2025 Situação: Quitado Expira em: 12/09/2026</t>
  </si>
  <si>
    <t>Não aprovado, não realizou/assistiu todos materiais, somente fez simulado e avaliação final</t>
  </si>
  <si>
    <t>Claudia Teresa Romualdo da Silva</t>
  </si>
  <si>
    <t>070.845.228-08</t>
  </si>
  <si>
    <t>Inicio: 22/11/2022 Situação: Quitada Expirou em: 22/03/2024</t>
  </si>
  <si>
    <t>Inicio: 19/01/2024 Situação: Quitada Expirou em: 19/05/2025</t>
  </si>
  <si>
    <t>Kelly Lima Cerqueira Baltazar</t>
  </si>
  <si>
    <t>357.545.908-81</t>
  </si>
  <si>
    <t>Inicio: 28/07/2022 Situação: Quitada Expirou em: 28/11/2023</t>
  </si>
  <si>
    <t>Reprovada em 06 disciplinas</t>
  </si>
  <si>
    <t>Rodrigo Kucarz</t>
  </si>
  <si>
    <t>047.909.849-23</t>
  </si>
  <si>
    <t>Inicio: 20/09/2023 Situação: Pagou 03 de 16 parcelas Expirou em: 20/01/2025</t>
  </si>
  <si>
    <t>Resta 07 disciplinas para concluir</t>
  </si>
  <si>
    <t>Dejivane Marla Lúcia dos Santos</t>
  </si>
  <si>
    <t>097.732.496-62</t>
  </si>
  <si>
    <t>Inicio: 06/12/2023 Situação: Quitado Expirou em: 06/04/2025</t>
  </si>
  <si>
    <t>Laís Vargas Ramm</t>
  </si>
  <si>
    <t>032.563.900-05</t>
  </si>
  <si>
    <t>Inicio: 30/10/2023 Situação: Quitada Expirou em: 29/02/2025</t>
  </si>
  <si>
    <t>Jôsy Michelly Ferreira da Costa</t>
  </si>
  <si>
    <t>Pós-Graduação em MBA em Gestão Social</t>
  </si>
  <si>
    <t>Inicio: 19/05/2023 Situação: Quitada Expira em: 19/09/2024</t>
  </si>
  <si>
    <t>Claudiana de Paula Pepino</t>
  </si>
  <si>
    <t>090.017.766-71</t>
  </si>
  <si>
    <t>Inicio: 16/02/2024 Situação: Quitada Expira em: 16/06/2025</t>
  </si>
  <si>
    <t>Maurício Fernando dos Santos Imbroisi</t>
  </si>
  <si>
    <t>039.258.874-90</t>
  </si>
  <si>
    <t>Tecnólogo Psicomotricidade e Ludicidade na Educação Infantil</t>
  </si>
  <si>
    <t>Inicio: 30/09/2023 Situação: Pagou 01 de 18 parcelas Expirou em: 30/01/2025</t>
  </si>
  <si>
    <t>Inicio: 10/10/2023 Situação: Quitada Expira em: 10/06/2025 (contratou extensão)</t>
  </si>
  <si>
    <t>PPS pré-aprovadas (envio: 21/11/2024)</t>
  </si>
  <si>
    <t>Gisele Barbosa de Sousa</t>
  </si>
  <si>
    <t>125.584.627-50</t>
  </si>
  <si>
    <t>Inicio: 16/06/2023 Situação: Pagou 07 de 16 parcelas Expirou em: 16/10/2024</t>
  </si>
  <si>
    <t>Tauana Livia Coró</t>
  </si>
  <si>
    <t>338.993.448-04</t>
  </si>
  <si>
    <t>Inicio: 18/09/2023 Situação: Quitada Expirou em: 18/01/2025</t>
  </si>
  <si>
    <t>Resta 03 disciplinas para concluir</t>
  </si>
  <si>
    <t>Inicio: 19/02/2025 Situação: Quitado no Cartão de Crédito Expira em: 19/08/2026</t>
  </si>
  <si>
    <t>PPs pré aprovadas</t>
  </si>
  <si>
    <t>Início</t>
  </si>
  <si>
    <t>Modalidade</t>
  </si>
  <si>
    <t>Plataforma</t>
  </si>
  <si>
    <t>Tutoria</t>
  </si>
  <si>
    <t>Felipe Nazário da Silva</t>
  </si>
  <si>
    <t>074.168.709-76</t>
  </si>
  <si>
    <t>Segunda Licenciatura</t>
  </si>
  <si>
    <t>Entregue e Deferida</t>
  </si>
  <si>
    <t>Aprovado em todas disciplinas</t>
  </si>
  <si>
    <t>PPI ok, falta envio da PPII</t>
  </si>
  <si>
    <t>Inicio: 10/03/2023 Situação: Quitada Expirou em: 03/05/2025 (extensão)</t>
  </si>
  <si>
    <t>PPI ok, falta envio da PPII, aguardando documentação para sinalizar</t>
  </si>
  <si>
    <t>Divino Cesario da Silva</t>
  </si>
  <si>
    <t>045.188.836-75</t>
  </si>
  <si>
    <t>Inicio: 14/05/2020 Situação: Quitado (gentileza conferir) Expirou em: 14/09/2021</t>
  </si>
  <si>
    <t>Renata Moreira Goulart da Silveira Guerra</t>
  </si>
  <si>
    <t>574.058.837-53</t>
  </si>
  <si>
    <t>Inicio: 22/12/2023 Situação: Quitada Expirou em: 22/04/2025</t>
  </si>
  <si>
    <t>Vinicius Barros Noman</t>
  </si>
  <si>
    <t>126.977.116-78</t>
  </si>
  <si>
    <t>Ensino Fundamental e Médio</t>
  </si>
  <si>
    <t>EJA</t>
  </si>
  <si>
    <t>Inicio: 30/04/2025 Situação: Quitado</t>
  </si>
  <si>
    <t>Atividades pré aprovadas, falta documentação</t>
  </si>
  <si>
    <t>Yana Valena Fernandes Nicácio</t>
  </si>
  <si>
    <t>031.762.122-08</t>
  </si>
  <si>
    <t>Pós-Graduação</t>
  </si>
  <si>
    <t>Ensino de Geografia</t>
  </si>
  <si>
    <t>João Pedro Amorim de Oliveira Araújo</t>
  </si>
  <si>
    <t>114.501.706-17</t>
  </si>
  <si>
    <t>Formação Pedagógica</t>
  </si>
  <si>
    <t>Inicio: 14/02/2023 Situação: Quitado Expirou em: 14/06/2024 Contratou extensão: (20/05/2025 - 20/06/2025)</t>
  </si>
  <si>
    <t>Resta concluir 01 disciplina</t>
  </si>
  <si>
    <t>PPI ok, falta enviar a PPII.</t>
  </si>
  <si>
    <t>Jefferson da Costa Rato</t>
  </si>
  <si>
    <t>262.038.008-13</t>
  </si>
  <si>
    <t>Educação Física</t>
  </si>
  <si>
    <t xml:space="preserve">Inicio: 06/02/2025 Situação: Quitado no Cartão de Crédito Expira em: 06/08/2026 </t>
  </si>
  <si>
    <t>Aprovado via email em 2 de julho de 2025</t>
  </si>
  <si>
    <t>Cintia Carla Natale Purisco Alves</t>
  </si>
  <si>
    <t>320.967.148-69</t>
  </si>
  <si>
    <t>Inicio: 08/05/2024 Situação: Encontrei apenas 3 parcelas, dando um total de R$ 1.219,60 Expira em:  08/09/2025</t>
  </si>
  <si>
    <t>História</t>
  </si>
  <si>
    <t>Rafaela Macedo de Araújo</t>
  </si>
  <si>
    <t>015.078.382-55</t>
  </si>
  <si>
    <t>Neuropsicologia Clínica</t>
  </si>
  <si>
    <t>Inicio: 23/10/2022 Situação: Quitado Expirou em: 06/05/2025 (estendeu)</t>
  </si>
  <si>
    <t>Em análise (recebimento: 20/05/2025)</t>
  </si>
  <si>
    <t>Gineide Barbosa dos Santos</t>
  </si>
  <si>
    <t>045.791.717-21</t>
  </si>
  <si>
    <t>Formação Livre</t>
  </si>
  <si>
    <t>Inicio: 26/07/2023 Situação: Quitada Expirou em: 26/11/2024</t>
  </si>
  <si>
    <t>Lais Pinheiro Assumpção</t>
  </si>
  <si>
    <t>345.237.068-24</t>
  </si>
  <si>
    <t>Psicologia Educacional</t>
  </si>
  <si>
    <t>Inicio: 08/01/2024 Situação: Quitada Expira em: 08/05/2025</t>
  </si>
  <si>
    <t>Inicio: 27/02/2024 Situação: Quitado Expira em: 27/06/2025</t>
  </si>
  <si>
    <t>PPI reprovado, não tem 4 laudas de dissertação e falta a PPII (Recebimento: 23/05/2025)</t>
  </si>
  <si>
    <t>Márcia Pires de Almeida Santos</t>
  </si>
  <si>
    <t>010.391.961-95</t>
  </si>
  <si>
    <t>Inicio: 24/01/2023 Situação: Quitada Expira em: 27/06/2025 (contratou extensão)</t>
  </si>
  <si>
    <t>Terá que realizar correções nas Praticas.</t>
  </si>
  <si>
    <t>Ruana Beth de Almeida</t>
  </si>
  <si>
    <t>129.821.847-02</t>
  </si>
  <si>
    <t>Em Atendimento Educacional Especializado Ênfase em Educação Especial e Inclusiva</t>
  </si>
  <si>
    <t>Inicio: 12/06/2024 Situação: Quitada Expira em:12/10/2025</t>
  </si>
  <si>
    <t>Sonia Izabel Forcelli</t>
  </si>
  <si>
    <t>089.651.148-02</t>
  </si>
  <si>
    <t>Inicio: 10/10/2022 Situação: Pagou 14 de 16 parcelas Expirou em: 10/02/2024</t>
  </si>
  <si>
    <t>Giancarlo Lucena dos Santos</t>
  </si>
  <si>
    <t>659.791.094-04</t>
  </si>
  <si>
    <t>Geografia</t>
  </si>
  <si>
    <t>Inicio: 10/01/2024 Situação: Quitado Expira em: 06/06/2025</t>
  </si>
  <si>
    <t>PPI pré-aprovada, falta o envio da PPII, aguardando documentação para sinalizar (curso expirado)</t>
  </si>
  <si>
    <t>659.791.094-05</t>
  </si>
  <si>
    <t>Brinde, Inicio: 10/01/2024 Situação: Quitada Expira em: 06/06/2025</t>
  </si>
  <si>
    <t>Resta concluir 09 disciplinas</t>
  </si>
  <si>
    <t>Graziele Damaceno de Azevedo</t>
  </si>
  <si>
    <t>056.223.167-66</t>
  </si>
  <si>
    <t>Inicio: 13/04/2023 Situação: Pagou 14 de 16 parcelas (há uma parcela unificando várias) Expirou em: 13/08/2024</t>
  </si>
  <si>
    <t>Bianca Clemencia Teixeira da Silva de Freitas</t>
  </si>
  <si>
    <t>Inicio: 07/11/2024 Situação: Quitada no Cartão de Crédito Expira em: 07/03/2026.</t>
  </si>
  <si>
    <t>PPS pré-aprovadas, aguardando documentação</t>
  </si>
  <si>
    <t>Neuropsicanálise Clínica</t>
  </si>
  <si>
    <t>Inicio: 15/12/2023 Situação: Quitada Expirou em: 15/04/2025</t>
  </si>
  <si>
    <t>Renata Vilhena Lisboa de Almeida</t>
  </si>
  <si>
    <t>004.045.392-89</t>
  </si>
  <si>
    <t>Sexologia</t>
  </si>
  <si>
    <t>Inicio: 15/12/2022 Situação: Pagou 13 parcelas (verificar se foi alguma promoção) Expirou em: 15/04/2024</t>
  </si>
  <si>
    <t>Aluna encaminhou os documentos via e-mail fiz um drive com os documentos</t>
  </si>
  <si>
    <t>Thiago Alexandre Gomes Fávaris</t>
  </si>
  <si>
    <t>Em Letras– Português e Espanhol</t>
  </si>
  <si>
    <t>Arteterapia</t>
  </si>
  <si>
    <t>Inicio: 05/03/2025 Situação: Quitada no Cartão de Crédito Expira em: 05/09/2026</t>
  </si>
  <si>
    <t xml:space="preserve">Termo de conclusão sem autenticação, trabalho sem referencias e não possui as 80h. </t>
  </si>
  <si>
    <t>Saara Vieira de Souza Bastos</t>
  </si>
  <si>
    <t>031.927.897-27</t>
  </si>
  <si>
    <t>Inicio: 13/09/2023 Situação: Pagou 08 de 16 parcelas Expirou em: 13/01/2025</t>
  </si>
  <si>
    <t>Concluiu apenas 01 disciplina</t>
  </si>
  <si>
    <t>Dannielle Harumi de Lucena Babachinas</t>
  </si>
  <si>
    <t>224.228.538-62</t>
  </si>
  <si>
    <t>Sem Nomenclatura Definida</t>
  </si>
  <si>
    <t>Inicio: 23/11/2022 Situação: Quitada Expirou em: 23/03/2024</t>
  </si>
  <si>
    <t>Aluna possui um Diploma de Curso Sequencial - Curso Superior de Formação Específica em Administração de Recursos Humanos</t>
  </si>
  <si>
    <t>Angelica Alves Machado</t>
  </si>
  <si>
    <t>094.472.646-11</t>
  </si>
  <si>
    <t>Inicio: 22/05/2023 Situação: Pagou 03 de 16 parcelas Expirou em: 22/09/2024</t>
  </si>
  <si>
    <t>097.077.167-38</t>
  </si>
  <si>
    <t>Brinde, Inicio: 22/01/2024 Situação: Quitado Expirou em: 22/05/2025</t>
  </si>
  <si>
    <t>Angela Maria Rosa Barrnabe</t>
  </si>
  <si>
    <t>162.099.312-00</t>
  </si>
  <si>
    <t>Diplomação por Competência</t>
  </si>
  <si>
    <t>Inicio: 05/04/2025 Situação: Em dia Expira em: 05/08/2026</t>
  </si>
  <si>
    <t>Alana: Enviou apenas Comprovação de Experiência (Pré-Aprovado), aguardando envio da Avaliação Prática e do retorno da análise, falta documentação</t>
  </si>
  <si>
    <t>Eduarda Carlos de Lima</t>
  </si>
  <si>
    <t>080.886.686-97</t>
  </si>
  <si>
    <t>Inicio: 27/01/2023 Situação: Quitada Expirou em: 27/05/2024</t>
  </si>
  <si>
    <t>não está na planilha de Pedagogia</t>
  </si>
  <si>
    <t>Paulo Henrique Ferreira da Silva</t>
  </si>
  <si>
    <t>049.223.261-03</t>
  </si>
  <si>
    <t>Inicio: 23/02/2023 Situação: Inadimplente Expirou em: 23/06/2024</t>
  </si>
  <si>
    <t>Júnio: Remoto antigo - 12,8% plágio, faltam 19 planos de aula e declaração de experiência não foi válida.// Alexsiane: aprono no pp 15/07/24 (informações da planilha de tutoria)</t>
  </si>
  <si>
    <t>088.510.339-43</t>
  </si>
  <si>
    <t>Ciências Sociais</t>
  </si>
  <si>
    <t>Quitado, expirou em 06/06/2025</t>
  </si>
  <si>
    <t>Aprovado via email em 11 de junho de 2025</t>
  </si>
  <si>
    <t>Ana kely Barbosa de Amorim</t>
  </si>
  <si>
    <t>010.246.774-94</t>
  </si>
  <si>
    <t>Inicio: 13/05/2020 Situação: Quitada Expirou em: 27/12/2024 (Extensão)</t>
  </si>
  <si>
    <t>Inicio: 26/09/2023 Situação: Quitada Expirou em: 28/05/2025 (Extensão)</t>
  </si>
  <si>
    <t>Tais: Entrevista ok, falta PPI e carta de apresentação. falta documentação para sinalização</t>
  </si>
  <si>
    <t>Laissa Cordennuzzi Zitei de Melo</t>
  </si>
  <si>
    <t>363.632.168-42</t>
  </si>
  <si>
    <t>Inicio: 19/06/2023 Situação: Quitada Expirou em: 19/10/2024</t>
  </si>
  <si>
    <t>Bryan Januário Silva</t>
  </si>
  <si>
    <t>019.233.606-12</t>
  </si>
  <si>
    <t>Inicio: 15/03/2024 Situação: Em dia Expira em: 15/07/2025</t>
  </si>
  <si>
    <t>Resta concluir 13 disciplinas</t>
  </si>
  <si>
    <t>José Jozimar de Holanda</t>
  </si>
  <si>
    <t>040.194.793-99</t>
  </si>
  <si>
    <t>Inicio: 09/05/2023 Situação: Quitado Expira em: 09/09/2024</t>
  </si>
  <si>
    <t>Resta concluir 07 disciplinas</t>
  </si>
  <si>
    <t>Juliana Lisboa de Oliveira</t>
  </si>
  <si>
    <t xml:space="preserve">	075.397.334-03</t>
  </si>
  <si>
    <t>Inicio: 08/08/2023 Situação: Pagou 06 de 16 parcelas Expirou em: 08/12/2024</t>
  </si>
  <si>
    <t>Rafael Ramos da Silva Dantas</t>
  </si>
  <si>
    <t>062.939.744-92</t>
  </si>
  <si>
    <t>Inicio: 27/02/2025 Situação: Quitado no cartão de crédito Expira em: 27/08/2026.</t>
  </si>
  <si>
    <t>Ana Paula Ferreira Santos Soares</t>
  </si>
  <si>
    <t>832.271.725-34</t>
  </si>
  <si>
    <t>Inicio: 10/02/2023 Expirou: 10/06/2024 Não quitado.</t>
  </si>
  <si>
    <t>Em análise</t>
  </si>
  <si>
    <t>611.819.191-34</t>
  </si>
  <si>
    <t>Neuropsicopedagogia Institucional, Clínica e Hospitalar</t>
  </si>
  <si>
    <t>Início: 31/08/2021 Expirou em: 30/01/2024 Quitada</t>
  </si>
  <si>
    <t>Edneya Aparecida da Silva</t>
  </si>
  <si>
    <t>292.314.328-00</t>
  </si>
  <si>
    <t>Inicio: 01/12/2023 Situação: Quitada Expirou em: 01/04/2025</t>
  </si>
  <si>
    <t>Sociologia</t>
  </si>
  <si>
    <t>Inicio: 05/09/2023 Situação: Quitado Expirou em: 05/01/2025</t>
  </si>
  <si>
    <t>PPS pré-aprovadas, aguardando disciplinas para sinalização</t>
  </si>
  <si>
    <t>Mônica Alves de Almeida</t>
  </si>
  <si>
    <t>257.493.888-75</t>
  </si>
  <si>
    <t>Inicio: 01/11/2022 Situação: Pagou 14 de 16 parcelas Expirou em: 01/03/2024</t>
  </si>
  <si>
    <t>Talvez a aluna esteja na simple, porém não consigo acessar, sendo assim não poderei ser assertiva em relação a plataforma e documentação.</t>
  </si>
  <si>
    <t>Nubia Cristina Souza Nunes</t>
  </si>
  <si>
    <t>264.491.292-04</t>
  </si>
  <si>
    <t>Início: 10/12/2021 Expirou: 10/09/2023 Quitado</t>
  </si>
  <si>
    <t>Thamyres Cristina Souza Nunes</t>
  </si>
  <si>
    <t>Inicio: 26/01/2022 Expirou em: 26/05/2023 Quitado</t>
  </si>
  <si>
    <t>Tiago Silva Nascimento</t>
  </si>
  <si>
    <t>060.571.491-65</t>
  </si>
  <si>
    <t>Inicio: 27/01/2025 Situação: Quitado Expira em: 27/07/2026</t>
  </si>
  <si>
    <t>Resta concluir 05 simulados</t>
  </si>
  <si>
    <t>Hilda Ferreira Sousa</t>
  </si>
  <si>
    <t>618.835.221-53</t>
  </si>
  <si>
    <t>Quitada, expirou em: 10/03/2025 (Extensão)</t>
  </si>
  <si>
    <t>Claiton Tavares Reinhardt</t>
  </si>
  <si>
    <t>585.889.060-15</t>
  </si>
  <si>
    <t>Musicoterapia</t>
  </si>
  <si>
    <t>Inicio: 19/02/2025 Situação: Quitado Expira em: 19/08/2026</t>
  </si>
  <si>
    <t>Aprovado via email 02/07/2025</t>
  </si>
  <si>
    <t>Kátia Regina Generoso Cotta</t>
  </si>
  <si>
    <t>Inicio: 12/02/2024 Situação: Pagou 13 de 16 parcelas Expirou em: 12/06/2025</t>
  </si>
  <si>
    <t>Inicio: 12/02/2024 Situação: Pagou 14 de 16 parcelas Expirou em: 12/06/2025</t>
  </si>
  <si>
    <t>Artes Visuais</t>
  </si>
  <si>
    <t>Inicio: 21/08/2024 Situação: Pagou 06 de 12 parcelas Expirou em: 21/12/2025</t>
  </si>
  <si>
    <t>Douglas e Silva Rodrigues</t>
  </si>
  <si>
    <t>129.448.447.84</t>
  </si>
  <si>
    <t>Letras Português - Libras</t>
  </si>
  <si>
    <t>Inicio: 05/03/2025 Situação: Quitado no Cartão de Crédito Expira em:  05/09/2026</t>
  </si>
  <si>
    <t>Vanessa Rodrigues Alves</t>
  </si>
  <si>
    <t>078.184.096-10</t>
  </si>
  <si>
    <t>Inicio: 06/10/2022 Situação: Quitada Expirou em: 06/02/2024</t>
  </si>
  <si>
    <t>Tais: PPS aprovadas via email 30-06-2025</t>
  </si>
  <si>
    <t>Letras Português/Inglês</t>
  </si>
  <si>
    <t>Inicio: 15/01/2024 Situação: Quitada Expira em: 26/06/2025</t>
  </si>
  <si>
    <t>Quitada, expira em 28/06/2025</t>
  </si>
  <si>
    <t>PPII ok, PPI plágio de 91%</t>
  </si>
  <si>
    <t>Paulo Henrique Gonçalves dos Santos</t>
  </si>
  <si>
    <t>312.366.788-00</t>
  </si>
  <si>
    <t>Marivalda de Cassia Almeida Mendes Soares</t>
  </si>
  <si>
    <t>619.333.179-49</t>
  </si>
  <si>
    <t>Neuropsicologia</t>
  </si>
  <si>
    <t>Inicio: 14/10/2022 Situação: Quitada Expirou em: 14/02/2024</t>
  </si>
  <si>
    <t>Inicio: 17/10/2022 Situação: Quitado Expirou em: 17/02/2024.</t>
  </si>
  <si>
    <t xml:space="preserve">Estagio de 200h aprovado </t>
  </si>
  <si>
    <t>Izael Viana de Brito</t>
  </si>
  <si>
    <t>051.898.666-70</t>
  </si>
  <si>
    <t>Inicio: 09/01/2025 Situação: Em dia Expira em: 09/07/2026</t>
  </si>
  <si>
    <t>Falta a Quitação Eleitoral TSE</t>
  </si>
  <si>
    <t>Edineia Januaria de Oliveira</t>
  </si>
  <si>
    <t>036.594.786-52</t>
  </si>
  <si>
    <t>Inicio: 30/01/2025 Situação: Quitada Expira em: 30/07/2026</t>
  </si>
  <si>
    <t>Aprovado, aguardando documentação para sinalização</t>
  </si>
  <si>
    <t>Débora Rodrigues dos Santos</t>
  </si>
  <si>
    <t>155.002.866-92</t>
  </si>
  <si>
    <t>Inicio: 30/01/2025 Situação: Em dia Expira em: 30/07/2026</t>
  </si>
  <si>
    <t>Falta os documentos do Ens. Médio</t>
  </si>
  <si>
    <t>Educação Musical Inovadora</t>
  </si>
  <si>
    <t xml:space="preserve">Catarina Laboher Cavalcante Soares Bandeira </t>
  </si>
  <si>
    <t>901.670.404-30</t>
  </si>
  <si>
    <t>Neuropsicopedagogia Institucional</t>
  </si>
  <si>
    <t>Inicio: 30/07/2020 Situação: Quitada Expirou em: 16/08/2023 (Extensão)</t>
  </si>
  <si>
    <t>Diana Vasconcelos Da Rocha</t>
  </si>
  <si>
    <t>065.007.684-26</t>
  </si>
  <si>
    <t>Inicio: 23/12/2021 Situação: Quitada Expirou em: 06/12/2023</t>
  </si>
  <si>
    <t>Tamires Silva Rodrigues</t>
  </si>
  <si>
    <t>701.346.991-22</t>
  </si>
  <si>
    <t>Inicio: 31/01/2024 Situação: Quitada Expirou em: 31/05/2025</t>
  </si>
  <si>
    <t>O compr. de endereço que conste filiação, e a quitação eleitoral TSE, estão no e-mail da documentação</t>
  </si>
  <si>
    <t xml:space="preserve">Fabíola Manoela Simões de Alcantara </t>
  </si>
  <si>
    <t>704.205.654-00</t>
  </si>
  <si>
    <t>Inicio: 31/08/2021 Situação: Quitada Expirou em: 31/01/2024</t>
  </si>
  <si>
    <t>Resta concluir 14 disciplinas</t>
  </si>
  <si>
    <t>48% plágio, falta carta de apresentação, termo de conclusão, deve especificar tambem de forma diaria  o tipo de acompanhamento. completar com mais 30 horas e colocar as atividades realizadas nos dia 30/09 e 30/08.</t>
  </si>
  <si>
    <t>Falta o Tít. de Eleitor, falta a quitação Eleit. atualizado</t>
  </si>
  <si>
    <t>Fabiana Francisco Anselme Mesquita</t>
  </si>
  <si>
    <t>097.989.507-39</t>
  </si>
  <si>
    <t>Quitada, iniciou em 08/04/2025 e expira 08/08/2026</t>
  </si>
  <si>
    <t>Quitada, expira em 09/08/2025</t>
  </si>
  <si>
    <t>Aline Conceição de Barros de Oliveira</t>
  </si>
  <si>
    <t>021.226.060-02</t>
  </si>
  <si>
    <t>Inicio: 10-01-2023 Situação: Quitada Expirou: 10-05-2024</t>
  </si>
  <si>
    <t>Lorran Burin Dantas de Figueiredo</t>
  </si>
  <si>
    <t>016.021.241-32</t>
  </si>
  <si>
    <t>Engenharia e Segurança do Trabalho</t>
  </si>
  <si>
    <t>Inicio: 07/12/2022 Situação: Quitado Expirou em: 07/04/2024</t>
  </si>
  <si>
    <t>Fernanda Paula de Castro Pereira</t>
  </si>
  <si>
    <t>Inicio: 18/01/2021 Situação: Quitada Expirou : 18/05/2022</t>
  </si>
  <si>
    <t>Conferido a documentação de dispensa e validado, assim recebeu email de aprovação em 11/06/2025</t>
  </si>
  <si>
    <t>Inicio: 14/09/2022 Situação: Quitada Expirou em: 14/01/2024.</t>
  </si>
  <si>
    <t>Inicio: 06/09/2019 Situação: Quitada Expirou em: 29/05/2025</t>
  </si>
  <si>
    <t>Inicio: 22/01/2024 Situação: Quitado Expira em: 11/07/2025</t>
  </si>
  <si>
    <t>Plágio de 30% na PPI, falta enviar PPII</t>
  </si>
  <si>
    <t>Reijane Salazar Costa</t>
  </si>
  <si>
    <t>357.507.378-37</t>
  </si>
  <si>
    <t>Pedagogia para bachareis</t>
  </si>
  <si>
    <t>Análise Concluída, Falta Documentação, Falta Plataforma</t>
  </si>
  <si>
    <t>Iniciou em 20/03/2025 expira em 20/07/2026. Aluno falta 10 parcelas para quitar(Atrasado)</t>
  </si>
  <si>
    <t>Educação Musical</t>
  </si>
  <si>
    <t>Quitado, iniciou em 02/10/2023 e expirou em 02/02/2025 contrtou um extensão por um mês e expirou dia 27/06/2025</t>
  </si>
  <si>
    <t>Quitado, Iniciou em 09/12/2024 e expira dia 09/04/2026</t>
  </si>
  <si>
    <t>Educação especial</t>
  </si>
  <si>
    <t>Mirielza Silva de Lima</t>
  </si>
  <si>
    <t>Fabíola Manoela Simões de Alcantara</t>
  </si>
  <si>
    <t>Análise Concluída, Falta Financeiro, Falta Tutoria, Falta Plataforma</t>
  </si>
  <si>
    <t>Ana Carolina Pereira de Sousa Valadares</t>
  </si>
  <si>
    <t>052.572.741-83</t>
  </si>
  <si>
    <t xml:space="preserve">Quitada, iniciou em 02/12/2023 e expirou 02/04/2025 </t>
  </si>
  <si>
    <t>Marat Rodrigues de Sousa</t>
  </si>
  <si>
    <t>Gestão Educacional</t>
  </si>
  <si>
    <t>Quitada. iniciou dia 09/11/2024 expira dia 09/03/2026</t>
  </si>
  <si>
    <t>Aprovada via email e educhat dia 02 de julho de 2025</t>
  </si>
  <si>
    <t>Gene Gladson Andrade de Santana</t>
  </si>
  <si>
    <t>VANESSA BENSA DE OLIVEIRA NEVES</t>
  </si>
  <si>
    <t>Psicopedagogia</t>
  </si>
  <si>
    <t>José Aparecido Mendes</t>
  </si>
  <si>
    <t>063.034.054-44</t>
  </si>
  <si>
    <t>Ensino de Matemática</t>
  </si>
  <si>
    <t>Jânia Ferreira Vitor Araújo</t>
  </si>
  <si>
    <t>Keila Rafaela Cupertino de Oliveira</t>
  </si>
  <si>
    <t>114.118.546-67</t>
  </si>
  <si>
    <t>Marco Túlio De Abreu</t>
  </si>
  <si>
    <t>Inspeção escolar</t>
  </si>
  <si>
    <t>Ronald José de Lima Alburquerque</t>
  </si>
  <si>
    <t>Danilo Moura dos Santos</t>
  </si>
  <si>
    <t>011830701-01</t>
  </si>
  <si>
    <t xml:space="preserve">Taís: Plágio de 16%, trabalho sem referencias, falta PPII. Aguardando análise para sinalização. </t>
  </si>
  <si>
    <t>Ronaldo Silva Damasceno</t>
  </si>
  <si>
    <t>Adriano Carlos Pinheiro de Marcondes</t>
  </si>
  <si>
    <t>271829378-08</t>
  </si>
  <si>
    <t>Anacelia da Silva Brito</t>
  </si>
  <si>
    <t>Tais: PPS aprovadas, aguardando análise para sinalização</t>
  </si>
  <si>
    <t>Marivaldo José do Nascimento</t>
  </si>
  <si>
    <t>Inicio: 31/01/2024  Expirou em: 31/05/2025 Quitado</t>
  </si>
  <si>
    <t>Charles Albert Figueiredo Silva</t>
  </si>
  <si>
    <t>803.116.282-49</t>
  </si>
  <si>
    <t>Cintia carla natale purisco Alves</t>
  </si>
  <si>
    <t>História e Matemática</t>
  </si>
  <si>
    <t>Quitada nos dois cursos em 04/06/2025 expira em 08/09/2025</t>
  </si>
  <si>
    <t xml:space="preserve">Já certificada em pedagogia. A aluna possui reclamação aberta relacionada ao estágio, que foi realizado na área de Letras, embora o curso em questão tenha sido Pedagogia. </t>
  </si>
  <si>
    <t>Rosa  Neiva Streit</t>
  </si>
  <si>
    <t>694.629.680-04</t>
  </si>
  <si>
    <t>MAYCKEL KRENZLIN</t>
  </si>
  <si>
    <t>003.418.829-09</t>
  </si>
  <si>
    <t>Tais: PPS pré aprovadas, falta analise completa</t>
  </si>
  <si>
    <t>Ciência da Religião</t>
  </si>
  <si>
    <t xml:space="preserve">Elaine teste de automação </t>
  </si>
  <si>
    <t>Rosinéia Gonçalves de Souza</t>
  </si>
  <si>
    <t>026.518.551-38</t>
  </si>
  <si>
    <t>PÓS-GRADUAÇÃO EM PSICOPEDAGOGIA INSTITUCIONAL E CLÍNICA</t>
  </si>
  <si>
    <t>Pós de brinde do curso de Pedagogia</t>
  </si>
  <si>
    <t>Falta 3 disciplinas para concluir</t>
  </si>
  <si>
    <t>Thays Cristina Pereira Rodrigues</t>
  </si>
  <si>
    <t>PÓS-GRADUAÇÃO EM DIREITO EDUCACIONAL</t>
  </si>
  <si>
    <t>075.947.488-59</t>
  </si>
  <si>
    <t>Caio Vechini Ferreira</t>
  </si>
  <si>
    <t>Raoni Azedo Germano da Silva</t>
  </si>
  <si>
    <t>Mediana, Analisando Caso</t>
  </si>
  <si>
    <t>Jorge Luiz Nunes</t>
  </si>
  <si>
    <t xml:space="preserve">Quitado e contratou 3 meses de extensão em março de 2025 vencendo em 5 de junho, mas solicitou certificação antes </t>
  </si>
  <si>
    <t>TCC é opcional e não encontrei envio</t>
  </si>
  <si>
    <t>Altair Bueno</t>
  </si>
  <si>
    <t>Jefferson Cardoso de Lima</t>
  </si>
  <si>
    <t>018.213.014-20</t>
  </si>
  <si>
    <t>Ana Eva Araújo Barros</t>
  </si>
  <si>
    <t>Neuropsicopedagogia</t>
  </si>
  <si>
    <t>Sarah Estevão da Costa Teixeira</t>
  </si>
  <si>
    <t>Início Certificação</t>
  </si>
  <si>
    <t>Data Prevista Certificado</t>
  </si>
  <si>
    <t>Data da Entrega Certificado</t>
  </si>
  <si>
    <t>Diploma</t>
  </si>
  <si>
    <t>JEANE CARVALHO DE MENEZES</t>
  </si>
  <si>
    <t>Daiane Regina stolberg wzorek</t>
  </si>
  <si>
    <t>Romulo Pereira Cabral</t>
  </si>
  <si>
    <t>Ensino de Literatura e Produção de Textos em Língua Espanhola</t>
  </si>
  <si>
    <t>Rosani Gonçalves de Rosa</t>
  </si>
  <si>
    <t>Luciana Dias Leal Toledo</t>
  </si>
  <si>
    <t>Selma  de Souza Rodrigues Rocha</t>
  </si>
  <si>
    <t>Maria Julimara de Souza</t>
  </si>
  <si>
    <t>085.786.874-85</t>
  </si>
  <si>
    <t>Língua Portuguesa, Redação e Oratória</t>
  </si>
  <si>
    <t>Artur Charczuk</t>
  </si>
  <si>
    <t>931331700-15</t>
  </si>
  <si>
    <r>
      <rPr>
        <rFont val="Josefin Sans"/>
        <color rgb="FF000000"/>
        <sz val="11.0"/>
      </rPr>
      <t>M</t>
    </r>
    <r>
      <rPr>
        <rFont val="Josefin Sans"/>
        <color rgb="FF000000"/>
        <sz val="11.0"/>
      </rPr>
      <t>aria Aparecida Silva</t>
    </r>
  </si>
  <si>
    <t>Maria da Conceição Pereira</t>
  </si>
  <si>
    <t>505.748.845-72</t>
  </si>
  <si>
    <t xml:space="preserve">Quitada, iniciou em 10/06/2022 e expirou dia 10/10/2023 </t>
  </si>
  <si>
    <t>Rodrigo Alves</t>
  </si>
  <si>
    <t>(31) 7502-4506</t>
  </si>
  <si>
    <t>André Leão Neto</t>
  </si>
  <si>
    <t>Carilina Fernanda de Faria Leite</t>
  </si>
  <si>
    <t>Ricardo Augusto de Lima Fenerick</t>
  </si>
  <si>
    <t>419.128.588-27</t>
  </si>
  <si>
    <t>Música, Cultura e Sociedade</t>
  </si>
  <si>
    <t>Jucenilson Olveira</t>
  </si>
  <si>
    <t>Nickolas de Pellegrin</t>
  </si>
  <si>
    <t>Vilson Inácio Reis</t>
  </si>
  <si>
    <t>003.185.780-93</t>
  </si>
  <si>
    <t xml:space="preserve">Quitado, iniciou em 08/03/2024 e expira em 08/09/2025 </t>
  </si>
  <si>
    <t>MILENA RIBEIRO CARVALHO DOS SANTOS</t>
  </si>
  <si>
    <t>Quitada, iniciou em 04/10/2025 e expira dia 04/02/2026</t>
  </si>
  <si>
    <t>Luciana de Cássia Faria Esposito Dias</t>
  </si>
  <si>
    <t>Filosofia</t>
  </si>
  <si>
    <t>Lucimar Félix da Silva de Assis</t>
  </si>
  <si>
    <t>Mariana Luize Souza Zaupa Silva</t>
  </si>
  <si>
    <t>Brenda Gacema da Silva</t>
  </si>
  <si>
    <t>Patricia Costa da Silva</t>
  </si>
  <si>
    <t>Thiago Baltazar Lara Silva</t>
  </si>
  <si>
    <t>Tiago Balbino da Silva</t>
  </si>
  <si>
    <t>Patrícia Rocha Lopes da Silva</t>
  </si>
  <si>
    <t>Análise Concluída, Falta Documentação, Falta Financeiro</t>
  </si>
  <si>
    <t>Selma de Souza Rodrigues Rocha</t>
  </si>
  <si>
    <t>151.532.208-42</t>
  </si>
  <si>
    <t>Iniciou em 20/08/2024 e expira dia 20/12/2025. Aluna possui 5 parcelas para quitar</t>
  </si>
  <si>
    <t>Miltes Elaine Pereira</t>
  </si>
  <si>
    <t>175 481 268 67</t>
  </si>
  <si>
    <t>262.759.898-82</t>
  </si>
  <si>
    <t>Quitada, iniciou em 15/06/2023 e expirou em 15/10/2024</t>
  </si>
  <si>
    <t>Roger Adriano Bressani Mazur</t>
  </si>
  <si>
    <t>037.828.549-18</t>
  </si>
  <si>
    <t>Quitado, iniciou em 12/09/2023 e expirou em 12/01/2025</t>
  </si>
  <si>
    <t>Simple não encontrei as notas</t>
  </si>
  <si>
    <t>Juliana Galvão Lopes</t>
  </si>
  <si>
    <t>371.541.958-00</t>
  </si>
  <si>
    <t>Quitada, iniciou em 13/05/2024 e expira em 13/09/2025</t>
  </si>
  <si>
    <t>Monica Lima Campos</t>
  </si>
  <si>
    <t>Quitada, iniciou em 02/12/2024 e expira em 02/04/2026</t>
  </si>
  <si>
    <t>011.978.186-77</t>
  </si>
  <si>
    <t>Marcos Antonio Cassiano Paulino</t>
  </si>
  <si>
    <t>885.755.007-91</t>
  </si>
  <si>
    <t>Contratou uma extensão no dia 05/10/2023 e expirou dia 05/01/2024</t>
  </si>
  <si>
    <t>Suzana Moura da  Silva Torres</t>
  </si>
  <si>
    <t>Análise Concluída, Falta Documentação, Falta Tutoria, Falta Financeiro, Falta Plataforma</t>
  </si>
  <si>
    <t xml:space="preserve">Marina Vilela Salani
</t>
  </si>
  <si>
    <t>385.923.828-07</t>
  </si>
  <si>
    <t>Iniciou dia 10/03/2020 e expirou 10/07/2021 aluno so pagou a taxa de matricula</t>
  </si>
  <si>
    <t>Não encontrei</t>
  </si>
  <si>
    <t>Análise Concluída, Falta Documentação, Falta Tutoria</t>
  </si>
  <si>
    <t xml:space="preserve">471.348.008-81
</t>
  </si>
  <si>
    <t>Quitada, iniciou dia 02/02/2024 e expirou em 02/06/2025</t>
  </si>
  <si>
    <t>Análise Concluída, Falta Documentação, Falta Financeiro, Falta Tutoria</t>
  </si>
  <si>
    <t>Alex pedro Muniz</t>
  </si>
  <si>
    <t>140.000.067-03</t>
  </si>
  <si>
    <t>Iniciou em 21/01/2025 e expirou dia 21/005/2026, falta 10 parcelas para quitar</t>
  </si>
  <si>
    <t>Suellen Mendes Lamarão dos Santos</t>
  </si>
  <si>
    <t>Alessandra Machado Nobre</t>
  </si>
  <si>
    <t>904.378.450-87</t>
  </si>
  <si>
    <t>ABA-ANÁLISE DO COMPORTAMENTO APLICADA</t>
  </si>
  <si>
    <t>Educação Especial E Inclusiva</t>
  </si>
  <si>
    <t>Pós de brinde sobre a diplomação por competencia que a aluna cotratou</t>
  </si>
  <si>
    <t>Alfabetização E Letramento</t>
  </si>
  <si>
    <t>Pós de brinde sobre a diplomação por competencia quea aluna cotratou</t>
  </si>
  <si>
    <t>Análise Concluída, Falta Documentação, Falta Tutoria, Falta Plataforma</t>
  </si>
  <si>
    <t>Quitado, iniciou dia 13/01/2025 e expirou 13/05/2025</t>
  </si>
  <si>
    <t>Aprovado em apenas 2 disciplinas</t>
  </si>
  <si>
    <t>354.964.498-12</t>
  </si>
  <si>
    <t>Pós de brinde sobre a diplomação por competencia que o aluno cotratou</t>
  </si>
  <si>
    <t>Fabíola Sampaio Varjao</t>
  </si>
  <si>
    <t>Quitada, iniciou em 03/07/2024 e expira em 03/11/2025</t>
  </si>
  <si>
    <t xml:space="preserve">Enfermagem em Ginecologia e Obstetricia </t>
  </si>
  <si>
    <t xml:space="preserve">Yennifer Andrea Escobar Restrepo </t>
  </si>
  <si>
    <t xml:space="preserve">117.744.186-14
</t>
  </si>
  <si>
    <t>Letras Portugues</t>
  </si>
  <si>
    <t>Quitada, iniciou em 23/12/2022 e expirou 23/04/2024. Contratou extensão de 3 meses e expirou dia 25/12/2024</t>
  </si>
  <si>
    <t>Márcia Teixeira do Amaral</t>
  </si>
  <si>
    <t>171.370.298-33</t>
  </si>
  <si>
    <t>Quitada, iniciou dia 15/08/2024 e expira dia 15/12/2025</t>
  </si>
  <si>
    <t xml:space="preserve">Quitada em 10/02/2025, iniciou dia 10/07/2023 </t>
  </si>
  <si>
    <t>Francisco Walter de Oliveira Silva</t>
  </si>
  <si>
    <t xml:space="preserve">Quitada em 06/12/2024, iniciou dia 16/11/2023 </t>
  </si>
  <si>
    <t>Ana Elizabeth Brandt Barbosa Rosa</t>
  </si>
  <si>
    <t>025.938.287-65</t>
  </si>
  <si>
    <t xml:space="preserve">Quitada, iniciou em 10/02/2025 e expira 10/06/2026 </t>
  </si>
  <si>
    <t>Educação fisica escolar</t>
  </si>
  <si>
    <t>Análise Concluída, Falta Documentação, Falta Financeiro, Falta Plataforma</t>
  </si>
  <si>
    <t>Herber Moabia Chaves Santos</t>
  </si>
  <si>
    <t>690.558.822-91</t>
  </si>
  <si>
    <t>Quitada, iniciou em 27/07/2022 e expirou 27/11/2023</t>
  </si>
  <si>
    <t>Antonio Ruy Bandeira Barbosa Ramos</t>
  </si>
  <si>
    <t>014.681.875-03</t>
  </si>
  <si>
    <t>Quitado, Iniciou no dia 06/01/2025 e expira 06/05/2026</t>
  </si>
  <si>
    <t>Mariana Aparecida Cordeiro PintoMo</t>
  </si>
  <si>
    <t>267.113.258-18</t>
  </si>
  <si>
    <t>017.486.245-80</t>
  </si>
  <si>
    <t>011.830.701.01</t>
  </si>
  <si>
    <t>Iniciou em 19/01/2024 e expirou em 10/05/2025, financeiro do aluno estar confuso pois ele pagou apenas 2 parcelas</t>
  </si>
  <si>
    <t>Falta 5 disciplinas para concluir</t>
  </si>
  <si>
    <t>009.364.943-60</t>
  </si>
  <si>
    <t>Iniciou em 21/09/2021 expirou em 21/09/2022 e não contratou extensão</t>
  </si>
  <si>
    <t>Deisi Debona</t>
  </si>
  <si>
    <t>João  Pedro Ferreira Pereira</t>
  </si>
  <si>
    <t>126.141.514-08</t>
  </si>
  <si>
    <t>Análise Concluída, Falta Financeiro, Falta Tutoria</t>
  </si>
  <si>
    <t>Joice Vaz Simeão Carneiro</t>
  </si>
  <si>
    <t>193.512.808-61</t>
  </si>
  <si>
    <t>Quitada iniciou em 28/09/2022 e expirou dia 28/01/2024Contratou uma extensão por um mês e expirou dia 12/02/2024- Contratou mais uma extensão de um mês e expirou em 28/03/2025</t>
  </si>
  <si>
    <t>033.541.026-08</t>
  </si>
  <si>
    <t xml:space="preserve">Quitada, iniciou em 14/03/2024 e expira dia 14/07/2025 </t>
  </si>
  <si>
    <t>Análise Concluída, Falta Tutoria, Falta Documentação, Falta Financeiro, Falta Plataforma</t>
  </si>
  <si>
    <t>Maria de Lourdes Alves</t>
  </si>
  <si>
    <t>518.089.191-49</t>
  </si>
  <si>
    <t>Quitada, iniciou em 21/08/2023 e expirou dia 21/12/2024. Contratou uma extensão por um mês e expirou dia 28/03/2024</t>
  </si>
  <si>
    <t>Encaminhou apenas RG e Diploma</t>
  </si>
  <si>
    <t>Análise Concluída, Falta Financeiro</t>
  </si>
  <si>
    <t>Iniciou em 15/01/2025 e expira 15/05/2026 pagou apenas 1 parcela</t>
  </si>
  <si>
    <t>Quitado, Iniciou em 12/03/2025 e expira em 12/07/2026</t>
  </si>
  <si>
    <t>Não encontrei finaceiro deste curso(provalmente seja brinde do curso de filosofia)</t>
  </si>
  <si>
    <t>Psicomotricidade</t>
  </si>
  <si>
    <t>Pós de brinde pelo o curso de sociologia</t>
  </si>
  <si>
    <t>Análise Concluída, Falta Plataforma, Falta Financeiro, Falta Documentação</t>
  </si>
  <si>
    <t>Valquiria Notaro Furlan</t>
  </si>
  <si>
    <t>022.715.548-37</t>
  </si>
  <si>
    <t>Quitado, iniciou em 09/08/2022 e expirou dia 09/12/2023. Aluno trancou o curso dia 03/06/2023</t>
  </si>
  <si>
    <t>Realizou apenas 1 disciplina</t>
  </si>
  <si>
    <t>Daniel Sobreira de Magalhães</t>
  </si>
  <si>
    <t>918.851.085-91</t>
  </si>
  <si>
    <t>918.851.085-92</t>
  </si>
  <si>
    <t>Elza de Oliveira Lopes</t>
  </si>
  <si>
    <t>214.771.468-22</t>
  </si>
  <si>
    <t>Quitada, Iniciou em 23/02/2023 e expirou dia 23/06/2024. Contratou extensão de um mês e expira dia 13/07/2025</t>
  </si>
  <si>
    <t>Falta apenas 5 disciplinas para concluir</t>
  </si>
  <si>
    <t>Karine Alves de Lima</t>
  </si>
  <si>
    <t>Iniciou em 01/03/2023 e quitou em 21/11/2024. Contratou extensão em 30/05/2025 por um mês</t>
  </si>
  <si>
    <t xml:space="preserve">Samuel Elói dos Santos
</t>
  </si>
  <si>
    <t>Metodologia Do Ensino De Filosofia</t>
  </si>
  <si>
    <t>Não encontrei o financeiro, creio que seja uma pós de brinde</t>
  </si>
  <si>
    <t>Aguinaldo Roberto Teixeira do Nascimento</t>
  </si>
  <si>
    <t>076514857-93</t>
  </si>
  <si>
    <t xml:space="preserve">Quitado em 16/10/2025, contratou extensão em 29/05/2025 por um mês </t>
  </si>
  <si>
    <t>João Pedro Ferreira Pereira</t>
  </si>
  <si>
    <t>Devaneide Lúcio Borges</t>
  </si>
  <si>
    <t>Legenda de status</t>
  </si>
  <si>
    <t>Sem Informação</t>
  </si>
  <si>
    <t xml:space="preserve">Pré Aprovado </t>
  </si>
  <si>
    <t>NOME</t>
  </si>
  <si>
    <t>CURSO</t>
  </si>
  <si>
    <t>DATA SOLICITAÇÃO</t>
  </si>
  <si>
    <t>DOCUMENTAÇÃO</t>
  </si>
  <si>
    <t xml:space="preserve">PAGAMENTO 1° </t>
  </si>
  <si>
    <t>STATUS</t>
  </si>
  <si>
    <t>Karina Fabiana de Vasconcelos Pacheco</t>
  </si>
  <si>
    <t>Formação Pedagógia em Pedagogia</t>
  </si>
  <si>
    <t>Faltando</t>
  </si>
  <si>
    <t>ok</t>
  </si>
  <si>
    <t>Em Andamento</t>
  </si>
  <si>
    <t>Verificar</t>
  </si>
  <si>
    <t>Entregue</t>
  </si>
  <si>
    <t>Andréia Rodrigues da Silva Machado</t>
  </si>
  <si>
    <t>Verificando</t>
  </si>
  <si>
    <t>Christian Rodrigues dos Santos  (URGENTE P/ 14/01/2025)</t>
  </si>
  <si>
    <t>Fabiola Manoela Simões de Alcantara</t>
  </si>
  <si>
    <t>OK</t>
  </si>
  <si>
    <t>Cristina do Couto Leitão Guerra</t>
  </si>
  <si>
    <t>Aline Sheilla dos Santos Medeiros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</si>
</sst>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d/m/yyyy"/>
    <numFmt numFmtId="166" formatCode="[$R$ -416]#,##0.00"/>
  </numFmts>
  <fonts count="55">
    <font>
      <sz val="10.0"/>
      <color rgb="FF000000"/>
      <name val="Arial"/>
      <scheme val="minor"/>
    </font>
    <font>
      <b/>
      <sz val="15.0"/>
      <color rgb="FF000000"/>
      <name val="Arial"/>
      <scheme val="minor"/>
    </font>
    <font>
      <sz val="12.0"/>
      <color rgb="FF000000"/>
      <name val="Arial"/>
      <scheme val="minor"/>
    </font>
    <font>
      <sz val="12.0"/>
      <color theme="1"/>
      <name val="Arial"/>
      <scheme val="minor"/>
    </font>
    <font>
      <sz val="10.0"/>
      <color rgb="FF000000"/>
      <name val="Arial"/>
    </font>
    <font>
      <sz val="11.0"/>
      <color rgb="FF000000"/>
      <name val="Arial"/>
      <scheme val="minor"/>
    </font>
    <font>
      <sz val="11.0"/>
      <color rgb="FF2A2A2A"/>
      <name val="Ui-sans-serif"/>
    </font>
    <font>
      <strike/>
      <sz val="11.0"/>
      <color rgb="FF93C47D"/>
      <name val="Arial"/>
      <scheme val="minor"/>
    </font>
    <font>
      <sz val="12.0"/>
      <color rgb="FF000000"/>
      <name val="-apple-system"/>
    </font>
    <font>
      <color theme="1"/>
      <name val="Arial"/>
      <scheme val="minor"/>
    </font>
    <font>
      <sz val="12.0"/>
      <color rgb="FF212529"/>
      <name val="Arial"/>
    </font>
    <font>
      <sz val="11.0"/>
      <color theme="1"/>
      <name val="Arial"/>
      <scheme val="minor"/>
    </font>
    <font>
      <sz val="11.0"/>
      <color rgb="FF000000"/>
      <name val="Arial"/>
    </font>
    <font>
      <sz val="11.0"/>
      <color rgb="FF212529"/>
      <name val="Arial"/>
    </font>
    <font>
      <sz val="11.0"/>
      <color theme="1"/>
      <name val="Arial"/>
    </font>
    <font>
      <b/>
      <sz val="12.0"/>
      <color rgb="FF000000"/>
      <name val="Arial"/>
      <scheme val="minor"/>
    </font>
    <font>
      <b/>
      <color rgb="FF367FEE"/>
      <name val="&quot;Font Awesome 6 Duotone&quot;"/>
    </font>
    <font>
      <sz val="11.0"/>
      <color rgb="FF282F30"/>
      <name val="Ui-sans-serif"/>
    </font>
    <font>
      <color theme="1"/>
      <name val="Arial"/>
    </font>
    <font>
      <sz val="11.0"/>
      <color rgb="FFFF0000"/>
      <name val="Arial"/>
    </font>
    <font>
      <sz val="11.0"/>
      <color rgb="FF000000"/>
      <name val="Inter"/>
    </font>
    <font>
      <b/>
      <sz val="20.0"/>
      <color rgb="FF000000"/>
      <name val="Arial"/>
      <scheme val="minor"/>
    </font>
    <font>
      <sz val="11.0"/>
      <color rgb="FF000000"/>
      <name val="Ui-sans-serif"/>
    </font>
    <font>
      <sz val="11.0"/>
      <color rgb="FF2A2A2A"/>
      <name val="Arial"/>
    </font>
    <font>
      <b/>
      <sz val="11.0"/>
      <color rgb="FF000000"/>
      <name val="Arial"/>
      <scheme val="minor"/>
    </font>
    <font>
      <sz val="11.0"/>
      <color rgb="FF000000"/>
      <name val="-apple-system"/>
    </font>
    <font>
      <color rgb="FF000000"/>
      <name val="Arial"/>
      <scheme val="minor"/>
    </font>
    <font>
      <sz val="12.0"/>
      <color rgb="FF000000"/>
      <name val="Arial"/>
    </font>
    <font>
      <sz val="12.0"/>
      <color rgb="FF000000"/>
      <name val="Josefin Sans"/>
    </font>
    <font>
      <b/>
      <sz val="20.0"/>
      <color rgb="FF000000"/>
      <name val="Josefin Sans"/>
    </font>
    <font>
      <sz val="11.0"/>
      <color rgb="FF000000"/>
      <name val="Josefin Sans"/>
    </font>
    <font>
      <b/>
      <sz val="28.0"/>
      <color rgb="FFFFFFFF"/>
      <name val="Arial"/>
      <scheme val="minor"/>
    </font>
    <font>
      <sz val="11.0"/>
      <color theme="1"/>
      <name val="Josefin Sans"/>
    </font>
    <font>
      <sz val="11.0"/>
      <color rgb="FF2A2A2A"/>
      <name val="Josefin Sans"/>
    </font>
    <font>
      <sz val="11.0"/>
      <color rgb="FF4F4F4F"/>
      <name val="Josefin Sans"/>
    </font>
    <font>
      <sz val="11.0"/>
      <color rgb="FF111827"/>
      <name val="Josefin Sans"/>
    </font>
    <font>
      <b/>
      <sz val="11.0"/>
      <color rgb="FF313940"/>
      <name val="&quot;Nunito Sans&quot;"/>
    </font>
    <font>
      <sz val="11.0"/>
      <color rgb="FF4F4F4F"/>
      <name val="&quot;Helvetica Neue&quot;"/>
    </font>
    <font>
      <b/>
      <sz val="20.0"/>
      <color theme="0"/>
      <name val="Arial"/>
      <scheme val="minor"/>
    </font>
    <font>
      <sz val="20.0"/>
      <color rgb="FFFFFFFF"/>
      <name val="Arial"/>
      <scheme val="minor"/>
    </font>
    <font>
      <b/>
      <color rgb="FFFFFFFF"/>
      <name val="Arial"/>
      <scheme val="minor"/>
    </font>
    <font>
      <b/>
      <color rgb="FF000000"/>
      <name val="Arial"/>
      <scheme val="minor"/>
    </font>
    <font>
      <b/>
      <sz val="21.0"/>
      <color rgb="FFFFFFFF"/>
      <name val="Arial"/>
      <scheme val="minor"/>
    </font>
    <font>
      <b/>
      <sz val="20.0"/>
      <color rgb="FFFFFFFF"/>
      <name val="Arial"/>
      <scheme val="minor"/>
    </font>
    <font>
      <b/>
      <sz val="19.0"/>
      <color rgb="FFFFFFFF"/>
      <name val="Arial"/>
      <scheme val="minor"/>
    </font>
    <font>
      <color rgb="FFFFFFFF"/>
      <name val="Arial"/>
      <scheme val="minor"/>
    </font>
    <font>
      <sz val="10.0"/>
      <color theme="1"/>
      <name val="Arial"/>
      <scheme val="minor"/>
    </font>
    <font>
      <b/>
      <sz val="10.0"/>
      <color theme="1"/>
      <name val="Arial"/>
      <scheme val="minor"/>
    </font>
    <font>
      <color theme="0"/>
      <name val="Arial"/>
      <scheme val="minor"/>
    </font>
    <font>
      <b/>
      <sz val="10.0"/>
      <color rgb="FF073763"/>
      <name val="Arial"/>
      <scheme val="minor"/>
    </font>
    <font>
      <sz val="20.0"/>
      <color theme="0"/>
      <name val="Arial"/>
      <scheme val="minor"/>
    </font>
    <font>
      <b/>
      <sz val="14.0"/>
      <color rgb="FFFFFFFF"/>
      <name val="Arial"/>
      <scheme val="minor"/>
    </font>
    <font>
      <b/>
      <sz val="14.0"/>
      <color theme="1"/>
      <name val="Arial"/>
      <scheme val="minor"/>
    </font>
    <font>
      <b/>
      <color theme="1"/>
      <name val="Arial"/>
      <scheme val="minor"/>
    </font>
    <font>
      <sz val="10.0"/>
      <color rgb="FF000000"/>
      <name val="Ui-sans-serif"/>
    </font>
  </fonts>
  <fills count="35">
    <fill>
      <patternFill patternType="none"/>
    </fill>
    <fill>
      <patternFill patternType="lightGray"/>
    </fill>
    <fill>
      <patternFill patternType="solid">
        <fgColor rgb="FF6FA8DC"/>
        <bgColor rgb="FF6FA8DC"/>
      </patternFill>
    </fill>
    <fill>
      <patternFill patternType="solid">
        <fgColor rgb="FFFFFFFF"/>
        <bgColor rgb="FFFFFFFF"/>
      </patternFill>
    </fill>
    <fill>
      <patternFill patternType="solid">
        <fgColor rgb="FF93C47D"/>
        <bgColor rgb="FF93C47D"/>
      </patternFill>
    </fill>
    <fill>
      <patternFill patternType="solid">
        <fgColor rgb="FFFF0000"/>
        <bgColor rgb="FFFF0000"/>
      </patternFill>
    </fill>
    <fill>
      <patternFill patternType="solid">
        <fgColor rgb="FFFFE599"/>
        <bgColor rgb="FFFFE599"/>
      </patternFill>
    </fill>
    <fill>
      <patternFill patternType="solid">
        <fgColor rgb="FFFFFF00"/>
        <bgColor rgb="FFFFFF00"/>
      </patternFill>
    </fill>
    <fill>
      <patternFill patternType="solid">
        <fgColor rgb="FFE06666"/>
        <bgColor rgb="FFE06666"/>
      </patternFill>
    </fill>
    <fill>
      <patternFill patternType="solid">
        <fgColor rgb="FFFFD966"/>
        <bgColor rgb="FFFFD966"/>
      </patternFill>
    </fill>
    <fill>
      <patternFill patternType="solid">
        <fgColor rgb="FFFDE68A"/>
        <bgColor rgb="FFFDE68A"/>
      </patternFill>
    </fill>
    <fill>
      <patternFill patternType="solid">
        <fgColor rgb="FF00FF00"/>
        <bgColor rgb="FF00FF00"/>
      </patternFill>
    </fill>
    <fill>
      <patternFill patternType="solid">
        <fgColor rgb="FFA64D79"/>
        <bgColor rgb="FFA64D79"/>
      </patternFill>
    </fill>
    <fill>
      <patternFill patternType="solid">
        <fgColor theme="0"/>
        <bgColor theme="0"/>
      </patternFill>
    </fill>
    <fill>
      <patternFill patternType="solid">
        <fgColor rgb="FFEA9999"/>
        <bgColor rgb="FFEA9999"/>
      </patternFill>
    </fill>
    <fill>
      <patternFill patternType="solid">
        <fgColor rgb="FFEFEFEF"/>
        <bgColor rgb="FFEFEFEF"/>
      </patternFill>
    </fill>
    <fill>
      <patternFill patternType="solid">
        <fgColor rgb="FFB6D7A8"/>
        <bgColor rgb="FFB6D7A8"/>
      </patternFill>
    </fill>
    <fill>
      <patternFill patternType="solid">
        <fgColor rgb="FF6AA84F"/>
        <bgColor rgb="FF6AA84F"/>
      </patternFill>
    </fill>
    <fill>
      <patternFill patternType="solid">
        <fgColor theme="7"/>
        <bgColor theme="7"/>
      </patternFill>
    </fill>
    <fill>
      <patternFill patternType="solid">
        <fgColor rgb="FFFFFBEB"/>
        <bgColor rgb="FFFFFBEB"/>
      </patternFill>
    </fill>
    <fill>
      <patternFill patternType="solid">
        <fgColor rgb="FFF9CB9C"/>
        <bgColor rgb="FFF9CB9C"/>
      </patternFill>
    </fill>
    <fill>
      <patternFill patternType="solid">
        <fgColor rgb="FFF2F2F2"/>
        <bgColor rgb="FFF2F2F2"/>
      </patternFill>
    </fill>
    <fill>
      <patternFill patternType="solid">
        <fgColor rgb="FFF7F8FA"/>
        <bgColor rgb="FFF7F8FA"/>
      </patternFill>
    </fill>
    <fill>
      <patternFill patternType="solid">
        <fgColor rgb="FFFF9900"/>
        <bgColor rgb="FFFF9900"/>
      </patternFill>
    </fill>
    <fill>
      <patternFill patternType="solid">
        <fgColor rgb="FFF1C232"/>
        <bgColor rgb="FFF1C232"/>
      </patternFill>
    </fill>
    <fill>
      <patternFill patternType="solid">
        <fgColor rgb="FF073763"/>
        <bgColor rgb="FF073763"/>
      </patternFill>
    </fill>
    <fill>
      <patternFill patternType="solid">
        <fgColor rgb="FFF3F4F6"/>
        <bgColor rgb="FFF3F4F6"/>
      </patternFill>
    </fill>
    <fill>
      <patternFill patternType="solid">
        <fgColor rgb="FFF9F9F9"/>
        <bgColor rgb="FFF9F9F9"/>
      </patternFill>
    </fill>
    <fill>
      <patternFill patternType="solid">
        <fgColor rgb="FFF3F3F3"/>
        <bgColor rgb="FFF3F3F3"/>
      </patternFill>
    </fill>
    <fill>
      <patternFill patternType="solid">
        <fgColor rgb="FFEFF2F3"/>
        <bgColor rgb="FFEFF2F3"/>
      </patternFill>
    </fill>
    <fill>
      <patternFill patternType="solid">
        <fgColor rgb="FF0C343D"/>
        <bgColor rgb="FF0C343D"/>
      </patternFill>
    </fill>
    <fill>
      <patternFill patternType="solid">
        <fgColor rgb="FF00FFFF"/>
        <bgColor rgb="FF00FFFF"/>
      </patternFill>
    </fill>
    <fill>
      <patternFill patternType="solid">
        <fgColor rgb="FF000000"/>
        <bgColor rgb="FF000000"/>
      </patternFill>
    </fill>
    <fill>
      <patternFill patternType="solid">
        <fgColor rgb="FFB7B7B7"/>
        <bgColor rgb="FFB7B7B7"/>
      </patternFill>
    </fill>
    <fill>
      <patternFill patternType="solid">
        <fgColor rgb="FFB4A7D6"/>
        <bgColor rgb="FFB4A7D6"/>
      </patternFill>
    </fill>
  </fills>
  <borders count="9">
    <border/>
    <border>
      <left style="thin">
        <color rgb="FF000000"/>
      </left>
      <right style="thin">
        <color rgb="FF000000"/>
      </right>
      <top style="thin">
        <color rgb="FF000000"/>
      </top>
      <bottom style="thin">
        <color rgb="FF000000"/>
      </bottom>
    </border>
    <border>
      <bottom style="thin">
        <color rgb="FF111111"/>
      </bottom>
    </border>
    <border>
      <left style="thin">
        <color rgb="FFBF9000"/>
      </left>
      <right style="thin">
        <color rgb="FFBF9000"/>
      </right>
      <top style="thin">
        <color rgb="FFBF9000"/>
      </top>
      <bottom style="thin">
        <color rgb="FFBF9000"/>
      </bottom>
    </border>
    <border>
      <left style="thin">
        <color rgb="FFBF9000"/>
      </left>
      <right style="thin">
        <color rgb="FFBF9000"/>
      </right>
      <top style="thin">
        <color rgb="FFBF9000"/>
      </top>
    </border>
    <border>
      <left style="thin">
        <color rgb="FFBF9000"/>
      </left>
      <top style="thin">
        <color rgb="FFBF9000"/>
      </top>
      <bottom style="thin">
        <color rgb="FFBF9000"/>
      </bottom>
    </border>
    <border>
      <left style="thin">
        <color rgb="FFFF9900"/>
      </left>
      <right style="thin">
        <color rgb="FFFF9900"/>
      </right>
      <top style="thin">
        <color rgb="FFFF9900"/>
      </top>
      <bottom style="thin">
        <color rgb="FFFF9900"/>
      </bottom>
    </border>
    <border>
      <right style="thin">
        <color rgb="FFBF9000"/>
      </right>
      <top style="thin">
        <color rgb="FFBF9000"/>
      </top>
      <bottom style="thin">
        <color rgb="FFBF9000"/>
      </bottom>
    </border>
    <border>
      <left style="thin">
        <color rgb="FFBF9000"/>
      </left>
      <right style="thin">
        <color rgb="FFBF9000"/>
      </right>
      <bottom style="thin">
        <color rgb="FFBF9000"/>
      </bottom>
    </border>
  </borders>
  <cellStyleXfs count="1">
    <xf borderId="0" fillId="0" fontId="0" numFmtId="0" applyAlignment="1" applyFont="1"/>
  </cellStyleXfs>
  <cellXfs count="4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1" fillId="3" fontId="2" numFmtId="0" xfId="0" applyAlignment="1" applyBorder="1" applyFill="1" applyFont="1">
      <alignment readingOrder="0" vertical="bottom"/>
    </xf>
    <xf borderId="1" fillId="3" fontId="2" numFmtId="0" xfId="0" applyAlignment="1" applyBorder="1" applyFont="1">
      <alignment horizontal="center" readingOrder="0" shrinkToFit="0" wrapText="0"/>
    </xf>
    <xf borderId="1" fillId="4" fontId="2" numFmtId="0" xfId="0" applyAlignment="1" applyBorder="1" applyFill="1" applyFont="1">
      <alignment readingOrder="0" shrinkToFit="0" wrapText="0"/>
    </xf>
    <xf borderId="1" fillId="3" fontId="2" numFmtId="164" xfId="0" applyAlignment="1" applyBorder="1" applyFont="1" applyNumberFormat="1">
      <alignment horizontal="center" readingOrder="0" shrinkToFit="0" wrapText="0"/>
    </xf>
    <xf borderId="1" fillId="3" fontId="2" numFmtId="0" xfId="0" applyAlignment="1" applyBorder="1" applyFont="1">
      <alignment readingOrder="0"/>
    </xf>
    <xf borderId="1" fillId="5" fontId="2" numFmtId="0" xfId="0" applyAlignment="1" applyBorder="1" applyFill="1" applyFont="1">
      <alignment readingOrder="0"/>
    </xf>
    <xf borderId="1" fillId="4" fontId="2" numFmtId="0" xfId="0" applyAlignment="1" applyBorder="1" applyFont="1">
      <alignment readingOrder="0"/>
    </xf>
    <xf borderId="1" fillId="3" fontId="2" numFmtId="0" xfId="0" applyBorder="1" applyFont="1"/>
    <xf borderId="1" fillId="3" fontId="2" numFmtId="0" xfId="0" applyAlignment="1" applyBorder="1" applyFont="1">
      <alignment horizontal="center" readingOrder="0"/>
    </xf>
    <xf borderId="1" fillId="3" fontId="2" numFmtId="165" xfId="0" applyAlignment="1" applyBorder="1" applyFont="1" applyNumberFormat="1">
      <alignment horizontal="center" readingOrder="0"/>
    </xf>
    <xf borderId="1" fillId="3" fontId="2" numFmtId="3" xfId="0" applyAlignment="1" applyBorder="1" applyFont="1" applyNumberFormat="1">
      <alignment horizontal="center" readingOrder="0"/>
    </xf>
    <xf borderId="1" fillId="4" fontId="2" numFmtId="0" xfId="0" applyAlignment="1" applyBorder="1" applyFont="1">
      <alignment readingOrder="0" shrinkToFit="0" wrapText="1"/>
    </xf>
    <xf borderId="1" fillId="3" fontId="2" numFmtId="164" xfId="0" applyAlignment="1" applyBorder="1" applyFont="1" applyNumberFormat="1">
      <alignment horizontal="center" readingOrder="0"/>
    </xf>
    <xf borderId="1" fillId="4" fontId="2" numFmtId="0" xfId="0" applyAlignment="1" applyBorder="1" applyFont="1">
      <alignment readingOrder="0" vertical="bottom"/>
    </xf>
    <xf borderId="1" fillId="6" fontId="2" numFmtId="0" xfId="0" applyAlignment="1" applyBorder="1" applyFill="1" applyFont="1">
      <alignment readingOrder="0"/>
    </xf>
    <xf borderId="1" fillId="3" fontId="2" numFmtId="0" xfId="0" applyAlignment="1" applyBorder="1" applyFont="1">
      <alignment horizontal="left" readingOrder="0"/>
    </xf>
    <xf borderId="1" fillId="4" fontId="2" numFmtId="0" xfId="0" applyBorder="1" applyFont="1"/>
    <xf borderId="0" fillId="7" fontId="3" numFmtId="0" xfId="0" applyAlignment="1" applyFill="1" applyFont="1">
      <alignment readingOrder="0"/>
    </xf>
    <xf borderId="1" fillId="8" fontId="2" numFmtId="0" xfId="0" applyAlignment="1" applyBorder="1" applyFill="1" applyFont="1">
      <alignment readingOrder="0"/>
    </xf>
    <xf borderId="1" fillId="4" fontId="2" numFmtId="0" xfId="0" applyAlignment="1" applyBorder="1" applyFont="1">
      <alignment horizontal="left" readingOrder="0"/>
    </xf>
    <xf borderId="1" fillId="3" fontId="2" numFmtId="0" xfId="0" applyAlignment="1" applyBorder="1" applyFont="1">
      <alignment vertical="bottom"/>
    </xf>
    <xf borderId="1" fillId="0" fontId="2" numFmtId="0" xfId="0" applyAlignment="1" applyBorder="1" applyFont="1">
      <alignment horizontal="center" readingOrder="0"/>
    </xf>
    <xf borderId="0" fillId="4" fontId="3" numFmtId="0" xfId="0" applyAlignment="1" applyFont="1">
      <alignment readingOrder="0"/>
    </xf>
    <xf borderId="1" fillId="4" fontId="2" numFmtId="46" xfId="0" applyAlignment="1" applyBorder="1" applyFont="1" applyNumberFormat="1">
      <alignment readingOrder="0"/>
    </xf>
    <xf borderId="1" fillId="0" fontId="2" numFmtId="0" xfId="0" applyAlignment="1" applyBorder="1" applyFont="1">
      <alignment readingOrder="0"/>
    </xf>
    <xf borderId="1" fillId="3" fontId="2" numFmtId="0" xfId="0" applyAlignment="1" applyBorder="1" applyFont="1">
      <alignment readingOrder="0"/>
    </xf>
    <xf borderId="1" fillId="7" fontId="2" numFmtId="0" xfId="0" applyAlignment="1" applyBorder="1" applyFont="1">
      <alignment readingOrder="0"/>
    </xf>
    <xf borderId="1" fillId="3" fontId="2" numFmtId="0" xfId="0" applyAlignment="1" applyBorder="1" applyFont="1">
      <alignment readingOrder="0" shrinkToFit="0" wrapText="1"/>
    </xf>
    <xf borderId="1" fillId="3" fontId="4" numFmtId="0" xfId="0" applyAlignment="1" applyBorder="1" applyFont="1">
      <alignment horizontal="left" readingOrder="0"/>
    </xf>
    <xf borderId="1" fillId="4" fontId="2" numFmtId="0" xfId="0" applyAlignment="1" applyBorder="1" applyFont="1">
      <alignment readingOrder="0" shrinkToFit="0" vertical="bottom" wrapText="1"/>
    </xf>
    <xf borderId="1" fillId="0" fontId="2" numFmtId="0" xfId="0" applyAlignment="1" applyBorder="1" applyFont="1">
      <alignment vertical="bottom"/>
    </xf>
    <xf borderId="0" fillId="3" fontId="2" numFmtId="0" xfId="0" applyAlignment="1" applyFont="1">
      <alignment readingOrder="0" vertical="bottom"/>
    </xf>
    <xf borderId="0" fillId="3" fontId="2" numFmtId="0" xfId="0" applyAlignment="1" applyFont="1">
      <alignment horizontal="center" readingOrder="0"/>
    </xf>
    <xf borderId="0" fillId="0" fontId="2" numFmtId="0" xfId="0" applyAlignment="1" applyFont="1">
      <alignment readingOrder="0"/>
    </xf>
    <xf borderId="0" fillId="3" fontId="2" numFmtId="164" xfId="0" applyAlignment="1" applyFont="1" applyNumberFormat="1">
      <alignment horizontal="center" readingOrder="0"/>
    </xf>
    <xf borderId="0" fillId="3" fontId="2" numFmtId="0" xfId="0" applyAlignment="1" applyFont="1">
      <alignment readingOrder="0"/>
    </xf>
    <xf borderId="0" fillId="9" fontId="2" numFmtId="0" xfId="0" applyAlignment="1" applyFill="1" applyFont="1">
      <alignment readingOrder="0"/>
    </xf>
    <xf borderId="0" fillId="3" fontId="2" numFmtId="0" xfId="0" applyFont="1"/>
    <xf borderId="1" fillId="2" fontId="1" numFmtId="0" xfId="0" applyAlignment="1" applyBorder="1" applyFont="1">
      <alignment horizontal="center" readingOrder="0" shrinkToFit="0" vertical="center" wrapText="0"/>
    </xf>
    <xf borderId="1" fillId="3" fontId="1" numFmtId="0" xfId="0" applyAlignment="1" applyBorder="1" applyFont="1">
      <alignment horizontal="center" readingOrder="0" vertical="center"/>
    </xf>
    <xf borderId="1" fillId="2" fontId="1" numFmtId="0" xfId="0" applyAlignment="1" applyBorder="1" applyFont="1">
      <alignment horizontal="center" vertical="center"/>
    </xf>
    <xf borderId="1" fillId="3" fontId="5" numFmtId="0" xfId="0" applyAlignment="1" applyBorder="1" applyFont="1">
      <alignment readingOrder="0"/>
    </xf>
    <xf borderId="1" fillId="4" fontId="5" numFmtId="0" xfId="0" applyAlignment="1" applyBorder="1" applyFont="1">
      <alignment readingOrder="0"/>
    </xf>
    <xf borderId="1" fillId="3" fontId="5" numFmtId="0" xfId="0" applyAlignment="1" applyBorder="1" applyFont="1">
      <alignment horizontal="center" readingOrder="0"/>
    </xf>
    <xf borderId="1" fillId="3" fontId="5" numFmtId="164" xfId="0" applyAlignment="1" applyBorder="1" applyFont="1" applyNumberFormat="1">
      <alignment horizontal="center" readingOrder="0"/>
    </xf>
    <xf borderId="1" fillId="3" fontId="5" numFmtId="0" xfId="0" applyAlignment="1" applyBorder="1" applyFont="1">
      <alignment readingOrder="0" shrinkToFit="0" wrapText="0"/>
    </xf>
    <xf borderId="0" fillId="4" fontId="6" numFmtId="0" xfId="0" applyAlignment="1" applyFont="1">
      <alignment readingOrder="0"/>
    </xf>
    <xf borderId="1" fillId="4" fontId="5" numFmtId="0" xfId="0" applyAlignment="1" applyBorder="1" applyFont="1">
      <alignment horizontal="center" readingOrder="0"/>
    </xf>
    <xf borderId="1" fillId="0" fontId="5" numFmtId="0" xfId="0" applyBorder="1" applyFont="1"/>
    <xf borderId="1" fillId="3" fontId="5" numFmtId="0" xfId="0" applyAlignment="1" applyBorder="1" applyFont="1">
      <alignment readingOrder="0" vertical="bottom"/>
    </xf>
    <xf borderId="1" fillId="3" fontId="5" numFmtId="0" xfId="0" applyBorder="1" applyFont="1"/>
    <xf borderId="1" fillId="6" fontId="5" numFmtId="0" xfId="0" applyAlignment="1" applyBorder="1" applyFont="1">
      <alignment readingOrder="0"/>
    </xf>
    <xf borderId="1" fillId="0" fontId="5" numFmtId="0" xfId="0" applyAlignment="1" applyBorder="1" applyFont="1">
      <alignment horizontal="center"/>
    </xf>
    <xf borderId="1" fillId="0" fontId="5" numFmtId="0" xfId="0" applyAlignment="1" applyBorder="1" applyFont="1">
      <alignment readingOrder="0" shrinkToFit="0" wrapText="0"/>
    </xf>
    <xf borderId="1" fillId="4" fontId="7" numFmtId="0" xfId="0" applyBorder="1" applyFont="1"/>
    <xf borderId="1" fillId="8" fontId="5" numFmtId="0" xfId="0" applyAlignment="1" applyBorder="1" applyFont="1">
      <alignment horizontal="center" readingOrder="0"/>
    </xf>
    <xf borderId="1" fillId="0" fontId="5" numFmtId="0" xfId="0" applyAlignment="1" applyBorder="1" applyFont="1">
      <alignment readingOrder="0"/>
    </xf>
    <xf borderId="1" fillId="7" fontId="5" numFmtId="0" xfId="0" applyAlignment="1" applyBorder="1" applyFont="1">
      <alignment readingOrder="0"/>
    </xf>
    <xf borderId="1" fillId="3" fontId="5" numFmtId="0" xfId="0" applyAlignment="1" applyBorder="1" applyFont="1">
      <alignment horizontal="center"/>
    </xf>
    <xf borderId="1" fillId="4" fontId="5" numFmtId="0" xfId="0" applyAlignment="1" applyBorder="1" applyFont="1">
      <alignment horizontal="left" readingOrder="0"/>
    </xf>
    <xf borderId="1" fillId="3" fontId="5" numFmtId="0" xfId="0" applyAlignment="1" applyBorder="1" applyFont="1">
      <alignment horizontal="left" readingOrder="0"/>
    </xf>
    <xf borderId="1" fillId="3" fontId="5" numFmtId="165" xfId="0" applyAlignment="1" applyBorder="1" applyFont="1" applyNumberFormat="1">
      <alignment horizontal="center" readingOrder="0"/>
    </xf>
    <xf borderId="1" fillId="3" fontId="5" numFmtId="0" xfId="0" applyAlignment="1" applyBorder="1" applyFont="1">
      <alignment horizontal="left" readingOrder="0" shrinkToFit="0" wrapText="0"/>
    </xf>
    <xf borderId="1" fillId="3" fontId="5" numFmtId="164" xfId="0" applyAlignment="1" applyBorder="1" applyFont="1" applyNumberFormat="1">
      <alignment horizontal="center" readingOrder="0" vertical="top"/>
    </xf>
    <xf borderId="1" fillId="3" fontId="5" numFmtId="0" xfId="0" applyAlignment="1" applyBorder="1" applyFont="1">
      <alignment vertical="bottom"/>
    </xf>
    <xf borderId="1" fillId="8" fontId="5" numFmtId="0" xfId="0" applyAlignment="1" applyBorder="1" applyFont="1">
      <alignment readingOrder="0"/>
    </xf>
    <xf borderId="1" fillId="0" fontId="5" numFmtId="0" xfId="0" applyAlignment="1" applyBorder="1" applyFont="1">
      <alignment horizontal="center" readingOrder="0"/>
    </xf>
    <xf borderId="0" fillId="10" fontId="6" numFmtId="0" xfId="0" applyAlignment="1" applyFill="1" applyFont="1">
      <alignment readingOrder="0"/>
    </xf>
    <xf borderId="1" fillId="0" fontId="5" numFmtId="0" xfId="0" applyAlignment="1" applyBorder="1" applyFont="1">
      <alignment horizontal="left" readingOrder="0"/>
    </xf>
    <xf borderId="0" fillId="3" fontId="8" numFmtId="0" xfId="0" applyAlignment="1" applyFont="1">
      <alignment horizontal="left" readingOrder="0"/>
    </xf>
    <xf borderId="1" fillId="0" fontId="5" numFmtId="0" xfId="0" applyAlignment="1" applyBorder="1" applyFont="1">
      <alignment vertical="bottom"/>
    </xf>
    <xf borderId="1" fillId="0" fontId="5" numFmtId="0" xfId="0" applyAlignment="1" applyBorder="1" applyFont="1">
      <alignment horizontal="center" vertical="bottom"/>
    </xf>
    <xf borderId="1" fillId="3" fontId="5" numFmtId="0" xfId="0" applyAlignment="1" applyBorder="1" applyFont="1">
      <alignment horizontal="left" readingOrder="0" vertical="bottom"/>
    </xf>
    <xf borderId="1" fillId="3" fontId="5" numFmtId="0" xfId="0" applyAlignment="1" applyBorder="1" applyFont="1">
      <alignment horizontal="center" readingOrder="0" vertical="bottom"/>
    </xf>
    <xf borderId="1" fillId="11" fontId="5" numFmtId="0" xfId="0" applyAlignment="1" applyBorder="1" applyFill="1" applyFont="1">
      <alignment readingOrder="0"/>
    </xf>
    <xf borderId="1" fillId="4" fontId="5" numFmtId="0" xfId="0" applyBorder="1" applyFont="1"/>
    <xf borderId="1" fillId="9" fontId="5" numFmtId="0" xfId="0" applyAlignment="1" applyBorder="1" applyFont="1">
      <alignment readingOrder="0"/>
    </xf>
    <xf borderId="1" fillId="6" fontId="4" numFmtId="0" xfId="0" applyAlignment="1" applyBorder="1" applyFont="1">
      <alignment horizontal="left" readingOrder="0"/>
    </xf>
    <xf borderId="1" fillId="5" fontId="5" numFmtId="0" xfId="0" applyAlignment="1" applyBorder="1" applyFont="1">
      <alignment horizontal="center" readingOrder="0"/>
    </xf>
    <xf borderId="1" fillId="8" fontId="5" numFmtId="0" xfId="0" applyAlignment="1" applyBorder="1" applyFont="1">
      <alignment horizontal="center"/>
    </xf>
    <xf borderId="0" fillId="0" fontId="9" numFmtId="0" xfId="0" applyAlignment="1" applyFont="1">
      <alignment horizontal="center" readingOrder="0"/>
    </xf>
    <xf borderId="1" fillId="3" fontId="5" numFmtId="0" xfId="0" applyAlignment="1" applyBorder="1" applyFont="1">
      <alignment readingOrder="0" shrinkToFit="0" wrapText="1"/>
    </xf>
    <xf borderId="1" fillId="11" fontId="5" numFmtId="0" xfId="0" applyAlignment="1" applyBorder="1" applyFont="1">
      <alignment horizontal="center" readingOrder="0"/>
    </xf>
    <xf borderId="1" fillId="3" fontId="5" numFmtId="0" xfId="0" applyAlignment="1" applyBorder="1" applyFont="1">
      <alignment shrinkToFit="0" wrapText="0"/>
    </xf>
    <xf borderId="1" fillId="3" fontId="5" numFmtId="0" xfId="0" applyAlignment="1" applyBorder="1" applyFont="1">
      <alignment horizontal="left" readingOrder="0" shrinkToFit="0" vertical="top" wrapText="0"/>
    </xf>
    <xf borderId="0" fillId="4" fontId="10" numFmtId="0" xfId="0" applyAlignment="1" applyFont="1">
      <alignment horizontal="left" readingOrder="0"/>
    </xf>
    <xf borderId="1" fillId="3" fontId="5" numFmtId="0" xfId="0" applyAlignment="1" applyBorder="1" applyFont="1">
      <alignment horizontal="left" readingOrder="0" vertical="top"/>
    </xf>
    <xf borderId="1" fillId="12" fontId="5" numFmtId="0" xfId="0" applyAlignment="1" applyBorder="1" applyFill="1" applyFont="1">
      <alignment readingOrder="0"/>
    </xf>
    <xf borderId="1" fillId="0" fontId="5" numFmtId="0" xfId="0" applyAlignment="1" applyBorder="1" applyFont="1">
      <alignment horizontal="left" readingOrder="0" vertical="top"/>
    </xf>
    <xf borderId="1" fillId="5" fontId="5" numFmtId="0" xfId="0" applyAlignment="1" applyBorder="1" applyFont="1">
      <alignment readingOrder="0"/>
    </xf>
    <xf borderId="1" fillId="3" fontId="5" numFmtId="0" xfId="0" applyAlignment="1" applyBorder="1" applyFont="1">
      <alignment readingOrder="0" shrinkToFit="0" vertical="bottom" wrapText="1"/>
    </xf>
    <xf borderId="0" fillId="0" fontId="9" numFmtId="0" xfId="0" applyAlignment="1" applyFont="1">
      <alignment horizontal="center"/>
    </xf>
    <xf borderId="0" fillId="2" fontId="1" numFmtId="0" xfId="0" applyAlignment="1" applyFont="1">
      <alignment horizontal="center" readingOrder="0" shrinkToFit="0" vertical="center" wrapText="0"/>
    </xf>
    <xf borderId="1" fillId="4" fontId="5" numFmtId="0" xfId="0" applyAlignment="1" applyBorder="1" applyFont="1">
      <alignment vertical="bottom"/>
    </xf>
    <xf borderId="1" fillId="3" fontId="5" numFmtId="0" xfId="0" applyAlignment="1" applyBorder="1" applyFont="1">
      <alignment horizontal="center" vertical="bottom"/>
    </xf>
    <xf borderId="1" fillId="3" fontId="5" numFmtId="164" xfId="0" applyAlignment="1" applyBorder="1" applyFont="1" applyNumberFormat="1">
      <alignment horizontal="center" vertical="bottom"/>
    </xf>
    <xf borderId="1" fillId="3" fontId="5" numFmtId="0" xfId="0" applyAlignment="1" applyBorder="1" applyFont="1">
      <alignment horizontal="left" vertical="bottom"/>
    </xf>
    <xf borderId="1" fillId="4" fontId="5" numFmtId="0" xfId="0" applyAlignment="1" applyBorder="1" applyFont="1">
      <alignment readingOrder="0" vertical="bottom"/>
    </xf>
    <xf borderId="0" fillId="3" fontId="5" numFmtId="0" xfId="0" applyAlignment="1" applyFont="1">
      <alignment vertical="bottom"/>
    </xf>
    <xf borderId="1" fillId="8" fontId="5" numFmtId="0" xfId="0" applyAlignment="1" applyBorder="1" applyFont="1">
      <alignment vertical="bottom"/>
    </xf>
    <xf borderId="1" fillId="0" fontId="5" numFmtId="165" xfId="0" applyAlignment="1" applyBorder="1" applyFont="1" applyNumberFormat="1">
      <alignment horizontal="center" readingOrder="0"/>
    </xf>
    <xf borderId="0" fillId="3" fontId="5" numFmtId="0" xfId="0" applyFont="1"/>
    <xf borderId="0" fillId="3" fontId="5" numFmtId="0" xfId="0" applyAlignment="1" applyFont="1">
      <alignment readingOrder="0"/>
    </xf>
    <xf borderId="1" fillId="0" fontId="5" numFmtId="164" xfId="0" applyAlignment="1" applyBorder="1" applyFont="1" applyNumberFormat="1">
      <alignment horizontal="center" readingOrder="0"/>
    </xf>
    <xf borderId="0" fillId="0" fontId="5" numFmtId="0" xfId="0" applyAlignment="1" applyFont="1">
      <alignment readingOrder="0"/>
    </xf>
    <xf borderId="0" fillId="4" fontId="5" numFmtId="0" xfId="0" applyAlignment="1" applyFont="1">
      <alignment readingOrder="0" vertical="bottom"/>
    </xf>
    <xf borderId="0" fillId="3" fontId="5" numFmtId="0" xfId="0" applyAlignment="1" applyFont="1">
      <alignment horizontal="center" readingOrder="0" vertical="bottom"/>
    </xf>
    <xf borderId="1" fillId="3" fontId="5" numFmtId="164" xfId="0" applyAlignment="1" applyBorder="1" applyFont="1" applyNumberFormat="1">
      <alignment horizontal="center" readingOrder="0" vertical="bottom"/>
    </xf>
    <xf borderId="0" fillId="3" fontId="5" numFmtId="0" xfId="0" applyAlignment="1" applyFont="1">
      <alignment readingOrder="0" vertical="bottom"/>
    </xf>
    <xf borderId="1" fillId="4" fontId="11" numFmtId="0" xfId="0" applyAlignment="1" applyBorder="1" applyFont="1">
      <alignment readingOrder="0"/>
    </xf>
    <xf borderId="1" fillId="3" fontId="11" numFmtId="0" xfId="0" applyAlignment="1" applyBorder="1" applyFont="1">
      <alignment horizontal="center" readingOrder="0"/>
    </xf>
    <xf borderId="1" fillId="0" fontId="5" numFmtId="0" xfId="0" applyAlignment="1" applyBorder="1" applyFont="1">
      <alignment readingOrder="0" vertical="bottom"/>
    </xf>
    <xf borderId="1" fillId="8" fontId="5" numFmtId="0" xfId="0" applyAlignment="1" applyBorder="1" applyFont="1">
      <alignment readingOrder="0" vertical="bottom"/>
    </xf>
    <xf borderId="1" fillId="0" fontId="5" numFmtId="0" xfId="0" applyAlignment="1" applyBorder="1" applyFont="1">
      <alignment horizontal="left"/>
    </xf>
    <xf borderId="1" fillId="13" fontId="5" numFmtId="0" xfId="0" applyAlignment="1" applyBorder="1" applyFill="1" applyFont="1">
      <alignment readingOrder="0"/>
    </xf>
    <xf borderId="1" fillId="4" fontId="5" numFmtId="0" xfId="0" applyAlignment="1" applyBorder="1" applyFont="1">
      <alignment readingOrder="0" shrinkToFit="0" wrapText="1"/>
    </xf>
    <xf borderId="1" fillId="3" fontId="5" numFmtId="0" xfId="0" applyAlignment="1" applyBorder="1" applyFont="1">
      <alignment horizontal="center" readingOrder="0" shrinkToFit="0" wrapText="1"/>
    </xf>
    <xf borderId="1" fillId="3" fontId="5" numFmtId="0" xfId="0" applyAlignment="1" applyBorder="1" applyFont="1">
      <alignment horizontal="center" readingOrder="0" shrinkToFit="0" vertical="bottom" wrapText="1"/>
    </xf>
    <xf borderId="1" fillId="3" fontId="5" numFmtId="165" xfId="0" applyAlignment="1" applyBorder="1" applyFont="1" applyNumberFormat="1">
      <alignment horizontal="center" readingOrder="0" vertical="bottom"/>
    </xf>
    <xf borderId="1" fillId="0" fontId="5" numFmtId="165" xfId="0" applyAlignment="1" applyBorder="1" applyFont="1" applyNumberFormat="1">
      <alignment horizontal="center"/>
    </xf>
    <xf borderId="1" fillId="0" fontId="5" numFmtId="0" xfId="0" applyAlignment="1" applyBorder="1" applyFont="1">
      <alignment readingOrder="0"/>
    </xf>
    <xf borderId="1" fillId="3" fontId="5" numFmtId="165" xfId="0" applyAlignment="1" applyBorder="1" applyFont="1" applyNumberFormat="1">
      <alignment horizontal="center" readingOrder="0" vertical="top"/>
    </xf>
    <xf borderId="1" fillId="3" fontId="5" numFmtId="0" xfId="0" applyAlignment="1" applyBorder="1" applyFont="1">
      <alignment horizontal="left" readingOrder="0" shrinkToFit="0" vertical="bottom" wrapText="1"/>
    </xf>
    <xf borderId="0" fillId="4" fontId="12" numFmtId="0" xfId="0" applyAlignment="1" applyFont="1">
      <alignment horizontal="left" readingOrder="0"/>
    </xf>
    <xf borderId="1" fillId="3" fontId="5" numFmtId="0" xfId="0" applyAlignment="1" applyBorder="1" applyFont="1">
      <alignment horizontal="left" readingOrder="0" shrinkToFit="0" vertical="bottom" wrapText="1"/>
    </xf>
    <xf borderId="1" fillId="4" fontId="5" numFmtId="0" xfId="0" applyAlignment="1" applyBorder="1" applyFont="1">
      <alignment horizontal="left" readingOrder="0" shrinkToFit="0" vertical="bottom" wrapText="1"/>
    </xf>
    <xf borderId="0" fillId="4" fontId="13" numFmtId="0" xfId="0" applyAlignment="1" applyFont="1">
      <alignment horizontal="left" readingOrder="0"/>
    </xf>
    <xf borderId="1" fillId="0" fontId="5" numFmtId="165" xfId="0" applyAlignment="1" applyBorder="1" applyFont="1" applyNumberFormat="1">
      <alignment horizontal="center" readingOrder="0" vertical="top"/>
    </xf>
    <xf borderId="1" fillId="14" fontId="5" numFmtId="0" xfId="0" applyAlignment="1" applyBorder="1" applyFill="1" applyFont="1">
      <alignment readingOrder="0"/>
    </xf>
    <xf borderId="0" fillId="3" fontId="5" numFmtId="0" xfId="0" applyAlignment="1" applyFont="1">
      <alignment horizontal="center" readingOrder="0"/>
    </xf>
    <xf borderId="1" fillId="0" fontId="14" numFmtId="0" xfId="0" applyAlignment="1" applyBorder="1" applyFont="1">
      <alignment readingOrder="0"/>
    </xf>
    <xf borderId="1" fillId="3" fontId="14" numFmtId="0" xfId="0" applyAlignment="1" applyBorder="1" applyFont="1">
      <alignment horizontal="center" readingOrder="0"/>
    </xf>
    <xf borderId="1" fillId="2" fontId="15" numFmtId="0" xfId="0" applyAlignment="1" applyBorder="1" applyFont="1">
      <alignment horizontal="center" readingOrder="0" vertical="center"/>
    </xf>
    <xf borderId="1" fillId="2" fontId="15" numFmtId="0" xfId="0" applyAlignment="1" applyBorder="1" applyFont="1">
      <alignment horizontal="center" readingOrder="0" shrinkToFit="0" vertical="center" wrapText="0"/>
    </xf>
    <xf borderId="1" fillId="2" fontId="15" numFmtId="0" xfId="0" applyAlignment="1" applyBorder="1" applyFont="1">
      <alignment horizontal="center" vertical="center"/>
    </xf>
    <xf borderId="1" fillId="3" fontId="12" numFmtId="0" xfId="0" applyAlignment="1" applyBorder="1" applyFont="1">
      <alignment horizontal="left" readingOrder="0"/>
    </xf>
    <xf borderId="1" fillId="0" fontId="12" numFmtId="0" xfId="0" applyAlignment="1" applyBorder="1" applyFont="1">
      <alignment horizontal="left" readingOrder="0"/>
    </xf>
    <xf borderId="1" fillId="3" fontId="12" numFmtId="0" xfId="0" applyAlignment="1" applyBorder="1" applyFont="1">
      <alignment horizontal="center" readingOrder="0"/>
    </xf>
    <xf borderId="1" fillId="0" fontId="12" numFmtId="164" xfId="0" applyAlignment="1" applyBorder="1" applyFont="1" applyNumberFormat="1">
      <alignment horizontal="center" readingOrder="0"/>
    </xf>
    <xf borderId="1" fillId="5" fontId="12" numFmtId="0" xfId="0" applyAlignment="1" applyBorder="1" applyFont="1">
      <alignment horizontal="center" readingOrder="0"/>
    </xf>
    <xf borderId="1" fillId="6" fontId="12" numFmtId="0" xfId="0" applyAlignment="1" applyBorder="1" applyFont="1">
      <alignment horizontal="left" readingOrder="0"/>
    </xf>
    <xf borderId="1" fillId="8" fontId="12" numFmtId="0" xfId="0" applyAlignment="1" applyBorder="1" applyFont="1">
      <alignment horizontal="left" readingOrder="0"/>
    </xf>
    <xf borderId="1" fillId="0" fontId="12" numFmtId="0" xfId="0" applyAlignment="1" applyBorder="1" applyFont="1">
      <alignment horizontal="center"/>
    </xf>
    <xf borderId="1" fillId="0" fontId="12" numFmtId="0" xfId="0" applyAlignment="1" applyBorder="1" applyFont="1">
      <alignment horizontal="left"/>
    </xf>
    <xf borderId="1" fillId="3" fontId="12" numFmtId="0" xfId="0" applyAlignment="1" applyBorder="1" applyFont="1">
      <alignment readingOrder="0"/>
    </xf>
    <xf borderId="1" fillId="8" fontId="12" numFmtId="0" xfId="0" applyAlignment="1" applyBorder="1" applyFont="1">
      <alignment readingOrder="0"/>
    </xf>
    <xf borderId="1" fillId="4" fontId="12" numFmtId="0" xfId="0" applyAlignment="1" applyBorder="1" applyFont="1">
      <alignment readingOrder="0"/>
    </xf>
    <xf borderId="0" fillId="0" fontId="12" numFmtId="0" xfId="0" applyAlignment="1" applyFont="1">
      <alignment horizontal="left" readingOrder="0"/>
    </xf>
    <xf borderId="1" fillId="0" fontId="12" numFmtId="0" xfId="0" applyAlignment="1" applyBorder="1" applyFont="1">
      <alignment horizontal="center" readingOrder="0"/>
    </xf>
    <xf borderId="1" fillId="4" fontId="12" numFmtId="0" xfId="0" applyAlignment="1" applyBorder="1" applyFont="1">
      <alignment horizontal="left" readingOrder="0"/>
    </xf>
    <xf borderId="1" fillId="4" fontId="12" numFmtId="0" xfId="0" applyAlignment="1" applyBorder="1" applyFont="1">
      <alignment horizontal="center" readingOrder="0"/>
    </xf>
    <xf borderId="1" fillId="4" fontId="12" numFmtId="0" xfId="0" applyAlignment="1" applyBorder="1" applyFont="1">
      <alignment horizontal="left"/>
    </xf>
    <xf borderId="1" fillId="3" fontId="12" numFmtId="164" xfId="0" applyAlignment="1" applyBorder="1" applyFont="1" applyNumberFormat="1">
      <alignment horizontal="center" readingOrder="0"/>
    </xf>
    <xf borderId="1" fillId="3" fontId="12" numFmtId="0" xfId="0" applyAlignment="1" applyBorder="1" applyFont="1">
      <alignment readingOrder="0" shrinkToFit="0" wrapText="0"/>
    </xf>
    <xf borderId="1" fillId="11" fontId="12" numFmtId="0" xfId="0" applyAlignment="1" applyBorder="1" applyFont="1">
      <alignment readingOrder="0"/>
    </xf>
    <xf borderId="1" fillId="8" fontId="12" numFmtId="0" xfId="0" applyAlignment="1" applyBorder="1" applyFont="1">
      <alignment horizontal="center" readingOrder="0"/>
    </xf>
    <xf borderId="1" fillId="3" fontId="12" numFmtId="0" xfId="0" applyBorder="1" applyFont="1"/>
    <xf borderId="1" fillId="11" fontId="12" numFmtId="0" xfId="0" applyAlignment="1" applyBorder="1" applyFont="1">
      <alignment horizontal="left" readingOrder="0"/>
    </xf>
    <xf borderId="1" fillId="3" fontId="12" numFmtId="0" xfId="0" applyAlignment="1" applyBorder="1" applyFont="1">
      <alignment horizontal="left" readingOrder="0" shrinkToFit="0" wrapText="0"/>
    </xf>
    <xf borderId="1" fillId="3" fontId="12" numFmtId="0" xfId="0" applyAlignment="1" applyBorder="1" applyFont="1">
      <alignment horizontal="left"/>
    </xf>
    <xf borderId="1" fillId="3" fontId="12" numFmtId="0" xfId="0" applyAlignment="1" applyBorder="1" applyFont="1">
      <alignment horizontal="left" readingOrder="0" shrinkToFit="0" wrapText="0"/>
    </xf>
    <xf borderId="1" fillId="3" fontId="12" numFmtId="0" xfId="0" applyAlignment="1" applyBorder="1" applyFont="1">
      <alignment horizontal="center" readingOrder="0" shrinkToFit="0" wrapText="0"/>
    </xf>
    <xf borderId="1" fillId="3" fontId="12" numFmtId="164" xfId="0" applyAlignment="1" applyBorder="1" applyFont="1" applyNumberFormat="1">
      <alignment horizontal="center" readingOrder="0" shrinkToFit="0" wrapText="0"/>
    </xf>
    <xf borderId="1" fillId="6" fontId="12" numFmtId="0" xfId="0" applyAlignment="1" applyBorder="1" applyFont="1">
      <alignment readingOrder="0"/>
    </xf>
    <xf borderId="1" fillId="13" fontId="12" numFmtId="0" xfId="0" applyAlignment="1" applyBorder="1" applyFont="1">
      <alignment horizontal="center" readingOrder="0"/>
    </xf>
    <xf borderId="1" fillId="13" fontId="12" numFmtId="0" xfId="0" applyAlignment="1" applyBorder="1" applyFont="1">
      <alignment readingOrder="0"/>
    </xf>
    <xf borderId="1" fillId="0" fontId="12" numFmtId="0" xfId="0" applyAlignment="1" applyBorder="1" applyFont="1">
      <alignment readingOrder="0"/>
    </xf>
    <xf borderId="1" fillId="0" fontId="12" numFmtId="0" xfId="0" applyAlignment="1" applyBorder="1" applyFont="1">
      <alignment readingOrder="0" shrinkToFit="0" wrapText="1"/>
    </xf>
    <xf borderId="1" fillId="8" fontId="12" numFmtId="0" xfId="0" applyAlignment="1" applyBorder="1" applyFont="1">
      <alignment horizontal="center"/>
    </xf>
    <xf borderId="0" fillId="3" fontId="12" numFmtId="0" xfId="0" applyAlignment="1" applyFont="1">
      <alignment horizontal="left" readingOrder="0"/>
    </xf>
    <xf borderId="0" fillId="15" fontId="6" numFmtId="0" xfId="0" applyAlignment="1" applyFill="1" applyFont="1">
      <alignment readingOrder="0"/>
    </xf>
    <xf borderId="0" fillId="0" fontId="12" numFmtId="0" xfId="0" applyAlignment="1" applyFont="1">
      <alignment horizontal="center" readingOrder="0"/>
    </xf>
    <xf borderId="1" fillId="0" fontId="12" numFmtId="165" xfId="0" applyAlignment="1" applyBorder="1" applyFont="1" applyNumberFormat="1">
      <alignment horizontal="center" readingOrder="0"/>
    </xf>
    <xf borderId="1" fillId="3" fontId="12" numFmtId="0" xfId="0" applyAlignment="1" applyBorder="1" applyFont="1">
      <alignment horizontal="center"/>
    </xf>
    <xf borderId="0" fillId="0" fontId="12" numFmtId="0" xfId="0" applyAlignment="1" applyFont="1">
      <alignment readingOrder="0" shrinkToFit="0" wrapText="1"/>
    </xf>
    <xf borderId="1" fillId="16" fontId="12" numFmtId="0" xfId="0" applyAlignment="1" applyBorder="1" applyFill="1" applyFont="1">
      <alignment horizontal="left" readingOrder="0"/>
    </xf>
    <xf borderId="1" fillId="17" fontId="12" numFmtId="0" xfId="0" applyAlignment="1" applyBorder="1" applyFill="1" applyFont="1">
      <alignment horizontal="left" readingOrder="0"/>
    </xf>
    <xf borderId="1" fillId="17" fontId="12" numFmtId="0" xfId="0" applyAlignment="1" applyBorder="1" applyFont="1">
      <alignment horizontal="center" readingOrder="0"/>
    </xf>
    <xf borderId="1" fillId="3" fontId="12" numFmtId="0" xfId="0" applyAlignment="1" applyBorder="1" applyFont="1">
      <alignment horizontal="left" readingOrder="0" vertical="top"/>
    </xf>
    <xf borderId="0" fillId="11" fontId="6" numFmtId="0" xfId="0" applyAlignment="1" applyFont="1">
      <alignment readingOrder="0"/>
    </xf>
    <xf borderId="1" fillId="9" fontId="12" numFmtId="0" xfId="0" applyAlignment="1" applyBorder="1" applyFont="1">
      <alignment horizontal="left" readingOrder="0"/>
    </xf>
    <xf borderId="1" fillId="3" fontId="12" numFmtId="0" xfId="0" applyAlignment="1" applyBorder="1" applyFont="1">
      <alignment readingOrder="0"/>
    </xf>
    <xf borderId="0" fillId="11" fontId="6" numFmtId="0" xfId="0" applyAlignment="1" applyFont="1">
      <alignment readingOrder="0" shrinkToFit="0" wrapText="1"/>
    </xf>
    <xf borderId="0" fillId="0" fontId="16" numFmtId="0" xfId="0" applyAlignment="1" applyFont="1">
      <alignment horizontal="center" readingOrder="0" shrinkToFit="0" vertical="bottom" wrapText="0"/>
    </xf>
    <xf borderId="0" fillId="3" fontId="17" numFmtId="0" xfId="0" applyAlignment="1" applyFont="1">
      <alignment shrinkToFit="0" vertical="bottom" wrapText="1"/>
    </xf>
    <xf borderId="0" fillId="3" fontId="12" numFmtId="0" xfId="0" applyAlignment="1" applyFont="1">
      <alignment horizontal="left"/>
    </xf>
    <xf borderId="0" fillId="0" fontId="12" numFmtId="0" xfId="0" applyAlignment="1" applyFont="1">
      <alignment readingOrder="0"/>
    </xf>
    <xf borderId="1" fillId="11" fontId="12" numFmtId="0" xfId="0" applyAlignment="1" applyBorder="1" applyFont="1">
      <alignment horizontal="center" readingOrder="0"/>
    </xf>
    <xf borderId="1" fillId="3" fontId="12" numFmtId="0" xfId="0" applyAlignment="1" applyBorder="1" applyFont="1">
      <alignment readingOrder="0" shrinkToFit="0" wrapText="1"/>
    </xf>
    <xf borderId="1" fillId="3" fontId="12" numFmtId="0" xfId="0" applyAlignment="1" applyBorder="1" applyFont="1">
      <alignment horizontal="center" readingOrder="0" shrinkToFit="0" wrapText="1"/>
    </xf>
    <xf borderId="0" fillId="3" fontId="12" numFmtId="0" xfId="0" applyAlignment="1" applyFont="1">
      <alignment readingOrder="0"/>
    </xf>
    <xf borderId="1" fillId="3" fontId="12" numFmtId="0" xfId="0" applyAlignment="1" applyBorder="1" applyFont="1">
      <alignment horizontal="center" readingOrder="0" shrinkToFit="0" vertical="bottom" wrapText="1"/>
    </xf>
    <xf borderId="1" fillId="3" fontId="12" numFmtId="0" xfId="0" applyAlignment="1" applyBorder="1" applyFont="1">
      <alignment readingOrder="0" shrinkToFit="0" vertical="bottom" wrapText="1"/>
    </xf>
    <xf borderId="2" fillId="0" fontId="12" numFmtId="0" xfId="0" applyAlignment="1" applyBorder="1" applyFont="1">
      <alignment readingOrder="0"/>
    </xf>
    <xf borderId="1" fillId="3" fontId="18" numFmtId="0" xfId="0" applyAlignment="1" applyBorder="1" applyFont="1">
      <alignment readingOrder="0" vertical="bottom"/>
    </xf>
    <xf borderId="1" fillId="9" fontId="18" numFmtId="0" xfId="0" applyAlignment="1" applyBorder="1" applyFont="1">
      <alignment vertical="bottom"/>
    </xf>
    <xf borderId="1" fillId="18" fontId="12" numFmtId="0" xfId="0" applyAlignment="1" applyBorder="1" applyFill="1" applyFont="1">
      <alignment horizontal="left" readingOrder="0"/>
    </xf>
    <xf borderId="1" fillId="0" fontId="12" numFmtId="0" xfId="0" applyAlignment="1" applyBorder="1" applyFont="1">
      <alignment vertical="bottom"/>
    </xf>
    <xf borderId="1" fillId="0" fontId="12" numFmtId="0" xfId="0" applyAlignment="1" applyBorder="1" applyFont="1">
      <alignment horizontal="center" vertical="bottom"/>
    </xf>
    <xf borderId="1" fillId="0" fontId="12" numFmtId="0" xfId="0" applyAlignment="1" applyBorder="1" applyFont="1">
      <alignment vertical="bottom"/>
    </xf>
    <xf borderId="1" fillId="0" fontId="12" numFmtId="0" xfId="0" applyAlignment="1" applyBorder="1" applyFont="1">
      <alignment readingOrder="0" shrinkToFit="0" vertical="bottom" wrapText="1"/>
    </xf>
    <xf borderId="0" fillId="0" fontId="12" numFmtId="0" xfId="0" applyAlignment="1" applyFont="1">
      <alignment horizontal="center"/>
    </xf>
    <xf borderId="1" fillId="0" fontId="12" numFmtId="0" xfId="0" applyAlignment="1" applyBorder="1" applyFont="1">
      <alignment horizontal="center" vertical="bottom"/>
    </xf>
    <xf borderId="0" fillId="0" fontId="12" numFmtId="0" xfId="0" applyAlignment="1" applyFont="1">
      <alignment vertical="bottom"/>
    </xf>
    <xf borderId="1" fillId="0" fontId="12" numFmtId="0" xfId="0" applyAlignment="1" applyBorder="1" applyFont="1">
      <alignment readingOrder="0" vertical="bottom"/>
    </xf>
    <xf borderId="1" fillId="4" fontId="12" numFmtId="0" xfId="0" applyAlignment="1" applyBorder="1" applyFont="1">
      <alignment horizontal="center" vertical="bottom"/>
    </xf>
    <xf borderId="1" fillId="4" fontId="12" numFmtId="0" xfId="0" applyAlignment="1" applyBorder="1" applyFont="1">
      <alignment horizontal="center" readingOrder="0" vertical="bottom"/>
    </xf>
    <xf borderId="0" fillId="0" fontId="19" numFmtId="0" xfId="0" applyAlignment="1" applyFont="1">
      <alignment readingOrder="0"/>
    </xf>
    <xf borderId="1" fillId="11" fontId="12" numFmtId="0" xfId="0" applyAlignment="1" applyBorder="1" applyFont="1">
      <alignment horizontal="center" readingOrder="0" vertical="bottom"/>
    </xf>
    <xf borderId="0" fillId="3" fontId="12" numFmtId="0" xfId="0" applyAlignment="1" applyFont="1">
      <alignment readingOrder="0"/>
    </xf>
    <xf borderId="0" fillId="4" fontId="12" numFmtId="0" xfId="0" applyAlignment="1" applyFont="1">
      <alignment readingOrder="0"/>
    </xf>
    <xf borderId="0" fillId="11" fontId="20" numFmtId="0" xfId="0" applyAlignment="1" applyFont="1">
      <alignment readingOrder="0"/>
    </xf>
    <xf borderId="0" fillId="19" fontId="20" numFmtId="0" xfId="0" applyAlignment="1" applyFill="1" applyFont="1">
      <alignment readingOrder="0"/>
    </xf>
    <xf borderId="0" fillId="11" fontId="12" numFmtId="0" xfId="0" applyAlignment="1" applyFont="1">
      <alignment readingOrder="0"/>
    </xf>
    <xf borderId="1" fillId="5" fontId="12" numFmtId="0" xfId="0" applyAlignment="1" applyBorder="1" applyFont="1">
      <alignment horizontal="left" readingOrder="0"/>
    </xf>
    <xf borderId="1" fillId="5" fontId="12" numFmtId="0" xfId="0" applyAlignment="1" applyBorder="1" applyFont="1">
      <alignment horizontal="center" readingOrder="0" vertical="bottom"/>
    </xf>
    <xf borderId="0" fillId="3" fontId="12" numFmtId="0" xfId="0" applyAlignment="1" applyFont="1">
      <alignment horizontal="center" readingOrder="0"/>
    </xf>
    <xf borderId="1" fillId="0" fontId="12" numFmtId="0" xfId="0" applyBorder="1" applyFont="1"/>
    <xf borderId="1" fillId="3" fontId="12" numFmtId="0" xfId="0" applyAlignment="1" applyBorder="1" applyFont="1">
      <alignment shrinkToFit="0" vertical="bottom" wrapText="1"/>
    </xf>
    <xf borderId="0" fillId="11" fontId="6" numFmtId="0" xfId="0" applyAlignment="1" applyFont="1">
      <alignment horizontal="center" readingOrder="0"/>
    </xf>
    <xf borderId="1" fillId="20" fontId="12" numFmtId="0" xfId="0" applyAlignment="1" applyBorder="1" applyFill="1" applyFont="1">
      <alignment horizontal="left" readingOrder="0"/>
    </xf>
    <xf borderId="1" fillId="3" fontId="5" numFmtId="0" xfId="0" applyAlignment="1" applyBorder="1" applyFont="1">
      <alignment horizontal="left"/>
    </xf>
    <xf borderId="1" fillId="2" fontId="0" numFmtId="0" xfId="0" applyAlignment="1" applyBorder="1" applyFont="1">
      <alignment horizontal="left" readingOrder="0"/>
    </xf>
    <xf borderId="1" fillId="2" fontId="21" numFmtId="0" xfId="0" applyAlignment="1" applyBorder="1" applyFont="1">
      <alignment horizontal="center" readingOrder="0" vertical="center"/>
    </xf>
    <xf borderId="1" fillId="2" fontId="21" numFmtId="0" xfId="0" applyAlignment="1" applyBorder="1" applyFont="1">
      <alignment horizontal="center" readingOrder="0" shrinkToFit="0" vertical="center" wrapText="0"/>
    </xf>
    <xf borderId="1" fillId="2" fontId="21" numFmtId="0" xfId="0" applyAlignment="1" applyBorder="1" applyFont="1">
      <alignment horizontal="center" vertical="center"/>
    </xf>
    <xf borderId="1" fillId="11" fontId="5" numFmtId="0" xfId="0" applyAlignment="1" applyBorder="1" applyFont="1">
      <alignment horizontal="left" readingOrder="0"/>
    </xf>
    <xf borderId="1" fillId="9" fontId="5" numFmtId="0" xfId="0" applyAlignment="1" applyBorder="1" applyFont="1">
      <alignment horizontal="left" readingOrder="0"/>
    </xf>
    <xf borderId="1" fillId="3" fontId="5" numFmtId="0" xfId="0" applyAlignment="1" applyBorder="1" applyFont="1">
      <alignment horizontal="center" readingOrder="0" shrinkToFit="0" wrapText="0"/>
    </xf>
    <xf borderId="1" fillId="7" fontId="5" numFmtId="0" xfId="0" applyAlignment="1" applyBorder="1" applyFont="1">
      <alignment horizontal="left" readingOrder="0"/>
    </xf>
    <xf borderId="1" fillId="6" fontId="5" numFmtId="0" xfId="0" applyAlignment="1" applyBorder="1" applyFont="1">
      <alignment horizontal="left" readingOrder="0"/>
    </xf>
    <xf borderId="1" fillId="5" fontId="5" numFmtId="0" xfId="0" applyAlignment="1" applyBorder="1" applyFont="1">
      <alignment horizontal="left" readingOrder="0"/>
    </xf>
    <xf borderId="1" fillId="5" fontId="11" numFmtId="0" xfId="0" applyAlignment="1" applyBorder="1" applyFont="1">
      <alignment horizontal="center" readingOrder="0"/>
    </xf>
    <xf borderId="1" fillId="21" fontId="5" numFmtId="0" xfId="0" applyAlignment="1" applyBorder="1" applyFill="1" applyFont="1">
      <alignment horizontal="left" readingOrder="0"/>
    </xf>
    <xf borderId="1" fillId="22" fontId="22" numFmtId="0" xfId="0" applyAlignment="1" applyBorder="1" applyFill="1" applyFont="1">
      <alignment readingOrder="0"/>
    </xf>
    <xf borderId="0" fillId="3" fontId="17" numFmtId="0" xfId="0" applyAlignment="1" applyFont="1">
      <alignment readingOrder="0"/>
    </xf>
    <xf borderId="1" fillId="23" fontId="5" numFmtId="0" xfId="0" applyAlignment="1" applyBorder="1" applyFill="1" applyFont="1">
      <alignment horizontal="left" readingOrder="0"/>
    </xf>
    <xf borderId="1" fillId="7" fontId="4" numFmtId="0" xfId="0" applyAlignment="1" applyBorder="1" applyFont="1">
      <alignment horizontal="left" readingOrder="0"/>
    </xf>
    <xf borderId="0" fillId="7" fontId="23" numFmtId="0" xfId="0" applyAlignment="1" applyFont="1">
      <alignment readingOrder="0"/>
    </xf>
    <xf borderId="1" fillId="3" fontId="23" numFmtId="0" xfId="0" applyAlignment="1" applyBorder="1" applyFont="1">
      <alignment horizontal="center" readingOrder="0"/>
    </xf>
    <xf borderId="1" fillId="3" fontId="5" numFmtId="0" xfId="0" applyAlignment="1" applyBorder="1" applyFont="1">
      <alignment readingOrder="0"/>
    </xf>
    <xf borderId="1" fillId="10" fontId="6" numFmtId="0" xfId="0" applyAlignment="1" applyBorder="1" applyFont="1">
      <alignment readingOrder="0"/>
    </xf>
    <xf borderId="1" fillId="11" fontId="23" numFmtId="0" xfId="0" applyAlignment="1" applyBorder="1" applyFont="1">
      <alignment readingOrder="0"/>
    </xf>
    <xf borderId="1" fillId="11" fontId="24" numFmtId="0" xfId="0" applyAlignment="1" applyBorder="1" applyFont="1">
      <alignment horizontal="left" readingOrder="0"/>
    </xf>
    <xf borderId="1" fillId="5" fontId="6" numFmtId="0" xfId="0" applyAlignment="1" applyBorder="1" applyFont="1">
      <alignment readingOrder="0"/>
    </xf>
    <xf borderId="1" fillId="3" fontId="25" numFmtId="0" xfId="0" applyAlignment="1" applyBorder="1" applyFont="1">
      <alignment horizontal="left" readingOrder="0"/>
    </xf>
    <xf borderId="1" fillId="3" fontId="5" numFmtId="0" xfId="0" applyAlignment="1" applyBorder="1" applyFont="1">
      <alignment horizontal="left" readingOrder="0"/>
    </xf>
    <xf borderId="1" fillId="0" fontId="5" numFmtId="0" xfId="0" applyAlignment="1" applyBorder="1" applyFont="1">
      <alignment horizontal="left" readingOrder="0"/>
    </xf>
    <xf borderId="1" fillId="0" fontId="9" numFmtId="0" xfId="0" applyAlignment="1" applyBorder="1" applyFont="1">
      <alignment readingOrder="0"/>
    </xf>
    <xf borderId="1" fillId="7" fontId="5" numFmtId="0" xfId="0" applyAlignment="1" applyBorder="1" applyFont="1">
      <alignment horizontal="center" readingOrder="0"/>
    </xf>
    <xf borderId="1" fillId="7" fontId="5" numFmtId="0" xfId="0" applyAlignment="1" applyBorder="1" applyFont="1">
      <alignment horizontal="center"/>
    </xf>
    <xf borderId="1" fillId="3" fontId="6" numFmtId="0" xfId="0" applyAlignment="1" applyBorder="1" applyFont="1">
      <alignment readingOrder="0"/>
    </xf>
    <xf borderId="1" fillId="11" fontId="6" numFmtId="0" xfId="0" applyAlignment="1" applyBorder="1" applyFont="1">
      <alignment readingOrder="0"/>
    </xf>
    <xf borderId="1" fillId="3" fontId="0" numFmtId="0" xfId="0" applyAlignment="1" applyBorder="1" applyFont="1">
      <alignment horizontal="left" readingOrder="0"/>
    </xf>
    <xf borderId="1" fillId="7" fontId="5" numFmtId="0" xfId="0" applyAlignment="1" applyBorder="1" applyFont="1">
      <alignment readingOrder="0" vertical="bottom"/>
    </xf>
    <xf borderId="1" fillId="9" fontId="5" numFmtId="0" xfId="0" applyAlignment="1" applyBorder="1" applyFont="1">
      <alignment readingOrder="0" vertical="bottom"/>
    </xf>
    <xf borderId="1" fillId="5" fontId="5" numFmtId="0" xfId="0" applyAlignment="1" applyBorder="1" applyFont="1">
      <alignment vertical="bottom"/>
    </xf>
    <xf borderId="1" fillId="11" fontId="22" numFmtId="0" xfId="0" applyAlignment="1" applyBorder="1" applyFont="1">
      <alignment readingOrder="0"/>
    </xf>
    <xf borderId="1" fillId="24" fontId="5" numFmtId="0" xfId="0" applyAlignment="1" applyBorder="1" applyFill="1" applyFont="1">
      <alignment horizontal="left" readingOrder="0"/>
    </xf>
    <xf borderId="1" fillId="10" fontId="5" numFmtId="0" xfId="0" applyAlignment="1" applyBorder="1" applyFont="1">
      <alignment readingOrder="0"/>
    </xf>
    <xf borderId="1" fillId="7" fontId="12" numFmtId="0" xfId="0" applyAlignment="1" applyBorder="1" applyFont="1">
      <alignment readingOrder="0"/>
    </xf>
    <xf borderId="1" fillId="11" fontId="5" numFmtId="0" xfId="0" applyAlignment="1" applyBorder="1" applyFont="1">
      <alignment readingOrder="0" shrinkToFit="0" wrapText="1"/>
    </xf>
    <xf borderId="1" fillId="11" fontId="5" numFmtId="0" xfId="0" applyAlignment="1" applyBorder="1" applyFont="1">
      <alignment readingOrder="0" shrinkToFit="0" vertical="bottom" wrapText="1"/>
    </xf>
    <xf borderId="1" fillId="11" fontId="5" numFmtId="0" xfId="0" applyAlignment="1" applyBorder="1" applyFont="1">
      <alignment readingOrder="0" shrinkToFit="0" vertical="bottom" wrapText="0"/>
    </xf>
    <xf borderId="1" fillId="10" fontId="5" numFmtId="0" xfId="0" applyAlignment="1" applyBorder="1" applyFont="1">
      <alignment readingOrder="0" shrinkToFit="0" wrapText="1"/>
    </xf>
    <xf borderId="1" fillId="3" fontId="5" numFmtId="0" xfId="0" applyAlignment="1" applyBorder="1" applyFont="1">
      <alignment shrinkToFit="0" vertical="bottom" wrapText="1"/>
    </xf>
    <xf borderId="1" fillId="11" fontId="4" numFmtId="0" xfId="0" applyAlignment="1" applyBorder="1" applyFont="1">
      <alignment horizontal="left" readingOrder="0"/>
    </xf>
    <xf borderId="1" fillId="11" fontId="22" numFmtId="0" xfId="0" applyAlignment="1" applyBorder="1" applyFont="1">
      <alignment readingOrder="0" shrinkToFit="0" wrapText="1"/>
    </xf>
    <xf borderId="1" fillId="11" fontId="12" numFmtId="0" xfId="0" applyAlignment="1" applyBorder="1" applyFont="1">
      <alignment readingOrder="0" shrinkToFit="0" vertical="bottom" wrapText="1"/>
    </xf>
    <xf borderId="1" fillId="0" fontId="26" numFmtId="0" xfId="0" applyBorder="1" applyFont="1"/>
    <xf borderId="1" fillId="5" fontId="22" numFmtId="0" xfId="0" applyAlignment="1" applyBorder="1" applyFont="1">
      <alignment readingOrder="0"/>
    </xf>
    <xf borderId="1" fillId="7" fontId="22" numFmtId="0" xfId="0" applyAlignment="1" applyBorder="1" applyFont="1">
      <alignment readingOrder="0"/>
    </xf>
    <xf borderId="1" fillId="5" fontId="12" numFmtId="0" xfId="0" applyAlignment="1" applyBorder="1" applyFont="1">
      <alignment readingOrder="0"/>
    </xf>
    <xf borderId="1" fillId="5" fontId="22" numFmtId="0" xfId="0" applyAlignment="1" applyBorder="1" applyFont="1">
      <alignment horizontal="center" readingOrder="0"/>
    </xf>
    <xf borderId="1" fillId="3" fontId="22" numFmtId="0" xfId="0" applyAlignment="1" applyBorder="1" applyFont="1">
      <alignment readingOrder="0"/>
    </xf>
    <xf borderId="1" fillId="7" fontId="14" numFmtId="0" xfId="0" applyAlignment="1" applyBorder="1" applyFont="1">
      <alignment vertical="bottom"/>
    </xf>
    <xf borderId="1" fillId="3" fontId="27" numFmtId="0" xfId="0" applyAlignment="1" applyBorder="1" applyFont="1">
      <alignment horizontal="left" readingOrder="0"/>
    </xf>
    <xf borderId="1" fillId="3" fontId="22" numFmtId="0" xfId="0" applyAlignment="1" applyBorder="1" applyFont="1">
      <alignment horizontal="center" readingOrder="0"/>
    </xf>
    <xf borderId="0" fillId="11" fontId="22" numFmtId="0" xfId="0" applyAlignment="1" applyFont="1">
      <alignment readingOrder="0"/>
    </xf>
    <xf borderId="0" fillId="0" fontId="9" numFmtId="0" xfId="0" applyAlignment="1" applyFont="1">
      <alignment readingOrder="0"/>
    </xf>
    <xf borderId="1" fillId="3" fontId="28" numFmtId="0" xfId="0" applyAlignment="1" applyBorder="1" applyFont="1">
      <alignment readingOrder="0" shrinkToFit="0" wrapText="0"/>
    </xf>
    <xf borderId="1" fillId="2" fontId="29" numFmtId="0" xfId="0" applyAlignment="1" applyBorder="1" applyFont="1">
      <alignment horizontal="center" readingOrder="0" vertical="center"/>
    </xf>
    <xf borderId="1" fillId="2" fontId="29" numFmtId="0" xfId="0" applyAlignment="1" applyBorder="1" applyFont="1">
      <alignment horizontal="center" readingOrder="0" shrinkToFit="0" vertical="center" wrapText="0"/>
    </xf>
    <xf borderId="0" fillId="2" fontId="29" numFmtId="0" xfId="0" applyAlignment="1" applyFont="1">
      <alignment horizontal="center" readingOrder="0" vertical="center"/>
    </xf>
    <xf borderId="1" fillId="0" fontId="30" numFmtId="0" xfId="0" applyAlignment="1" applyBorder="1" applyFont="1">
      <alignment horizontal="left" readingOrder="0"/>
    </xf>
    <xf borderId="1" fillId="0" fontId="30" numFmtId="0" xfId="0" applyAlignment="1" applyBorder="1" applyFont="1">
      <alignment horizontal="left" readingOrder="0"/>
    </xf>
    <xf borderId="1" fillId="0" fontId="30" numFmtId="0" xfId="0" applyAlignment="1" applyBorder="1" applyFont="1">
      <alignment horizontal="center" readingOrder="0"/>
    </xf>
    <xf borderId="1" fillId="11" fontId="30" numFmtId="0" xfId="0" applyAlignment="1" applyBorder="1" applyFont="1">
      <alignment horizontal="left" readingOrder="0"/>
    </xf>
    <xf borderId="1" fillId="5" fontId="30" numFmtId="0" xfId="0" applyAlignment="1" applyBorder="1" applyFont="1">
      <alignment horizontal="center" readingOrder="0"/>
    </xf>
    <xf borderId="1" fillId="7" fontId="30" numFmtId="0" xfId="0" applyAlignment="1" applyBorder="1" applyFont="1">
      <alignment horizontal="left" readingOrder="0"/>
    </xf>
    <xf borderId="1" fillId="0" fontId="30" numFmtId="0" xfId="0" applyAlignment="1" applyBorder="1" applyFont="1">
      <alignment horizontal="center"/>
    </xf>
    <xf borderId="1" fillId="0" fontId="30" numFmtId="0" xfId="0" applyAlignment="1" applyBorder="1" applyFont="1">
      <alignment horizontal="left"/>
    </xf>
    <xf borderId="0" fillId="0" fontId="30" numFmtId="0" xfId="0" applyAlignment="1" applyFont="1">
      <alignment horizontal="left"/>
    </xf>
    <xf borderId="1" fillId="5" fontId="30" numFmtId="0" xfId="0" applyAlignment="1" applyBorder="1" applyFont="1">
      <alignment horizontal="left" readingOrder="0"/>
    </xf>
    <xf borderId="1" fillId="11" fontId="30" numFmtId="0" xfId="0" applyAlignment="1" applyBorder="1" applyFont="1">
      <alignment horizontal="center" readingOrder="0"/>
    </xf>
    <xf borderId="1" fillId="0" fontId="30" numFmtId="165" xfId="0" applyAlignment="1" applyBorder="1" applyFont="1" applyNumberFormat="1">
      <alignment horizontal="center" readingOrder="0"/>
    </xf>
    <xf borderId="1" fillId="0" fontId="30" numFmtId="164" xfId="0" applyAlignment="1" applyBorder="1" applyFont="1" applyNumberFormat="1">
      <alignment horizontal="center" readingOrder="0"/>
    </xf>
    <xf borderId="1" fillId="3" fontId="30" numFmtId="0" xfId="0" applyAlignment="1" applyBorder="1" applyFont="1">
      <alignment horizontal="left" readingOrder="0"/>
    </xf>
    <xf borderId="1" fillId="3" fontId="30" numFmtId="0" xfId="0" applyAlignment="1" applyBorder="1" applyFont="1">
      <alignment horizontal="left" readingOrder="0"/>
    </xf>
    <xf borderId="1" fillId="3" fontId="30" numFmtId="0" xfId="0" applyAlignment="1" applyBorder="1" applyFont="1">
      <alignment horizontal="center" readingOrder="0"/>
    </xf>
    <xf borderId="1" fillId="3" fontId="30" numFmtId="0" xfId="0" applyAlignment="1" applyBorder="1" applyFont="1">
      <alignment horizontal="center"/>
    </xf>
    <xf borderId="1" fillId="3" fontId="30" numFmtId="0" xfId="0" applyAlignment="1" applyBorder="1" applyFont="1">
      <alignment horizontal="left"/>
    </xf>
    <xf borderId="0" fillId="3" fontId="30" numFmtId="0" xfId="0" applyAlignment="1" applyFont="1">
      <alignment horizontal="left"/>
    </xf>
    <xf borderId="1" fillId="7" fontId="30" numFmtId="0" xfId="0" applyAlignment="1" applyBorder="1" applyFont="1">
      <alignment horizontal="center" readingOrder="0"/>
    </xf>
    <xf borderId="1" fillId="3" fontId="30" numFmtId="164" xfId="0" applyAlignment="1" applyBorder="1" applyFont="1" applyNumberFormat="1">
      <alignment horizontal="center" readingOrder="0"/>
    </xf>
    <xf borderId="3" fillId="25" fontId="31" numFmtId="0" xfId="0" applyAlignment="1" applyBorder="1" applyFill="1" applyFont="1">
      <alignment horizontal="center" readingOrder="0" vertical="center"/>
    </xf>
    <xf borderId="3" fillId="25" fontId="31" numFmtId="0" xfId="0" applyAlignment="1" applyBorder="1" applyFont="1">
      <alignment horizontal="center" readingOrder="0" shrinkToFit="0" vertical="center" wrapText="0"/>
    </xf>
    <xf borderId="3" fillId="0" fontId="30" numFmtId="0" xfId="0" applyAlignment="1" applyBorder="1" applyFont="1">
      <alignment readingOrder="0"/>
    </xf>
    <xf borderId="3" fillId="0" fontId="30" numFmtId="0" xfId="0" applyAlignment="1" applyBorder="1" applyFont="1">
      <alignment readingOrder="0"/>
    </xf>
    <xf borderId="3" fillId="0" fontId="30" numFmtId="0" xfId="0" applyAlignment="1" applyBorder="1" applyFont="1">
      <alignment horizontal="center" readingOrder="0"/>
    </xf>
    <xf borderId="3" fillId="0" fontId="30" numFmtId="0" xfId="0" applyAlignment="1" applyBorder="1" applyFont="1">
      <alignment horizontal="left" readingOrder="0"/>
    </xf>
    <xf borderId="3" fillId="11" fontId="30" numFmtId="0" xfId="0" applyAlignment="1" applyBorder="1" applyFont="1">
      <alignment horizontal="left" readingOrder="0"/>
    </xf>
    <xf borderId="3" fillId="11" fontId="30" numFmtId="0" xfId="0" applyAlignment="1" applyBorder="1" applyFont="1">
      <alignment readingOrder="0"/>
    </xf>
    <xf borderId="3" fillId="7" fontId="30" numFmtId="0" xfId="0" applyAlignment="1" applyBorder="1" applyFont="1">
      <alignment readingOrder="0"/>
    </xf>
    <xf borderId="3" fillId="0" fontId="30" numFmtId="0" xfId="0" applyBorder="1" applyFont="1"/>
    <xf borderId="3" fillId="5" fontId="30" numFmtId="0" xfId="0" applyAlignment="1" applyBorder="1" applyFont="1">
      <alignment readingOrder="0"/>
    </xf>
    <xf borderId="3" fillId="3" fontId="30" numFmtId="0" xfId="0" applyAlignment="1" applyBorder="1" applyFont="1">
      <alignment horizontal="center" readingOrder="0"/>
    </xf>
    <xf borderId="3" fillId="0" fontId="32" numFmtId="0" xfId="0" applyAlignment="1" applyBorder="1" applyFont="1">
      <alignment readingOrder="0"/>
    </xf>
    <xf borderId="3" fillId="0" fontId="32" numFmtId="0" xfId="0" applyAlignment="1" applyBorder="1" applyFont="1">
      <alignment readingOrder="0"/>
    </xf>
    <xf borderId="3" fillId="0" fontId="32" numFmtId="0" xfId="0" applyAlignment="1" applyBorder="1" applyFont="1">
      <alignment horizontal="center" readingOrder="0"/>
    </xf>
    <xf borderId="3" fillId="0" fontId="32" numFmtId="0" xfId="0" applyAlignment="1" applyBorder="1" applyFont="1">
      <alignment horizontal="left" readingOrder="0"/>
    </xf>
    <xf borderId="3" fillId="11" fontId="32" numFmtId="0" xfId="0" applyAlignment="1" applyBorder="1" applyFont="1">
      <alignment horizontal="left" readingOrder="0"/>
    </xf>
    <xf borderId="3" fillId="0" fontId="32" numFmtId="0" xfId="0" applyBorder="1" applyFont="1"/>
    <xf borderId="3" fillId="5" fontId="32" numFmtId="0" xfId="0" applyAlignment="1" applyBorder="1" applyFont="1">
      <alignment readingOrder="0"/>
    </xf>
    <xf borderId="3" fillId="7" fontId="32" numFmtId="0" xfId="0" applyAlignment="1" applyBorder="1" applyFont="1">
      <alignment readingOrder="0"/>
    </xf>
    <xf borderId="3" fillId="5" fontId="32" numFmtId="0" xfId="0" applyAlignment="1" applyBorder="1" applyFont="1">
      <alignment horizontal="left" readingOrder="0"/>
    </xf>
    <xf borderId="3" fillId="11" fontId="32" numFmtId="0" xfId="0" applyAlignment="1" applyBorder="1" applyFont="1">
      <alignment readingOrder="0"/>
    </xf>
    <xf borderId="3" fillId="7" fontId="30" numFmtId="0" xfId="0" applyAlignment="1" applyBorder="1" applyFont="1">
      <alignment horizontal="left" readingOrder="0"/>
    </xf>
    <xf borderId="3" fillId="0" fontId="32" numFmtId="0" xfId="0" applyAlignment="1" applyBorder="1" applyFont="1">
      <alignment horizontal="center"/>
    </xf>
    <xf borderId="3" fillId="0" fontId="32" numFmtId="0" xfId="0" applyAlignment="1" applyBorder="1" applyFont="1">
      <alignment horizontal="left"/>
    </xf>
    <xf borderId="3" fillId="7" fontId="32" numFmtId="0" xfId="0" applyAlignment="1" applyBorder="1" applyFont="1">
      <alignment horizontal="left" readingOrder="0"/>
    </xf>
    <xf borderId="3" fillId="0" fontId="30" numFmtId="0" xfId="0" applyAlignment="1" applyBorder="1" applyFont="1">
      <alignment horizontal="center"/>
    </xf>
    <xf borderId="3" fillId="3" fontId="32" numFmtId="0" xfId="0" applyAlignment="1" applyBorder="1" applyFont="1">
      <alignment horizontal="left" readingOrder="0"/>
    </xf>
    <xf borderId="3" fillId="3" fontId="30" numFmtId="0" xfId="0" applyAlignment="1" applyBorder="1" applyFont="1">
      <alignment readingOrder="0"/>
    </xf>
    <xf borderId="3" fillId="3" fontId="32" numFmtId="0" xfId="0" applyAlignment="1" applyBorder="1" applyFont="1">
      <alignment readingOrder="0"/>
    </xf>
    <xf borderId="3" fillId="3" fontId="30" numFmtId="0" xfId="0" applyAlignment="1" applyBorder="1" applyFont="1">
      <alignment horizontal="left" readingOrder="0"/>
    </xf>
    <xf borderId="3" fillId="11" fontId="33" numFmtId="0" xfId="0" applyAlignment="1" applyBorder="1" applyFont="1">
      <alignment readingOrder="0"/>
    </xf>
    <xf borderId="3" fillId="3" fontId="32" numFmtId="0" xfId="0" applyAlignment="1" applyBorder="1" applyFont="1">
      <alignment readingOrder="0" vertical="bottom"/>
    </xf>
    <xf borderId="3" fillId="3" fontId="34" numFmtId="0" xfId="0" applyAlignment="1" applyBorder="1" applyFont="1">
      <alignment horizontal="left" readingOrder="0"/>
    </xf>
    <xf borderId="3" fillId="26" fontId="35" numFmtId="0" xfId="0" applyAlignment="1" applyBorder="1" applyFill="1" applyFont="1">
      <alignment readingOrder="0"/>
    </xf>
    <xf borderId="3" fillId="3" fontId="32" numFmtId="0" xfId="0" applyBorder="1" applyFont="1"/>
    <xf borderId="3" fillId="3" fontId="35" numFmtId="0" xfId="0" applyAlignment="1" applyBorder="1" applyFont="1">
      <alignment readingOrder="0"/>
    </xf>
    <xf borderId="3" fillId="27" fontId="30" numFmtId="0" xfId="0" applyAlignment="1" applyBorder="1" applyFill="1" applyFont="1">
      <alignment horizontal="center" readingOrder="0"/>
    </xf>
    <xf borderId="3" fillId="3" fontId="31" numFmtId="0" xfId="0" applyAlignment="1" applyBorder="1" applyFont="1">
      <alignment horizontal="center" readingOrder="0" shrinkToFit="0" vertical="center" wrapText="0"/>
    </xf>
    <xf borderId="3" fillId="3" fontId="31" numFmtId="0" xfId="0" applyAlignment="1" applyBorder="1" applyFont="1">
      <alignment horizontal="center" readingOrder="0" vertical="center"/>
    </xf>
    <xf borderId="3" fillId="0" fontId="30" numFmtId="0" xfId="0" applyAlignment="1" applyBorder="1" applyFont="1">
      <alignment horizontal="left"/>
    </xf>
    <xf borderId="3" fillId="28" fontId="30" numFmtId="0" xfId="0" applyBorder="1" applyFill="1" applyFont="1"/>
    <xf borderId="3" fillId="3" fontId="30" numFmtId="0" xfId="0" applyAlignment="1" applyBorder="1" applyFont="1">
      <alignment readingOrder="0"/>
    </xf>
    <xf borderId="3" fillId="3" fontId="30" numFmtId="0" xfId="0" applyBorder="1" applyFont="1"/>
    <xf borderId="0" fillId="3" fontId="30" numFmtId="0" xfId="0" applyFont="1"/>
    <xf borderId="3" fillId="26" fontId="30" numFmtId="0" xfId="0" applyAlignment="1" applyBorder="1" applyFont="1">
      <alignment readingOrder="0"/>
    </xf>
    <xf borderId="3" fillId="13" fontId="30" numFmtId="0" xfId="0" applyAlignment="1" applyBorder="1" applyFont="1">
      <alignment readingOrder="0"/>
    </xf>
    <xf borderId="3" fillId="3" fontId="30" numFmtId="0" xfId="0" applyAlignment="1" applyBorder="1" applyFont="1">
      <alignment horizontal="left"/>
    </xf>
    <xf borderId="3" fillId="3" fontId="30" numFmtId="0" xfId="0" applyAlignment="1" applyBorder="1" applyFont="1">
      <alignment horizontal="center"/>
    </xf>
    <xf borderId="3" fillId="3" fontId="30" numFmtId="0" xfId="0" applyAlignment="1" applyBorder="1" applyFont="1">
      <alignment vertical="top"/>
    </xf>
    <xf borderId="3" fillId="26" fontId="30" numFmtId="0" xfId="0" applyAlignment="1" applyBorder="1" applyFont="1">
      <alignment horizontal="center" readingOrder="0"/>
    </xf>
    <xf borderId="0" fillId="0" fontId="30" numFmtId="0" xfId="0" applyAlignment="1" applyFont="1">
      <alignment horizontal="center" readingOrder="0"/>
    </xf>
    <xf borderId="0" fillId="27" fontId="30" numFmtId="0" xfId="0" applyAlignment="1" applyFont="1">
      <alignment horizontal="center" readingOrder="0"/>
    </xf>
    <xf borderId="0" fillId="0" fontId="30" numFmtId="0" xfId="0" applyAlignment="1" applyFont="1">
      <alignment readingOrder="0"/>
    </xf>
    <xf borderId="4" fillId="3" fontId="30" numFmtId="0" xfId="0" applyAlignment="1" applyBorder="1" applyFont="1">
      <alignment horizontal="center" readingOrder="0"/>
    </xf>
    <xf borderId="5" fillId="3" fontId="30" numFmtId="0" xfId="0" applyAlignment="1" applyBorder="1" applyFont="1">
      <alignment readingOrder="0"/>
    </xf>
    <xf borderId="6" fillId="0" fontId="30" numFmtId="0" xfId="0" applyAlignment="1" applyBorder="1" applyFont="1">
      <alignment horizontal="center" readingOrder="0"/>
    </xf>
    <xf borderId="7" fillId="0" fontId="30" numFmtId="0" xfId="0" applyAlignment="1" applyBorder="1" applyFont="1">
      <alignment horizontal="center" readingOrder="0"/>
    </xf>
    <xf borderId="8" fillId="3" fontId="30" numFmtId="0" xfId="0" applyAlignment="1" applyBorder="1" applyFont="1">
      <alignment horizontal="center" readingOrder="0"/>
    </xf>
    <xf borderId="0" fillId="3" fontId="36" numFmtId="0" xfId="0" applyAlignment="1" applyFont="1">
      <alignment readingOrder="0" shrinkToFit="0" wrapText="0"/>
    </xf>
    <xf borderId="5" fillId="0" fontId="30" numFmtId="0" xfId="0" applyAlignment="1" applyBorder="1" applyFont="1">
      <alignment readingOrder="0"/>
    </xf>
    <xf borderId="6" fillId="3" fontId="36" numFmtId="0" xfId="0" applyAlignment="1" applyBorder="1" applyFont="1">
      <alignment readingOrder="0" shrinkToFit="0" wrapText="0"/>
    </xf>
    <xf borderId="6" fillId="3" fontId="30" numFmtId="0" xfId="0" applyAlignment="1" applyBorder="1" applyFont="1">
      <alignment horizontal="center" readingOrder="0"/>
    </xf>
    <xf borderId="6" fillId="3" fontId="30" numFmtId="0" xfId="0" applyAlignment="1" applyBorder="1" applyFont="1">
      <alignment readingOrder="0"/>
    </xf>
    <xf borderId="8" fillId="3" fontId="32" numFmtId="0" xfId="0" applyAlignment="1" applyBorder="1" applyFont="1">
      <alignment readingOrder="0"/>
    </xf>
    <xf borderId="0" fillId="0" fontId="30" numFmtId="0" xfId="0" applyAlignment="1" applyFont="1">
      <alignment readingOrder="0" shrinkToFit="0" wrapText="1"/>
    </xf>
    <xf borderId="0" fillId="29" fontId="30" numFmtId="0" xfId="0" applyAlignment="1" applyFill="1" applyFont="1">
      <alignment horizontal="center" readingOrder="0"/>
    </xf>
    <xf borderId="0" fillId="29" fontId="30" numFmtId="0" xfId="0" applyAlignment="1" applyFont="1">
      <alignment readingOrder="0"/>
    </xf>
    <xf borderId="0" fillId="3" fontId="30" numFmtId="0" xfId="0" applyAlignment="1" applyFont="1">
      <alignment horizontal="center" readingOrder="0"/>
    </xf>
    <xf borderId="0" fillId="27" fontId="37" numFmtId="0" xfId="0" applyAlignment="1" applyFont="1">
      <alignment horizontal="left" readingOrder="0"/>
    </xf>
    <xf borderId="3" fillId="28" fontId="30" numFmtId="0" xfId="0" applyAlignment="1" applyBorder="1" applyFont="1">
      <alignment readingOrder="0"/>
    </xf>
    <xf borderId="3" fillId="28" fontId="30" numFmtId="0" xfId="0" applyAlignment="1" applyBorder="1" applyFont="1">
      <alignment horizontal="left" readingOrder="0"/>
    </xf>
    <xf borderId="3" fillId="3" fontId="30" numFmtId="0" xfId="0" applyAlignment="1" applyBorder="1" applyFont="1">
      <alignment readingOrder="0" vertical="bottom"/>
    </xf>
    <xf borderId="3" fillId="3" fontId="30" numFmtId="0" xfId="0" applyAlignment="1" applyBorder="1" applyFont="1">
      <alignment horizontal="center" readingOrder="0" vertical="center"/>
    </xf>
    <xf borderId="3" fillId="3" fontId="30" numFmtId="0" xfId="0" applyAlignment="1" applyBorder="1" applyFont="1">
      <alignment horizontal="center" readingOrder="0" shrinkToFit="0" vertical="center" wrapText="0"/>
    </xf>
    <xf borderId="1" fillId="25" fontId="38" numFmtId="0" xfId="0" applyBorder="1" applyFont="1"/>
    <xf borderId="0" fillId="25" fontId="39" numFmtId="0" xfId="0" applyAlignment="1" applyFont="1">
      <alignment horizontal="center" readingOrder="0"/>
    </xf>
    <xf borderId="1" fillId="0" fontId="9" numFmtId="0" xfId="0" applyBorder="1" applyFont="1"/>
    <xf borderId="0" fillId="30" fontId="40" numFmtId="0" xfId="0" applyAlignment="1" applyFill="1" applyFont="1">
      <alignment horizontal="center" readingOrder="0"/>
    </xf>
    <xf borderId="0" fillId="7" fontId="41" numFmtId="0" xfId="0" applyAlignment="1" applyFont="1">
      <alignment horizontal="center" readingOrder="0"/>
    </xf>
    <xf borderId="0" fillId="23" fontId="41" numFmtId="0" xfId="0" applyAlignment="1" applyFont="1">
      <alignment horizontal="center" readingOrder="0"/>
    </xf>
    <xf borderId="0" fillId="31" fontId="9" numFmtId="0" xfId="0" applyAlignment="1" applyFill="1" applyFont="1">
      <alignment horizontal="center" readingOrder="0"/>
    </xf>
    <xf borderId="0" fillId="25" fontId="42" numFmtId="0" xfId="0" applyAlignment="1" applyFont="1">
      <alignment horizontal="center"/>
    </xf>
    <xf borderId="0" fillId="0" fontId="9" numFmtId="0" xfId="0" applyFont="1"/>
    <xf borderId="0" fillId="25" fontId="43" numFmtId="0" xfId="0" applyAlignment="1" applyFont="1">
      <alignment horizontal="center"/>
    </xf>
    <xf borderId="1" fillId="25" fontId="44" numFmtId="0" xfId="0" applyAlignment="1" applyBorder="1" applyFont="1">
      <alignment horizontal="left"/>
    </xf>
    <xf borderId="1" fillId="25" fontId="44" numFmtId="0" xfId="0" applyBorder="1" applyFont="1"/>
    <xf borderId="1" fillId="32" fontId="45" numFmtId="0" xfId="0" applyAlignment="1" applyBorder="1" applyFill="1" applyFont="1">
      <alignment horizontal="left"/>
    </xf>
    <xf borderId="1" fillId="32" fontId="45" numFmtId="0" xfId="0" applyBorder="1" applyFont="1"/>
    <xf borderId="1" fillId="0" fontId="9" numFmtId="0" xfId="0" applyAlignment="1" applyBorder="1" applyFont="1">
      <alignment horizontal="left"/>
    </xf>
    <xf borderId="1" fillId="0" fontId="46" numFmtId="0" xfId="0" applyBorder="1" applyFont="1"/>
    <xf borderId="1" fillId="3" fontId="47" numFmtId="0" xfId="0" applyAlignment="1" applyBorder="1" applyFont="1">
      <alignment horizontal="left"/>
    </xf>
    <xf borderId="1" fillId="3" fontId="48" numFmtId="0" xfId="0" applyAlignment="1" applyBorder="1" applyFont="1">
      <alignment horizontal="left"/>
    </xf>
    <xf borderId="1" fillId="3" fontId="38" numFmtId="0" xfId="0" applyBorder="1" applyFont="1"/>
    <xf borderId="1" fillId="3" fontId="48" numFmtId="0" xfId="0" applyBorder="1" applyFont="1"/>
    <xf borderId="1" fillId="25" fontId="48" numFmtId="0" xfId="0" applyBorder="1" applyFont="1"/>
    <xf borderId="1" fillId="3" fontId="0" numFmtId="0" xfId="0" applyAlignment="1" applyBorder="1" applyFont="1">
      <alignment horizontal="left"/>
    </xf>
    <xf borderId="1" fillId="25" fontId="9" numFmtId="0" xfId="0" applyBorder="1" applyFont="1"/>
    <xf borderId="1" fillId="3" fontId="46" numFmtId="0" xfId="0" applyAlignment="1" applyBorder="1" applyFont="1">
      <alignment horizontal="left"/>
    </xf>
    <xf borderId="1" fillId="3" fontId="0" numFmtId="0" xfId="0" applyBorder="1" applyFont="1"/>
    <xf borderId="1" fillId="25" fontId="39" numFmtId="0" xfId="0" applyBorder="1" applyFont="1"/>
    <xf borderId="0" fillId="25" fontId="49" numFmtId="0" xfId="0" applyFont="1"/>
    <xf borderId="0" fillId="25" fontId="50" numFmtId="0" xfId="0" applyFont="1"/>
    <xf borderId="0" fillId="25" fontId="51" numFmtId="0" xfId="0" applyFont="1"/>
    <xf borderId="0" fillId="25" fontId="52" numFmtId="0" xfId="0" applyFont="1"/>
    <xf borderId="0" fillId="33" fontId="52" numFmtId="0" xfId="0" applyFill="1" applyFont="1"/>
    <xf borderId="0" fillId="0" fontId="9" numFmtId="166" xfId="0" applyFont="1" applyNumberFormat="1"/>
    <xf borderId="0" fillId="0" fontId="9" numFmtId="164" xfId="0" applyFont="1" applyNumberFormat="1"/>
    <xf borderId="1" fillId="34" fontId="53" numFmtId="0" xfId="0" applyAlignment="1" applyBorder="1" applyFill="1" applyFont="1">
      <alignment horizontal="center" readingOrder="0" vertical="center"/>
    </xf>
    <xf borderId="1" fillId="0" fontId="9" numFmtId="164" xfId="0" applyAlignment="1" applyBorder="1" applyFont="1" applyNumberFormat="1">
      <alignment horizontal="center" readingOrder="0"/>
    </xf>
    <xf borderId="0" fillId="0" fontId="54" numFmtId="0" xfId="0" applyAlignment="1" applyFont="1">
      <alignment readingOrder="0"/>
    </xf>
    <xf borderId="1" fillId="0" fontId="9" numFmtId="0" xfId="0" applyAlignment="1" applyBorder="1" applyFont="1">
      <alignment horizontal="center"/>
    </xf>
  </cellXfs>
  <cellStyles count="1">
    <cellStyle xfId="0" name="Normal" builtinId="0"/>
  </cellStyles>
  <dxfs count="5">
    <dxf>
      <font>
        <color theme="0"/>
      </font>
      <fill>
        <patternFill patternType="solid">
          <fgColor rgb="FF0C343D"/>
          <bgColor rgb="FF0C343D"/>
        </patternFill>
      </fill>
      <border/>
    </dxf>
    <dxf>
      <font/>
      <fill>
        <patternFill patternType="solid">
          <fgColor rgb="FFFFFF00"/>
          <bgColor rgb="FFFFFF00"/>
        </patternFill>
      </fill>
      <border/>
    </dxf>
    <dxf>
      <font>
        <color theme="0"/>
      </font>
      <fill>
        <patternFill patternType="solid">
          <fgColor rgb="FF00FFFF"/>
          <bgColor rgb="FF00FFFF"/>
        </patternFill>
      </fill>
      <border/>
    </dxf>
    <dxf>
      <font>
        <i/>
      </font>
      <fill>
        <patternFill patternType="solid">
          <fgColor rgb="FFFF9900"/>
          <bgColor rgb="FFFF9900"/>
        </patternFill>
      </fill>
      <border/>
    </dxf>
    <dxf>
      <font/>
      <fill>
        <patternFill patternType="solid">
          <fgColor rgb="FF00FFFF"/>
          <bgColor rgb="FF00FFFF"/>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6.xml.rels><?xml version="1.0" encoding="UTF-8" standalone="yes"?><Relationships xmlns="http://schemas.openxmlformats.org/package/2006/relationships"><Relationship Id="rId1" Type="http://schemas.openxmlformats.org/officeDocument/2006/relationships/image" Target="../media/image1.gif"/></Relationships>
</file>

<file path=xl/drawings/_rels/drawing7.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962025" cy="542925"/>
    <xdr:pic>
      <xdr:nvPicPr>
        <xdr:cNvPr id="0" name="image1.gif"/>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771525</xdr:colOff>
      <xdr:row>0</xdr:row>
      <xdr:rowOff>0</xdr:rowOff>
    </xdr:from>
    <xdr:ext cx="1676400" cy="514350"/>
    <xdr:pic>
      <xdr:nvPicPr>
        <xdr:cNvPr id="0" name="image2.gif" title="Imagem"/>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FD966"/>
      </a:accent3>
      <a:accent4>
        <a:srgbClr val="34A853"/>
      </a:accent4>
      <a:accent5>
        <a:srgbClr val="FF6D01"/>
      </a:accent5>
      <a:accent6>
        <a:srgbClr val="46BDC6"/>
      </a:accent6>
      <a:hlink>
        <a:srgbClr val="FFFFFF"/>
      </a:hlink>
      <a:folHlink>
        <a:srgbClr val="FFFF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8.xml"/><Relationship Id="rId3"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9.xml"/><Relationship Id="rId3"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37.13"/>
    <col customWidth="1" min="2" max="2" width="28.25"/>
    <col customWidth="1" min="3" max="3" width="38.63"/>
    <col customWidth="1" min="4" max="4" width="26.38"/>
    <col customWidth="1" min="5" max="5" width="51.38"/>
    <col customWidth="1" min="6" max="6" width="108.5"/>
    <col customWidth="1" min="7" max="7" width="77.63"/>
    <col customWidth="1" min="8" max="8" width="57.0"/>
    <col customWidth="1" min="9" max="9" width="60.0"/>
    <col customWidth="1" min="10" max="10" width="41.63"/>
    <col customWidth="1" min="11" max="11" width="72.25"/>
  </cols>
  <sheetData>
    <row r="1" ht="44.25" customHeight="1">
      <c r="A1" s="1" t="s">
        <v>0</v>
      </c>
      <c r="B1" s="1" t="s">
        <v>1</v>
      </c>
      <c r="C1" s="1" t="s">
        <v>2</v>
      </c>
      <c r="D1" s="1" t="s">
        <v>3</v>
      </c>
      <c r="E1" s="1" t="s">
        <v>4</v>
      </c>
      <c r="F1" s="1" t="s">
        <v>5</v>
      </c>
      <c r="G1" s="1" t="s">
        <v>6</v>
      </c>
      <c r="H1" s="1" t="s">
        <v>7</v>
      </c>
      <c r="I1" s="1" t="s">
        <v>8</v>
      </c>
      <c r="J1" s="1" t="s">
        <v>9</v>
      </c>
      <c r="K1" s="1" t="s">
        <v>10</v>
      </c>
    </row>
    <row r="2" ht="15.75" customHeight="1">
      <c r="A2" s="2" t="s">
        <v>11</v>
      </c>
      <c r="B2" s="3" t="s">
        <v>12</v>
      </c>
      <c r="C2" s="4" t="s">
        <v>13</v>
      </c>
      <c r="D2" s="5">
        <v>45182.0</v>
      </c>
      <c r="E2" s="6" t="s">
        <v>14</v>
      </c>
      <c r="F2" s="6" t="s">
        <v>15</v>
      </c>
      <c r="G2" s="7" t="s">
        <v>16</v>
      </c>
      <c r="H2" s="6" t="s">
        <v>17</v>
      </c>
      <c r="I2" s="8" t="s">
        <v>18</v>
      </c>
      <c r="J2" s="9"/>
      <c r="K2" s="6" t="s">
        <v>19</v>
      </c>
    </row>
    <row r="3">
      <c r="A3" s="2" t="s">
        <v>11</v>
      </c>
      <c r="B3" s="10" t="s">
        <v>20</v>
      </c>
      <c r="C3" s="8" t="s">
        <v>21</v>
      </c>
      <c r="D3" s="11">
        <v>45254.0</v>
      </c>
      <c r="E3" s="6" t="s">
        <v>22</v>
      </c>
      <c r="F3" s="6" t="s">
        <v>23</v>
      </c>
      <c r="G3" s="8" t="s">
        <v>24</v>
      </c>
      <c r="H3" s="6" t="s">
        <v>25</v>
      </c>
      <c r="I3" s="8" t="s">
        <v>26</v>
      </c>
      <c r="J3" s="6"/>
      <c r="K3" s="6"/>
    </row>
    <row r="4">
      <c r="A4" s="2" t="s">
        <v>27</v>
      </c>
      <c r="B4" s="12" t="s">
        <v>28</v>
      </c>
      <c r="C4" s="13" t="s">
        <v>29</v>
      </c>
      <c r="D4" s="14">
        <v>45314.0</v>
      </c>
      <c r="E4" s="6" t="s">
        <v>30</v>
      </c>
      <c r="F4" s="6" t="s">
        <v>31</v>
      </c>
      <c r="G4" s="15" t="s">
        <v>32</v>
      </c>
      <c r="H4" s="6" t="s">
        <v>33</v>
      </c>
      <c r="I4" s="16" t="s">
        <v>34</v>
      </c>
      <c r="J4" s="9"/>
      <c r="K4" s="6" t="s">
        <v>35</v>
      </c>
    </row>
    <row r="5">
      <c r="A5" s="2" t="s">
        <v>11</v>
      </c>
      <c r="B5" s="10" t="s">
        <v>36</v>
      </c>
      <c r="C5" s="8" t="s">
        <v>37</v>
      </c>
      <c r="D5" s="14">
        <v>45398.0</v>
      </c>
      <c r="E5" s="6" t="s">
        <v>38</v>
      </c>
      <c r="F5" s="6" t="s">
        <v>39</v>
      </c>
      <c r="G5" s="8" t="s">
        <v>24</v>
      </c>
      <c r="H5" s="8" t="s">
        <v>40</v>
      </c>
      <c r="I5" s="8" t="s">
        <v>18</v>
      </c>
      <c r="J5" s="6" t="s">
        <v>41</v>
      </c>
      <c r="K5" s="9"/>
    </row>
    <row r="6">
      <c r="A6" s="2" t="s">
        <v>11</v>
      </c>
      <c r="B6" s="10" t="s">
        <v>42</v>
      </c>
      <c r="C6" s="8" t="s">
        <v>43</v>
      </c>
      <c r="D6" s="14">
        <v>45403.0</v>
      </c>
      <c r="E6" s="17" t="s">
        <v>38</v>
      </c>
      <c r="F6" s="8" t="s">
        <v>44</v>
      </c>
      <c r="G6" s="8" t="s">
        <v>24</v>
      </c>
      <c r="H6" s="6" t="s">
        <v>45</v>
      </c>
      <c r="I6" s="8" t="s">
        <v>18</v>
      </c>
      <c r="J6" s="9"/>
      <c r="K6" s="6" t="s">
        <v>46</v>
      </c>
    </row>
    <row r="7">
      <c r="A7" s="2" t="s">
        <v>47</v>
      </c>
      <c r="B7" s="10" t="s">
        <v>48</v>
      </c>
      <c r="C7" s="6" t="s">
        <v>49</v>
      </c>
      <c r="D7" s="11">
        <v>45447.0</v>
      </c>
      <c r="E7" s="17" t="s">
        <v>50</v>
      </c>
      <c r="F7" s="6" t="s">
        <v>51</v>
      </c>
      <c r="G7" s="7" t="s">
        <v>52</v>
      </c>
      <c r="H7" s="6" t="s">
        <v>53</v>
      </c>
      <c r="I7" s="8" t="s">
        <v>26</v>
      </c>
      <c r="J7" s="6"/>
      <c r="K7" s="9"/>
    </row>
    <row r="8">
      <c r="A8" s="2" t="s">
        <v>11</v>
      </c>
      <c r="B8" s="10" t="s">
        <v>48</v>
      </c>
      <c r="C8" s="8" t="s">
        <v>49</v>
      </c>
      <c r="D8" s="11">
        <v>45447.0</v>
      </c>
      <c r="E8" s="17" t="s">
        <v>54</v>
      </c>
      <c r="F8" s="6" t="s">
        <v>51</v>
      </c>
      <c r="G8" s="7" t="s">
        <v>52</v>
      </c>
      <c r="H8" s="8" t="s">
        <v>40</v>
      </c>
      <c r="I8" s="8" t="s">
        <v>26</v>
      </c>
      <c r="J8" s="6"/>
      <c r="K8" s="6"/>
    </row>
    <row r="9">
      <c r="A9" s="2" t="s">
        <v>47</v>
      </c>
      <c r="B9" s="10" t="s">
        <v>48</v>
      </c>
      <c r="C9" s="6" t="s">
        <v>49</v>
      </c>
      <c r="D9" s="11">
        <v>45447.0</v>
      </c>
      <c r="E9" s="17" t="s">
        <v>55</v>
      </c>
      <c r="F9" s="6" t="s">
        <v>51</v>
      </c>
      <c r="G9" s="7" t="s">
        <v>52</v>
      </c>
      <c r="H9" s="6" t="s">
        <v>56</v>
      </c>
      <c r="I9" s="8" t="s">
        <v>26</v>
      </c>
      <c r="J9" s="6"/>
      <c r="K9" s="6"/>
    </row>
    <row r="10">
      <c r="A10" s="2" t="s">
        <v>11</v>
      </c>
      <c r="B10" s="10" t="s">
        <v>48</v>
      </c>
      <c r="C10" s="8" t="s">
        <v>49</v>
      </c>
      <c r="D10" s="14">
        <v>45447.0</v>
      </c>
      <c r="E10" s="6" t="s">
        <v>55</v>
      </c>
      <c r="F10" s="6" t="s">
        <v>57</v>
      </c>
      <c r="G10" s="8" t="s">
        <v>24</v>
      </c>
      <c r="H10" s="6" t="s">
        <v>58</v>
      </c>
      <c r="I10" s="8" t="s">
        <v>26</v>
      </c>
      <c r="J10" s="6" t="s">
        <v>59</v>
      </c>
      <c r="K10" s="6"/>
    </row>
    <row r="11">
      <c r="A11" s="2" t="s">
        <v>11</v>
      </c>
      <c r="B11" s="10" t="s">
        <v>48</v>
      </c>
      <c r="C11" s="8" t="s">
        <v>49</v>
      </c>
      <c r="D11" s="14">
        <v>45447.0</v>
      </c>
      <c r="E11" s="6" t="s">
        <v>60</v>
      </c>
      <c r="F11" s="6" t="s">
        <v>57</v>
      </c>
      <c r="G11" s="8" t="s">
        <v>24</v>
      </c>
      <c r="H11" s="8" t="s">
        <v>40</v>
      </c>
      <c r="I11" s="8" t="s">
        <v>26</v>
      </c>
      <c r="J11" s="6" t="s">
        <v>59</v>
      </c>
      <c r="K11" s="6"/>
    </row>
    <row r="12">
      <c r="A12" s="2" t="s">
        <v>11</v>
      </c>
      <c r="B12" s="10" t="s">
        <v>61</v>
      </c>
      <c r="C12" s="8" t="s">
        <v>62</v>
      </c>
      <c r="D12" s="14">
        <v>45540.0</v>
      </c>
      <c r="E12" s="6" t="s">
        <v>63</v>
      </c>
      <c r="F12" s="6" t="s">
        <v>64</v>
      </c>
      <c r="G12" s="8" t="s">
        <v>24</v>
      </c>
      <c r="H12" s="8" t="s">
        <v>40</v>
      </c>
      <c r="I12" s="8" t="s">
        <v>26</v>
      </c>
      <c r="J12" s="6" t="s">
        <v>65</v>
      </c>
      <c r="K12" s="6"/>
    </row>
    <row r="13">
      <c r="A13" s="2" t="s">
        <v>11</v>
      </c>
      <c r="B13" s="10" t="s">
        <v>66</v>
      </c>
      <c r="C13" s="8" t="s">
        <v>67</v>
      </c>
      <c r="D13" s="14">
        <v>45540.0</v>
      </c>
      <c r="E13" s="17" t="s">
        <v>68</v>
      </c>
      <c r="F13" s="6" t="s">
        <v>69</v>
      </c>
      <c r="G13" s="15" t="s">
        <v>24</v>
      </c>
      <c r="H13" s="8" t="s">
        <v>40</v>
      </c>
      <c r="I13" s="8" t="s">
        <v>18</v>
      </c>
      <c r="J13" s="6" t="s">
        <v>70</v>
      </c>
      <c r="K13" s="6"/>
    </row>
    <row r="14">
      <c r="A14" s="2" t="s">
        <v>11</v>
      </c>
      <c r="B14" s="10" t="s">
        <v>71</v>
      </c>
      <c r="C14" s="8" t="s">
        <v>72</v>
      </c>
      <c r="D14" s="14">
        <v>45565.0</v>
      </c>
      <c r="E14" s="6" t="s">
        <v>73</v>
      </c>
      <c r="F14" s="6" t="s">
        <v>74</v>
      </c>
      <c r="G14" s="7" t="s">
        <v>16</v>
      </c>
      <c r="H14" s="8" t="s">
        <v>40</v>
      </c>
      <c r="I14" s="18"/>
      <c r="J14" s="6" t="s">
        <v>59</v>
      </c>
      <c r="K14" s="6" t="s">
        <v>46</v>
      </c>
    </row>
    <row r="15">
      <c r="A15" s="2" t="s">
        <v>11</v>
      </c>
      <c r="B15" s="10" t="s">
        <v>75</v>
      </c>
      <c r="C15" s="8" t="s">
        <v>76</v>
      </c>
      <c r="D15" s="14">
        <v>45574.0</v>
      </c>
      <c r="E15" s="6" t="s">
        <v>77</v>
      </c>
      <c r="F15" s="6" t="s">
        <v>78</v>
      </c>
      <c r="G15" s="8" t="s">
        <v>24</v>
      </c>
      <c r="H15" s="6" t="s">
        <v>79</v>
      </c>
      <c r="I15" s="8" t="s">
        <v>18</v>
      </c>
      <c r="J15" s="9"/>
      <c r="K15" s="6" t="s">
        <v>46</v>
      </c>
    </row>
    <row r="16">
      <c r="A16" s="2" t="s">
        <v>80</v>
      </c>
      <c r="B16" s="10" t="s">
        <v>81</v>
      </c>
      <c r="C16" s="17" t="s">
        <v>82</v>
      </c>
      <c r="D16" s="11">
        <v>45582.0</v>
      </c>
      <c r="E16" s="6" t="s">
        <v>83</v>
      </c>
      <c r="F16" s="6" t="s">
        <v>84</v>
      </c>
      <c r="G16" s="8" t="s">
        <v>24</v>
      </c>
      <c r="H16" s="15" t="s">
        <v>40</v>
      </c>
      <c r="I16" s="19" t="s">
        <v>85</v>
      </c>
      <c r="J16" s="9"/>
      <c r="K16" s="6" t="s">
        <v>86</v>
      </c>
    </row>
    <row r="17">
      <c r="A17" s="2" t="s">
        <v>87</v>
      </c>
      <c r="B17" s="10" t="s">
        <v>88</v>
      </c>
      <c r="C17" s="6" t="s">
        <v>89</v>
      </c>
      <c r="D17" s="14">
        <v>45588.0</v>
      </c>
      <c r="E17" s="17" t="s">
        <v>90</v>
      </c>
      <c r="F17" s="6" t="s">
        <v>91</v>
      </c>
      <c r="G17" s="7" t="s">
        <v>92</v>
      </c>
      <c r="H17" s="6" t="s">
        <v>93</v>
      </c>
      <c r="I17" s="19" t="s">
        <v>94</v>
      </c>
      <c r="J17" s="9"/>
      <c r="K17" s="6"/>
    </row>
    <row r="18">
      <c r="A18" s="2" t="s">
        <v>11</v>
      </c>
      <c r="B18" s="10" t="s">
        <v>95</v>
      </c>
      <c r="C18" s="18" t="s">
        <v>96</v>
      </c>
      <c r="D18" s="11">
        <v>45589.0</v>
      </c>
      <c r="E18" s="9" t="s">
        <v>97</v>
      </c>
      <c r="F18" s="6" t="s">
        <v>98</v>
      </c>
      <c r="G18" s="8" t="s">
        <v>24</v>
      </c>
      <c r="H18" s="8" t="s">
        <v>40</v>
      </c>
      <c r="I18" s="8" t="s">
        <v>26</v>
      </c>
      <c r="J18" s="6" t="s">
        <v>59</v>
      </c>
      <c r="K18" s="9"/>
    </row>
    <row r="19">
      <c r="A19" s="2" t="s">
        <v>11</v>
      </c>
      <c r="B19" s="10" t="s">
        <v>99</v>
      </c>
      <c r="C19" s="8" t="s">
        <v>100</v>
      </c>
      <c r="D19" s="11">
        <v>45593.0</v>
      </c>
      <c r="E19" s="6" t="s">
        <v>101</v>
      </c>
      <c r="F19" s="6" t="s">
        <v>102</v>
      </c>
      <c r="G19" s="8" t="s">
        <v>24</v>
      </c>
      <c r="H19" s="8" t="s">
        <v>40</v>
      </c>
      <c r="I19" s="8" t="s">
        <v>103</v>
      </c>
      <c r="J19" s="6" t="s">
        <v>104</v>
      </c>
      <c r="K19" s="9"/>
    </row>
    <row r="20">
      <c r="A20" s="2" t="s">
        <v>11</v>
      </c>
      <c r="B20" s="10" t="s">
        <v>105</v>
      </c>
      <c r="C20" s="18" t="s">
        <v>106</v>
      </c>
      <c r="D20" s="14">
        <v>45601.0</v>
      </c>
      <c r="E20" s="17" t="s">
        <v>107</v>
      </c>
      <c r="F20" s="6" t="s">
        <v>108</v>
      </c>
      <c r="G20" s="8" t="s">
        <v>24</v>
      </c>
      <c r="H20" s="8" t="s">
        <v>40</v>
      </c>
      <c r="I20" s="8" t="s">
        <v>26</v>
      </c>
      <c r="J20" s="6" t="s">
        <v>109</v>
      </c>
      <c r="K20" s="6"/>
    </row>
    <row r="21" ht="16.5" customHeight="1">
      <c r="A21" s="2" t="s">
        <v>11</v>
      </c>
      <c r="B21" s="10" t="s">
        <v>110</v>
      </c>
      <c r="C21" s="8" t="s">
        <v>111</v>
      </c>
      <c r="D21" s="14">
        <v>45603.0</v>
      </c>
      <c r="E21" s="17" t="s">
        <v>107</v>
      </c>
      <c r="F21" s="6" t="s">
        <v>112</v>
      </c>
      <c r="G21" s="8" t="s">
        <v>24</v>
      </c>
      <c r="H21" s="8" t="s">
        <v>40</v>
      </c>
      <c r="I21" s="8" t="s">
        <v>26</v>
      </c>
      <c r="J21" s="6" t="s">
        <v>113</v>
      </c>
      <c r="K21" s="6"/>
    </row>
    <row r="22">
      <c r="A22" s="2" t="s">
        <v>11</v>
      </c>
      <c r="B22" s="10" t="s">
        <v>114</v>
      </c>
      <c r="C22" s="8" t="s">
        <v>115</v>
      </c>
      <c r="D22" s="11">
        <v>45606.0</v>
      </c>
      <c r="E22" s="6" t="s">
        <v>116</v>
      </c>
      <c r="F22" s="6" t="s">
        <v>117</v>
      </c>
      <c r="G22" s="8" t="s">
        <v>24</v>
      </c>
      <c r="H22" s="8" t="s">
        <v>40</v>
      </c>
      <c r="I22" s="8" t="s">
        <v>26</v>
      </c>
      <c r="J22" s="6" t="s">
        <v>118</v>
      </c>
      <c r="K22" s="6"/>
    </row>
    <row r="23">
      <c r="A23" s="2" t="s">
        <v>11</v>
      </c>
      <c r="B23" s="10" t="s">
        <v>119</v>
      </c>
      <c r="C23" s="8" t="s">
        <v>120</v>
      </c>
      <c r="D23" s="11">
        <v>45607.0</v>
      </c>
      <c r="E23" s="6" t="s">
        <v>121</v>
      </c>
      <c r="F23" s="6" t="s">
        <v>122</v>
      </c>
      <c r="G23" s="8" t="s">
        <v>24</v>
      </c>
      <c r="H23" s="8" t="s">
        <v>40</v>
      </c>
      <c r="I23" s="8" t="s">
        <v>18</v>
      </c>
      <c r="J23" s="6" t="s">
        <v>59</v>
      </c>
      <c r="K23" s="6"/>
    </row>
    <row r="24">
      <c r="A24" s="2" t="s">
        <v>11</v>
      </c>
      <c r="B24" s="10" t="s">
        <v>123</v>
      </c>
      <c r="C24" s="8" t="s">
        <v>124</v>
      </c>
      <c r="D24" s="11">
        <v>45608.0</v>
      </c>
      <c r="E24" s="6" t="s">
        <v>125</v>
      </c>
      <c r="F24" s="6" t="s">
        <v>126</v>
      </c>
      <c r="G24" s="8" t="s">
        <v>24</v>
      </c>
      <c r="H24" s="8" t="s">
        <v>40</v>
      </c>
      <c r="I24" s="8" t="s">
        <v>26</v>
      </c>
      <c r="J24" s="6" t="s">
        <v>59</v>
      </c>
      <c r="K24" s="6" t="s">
        <v>127</v>
      </c>
    </row>
    <row r="25">
      <c r="A25" s="2" t="s">
        <v>11</v>
      </c>
      <c r="B25" s="10" t="s">
        <v>128</v>
      </c>
      <c r="C25" s="8" t="s">
        <v>129</v>
      </c>
      <c r="D25" s="11">
        <v>45608.0</v>
      </c>
      <c r="E25" s="6" t="s">
        <v>130</v>
      </c>
      <c r="F25" s="6" t="s">
        <v>131</v>
      </c>
      <c r="G25" s="8" t="s">
        <v>24</v>
      </c>
      <c r="H25" s="8" t="s">
        <v>40</v>
      </c>
      <c r="I25" s="8" t="s">
        <v>26</v>
      </c>
      <c r="J25" s="9"/>
      <c r="K25" s="6" t="s">
        <v>132</v>
      </c>
    </row>
    <row r="26">
      <c r="A26" s="2" t="s">
        <v>11</v>
      </c>
      <c r="B26" s="10" t="s">
        <v>133</v>
      </c>
      <c r="C26" s="8" t="s">
        <v>134</v>
      </c>
      <c r="D26" s="11">
        <v>45608.0</v>
      </c>
      <c r="E26" s="6" t="s">
        <v>135</v>
      </c>
      <c r="F26" s="6" t="s">
        <v>136</v>
      </c>
      <c r="G26" s="8" t="s">
        <v>24</v>
      </c>
      <c r="H26" s="8" t="s">
        <v>40</v>
      </c>
      <c r="I26" s="8" t="s">
        <v>26</v>
      </c>
      <c r="J26" s="6" t="s">
        <v>137</v>
      </c>
      <c r="K26" s="6" t="s">
        <v>138</v>
      </c>
    </row>
    <row r="27">
      <c r="A27" s="2" t="s">
        <v>11</v>
      </c>
      <c r="B27" s="10" t="s">
        <v>139</v>
      </c>
      <c r="C27" s="8" t="s">
        <v>140</v>
      </c>
      <c r="D27" s="11">
        <v>45608.0</v>
      </c>
      <c r="E27" s="6" t="s">
        <v>141</v>
      </c>
      <c r="F27" s="6" t="s">
        <v>142</v>
      </c>
      <c r="G27" s="7" t="s">
        <v>143</v>
      </c>
      <c r="H27" s="8" t="s">
        <v>40</v>
      </c>
      <c r="I27" s="8" t="s">
        <v>26</v>
      </c>
      <c r="J27" s="6" t="s">
        <v>144</v>
      </c>
      <c r="K27" s="6" t="s">
        <v>145</v>
      </c>
    </row>
    <row r="28">
      <c r="A28" s="2" t="s">
        <v>11</v>
      </c>
      <c r="B28" s="10" t="s">
        <v>146</v>
      </c>
      <c r="C28" s="8" t="s">
        <v>147</v>
      </c>
      <c r="D28" s="11">
        <v>45608.0</v>
      </c>
      <c r="E28" s="6" t="s">
        <v>130</v>
      </c>
      <c r="F28" s="6" t="s">
        <v>148</v>
      </c>
      <c r="G28" s="8" t="s">
        <v>24</v>
      </c>
      <c r="H28" s="8" t="s">
        <v>40</v>
      </c>
      <c r="I28" s="8" t="s">
        <v>26</v>
      </c>
      <c r="J28" s="6" t="s">
        <v>144</v>
      </c>
      <c r="K28" s="6"/>
    </row>
    <row r="29">
      <c r="A29" s="2" t="s">
        <v>149</v>
      </c>
      <c r="B29" s="10" t="s">
        <v>150</v>
      </c>
      <c r="C29" s="6" t="s">
        <v>151</v>
      </c>
      <c r="D29" s="11">
        <v>45609.0</v>
      </c>
      <c r="E29" s="9" t="s">
        <v>152</v>
      </c>
      <c r="F29" s="6" t="s">
        <v>153</v>
      </c>
      <c r="G29" s="7" t="s">
        <v>154</v>
      </c>
      <c r="H29" s="8" t="s">
        <v>40</v>
      </c>
      <c r="I29" s="8" t="s">
        <v>26</v>
      </c>
      <c r="J29" s="9"/>
      <c r="K29" s="6"/>
    </row>
    <row r="30" ht="16.5" customHeight="1">
      <c r="A30" s="2" t="s">
        <v>155</v>
      </c>
      <c r="B30" s="10" t="s">
        <v>156</v>
      </c>
      <c r="C30" s="6" t="s">
        <v>157</v>
      </c>
      <c r="D30" s="11">
        <v>45609.0</v>
      </c>
      <c r="E30" s="6" t="s">
        <v>158</v>
      </c>
      <c r="F30" s="6" t="s">
        <v>159</v>
      </c>
      <c r="G30" s="7" t="s">
        <v>160</v>
      </c>
      <c r="H30" s="7" t="s">
        <v>161</v>
      </c>
      <c r="I30" s="19" t="s">
        <v>162</v>
      </c>
      <c r="J30" s="9"/>
      <c r="K30" s="9"/>
    </row>
    <row r="31">
      <c r="A31" s="2" t="s">
        <v>27</v>
      </c>
      <c r="B31" s="10" t="s">
        <v>163</v>
      </c>
      <c r="C31" s="8" t="s">
        <v>164</v>
      </c>
      <c r="D31" s="11">
        <v>45609.0</v>
      </c>
      <c r="E31" s="6" t="s">
        <v>107</v>
      </c>
      <c r="F31" s="6" t="s">
        <v>165</v>
      </c>
      <c r="G31" s="8" t="s">
        <v>24</v>
      </c>
      <c r="H31" s="8" t="s">
        <v>40</v>
      </c>
      <c r="I31" s="8" t="s">
        <v>18</v>
      </c>
      <c r="J31" s="9"/>
      <c r="K31" s="6"/>
    </row>
    <row r="32">
      <c r="A32" s="2" t="s">
        <v>11</v>
      </c>
      <c r="B32" s="10" t="s">
        <v>166</v>
      </c>
      <c r="C32" s="8" t="s">
        <v>167</v>
      </c>
      <c r="D32" s="11">
        <v>45610.0</v>
      </c>
      <c r="E32" s="6" t="s">
        <v>130</v>
      </c>
      <c r="F32" s="6" t="s">
        <v>168</v>
      </c>
      <c r="G32" s="8" t="s">
        <v>24</v>
      </c>
      <c r="H32" s="8" t="s">
        <v>40</v>
      </c>
      <c r="I32" s="8" t="s">
        <v>26</v>
      </c>
      <c r="J32" s="6" t="s">
        <v>169</v>
      </c>
      <c r="K32" s="6" t="s">
        <v>170</v>
      </c>
    </row>
    <row r="33">
      <c r="A33" s="2" t="s">
        <v>171</v>
      </c>
      <c r="B33" s="10" t="s">
        <v>119</v>
      </c>
      <c r="C33" s="8" t="s">
        <v>120</v>
      </c>
      <c r="D33" s="11">
        <v>45610.0</v>
      </c>
      <c r="E33" s="6" t="s">
        <v>172</v>
      </c>
      <c r="F33" s="6" t="s">
        <v>122</v>
      </c>
      <c r="G33" s="8" t="s">
        <v>24</v>
      </c>
      <c r="H33" s="8" t="s">
        <v>40</v>
      </c>
      <c r="I33" s="8" t="s">
        <v>173</v>
      </c>
      <c r="J33" s="6" t="s">
        <v>174</v>
      </c>
      <c r="K33" s="9"/>
    </row>
    <row r="34">
      <c r="A34" s="2" t="s">
        <v>11</v>
      </c>
      <c r="B34" s="10" t="s">
        <v>175</v>
      </c>
      <c r="C34" s="8" t="s">
        <v>176</v>
      </c>
      <c r="D34" s="11">
        <v>45610.0</v>
      </c>
      <c r="E34" s="6" t="s">
        <v>63</v>
      </c>
      <c r="F34" s="6" t="s">
        <v>177</v>
      </c>
      <c r="G34" s="20" t="s">
        <v>178</v>
      </c>
      <c r="H34" s="8" t="s">
        <v>40</v>
      </c>
      <c r="I34" s="8" t="s">
        <v>26</v>
      </c>
      <c r="J34" s="6" t="s">
        <v>179</v>
      </c>
      <c r="K34" s="6" t="s">
        <v>46</v>
      </c>
    </row>
    <row r="35">
      <c r="A35" s="2" t="s">
        <v>11</v>
      </c>
      <c r="B35" s="10" t="s">
        <v>180</v>
      </c>
      <c r="C35" s="8" t="s">
        <v>181</v>
      </c>
      <c r="D35" s="11">
        <v>45610.0</v>
      </c>
      <c r="E35" s="6" t="s">
        <v>182</v>
      </c>
      <c r="F35" s="6" t="s">
        <v>183</v>
      </c>
      <c r="G35" s="8" t="s">
        <v>24</v>
      </c>
      <c r="H35" s="8" t="s">
        <v>40</v>
      </c>
      <c r="I35" s="8" t="s">
        <v>26</v>
      </c>
      <c r="J35" s="6" t="s">
        <v>184</v>
      </c>
      <c r="K35" s="6" t="s">
        <v>185</v>
      </c>
    </row>
    <row r="36">
      <c r="A36" s="2" t="s">
        <v>11</v>
      </c>
      <c r="B36" s="10" t="s">
        <v>186</v>
      </c>
      <c r="C36" s="8" t="s">
        <v>187</v>
      </c>
      <c r="D36" s="11">
        <v>45610.0</v>
      </c>
      <c r="E36" s="6" t="s">
        <v>188</v>
      </c>
      <c r="F36" s="6" t="s">
        <v>189</v>
      </c>
      <c r="G36" s="8" t="s">
        <v>190</v>
      </c>
      <c r="H36" s="8" t="s">
        <v>40</v>
      </c>
      <c r="I36" s="8" t="s">
        <v>26</v>
      </c>
      <c r="J36" s="9"/>
      <c r="K36" s="6" t="s">
        <v>191</v>
      </c>
    </row>
    <row r="37">
      <c r="A37" s="2" t="s">
        <v>11</v>
      </c>
      <c r="B37" s="10" t="s">
        <v>192</v>
      </c>
      <c r="C37" s="8" t="s">
        <v>193</v>
      </c>
      <c r="D37" s="11">
        <v>45611.0</v>
      </c>
      <c r="E37" s="6" t="s">
        <v>194</v>
      </c>
      <c r="F37" s="6" t="s">
        <v>195</v>
      </c>
      <c r="G37" s="8" t="s">
        <v>24</v>
      </c>
      <c r="H37" s="8" t="s">
        <v>40</v>
      </c>
      <c r="I37" s="8" t="s">
        <v>26</v>
      </c>
      <c r="J37" s="6"/>
      <c r="K37" s="9"/>
    </row>
    <row r="38">
      <c r="A38" s="2" t="s">
        <v>196</v>
      </c>
      <c r="B38" s="10" t="s">
        <v>197</v>
      </c>
      <c r="C38" s="6" t="s">
        <v>198</v>
      </c>
      <c r="D38" s="14">
        <v>45611.0</v>
      </c>
      <c r="E38" s="6" t="s">
        <v>199</v>
      </c>
      <c r="F38" s="6" t="s">
        <v>200</v>
      </c>
      <c r="G38" s="8" t="s">
        <v>24</v>
      </c>
      <c r="H38" s="6" t="s">
        <v>201</v>
      </c>
      <c r="I38" s="19" t="s">
        <v>202</v>
      </c>
      <c r="J38" s="9"/>
      <c r="K38" s="6" t="s">
        <v>145</v>
      </c>
    </row>
    <row r="39">
      <c r="A39" s="2" t="s">
        <v>11</v>
      </c>
      <c r="B39" s="10" t="s">
        <v>203</v>
      </c>
      <c r="C39" s="8" t="s">
        <v>204</v>
      </c>
      <c r="D39" s="11">
        <v>45612.0</v>
      </c>
      <c r="E39" s="6" t="s">
        <v>205</v>
      </c>
      <c r="F39" s="6" t="s">
        <v>206</v>
      </c>
      <c r="G39" s="8" t="s">
        <v>24</v>
      </c>
      <c r="H39" s="8" t="s">
        <v>40</v>
      </c>
      <c r="I39" s="8" t="s">
        <v>26</v>
      </c>
      <c r="J39" s="6" t="s">
        <v>59</v>
      </c>
      <c r="K39" s="9"/>
    </row>
    <row r="40">
      <c r="A40" s="2" t="s">
        <v>207</v>
      </c>
      <c r="B40" s="10" t="s">
        <v>208</v>
      </c>
      <c r="C40" s="6" t="s">
        <v>209</v>
      </c>
      <c r="D40" s="11">
        <v>45612.0</v>
      </c>
      <c r="E40" s="6" t="s">
        <v>210</v>
      </c>
      <c r="F40" s="6" t="s">
        <v>211</v>
      </c>
      <c r="G40" s="8" t="s">
        <v>24</v>
      </c>
      <c r="H40" s="8" t="s">
        <v>40</v>
      </c>
      <c r="I40" s="19" t="s">
        <v>212</v>
      </c>
      <c r="J40" s="6"/>
      <c r="K40" s="6"/>
    </row>
    <row r="41">
      <c r="A41" s="2" t="s">
        <v>11</v>
      </c>
      <c r="B41" s="10" t="s">
        <v>213</v>
      </c>
      <c r="C41" s="8" t="s">
        <v>214</v>
      </c>
      <c r="D41" s="11">
        <v>45613.0</v>
      </c>
      <c r="E41" s="6" t="s">
        <v>130</v>
      </c>
      <c r="F41" s="6" t="s">
        <v>215</v>
      </c>
      <c r="G41" s="8" t="s">
        <v>24</v>
      </c>
      <c r="H41" s="8" t="s">
        <v>40</v>
      </c>
      <c r="I41" s="8" t="s">
        <v>26</v>
      </c>
      <c r="J41" s="6" t="s">
        <v>216</v>
      </c>
      <c r="K41" s="6" t="s">
        <v>217</v>
      </c>
    </row>
    <row r="42">
      <c r="A42" s="2" t="s">
        <v>11</v>
      </c>
      <c r="B42" s="10" t="s">
        <v>218</v>
      </c>
      <c r="C42" s="8" t="s">
        <v>219</v>
      </c>
      <c r="D42" s="11">
        <v>45614.0</v>
      </c>
      <c r="E42" s="6" t="s">
        <v>107</v>
      </c>
      <c r="F42" s="6" t="s">
        <v>220</v>
      </c>
      <c r="G42" s="8" t="s">
        <v>24</v>
      </c>
      <c r="H42" s="8" t="s">
        <v>40</v>
      </c>
      <c r="I42" s="8" t="s">
        <v>26</v>
      </c>
      <c r="J42" s="9"/>
      <c r="K42" s="6"/>
    </row>
    <row r="43">
      <c r="A43" s="2" t="s">
        <v>11</v>
      </c>
      <c r="B43" s="10" t="s">
        <v>221</v>
      </c>
      <c r="C43" s="8" t="s">
        <v>222</v>
      </c>
      <c r="D43" s="11">
        <v>45614.0</v>
      </c>
      <c r="E43" s="6" t="s">
        <v>38</v>
      </c>
      <c r="F43" s="6" t="s">
        <v>223</v>
      </c>
      <c r="G43" s="8" t="s">
        <v>24</v>
      </c>
      <c r="H43" s="8" t="s">
        <v>40</v>
      </c>
      <c r="I43" s="8" t="s">
        <v>224</v>
      </c>
      <c r="J43" s="6" t="s">
        <v>59</v>
      </c>
      <c r="K43" s="6" t="s">
        <v>225</v>
      </c>
    </row>
    <row r="44">
      <c r="A44" s="2" t="s">
        <v>11</v>
      </c>
      <c r="B44" s="10" t="s">
        <v>226</v>
      </c>
      <c r="C44" s="8" t="s">
        <v>227</v>
      </c>
      <c r="D44" s="11">
        <v>45614.0</v>
      </c>
      <c r="E44" s="6" t="s">
        <v>228</v>
      </c>
      <c r="F44" s="6" t="s">
        <v>229</v>
      </c>
      <c r="G44" s="8" t="s">
        <v>24</v>
      </c>
      <c r="H44" s="8" t="s">
        <v>40</v>
      </c>
      <c r="I44" s="8" t="s">
        <v>26</v>
      </c>
      <c r="J44" s="6" t="s">
        <v>230</v>
      </c>
      <c r="K44" s="6" t="s">
        <v>231</v>
      </c>
    </row>
    <row r="45">
      <c r="A45" s="2" t="s">
        <v>11</v>
      </c>
      <c r="B45" s="10" t="s">
        <v>232</v>
      </c>
      <c r="C45" s="8" t="s">
        <v>233</v>
      </c>
      <c r="D45" s="11">
        <v>45614.0</v>
      </c>
      <c r="E45" s="6" t="s">
        <v>234</v>
      </c>
      <c r="F45" s="6" t="s">
        <v>235</v>
      </c>
      <c r="G45" s="8" t="s">
        <v>24</v>
      </c>
      <c r="H45" s="8" t="s">
        <v>40</v>
      </c>
      <c r="I45" s="8" t="s">
        <v>18</v>
      </c>
      <c r="J45" s="6" t="s">
        <v>59</v>
      </c>
      <c r="K45" s="6"/>
    </row>
    <row r="46">
      <c r="A46" s="2" t="s">
        <v>11</v>
      </c>
      <c r="B46" s="10" t="s">
        <v>236</v>
      </c>
      <c r="C46" s="8" t="s">
        <v>237</v>
      </c>
      <c r="D46" s="11">
        <v>45614.0</v>
      </c>
      <c r="E46" s="6" t="s">
        <v>238</v>
      </c>
      <c r="F46" s="6" t="s">
        <v>239</v>
      </c>
      <c r="G46" s="8" t="s">
        <v>24</v>
      </c>
      <c r="H46" s="8" t="s">
        <v>40</v>
      </c>
      <c r="I46" s="8"/>
      <c r="J46" s="9"/>
      <c r="K46" s="6" t="s">
        <v>46</v>
      </c>
    </row>
    <row r="47">
      <c r="A47" s="2" t="s">
        <v>11</v>
      </c>
      <c r="B47" s="10" t="s">
        <v>240</v>
      </c>
      <c r="C47" s="18" t="s">
        <v>241</v>
      </c>
      <c r="D47" s="11">
        <v>45615.0</v>
      </c>
      <c r="E47" s="9" t="s">
        <v>107</v>
      </c>
      <c r="F47" s="6" t="s">
        <v>242</v>
      </c>
      <c r="G47" s="8" t="s">
        <v>24</v>
      </c>
      <c r="H47" s="8" t="s">
        <v>40</v>
      </c>
      <c r="I47" s="8" t="s">
        <v>26</v>
      </c>
      <c r="J47" s="6" t="s">
        <v>65</v>
      </c>
      <c r="K47" s="6" t="s">
        <v>46</v>
      </c>
    </row>
    <row r="48">
      <c r="A48" s="2" t="s">
        <v>11</v>
      </c>
      <c r="B48" s="10" t="s">
        <v>240</v>
      </c>
      <c r="C48" s="8" t="s">
        <v>241</v>
      </c>
      <c r="D48" s="11">
        <v>45615.0</v>
      </c>
      <c r="E48" s="6" t="s">
        <v>107</v>
      </c>
      <c r="F48" s="6" t="s">
        <v>243</v>
      </c>
      <c r="G48" s="8" t="s">
        <v>24</v>
      </c>
      <c r="H48" s="8" t="s">
        <v>40</v>
      </c>
      <c r="I48" s="8" t="s">
        <v>26</v>
      </c>
      <c r="J48" s="6" t="s">
        <v>216</v>
      </c>
      <c r="K48" s="6"/>
    </row>
    <row r="49">
      <c r="A49" s="2" t="s">
        <v>11</v>
      </c>
      <c r="B49" s="10" t="s">
        <v>244</v>
      </c>
      <c r="C49" s="8" t="s">
        <v>245</v>
      </c>
      <c r="D49" s="11">
        <v>45615.0</v>
      </c>
      <c r="E49" s="6" t="s">
        <v>97</v>
      </c>
      <c r="F49" s="6" t="s">
        <v>246</v>
      </c>
      <c r="G49" s="8" t="s">
        <v>24</v>
      </c>
      <c r="H49" s="8" t="s">
        <v>40</v>
      </c>
      <c r="I49" s="8"/>
      <c r="J49" s="6" t="s">
        <v>247</v>
      </c>
      <c r="K49" s="6"/>
    </row>
    <row r="50">
      <c r="A50" s="2" t="s">
        <v>11</v>
      </c>
      <c r="B50" s="10" t="s">
        <v>248</v>
      </c>
      <c r="C50" s="8" t="s">
        <v>249</v>
      </c>
      <c r="D50" s="11">
        <v>45615.0</v>
      </c>
      <c r="E50" s="6" t="s">
        <v>250</v>
      </c>
      <c r="F50" s="6" t="s">
        <v>251</v>
      </c>
      <c r="G50" s="8" t="s">
        <v>24</v>
      </c>
      <c r="H50" s="6" t="s">
        <v>252</v>
      </c>
      <c r="I50" s="8" t="s">
        <v>26</v>
      </c>
      <c r="J50" s="9"/>
      <c r="K50" s="6" t="s">
        <v>253</v>
      </c>
    </row>
    <row r="51">
      <c r="A51" s="2" t="s">
        <v>11</v>
      </c>
      <c r="B51" s="10" t="s">
        <v>254</v>
      </c>
      <c r="C51" s="8" t="s">
        <v>255</v>
      </c>
      <c r="D51" s="11">
        <v>45615.0</v>
      </c>
      <c r="E51" s="6" t="s">
        <v>234</v>
      </c>
      <c r="F51" s="6" t="s">
        <v>256</v>
      </c>
      <c r="G51" s="8" t="s">
        <v>24</v>
      </c>
      <c r="H51" s="8" t="s">
        <v>40</v>
      </c>
      <c r="I51" s="8" t="s">
        <v>18</v>
      </c>
      <c r="J51" s="6" t="s">
        <v>257</v>
      </c>
      <c r="K51" s="9"/>
    </row>
    <row r="52" ht="15.0" customHeight="1">
      <c r="A52" s="2" t="s">
        <v>11</v>
      </c>
      <c r="B52" s="10" t="s">
        <v>258</v>
      </c>
      <c r="C52" s="21" t="s">
        <v>259</v>
      </c>
      <c r="D52" s="11">
        <v>45616.0</v>
      </c>
      <c r="E52" s="17" t="s">
        <v>260</v>
      </c>
      <c r="F52" s="6" t="s">
        <v>261</v>
      </c>
      <c r="G52" s="8" t="s">
        <v>262</v>
      </c>
      <c r="H52" s="8" t="s">
        <v>40</v>
      </c>
      <c r="I52" s="8" t="s">
        <v>18</v>
      </c>
      <c r="J52" s="6" t="s">
        <v>59</v>
      </c>
      <c r="K52" s="9"/>
    </row>
    <row r="53">
      <c r="A53" s="2" t="s">
        <v>47</v>
      </c>
      <c r="B53" s="10" t="s">
        <v>263</v>
      </c>
      <c r="C53" s="6" t="s">
        <v>264</v>
      </c>
      <c r="D53" s="11">
        <v>45616.0</v>
      </c>
      <c r="E53" s="6" t="s">
        <v>265</v>
      </c>
      <c r="F53" s="6" t="s">
        <v>266</v>
      </c>
      <c r="G53" s="7" t="s">
        <v>267</v>
      </c>
      <c r="H53" s="6" t="s">
        <v>268</v>
      </c>
      <c r="I53" s="8" t="s">
        <v>26</v>
      </c>
      <c r="J53" s="9"/>
      <c r="K53" s="6" t="s">
        <v>46</v>
      </c>
    </row>
    <row r="54">
      <c r="A54" s="2" t="s">
        <v>11</v>
      </c>
      <c r="B54" s="10" t="s">
        <v>269</v>
      </c>
      <c r="C54" s="21" t="s">
        <v>270</v>
      </c>
      <c r="D54" s="11">
        <v>45616.0</v>
      </c>
      <c r="E54" s="6" t="s">
        <v>271</v>
      </c>
      <c r="F54" s="6" t="s">
        <v>272</v>
      </c>
      <c r="G54" s="8" t="s">
        <v>24</v>
      </c>
      <c r="H54" s="8" t="s">
        <v>40</v>
      </c>
      <c r="I54" s="8" t="s">
        <v>26</v>
      </c>
      <c r="J54" s="6" t="s">
        <v>59</v>
      </c>
      <c r="K54" s="6" t="s">
        <v>273</v>
      </c>
    </row>
    <row r="55">
      <c r="A55" s="2" t="s">
        <v>274</v>
      </c>
      <c r="B55" s="10" t="s">
        <v>123</v>
      </c>
      <c r="C55" s="17" t="s">
        <v>124</v>
      </c>
      <c r="D55" s="11">
        <v>45616.0</v>
      </c>
      <c r="E55" s="6" t="s">
        <v>125</v>
      </c>
      <c r="F55" s="6" t="s">
        <v>275</v>
      </c>
      <c r="G55" s="8" t="s">
        <v>24</v>
      </c>
      <c r="H55" s="8" t="s">
        <v>276</v>
      </c>
      <c r="I55" s="8" t="s">
        <v>26</v>
      </c>
      <c r="J55" s="9"/>
      <c r="K55" s="6" t="s">
        <v>277</v>
      </c>
    </row>
    <row r="56">
      <c r="A56" s="2" t="s">
        <v>11</v>
      </c>
      <c r="B56" s="10" t="s">
        <v>248</v>
      </c>
      <c r="C56" s="8" t="s">
        <v>249</v>
      </c>
      <c r="D56" s="11">
        <v>45616.0</v>
      </c>
      <c r="E56" s="6" t="s">
        <v>278</v>
      </c>
      <c r="F56" s="6" t="s">
        <v>251</v>
      </c>
      <c r="G56" s="8" t="s">
        <v>24</v>
      </c>
      <c r="H56" s="8" t="s">
        <v>40</v>
      </c>
      <c r="I56" s="8" t="s">
        <v>18</v>
      </c>
      <c r="J56" s="6" t="s">
        <v>279</v>
      </c>
      <c r="K56" s="6" t="s">
        <v>280</v>
      </c>
    </row>
    <row r="57">
      <c r="A57" s="2" t="s">
        <v>11</v>
      </c>
      <c r="B57" s="10" t="s">
        <v>281</v>
      </c>
      <c r="C57" s="8" t="s">
        <v>282</v>
      </c>
      <c r="D57" s="11">
        <v>45616.0</v>
      </c>
      <c r="E57" s="6" t="s">
        <v>182</v>
      </c>
      <c r="F57" s="6" t="s">
        <v>283</v>
      </c>
      <c r="G57" s="8" t="s">
        <v>24</v>
      </c>
      <c r="H57" s="8" t="s">
        <v>40</v>
      </c>
      <c r="I57" s="8" t="s">
        <v>26</v>
      </c>
      <c r="J57" s="6" t="s">
        <v>59</v>
      </c>
      <c r="K57" s="9"/>
    </row>
    <row r="58">
      <c r="A58" s="2" t="s">
        <v>11</v>
      </c>
      <c r="B58" s="10" t="s">
        <v>284</v>
      </c>
      <c r="C58" s="8" t="s">
        <v>285</v>
      </c>
      <c r="D58" s="11">
        <v>45616.0</v>
      </c>
      <c r="E58" s="6" t="s">
        <v>286</v>
      </c>
      <c r="F58" s="2" t="s">
        <v>287</v>
      </c>
      <c r="G58" s="15" t="s">
        <v>24</v>
      </c>
      <c r="H58" s="15" t="s">
        <v>40</v>
      </c>
      <c r="I58" s="8" t="s">
        <v>18</v>
      </c>
      <c r="J58" s="6" t="s">
        <v>288</v>
      </c>
      <c r="K58" s="6" t="s">
        <v>289</v>
      </c>
    </row>
    <row r="59">
      <c r="A59" s="2" t="s">
        <v>11</v>
      </c>
      <c r="B59" s="10" t="s">
        <v>290</v>
      </c>
      <c r="C59" s="8" t="s">
        <v>291</v>
      </c>
      <c r="D59" s="11">
        <v>45617.0</v>
      </c>
      <c r="E59" s="6" t="s">
        <v>292</v>
      </c>
      <c r="F59" s="6" t="s">
        <v>293</v>
      </c>
      <c r="G59" s="8" t="s">
        <v>262</v>
      </c>
      <c r="H59" s="8" t="s">
        <v>40</v>
      </c>
      <c r="I59" s="8" t="s">
        <v>18</v>
      </c>
      <c r="J59" s="6" t="s">
        <v>59</v>
      </c>
      <c r="K59" s="6" t="s">
        <v>46</v>
      </c>
    </row>
    <row r="60">
      <c r="A60" s="2" t="s">
        <v>11</v>
      </c>
      <c r="B60" s="10" t="s">
        <v>294</v>
      </c>
      <c r="C60" s="8" t="s">
        <v>295</v>
      </c>
      <c r="D60" s="11">
        <v>45617.0</v>
      </c>
      <c r="E60" s="6" t="s">
        <v>296</v>
      </c>
      <c r="F60" s="6" t="s">
        <v>102</v>
      </c>
      <c r="G60" s="8" t="s">
        <v>24</v>
      </c>
      <c r="H60" s="8" t="s">
        <v>40</v>
      </c>
      <c r="I60" s="8" t="s">
        <v>18</v>
      </c>
      <c r="J60" s="6" t="s">
        <v>297</v>
      </c>
      <c r="K60" s="6" t="s">
        <v>298</v>
      </c>
    </row>
    <row r="61">
      <c r="A61" s="2" t="s">
        <v>299</v>
      </c>
      <c r="B61" s="10" t="s">
        <v>300</v>
      </c>
      <c r="C61" s="9" t="s">
        <v>301</v>
      </c>
      <c r="D61" s="11">
        <v>45617.0</v>
      </c>
      <c r="E61" s="6" t="s">
        <v>302</v>
      </c>
      <c r="F61" s="6" t="s">
        <v>235</v>
      </c>
      <c r="G61" s="7" t="s">
        <v>267</v>
      </c>
      <c r="H61" s="6" t="s">
        <v>303</v>
      </c>
      <c r="I61" s="8" t="s">
        <v>26</v>
      </c>
      <c r="J61" s="6"/>
      <c r="K61" s="6" t="s">
        <v>304</v>
      </c>
    </row>
    <row r="62">
      <c r="A62" s="2" t="s">
        <v>305</v>
      </c>
      <c r="B62" s="10" t="s">
        <v>306</v>
      </c>
      <c r="C62" s="8" t="s">
        <v>307</v>
      </c>
      <c r="D62" s="11">
        <v>45617.0</v>
      </c>
      <c r="E62" s="6" t="s">
        <v>308</v>
      </c>
      <c r="F62" s="6" t="s">
        <v>309</v>
      </c>
      <c r="G62" s="8" t="s">
        <v>24</v>
      </c>
      <c r="H62" s="8" t="s">
        <v>40</v>
      </c>
      <c r="I62" s="8" t="s">
        <v>26</v>
      </c>
      <c r="J62" s="9"/>
      <c r="K62" s="22" t="s">
        <v>310</v>
      </c>
    </row>
    <row r="63">
      <c r="A63" s="2" t="s">
        <v>11</v>
      </c>
      <c r="B63" s="10" t="s">
        <v>311</v>
      </c>
      <c r="C63" s="8" t="s">
        <v>312</v>
      </c>
      <c r="D63" s="11">
        <v>45617.0</v>
      </c>
      <c r="E63" s="6" t="s">
        <v>313</v>
      </c>
      <c r="F63" s="6" t="s">
        <v>314</v>
      </c>
      <c r="G63" s="8" t="s">
        <v>24</v>
      </c>
      <c r="H63" s="8" t="s">
        <v>40</v>
      </c>
      <c r="I63" s="8" t="s">
        <v>26</v>
      </c>
      <c r="J63" s="6" t="s">
        <v>184</v>
      </c>
      <c r="K63" s="9"/>
    </row>
    <row r="64">
      <c r="A64" s="2" t="s">
        <v>11</v>
      </c>
      <c r="B64" s="10" t="s">
        <v>315</v>
      </c>
      <c r="C64" s="8" t="s">
        <v>316</v>
      </c>
      <c r="D64" s="11">
        <v>45617.0</v>
      </c>
      <c r="E64" s="17" t="s">
        <v>317</v>
      </c>
      <c r="F64" s="6" t="s">
        <v>318</v>
      </c>
      <c r="G64" s="8" t="s">
        <v>24</v>
      </c>
      <c r="H64" s="8" t="s">
        <v>40</v>
      </c>
      <c r="I64" s="8" t="s">
        <v>18</v>
      </c>
      <c r="J64" s="6" t="s">
        <v>59</v>
      </c>
      <c r="K64" s="6"/>
    </row>
    <row r="65">
      <c r="A65" s="2" t="s">
        <v>11</v>
      </c>
      <c r="B65" s="10" t="s">
        <v>319</v>
      </c>
      <c r="C65" s="8" t="s">
        <v>320</v>
      </c>
      <c r="D65" s="11">
        <v>45617.0</v>
      </c>
      <c r="E65" s="6" t="s">
        <v>210</v>
      </c>
      <c r="F65" s="6" t="s">
        <v>321</v>
      </c>
      <c r="G65" s="8" t="s">
        <v>24</v>
      </c>
      <c r="H65" s="8" t="s">
        <v>40</v>
      </c>
      <c r="I65" s="8" t="s">
        <v>18</v>
      </c>
      <c r="J65" s="6" t="s">
        <v>59</v>
      </c>
      <c r="K65" s="9"/>
    </row>
    <row r="66">
      <c r="A66" s="2" t="s">
        <v>11</v>
      </c>
      <c r="B66" s="10" t="s">
        <v>322</v>
      </c>
      <c r="C66" s="8" t="s">
        <v>323</v>
      </c>
      <c r="D66" s="11">
        <v>45618.0</v>
      </c>
      <c r="E66" s="6" t="s">
        <v>324</v>
      </c>
      <c r="F66" s="6" t="s">
        <v>321</v>
      </c>
      <c r="G66" s="8" t="s">
        <v>24</v>
      </c>
      <c r="H66" s="8" t="s">
        <v>40</v>
      </c>
      <c r="I66" s="8" t="s">
        <v>18</v>
      </c>
      <c r="J66" s="6" t="s">
        <v>325</v>
      </c>
      <c r="K66" s="6" t="s">
        <v>46</v>
      </c>
    </row>
    <row r="67" ht="21.75" customHeight="1">
      <c r="A67" s="2"/>
      <c r="B67" s="10" t="s">
        <v>326</v>
      </c>
      <c r="C67" s="6" t="s">
        <v>327</v>
      </c>
      <c r="D67" s="11">
        <v>45618.0</v>
      </c>
      <c r="E67" s="6" t="s">
        <v>210</v>
      </c>
      <c r="F67" s="6" t="s">
        <v>328</v>
      </c>
      <c r="G67" s="8" t="s">
        <v>24</v>
      </c>
      <c r="H67" s="8" t="s">
        <v>40</v>
      </c>
      <c r="I67" s="8" t="s">
        <v>18</v>
      </c>
      <c r="J67" s="9"/>
      <c r="K67" s="6" t="s">
        <v>46</v>
      </c>
    </row>
    <row r="68">
      <c r="A68" s="2" t="s">
        <v>11</v>
      </c>
      <c r="B68" s="10" t="s">
        <v>329</v>
      </c>
      <c r="C68" s="8" t="s">
        <v>330</v>
      </c>
      <c r="D68" s="11">
        <v>45618.0</v>
      </c>
      <c r="E68" s="6" t="s">
        <v>331</v>
      </c>
      <c r="F68" s="6" t="s">
        <v>332</v>
      </c>
      <c r="G68" s="8" t="s">
        <v>24</v>
      </c>
      <c r="H68" s="8" t="s">
        <v>40</v>
      </c>
      <c r="I68" s="8" t="s">
        <v>26</v>
      </c>
      <c r="J68" s="6" t="s">
        <v>333</v>
      </c>
      <c r="K68" s="9"/>
    </row>
    <row r="69">
      <c r="A69" s="2" t="s">
        <v>11</v>
      </c>
      <c r="B69" s="10" t="s">
        <v>334</v>
      </c>
      <c r="C69" s="8" t="s">
        <v>335</v>
      </c>
      <c r="D69" s="11">
        <v>45618.0</v>
      </c>
      <c r="E69" s="6" t="s">
        <v>188</v>
      </c>
      <c r="F69" s="6" t="s">
        <v>229</v>
      </c>
      <c r="G69" s="8" t="s">
        <v>24</v>
      </c>
      <c r="H69" s="8" t="s">
        <v>40</v>
      </c>
      <c r="I69" s="8" t="s">
        <v>26</v>
      </c>
      <c r="J69" s="6" t="s">
        <v>184</v>
      </c>
      <c r="K69" s="6" t="s">
        <v>336</v>
      </c>
    </row>
    <row r="70">
      <c r="A70" s="2" t="s">
        <v>11</v>
      </c>
      <c r="B70" s="10" t="s">
        <v>337</v>
      </c>
      <c r="C70" s="8" t="s">
        <v>338</v>
      </c>
      <c r="D70" s="11">
        <v>45618.0</v>
      </c>
      <c r="E70" s="6" t="s">
        <v>339</v>
      </c>
      <c r="F70" s="6" t="s">
        <v>340</v>
      </c>
      <c r="G70" s="8" t="s">
        <v>24</v>
      </c>
      <c r="H70" s="8" t="s">
        <v>40</v>
      </c>
      <c r="I70" s="8" t="s">
        <v>18</v>
      </c>
      <c r="J70" s="6" t="s">
        <v>59</v>
      </c>
      <c r="K70" s="6" t="s">
        <v>46</v>
      </c>
    </row>
    <row r="71">
      <c r="A71" s="2" t="s">
        <v>11</v>
      </c>
      <c r="B71" s="10" t="s">
        <v>337</v>
      </c>
      <c r="C71" s="8" t="s">
        <v>338</v>
      </c>
      <c r="D71" s="11">
        <v>45618.0</v>
      </c>
      <c r="E71" s="6" t="s">
        <v>101</v>
      </c>
      <c r="F71" s="6" t="s">
        <v>341</v>
      </c>
      <c r="G71" s="8" t="s">
        <v>24</v>
      </c>
      <c r="H71" s="8" t="s">
        <v>40</v>
      </c>
      <c r="I71" s="8" t="s">
        <v>18</v>
      </c>
      <c r="J71" s="6"/>
      <c r="K71" s="6" t="s">
        <v>46</v>
      </c>
    </row>
    <row r="72">
      <c r="A72" s="2" t="s">
        <v>11</v>
      </c>
      <c r="B72" s="23" t="s">
        <v>342</v>
      </c>
      <c r="C72" s="8" t="s">
        <v>343</v>
      </c>
      <c r="D72" s="11">
        <v>45618.0</v>
      </c>
      <c r="E72" s="6" t="s">
        <v>344</v>
      </c>
      <c r="F72" s="6" t="s">
        <v>345</v>
      </c>
      <c r="G72" s="7" t="s">
        <v>346</v>
      </c>
      <c r="H72" s="8" t="s">
        <v>347</v>
      </c>
      <c r="I72" s="8" t="s">
        <v>18</v>
      </c>
      <c r="J72" s="6" t="s">
        <v>59</v>
      </c>
      <c r="K72" s="6" t="s">
        <v>145</v>
      </c>
    </row>
    <row r="73">
      <c r="A73" s="2" t="s">
        <v>11</v>
      </c>
      <c r="B73" s="10" t="s">
        <v>348</v>
      </c>
      <c r="C73" s="8" t="s">
        <v>349</v>
      </c>
      <c r="D73" s="11">
        <v>45618.0</v>
      </c>
      <c r="E73" s="6" t="s">
        <v>350</v>
      </c>
      <c r="F73" s="6" t="s">
        <v>351</v>
      </c>
      <c r="G73" s="8" t="s">
        <v>24</v>
      </c>
      <c r="H73" s="8" t="s">
        <v>40</v>
      </c>
      <c r="I73" s="8" t="s">
        <v>26</v>
      </c>
      <c r="J73" s="6" t="s">
        <v>352</v>
      </c>
      <c r="K73" s="6" t="s">
        <v>353</v>
      </c>
    </row>
    <row r="74">
      <c r="A74" s="2" t="s">
        <v>354</v>
      </c>
      <c r="B74" s="10" t="s">
        <v>355</v>
      </c>
      <c r="C74" s="6" t="s">
        <v>356</v>
      </c>
      <c r="D74" s="11">
        <v>45619.0</v>
      </c>
      <c r="E74" s="17" t="s">
        <v>357</v>
      </c>
      <c r="F74" s="6" t="s">
        <v>358</v>
      </c>
      <c r="G74" s="8" t="s">
        <v>24</v>
      </c>
      <c r="H74" s="8" t="s">
        <v>40</v>
      </c>
      <c r="I74" s="19" t="s">
        <v>359</v>
      </c>
      <c r="J74" s="9"/>
      <c r="K74" s="6"/>
    </row>
    <row r="75">
      <c r="A75" s="2" t="s">
        <v>11</v>
      </c>
      <c r="B75" s="10" t="s">
        <v>281</v>
      </c>
      <c r="C75" s="8" t="s">
        <v>282</v>
      </c>
      <c r="D75" s="11">
        <v>45619.0</v>
      </c>
      <c r="E75" s="6" t="s">
        <v>188</v>
      </c>
      <c r="F75" s="6" t="s">
        <v>360</v>
      </c>
      <c r="G75" s="8" t="s">
        <v>361</v>
      </c>
      <c r="H75" s="8" t="s">
        <v>25</v>
      </c>
      <c r="I75" s="8" t="s">
        <v>26</v>
      </c>
      <c r="J75" s="6" t="s">
        <v>59</v>
      </c>
      <c r="K75" s="9"/>
    </row>
    <row r="76">
      <c r="A76" s="2" t="s">
        <v>11</v>
      </c>
      <c r="B76" s="10" t="s">
        <v>232</v>
      </c>
      <c r="C76" s="8" t="s">
        <v>233</v>
      </c>
      <c r="D76" s="11">
        <v>45619.0</v>
      </c>
      <c r="E76" s="17" t="s">
        <v>362</v>
      </c>
      <c r="F76" s="6" t="s">
        <v>165</v>
      </c>
      <c r="G76" s="8" t="s">
        <v>24</v>
      </c>
      <c r="H76" s="8" t="s">
        <v>40</v>
      </c>
      <c r="I76" s="8" t="s">
        <v>18</v>
      </c>
      <c r="J76" s="6" t="s">
        <v>363</v>
      </c>
      <c r="K76" s="6" t="s">
        <v>364</v>
      </c>
    </row>
    <row r="77">
      <c r="A77" s="2" t="s">
        <v>11</v>
      </c>
      <c r="B77" s="10" t="s">
        <v>365</v>
      </c>
      <c r="C77" s="8" t="s">
        <v>366</v>
      </c>
      <c r="D77" s="11">
        <v>45621.0</v>
      </c>
      <c r="E77" s="6" t="s">
        <v>38</v>
      </c>
      <c r="F77" s="6" t="s">
        <v>367</v>
      </c>
      <c r="G77" s="8" t="s">
        <v>24</v>
      </c>
      <c r="H77" s="8" t="s">
        <v>40</v>
      </c>
      <c r="I77" s="8" t="s">
        <v>18</v>
      </c>
      <c r="J77" s="6" t="s">
        <v>368</v>
      </c>
      <c r="K77" s="6" t="s">
        <v>46</v>
      </c>
    </row>
    <row r="78">
      <c r="A78" s="2" t="s">
        <v>11</v>
      </c>
      <c r="B78" s="10" t="s">
        <v>369</v>
      </c>
      <c r="C78" s="8" t="s">
        <v>370</v>
      </c>
      <c r="D78" s="11">
        <v>45621.0</v>
      </c>
      <c r="E78" s="6" t="s">
        <v>371</v>
      </c>
      <c r="F78" s="6" t="s">
        <v>372</v>
      </c>
      <c r="G78" s="8" t="s">
        <v>24</v>
      </c>
      <c r="H78" s="8" t="s">
        <v>40</v>
      </c>
      <c r="I78" s="8" t="s">
        <v>18</v>
      </c>
      <c r="J78" s="6" t="s">
        <v>373</v>
      </c>
      <c r="K78" s="6" t="s">
        <v>46</v>
      </c>
    </row>
    <row r="79">
      <c r="A79" s="2" t="s">
        <v>11</v>
      </c>
      <c r="B79" s="10" t="s">
        <v>374</v>
      </c>
      <c r="C79" s="8" t="s">
        <v>375</v>
      </c>
      <c r="D79" s="11">
        <v>45621.0</v>
      </c>
      <c r="E79" s="6" t="s">
        <v>38</v>
      </c>
      <c r="F79" s="6" t="s">
        <v>376</v>
      </c>
      <c r="G79" s="8" t="s">
        <v>24</v>
      </c>
      <c r="H79" s="8" t="s">
        <v>40</v>
      </c>
      <c r="I79" s="8" t="s">
        <v>18</v>
      </c>
      <c r="J79" s="6" t="s">
        <v>59</v>
      </c>
      <c r="K79" s="6" t="s">
        <v>46</v>
      </c>
    </row>
    <row r="80">
      <c r="A80" s="2" t="s">
        <v>11</v>
      </c>
      <c r="B80" s="10" t="s">
        <v>377</v>
      </c>
      <c r="C80" s="8" t="s">
        <v>378</v>
      </c>
      <c r="D80" s="11">
        <v>45621.0</v>
      </c>
      <c r="E80" s="6" t="s">
        <v>379</v>
      </c>
      <c r="F80" s="6" t="s">
        <v>380</v>
      </c>
      <c r="G80" s="8" t="s">
        <v>24</v>
      </c>
      <c r="H80" s="8" t="s">
        <v>40</v>
      </c>
      <c r="I80" s="8" t="s">
        <v>18</v>
      </c>
      <c r="J80" s="6" t="s">
        <v>381</v>
      </c>
      <c r="K80" s="9"/>
    </row>
    <row r="81">
      <c r="A81" s="2" t="s">
        <v>11</v>
      </c>
      <c r="B81" s="10" t="s">
        <v>382</v>
      </c>
      <c r="C81" s="8" t="s">
        <v>383</v>
      </c>
      <c r="D81" s="11">
        <v>45622.0</v>
      </c>
      <c r="E81" s="6" t="s">
        <v>384</v>
      </c>
      <c r="F81" s="6" t="s">
        <v>385</v>
      </c>
      <c r="G81" s="8" t="s">
        <v>24</v>
      </c>
      <c r="H81" s="8" t="s">
        <v>40</v>
      </c>
      <c r="I81" s="8" t="s">
        <v>26</v>
      </c>
      <c r="J81" s="6" t="s">
        <v>59</v>
      </c>
      <c r="K81" s="6" t="s">
        <v>46</v>
      </c>
    </row>
    <row r="82">
      <c r="A82" s="2" t="s">
        <v>274</v>
      </c>
      <c r="B82" s="10" t="s">
        <v>386</v>
      </c>
      <c r="C82" s="6" t="s">
        <v>387</v>
      </c>
      <c r="D82" s="11">
        <v>45622.0</v>
      </c>
      <c r="E82" s="6" t="s">
        <v>388</v>
      </c>
      <c r="F82" s="6" t="s">
        <v>165</v>
      </c>
      <c r="G82" s="7" t="s">
        <v>389</v>
      </c>
      <c r="H82" s="6" t="s">
        <v>201</v>
      </c>
      <c r="I82" s="8" t="s">
        <v>26</v>
      </c>
      <c r="J82" s="9"/>
      <c r="K82" s="6"/>
    </row>
    <row r="83">
      <c r="A83" s="2" t="s">
        <v>149</v>
      </c>
      <c r="B83" s="10" t="s">
        <v>390</v>
      </c>
      <c r="C83" s="6" t="s">
        <v>391</v>
      </c>
      <c r="D83" s="11">
        <v>45622.0</v>
      </c>
      <c r="E83" s="6" t="s">
        <v>392</v>
      </c>
      <c r="F83" s="6" t="s">
        <v>393</v>
      </c>
      <c r="G83" s="7" t="s">
        <v>394</v>
      </c>
      <c r="H83" s="8" t="s">
        <v>40</v>
      </c>
      <c r="I83" s="8" t="s">
        <v>26</v>
      </c>
      <c r="J83" s="9"/>
      <c r="K83" s="9"/>
    </row>
    <row r="84">
      <c r="A84" s="2" t="s">
        <v>11</v>
      </c>
      <c r="B84" s="10" t="s">
        <v>395</v>
      </c>
      <c r="C84" s="8" t="s">
        <v>396</v>
      </c>
      <c r="D84" s="11">
        <v>45622.0</v>
      </c>
      <c r="E84" s="6" t="s">
        <v>172</v>
      </c>
      <c r="F84" s="6" t="s">
        <v>397</v>
      </c>
      <c r="G84" s="8" t="s">
        <v>24</v>
      </c>
      <c r="H84" s="8" t="s">
        <v>40</v>
      </c>
      <c r="I84" s="24"/>
      <c r="J84" s="6" t="s">
        <v>398</v>
      </c>
      <c r="K84" s="9"/>
    </row>
    <row r="85" ht="16.5" customHeight="1">
      <c r="A85" s="2" t="s">
        <v>274</v>
      </c>
      <c r="B85" s="10" t="s">
        <v>399</v>
      </c>
      <c r="C85" s="6" t="s">
        <v>400</v>
      </c>
      <c r="D85" s="11">
        <v>45622.0</v>
      </c>
      <c r="E85" s="6" t="s">
        <v>401</v>
      </c>
      <c r="F85" s="6" t="s">
        <v>402</v>
      </c>
      <c r="G85" s="8" t="s">
        <v>24</v>
      </c>
      <c r="H85" s="6" t="s">
        <v>403</v>
      </c>
      <c r="I85" s="8" t="s">
        <v>26</v>
      </c>
      <c r="J85" s="9"/>
      <c r="K85" s="6"/>
    </row>
    <row r="86">
      <c r="A86" s="2" t="s">
        <v>274</v>
      </c>
      <c r="B86" s="10" t="s">
        <v>399</v>
      </c>
      <c r="C86" s="6" t="s">
        <v>400</v>
      </c>
      <c r="D86" s="11">
        <v>45622.0</v>
      </c>
      <c r="E86" s="6" t="s">
        <v>121</v>
      </c>
      <c r="F86" s="6" t="s">
        <v>404</v>
      </c>
      <c r="G86" s="8" t="s">
        <v>24</v>
      </c>
      <c r="H86" s="6" t="s">
        <v>403</v>
      </c>
      <c r="I86" s="8" t="s">
        <v>26</v>
      </c>
      <c r="J86" s="9"/>
      <c r="K86" s="9"/>
    </row>
    <row r="87">
      <c r="A87" s="2" t="s">
        <v>11</v>
      </c>
      <c r="B87" s="10" t="s">
        <v>405</v>
      </c>
      <c r="C87" s="8" t="s">
        <v>406</v>
      </c>
      <c r="D87" s="11">
        <v>45622.0</v>
      </c>
      <c r="E87" s="6" t="s">
        <v>188</v>
      </c>
      <c r="F87" s="6" t="s">
        <v>407</v>
      </c>
      <c r="G87" s="8" t="s">
        <v>24</v>
      </c>
      <c r="H87" s="8" t="s">
        <v>40</v>
      </c>
      <c r="I87" s="8" t="s">
        <v>26</v>
      </c>
      <c r="J87" s="6" t="s">
        <v>59</v>
      </c>
      <c r="K87" s="6" t="s">
        <v>408</v>
      </c>
    </row>
    <row r="88">
      <c r="A88" s="2" t="s">
        <v>11</v>
      </c>
      <c r="B88" s="10" t="s">
        <v>409</v>
      </c>
      <c r="C88" s="25" t="s">
        <v>410</v>
      </c>
      <c r="D88" s="11">
        <v>45623.0</v>
      </c>
      <c r="E88" s="6" t="s">
        <v>107</v>
      </c>
      <c r="F88" s="6" t="s">
        <v>411</v>
      </c>
      <c r="G88" s="8" t="s">
        <v>24</v>
      </c>
      <c r="H88" s="8" t="s">
        <v>40</v>
      </c>
      <c r="I88" s="8" t="s">
        <v>26</v>
      </c>
      <c r="J88" s="6" t="s">
        <v>59</v>
      </c>
      <c r="K88" s="6" t="s">
        <v>289</v>
      </c>
    </row>
    <row r="89">
      <c r="A89" s="2" t="s">
        <v>11</v>
      </c>
      <c r="B89" s="10" t="s">
        <v>412</v>
      </c>
      <c r="C89" s="8" t="s">
        <v>413</v>
      </c>
      <c r="D89" s="11">
        <v>45623.0</v>
      </c>
      <c r="E89" s="6" t="s">
        <v>234</v>
      </c>
      <c r="F89" s="6" t="s">
        <v>414</v>
      </c>
      <c r="G89" s="8" t="s">
        <v>24</v>
      </c>
      <c r="H89" s="8" t="s">
        <v>40</v>
      </c>
      <c r="I89" s="8" t="s">
        <v>18</v>
      </c>
      <c r="J89" s="9"/>
      <c r="K89" s="6"/>
    </row>
    <row r="90">
      <c r="A90" s="2" t="s">
        <v>11</v>
      </c>
      <c r="B90" s="10" t="s">
        <v>415</v>
      </c>
      <c r="C90" s="8" t="s">
        <v>416</v>
      </c>
      <c r="D90" s="11">
        <v>45623.0</v>
      </c>
      <c r="E90" s="6" t="s">
        <v>417</v>
      </c>
      <c r="F90" s="6" t="s">
        <v>418</v>
      </c>
      <c r="G90" s="8" t="s">
        <v>32</v>
      </c>
      <c r="H90" s="8" t="s">
        <v>40</v>
      </c>
      <c r="I90" s="8" t="s">
        <v>26</v>
      </c>
      <c r="J90" s="9"/>
      <c r="K90" s="9"/>
    </row>
    <row r="91">
      <c r="A91" s="2" t="s">
        <v>11</v>
      </c>
      <c r="B91" s="10" t="s">
        <v>415</v>
      </c>
      <c r="C91" s="8" t="s">
        <v>416</v>
      </c>
      <c r="D91" s="11">
        <v>45623.0</v>
      </c>
      <c r="E91" s="6" t="s">
        <v>419</v>
      </c>
      <c r="F91" s="6" t="s">
        <v>418</v>
      </c>
      <c r="G91" s="8" t="s">
        <v>32</v>
      </c>
      <c r="H91" s="8" t="s">
        <v>40</v>
      </c>
      <c r="I91" s="8" t="s">
        <v>26</v>
      </c>
      <c r="J91" s="6" t="s">
        <v>420</v>
      </c>
      <c r="K91" s="6" t="s">
        <v>421</v>
      </c>
    </row>
    <row r="92">
      <c r="A92" s="2" t="s">
        <v>422</v>
      </c>
      <c r="B92" s="10" t="s">
        <v>423</v>
      </c>
      <c r="C92" s="6" t="s">
        <v>424</v>
      </c>
      <c r="D92" s="11">
        <v>45623.0</v>
      </c>
      <c r="E92" s="6" t="s">
        <v>425</v>
      </c>
      <c r="F92" s="6" t="s">
        <v>426</v>
      </c>
      <c r="G92" s="6"/>
      <c r="H92" s="9"/>
      <c r="I92" s="19" t="s">
        <v>427</v>
      </c>
      <c r="J92" s="9"/>
      <c r="K92" s="9"/>
    </row>
    <row r="93">
      <c r="A93" s="2" t="s">
        <v>11</v>
      </c>
      <c r="B93" s="10" t="s">
        <v>428</v>
      </c>
      <c r="C93" s="8" t="s">
        <v>429</v>
      </c>
      <c r="D93" s="11">
        <v>45624.0</v>
      </c>
      <c r="E93" s="6" t="s">
        <v>430</v>
      </c>
      <c r="F93" s="6" t="s">
        <v>431</v>
      </c>
      <c r="G93" s="8" t="s">
        <v>24</v>
      </c>
      <c r="H93" s="8" t="s">
        <v>40</v>
      </c>
      <c r="I93" s="8" t="s">
        <v>18</v>
      </c>
      <c r="J93" s="6" t="s">
        <v>432</v>
      </c>
      <c r="K93" s="9"/>
    </row>
    <row r="94">
      <c r="A94" s="2" t="s">
        <v>11</v>
      </c>
      <c r="B94" s="10" t="s">
        <v>433</v>
      </c>
      <c r="C94" s="8" t="s">
        <v>434</v>
      </c>
      <c r="D94" s="11">
        <v>45624.0</v>
      </c>
      <c r="E94" s="6" t="s">
        <v>435</v>
      </c>
      <c r="F94" s="6" t="s">
        <v>436</v>
      </c>
      <c r="G94" s="8" t="s">
        <v>437</v>
      </c>
      <c r="H94" s="8" t="s">
        <v>40</v>
      </c>
      <c r="I94" s="8" t="s">
        <v>18</v>
      </c>
      <c r="J94" s="9"/>
      <c r="K94" s="9"/>
    </row>
    <row r="95">
      <c r="A95" s="2" t="s">
        <v>11</v>
      </c>
      <c r="B95" s="10" t="s">
        <v>438</v>
      </c>
      <c r="C95" s="8" t="s">
        <v>439</v>
      </c>
      <c r="D95" s="11">
        <v>45624.0</v>
      </c>
      <c r="E95" s="6" t="s">
        <v>440</v>
      </c>
      <c r="F95" s="6" t="s">
        <v>441</v>
      </c>
      <c r="G95" s="8" t="s">
        <v>24</v>
      </c>
      <c r="H95" s="8" t="s">
        <v>40</v>
      </c>
      <c r="I95" s="8" t="s">
        <v>18</v>
      </c>
      <c r="J95" s="6" t="s">
        <v>442</v>
      </c>
      <c r="K95" s="9"/>
    </row>
    <row r="96">
      <c r="A96" s="2" t="s">
        <v>11</v>
      </c>
      <c r="B96" s="10" t="s">
        <v>443</v>
      </c>
      <c r="C96" s="8" t="s">
        <v>444</v>
      </c>
      <c r="D96" s="11">
        <v>45624.0</v>
      </c>
      <c r="E96" s="6" t="s">
        <v>357</v>
      </c>
      <c r="F96" s="6" t="s">
        <v>445</v>
      </c>
      <c r="G96" s="8" t="s">
        <v>24</v>
      </c>
      <c r="H96" s="8" t="s">
        <v>40</v>
      </c>
      <c r="I96" s="8" t="s">
        <v>18</v>
      </c>
      <c r="J96" s="6" t="s">
        <v>432</v>
      </c>
      <c r="K96" s="6" t="s">
        <v>46</v>
      </c>
    </row>
    <row r="97">
      <c r="A97" s="2" t="s">
        <v>11</v>
      </c>
      <c r="B97" s="10" t="s">
        <v>446</v>
      </c>
      <c r="C97" s="8" t="s">
        <v>447</v>
      </c>
      <c r="D97" s="11">
        <v>45624.0</v>
      </c>
      <c r="E97" s="6" t="s">
        <v>357</v>
      </c>
      <c r="F97" s="6" t="s">
        <v>448</v>
      </c>
      <c r="G97" s="8" t="s">
        <v>24</v>
      </c>
      <c r="H97" s="8" t="s">
        <v>40</v>
      </c>
      <c r="I97" s="8" t="s">
        <v>18</v>
      </c>
      <c r="J97" s="9"/>
      <c r="K97" s="6" t="s">
        <v>46</v>
      </c>
    </row>
    <row r="98">
      <c r="A98" s="2" t="s">
        <v>11</v>
      </c>
      <c r="B98" s="10" t="s">
        <v>449</v>
      </c>
      <c r="C98" s="8" t="s">
        <v>450</v>
      </c>
      <c r="D98" s="11">
        <v>45624.0</v>
      </c>
      <c r="E98" s="6" t="s">
        <v>451</v>
      </c>
      <c r="F98" s="6" t="s">
        <v>452</v>
      </c>
      <c r="G98" s="8" t="s">
        <v>24</v>
      </c>
      <c r="H98" s="8" t="s">
        <v>40</v>
      </c>
      <c r="I98" s="8" t="s">
        <v>18</v>
      </c>
      <c r="J98" s="6" t="s">
        <v>453</v>
      </c>
      <c r="K98" s="6" t="s">
        <v>46</v>
      </c>
    </row>
    <row r="99">
      <c r="A99" s="2" t="s">
        <v>11</v>
      </c>
      <c r="B99" s="10" t="s">
        <v>454</v>
      </c>
      <c r="C99" s="8" t="s">
        <v>455</v>
      </c>
      <c r="D99" s="11">
        <v>45624.0</v>
      </c>
      <c r="E99" s="6" t="s">
        <v>188</v>
      </c>
      <c r="F99" s="6" t="s">
        <v>456</v>
      </c>
      <c r="G99" s="8" t="s">
        <v>24</v>
      </c>
      <c r="H99" s="8" t="s">
        <v>40</v>
      </c>
      <c r="I99" s="8" t="s">
        <v>26</v>
      </c>
      <c r="J99" s="6" t="s">
        <v>457</v>
      </c>
      <c r="K99" s="6" t="s">
        <v>46</v>
      </c>
    </row>
    <row r="100">
      <c r="A100" s="2" t="s">
        <v>11</v>
      </c>
      <c r="B100" s="10" t="s">
        <v>458</v>
      </c>
      <c r="C100" s="8" t="s">
        <v>459</v>
      </c>
      <c r="D100" s="11">
        <v>45624.0</v>
      </c>
      <c r="E100" s="6" t="s">
        <v>460</v>
      </c>
      <c r="F100" s="6"/>
      <c r="G100" s="8" t="s">
        <v>24</v>
      </c>
      <c r="H100" s="8" t="s">
        <v>40</v>
      </c>
      <c r="I100" s="8" t="s">
        <v>18</v>
      </c>
      <c r="J100" s="9"/>
      <c r="K100" s="6"/>
    </row>
    <row r="101">
      <c r="A101" s="2" t="s">
        <v>11</v>
      </c>
      <c r="B101" s="10" t="s">
        <v>461</v>
      </c>
      <c r="C101" s="8" t="s">
        <v>462</v>
      </c>
      <c r="D101" s="11">
        <v>45625.0</v>
      </c>
      <c r="E101" s="6" t="s">
        <v>463</v>
      </c>
      <c r="F101" s="6" t="s">
        <v>464</v>
      </c>
      <c r="G101" s="7" t="s">
        <v>465</v>
      </c>
      <c r="H101" s="8" t="s">
        <v>40</v>
      </c>
      <c r="I101" s="8" t="s">
        <v>26</v>
      </c>
      <c r="J101" s="6" t="s">
        <v>216</v>
      </c>
      <c r="K101" s="9"/>
    </row>
    <row r="102">
      <c r="A102" s="2" t="s">
        <v>11</v>
      </c>
      <c r="B102" s="10" t="s">
        <v>466</v>
      </c>
      <c r="C102" s="8" t="s">
        <v>467</v>
      </c>
      <c r="D102" s="11">
        <v>45625.0</v>
      </c>
      <c r="E102" s="6" t="s">
        <v>38</v>
      </c>
      <c r="F102" s="6" t="s">
        <v>468</v>
      </c>
      <c r="G102" s="8" t="s">
        <v>24</v>
      </c>
      <c r="H102" s="8" t="s">
        <v>40</v>
      </c>
      <c r="I102" s="8" t="s">
        <v>18</v>
      </c>
      <c r="J102" s="9"/>
      <c r="K102" s="6" t="s">
        <v>469</v>
      </c>
    </row>
    <row r="103">
      <c r="A103" s="2" t="s">
        <v>11</v>
      </c>
      <c r="B103" s="10" t="s">
        <v>470</v>
      </c>
      <c r="C103" s="8" t="s">
        <v>471</v>
      </c>
      <c r="D103" s="11">
        <v>45625.0</v>
      </c>
      <c r="E103" s="6" t="s">
        <v>472</v>
      </c>
      <c r="F103" s="6"/>
      <c r="G103" s="8" t="s">
        <v>473</v>
      </c>
      <c r="H103" s="6"/>
      <c r="I103" s="8"/>
      <c r="J103" s="6"/>
      <c r="K103" s="6" t="s">
        <v>46</v>
      </c>
    </row>
    <row r="104">
      <c r="A104" s="2" t="s">
        <v>11</v>
      </c>
      <c r="B104" s="10" t="s">
        <v>470</v>
      </c>
      <c r="C104" s="8" t="s">
        <v>471</v>
      </c>
      <c r="D104" s="11">
        <v>45625.0</v>
      </c>
      <c r="E104" s="6" t="s">
        <v>474</v>
      </c>
      <c r="F104" s="6" t="s">
        <v>475</v>
      </c>
      <c r="G104" s="8" t="s">
        <v>24</v>
      </c>
      <c r="H104" s="8" t="s">
        <v>40</v>
      </c>
      <c r="I104" s="8" t="s">
        <v>26</v>
      </c>
      <c r="J104" s="6" t="s">
        <v>476</v>
      </c>
      <c r="K104" s="6" t="s">
        <v>46</v>
      </c>
    </row>
    <row r="105">
      <c r="A105" s="2" t="s">
        <v>11</v>
      </c>
      <c r="B105" s="10" t="s">
        <v>477</v>
      </c>
      <c r="C105" s="8" t="s">
        <v>478</v>
      </c>
      <c r="D105" s="11">
        <v>45625.0</v>
      </c>
      <c r="E105" s="6" t="s">
        <v>479</v>
      </c>
      <c r="F105" s="6" t="s">
        <v>480</v>
      </c>
      <c r="G105" s="8" t="s">
        <v>24</v>
      </c>
      <c r="H105" s="8" t="s">
        <v>40</v>
      </c>
      <c r="I105" s="8" t="s">
        <v>18</v>
      </c>
      <c r="J105" s="9"/>
      <c r="K105" s="6" t="s">
        <v>145</v>
      </c>
    </row>
    <row r="106">
      <c r="A106" s="2" t="s">
        <v>11</v>
      </c>
      <c r="B106" s="10" t="s">
        <v>481</v>
      </c>
      <c r="C106" s="8" t="s">
        <v>482</v>
      </c>
      <c r="D106" s="11">
        <v>45625.0</v>
      </c>
      <c r="E106" s="6" t="s">
        <v>483</v>
      </c>
      <c r="F106" s="6" t="s">
        <v>484</v>
      </c>
      <c r="G106" s="8" t="s">
        <v>24</v>
      </c>
      <c r="H106" s="8" t="s">
        <v>40</v>
      </c>
      <c r="I106" s="8" t="s">
        <v>485</v>
      </c>
      <c r="J106" s="6" t="s">
        <v>486</v>
      </c>
      <c r="K106" s="9"/>
    </row>
    <row r="107">
      <c r="A107" s="2" t="s">
        <v>171</v>
      </c>
      <c r="B107" s="10" t="s">
        <v>487</v>
      </c>
      <c r="C107" s="6" t="s">
        <v>488</v>
      </c>
      <c r="D107" s="26" t="s">
        <v>26</v>
      </c>
      <c r="E107" s="6" t="s">
        <v>489</v>
      </c>
      <c r="F107" s="6" t="s">
        <v>490</v>
      </c>
      <c r="G107" s="7" t="s">
        <v>491</v>
      </c>
      <c r="H107" s="6" t="s">
        <v>492</v>
      </c>
      <c r="I107" s="26" t="s">
        <v>26</v>
      </c>
      <c r="J107" s="9"/>
      <c r="K107" s="6" t="s">
        <v>145</v>
      </c>
    </row>
    <row r="108">
      <c r="A108" s="2" t="s">
        <v>274</v>
      </c>
      <c r="B108" s="10" t="s">
        <v>493</v>
      </c>
      <c r="C108" s="6" t="s">
        <v>494</v>
      </c>
      <c r="D108" s="11">
        <v>45625.0</v>
      </c>
      <c r="E108" s="6" t="s">
        <v>182</v>
      </c>
      <c r="F108" s="27" t="s">
        <v>495</v>
      </c>
      <c r="G108" s="8" t="s">
        <v>24</v>
      </c>
      <c r="H108" s="6" t="s">
        <v>496</v>
      </c>
      <c r="I108" s="8" t="s">
        <v>26</v>
      </c>
      <c r="J108" s="9"/>
      <c r="K108" s="9"/>
    </row>
    <row r="109">
      <c r="A109" s="2" t="s">
        <v>11</v>
      </c>
      <c r="B109" s="10" t="s">
        <v>497</v>
      </c>
      <c r="C109" s="8" t="s">
        <v>498</v>
      </c>
      <c r="D109" s="11">
        <v>45625.0</v>
      </c>
      <c r="E109" s="6" t="s">
        <v>499</v>
      </c>
      <c r="F109" s="6" t="s">
        <v>500</v>
      </c>
      <c r="G109" s="7" t="s">
        <v>491</v>
      </c>
      <c r="H109" s="8" t="s">
        <v>40</v>
      </c>
      <c r="I109" s="8" t="s">
        <v>26</v>
      </c>
      <c r="J109" s="6" t="s">
        <v>59</v>
      </c>
      <c r="K109" s="9"/>
    </row>
    <row r="110">
      <c r="A110" s="2" t="s">
        <v>11</v>
      </c>
      <c r="B110" s="10" t="s">
        <v>501</v>
      </c>
      <c r="C110" s="8" t="s">
        <v>502</v>
      </c>
      <c r="D110" s="11">
        <v>45625.0</v>
      </c>
      <c r="E110" s="6" t="s">
        <v>503</v>
      </c>
      <c r="F110" s="6" t="s">
        <v>504</v>
      </c>
      <c r="G110" s="8" t="s">
        <v>24</v>
      </c>
      <c r="H110" s="8" t="s">
        <v>40</v>
      </c>
      <c r="I110" s="8" t="s">
        <v>26</v>
      </c>
      <c r="J110" s="6" t="s">
        <v>59</v>
      </c>
      <c r="K110" s="6" t="s">
        <v>353</v>
      </c>
    </row>
    <row r="111">
      <c r="A111" s="2" t="s">
        <v>11</v>
      </c>
      <c r="B111" s="10" t="s">
        <v>501</v>
      </c>
      <c r="C111" s="8" t="s">
        <v>502</v>
      </c>
      <c r="D111" s="11">
        <v>45625.0</v>
      </c>
      <c r="E111" s="6" t="s">
        <v>107</v>
      </c>
      <c r="F111" s="6" t="s">
        <v>484</v>
      </c>
      <c r="G111" s="8" t="s">
        <v>24</v>
      </c>
      <c r="H111" s="8" t="s">
        <v>40</v>
      </c>
      <c r="I111" s="8" t="s">
        <v>26</v>
      </c>
      <c r="J111" s="6" t="s">
        <v>505</v>
      </c>
      <c r="K111" s="6" t="s">
        <v>506</v>
      </c>
    </row>
    <row r="112">
      <c r="A112" s="2" t="s">
        <v>11</v>
      </c>
      <c r="B112" s="10" t="s">
        <v>507</v>
      </c>
      <c r="C112" s="8" t="s">
        <v>508</v>
      </c>
      <c r="D112" s="11">
        <v>45625.0</v>
      </c>
      <c r="E112" s="6" t="s">
        <v>509</v>
      </c>
      <c r="F112" s="6" t="s">
        <v>510</v>
      </c>
      <c r="G112" s="8" t="s">
        <v>24</v>
      </c>
      <c r="H112" s="8" t="s">
        <v>40</v>
      </c>
      <c r="I112" s="8" t="s">
        <v>18</v>
      </c>
      <c r="J112" s="6" t="s">
        <v>511</v>
      </c>
      <c r="K112" s="6" t="s">
        <v>145</v>
      </c>
    </row>
    <row r="113">
      <c r="A113" s="2" t="s">
        <v>11</v>
      </c>
      <c r="B113" s="10" t="s">
        <v>512</v>
      </c>
      <c r="C113" s="8" t="s">
        <v>513</v>
      </c>
      <c r="D113" s="11">
        <v>45625.0</v>
      </c>
      <c r="E113" s="6" t="s">
        <v>514</v>
      </c>
      <c r="F113" s="6" t="s">
        <v>515</v>
      </c>
      <c r="G113" s="8" t="s">
        <v>24</v>
      </c>
      <c r="H113" s="8" t="s">
        <v>40</v>
      </c>
      <c r="I113" s="8" t="s">
        <v>18</v>
      </c>
      <c r="J113" s="6" t="s">
        <v>453</v>
      </c>
      <c r="K113" s="6" t="s">
        <v>46</v>
      </c>
    </row>
    <row r="114">
      <c r="A114" s="2" t="s">
        <v>171</v>
      </c>
      <c r="B114" s="10" t="s">
        <v>516</v>
      </c>
      <c r="C114" s="6" t="s">
        <v>517</v>
      </c>
      <c r="D114" s="11">
        <v>45626.0</v>
      </c>
      <c r="E114" s="6" t="s">
        <v>518</v>
      </c>
      <c r="F114" s="6" t="s">
        <v>519</v>
      </c>
      <c r="G114" s="28" t="s">
        <v>520</v>
      </c>
      <c r="H114" s="8" t="s">
        <v>40</v>
      </c>
      <c r="I114" s="8" t="s">
        <v>26</v>
      </c>
      <c r="J114" s="9"/>
      <c r="K114" s="6" t="s">
        <v>46</v>
      </c>
    </row>
    <row r="115">
      <c r="A115" s="2" t="s">
        <v>171</v>
      </c>
      <c r="B115" s="10" t="s">
        <v>516</v>
      </c>
      <c r="C115" s="6" t="s">
        <v>517</v>
      </c>
      <c r="D115" s="11">
        <v>45626.0</v>
      </c>
      <c r="E115" s="6" t="s">
        <v>205</v>
      </c>
      <c r="F115" s="6" t="s">
        <v>519</v>
      </c>
      <c r="G115" s="28" t="s">
        <v>520</v>
      </c>
      <c r="H115" s="8" t="s">
        <v>40</v>
      </c>
      <c r="I115" s="8" t="s">
        <v>26</v>
      </c>
      <c r="J115" s="9"/>
      <c r="K115" s="6" t="s">
        <v>521</v>
      </c>
    </row>
    <row r="116">
      <c r="A116" s="2" t="s">
        <v>11</v>
      </c>
      <c r="B116" s="10" t="s">
        <v>522</v>
      </c>
      <c r="C116" s="8" t="s">
        <v>523</v>
      </c>
      <c r="D116" s="11">
        <v>45643.0</v>
      </c>
      <c r="E116" s="6" t="s">
        <v>524</v>
      </c>
      <c r="F116" s="29" t="s">
        <v>525</v>
      </c>
      <c r="G116" s="8" t="s">
        <v>24</v>
      </c>
      <c r="H116" s="8" t="s">
        <v>40</v>
      </c>
      <c r="I116" s="8" t="s">
        <v>18</v>
      </c>
      <c r="J116" s="6" t="s">
        <v>526</v>
      </c>
      <c r="K116" s="6" t="s">
        <v>521</v>
      </c>
    </row>
    <row r="117">
      <c r="A117" s="2" t="s">
        <v>11</v>
      </c>
      <c r="B117" s="10" t="s">
        <v>527</v>
      </c>
      <c r="C117" s="8" t="s">
        <v>528</v>
      </c>
      <c r="D117" s="14">
        <v>45684.0</v>
      </c>
      <c r="E117" s="6" t="s">
        <v>107</v>
      </c>
      <c r="F117" s="6" t="s">
        <v>529</v>
      </c>
      <c r="G117" s="15" t="s">
        <v>24</v>
      </c>
      <c r="H117" s="8" t="s">
        <v>40</v>
      </c>
      <c r="I117" s="8" t="s">
        <v>26</v>
      </c>
      <c r="J117" s="6" t="s">
        <v>59</v>
      </c>
      <c r="K117" s="9"/>
    </row>
    <row r="118">
      <c r="A118" s="2" t="s">
        <v>11</v>
      </c>
      <c r="B118" s="10" t="s">
        <v>530</v>
      </c>
      <c r="C118" s="8" t="s">
        <v>531</v>
      </c>
      <c r="D118" s="10" t="s">
        <v>532</v>
      </c>
      <c r="E118" s="2" t="s">
        <v>533</v>
      </c>
      <c r="F118" s="6" t="s">
        <v>534</v>
      </c>
      <c r="G118" s="15" t="s">
        <v>24</v>
      </c>
      <c r="H118" s="15" t="s">
        <v>40</v>
      </c>
      <c r="I118" s="8" t="s">
        <v>18</v>
      </c>
      <c r="J118" s="6" t="s">
        <v>59</v>
      </c>
      <c r="K118" s="9"/>
    </row>
    <row r="119">
      <c r="A119" s="2" t="s">
        <v>11</v>
      </c>
      <c r="B119" s="10" t="s">
        <v>535</v>
      </c>
      <c r="C119" s="8" t="s">
        <v>536</v>
      </c>
      <c r="D119" s="10" t="s">
        <v>537</v>
      </c>
      <c r="E119" s="17" t="s">
        <v>73</v>
      </c>
      <c r="F119" s="6" t="s">
        <v>538</v>
      </c>
      <c r="G119" s="15" t="s">
        <v>24</v>
      </c>
      <c r="H119" s="15" t="s">
        <v>40</v>
      </c>
      <c r="I119" s="8" t="s">
        <v>18</v>
      </c>
      <c r="J119" s="6" t="s">
        <v>539</v>
      </c>
      <c r="K119" s="9"/>
    </row>
    <row r="120">
      <c r="A120" s="2" t="s">
        <v>11</v>
      </c>
      <c r="B120" s="10" t="s">
        <v>540</v>
      </c>
      <c r="C120" s="8" t="s">
        <v>541</v>
      </c>
      <c r="D120" s="10" t="s">
        <v>542</v>
      </c>
      <c r="E120" s="17" t="s">
        <v>357</v>
      </c>
      <c r="F120" s="6" t="s">
        <v>543</v>
      </c>
      <c r="G120" s="8" t="s">
        <v>24</v>
      </c>
      <c r="H120" s="6" t="s">
        <v>303</v>
      </c>
      <c r="I120" s="30" t="s">
        <v>544</v>
      </c>
      <c r="J120" s="6" t="s">
        <v>59</v>
      </c>
      <c r="K120" s="6" t="s">
        <v>46</v>
      </c>
    </row>
    <row r="121">
      <c r="A121" s="2" t="s">
        <v>11</v>
      </c>
      <c r="B121" s="10" t="s">
        <v>545</v>
      </c>
      <c r="C121" s="8" t="s">
        <v>546</v>
      </c>
      <c r="D121" s="10" t="s">
        <v>547</v>
      </c>
      <c r="E121" s="17" t="s">
        <v>194</v>
      </c>
      <c r="F121" s="6" t="s">
        <v>548</v>
      </c>
      <c r="G121" s="8" t="s">
        <v>24</v>
      </c>
      <c r="H121" s="8" t="s">
        <v>40</v>
      </c>
      <c r="I121" s="8" t="s">
        <v>26</v>
      </c>
      <c r="J121" s="6" t="s">
        <v>179</v>
      </c>
      <c r="K121" s="6" t="s">
        <v>46</v>
      </c>
    </row>
    <row r="122">
      <c r="A122" s="2" t="s">
        <v>11</v>
      </c>
      <c r="B122" s="10" t="s">
        <v>549</v>
      </c>
      <c r="C122" s="8" t="s">
        <v>550</v>
      </c>
      <c r="D122" s="11">
        <v>45643.0</v>
      </c>
      <c r="E122" s="6" t="s">
        <v>551</v>
      </c>
      <c r="F122" s="6" t="s">
        <v>552</v>
      </c>
      <c r="G122" s="7" t="s">
        <v>553</v>
      </c>
      <c r="H122" s="8" t="s">
        <v>40</v>
      </c>
      <c r="I122" s="8" t="s">
        <v>18</v>
      </c>
      <c r="J122" s="9"/>
      <c r="K122" s="9"/>
    </row>
    <row r="123">
      <c r="A123" s="2" t="s">
        <v>11</v>
      </c>
      <c r="B123" s="10" t="s">
        <v>554</v>
      </c>
      <c r="C123" s="8" t="s">
        <v>555</v>
      </c>
      <c r="D123" s="10" t="s">
        <v>556</v>
      </c>
      <c r="E123" s="6" t="s">
        <v>63</v>
      </c>
      <c r="F123" s="6" t="s">
        <v>557</v>
      </c>
      <c r="G123" s="7" t="s">
        <v>558</v>
      </c>
      <c r="H123" s="8" t="s">
        <v>40</v>
      </c>
      <c r="I123" s="8" t="s">
        <v>26</v>
      </c>
      <c r="J123" s="6" t="s">
        <v>559</v>
      </c>
      <c r="K123" s="9"/>
    </row>
    <row r="124">
      <c r="A124" s="2" t="s">
        <v>11</v>
      </c>
      <c r="B124" s="10" t="s">
        <v>560</v>
      </c>
      <c r="C124" s="31" t="s">
        <v>561</v>
      </c>
      <c r="D124" s="14"/>
      <c r="E124" s="17" t="s">
        <v>479</v>
      </c>
      <c r="F124" s="6" t="s">
        <v>562</v>
      </c>
      <c r="G124" s="15" t="s">
        <v>24</v>
      </c>
      <c r="H124" s="8" t="s">
        <v>40</v>
      </c>
      <c r="I124" s="8" t="s">
        <v>18</v>
      </c>
      <c r="J124" s="6" t="s">
        <v>59</v>
      </c>
      <c r="K124" s="6" t="s">
        <v>563</v>
      </c>
    </row>
    <row r="125">
      <c r="A125" s="2" t="s">
        <v>171</v>
      </c>
      <c r="B125" s="12">
        <v>7.89964996E9</v>
      </c>
      <c r="C125" s="32" t="s">
        <v>564</v>
      </c>
      <c r="D125" s="14"/>
      <c r="E125" s="6" t="s">
        <v>565</v>
      </c>
      <c r="F125" s="6" t="s">
        <v>566</v>
      </c>
      <c r="G125" s="8" t="s">
        <v>24</v>
      </c>
      <c r="H125" s="8" t="s">
        <v>40</v>
      </c>
      <c r="I125" s="8" t="s">
        <v>567</v>
      </c>
      <c r="J125" s="6" t="s">
        <v>59</v>
      </c>
      <c r="K125" s="9"/>
    </row>
    <row r="126">
      <c r="A126" s="33"/>
      <c r="B126" s="34"/>
      <c r="C126" s="35"/>
      <c r="D126" s="36"/>
      <c r="E126" s="37"/>
      <c r="F126" s="37"/>
      <c r="G126" s="37"/>
      <c r="H126" s="37"/>
      <c r="I126" s="38"/>
      <c r="J126" s="39"/>
      <c r="K126" s="9"/>
    </row>
  </sheetData>
  <dataValidations>
    <dataValidation type="list" allowBlank="1" showErrorMessage="1" sqref="A2:A126">
      <formula1>"Urgente,Mediana,Normal,Análise Concluída,Falta Tutoria,Falta Documentação,Falta Financeiro,Falta Plataforma,Aluno certificado,Aluno no Setor de Cobrança,Processo de certificação,Atualizada em Abril,Aluno não é apto para certificação"</formula1>
    </dataValidation>
  </dataValidations>
  <printOptions gridLines="1" horizontalCentered="1"/>
  <pageMargins bottom="0.75" footer="0.0" header="0.0" left="0.7" right="0.7" top="0.75"/>
  <pageSetup fitToHeight="0" cellComments="atEnd" orientation="landscape" pageOrder="overThenDown"/>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2.63" defaultRowHeight="15.75"/>
  <cols>
    <col customWidth="1" min="1" max="1" width="198.63"/>
    <col customWidth="1" min="2" max="2" width="43.0"/>
    <col customWidth="1" min="4" max="4" width="17.25"/>
  </cols>
  <sheetData>
    <row r="1">
      <c r="A1" s="382" t="str">
        <f>IFERROR(__xludf.DUMMYFUNCTION("IMPORTRANGE(""https://docs.google.com/spreadsheets/d/1tUFVthsA7Qgr4fi4drKw6rBQfw0odOk_BGVQ2RXT6So/edit"", ""Estágio - PP!I:I"")
"),"DADOS PARA ANÁLISE ")</f>
        <v>DADOS PARA ANÁLISE </v>
      </c>
      <c r="B1" s="383" t="s">
        <v>5666</v>
      </c>
    </row>
    <row r="2">
      <c r="A2" s="384" t="str">
        <f>IFERROR(__xludf.DUMMYFUNCTION("""COMPUTED_VALUE""")," | Segunda Licenciatura Música | Aprovado | ")</f>
        <v> | Segunda Licenciatura Música | Aprovado | </v>
      </c>
      <c r="B2" s="385" t="s">
        <v>103</v>
      </c>
    </row>
    <row r="3">
      <c r="A3" s="384" t="str">
        <f>IFERROR(__xludf.DUMMYFUNCTION("""COMPUTED_VALUE"""),"Abadia Maria Aparecida Rezende | Pedagogia | Em análise | Bianca: aluna fez apenas 2 planos de aula")</f>
        <v>Abadia Maria Aparecida Rezende | Pedagogia | Em análise | Bianca: aluna fez apenas 2 planos de aula</v>
      </c>
      <c r="B3" s="386" t="s">
        <v>5324</v>
      </c>
    </row>
    <row r="4">
      <c r="A4" s="384" t="str">
        <f>IFERROR(__xludf.DUMMYFUNCTION("""COMPUTED_VALUE"""),"Abimael Luiz De Oliveira | Música | Aprovado | Júnio: PP falta a carta de apresentação //Júnio: aprovado: 21/12/23")</f>
        <v>Abimael Luiz De Oliveira | Música | Aprovado | Júnio: PP falta a carta de apresentação //Júnio: aprovado: 21/12/23</v>
      </c>
      <c r="B4" s="387" t="s">
        <v>5667</v>
      </c>
    </row>
    <row r="5">
      <c r="A5" s="384" t="str">
        <f>IFERROR(__xludf.DUMMYFUNCTION("""COMPUTED_VALUE"""),"Abiran Silva De Jesus Novais | Pedagogia | Aprovada | Júnio: declaração nao foi válida, 5,7% plágio, faltam 40 hs de gestão, especificar o tipo de acompanhamento e serie, enviar o plano de aula digitado.  //Júnio: aprovada: 24/11/23")</f>
        <v>Abiran Silva De Jesus Novais | Pedagogia | Aprovada | Júnio: declaração nao foi válida, 5,7% plágio, faltam 40 hs de gestão, especificar o tipo de acompanhamento e serie, enviar o plano de aula digitado.  //Júnio: aprovada: 24/11/23</v>
      </c>
      <c r="B5" s="388" t="s">
        <v>5668</v>
      </c>
    </row>
    <row r="6">
      <c r="A6" s="384" t="str">
        <f>IFERROR(__xludf.DUMMYFUNCTION("""COMPUTED_VALUE"""),"Abraão Moreira Aguiar | Artes Visuais | Aprovada | Lucas: Aprovada no estagio remoto antigo ")</f>
        <v>Abraão Moreira Aguiar | Artes Visuais | Aprovada | Lucas: Aprovada no estagio remoto antigo </v>
      </c>
      <c r="B6" s="93"/>
    </row>
    <row r="7">
      <c r="A7" s="384" t="str">
        <f>IFERROR(__xludf.DUMMYFUNCTION("""COMPUTED_VALUE"""),"Abraão Moreira Aguiar | Pedagogia | Aprovado | Bianca: encaminhou o trabalho sem as correções pedidas anteriormente //Bárbara: aprovada: 20/07/21")</f>
        <v>Abraão Moreira Aguiar | Pedagogia | Aprovado | Bianca: encaminhou o trabalho sem as correções pedidas anteriormente //Bárbara: aprovada: 20/07/21</v>
      </c>
      <c r="B7" s="93"/>
    </row>
    <row r="8">
      <c r="A8" s="384" t="str">
        <f>IFERROR(__xludf.DUMMYFUNCTION("""COMPUTED_VALUE"""),"Acidália Vaz Sampaio Neta Moura | História | Aprovada | Alexsiane: etapa 1,2,3 ok, falta 4° etapa do remoto antigo. //Júnio:aprovada no video: 06/07/22")</f>
        <v>Acidália Vaz Sampaio Neta Moura | História | Aprovada | Alexsiane: etapa 1,2,3 ok, falta 4° etapa do remoto antigo. //Júnio:aprovada no video: 06/07/22</v>
      </c>
      <c r="B8" s="93"/>
    </row>
    <row r="9">
      <c r="A9" s="384" t="str">
        <f>IFERROR(__xludf.DUMMYFUNCTION("""COMPUTED_VALUE"""),"Adair Nunes Dos Santos | Pedagogia | Em análise | Júnio: 39% plágio, falta preencher campos em branco da carta de apresentação e envia entrevista digitada.")</f>
        <v>Adair Nunes Dos Santos | Pedagogia | Em análise | Júnio: 39% plágio, falta preencher campos em branco da carta de apresentação e envia entrevista digitada.</v>
      </c>
      <c r="B9" s="93"/>
    </row>
    <row r="10">
      <c r="A10" s="384" t="str">
        <f>IFERROR(__xludf.DUMMYFUNCTION("""COMPUTED_VALUE"""),"Adalberto Augusto Da Cruz | Letras Português Inglês | Pré aprovado | Júnio: remoto atualizado - autorizado a recolher assinaturas// Alexsiane: Pré aprovado com lançamento no sponte")</f>
        <v>Adalberto Augusto Da Cruz | Letras Português Inglês | Pré aprovado | Júnio: remoto atualizado - autorizado a recolher assinaturas// Alexsiane: Pré aprovado com lançamento no sponte</v>
      </c>
      <c r="B10" s="93"/>
    </row>
    <row r="11">
      <c r="A11" s="384" t="str">
        <f>IFERROR(__xludf.DUMMYFUNCTION("""COMPUTED_VALUE"""),"Adalberto Augusto Da Cruz | Letras Espanhol | Em análise | Júnio: falta 20 horas de gestão, especificar detalhes nas fichas, temas, série, estudo do PPP")</f>
        <v>Adalberto Augusto Da Cruz | Letras Espanhol | Em análise | Júnio: falta 20 horas de gestão, especificar detalhes nas fichas, temas, série, estudo do PPP</v>
      </c>
      <c r="B11" s="93"/>
    </row>
    <row r="12">
      <c r="A12" s="384" t="str">
        <f>IFERROR(__xludf.DUMMYFUNCTION("""COMPUTED_VALUE"""),"Adalberto Rodrigues Costa | Música | Em análise | Matheus: 9,9% plágio, entrevista curta demais.")</f>
        <v>Adalberto Rodrigues Costa | Música | Em análise | Matheus: 9,9% plágio, entrevista curta demais.</v>
      </c>
      <c r="B12" s="93"/>
    </row>
    <row r="13">
      <c r="A13" s="384" t="str">
        <f>IFERROR(__xludf.DUMMYFUNCTION("""COMPUTED_VALUE"""),"Adão Do Carmo Muniz | Educação Especial | Aprovado | Júnio: PP: OK Inicio: 01/06/2023 Reenviar: 01/12/23// aprovado")</f>
        <v>Adão Do Carmo Muniz | Educação Especial | Aprovado | Júnio: PP: OK Inicio: 01/06/2023 Reenviar: 01/12/23// aprovado</v>
      </c>
      <c r="B13" s="93"/>
    </row>
    <row r="14">
      <c r="A14" s="384" t="str">
        <f>IFERROR(__xludf.DUMMYFUNCTION("""COMPUTED_VALUE"""),"Adão Do Carmo Muniz | Letras Português |  | Júnio: PP: OK Inicio: 09/06/2023 Reenviar: 09/12/23 //Júnio: pagou apressamento, aprovado: 30/10/23")</f>
        <v>Adão Do Carmo Muniz | Letras Português |  | Júnio: PP: OK Inicio: 09/06/2023 Reenviar: 09/12/23 //Júnio: pagou apressamento, aprovado: 30/10/23</v>
      </c>
      <c r="B14" s="93"/>
    </row>
    <row r="15">
      <c r="A15" s="384" t="str">
        <f>IFERROR(__xludf.DUMMYFUNCTION("""COMPUTED_VALUE"""),"Adão Gonçalves Da Silva Filho | Música | Aprovado | Júnio: PP aprovado")</f>
        <v>Adão Gonçalves Da Silva Filho | Música | Aprovado | Júnio: PP aprovado</v>
      </c>
      <c r="B15" s="93"/>
    </row>
    <row r="16">
      <c r="A16" s="384" t="str">
        <f>IFERROR(__xludf.DUMMYFUNCTION("""COMPUTED_VALUE"""),"Adão Lourenço | Letras Espanhol | Aprovado | Júnio: pré aprovado //Júnio: aprovado 05/06/23")</f>
        <v>Adão Lourenço | Letras Espanhol | Aprovado | Júnio: pré aprovado //Júnio: aprovado 05/06/23</v>
      </c>
      <c r="B16" s="93"/>
    </row>
    <row r="17">
      <c r="A17" s="384" t="str">
        <f>IFERROR(__xludf.DUMMYFUNCTION("""COMPUTED_VALUE"""),"Adeildo Rosa De Sousa | Matemática | Aprovado | Edilaine: Tem que enviar o trabalho em word //Júnio: pré aprovado: 02/06/23 //Júnio: aprovado: 15/06/23")</f>
        <v>Adeildo Rosa De Sousa | Matemática | Aprovado | Edilaine: Tem que enviar o trabalho em word //Júnio: pré aprovado: 02/06/23 //Júnio: aprovado: 15/06/23</v>
      </c>
      <c r="B17" s="93"/>
    </row>
    <row r="18">
      <c r="A18" s="384" t="str">
        <f>IFERROR(__xludf.DUMMYFUNCTION("""COMPUTED_VALUE"""),"Ademar Dos Santos | Sociologia | Aprovado | Júnio: PP aprovado")</f>
        <v>Ademar Dos Santos | Sociologia | Aprovado | Júnio: PP aprovado</v>
      </c>
      <c r="B18" s="93"/>
    </row>
    <row r="19">
      <c r="A19" s="384" t="str">
        <f>IFERROR(__xludf.DUMMYFUNCTION("""COMPUTED_VALUE"""),"Ademir Afonso Peres | Neuropsicologia Clínica | aprovado | Alexsiane: encaminhou somentos os documentos, falta todas as etapas dissertativas//Alexsiane: Pré- aprovado, autorizado a autenticar.//Alexsiane; aprovado com lançamento no sponte 16/03/2023")</f>
        <v>Ademir Afonso Peres | Neuropsicologia Clínica | aprovado | Alexsiane: encaminhou somentos os documentos, falta todas as etapas dissertativas//Alexsiane: Pré- aprovado, autorizado a autenticar.//Alexsiane; aprovado com lançamento no sponte 16/03/2023</v>
      </c>
      <c r="B19" s="93"/>
    </row>
    <row r="20">
      <c r="A20" s="384" t="str">
        <f>IFERROR(__xludf.DUMMYFUNCTION("""COMPUTED_VALUE"""),"Ademir Balbinot | Matemática | Aprovado | Alexsiane: etapa 1,2,3 ok, falta 4° etapa do remoto antigo //Júnio: aprovado na aula: 21/07/22")</f>
        <v>Ademir Balbinot | Matemática | Aprovado | Alexsiane: etapa 1,2,3 ok, falta 4° etapa do remoto antigo //Júnio: aprovado na aula: 21/07/22</v>
      </c>
      <c r="B20" s="93"/>
    </row>
    <row r="21">
      <c r="A21" s="384" t="str">
        <f>IFERROR(__xludf.DUMMYFUNCTION("""COMPUTED_VALUE"""),"Ademir De Barros Junior | Pedagogia | Em análise | Alexsiane:  etapa 1,2 e 3 ok, falta 4° etapa do remoto antigo ")</f>
        <v>Ademir De Barros Junior | Pedagogia | Em análise | Alexsiane:  etapa 1,2 e 3 ok, falta 4° etapa do remoto antigo </v>
      </c>
      <c r="B21" s="93"/>
    </row>
    <row r="22">
      <c r="A22" s="384" t="str">
        <f>IFERROR(__xludf.DUMMYFUNCTION("""COMPUTED_VALUE"""),"Adriano Borges Botura | Pedagogia Para Bacharéis E Tecnólogos | Aprovado | Júnio: PP- falta etapa II -PCCs I, II, III e IV- falta enviar //Júnio: aprovado: 30/11/23")</f>
        <v>Adriano Borges Botura | Pedagogia Para Bacharéis E Tecnólogos | Aprovado | Júnio: PP- falta etapa II -PCCs I, II, III e IV- falta enviar //Júnio: aprovado: 30/11/23</v>
      </c>
      <c r="B22" s="93"/>
    </row>
    <row r="23">
      <c r="A23" s="384" t="str">
        <f>IFERROR(__xludf.DUMMYFUNCTION("""COMPUTED_VALUE"""),"Adenilson Rodrigues Chaves | Ciências Sociais | Aprovado | Aprovado")</f>
        <v>Adenilson Rodrigues Chaves | Ciências Sociais | Aprovado | Aprovado</v>
      </c>
      <c r="B23" s="93"/>
    </row>
    <row r="24">
      <c r="A24" s="384" t="str">
        <f>IFERROR(__xludf.DUMMYFUNCTION("""COMPUTED_VALUE"""),"Adenilson Rodrigues Chaves | Artes Visuais | Aprovado | Alexsiane: corrigir a carga horaria por dia nas fichas de registro. até dia 16/07 para reenviar// Alexsiane: pré-aorovado com lançamento no sponte 08/08/22 //Júnio: físico conferido e arquivado: 15/0"&amp;"8/22")</f>
        <v>Adenilson Rodrigues Chaves | Artes Visuais | Aprovado | Alexsiane: corrigir a carga horaria por dia nas fichas de registro. até dia 16/07 para reenviar// Alexsiane: pré-aorovado com lançamento no sponte 08/08/22 //Júnio: físico conferido e arquivado: 15/08/22</v>
      </c>
      <c r="B24" s="93"/>
    </row>
    <row r="25">
      <c r="A25" s="384" t="str">
        <f>IFERROR(__xludf.DUMMYFUNCTION("""COMPUTED_VALUE"""),"Adeonis Alves Cavalcante | Pedagogia | Aprovado | Alexsiane: pp aprovado")</f>
        <v>Adeonis Alves Cavalcante | Pedagogia | Aprovado | Alexsiane: pp aprovado</v>
      </c>
      <c r="B25" s="93"/>
    </row>
    <row r="26">
      <c r="A26" s="384" t="str">
        <f>IFERROR(__xludf.DUMMYFUNCTION("""COMPUTED_VALUE"""),"Adércio Queiroz Coelho | Letras Inglês | Aprovado | Aprovado")</f>
        <v>Adércio Queiroz Coelho | Letras Inglês | Aprovado | Aprovado</v>
      </c>
      <c r="B26" s="93"/>
    </row>
    <row r="27">
      <c r="A27" s="384" t="str">
        <f>IFERROR(__xludf.DUMMYFUNCTION("""COMPUTED_VALUE"""),"Adércio Queiroz Coelho | Pedagogia | Em análise | Bárbara: excedeu o máximo de 6 horas por dia- falta especificar se é observação ou regência. Realizando estágio padrão, não apresentou as 200, e nem comprovante de experiência para isenção de 50%. ")</f>
        <v>Adércio Queiroz Coelho | Pedagogia | Em análise | Bárbara: excedeu o máximo de 6 horas por dia- falta especificar se é observação ou regência. Realizando estágio padrão, não apresentou as 200, e nem comprovante de experiência para isenção de 50%. </v>
      </c>
      <c r="B27" s="93"/>
    </row>
    <row r="28">
      <c r="A28" s="384" t="str">
        <f>IFERROR(__xludf.DUMMYFUNCTION("""COMPUTED_VALUE"""),"Adilian Da Silva Nunes | Pedagogia | Aprovada | Alexsiane: especificar nas fichas o tema e o tipo de acompanhamento, corrigir em uma das fichas a carga horaria que ultrapassou 6 horas por dia e também preencher o campo da carga horaria diária. até dia 09/"&amp;"10 para reenviarFernanda Saldanha de Jesus da Silva // Pamela 08/12/2023 Conferido e arquivado. ")</f>
        <v>Adilian Da Silva Nunes | Pedagogia | Aprovada | Alexsiane: especificar nas fichas o tema e o tipo de acompanhamento, corrigir em uma das fichas a carga horaria que ultrapassou 6 horas por dia e também preencher o campo da carga horaria diária. até dia 09/10 para reenviarFernanda Saldanha de Jesus da Silva // Pamela 08/12/2023 Conferido e arquivado. </v>
      </c>
      <c r="B28" s="93"/>
    </row>
    <row r="29">
      <c r="A29" s="384" t="str">
        <f>IFERROR(__xludf.DUMMYFUNCTION("""COMPUTED_VALUE"""),"Adilson De Morais | Pedagogia | Aprovado | Alexsiane: Falta Sumário,1 Plano de aula,Carta de apresentação,Fichas de registro,Termo de Conclusão,Relatório de gestão,Relatório de regência,Relatório de observação,e Autoavaliação. Declaração de experiência il"&amp;"egievel tem ate dia 01/12 para reenviar //Júnio: pre aprovado 27/12/22 // Pamela: pasta recpcionada no polo, conferido e fichas vieram impressas // Pamela 09/01/2023 Conferido e arquivado. 
")</f>
        <v>Adilson De Morais | Pedagogia | Aprovado | Alexsiane: Falta Sumário,1 Plano de aula,Carta de apresentação,Fichas de registro,Termo de Conclusão,Relatório de gestão,Relatório de regência,Relatório de observação,e Autoavaliação. Declaração de experiência ilegievel tem ate dia 01/12 para reenviar //Júnio: pre aprovado 27/12/22 // Pamela: pasta recpcionada no polo, conferido e fichas vieram impressas // Pamela 09/01/2023 Conferido e arquivado. 
</v>
      </c>
      <c r="B29" s="93"/>
    </row>
    <row r="30">
      <c r="A30" s="384" t="str">
        <f>IFERROR(__xludf.DUMMYFUNCTION("""COMPUTED_VALUE"""),"Adilson De Sousa | Música | Aprovado | Júnio: PP aprovado")</f>
        <v>Adilson De Sousa | Música | Aprovado | Júnio: PP aprovado</v>
      </c>
      <c r="B30" s="93"/>
    </row>
    <row r="31">
      <c r="A31" s="384" t="str">
        <f>IFERROR(__xludf.DUMMYFUNCTION("""COMPUTED_VALUE"""),"Adiná Maria José Alves | Pedagogia | Aprovada  | Bárbara: falta ficha de registro da gestão, fichas com atividades imcompletas e repetidas. // Bárbara: aprovada com lançamento no sponte 05/07/2022")</f>
        <v>Adiná Maria José Alves | Pedagogia | Aprovada  | Bárbara: falta ficha de registro da gestão, fichas com atividades imcompletas e repetidas. // Bárbara: aprovada com lançamento no sponte 05/07/2022</v>
      </c>
      <c r="B31" s="93"/>
    </row>
    <row r="32">
      <c r="A32" s="384" t="str">
        <f>IFERROR(__xludf.DUMMYFUNCTION("""COMPUTED_VALUE"""),"Adly Gaby | Geografia | Em análise | Bárbara: falta ficha de registro da gestão, fichas com atividades imcompletas e repetidas. // Bárbara: aprovada com lançamento no sponte 05/07/2022")</f>
        <v>Adly Gaby | Geografia | Em análise | Bárbara: falta ficha de registro da gestão, fichas com atividades imcompletas e repetidas. // Bárbara: aprovada com lançamento no sponte 05/07/2022</v>
      </c>
      <c r="B32" s="93"/>
    </row>
    <row r="33">
      <c r="A33" s="384" t="str">
        <f>IFERROR(__xludf.DUMMYFUNCTION("""COMPUTED_VALUE"""),"Adly Gaby | História | Em análise | Bárbara: trabalho errado, apenas 2 planos, não falou das 10 competências, nem fez a 2ª etapa, apesar de bem elaborado //Amélia 05/02 Trabalho carimbado e entregue a secretaria.// Miryã: conferido e arquivado 10/03/2021")</f>
        <v>Adly Gaby | História | Em análise | Bárbara: trabalho errado, apenas 2 planos, não falou das 10 competências, nem fez a 2ª etapa, apesar de bem elaborado //Amélia 05/02 Trabalho carimbado e entregue a secretaria.// Miryã: conferido e arquivado 10/03/2021</v>
      </c>
      <c r="B33" s="93"/>
    </row>
    <row r="34">
      <c r="A34" s="384" t="str">
        <f>IFERROR(__xludf.DUMMYFUNCTION("""COMPUTED_VALUE"""),"Admelson Rodrigues Guedes | Filosofia | Aprovado | Bianca: aprovada no estágio padrão")</f>
        <v>Admelson Rodrigues Guedes | Filosofia | Aprovado | Bianca: aprovada no estágio padrão</v>
      </c>
      <c r="B34" s="93"/>
    </row>
    <row r="35">
      <c r="A35" s="384" t="str">
        <f>IFERROR(__xludf.DUMMYFUNCTION("""COMPUTED_VALUE"""),"Admilson Márcio Marques Pinheiro | Neuropsicopedagogia Institucional Clínica E Hospitalar | Aprovada | Bianca: autorizada a recolher assinaturas /Bianca: aprovada: 25/08/21 //Júnio: conferido e arquivado: 06/09/2021")</f>
        <v>Admilson Márcio Marques Pinheiro | Neuropsicopedagogia Institucional Clínica E Hospitalar | Aprovada | Bianca: autorizada a recolher assinaturas /Bianca: aprovada: 25/08/21 //Júnio: conferido e arquivado: 06/09/2021</v>
      </c>
      <c r="B35" s="93"/>
    </row>
    <row r="36">
      <c r="A36" s="384" t="str">
        <f>IFERROR(__xludf.DUMMYFUNCTION("""COMPUTED_VALUE"""),"Admilson Márcio Marques Pinheiro | Pedagogia | Em análise | Bárbara: aluno mandou apenas docuementos, não encaminhou a parte teórica, ficha de registro complemente errada.")</f>
        <v>Admilson Márcio Marques Pinheiro | Pedagogia | Em análise | Bárbara: aluno mandou apenas docuementos, não encaminhou a parte teórica, ficha de registro complemente errada.</v>
      </c>
      <c r="B36" s="93"/>
    </row>
    <row r="37">
      <c r="A37" s="384" t="str">
        <f>IFERROR(__xludf.DUMMYFUNCTION("""COMPUTED_VALUE"""),"Adriana Aparecida Carlos Da Silva | Segunda Licenciatura Em Ciências Da Religião | Aprovado | Alexsiane: pp ok, porém ainda não tem 6 meses, reenvio 05/08/24// pp aprovado 06/08")</f>
        <v>Adriana Aparecida Carlos Da Silva | Segunda Licenciatura Em Ciências Da Religião | Aprovado | Alexsiane: pp ok, porém ainda não tem 6 meses, reenvio 05/08/24// pp aprovado 06/08</v>
      </c>
      <c r="B37" s="93"/>
    </row>
    <row r="38">
      <c r="A38" s="384" t="str">
        <f>IFERROR(__xludf.DUMMYFUNCTION("""COMPUTED_VALUE"""),"Adriana Aparecida De Fátima Ricci | Pedagogia | Aprovado | Bárbara: aprovado etapas 1,2 e 3 do remoto, aguardando a 4// Bárbara: aprovada etapa 4, dia 30/10/2020//")</f>
        <v>Adriana Aparecida De Fátima Ricci | Pedagogia | Aprovado | Bárbara: aprovado etapas 1,2 e 3 do remoto, aguardando a 4// Bárbara: aprovada etapa 4, dia 30/10/2020//</v>
      </c>
      <c r="B38" s="93"/>
    </row>
    <row r="39">
      <c r="A39" s="384" t="str">
        <f>IFERROR(__xludf.DUMMYFUNCTION("""COMPUTED_VALUE"""),"Adriana Aparecida De Fátima Ricci | 2ª Licenciatura Letras | Aprovado | Cris: tempo de contrato expirado")</f>
        <v>Adriana Aparecida De Fátima Ricci | 2ª Licenciatura Letras | Aprovado | Cris: tempo de contrato expirado</v>
      </c>
      <c r="B39" s="93"/>
    </row>
    <row r="40">
      <c r="A40" s="384" t="str">
        <f>IFERROR(__xludf.DUMMYFUNCTION("""COMPUTED_VALUE"""),"Adriana Aparecida De Fátima Ricci | Letras – Português E Inglês | Aprovado | Alexsiane: pp aprovado")</f>
        <v>Adriana Aparecida De Fátima Ricci | Letras – Português E Inglês | Aprovado | Alexsiane: pp aprovado</v>
      </c>
      <c r="B40" s="93"/>
    </row>
    <row r="41">
      <c r="A41" s="384" t="str">
        <f>IFERROR(__xludf.DUMMYFUNCTION("""COMPUTED_VALUE"""),"Adriana Aparecida Dias Andriato | Neuropsicopedagogia Institucional, Clínica E Hospitalar | Em análise  | Alexsiane: 42,32% de plágio, falta especificar nas fichas de registro o tipo de acompanhamento, corrigir a carga horaria diaria que ultrapassou 6 hoa"&amp;"rs por dia e mais de um dia em cada quadradinho.")</f>
        <v>Adriana Aparecida Dias Andriato | Neuropsicopedagogia Institucional, Clínica E Hospitalar | Em análise  | Alexsiane: 42,32% de plágio, falta especificar nas fichas de registro o tipo de acompanhamento, corrigir a carga horaria diaria que ultrapassou 6 hoars por dia e mais de um dia em cada quadradinho.</v>
      </c>
      <c r="B41" s="93"/>
    </row>
    <row r="42">
      <c r="A42" s="384" t="str">
        <f>IFERROR(__xludf.DUMMYFUNCTION("""COMPUTED_VALUE"""),"Adriana Aparecida Venâncio | Segunda Licenciatura Em Educação Especial | Aprovado | Rayssa pp aprovado")</f>
        <v>Adriana Aparecida Venâncio | Segunda Licenciatura Em Educação Especial | Aprovado | Rayssa pp aprovado</v>
      </c>
      <c r="B42" s="93"/>
    </row>
    <row r="43">
      <c r="A43" s="384" t="str">
        <f>IFERROR(__xludf.DUMMYFUNCTION("""COMPUTED_VALUE"""),"Adriana Batista Mauro Silva | Pedagogia | Aprovada | Júnio: PP precisa enviar entrevista digitada e falta a etapa 1. //Júnio: aprovada: 18/10/23")</f>
        <v>Adriana Batista Mauro Silva | Pedagogia | Aprovada | Júnio: PP precisa enviar entrevista digitada e falta a etapa 1. //Júnio: aprovada: 18/10/23</v>
      </c>
      <c r="B43" s="93"/>
    </row>
    <row r="44">
      <c r="A44" s="384" t="str">
        <f>IFERROR(__xludf.DUMMYFUNCTION("""COMPUTED_VALUE"""),"Adriana Cleide Oliveira Melo | Pedagogia Para Bachareis E Tecnologos | Aprovada | Edilaine: Estágio 800 horas. Estágio I: Declaração de experiência não é válida. Falta 30 horas de observação e 30 horas de regência, sem plágio. Estágio II: Declaração de ex"&amp;"periência não é válida. Falta 30 horas de observação e 30 horas de regência, sem plágio. Estágio III: Não foi possível somar a carga horária, aluna não especificou o tipo de acompanhamento nas fichas de registro, sem plágio. Estágio IV: 9,91% de plágio, t"&amp;"em que complementar com 15 horas de observação e 15 horas de regência. Práticas I: Tem que complementar 20 linhas. Práticas II: Tem que complementar 20 linhas. Práticas III: Tem que complementar 20 linhas. Práticas VI: Tem que complementar 20 linhas. OBS "&amp;"importante: declaração de experiência foi validada por Junio em set/22 //Júnio: pre aprovada: 09/06/23 //Júnio: aprovada: 09/06/23")</f>
        <v>Adriana Cleide Oliveira Melo | Pedagogia Para Bachareis E Tecnologos | Aprovada | Edilaine: Estágio 800 horas. Estágio I: Declaração de experiência não é válida. Falta 30 horas de observação e 30 horas de regência, sem plágio. Estágio II: Declaração de experiência não é válida. Falta 30 horas de observação e 30 horas de regência, sem plágio. Estágio III: Não foi possível somar a carga horária, aluna não especificou o tipo de acompanhamento nas fichas de registro, sem plágio. Estágio IV: 9,91% de plágio, tem que complementar com 15 horas de observação e 15 horas de regência. Práticas I: Tem que complementar 20 linhas. Práticas II: Tem que complementar 20 linhas. Práticas III: Tem que complementar 20 linhas. Práticas VI: Tem que complementar 20 linhas. OBS importante: declaração de experiência foi validada por Junio em set/22 //Júnio: pre aprovada: 09/06/23 //Júnio: aprovada: 09/06/23</v>
      </c>
      <c r="B44" s="93"/>
    </row>
    <row r="45">
      <c r="A45" s="384" t="str">
        <f>IFERROR(__xludf.DUMMYFUNCTION("""COMPUTED_VALUE"""),"Adriana De Oliveira Coutinho |  | Aprovado | Mandei enviar pelo correio (22/12). Faltando horas de Obs. Edu. Esp (19/12). Contagem de horas inedequada e elaboração confusa.")</f>
        <v>Adriana De Oliveira Coutinho |  | Aprovado | Mandei enviar pelo correio (22/12). Faltando horas de Obs. Edu. Esp (19/12). Contagem de horas inedequada e elaboração confusa.</v>
      </c>
      <c r="B45" s="93"/>
    </row>
    <row r="46">
      <c r="A46" s="384" t="str">
        <f>IFERROR(__xludf.DUMMYFUNCTION("""COMPUTED_VALUE"""),"Adriana De Oliveira Ramos Dos Santos Cherubini | Pedagogia | Aprovado | Aline Silva: aguardando o envio da descrição de atv. Nas fichas de ori. Sup e adm escolar.// Aline Silva: aprovado dia 27/12/2019// Miryã: conferido e arquivado 12/03/2021")</f>
        <v>Adriana De Oliveira Ramos Dos Santos Cherubini | Pedagogia | Aprovado | Aline Silva: aguardando o envio da descrição de atv. Nas fichas de ori. Sup e adm escolar.// Aline Silva: aprovado dia 27/12/2019// Miryã: conferido e arquivado 12/03/2021</v>
      </c>
      <c r="B46" s="93"/>
    </row>
    <row r="47">
      <c r="A47" s="384" t="str">
        <f>IFERROR(__xludf.DUMMYFUNCTION("""COMPUTED_VALUE"""),"Adriana De Souza Warol | Artes Visuais | Aprovado | Bárbara: aluna colocou na introdução o texto de currículo, tem plágio na etapa da bncc, e deve formatar as referências.// Bárbara: aprovada 09/10/2020")</f>
        <v>Adriana De Souza Warol | Artes Visuais | Aprovado | Bárbara: aluna colocou na introdução o texto de currículo, tem plágio na etapa da bncc, e deve formatar as referências.// Bárbara: aprovada 09/10/2020</v>
      </c>
      <c r="B47" s="93"/>
    </row>
    <row r="48">
      <c r="A48" s="384" t="str">
        <f>IFERROR(__xludf.DUMMYFUNCTION("""COMPUTED_VALUE"""),"Adriana Ferreira Carvalho Costa | Formação Ped. Em Artes Visuais | Aprovado | Cris: PP aprovado")</f>
        <v>Adriana Ferreira Carvalho Costa | Formação Ped. Em Artes Visuais | Aprovado | Cris: PP aprovado</v>
      </c>
      <c r="B48" s="93"/>
    </row>
    <row r="49">
      <c r="A49" s="384" t="str">
        <f>IFERROR(__xludf.DUMMYFUNCTION("""COMPUTED_VALUE"""),"Adriana Ferreira Figueiredo Dos Santos | Pedagogia | Aprovado | Júnior: PP falta etapa 2//alexsiane pp aprovado 13/08")</f>
        <v>Adriana Ferreira Figueiredo Dos Santos | Pedagogia | Aprovado | Júnior: PP falta etapa 2//alexsiane pp aprovado 13/08</v>
      </c>
      <c r="B49" s="93"/>
    </row>
    <row r="50">
      <c r="A50" s="384" t="str">
        <f>IFERROR(__xludf.DUMMYFUNCTION("""COMPUTED_VALUE"""),"Adriana França Menezes | Pedagogia | Em análise | Amélia: etapas 1 e 2 ok, plágio na 3ª etapa ")</f>
        <v>Adriana França Menezes | Pedagogia | Em análise | Amélia: etapas 1 e 2 ok, plágio na 3ª etapa </v>
      </c>
      <c r="B50" s="93"/>
    </row>
    <row r="51">
      <c r="A51" s="384" t="str">
        <f>IFERROR(__xludf.DUMMYFUNCTION("""COMPUTED_VALUE"""),"Adriana França Menezes | Pedagogia | Em análise | Bianca: enviou apenas declaração de experiência")</f>
        <v>Adriana França Menezes | Pedagogia | Em análise | Bianca: enviou apenas declaração de experiência</v>
      </c>
      <c r="B51" s="93"/>
    </row>
    <row r="52">
      <c r="A52" s="384" t="str">
        <f>IFERROR(__xludf.DUMMYFUNCTION("""COMPUTED_VALUE"""),"Adriana Francisca De Oliveira Silva |  | Aprovado | Mandei enviar ao polo SJDR (05/12).")</f>
        <v>Adriana Francisca De Oliveira Silva |  | Aprovado | Mandei enviar ao polo SJDR (05/12).</v>
      </c>
      <c r="B52" s="93"/>
    </row>
    <row r="53">
      <c r="A53" s="384" t="str">
        <f>IFERROR(__xludf.DUMMYFUNCTION("""COMPUTED_VALUE"""),"Adriana Gomes Machado | Artes Visuais | Aprovada | Júnio: autorizada a recolher assinaturas //Júnio: aprovada: 24/11/21 //Júnio: conferido e arquivado: 10/12/2021")</f>
        <v>Adriana Gomes Machado | Artes Visuais | Aprovada | Júnio: autorizada a recolher assinaturas //Júnio: aprovada: 24/11/21 //Júnio: conferido e arquivado: 10/12/2021</v>
      </c>
      <c r="B53" s="93"/>
    </row>
    <row r="54">
      <c r="A54" s="384" t="str">
        <f>IFERROR(__xludf.DUMMYFUNCTION("""COMPUTED_VALUE"""),"Adriana Lima Reis Serrano | Artes Visuais | Aprovada | Alexsiane: corrihir a carga horaria diaria que está errada e o plágio no plano de aula. //Júnio: aprovada 25/04/23")</f>
        <v>Adriana Lima Reis Serrano | Artes Visuais | Aprovada | Alexsiane: corrihir a carga horaria diaria que está errada e o plágio no plano de aula. //Júnio: aprovada 25/04/23</v>
      </c>
      <c r="B54" s="93"/>
    </row>
    <row r="55">
      <c r="A55" s="384" t="str">
        <f>IFERROR(__xludf.DUMMYFUNCTION("""COMPUTED_VALUE"""),"Adriana Meira De Oliveira | Ed Física | Aprovado | Thiara: aprovado// Recebido dia 06/03/2020")</f>
        <v>Adriana Meira De Oliveira | Ed Física | Aprovado | Thiara: aprovado// Recebido dia 06/03/2020</v>
      </c>
      <c r="B55" s="93"/>
    </row>
    <row r="56">
      <c r="A56" s="384" t="str">
        <f>IFERROR(__xludf.DUMMYFUNCTION("""COMPUTED_VALUE"""),"Adriana Moraes Gomes | Pedagogia | Aprovada | Bárbara: aprovado etapas 1,2 e 3 do remoto, e apresentou declaração de experi~encia válida// Bárbara: conferido e arquivado 04/01/2021")</f>
        <v>Adriana Moraes Gomes | Pedagogia | Aprovada | Bárbara: aprovado etapas 1,2 e 3 do remoto, e apresentou declaração de experi~encia válida// Bárbara: conferido e arquivado 04/01/2021</v>
      </c>
      <c r="B56" s="93"/>
    </row>
    <row r="57">
      <c r="A57" s="384" t="str">
        <f>IFERROR(__xludf.DUMMYFUNCTION("""COMPUTED_VALUE"""),"Adriana Renata Zampieri | Pedagogia | Aprovada | Alexsiane: aprovado no remoto padrão com lançamento  no sponte //Júnio: físico, conferido e arquivado: 15/07/22")</f>
        <v>Adriana Renata Zampieri | Pedagogia | Aprovada | Alexsiane: aprovado no remoto padrão com lançamento  no sponte //Júnio: físico, conferido e arquivado: 15/07/22</v>
      </c>
      <c r="B57" s="93"/>
    </row>
    <row r="58">
      <c r="A58" s="384" t="str">
        <f>IFERROR(__xludf.DUMMYFUNCTION("""COMPUTED_VALUE"""),"Adriana Rodrigues Machado | Pedagogia | Aprovada | Bianca: aprovada nas 4 etapas do remoto antigo")</f>
        <v>Adriana Rodrigues Machado | Pedagogia | Aprovada | Bianca: aprovada nas 4 etapas do remoto antigo</v>
      </c>
      <c r="B58" s="93"/>
    </row>
    <row r="59">
      <c r="A59" s="384" t="str">
        <f>IFERROR(__xludf.DUMMYFUNCTION("""COMPUTED_VALUE"""),"Adriana Soares Paiva | Letras Português | Em análise | Júnio: PP 5 ETAPAS: fez só 1 plano de aula, falta todo o resto PRAZO: 08/08/23")</f>
        <v>Adriana Soares Paiva | Letras Português | Em análise | Júnio: PP 5 ETAPAS: fez só 1 plano de aula, falta todo o resto PRAZO: 08/08/23</v>
      </c>
      <c r="B59" s="93"/>
    </row>
    <row r="60">
      <c r="A60" s="384" t="str">
        <f>IFERROR(__xludf.DUMMYFUNCTION("""COMPUTED_VALUE"""),"Adriana Tezza Tamassia | Matemática | Aprovada | Alexsiane: fazer os objetivos gerais e especificos separados, enviar a declaraçaõ de experiência preenchida e com as devidas assinaturas,complementar as fichas c/ mais 172 horas, especificar em todos os cam"&amp;"pos o tipo de acompanhamento, serie, tema, falta fazer relatório de observação, regência, gestão e autoavaliação. 12/02 reenviar OBS: ela viu email so 13/02, com isso prazo vai até 23/02/23 - OBS: 29/03/23: em análise no guru declaração de experiencia foi"&amp;" válida OBS: Estephany isentou aluna até 11/04  IMPORTANTE: aluno pediu para avisa-la quando corrigir próximo envio //Pré aprovada: 26/05/23 //Júnio: aprovada")</f>
        <v>Adriana Tezza Tamassia | Matemática | Aprovada | Alexsiane: fazer os objetivos gerais e especificos separados, enviar a declaraçaõ de experiência preenchida e com as devidas assinaturas,complementar as fichas c/ mais 172 horas, especificar em todos os campos o tipo de acompanhamento, serie, tema, falta fazer relatório de observação, regência, gestão e autoavaliação. 12/02 reenviar OBS: ela viu email so 13/02, com isso prazo vai até 23/02/23 - OBS: 29/03/23: em análise no guru declaração de experiencia foi válida OBS: Estephany isentou aluna até 11/04  IMPORTANTE: aluno pediu para avisa-la quando corrigir próximo envio //Pré aprovada: 26/05/23 //Júnio: aprovada</v>
      </c>
      <c r="B60" s="93"/>
    </row>
    <row r="61">
      <c r="A61" s="384" t="str">
        <f>IFERROR(__xludf.DUMMYFUNCTION("""COMPUTED_VALUE"""),"Adriane De Oliveira Silva | Artes Visuais | Aprovada | Bárbara: apresentou declaração de experiência válida para isenção da 4ª etapa //Júnio: aprovada: 28/03/22")</f>
        <v>Adriane De Oliveira Silva | Artes Visuais | Aprovada | Bárbara: apresentou declaração de experiência válida para isenção da 4ª etapa //Júnio: aprovada: 28/03/22</v>
      </c>
      <c r="B61" s="93"/>
    </row>
    <row r="62">
      <c r="A62" s="384" t="str">
        <f>IFERROR(__xludf.DUMMYFUNCTION("""COMPUTED_VALUE"""),"Adriane De Paula Albuquerque | Pedagogia | pré aprovado | Bárbara: aluna encaminhou somente as fichas de registro, autorizada a recolher assinaturas, falta todo o resto. //Alexsiane: pré aprovado com lançamento no jacad")</f>
        <v>Adriane De Paula Albuquerque | Pedagogia | pré aprovado | Bárbara: aluna encaminhou somente as fichas de registro, autorizada a recolher assinaturas, falta todo o resto. //Alexsiane: pré aprovado com lançamento no jacad</v>
      </c>
      <c r="B62" s="93"/>
    </row>
    <row r="63">
      <c r="A63" s="384" t="str">
        <f>IFERROR(__xludf.DUMMYFUNCTION("""COMPUTED_VALUE"""),"Adriane Fagundes Silveira Alves | Educação Especial | Aprovado | Alexsiane: pp aprovado")</f>
        <v>Adriane Fagundes Silveira Alves | Educação Especial | Aprovado | Alexsiane: pp aprovado</v>
      </c>
      <c r="B63" s="93"/>
    </row>
    <row r="64">
      <c r="A64" s="384" t="str">
        <f>IFERROR(__xludf.DUMMYFUNCTION("""COMPUTED_VALUE"""),"Adriane Ferreira Carvalho Costa | Artes Visuais | Aprovado | Alexsiane: pp aprovado")</f>
        <v>Adriane Ferreira Carvalho Costa | Artes Visuais | Aprovado | Alexsiane: pp aprovado</v>
      </c>
      <c r="B64" s="93"/>
    </row>
    <row r="65">
      <c r="A65" s="384" t="str">
        <f>IFERROR(__xludf.DUMMYFUNCTION("""COMPUTED_VALUE"""),"Adriane Ferreira Carvalho Costa | Artes Visuais | Em análise | Alexsiane; 5% de plágio e complementar a etapa 1 c/ mais duas páginas ")</f>
        <v>Adriane Ferreira Carvalho Costa | Artes Visuais | Em análise | Alexsiane; 5% de plágio e complementar a etapa 1 c/ mais duas páginas </v>
      </c>
      <c r="B65" s="93"/>
    </row>
    <row r="66">
      <c r="A66" s="384" t="str">
        <f>IFERROR(__xludf.DUMMYFUNCTION("""COMPUTED_VALUE"""),"Adriani Beatris Rohleder Szinwelski | Letras – Português E Inglês | Aprovado | Alexsiane: pp aprovado")</f>
        <v>Adriani Beatris Rohleder Szinwelski | Letras – Português E Inglês | Aprovado | Alexsiane: pp aprovado</v>
      </c>
      <c r="B66" s="93"/>
    </row>
    <row r="67">
      <c r="A67" s="384" t="str">
        <f>IFERROR(__xludf.DUMMYFUNCTION("""COMPUTED_VALUE"""),"Adriano Borges Botura | Música | Aprovada | Cristiane PP colocar a entrevista pergunta/resposta// Alexsiane: pp aprovado")</f>
        <v>Adriano Borges Botura | Música | Aprovada | Cristiane PP colocar a entrevista pergunta/resposta// Alexsiane: pp aprovado</v>
      </c>
      <c r="B67" s="93"/>
    </row>
    <row r="68">
      <c r="A68" s="384" t="str">
        <f>IFERROR(__xludf.DUMMYFUNCTION("""COMPUTED_VALUE"""),"Adriano Dos Santos Raimundo | Pedagogia | Aprovado | Alexsiane: está faltando a entrevista em formato de perguntas e respostas.")</f>
        <v>Adriano Dos Santos Raimundo | Pedagogia | Aprovado | Alexsiane: está faltando a entrevista em formato de perguntas e respostas.</v>
      </c>
      <c r="B68" s="93"/>
    </row>
    <row r="69">
      <c r="A69" s="384" t="str">
        <f>IFERROR(__xludf.DUMMYFUNCTION("""COMPUTED_VALUE"""),"Adriano Fernandes | Geografia | Aprovado | Alexsiane: corrigir as rasuras nas fichas de registro e no termo de conclusão //Pré aprovado: 19/05/23 //Júnio: aprovado: 30/06/23")</f>
        <v>Adriano Fernandes | Geografia | Aprovado | Alexsiane: corrigir as rasuras nas fichas de registro e no termo de conclusão //Pré aprovado: 19/05/23 //Júnio: aprovado: 30/06/23</v>
      </c>
      <c r="B69" s="93"/>
    </row>
    <row r="70">
      <c r="A70" s="384" t="str">
        <f>IFERROR(__xludf.DUMMYFUNCTION("""COMPUTED_VALUE"""),"Adriano Fernandes | Pedagogia | Aprovado | Alexsiane: corrigir as rasuras nas fichas de registro e no termo de conclusão e 5% de plágio //Pré aprovado: 19/05/23  //Júnio: aprovado: 30/06/23")</f>
        <v>Adriano Fernandes | Pedagogia | Aprovado | Alexsiane: corrigir as rasuras nas fichas de registro e no termo de conclusão e 5% de plágio //Pré aprovado: 19/05/23  //Júnio: aprovado: 30/06/23</v>
      </c>
      <c r="B70" s="93"/>
    </row>
    <row r="71">
      <c r="A71" s="384" t="str">
        <f>IFERROR(__xludf.DUMMYFUNCTION("""COMPUTED_VALUE"""),"Adriano Maraucci Rea | Música | Aprovado | Júnio: PP aprovado")</f>
        <v>Adriano Maraucci Rea | Música | Aprovado | Júnio: PP aprovado</v>
      </c>
      <c r="B71" s="93"/>
    </row>
    <row r="72">
      <c r="A72" s="384" t="str">
        <f>IFERROR(__xludf.DUMMYFUNCTION("""COMPUTED_VALUE"""),"Adriano Miguel Marques | História | Aprovado | Edilaine: 4,46% de plágio. Falta carta de apresentação, falta termo de conclusão. Tem que especificar a série nas fichas, tem que fazer o tipo de acompanhamento gestão, tem que especificar a data, o horário d"&amp;"e entrada e horário de saída nas fichas. Tem até dia 07/01/2023 para reenviar.  /// Edilaine: Pré-aprovado 18/04 //Júnio: aprovado: 09/05/23")</f>
        <v>Adriano Miguel Marques | História | Aprovado | Edilaine: 4,46% de plágio. Falta carta de apresentação, falta termo de conclusão. Tem que especificar a série nas fichas, tem que fazer o tipo de acompanhamento gestão, tem que especificar a data, o horário de entrada e horário de saída nas fichas. Tem até dia 07/01/2023 para reenviar.  /// Edilaine: Pré-aprovado 18/04 //Júnio: aprovado: 09/05/23</v>
      </c>
      <c r="B72" s="93"/>
    </row>
    <row r="73">
      <c r="A73" s="384" t="str">
        <f>IFERROR(__xludf.DUMMYFUNCTION("""COMPUTED_VALUE"""),"Adriano Rodrigues De Souza | Pedagogia | Aprovado | Bárbara: aluno aprovado com autorização da Aline, foi realizado um acordo, aluno trabalho no presídio.")</f>
        <v>Adriano Rodrigues De Souza | Pedagogia | Aprovado | Bárbara: aluno aprovado com autorização da Aline, foi realizado um acordo, aluno trabalho no presídio.</v>
      </c>
      <c r="B73" s="93"/>
    </row>
    <row r="74">
      <c r="A74" s="384" t="str">
        <f>IFERROR(__xludf.DUMMYFUNCTION("""COMPUTED_VALUE"""),"Adriano Rodrigues Dos Santos | Letras Português | Aprovado | Edilaine: Tem que fazer autoavaliação. Tem rasura na ficha de registro, tem que corrigir a carga horária diária em todos os dias que ele colocou 5 horas, pois são 5:20. //Alexsiane: pré aprovada"&amp;", autorizada a autenticar 24/03/2023. 07/03 para enviar  //// Edilaine: Aprovado 12/04")</f>
        <v>Adriano Rodrigues Dos Santos | Letras Português | Aprovado | Edilaine: Tem que fazer autoavaliação. Tem rasura na ficha de registro, tem que corrigir a carga horária diária em todos os dias que ele colocou 5 horas, pois são 5:20. //Alexsiane: pré aprovada, autorizada a autenticar 24/03/2023. 07/03 para enviar  //// Edilaine: Aprovado 12/04</v>
      </c>
      <c r="B74" s="93"/>
    </row>
    <row r="75">
      <c r="A75" s="384" t="str">
        <f>IFERROR(__xludf.DUMMYFUNCTION("""COMPUTED_VALUE"""),"Adriano Souza Leite | Pedagogia | Aprovado | Aline Silva: inserir carta de ap e termo de concl. E recolher as assinaturas.// Aline Silva: aprovado")</f>
        <v>Adriano Souza Leite | Pedagogia | Aprovado | Aline Silva: inserir carta de ap e termo de concl. E recolher as assinaturas.// Aline Silva: aprovado</v>
      </c>
      <c r="B75" s="93"/>
    </row>
    <row r="76">
      <c r="A76" s="384" t="str">
        <f>IFERROR(__xludf.DUMMYFUNCTION("""COMPUTED_VALUE"""),"Adriano Toledo Paiva | Artes Visuais | Aprovado | Bianca: falta sumário e especificar om que observou nas fichas de registro // Bianca: aprovado nas 4 etapas do remoto atualizado em 15/09/2021 //Júnio: conferido e arquivado: 04/10/2021")</f>
        <v>Adriano Toledo Paiva | Artes Visuais | Aprovado | Bianca: falta sumário e especificar om que observou nas fichas de registro // Bianca: aprovado nas 4 etapas do remoto atualizado em 15/09/2021 //Júnio: conferido e arquivado: 04/10/2021</v>
      </c>
      <c r="B76" s="93"/>
    </row>
    <row r="77">
      <c r="A77" s="384" t="str">
        <f>IFERROR(__xludf.DUMMYFUNCTION("""COMPUTED_VALUE"""),"Adriano Toledo Paiva | Pedagogia | Aprovado | Bianca: falta sumário e especificar om que observou nas fichas de registro //Júnio: aprovado: 30/09/21")</f>
        <v>Adriano Toledo Paiva | Pedagogia | Aprovado | Bianca: falta sumário e especificar om que observou nas fichas de registro //Júnio: aprovado: 30/09/21</v>
      </c>
      <c r="B77" s="93"/>
    </row>
    <row r="78">
      <c r="A78" s="384" t="str">
        <f>IFERROR(__xludf.DUMMYFUNCTION("""COMPUTED_VALUE"""),"Adriela Cristina Balotin Tonin | Psicopedagogia Clínica E Hospitalar | Aprovado | Alexsiane: falta carta de apresentação, restante ok. Estágio padrão.  até dia 07/07 para reenviar   // Alexsiane: aprovado com lançamento no sponte 28/07/2022")</f>
        <v>Adriela Cristina Balotin Tonin | Psicopedagogia Clínica E Hospitalar | Aprovado | Alexsiane: falta carta de apresentação, restante ok. Estágio padrão.  até dia 07/07 para reenviar   // Alexsiane: aprovado com lançamento no sponte 28/07/2022</v>
      </c>
      <c r="B78" s="93"/>
    </row>
    <row r="79">
      <c r="A79" s="384" t="str">
        <f>IFERROR(__xludf.DUMMYFUNCTION("""COMPUTED_VALUE"""),"Afonso Nilson Barbosa De Souza | Artes Visuais | Aprovado | Alexsiane: falta vídeo da 4° etapa  Até 19/05/2022 para reenviar //Júnio:aprovado na aula: 23/05/22")</f>
        <v>Afonso Nilson Barbosa De Souza | Artes Visuais | Aprovado | Alexsiane: falta vídeo da 4° etapa  Até 19/05/2022 para reenviar //Júnio:aprovado na aula: 23/05/22</v>
      </c>
      <c r="B79" s="93"/>
    </row>
    <row r="80">
      <c r="A80" s="384" t="str">
        <f>IFERROR(__xludf.DUMMYFUNCTION("""COMPUTED_VALUE"""),"Aglailson Sousa França | Segunda Licenciatura Em Música | Aprovado | Rayssa pp aprovado")</f>
        <v>Aglailson Sousa França | Segunda Licenciatura Em Música | Aprovado | Rayssa pp aprovado</v>
      </c>
      <c r="B80" s="93"/>
    </row>
    <row r="81">
      <c r="A81" s="384" t="str">
        <f>IFERROR(__xludf.DUMMYFUNCTION("""COMPUTED_VALUE"""),"Aida Beatriz Meller Zacher | Neuropsicopedagogia Clínica E Hospitalar | Aprovada | Júnio: remoto pós- falta introdução, anamnese, queixa e conclusão// Edilaine: Pré- aprovada com lançamento no Sponte // Pamela 21/2/2022 Conferido e arquivado. ")</f>
        <v>Aida Beatriz Meller Zacher | Neuropsicopedagogia Clínica E Hospitalar | Aprovada | Júnio: remoto pós- falta introdução, anamnese, queixa e conclusão// Edilaine: Pré- aprovada com lançamento no Sponte // Pamela 21/2/2022 Conferido e arquivado. </v>
      </c>
      <c r="B81" s="93"/>
    </row>
    <row r="82">
      <c r="A82" s="384" t="str">
        <f>IFERROR(__xludf.DUMMYFUNCTION("""COMPUTED_VALUE"""),"Ailton Carneiro Rios (Jacad) | Música | Aprovado | Alexsiane: enviou a declaração de experiência para analisar foi aceita //Júnio: pré aprovado: 26/06/23 //Júnio: aprovado: 07/07/23")</f>
        <v>Ailton Carneiro Rios (Jacad) | Música | Aprovado | Alexsiane: enviou a declaração de experiência para analisar foi aceita //Júnio: pré aprovado: 26/06/23 //Júnio: aprovado: 07/07/23</v>
      </c>
      <c r="B82" s="93"/>
    </row>
    <row r="83">
      <c r="A83" s="384" t="str">
        <f>IFERROR(__xludf.DUMMYFUNCTION("""COMPUTED_VALUE"""),"Ailton Dos Santos Neto | Matemática | Aprovado | Júnio: PP - etapas: OK Inicio: 21/06/23 Reenviar: 21/12/23 //Aprovado: 21/12/23")</f>
        <v>Ailton Dos Santos Neto | Matemática | Aprovado | Júnio: PP - etapas: OK Inicio: 21/06/23 Reenviar: 21/12/23 //Aprovado: 21/12/23</v>
      </c>
      <c r="B83" s="93"/>
    </row>
    <row r="84">
      <c r="A84" s="384" t="str">
        <f>IFERROR(__xludf.DUMMYFUNCTION("""COMPUTED_VALUE"""),"Airton Gehlen Do Amaral | Música | Aprovado | Bárbara: autorizado a recolher assinaturas fichas de registro pós. Não entregou mais nada além disso, falta todo o resto, solicitei. // Bárbara: 2º envio: ficha de regência 14/10- 17/10 autorizado a recolher a"&amp;"ssinaturas 43 horas. /Alexsiane: Pré-aprovada com lançamento no Jacad // Pâmela 08/11/2022 Conferido e arquivado ")</f>
        <v>Airton Gehlen Do Amaral | Música | Aprovado | Bárbara: autorizado a recolher assinaturas fichas de registro pós. Não entregou mais nada além disso, falta todo o resto, solicitei. // Bárbara: 2º envio: ficha de regência 14/10- 17/10 autorizado a recolher assinaturas 43 horas. /Alexsiane: Pré-aprovada com lançamento no Jacad // Pâmela 08/11/2022 Conferido e arquivado </v>
      </c>
      <c r="B84" s="93"/>
    </row>
    <row r="85">
      <c r="A85" s="384" t="str">
        <f>IFERROR(__xludf.DUMMYFUNCTION("""COMPUTED_VALUE"""),"Aládia Cristina Rosa Grispe | Pedagogia | Aprovado | Amélia: aprovado nas etapas 1, 2 e 3// Bárbara: aprovada 4 etapa 15/02/2021")</f>
        <v>Aládia Cristina Rosa Grispe | Pedagogia | Aprovado | Amélia: aprovado nas etapas 1, 2 e 3// Bárbara: aprovada 4 etapa 15/02/2021</v>
      </c>
      <c r="B85" s="93"/>
    </row>
    <row r="86">
      <c r="A86" s="384" t="str">
        <f>IFERROR(__xludf.DUMMYFUNCTION("""COMPUTED_VALUE"""),"Alaercio Mecabo | Música | Aprovado | Júnio: pelo guru declaração de experiência válida //Júnio: PP aprovado: 06/11/23")</f>
        <v>Alaercio Mecabo | Música | Aprovado | Júnio: pelo guru declaração de experiência válida //Júnio: PP aprovado: 06/11/23</v>
      </c>
      <c r="B86" s="93"/>
    </row>
    <row r="87">
      <c r="A87" s="384" t="str">
        <f>IFERROR(__xludf.DUMMYFUNCTION("""COMPUTED_VALUE"""),"Alaise Gomes Gaúma Cardoso | Pedagogia | Aprovada  | Bianca: Falta carta de apresentação, fichas de registroes e termo de conclusão// Bárbara: aprovada 09/11 //Júnio: conferido e anexado: 26/11/21")</f>
        <v>Alaise Gomes Gaúma Cardoso | Pedagogia | Aprovada  | Bianca: Falta carta de apresentação, fichas de registroes e termo de conclusão// Bárbara: aprovada 09/11 //Júnio: conferido e anexado: 26/11/21</v>
      </c>
      <c r="B87" s="93"/>
    </row>
    <row r="88">
      <c r="A88" s="384" t="str">
        <f>IFERROR(__xludf.DUMMYFUNCTION("""COMPUTED_VALUE"""),"Alan Baltazar Vicente | Letras Espanhol Sl/Novo | Aprovado | Lucas: Falta 13 planos de aula, remoto antigo. 4 etapa isenta devido declaração de experiência. ///Alexsiane;Aprovado no remoto antigo com lançamento no Sponte")</f>
        <v>Alan Baltazar Vicente | Letras Espanhol Sl/Novo | Aprovado | Lucas: Falta 13 planos de aula, remoto antigo. 4 etapa isenta devido declaração de experiência. ///Alexsiane;Aprovado no remoto antigo com lançamento no Sponte</v>
      </c>
      <c r="B88" s="93"/>
    </row>
    <row r="89">
      <c r="A89" s="384" t="str">
        <f>IFERROR(__xludf.DUMMYFUNCTION("""COMPUTED_VALUE"""),"Alan Francis Silva Oliveira | Pedagogia | Aprovado | Lucas: Plagio 17,27%, nenhum plano de aula, declaração de experiência invalida e complementar a atapa 1.  //Júnio: 18/04/22 na aula online")</f>
        <v>Alan Francis Silva Oliveira | Pedagogia | Aprovado | Lucas: Plagio 17,27%, nenhum plano de aula, declaração de experiência invalida e complementar a atapa 1.  //Júnio: 18/04/22 na aula online</v>
      </c>
      <c r="B89" s="93"/>
    </row>
    <row r="90">
      <c r="A90" s="384" t="str">
        <f>IFERROR(__xludf.DUMMYFUNCTION("""COMPUTED_VALUE"""),"Alana De Souza Alonso | Artes Visuais | Aprovada | Júnio: falta a etapa 1, carta e responder o questionario //Júnio: aprovada: 11/01/24")</f>
        <v>Alana De Souza Alonso | Artes Visuais | Aprovada | Júnio: falta a etapa 1, carta e responder o questionario //Júnio: aprovada: 11/01/24</v>
      </c>
      <c r="B90" s="93"/>
    </row>
    <row r="91">
      <c r="A91" s="384" t="str">
        <f>IFERROR(__xludf.DUMMYFUNCTION("""COMPUTED_VALUE"""),"Alana Gisele Martins De Oliveira | Letras Português Inglês | Aprovado | Lucas: Plágio 5,33%//Alexsiane: aprovado com lançamento no Sponte")</f>
        <v>Alana Gisele Martins De Oliveira | Letras Português Inglês | Aprovado | Lucas: Plágio 5,33%//Alexsiane: aprovado com lançamento no Sponte</v>
      </c>
      <c r="B91" s="93"/>
    </row>
    <row r="92">
      <c r="A92" s="384" t="str">
        <f>IFERROR(__xludf.DUMMYFUNCTION("""COMPUTED_VALUE"""),"Alana Giseli Martins De Oliveira | Letras Por | Em análise | Bárbara: aluna entregou apenas a 3ª e 4ª etapa, e foi notificado 18% de plágio.")</f>
        <v>Alana Giseli Martins De Oliveira | Letras Por | Em análise | Bárbara: aluna entregou apenas a 3ª e 4ª etapa, e foi notificado 18% de plágio.</v>
      </c>
      <c r="B92" s="93"/>
    </row>
    <row r="93">
      <c r="A93" s="384" t="str">
        <f>IFERROR(__xludf.DUMMYFUNCTION("""COMPUTED_VALUE"""),"Alana Maas Da Silva | Pedagogia | Aprovada | Júnio: PP aprovada")</f>
        <v>Alana Maas Da Silva | Pedagogia | Aprovada | Júnio: PP aprovada</v>
      </c>
      <c r="B93" s="93"/>
    </row>
    <row r="94">
      <c r="A94" s="384" t="str">
        <f>IFERROR(__xludf.DUMMYFUNCTION("""COMPUTED_VALUE"""),"Alba Maria Pereira De Cristo | Neuropsicopedagogia Instittucional Clínica E Hospitalar | Aprovada | Júnio: pre aprovada //Júnio: aprovada 05/06/23")</f>
        <v>Alba Maria Pereira De Cristo | Neuropsicopedagogia Instittucional Clínica E Hospitalar | Aprovada | Júnio: pre aprovada //Júnio: aprovada 05/06/23</v>
      </c>
      <c r="B94" s="93"/>
    </row>
    <row r="95">
      <c r="A95" s="384" t="str">
        <f>IFERROR(__xludf.DUMMYFUNCTION("""COMPUTED_VALUE"""),"Alberto Ceccon Coelho Junior | Pedagogia | Aprovado | Bárbara: pedi para completar etapas 1 e 2, e fazer conclusão //Bianca: aprovado: 01/06/21")</f>
        <v>Alberto Ceccon Coelho Junior | Pedagogia | Aprovado | Bárbara: pedi para completar etapas 1 e 2, e fazer conclusão //Bianca: aprovado: 01/06/21</v>
      </c>
      <c r="B95" s="93"/>
    </row>
    <row r="96">
      <c r="A96" s="384" t="str">
        <f>IFERROR(__xludf.DUMMYFUNCTION("""COMPUTED_VALUE"""),"Alberto Francisco Maia Da Costa Junior | Pedagogia | Aprovado | Alexsiane: Estágio I falta carta de apresentação, termo de conclusão e as fichas de registro e Prática I  falta a tabelinha. Falta encaminhar os estágios II, III, IV e as práticas II, III e I"&amp;"V //Júnio: pré aprovado: 19/07/23 //Júnio: aprovado: 24/07/23")</f>
        <v>Alberto Francisco Maia Da Costa Junior | Pedagogia | Aprovado | Alexsiane: Estágio I falta carta de apresentação, termo de conclusão e as fichas de registro e Prática I  falta a tabelinha. Falta encaminhar os estágios II, III, IV e as práticas II, III e IV //Júnio: pré aprovado: 19/07/23 //Júnio: aprovado: 24/07/23</v>
      </c>
      <c r="B96" s="93"/>
    </row>
    <row r="97">
      <c r="A97" s="384" t="str">
        <f>IFERROR(__xludf.DUMMYFUNCTION("""COMPUTED_VALUE"""),"Alberto Silva Dos Santos Louvera | Letras Português | Aprovado | Júnio: PP aprovado")</f>
        <v>Alberto Silva Dos Santos Louvera | Letras Português | Aprovado | Júnio: PP aprovado</v>
      </c>
      <c r="B97" s="93"/>
    </row>
    <row r="98">
      <c r="A98" s="384" t="str">
        <f>IFERROR(__xludf.DUMMYFUNCTION("""COMPUTED_VALUE"""),"Alberto Tavares De Souza | Música | Aprovado | Júnio: PP - falta preencher os campos em branco da carta de apresentação. //Júnio: aprovado: 20/11/23")</f>
        <v>Alberto Tavares De Souza | Música | Aprovado | Júnio: PP - falta preencher os campos em branco da carta de apresentação. //Júnio: aprovado: 20/11/23</v>
      </c>
      <c r="B98" s="93"/>
    </row>
    <row r="99">
      <c r="A99" s="384" t="str">
        <f>IFERROR(__xludf.DUMMYFUNCTION("""COMPUTED_VALUE"""),"Alcélia Marinho De Souza Santana | Segunda Licenciatura Em Música | Aprovado | Cris: PP aprovado")</f>
        <v>Alcélia Marinho De Souza Santana | Segunda Licenciatura Em Música | Aprovado | Cris: PP aprovado</v>
      </c>
      <c r="B99" s="93"/>
    </row>
    <row r="100">
      <c r="A100" s="384" t="str">
        <f>IFERROR(__xludf.DUMMYFUNCTION("""COMPUTED_VALUE"""),"Alcina Gonçalves Rios Peixoto | Pedagogia | Aprovado | Aline Silva: apresentou as horas falta parte documental obrigatória// Aline Silva: aprovada dia 13/01/2020// Recebido dia 15/01/2020// Bárbara: conferido e arquivado 09/09/2020")</f>
        <v>Alcina Gonçalves Rios Peixoto | Pedagogia | Aprovado | Aline Silva: apresentou as horas falta parte documental obrigatória// Aline Silva: aprovada dia 13/01/2020// Recebido dia 15/01/2020// Bárbara: conferido e arquivado 09/09/2020</v>
      </c>
      <c r="B100" s="93"/>
    </row>
    <row r="101">
      <c r="A101" s="384" t="str">
        <f>IFERROR(__xludf.DUMMYFUNCTION("""COMPUTED_VALUE"""),"Alcineia Quadros De Oliveira Silva | Neuropsicopedagogia Institucional,Clínica E Hospitalar | Aprovada | Pamela: estágio remoto, 12,1 de plágio e falta as etapas Desenvolvimento, Dados de identificação pessoal Família e Escola, relacionamento, aptidões e "&amp;"dificuldades. Queixa, Conceitos psicopedagogia ou neuropsicopedagogia, Anamnese Estratégias desenvolvidas: Sugestões de estratégias de intervençao //Júnio: aprovada: 01/06/23")</f>
        <v>Alcineia Quadros De Oliveira Silva | Neuropsicopedagogia Institucional,Clínica E Hospitalar | Aprovada | Pamela: estágio remoto, 12,1 de plágio e falta as etapas Desenvolvimento, Dados de identificação pessoal Família e Escola, relacionamento, aptidões e dificuldades. Queixa, Conceitos psicopedagogia ou neuropsicopedagogia, Anamnese Estratégias desenvolvidas: Sugestões de estratégias de intervençao //Júnio: aprovada: 01/06/23</v>
      </c>
      <c r="B101" s="93"/>
    </row>
    <row r="102">
      <c r="A102" s="384" t="str">
        <f>IFERROR(__xludf.DUMMYFUNCTION("""COMPUTED_VALUE"""),"Alcino Germano Bezerra | Neuropsicopedagogia Instittucional Clínica E Hospitalar | Aprovado  | Bárbara: TCE remoto- plágio 12% // Aprovado 13/01")</f>
        <v>Alcino Germano Bezerra | Neuropsicopedagogia Instittucional Clínica E Hospitalar | Aprovado  | Bárbara: TCE remoto- plágio 12% // Aprovado 13/01</v>
      </c>
      <c r="B102" s="93"/>
    </row>
    <row r="103">
      <c r="A103" s="384" t="str">
        <f>IFERROR(__xludf.DUMMYFUNCTION("""COMPUTED_VALUE"""),"Alcione Dias Cabrera | Letras Português | Em análise | Júnio: fez só plano de aula e ficha de registro. Falta todo o resto e na ficha de registro fez só 63 hs e precisa especificar tipo de acompanhamento e série.")</f>
        <v>Alcione Dias Cabrera | Letras Português | Em análise | Júnio: fez só plano de aula e ficha de registro. Falta todo o resto e na ficha de registro fez só 63 hs e precisa especificar tipo de acompanhamento e série.</v>
      </c>
      <c r="B103" s="93"/>
    </row>
    <row r="104">
      <c r="A104" s="384" t="str">
        <f>IFERROR(__xludf.DUMMYFUNCTION("""COMPUTED_VALUE"""),"Alcione Maria Terra | Educação Especial | Aprovado | Alexsiane: pp aprovado")</f>
        <v>Alcione Maria Terra | Educação Especial | Aprovado | Alexsiane: pp aprovado</v>
      </c>
      <c r="B104" s="93"/>
    </row>
    <row r="105">
      <c r="A105" s="384" t="str">
        <f>IFERROR(__xludf.DUMMYFUNCTION("""COMPUTED_VALUE"""),"Alda Mesquita Queiroz | Letras Port Esp | Aprovada | Bárbara: falta os planos da etapa 3// Bárbara: aprovada no remoto antigo em 13/07/2022")</f>
        <v>Alda Mesquita Queiroz | Letras Port Esp | Aprovada | Bárbara: falta os planos da etapa 3// Bárbara: aprovada no remoto antigo em 13/07/2022</v>
      </c>
      <c r="B105" s="93"/>
    </row>
    <row r="106">
      <c r="A106" s="384" t="str">
        <f>IFERROR(__xludf.DUMMYFUNCTION("""COMPUTED_VALUE"""),"Aldinei Marques De Almeida | Ed. Física | Aprovado | Aline Silva: aprovado // Bárbara: conferido e arquivado 13/11/2020")</f>
        <v>Aldinei Marques De Almeida | Ed. Física | Aprovado | Aline Silva: aprovado // Bárbara: conferido e arquivado 13/11/2020</v>
      </c>
      <c r="B106" s="93"/>
    </row>
    <row r="107">
      <c r="A107" s="384" t="str">
        <f>IFERROR(__xludf.DUMMYFUNCTION("""COMPUTED_VALUE"""),"Aldinéia De Oliveira Souza | Pedagogia | aprovada | Aline Silva: aprovada")</f>
        <v>Aldinéia De Oliveira Souza | Pedagogia | aprovada | Aline Silva: aprovada</v>
      </c>
      <c r="B107" s="93"/>
    </row>
    <row r="108">
      <c r="A108" s="384" t="str">
        <f>IFERROR(__xludf.DUMMYFUNCTION("""COMPUTED_VALUE"""),"Aldonez Pereira Da Silva | Letras Port Ing. | aprovado | Aline Silva: aprovado// Bárbara: Conferido e arquivado em 16/09/2020")</f>
        <v>Aldonez Pereira Da Silva | Letras Port Ing. | aprovado | Aline Silva: aprovado// Bárbara: Conferido e arquivado em 16/09/2020</v>
      </c>
      <c r="B108" s="93"/>
    </row>
    <row r="109">
      <c r="A109" s="384" t="str">
        <f>IFERROR(__xludf.DUMMYFUNCTION("""COMPUTED_VALUE"""),"Alencar Dos Santos Veríssimo ( Jacad) | Pedagogia | Aprovado | Alexsiane: encaminhar novamente as fichas de registro pois está ilegiveis e a declaração de experiência não foi aceita pois não foi no ano em que pleiteiam o estágio// Alexsiane: Pré- aprovada"&amp;" com lançamento no Jacad // Pâmela 16/11/22 Conferido e arquivado. ")</f>
        <v>Alencar Dos Santos Veríssimo ( Jacad) | Pedagogia | Aprovado | Alexsiane: encaminhar novamente as fichas de registro pois está ilegiveis e a declaração de experiência não foi aceita pois não foi no ano em que pleiteiam o estágio// Alexsiane: Pré- aprovada com lançamento no Jacad // Pâmela 16/11/22 Conferido e arquivado. </v>
      </c>
      <c r="B109" s="93"/>
    </row>
    <row r="110">
      <c r="A110" s="384" t="str">
        <f>IFERROR(__xludf.DUMMYFUNCTION("""COMPUTED_VALUE"""),"Alesandra Salomão Costa De Faria | Pedagogia | Aprovado | Aline Silva: falta recolher assinaturas // Aprovada dia 04/01/2020// Miryã: conferido e arquivado 15/03/2021")</f>
        <v>Alesandra Salomão Costa De Faria | Pedagogia | Aprovado | Aline Silva: falta recolher assinaturas // Aprovada dia 04/01/2020// Miryã: conferido e arquivado 15/03/2021</v>
      </c>
      <c r="B110" s="93"/>
    </row>
    <row r="111">
      <c r="A111" s="384" t="str">
        <f>IFERROR(__xludf.DUMMYFUNCTION("""COMPUTED_VALUE"""),"Alessandra Amélia Leite | Pedagogia | Aprovado | Bárbara: aprovada nas 3 primeiras etapas do remoto, aguardando a 4// Bárbara: aprovada 4ª etapa 10/12/2020")</f>
        <v>Alessandra Amélia Leite | Pedagogia | Aprovado | Bárbara: aprovada nas 3 primeiras etapas do remoto, aguardando a 4// Bárbara: aprovada 4ª etapa 10/12/2020</v>
      </c>
      <c r="B111" s="93"/>
    </row>
    <row r="112">
      <c r="A112" s="384" t="str">
        <f>IFERROR(__xludf.DUMMYFUNCTION("""COMPUTED_VALUE"""),"Alessandra Amélia Leite | Psicopedagogia | Aprovada | Júnio: aprovada com lançamento no Sponte // Lucas: conferido e arquivado 04/01/2022")</f>
        <v>Alessandra Amélia Leite | Psicopedagogia | Aprovada | Júnio: aprovada com lançamento no Sponte // Lucas: conferido e arquivado 04/01/2022</v>
      </c>
      <c r="B112" s="93"/>
    </row>
    <row r="113">
      <c r="A113" s="384" t="str">
        <f>IFERROR(__xludf.DUMMYFUNCTION("""COMPUTED_VALUE"""),"Alessandra Amélia Leite | Filosofia | Em análise  | Bianca: aprovada nas 4 etapas do remoto antigo.")</f>
        <v>Alessandra Amélia Leite | Filosofia | Em análise  | Bianca: aprovada nas 4 etapas do remoto antigo.</v>
      </c>
      <c r="B113" s="93"/>
    </row>
    <row r="114">
      <c r="A114" s="384" t="str">
        <f>IFERROR(__xludf.DUMMYFUNCTION("""COMPUTED_VALUE"""),"Alessandra Benedita Da Silva | Artes Visuais | Aprovada | Júnio: autorizada a recolher assinaturas, fazer todo o resto //Júnio: conferido e arquivado: 13/04/22")</f>
        <v>Alessandra Benedita Da Silva | Artes Visuais | Aprovada | Júnio: autorizada a recolher assinaturas, fazer todo o resto //Júnio: conferido e arquivado: 13/04/22</v>
      </c>
      <c r="B114" s="93"/>
    </row>
    <row r="115">
      <c r="A115" s="384" t="str">
        <f>IFERROR(__xludf.DUMMYFUNCTION("""COMPUTED_VALUE"""),"Alessandra Braga |  | Aprovado | Mandei enviar pelo correio (25/01). Aguardando carimbos nos cronogramas, correção de palavras emendadas, demias correções no trabalho (04/01). Terminar de conferir (03/01). Aguardando envio em arquivo único (18/12).")</f>
        <v>Alessandra Braga |  | Aprovado | Mandei enviar pelo correio (25/01). Aguardando carimbos nos cronogramas, correção de palavras emendadas, demias correções no trabalho (04/01). Terminar de conferir (03/01). Aguardando envio em arquivo único (18/12).</v>
      </c>
      <c r="B115" s="93"/>
    </row>
    <row r="116">
      <c r="A116" s="384" t="str">
        <f>IFERROR(__xludf.DUMMYFUNCTION("""COMPUTED_VALUE"""),"Alessandra De França Dias | Matemática | Aprovada  | Bianca: Aprovada nas 3 primeiras etapas do remoto antigo.// Bárbara: aprovada na 4ª etapa do estágio 01/12/2021")</f>
        <v>Alessandra De França Dias | Matemática | Aprovada  | Bianca: Aprovada nas 3 primeiras etapas do remoto antigo.// Bárbara: aprovada na 4ª etapa do estágio 01/12/2021</v>
      </c>
      <c r="B116" s="93"/>
    </row>
    <row r="117">
      <c r="A117" s="384" t="str">
        <f>IFERROR(__xludf.DUMMYFUNCTION("""COMPUTED_VALUE"""),"Alessandra De Oliveira Silva | História | em análise | Alexsiane: 18% de plágio")</f>
        <v>Alessandra De Oliveira Silva | História | em análise | Alexsiane: 18% de plágio</v>
      </c>
      <c r="B117" s="93"/>
    </row>
    <row r="118">
      <c r="A118" s="384" t="str">
        <f>IFERROR(__xludf.DUMMYFUNCTION("""COMPUTED_VALUE"""),"Alessandra de Oliveira Silva | Segunda Licenciatura em História | Aprovado | Rayssa: pp aprovado")</f>
        <v>Alessandra de Oliveira Silva | Segunda Licenciatura em História | Aprovado | Rayssa: pp aprovado</v>
      </c>
      <c r="B118" s="93"/>
    </row>
    <row r="119">
      <c r="A119" s="384" t="str">
        <f>IFERROR(__xludf.DUMMYFUNCTION("""COMPUTED_VALUE"""),"Alessandra Fernanda Figueira | Pedagogia | Aprovada | Júnio: 38% plágio, passar todo o acompanhamento de observação e regência no nosso modelo padrão de ficha de registro. //Júnio: aprovada: 16/06/23")</f>
        <v>Alessandra Fernanda Figueira | Pedagogia | Aprovada | Júnio: 38% plágio, passar todo o acompanhamento de observação e regência no nosso modelo padrão de ficha de registro. //Júnio: aprovada: 16/06/23</v>
      </c>
      <c r="B119" s="93"/>
    </row>
    <row r="120">
      <c r="A120" s="384" t="str">
        <f>IFERROR(__xludf.DUMMYFUNCTION("""COMPUTED_VALUE"""),"Alessandra Ferreira Da Silva | Pedagogia | Aprovada | Edilaine: Tem que enviar a carta de apresentação e o termo de conclusão escaneados e a ficha de registro. Restante ok. //Júnio: aprovada: 26/09/23")</f>
        <v>Alessandra Ferreira Da Silva | Pedagogia | Aprovada | Edilaine: Tem que enviar a carta de apresentação e o termo de conclusão escaneados e a ficha de registro. Restante ok. //Júnio: aprovada: 26/09/23</v>
      </c>
      <c r="B120" s="93"/>
    </row>
    <row r="121">
      <c r="A121" s="384" t="str">
        <f>IFERROR(__xludf.DUMMYFUNCTION("""COMPUTED_VALUE"""),"Alessandra Gomes Ribeiro Da Silva | Pedagogia | Aprovada | Alexsiane:Aprovado com lançamento no Sponte")</f>
        <v>Alessandra Gomes Ribeiro Da Silva | Pedagogia | Aprovada | Alexsiane:Aprovado com lançamento no Sponte</v>
      </c>
      <c r="B121" s="93"/>
    </row>
    <row r="122">
      <c r="A122" s="384" t="str">
        <f>IFERROR(__xludf.DUMMYFUNCTION("""COMPUTED_VALUE"""),"Alessandra Larissa Cherritte Goncalves Lopes | Pedagogia | Em analise | Alexsiane:etpa 1,2e 3  ok, falta4° etapa do remoto antigo")</f>
        <v>Alessandra Larissa Cherritte Goncalves Lopes | Pedagogia | Em analise | Alexsiane:etpa 1,2e 3  ok, falta4° etapa do remoto antigo</v>
      </c>
      <c r="B122" s="93"/>
    </row>
    <row r="123">
      <c r="A123" s="384" t="str">
        <f>IFERROR(__xludf.DUMMYFUNCTION("""COMPUTED_VALUE"""),"Alessandra Santana Silva | Artes Visuais | Aprovado | Estella: pedi algumas poucas correções. Aprovado (30/11). Recebido 06/12/2018.")</f>
        <v>Alessandra Santana Silva | Artes Visuais | Aprovado | Estella: pedi algumas poucas correções. Aprovado (30/11). Recebido 06/12/2018.</v>
      </c>
      <c r="B123" s="93"/>
    </row>
    <row r="124">
      <c r="A124" s="384" t="str">
        <f>IFERROR(__xludf.DUMMYFUNCTION("""COMPUTED_VALUE"""),"Alessandra Santos | Letras Ing Port | Aprovada | Bárbara: aprovada nas 3 primeiras etapas// Bárbara: mesmo dia aluna enviou declaração de experiência válida, aprovada")</f>
        <v>Alessandra Santos | Letras Ing Port | Aprovada | Bárbara: aprovada nas 3 primeiras etapas// Bárbara: mesmo dia aluna enviou declaração de experiência válida, aprovada</v>
      </c>
      <c r="B124" s="93"/>
    </row>
    <row r="125">
      <c r="A125" s="384" t="str">
        <f>IFERROR(__xludf.DUMMYFUNCTION("""COMPUTED_VALUE"""),"Alessandra Soares | Pedagogia | Aprovada | Júnio: preencher campos faltantes e recolher assinatura e carimbo da carta de apresentação. Declaração de experiência não foi válida, falta 40 horas na ficha de registro ou enviar declaração válida. //Júnio: apro"&amp;"vada: 31/07/23")</f>
        <v>Alessandra Soares | Pedagogia | Aprovada | Júnio: preencher campos faltantes e recolher assinatura e carimbo da carta de apresentação. Declaração de experiência não foi válida, falta 40 horas na ficha de registro ou enviar declaração válida. //Júnio: aprovada: 31/07/23</v>
      </c>
      <c r="B125" s="93"/>
    </row>
    <row r="126">
      <c r="A126" s="384" t="str">
        <f>IFERROR(__xludf.DUMMYFUNCTION("""COMPUTED_VALUE"""),"Alethea Mendes Casal | Letras Português | Aprovada | Alexsiane: etapa 1,2,3 ok, especificar nas fichas de registro a turma e o tipo de acompanhamento até dia 15/07 reenviar //Júnio: físico conferido e arquivado: 30/08/22")</f>
        <v>Alethea Mendes Casal | Letras Português | Aprovada | Alexsiane: etapa 1,2,3 ok, especificar nas fichas de registro a turma e o tipo de acompanhamento até dia 15/07 reenviar //Júnio: físico conferido e arquivado: 30/08/22</v>
      </c>
      <c r="B126" s="93"/>
    </row>
    <row r="127">
      <c r="A127" s="384" t="str">
        <f>IFERROR(__xludf.DUMMYFUNCTION("""COMPUTED_VALUE"""),"Alex Almeida Da Silva | Pedagogia | Em análise | Júnio: aluno encaminhou o estágio físico antes de enviar por e-mail, as fichas encaminhadas estão corretas e com assinaturas originais.")</f>
        <v>Alex Almeida Da Silva | Pedagogia | Em análise | Júnio: aluno encaminhou o estágio físico antes de enviar por e-mail, as fichas encaminhadas estão corretas e com assinaturas originais.</v>
      </c>
      <c r="B127" s="93"/>
    </row>
    <row r="128">
      <c r="A128" s="384" t="str">
        <f>IFERROR(__xludf.DUMMYFUNCTION("""COMPUTED_VALUE"""),"Alex Almeida Da Silva | Pedagogia | Aprovado | Alexsiane: aprovado com lançamento no sponte")</f>
        <v>Alex Almeida Da Silva | Pedagogia | Aprovado | Alexsiane: aprovado com lançamento no sponte</v>
      </c>
      <c r="B128" s="93"/>
    </row>
    <row r="129">
      <c r="A129" s="384" t="str">
        <f>IFERROR(__xludf.DUMMYFUNCTION("""COMPUTED_VALUE"""),"Alex Alves Silva | Artes Visuais | Aprovado | Bárbara: sem etas 1 e 2, com apenas um plano //Júnio: aprovado 29/04/21")</f>
        <v>Alex Alves Silva | Artes Visuais | Aprovado | Bárbara: sem etas 1 e 2, com apenas um plano //Júnio: aprovado 29/04/21</v>
      </c>
      <c r="B129" s="93"/>
    </row>
    <row r="130">
      <c r="A130" s="384" t="str">
        <f>IFERROR(__xludf.DUMMYFUNCTION("""COMPUTED_VALUE"""),"Alex Alves Silva | Ed. Física | Aprovado | Bárbara: sem etas 1 e 2, com apenas um plano plagiado. // Bianca: aprovado 19/04/21")</f>
        <v>Alex Alves Silva | Ed. Física | Aprovado | Bárbara: sem etas 1 e 2, com apenas um plano plagiado. // Bianca: aprovado 19/04/21</v>
      </c>
      <c r="B130" s="93"/>
    </row>
    <row r="131">
      <c r="A131" s="384" t="str">
        <f>IFERROR(__xludf.DUMMYFUNCTION("""COMPUTED_VALUE"""),"Alex Amilton Costa Retamero | Pedagogia | Aprovado | Alexsiane: encaminhou somente carta de apresentação, termo de conclusão e fichas. Declaração não valida pois está como diretor, especificar nas fichas de registro o tipo de acompanhamento ( OBSERVAÇÃO, "&amp;"REGÊNCIA E GESTÃO). As fichas de registro possui uma similaridade com a da  Fabiana Paulino Alexandre Retamero do dia 01/09 até 06/10. até dia 25/07/22  para reemviar// Alexsiane: pré aprovado com lançamento no sponte 25/08/2022 //Júnio: físico, conferido"&amp;" e arquivado: 01/09/22")</f>
        <v>Alex Amilton Costa Retamero | Pedagogia | Aprovado | Alexsiane: encaminhou somente carta de apresentação, termo de conclusão e fichas. Declaração não valida pois está como diretor, especificar nas fichas de registro o tipo de acompanhamento ( OBSERVAÇÃO, REGÊNCIA E GESTÃO). As fichas de registro possui uma similaridade com a da  Fabiana Paulino Alexandre Retamero do dia 01/09 até 06/10. até dia 25/07/22  para reemviar// Alexsiane: pré aprovado com lançamento no sponte 25/08/2022 //Júnio: físico, conferido e arquivado: 01/09/22</v>
      </c>
      <c r="B131" s="93"/>
    </row>
    <row r="132">
      <c r="A132" s="384" t="str">
        <f>IFERROR(__xludf.DUMMYFUNCTION("""COMPUTED_VALUE"""),"Alex Bonfim Siqueira | Segunda Licenciatura Em Pedagogia | Aprovado | Alexsiane: pp aprovado")</f>
        <v>Alex Bonfim Siqueira | Segunda Licenciatura Em Pedagogia | Aprovado | Alexsiane: pp aprovado</v>
      </c>
      <c r="B132" s="93"/>
    </row>
    <row r="133">
      <c r="A133" s="384" t="str">
        <f>IFERROR(__xludf.DUMMYFUNCTION("""COMPUTED_VALUE"""),"Alex Faria Dos Santos | Pedagogia | Em análise | Alexsiane: falta etapa 1 e encaminhar a entrvista digitada. ")</f>
        <v>Alex Faria Dos Santos | Pedagogia | Em análise | Alexsiane: falta etapa 1 e encaminhar a entrvista digitada. </v>
      </c>
      <c r="B133" s="93"/>
    </row>
    <row r="134">
      <c r="A134" s="384" t="str">
        <f>IFERROR(__xludf.DUMMYFUNCTION("""COMPUTED_VALUE"""),"Alexandra De Lourdes Da Silva | Pedagogia | Aprovado | Bárbara; aprovada nas 3 priemiras do remoto // Amélia: aprovada 09/02/2021")</f>
        <v>Alexandra De Lourdes Da Silva | Pedagogia | Aprovado | Bárbara; aprovada nas 3 priemiras do remoto // Amélia: aprovada 09/02/2021</v>
      </c>
      <c r="B134" s="93"/>
    </row>
    <row r="135">
      <c r="A135" s="384" t="str">
        <f>IFERROR(__xludf.DUMMYFUNCTION("""COMPUTED_VALUE"""),"Alexandra De Oliveira Jeronimo | Pedagogia | Em análise | Júnio: PP - falta a carta e entrevista")</f>
        <v>Alexandra De Oliveira Jeronimo | Pedagogia | Em análise | Júnio: PP - falta a carta e entrevista</v>
      </c>
      <c r="B135" s="93"/>
    </row>
    <row r="136">
      <c r="A136" s="384" t="str">
        <f>IFERROR(__xludf.DUMMYFUNCTION("""COMPUTED_VALUE"""),"Alexandre Cardoso De Sousa | Música | Aprovada | alexsiane: pp aprovado")</f>
        <v>Alexandre Cardoso De Sousa | Música | Aprovada | alexsiane: pp aprovado</v>
      </c>
      <c r="B136" s="93"/>
    </row>
    <row r="137">
      <c r="A137" s="384" t="str">
        <f>IFERROR(__xludf.DUMMYFUNCTION("""COMPUTED_VALUE"""),"Alexandre Castro Silva | Música | Aprovado | Júnio: PP -72% plágio, falta a carta e entrevista.")</f>
        <v>Alexandre Castro Silva | Música | Aprovado | Júnio: PP -72% plágio, falta a carta e entrevista.</v>
      </c>
      <c r="B137" s="93"/>
    </row>
    <row r="138">
      <c r="A138" s="384" t="str">
        <f>IFERROR(__xludf.DUMMYFUNCTION("""COMPUTED_VALUE"""),"Alexandre De Oliveira | Pedagogia | Aprovado | Lucas: Aprovado no estágio padrão 300h //Júnio:conferido e arquivado: 26/05/22")</f>
        <v>Alexandre De Oliveira | Pedagogia | Aprovado | Lucas: Aprovado no estágio padrão 300h //Júnio:conferido e arquivado: 26/05/22</v>
      </c>
      <c r="B138" s="93"/>
    </row>
    <row r="139">
      <c r="A139" s="384" t="str">
        <f>IFERROR(__xludf.DUMMYFUNCTION("""COMPUTED_VALUE"""),"Alexandre Do Espírito Santo | Ed. Física | Aprovado | Aline: aprovado nas 3 primeiras etapas, aguardando a última// Bárbara: aprovado 4ª etapa 23/11/2020// Bárbara: conferido e arquivado 23/11/2020")</f>
        <v>Alexandre Do Espírito Santo | Ed. Física | Aprovado | Aline: aprovado nas 3 primeiras etapas, aguardando a última// Bárbara: aprovado 4ª etapa 23/11/2020// Bárbara: conferido e arquivado 23/11/2020</v>
      </c>
      <c r="B139" s="93"/>
    </row>
    <row r="140">
      <c r="A140" s="384" t="str">
        <f>IFERROR(__xludf.DUMMYFUNCTION("""COMPUTED_VALUE"""),"Alexandre Dos Santos Rodrigues | Letras Portugues | Aprovado | Aprovado//Recebido no instituto dia 03/12/2019// Miryã: conferido e arquivado 12/03/2021")</f>
        <v>Alexandre Dos Santos Rodrigues | Letras Portugues | Aprovado | Aprovado//Recebido no instituto dia 03/12/2019// Miryã: conferido e arquivado 12/03/2021</v>
      </c>
      <c r="B140" s="93"/>
    </row>
    <row r="141">
      <c r="A141" s="384" t="str">
        <f>IFERROR(__xludf.DUMMYFUNCTION("""COMPUTED_VALUE"""),"Alexandre Dos Santos Rodrigues | Matemática | Aprovado | Alexsiane: falta todas as etapas dissertativas, corrigir a carga horaria diaria que está errada, preencher a carta de apresentação e encaminhar a declaração de experiência escaneada// Alexsiane: pré"&amp;" aprovado com lançamento // Pamela 13/01/2023 Conferido e arquivado. ")</f>
        <v>Alexandre Dos Santos Rodrigues | Matemática | Aprovado | Alexsiane: falta todas as etapas dissertativas, corrigir a carga horaria diaria que está errada, preencher a carta de apresentação e encaminhar a declaração de experiência escaneada// Alexsiane: pré aprovado com lançamento // Pamela 13/01/2023 Conferido e arquivado. </v>
      </c>
      <c r="B141" s="93"/>
    </row>
    <row r="142">
      <c r="A142" s="384" t="str">
        <f>IFERROR(__xludf.DUMMYFUNCTION("""COMPUTED_VALUE"""),"Alexandre Felizardo Da Cruz | 2ª Licenciatura Pedagogia | Aprovado | Cris: PP aprovado")</f>
        <v>Alexandre Felizardo Da Cruz | 2ª Licenciatura Pedagogia | Aprovado | Cris: PP aprovado</v>
      </c>
      <c r="B142" s="93"/>
    </row>
    <row r="143">
      <c r="A143" s="384" t="str">
        <f>IFERROR(__xludf.DUMMYFUNCTION("""COMPUTED_VALUE"""),"Alexandre Lazarotto Lago | Letras Espanhol | Em análise | Júnio: PP - falta a carta e entrevista")</f>
        <v>Alexandre Lazarotto Lago | Letras Espanhol | Em análise | Júnio: PP - falta a carta e entrevista</v>
      </c>
      <c r="B143" s="93"/>
    </row>
    <row r="144">
      <c r="A144" s="384" t="str">
        <f>IFERROR(__xludf.DUMMYFUNCTION("""COMPUTED_VALUE"""),"Alexandre Lucyano Amorim Gordo | Psicopedagogia Inst. | Aprovado | Júnio: aprovado e autorizado a enviar físico         ")</f>
        <v>Alexandre Lucyano Amorim Gordo | Psicopedagogia Inst. | Aprovado | Júnio: aprovado e autorizado a enviar físico         </v>
      </c>
      <c r="B144" s="93"/>
    </row>
    <row r="145">
      <c r="A145" s="384" t="str">
        <f>IFERROR(__xludf.DUMMYFUNCTION("""COMPUTED_VALUE"""),"Alexandre Lucyano Amorim Gordo | Letras - Português | Aprovado | Júnio: aprovado no remoto antigo")</f>
        <v>Alexandre Lucyano Amorim Gordo | Letras - Português | Aprovado | Júnio: aprovado no remoto antigo</v>
      </c>
      <c r="B145" s="93"/>
    </row>
    <row r="146">
      <c r="A146" s="384" t="str">
        <f>IFERROR(__xludf.DUMMYFUNCTION("""COMPUTED_VALUE"""),"Alexandre Luiz Perreira | Música | Aprovado | Ana orientou aprovar o aluno. Aluno enviará cópia. Falar com o Helder que quando for CERTIFICAR, irá anexar um Certificado de Horas ZAYN (Curso TGD).")</f>
        <v>Alexandre Luiz Perreira | Música | Aprovado | Ana orientou aprovar o aluno. Aluno enviará cópia. Falar com o Helder que quando for CERTIFICAR, irá anexar um Certificado de Horas ZAYN (Curso TGD).</v>
      </c>
      <c r="B146" s="93"/>
    </row>
    <row r="147">
      <c r="A147" s="384" t="str">
        <f>IFERROR(__xludf.DUMMYFUNCTION("""COMPUTED_VALUE"""),"Alexandre Machado Marques De Souza Sobrinho | Formação Pedagógica Em Sociologia | Aprovado | Rayssa pp aprovado")</f>
        <v>Alexandre Machado Marques De Souza Sobrinho | Formação Pedagógica Em Sociologia | Aprovado | Rayssa pp aprovado</v>
      </c>
      <c r="B147" s="93"/>
    </row>
    <row r="148">
      <c r="A148" s="384" t="str">
        <f>IFERROR(__xludf.DUMMYFUNCTION("""COMPUTED_VALUE"""),"Alexandre Nogueira Souza | Formação Pedagógica História | Aprovado | Alexsiane: pp aprovado")</f>
        <v>Alexandre Nogueira Souza | Formação Pedagógica História | Aprovado | Alexsiane: pp aprovado</v>
      </c>
      <c r="B148" s="93"/>
    </row>
    <row r="149">
      <c r="A149" s="384" t="str">
        <f>IFERROR(__xludf.DUMMYFUNCTION("""COMPUTED_VALUE"""),"Alexandre Ribeiro De Santana | Letras Inglês | Aprovado | Alexsiane: 45,64% de plágio, encaminhar as fichas de registro, restante está ok //Júnio: aprovado18/07/23")</f>
        <v>Alexandre Ribeiro De Santana | Letras Inglês | Aprovado | Alexsiane: 45,64% de plágio, encaminhar as fichas de registro, restante está ok //Júnio: aprovado18/07/23</v>
      </c>
      <c r="B149" s="93"/>
    </row>
    <row r="150">
      <c r="A150" s="384" t="str">
        <f>IFERROR(__xludf.DUMMYFUNCTION("""COMPUTED_VALUE"""),"Alexandre Silva Nogueira | Matemática | Aprovado | Alexsiane: pp aprovado")</f>
        <v>Alexandre Silva Nogueira | Matemática | Aprovado | Alexsiane: pp aprovado</v>
      </c>
      <c r="B150" s="93"/>
    </row>
    <row r="151">
      <c r="A151" s="384" t="str">
        <f>IFERROR(__xludf.DUMMYFUNCTION("""COMPUTED_VALUE"""),"Alexandre Vieira Dos Santos | Artes Visuais | Aprovado | Alexsiane: 26% de similaridade ao curso de Letras Português-Espanhol.//Alexsiane: autorizado a autenticar, //// Edilaine: Aprovado 03/03/2023.")</f>
        <v>Alexandre Vieira Dos Santos | Artes Visuais | Aprovado | Alexsiane: 26% de similaridade ao curso de Letras Português-Espanhol.//Alexsiane: autorizado a autenticar, //// Edilaine: Aprovado 03/03/2023.</v>
      </c>
      <c r="B151" s="93"/>
    </row>
    <row r="152">
      <c r="A152" s="384" t="str">
        <f>IFERROR(__xludf.DUMMYFUNCTION("""COMPUTED_VALUE"""),"Alexandre Vieira Dos Santos | Letras/Português-Espanhol Seg. Licenciatura R2/2019 | Aprovada | Lucas: Aprovada e anexada ao Sponte ")</f>
        <v>Alexandre Vieira Dos Santos | Letras/Português-Espanhol Seg. Licenciatura R2/2019 | Aprovada | Lucas: Aprovada e anexada ao Sponte </v>
      </c>
      <c r="B152" s="93"/>
    </row>
    <row r="153">
      <c r="A153" s="384" t="str">
        <f>IFERROR(__xludf.DUMMYFUNCTION("""COMPUTED_VALUE"""),"Alexis Hernández Amador | Letras Espanhol | Aprovado | Alexsiane: enviou somente as fichas de registro mas tem que especificar o tipo de acompanhamento, a serie e complementar a carga horaria total ( fez somente 40 horas) e falta toda a parte dissertativa"&amp;". //Júnio: pre aprovado: 29/06/23 //Júnio: aprovado: 19/07/23")</f>
        <v>Alexis Hernández Amador | Letras Espanhol | Aprovado | Alexsiane: enviou somente as fichas de registro mas tem que especificar o tipo de acompanhamento, a serie e complementar a carga horaria total ( fez somente 40 horas) e falta toda a parte dissertativa. //Júnio: pre aprovado: 29/06/23 //Júnio: aprovado: 19/07/23</v>
      </c>
      <c r="B153" s="93"/>
    </row>
    <row r="154">
      <c r="A154" s="384" t="str">
        <f>IFERROR(__xludf.DUMMYFUNCTION("""COMPUTED_VALUE"""),"Alexsandra De Oliveira Santos | Pedagogia | Em análise | Júnio: PP enviar a etapa I digitada.")</f>
        <v>Alexsandra De Oliveira Santos | Pedagogia | Em análise | Júnio: PP enviar a etapa I digitada.</v>
      </c>
      <c r="B154" s="93"/>
    </row>
    <row r="155">
      <c r="A155" s="384" t="str">
        <f>IFERROR(__xludf.DUMMYFUNCTION("""COMPUTED_VALUE"""),"Alexsandra De Oliveira Santos | Formação Pedagógica Em Pedagogia | Aprovado | Rayssa pp aprovado")</f>
        <v>Alexsandra De Oliveira Santos | Formação Pedagógica Em Pedagogia | Aprovado | Rayssa pp aprovado</v>
      </c>
      <c r="B155" s="93"/>
    </row>
    <row r="156">
      <c r="A156" s="384" t="str">
        <f>IFERROR(__xludf.DUMMYFUNCTION("""COMPUTED_VALUE"""),"Alexsandro Ramos Guedes | Pedagogia | Pré- aprovado | Alexsiane: 21% de plágio,especificar nas fichas o tipo de acompanhamento,serie e corrigir a carga horaria diaria está dando um total de 7 horas por dia (CUIDADO AO PRAZO DA PLATAFORMA PODERÁ RECEBER AP"&amp;"ROVAÇÃO SOMENTE EM NOVEMBRO)")</f>
        <v>Alexsandro Ramos Guedes | Pedagogia | Pré- aprovado | Alexsiane: 21% de plágio,especificar nas fichas o tipo de acompanhamento,serie e corrigir a carga horaria diaria está dando um total de 7 horas por dia (CUIDADO AO PRAZO DA PLATAFORMA PODERÁ RECEBER APROVAÇÃO SOMENTE EM NOVEMBRO)</v>
      </c>
      <c r="B156" s="93"/>
    </row>
    <row r="157">
      <c r="A157" s="384" t="str">
        <f>IFERROR(__xludf.DUMMYFUNCTION("""COMPUTED_VALUE"""),"Alfredo Bravo Marques Pinheiro | Geografia | Aprovado | Bárbara: falta 50 horas no estágio, e ficha de registro completamente errada //Bianca: aprovado 29/04/21 //Júnio: conferido e anexado:18/05/21")</f>
        <v>Alfredo Bravo Marques Pinheiro | Geografia | Aprovado | Bárbara: falta 50 horas no estágio, e ficha de registro completamente errada //Bianca: aprovado 29/04/21 //Júnio: conferido e anexado:18/05/21</v>
      </c>
      <c r="B157" s="93"/>
    </row>
    <row r="158">
      <c r="A158" s="384" t="str">
        <f>IFERROR(__xludf.DUMMYFUNCTION("""COMPUTED_VALUE"""),"Alfredo Régis De Sousa Viana | Música | Aprovado | Júnio: PP aprovado")</f>
        <v>Alfredo Régis De Sousa Viana | Música | Aprovado | Júnio: PP aprovado</v>
      </c>
      <c r="B158" s="93"/>
    </row>
    <row r="159">
      <c r="A159" s="384" t="str">
        <f>IFERROR(__xludf.DUMMYFUNCTION("""COMPUTED_VALUE"""),"Alfredo Vaz Neto | Pedagogia | Aprovado | Júnio: PP - 69% plágio e falta a etapa 2// Alexsiane: pp aprovado 01/04/24")</f>
        <v>Alfredo Vaz Neto | Pedagogia | Aprovado | Júnio: PP - 69% plágio e falta a etapa 2// Alexsiane: pp aprovado 01/04/24</v>
      </c>
      <c r="B159" s="93"/>
    </row>
    <row r="160">
      <c r="A160" s="384" t="str">
        <f>IFERROR(__xludf.DUMMYFUNCTION("""COMPUTED_VALUE"""),"Alice Batista De Mendonça Alves | Artes Visuais | Aprovado | Bianca: aprovado no TCE padrão, autorizada a recolher assinaturas //Bianca: aprovada 21/06/2021 //Júnio: conferido e arquivado: 01/07/2021")</f>
        <v>Alice Batista De Mendonça Alves | Artes Visuais | Aprovado | Bianca: aprovado no TCE padrão, autorizada a recolher assinaturas //Bianca: aprovada 21/06/2021 //Júnio: conferido e arquivado: 01/07/2021</v>
      </c>
      <c r="B160" s="93"/>
    </row>
    <row r="161">
      <c r="A161" s="384" t="str">
        <f>IFERROR(__xludf.DUMMYFUNCTION("""COMPUTED_VALUE"""),"Aline Abadia Da Silva | Geografia | Aprovado | Bárbara: aprovada nas 3 primeiras do remoto// Bárbara: aprovada 22/01/2021")</f>
        <v>Aline Abadia Da Silva | Geografia | Aprovado | Bárbara: aprovada nas 3 primeiras do remoto// Bárbara: aprovada 22/01/2021</v>
      </c>
      <c r="B161" s="93"/>
    </row>
    <row r="162">
      <c r="A162" s="384" t="str">
        <f>IFERROR(__xludf.DUMMYFUNCTION("""COMPUTED_VALUE"""),"Aline Abadia Da Silva | Pedagogia | Aprovado | Bárbara: aprovada nas 3 primeiras do remoto// Bárbara: aprovada 19/01/2021// Bárbara: conferido e arquivado 22/02/2021")</f>
        <v>Aline Abadia Da Silva | Pedagogia | Aprovado | Bárbara: aprovada nas 3 primeiras do remoto// Bárbara: aprovada 19/01/2021// Bárbara: conferido e arquivado 22/02/2021</v>
      </c>
      <c r="B162" s="93"/>
    </row>
    <row r="163">
      <c r="A163" s="384" t="str">
        <f>IFERROR(__xludf.DUMMYFUNCTION("""COMPUTED_VALUE"""),"Aline Aparecida De Resende | Neuropsicopedagogia Institucional,Clínica E Hospitalar | Aprovada | Alexsiane: enviar toda parte dissertativa em formato word editável e especificar em todos os campos de atividades realizadas o tipo de acompanhamento e o tema"&amp;" 10/11 para reenvira //Júnio: aprovada: 03/05/23")</f>
        <v>Aline Aparecida De Resende | Neuropsicopedagogia Institucional,Clínica E Hospitalar | Aprovada | Alexsiane: enviar toda parte dissertativa em formato word editável e especificar em todos os campos de atividades realizadas o tipo de acompanhamento e o tema 10/11 para reenvira //Júnio: aprovada: 03/05/23</v>
      </c>
      <c r="B163" s="93"/>
    </row>
    <row r="164">
      <c r="A164" s="384" t="str">
        <f>IFERROR(__xludf.DUMMYFUNCTION("""COMPUTED_VALUE"""),"Aline Balioni Oliveira | Artes Visuais | Aprovada  | Bianca: falta sumário  e etapa 4 do remoto antigo.// Bianca: aprovada nas 4 etapas do remoto antigo em 06/12/2021")</f>
        <v>Aline Balioni Oliveira | Artes Visuais | Aprovada  | Bianca: falta sumário  e etapa 4 do remoto antigo.// Bianca: aprovada nas 4 etapas do remoto antigo em 06/12/2021</v>
      </c>
      <c r="B164" s="93"/>
    </row>
    <row r="165">
      <c r="A165" s="384" t="str">
        <f>IFERROR(__xludf.DUMMYFUNCTION("""COMPUTED_VALUE"""),"Aline Bispo França Santos | Letras Port | Em análise | Bárbara: aprovada 1, 2 e 3, restando etapa 4// Bárbara: imprimido e arquivado 29/12/2020")</f>
        <v>Aline Bispo França Santos | Letras Port | Em análise | Bárbara: aprovada 1, 2 e 3, restando etapa 4// Bárbara: imprimido e arquivado 29/12/2020</v>
      </c>
      <c r="B165" s="93"/>
    </row>
    <row r="166">
      <c r="A166" s="384" t="str">
        <f>IFERROR(__xludf.DUMMYFUNCTION("""COMPUTED_VALUE"""),"Aline Botelho Machado Melo | Pedagogia | Aprovada | Júnio: PP - falta a carta de apresentação //Júnio: aprovada: 19/10/23")</f>
        <v>Aline Botelho Machado Melo | Pedagogia | Aprovada | Júnio: PP - falta a carta de apresentação //Júnio: aprovada: 19/10/23</v>
      </c>
      <c r="B166" s="93"/>
    </row>
    <row r="167">
      <c r="A167" s="384" t="str">
        <f>IFERROR(__xludf.DUMMYFUNCTION("""COMPUTED_VALUE"""),"Aline Catarine Alves Correa | Filosofia | Aprovado | Aprovado: tem redução de carga horária apresentou declaração de experiência. Recebido no Instituto dia 04/10/2019.")</f>
        <v>Aline Catarine Alves Correa | Filosofia | Aprovado | Aprovado: tem redução de carga horária apresentou declaração de experiência. Recebido no Instituto dia 04/10/2019.</v>
      </c>
      <c r="B167" s="93"/>
    </row>
    <row r="168">
      <c r="A168" s="384" t="str">
        <f>IFERROR(__xludf.DUMMYFUNCTION("""COMPUTED_VALUE"""),"Aline Cristina De Almeida | Ciências Biologicas | Aprovado | Thiara: Fez TGD 180 horas.")</f>
        <v>Aline Cristina De Almeida | Ciências Biologicas | Aprovado | Thiara: Fez TGD 180 horas.</v>
      </c>
      <c r="B168" s="93"/>
    </row>
    <row r="169">
      <c r="A169" s="384" t="str">
        <f>IFERROR(__xludf.DUMMYFUNCTION("""COMPUTED_VALUE"""),"Aline Cunha De Paula Carneiro | Pedagogia | Aprovada | Aline Silva: conforme conversa por telefone, pedi para que relatasse as atividades/pontos observados na regência / observação, alterarasse as horas em carta de aceite e tapar o rosto das crianças.// A"&amp;"provada dia 19/12 e recebido dia 15/01/2020// Bárbara: Conferido e arquivado em 16/09/2020")</f>
        <v>Aline Cunha De Paula Carneiro | Pedagogia | Aprovada | Aline Silva: conforme conversa por telefone, pedi para que relatasse as atividades/pontos observados na regência / observação, alterarasse as horas em carta de aceite e tapar o rosto das crianças.// Aprovada dia 19/12 e recebido dia 15/01/2020// Bárbara: Conferido e arquivado em 16/09/2020</v>
      </c>
      <c r="B169" s="93"/>
    </row>
    <row r="170">
      <c r="A170" s="384" t="str">
        <f>IFERROR(__xludf.DUMMYFUNCTION("""COMPUTED_VALUE"""),"Aline Da Conceição Leal | Pedagogia | Aprovada | Júnio: faltam 20 horas de educação inclusiva , enviar plano de aula digitado PRAZO: 18/05/23 //Júnio: pre aprovada: 31/05/2023 //Júnio: aprovada: 12/06/23")</f>
        <v>Aline Da Conceição Leal | Pedagogia | Aprovada | Júnio: faltam 20 horas de educação inclusiva , enviar plano de aula digitado PRAZO: 18/05/23 //Júnio: pre aprovada: 31/05/2023 //Júnio: aprovada: 12/06/23</v>
      </c>
      <c r="B170" s="93"/>
    </row>
    <row r="171">
      <c r="A171" s="384" t="str">
        <f>IFERROR(__xludf.DUMMYFUNCTION("""COMPUTED_VALUE"""),"Aline De Arruda Botelho Da Silva | Letras/ Português- Inglês | Aprovada | Edilaine: Dias com horas iguais, carga horária diária errada, falta todas as partes dissertativas. //Júnio: pré aprovada: 05/07/23 //Júnio: aprovada: 24/07/23")</f>
        <v>Aline De Arruda Botelho Da Silva | Letras/ Português- Inglês | Aprovada | Edilaine: Dias com horas iguais, carga horária diária errada, falta todas as partes dissertativas. //Júnio: pré aprovada: 05/07/23 //Júnio: aprovada: 24/07/23</v>
      </c>
      <c r="B171" s="93"/>
    </row>
    <row r="172">
      <c r="A172" s="384" t="str">
        <f>IFERROR(__xludf.DUMMYFUNCTION("""COMPUTED_VALUE"""),"Aline De Cássia Silvério Sebastião Rodrigues | Música | Aprovado | Pamela: Autorizada recolher as assinaturas, carta de apresentação e termo de conclusão e plagio 4,83// Alexsiane: pré aprovado com lançamento // 20/01//2023 Conferido e arquivado. ")</f>
        <v>Aline De Cássia Silvério Sebastião Rodrigues | Música | Aprovado | Pamela: Autorizada recolher as assinaturas, carta de apresentação e termo de conclusão e plagio 4,83// Alexsiane: pré aprovado com lançamento // 20/01//2023 Conferido e arquivado. </v>
      </c>
      <c r="B172" s="93"/>
    </row>
    <row r="173">
      <c r="A173" s="384" t="str">
        <f>IFERROR(__xludf.DUMMYFUNCTION("""COMPUTED_VALUE"""),"Aline De Fatima Araújo | Pedagogia | Aprovada | Alexsiane; encaminhou somente a carta de apresentação falta todo o restante //Júnio: pré aprovada: 15/06/23 //Júnio: aprovada: 23/06/23")</f>
        <v>Aline De Fatima Araújo | Pedagogia | Aprovada | Alexsiane; encaminhou somente a carta de apresentação falta todo o restante //Júnio: pré aprovada: 15/06/23 //Júnio: aprovada: 23/06/23</v>
      </c>
      <c r="B173" s="93"/>
    </row>
    <row r="174">
      <c r="A174" s="384" t="str">
        <f>IFERROR(__xludf.DUMMYFUNCTION("""COMPUTED_VALUE"""),"Aline De Lima Menoli Galbero | Música | Aprovada | Júnio:  PP aprovada ")</f>
        <v>Aline De Lima Menoli Galbero | Música | Aprovada | Júnio:  PP aprovada </v>
      </c>
      <c r="B174" s="93"/>
    </row>
    <row r="175">
      <c r="A175" s="384" t="str">
        <f>IFERROR(__xludf.DUMMYFUNCTION("""COMPUTED_VALUE"""),"Aline De Oliveira Maziero | Pedagogia | Aprovada | Alexsiane: enviar o trabalho em formato Word editável// Bárbara: conferido e arquivado 14/09/2022")</f>
        <v>Aline De Oliveira Maziero | Pedagogia | Aprovada | Alexsiane: enviar o trabalho em formato Word editável// Bárbara: conferido e arquivado 14/09/2022</v>
      </c>
      <c r="B175" s="93"/>
    </row>
    <row r="176">
      <c r="A176" s="384" t="str">
        <f>IFERROR(__xludf.DUMMYFUNCTION("""COMPUTED_VALUE"""),"Aline De Oliveira Silva Beirigo | Educação Especial | Aprovada | Júnio: PP - falta a etapa I.// alexsiane pp aprovado 09/04/24")</f>
        <v>Aline De Oliveira Silva Beirigo | Educação Especial | Aprovada | Júnio: PP - falta a etapa I.// alexsiane pp aprovado 09/04/24</v>
      </c>
      <c r="B176" s="93"/>
    </row>
    <row r="177">
      <c r="A177" s="384" t="str">
        <f>IFERROR(__xludf.DUMMYFUNCTION("""COMPUTED_VALUE"""),"Aline Mara De Oliveira | Ed. Física | Aprovado | Thiara: no dia 03 ela enviou o trabalho mas deu erro no formato do arquivo no dia 04/01 foi aprovado. Recebido 09/01/2019.")</f>
        <v>Aline Mara De Oliveira | Ed. Física | Aprovado | Thiara: no dia 03 ela enviou o trabalho mas deu erro no formato do arquivo no dia 04/01 foi aprovado. Recebido 09/01/2019.</v>
      </c>
      <c r="B177" s="93"/>
    </row>
    <row r="178">
      <c r="A178" s="384" t="str">
        <f>IFERROR(__xludf.DUMMYFUNCTION("""COMPUTED_VALUE"""),"Aline Moreira Brandão André | Música | Aprovada | Júnio: corrigir as fichas de registro, vários totais diários errados e especificar tema e série. //Júnio: aprovada 07/11/23")</f>
        <v>Aline Moreira Brandão André | Música | Aprovada | Júnio: corrigir as fichas de registro, vários totais diários errados e especificar tema e série. //Júnio: aprovada 07/11/23</v>
      </c>
      <c r="B178" s="93"/>
    </row>
    <row r="179">
      <c r="A179" s="384" t="str">
        <f>IFERROR(__xludf.DUMMYFUNCTION("""COMPUTED_VALUE"""),"Aline Moreira Martins De Almeida | Letras- Português | Aprovado | Alexsiane; falta mandar o vídeo da etapa 4 //Júnio: aprovada com lançamento no Sponte")</f>
        <v>Aline Moreira Martins De Almeida | Letras- Português | Aprovado | Alexsiane; falta mandar o vídeo da etapa 4 //Júnio: aprovada com lançamento no Sponte</v>
      </c>
      <c r="B179" s="93"/>
    </row>
    <row r="180">
      <c r="A180" s="384" t="str">
        <f>IFERROR(__xludf.DUMMYFUNCTION("""COMPUTED_VALUE"""),"Aline Priscila Da Silva Muniz De Nóbrega | Filosofia | Aprovado | Bárbara: etapa 1 e 2 ok, ontudo os planos de aula não são pertinentes, visto que a aluna realizou planos de outras disciplinas. // Bárbara: aprovada 07/10/2020// Bárbara: conferido e arquiv"&amp;"ado 03/11/2020")</f>
        <v>Aline Priscila Da Silva Muniz De Nóbrega | Filosofia | Aprovado | Bárbara: etapa 1 e 2 ok, ontudo os planos de aula não são pertinentes, visto que a aluna realizou planos de outras disciplinas. // Bárbara: aprovada 07/10/2020// Bárbara: conferido e arquivado 03/11/2020</v>
      </c>
      <c r="B180" s="93"/>
    </row>
    <row r="181">
      <c r="A181" s="384" t="str">
        <f>IFERROR(__xludf.DUMMYFUNCTION("""COMPUTED_VALUE"""),"Aline Rafaela Aguiar Da Costa | Matemática | Aprovada | Edilaine: Tem que especificar uma data para cada acompanhamento, tem que recolher as assinaturas em todos os dias e colocar as séries separadamente com os seus respectivos horários e datas. //Júnio: "&amp;"pre aprovada: 16/05/23 //Júnio: aprovada: 24/05/23")</f>
        <v>Aline Rafaela Aguiar Da Costa | Matemática | Aprovada | Edilaine: Tem que especificar uma data para cada acompanhamento, tem que recolher as assinaturas em todos os dias e colocar as séries separadamente com os seus respectivos horários e datas. //Júnio: pre aprovada: 16/05/23 //Júnio: aprovada: 24/05/23</v>
      </c>
      <c r="B181" s="93"/>
    </row>
    <row r="182">
      <c r="A182" s="384" t="str">
        <f>IFERROR(__xludf.DUMMYFUNCTION("""COMPUTED_VALUE"""),"Aline Rejane Pimentel Silva De Oliveira | Pedagogia | Aprovada | Júnio: padrão - especificar nas fichas de registro os temas, series e observações. Falta todo o resto.// Edilaine: Aprovada 30/12/2022 // Pâmela 05/01/2023 Conferido e arquivado. ")</f>
        <v>Aline Rejane Pimentel Silva De Oliveira | Pedagogia | Aprovada | Júnio: padrão - especificar nas fichas de registro os temas, series e observações. Falta todo o resto.// Edilaine: Aprovada 30/12/2022 // Pâmela 05/01/2023 Conferido e arquivado. </v>
      </c>
      <c r="B182" s="93"/>
    </row>
    <row r="183">
      <c r="A183" s="384" t="str">
        <f>IFERROR(__xludf.DUMMYFUNCTION("""COMPUTED_VALUE"""),"Aline Rodrigues De Souza | Pedagogia | Aprovado | Aline Silva: e-mail enviado// Bárbara: conferido e arquivado 23/11/2020")</f>
        <v>Aline Rodrigues De Souza | Pedagogia | Aprovado | Aline Silva: e-mail enviado// Bárbara: conferido e arquivado 23/11/2020</v>
      </c>
      <c r="B183" s="93"/>
    </row>
    <row r="184">
      <c r="A184" s="384" t="str">
        <f>IFERROR(__xludf.DUMMYFUNCTION("""COMPUTED_VALUE"""),"Aline Rodrigues Silva | Pedagogia | Aprovado | Bárbara: aprovada nas 3 primeiras etapas do remoto, aguardando a 4// Amélia aprovada 09/02/2021// Bárbara: conferido e arquivado 20/04/2021")</f>
        <v>Aline Rodrigues Silva | Pedagogia | Aprovado | Bárbara: aprovada nas 3 primeiras etapas do remoto, aguardando a 4// Amélia aprovada 09/02/2021// Bárbara: conferido e arquivado 20/04/2021</v>
      </c>
      <c r="B184" s="93"/>
    </row>
    <row r="185">
      <c r="A185" s="384" t="str">
        <f>IFERROR(__xludf.DUMMYFUNCTION("""COMPUTED_VALUE"""),"Aline Rodrigues Silva | Psicopedagogia Ins E Cli | Aprovada | Bárbara: aluna apresentou mesmo trabalho da licenciatura. A mesma anteriormente tinha recebido as orientações corretas. //Júnio: aprovada: 27/05/22 //Júnio: físico, conferido e arquivada: 22/07"&amp;"/22")</f>
        <v>Aline Rodrigues Silva | Psicopedagogia Ins E Cli | Aprovada | Bárbara: aluna apresentou mesmo trabalho da licenciatura. A mesma anteriormente tinha recebido as orientações corretas. //Júnio: aprovada: 27/05/22 //Júnio: físico, conferido e arquivada: 22/07/22</v>
      </c>
      <c r="B185" s="93"/>
    </row>
    <row r="186">
      <c r="A186" s="384" t="str">
        <f>IFERROR(__xludf.DUMMYFUNCTION("""COMPUTED_VALUE"""),"Aline Santos Dos Santos | Pedagogia | Aprovada | Alexsiane: etapa 1,2,4 ok, falta 19 planos de aula da 3° etapa// Alexsiane: aprovada com lançamento")</f>
        <v>Aline Santos Dos Santos | Pedagogia | Aprovada | Alexsiane: etapa 1,2,4 ok, falta 19 planos de aula da 3° etapa// Alexsiane: aprovada com lançamento</v>
      </c>
      <c r="B186" s="93"/>
    </row>
    <row r="187">
      <c r="A187" s="384" t="str">
        <f>IFERROR(__xludf.DUMMYFUNCTION("""COMPUTED_VALUE"""),"Aline Silva Chagas Xavier | Pedagogia | Aprovado | Aline: não fez horas no ADM, 304 sem divisão de regÊncia e observação, disciplinas e conteúdos não correspondem a faixa etária de pedagogia. // júnio: aprovada// Bárbara: conferido e arquivado 01/06/2021")</f>
        <v>Aline Silva Chagas Xavier | Pedagogia | Aprovado | Aline: não fez horas no ADM, 304 sem divisão de regÊncia e observação, disciplinas e conteúdos não correspondem a faixa etária de pedagogia. // júnio: aprovada// Bárbara: conferido e arquivado 01/06/2021</v>
      </c>
      <c r="B187" s="93"/>
    </row>
    <row r="188">
      <c r="A188" s="384" t="str">
        <f>IFERROR(__xludf.DUMMYFUNCTION("""COMPUTED_VALUE"""),"Aline Urbano Tiburcio | Artes Visuais | Aprovado | Bárbara: aprovada nas 3 primeiras etapas do remoto")</f>
        <v>Aline Urbano Tiburcio | Artes Visuais | Aprovado | Bárbara: aprovada nas 3 primeiras etapas do remoto</v>
      </c>
      <c r="B188" s="93"/>
    </row>
    <row r="189">
      <c r="A189" s="384" t="str">
        <f>IFERROR(__xludf.DUMMYFUNCTION("""COMPUTED_VALUE"""),"Alison Weliton Da Silva Pereira | Letras Port. Ing. | Aprovado | Thiara: falta horas de estágio. /// Enviou horas faltantes e tinha enviado declaração de experiência.")</f>
        <v>Alison Weliton Da Silva Pereira | Letras Port. Ing. | Aprovado | Thiara: falta horas de estágio. /// Enviou horas faltantes e tinha enviado declaração de experiência.</v>
      </c>
      <c r="B189" s="93"/>
    </row>
    <row r="190">
      <c r="A190" s="384" t="str">
        <f>IFERROR(__xludf.DUMMYFUNCTION("""COMPUTED_VALUE"""),"Alissia Ruiz Fernandes | Pedagogia | Aprovada | Lucas: Aprovada nas 3 primeiras etapas do estago remoto antigo// Bárbara: aprovada 04/08/2022")</f>
        <v>Alissia Ruiz Fernandes | Pedagogia | Aprovada | Lucas: Aprovada nas 3 primeiras etapas do estago remoto antigo// Bárbara: aprovada 04/08/2022</v>
      </c>
      <c r="B190" s="93"/>
    </row>
    <row r="191">
      <c r="A191" s="384" t="str">
        <f>IFERROR(__xludf.DUMMYFUNCTION("""COMPUTED_VALUE"""),"Allana De Souza Costa | Letras Português Inglês | Aprovada | Bianca: aprovada nas 4 etapas do remoto antigo. //Júnio: conferido e arquivado: 19/01/22")</f>
        <v>Allana De Souza Costa | Letras Português Inglês | Aprovada | Bianca: aprovada nas 4 etapas do remoto antigo. //Júnio: conferido e arquivado: 19/01/22</v>
      </c>
      <c r="B191" s="93"/>
    </row>
    <row r="192">
      <c r="A192" s="384" t="str">
        <f>IFERROR(__xludf.DUMMYFUNCTION("""COMPUTED_VALUE"""),"Almerinda Aparecida De Castro | Pedagogia Para Bachareis E Tecnologos | Aprovada | Alexsiane: Estágio I: encaminhar o plano de aula digitado, especificar nas fichas o tipo de acompanhamento e serie (possui declaração de experiência valida); Estágio II: en"&amp;"caminhar o plano de aula digitado, especificar nas fichas o tipo de acompanhamento, serie e corrigir o total de horas por dia pois está errado(colocou 04:30 o correto é 05:30) e possui declaração de experiência valida; Estágio III: especificar nas fichas "&amp;"o tipo de acompanhamento; Estágio IV: encaminhar o plano de aula digitado, especificar nas fichas o tipo de acompanhamento e (possui declaração de experiência valida); Prática I, II, III e IV: encaminhou as fichas de registro do estágio não é válida para "&amp;"a tabela de complementação, terá que fazer a tabela //Júnio: pre aprovada: 25/05/23 - Júnio: aprovada: 16/06/23")</f>
        <v>Almerinda Aparecida De Castro | Pedagogia Para Bachareis E Tecnologos | Aprovada | Alexsiane: Estágio I: encaminhar o plano de aula digitado, especificar nas fichas o tipo de acompanhamento e serie (possui declaração de experiência valida); Estágio II: encaminhar o plano de aula digitado, especificar nas fichas o tipo de acompanhamento, serie e corrigir o total de horas por dia pois está errado(colocou 04:30 o correto é 05:30) e possui declaração de experiência valida; Estágio III: especificar nas fichas o tipo de acompanhamento; Estágio IV: encaminhar o plano de aula digitado, especificar nas fichas o tipo de acompanhamento e (possui declaração de experiência valida); Prática I, II, III e IV: encaminhou as fichas de registro do estágio não é válida para a tabela de complementação, terá que fazer a tabela //Júnio: pre aprovada: 25/05/23 - Júnio: aprovada: 16/06/23</v>
      </c>
      <c r="B192" s="93"/>
    </row>
    <row r="193">
      <c r="A193" s="384" t="str">
        <f>IFERROR(__xludf.DUMMYFUNCTION("""COMPUTED_VALUE"""),"Almir Gomes Da Silva | Pedagogia | Aprovado | Alexsiane: falta etapa 1,2,3. E na etapa 4 falta só o relatorio de duas páginas 19/06 reenviar// Alexsiane: pré aprovado com lançamento no sponte 24/08/2022 //Júnio: físico conferido e arquivado: 06/10/22")</f>
        <v>Almir Gomes Da Silva | Pedagogia | Aprovado | Alexsiane: falta etapa 1,2,3. E na etapa 4 falta só o relatorio de duas páginas 19/06 reenviar// Alexsiane: pré aprovado com lançamento no sponte 24/08/2022 //Júnio: físico conferido e arquivado: 06/10/22</v>
      </c>
      <c r="B193" s="93"/>
    </row>
    <row r="194">
      <c r="A194" s="384" t="str">
        <f>IFERROR(__xludf.DUMMYFUNCTION("""COMPUTED_VALUE"""),"Aloisio João Scandolara | Matemática | Aprovado | Alexsiane: declaclaração de experiencia aceita no e-mail //Júnio: pre aprovado: 05/09/23 //Júnio: aprovado: 06/07/23")</f>
        <v>Aloisio João Scandolara | Matemática | Aprovado | Alexsiane: declaclaração de experiencia aceita no e-mail //Júnio: pre aprovado: 05/09/23 //Júnio: aprovado: 06/07/23</v>
      </c>
      <c r="B194" s="93"/>
    </row>
    <row r="195">
      <c r="A195" s="384" t="str">
        <f>IFERROR(__xludf.DUMMYFUNCTION("""COMPUTED_VALUE"""),"Alvares Da Silva Junior | História | Aprovado | Bárbara: aprovado nas 3 primeiras etapas, e apresentou declaração de experiência válida.")</f>
        <v>Alvares Da Silva Junior | História | Aprovado | Bárbara: aprovado nas 3 primeiras etapas, e apresentou declaração de experiência válida.</v>
      </c>
      <c r="B195" s="93"/>
    </row>
    <row r="196">
      <c r="A196" s="384" t="str">
        <f>IFERROR(__xludf.DUMMYFUNCTION("""COMPUTED_VALUE"""),"Álvaro José Gonçalves Neto | Música | Em análise | Júnio: PP -18% plágio e  falta carta de apresentação.")</f>
        <v>Álvaro José Gonçalves Neto | Música | Em análise | Júnio: PP -18% plágio e  falta carta de apresentação.</v>
      </c>
      <c r="B196" s="93"/>
    </row>
    <row r="197">
      <c r="A197" s="384" t="str">
        <f>IFERROR(__xludf.DUMMYFUNCTION("""COMPUTED_VALUE"""),"Alvaro Santana Schultz | Geografia | Aprovado | Bianca: falta documentos da etapa 4 //Bárbara:aprovada: 25/08/21")</f>
        <v>Alvaro Santana Schultz | Geografia | Aprovado | Bianca: falta documentos da etapa 4 //Bárbara:aprovada: 25/08/21</v>
      </c>
      <c r="B197" s="93"/>
    </row>
    <row r="198">
      <c r="A198" s="384" t="str">
        <f>IFERROR(__xludf.DUMMYFUNCTION("""COMPUTED_VALUE"""),"Álvaro Tadeu Santos Rezende | Ed. Física | aprovado | Bárbara: aprovado// Bárbara: conferido e arquivado 06/10/2020")</f>
        <v>Álvaro Tadeu Santos Rezende | Ed. Física | aprovado | Bárbara: aprovado// Bárbara: conferido e arquivado 06/10/2020</v>
      </c>
      <c r="B198" s="93"/>
    </row>
    <row r="199">
      <c r="A199" s="384" t="str">
        <f>IFERROR(__xludf.DUMMYFUNCTION("""COMPUTED_VALUE"""),"Alvecy Souza Lima De Oliveira | Pedagogia | aprovado | Alexsiane: falta a carta de apresentação escaneada // Alexsiane pp aprovado 27/06")</f>
        <v>Alvecy Souza Lima De Oliveira | Pedagogia | aprovado | Alexsiane: falta a carta de apresentação escaneada // Alexsiane pp aprovado 27/06</v>
      </c>
      <c r="B199" s="93"/>
    </row>
    <row r="200">
      <c r="A200" s="384" t="str">
        <f>IFERROR(__xludf.DUMMYFUNCTION("""COMPUTED_VALUE"""),"Alynne Figueiredo Campbell | História | Aprovada | Alexsiane: 88% similaridade com o outro curso, até as fichas possuem muitas datas similares e juntas ultrapassam limite de 6 hs //Júnio: PP aprovada: 28/09/23")</f>
        <v>Alynne Figueiredo Campbell | História | Aprovada | Alexsiane: 88% similaridade com o outro curso, até as fichas possuem muitas datas similares e juntas ultrapassam limite de 6 hs //Júnio: PP aprovada: 28/09/23</v>
      </c>
      <c r="B200" s="93"/>
    </row>
    <row r="201">
      <c r="A201" s="384" t="str">
        <f>IFERROR(__xludf.DUMMYFUNCTION("""COMPUTED_VALUE"""),"Alynne Figueiredo Campbell | Pedagogia | Aprovada | Alexsiane: 88% similaridade com o outro curso, até as fichas possuem muitas datas similares e juntas ultrapassam limite de 6 hs //OBS: ela decidiu manter o de pedagogia e para o outro curso fará as práti"&amp;"cas. //PRE APROVADA: 18/08/23 //Júnio: aprovada: 01/09/23")</f>
        <v>Alynne Figueiredo Campbell | Pedagogia | Aprovada | Alexsiane: 88% similaridade com o outro curso, até as fichas possuem muitas datas similares e juntas ultrapassam limite de 6 hs //OBS: ela decidiu manter o de pedagogia e para o outro curso fará as práticas. //PRE APROVADA: 18/08/23 //Júnio: aprovada: 01/09/23</v>
      </c>
      <c r="B201" s="93"/>
    </row>
    <row r="202">
      <c r="A202" s="384" t="str">
        <f>IFERROR(__xludf.DUMMYFUNCTION("""COMPUTED_VALUE"""),"Amália Alves De Moura | Letras Inglês | Aprovado | Barbara: aluna aprovada 1, 2 e 3, aguardando agendamento 4ª etapa. // Bárbara: apresentou declaração de experiência válida no dia 20/10/2020// Bárbara: conferido e arquivado 28/05/2021")</f>
        <v>Amália Alves De Moura | Letras Inglês | Aprovado | Barbara: aluna aprovada 1, 2 e 3, aguardando agendamento 4ª etapa. // Bárbara: apresentou declaração de experiência válida no dia 20/10/2020// Bárbara: conferido e arquivado 28/05/2021</v>
      </c>
      <c r="B202" s="93"/>
    </row>
    <row r="203">
      <c r="A203" s="384" t="str">
        <f>IFERROR(__xludf.DUMMYFUNCTION("""COMPUTED_VALUE"""),"Amália Cardoso Alves | Ciências Sociais | Aprovada | Júnio: remoto antigo - falta o plano de aula nº14 e a etapa 4 //Júnio: aprovada: 24/10/23")</f>
        <v>Amália Cardoso Alves | Ciências Sociais | Aprovada | Júnio: remoto antigo - falta o plano de aula nº14 e a etapa 4 //Júnio: aprovada: 24/10/23</v>
      </c>
      <c r="B203" s="93"/>
    </row>
    <row r="204">
      <c r="A204" s="384" t="str">
        <f>IFERROR(__xludf.DUMMYFUNCTION("""COMPUTED_VALUE"""),"Amanda Aparecida Maciel | Letras/Libras | Aprovado | Cris: PP aprovado")</f>
        <v>Amanda Aparecida Maciel | Letras/Libras | Aprovado | Cris: PP aprovado</v>
      </c>
      <c r="B204" s="93"/>
    </row>
    <row r="205">
      <c r="A205" s="384" t="str">
        <f>IFERROR(__xludf.DUMMYFUNCTION("""COMPUTED_VALUE"""),"Amanda Brixner Mendes | Artes Visuais | Aprovada | Alexsiane: 10,88% de plágio //// Edilaine: Aprovada 03/01/2023")</f>
        <v>Amanda Brixner Mendes | Artes Visuais | Aprovada | Alexsiane: 10,88% de plágio //// Edilaine: Aprovada 03/01/2023</v>
      </c>
      <c r="B205" s="93"/>
    </row>
    <row r="206">
      <c r="A206" s="384" t="str">
        <f>IFERROR(__xludf.DUMMYFUNCTION("""COMPUTED_VALUE"""),"Amanda Christian Pereira Lopes | Letras/Português-Inglês | Aprovada | Edilaine: Tem que especificar o tema nas fichas de registro. Ten que especificar os dias separadamente em cada quadrinho, tem que corrigir a carga horária de alguns dias. Assinaturas co"&amp;"ladas, tem que enviar o termo de conclusão escaneado. //Júnio: pré aprovada 19/06/23 //Júnio: aprovada: 14/07/23")</f>
        <v>Amanda Christian Pereira Lopes | Letras/Português-Inglês | Aprovada | Edilaine: Tem que especificar o tema nas fichas de registro. Ten que especificar os dias separadamente em cada quadrinho, tem que corrigir a carga horária de alguns dias. Assinaturas coladas, tem que enviar o termo de conclusão escaneado. //Júnio: pré aprovada 19/06/23 //Júnio: aprovada: 14/07/23</v>
      </c>
      <c r="B206" s="93"/>
    </row>
    <row r="207">
      <c r="A207" s="384" t="str">
        <f>IFERROR(__xludf.DUMMYFUNCTION("""COMPUTED_VALUE"""),"Amanda Da Conceição Araújo | Neuropsicopedagogia Institucional,Clínica E Hospitalar | Aprovado | Alexsiane: Falta a queixa e a anamnese//Alexsiane: Aprovado no remoto com lançamento no sponte")</f>
        <v>Amanda Da Conceição Araújo | Neuropsicopedagogia Institucional,Clínica E Hospitalar | Aprovado | Alexsiane: Falta a queixa e a anamnese//Alexsiane: Aprovado no remoto com lançamento no sponte</v>
      </c>
      <c r="B207" s="93"/>
    </row>
    <row r="208">
      <c r="A208" s="384" t="str">
        <f>IFERROR(__xludf.DUMMYFUNCTION("""COMPUTED_VALUE"""),"Amanda Do Nascimento Rosa | Pedagogia | Aprovada | Júnio: pré aprovada //Júnio: aprovada: 13/06/2023")</f>
        <v>Amanda Do Nascimento Rosa | Pedagogia | Aprovada | Júnio: pré aprovada //Júnio: aprovada: 13/06/2023</v>
      </c>
      <c r="B208" s="93"/>
    </row>
    <row r="209">
      <c r="A209" s="384" t="str">
        <f>IFERROR(__xludf.DUMMYFUNCTION("""COMPUTED_VALUE"""),"Amanda Fernandes | Pedagogia | Aprovado | Aline Silva: começo da escrita ok, falta auto avaliação e termo de compromisso.//09/07 solicitei recolher assinaturas/// Aprovada dia 07/08/2020// Bárbara: Conferido e arquivado 15/09/2020")</f>
        <v>Amanda Fernandes | Pedagogia | Aprovado | Aline Silva: começo da escrita ok, falta auto avaliação e termo de compromisso.//09/07 solicitei recolher assinaturas/// Aprovada dia 07/08/2020// Bárbara: Conferido e arquivado 15/09/2020</v>
      </c>
      <c r="B209" s="93"/>
    </row>
    <row r="210">
      <c r="A210" s="384" t="str">
        <f>IFERROR(__xludf.DUMMYFUNCTION("""COMPUTED_VALUE"""),"Amanda Mara Da Silva | Matemática | Aprovado | Bárbara: aprovada nas 3 primeiras etapas do remoto. // Bárbara: aprovada na 4ª etapa do remoto 18/02/2021")</f>
        <v>Amanda Mara Da Silva | Matemática | Aprovado | Bárbara: aprovada nas 3 primeiras etapas do remoto. // Bárbara: aprovada na 4ª etapa do remoto 18/02/2021</v>
      </c>
      <c r="B210" s="93"/>
    </row>
    <row r="211">
      <c r="A211" s="384" t="str">
        <f>IFERROR(__xludf.DUMMYFUNCTION("""COMPUTED_VALUE"""),"Amanda Matarazzo Nogueira Rodrigues | Pedagogia | Aprovada | Bárbara: aprovada em todas as etapas")</f>
        <v>Amanda Matarazzo Nogueira Rodrigues | Pedagogia | Aprovada | Bárbara: aprovada em todas as etapas</v>
      </c>
      <c r="B211" s="93"/>
    </row>
    <row r="212">
      <c r="A212" s="384" t="str">
        <f>IFERROR(__xludf.DUMMYFUNCTION("""COMPUTED_VALUE"""),"Amanda Miranda Costa Coutinho | Pedagogia | Aprovada | Júnio: fez 198 hs nas fichas, completar com mais 2 hs //Júnio: pre aprovada: 26/06/23 //Júnio: aprovada: 11/08/23")</f>
        <v>Amanda Miranda Costa Coutinho | Pedagogia | Aprovada | Júnio: fez 198 hs nas fichas, completar com mais 2 hs //Júnio: pre aprovada: 26/06/23 //Júnio: aprovada: 11/08/23</v>
      </c>
      <c r="B212" s="93"/>
    </row>
    <row r="213">
      <c r="A213" s="384" t="str">
        <f>IFERROR(__xludf.DUMMYFUNCTION("""COMPUTED_VALUE"""),"Amaro Lima Da Silva | Pedagogia | Aprovado | Júnio: PP - falta a carta de apresentação //Júnio: aprovado: 16/01/24")</f>
        <v>Amaro Lima Da Silva | Pedagogia | Aprovado | Júnio: PP - falta a carta de apresentação //Júnio: aprovado: 16/01/24</v>
      </c>
      <c r="B213" s="93"/>
    </row>
    <row r="214">
      <c r="A214" s="384" t="str">
        <f>IFERROR(__xludf.DUMMYFUNCTION("""COMPUTED_VALUE"""),"Amauri De Almeida Campos Júnior | Matemática | Aprovado | APROVADO, e-mail qui 04/10/2018 14:12 (secretaria1@institutozayn.com.br). Recebido: 26/11/2018.")</f>
        <v>Amauri De Almeida Campos Júnior | Matemática | Aprovado | APROVADO, e-mail qui 04/10/2018 14:12 (secretaria1@institutozayn.com.br). Recebido: 26/11/2018.</v>
      </c>
      <c r="B214" s="93"/>
    </row>
    <row r="215">
      <c r="A215" s="384" t="str">
        <f>IFERROR(__xludf.DUMMYFUNCTION("""COMPUTED_VALUE"""),"Amauri José Do Nascimento | Música | Em análise | Júnio: PP - falta a carta e entrevista")</f>
        <v>Amauri José Do Nascimento | Música | Em análise | Júnio: PP - falta a carta e entrevista</v>
      </c>
      <c r="B215" s="93"/>
    </row>
    <row r="216">
      <c r="A216" s="384" t="str">
        <f>IFERROR(__xludf.DUMMYFUNCTION("""COMPUTED_VALUE"""),"Amauri José Do Nascimento | Educação Física | Aprovado | alexsiane: etapa 1 ok// Alexsiane: aprovado 05/07")</f>
        <v>Amauri José Do Nascimento | Educação Física | Aprovado | alexsiane: etapa 1 ok// Alexsiane: aprovado 05/07</v>
      </c>
      <c r="B216" s="93"/>
    </row>
    <row r="217">
      <c r="A217" s="384" t="str">
        <f>IFERROR(__xludf.DUMMYFUNCTION("""COMPUTED_VALUE"""),"Amauri Santos De Souza | Artes Visuais | Aprovado | Júnio: aprovado com lançamento no Sponte //Júnio: conferido e aprovado: 26/11/2021")</f>
        <v>Amauri Santos De Souza | Artes Visuais | Aprovado | Júnio: aprovado com lançamento no Sponte //Júnio: conferido e aprovado: 26/11/2021</v>
      </c>
      <c r="B217" s="93"/>
    </row>
    <row r="218">
      <c r="A218" s="384" t="str">
        <f>IFERROR(__xludf.DUMMYFUNCTION("""COMPUTED_VALUE"""),"Amélia Gomes De Faria Reis | Pedagogia | Em análise | Júnio: PP - falta a carta e a entrevista")</f>
        <v>Amélia Gomes De Faria Reis | Pedagogia | Em análise | Júnio: PP - falta a carta e a entrevista</v>
      </c>
      <c r="B218" s="93"/>
    </row>
    <row r="219">
      <c r="A219" s="384" t="str">
        <f>IFERROR(__xludf.DUMMYFUNCTION("""COMPUTED_VALUE"""),"Amilton Melo Da Silva | História | Em análise | Alexsiane: etapa 1,2,3 ok, falta 4° etapa do remoto antigo")</f>
        <v>Amilton Melo Da Silva | História | Em análise | Alexsiane: etapa 1,2,3 ok, falta 4° etapa do remoto antigo</v>
      </c>
      <c r="B219" s="93"/>
    </row>
    <row r="220">
      <c r="A220" s="384" t="str">
        <f>IFERROR(__xludf.DUMMYFUNCTION("""COMPUTED_VALUE"""),"Ana Alice De Rezende Fonseca Theobald | Segunda Licenciatura Em Artes Visuais | Aprovado | Rayssa pp aprovado")</f>
        <v>Ana Alice De Rezende Fonseca Theobald | Segunda Licenciatura Em Artes Visuais | Aprovado | Rayssa pp aprovado</v>
      </c>
      <c r="B220" s="93"/>
    </row>
    <row r="221">
      <c r="A221" s="384" t="str">
        <f>IFERROR(__xludf.DUMMYFUNCTION("""COMPUTED_VALUE"""),"Ana Aline Victor Pontes | Neuropsicopedagogia Institucional,Clínica E Hospitalar | Aprovada | Júnio: pré aprovada PRAZO: 21/09/23 //Júnio: aprovada: 15/09/2023")</f>
        <v>Ana Aline Victor Pontes | Neuropsicopedagogia Institucional,Clínica E Hospitalar | Aprovada | Júnio: pré aprovada PRAZO: 21/09/23 //Júnio: aprovada: 15/09/2023</v>
      </c>
      <c r="B221" s="93"/>
    </row>
    <row r="222">
      <c r="A222" s="384" t="str">
        <f>IFERROR(__xludf.DUMMYFUNCTION("""COMPUTED_VALUE"""),"Ana Amália Cavalcante De Araújo | Música | Aprovada | Pâmela: declaração de experiência aceita //Júnio: pre aprovada: 20/06/23 //Júnio: aprovada: 30/06/23")</f>
        <v>Ana Amália Cavalcante De Araújo | Música | Aprovada | Pâmela: declaração de experiência aceita //Júnio: pre aprovada: 20/06/23 //Júnio: aprovada: 30/06/23</v>
      </c>
      <c r="B222" s="93"/>
    </row>
    <row r="223">
      <c r="A223" s="384" t="str">
        <f>IFERROR(__xludf.DUMMYFUNCTION("""COMPUTED_VALUE"""),"Ana Beatriz Lyra Vidaller | Pedagogia | Aprovada | Alexsiane: falta somente complementar as fichas de registro com 38 horas de gestão o restante está ok e sem plágio. //Júnio: pré aprovada //Júnio: aprovada: 18/05/23")</f>
        <v>Ana Beatriz Lyra Vidaller | Pedagogia | Aprovada | Alexsiane: falta somente complementar as fichas de registro com 38 horas de gestão o restante está ok e sem plágio. //Júnio: pré aprovada //Júnio: aprovada: 18/05/23</v>
      </c>
      <c r="B223" s="93"/>
    </row>
    <row r="224">
      <c r="A224" s="384" t="str">
        <f>IFERROR(__xludf.DUMMYFUNCTION("""COMPUTED_VALUE"""),"Ana Carla Da Silva Ferreira | Música | Aprovado | Alexsiane: pp com 13,5% de plágio/ Rayssa aprovada 24/09/2024")</f>
        <v>Ana Carla Da Silva Ferreira | Música | Aprovado | Alexsiane: pp com 13,5% de plágio/ Rayssa aprovada 24/09/2024</v>
      </c>
      <c r="B224" s="93"/>
    </row>
    <row r="225">
      <c r="A225" s="384" t="str">
        <f>IFERROR(__xludf.DUMMYFUNCTION("""COMPUTED_VALUE"""),"Ana Carla Santos Figueiredo | Pedagogia | Aprovada | Júnio: PP aprovada")</f>
        <v>Ana Carla Santos Figueiredo | Pedagogia | Aprovada | Júnio: PP aprovada</v>
      </c>
      <c r="B225" s="93"/>
    </row>
    <row r="226">
      <c r="A226" s="384" t="str">
        <f>IFERROR(__xludf.DUMMYFUNCTION("""COMPUTED_VALUE"""),"Ana Carolina Aguiar Pereira Coelho | Pedagogia | Aprovado | Bárbara: etapas 1 e 2 incompletas (fora do assunto principal, mas pedi para completar, e não para apagar), faltando conclusão final. Faltando objetivos especificos nos planos. Bárbara: aprovada: "&amp;"10/05/2021")</f>
        <v>Ana Carolina Aguiar Pereira Coelho | Pedagogia | Aprovado | Bárbara: etapas 1 e 2 incompletas (fora do assunto principal, mas pedi para completar, e não para apagar), faltando conclusão final. Faltando objetivos especificos nos planos. Bárbara: aprovada: 10/05/2021</v>
      </c>
      <c r="B226" s="93"/>
    </row>
    <row r="227">
      <c r="A227" s="384" t="str">
        <f>IFERROR(__xludf.DUMMYFUNCTION("""COMPUTED_VALUE"""),"Ana Carolina Darif Da Silva Jeremias | Pedagogia | Aprovada | Júnio: PP - enviou só a carta de apresentação, falta todo o resto. //Júnio: PP aprovada: 20/12/23")</f>
        <v>Ana Carolina Darif Da Silva Jeremias | Pedagogia | Aprovada | Júnio: PP - enviou só a carta de apresentação, falta todo o resto. //Júnio: PP aprovada: 20/12/23</v>
      </c>
      <c r="B227" s="93"/>
    </row>
    <row r="228">
      <c r="A228" s="384" t="str">
        <f>IFERROR(__xludf.DUMMYFUNCTION("""COMPUTED_VALUE"""),"Ana Carolina Nunes Dos Santos | Pedagogia | Aprovado | Bárbara: aprovado nas 3 primeiras etapas do remoto, aguardando a última. // Bárbara: aprovado 4ª etapa 27/01/2021")</f>
        <v>Ana Carolina Nunes Dos Santos | Pedagogia | Aprovado | Bárbara: aprovado nas 3 primeiras etapas do remoto, aguardando a última. // Bárbara: aprovado 4ª etapa 27/01/2021</v>
      </c>
      <c r="B228" s="93"/>
    </row>
    <row r="229">
      <c r="A229" s="384" t="str">
        <f>IFERROR(__xludf.DUMMYFUNCTION("""COMPUTED_VALUE"""),"Ana Catarina Soares Villas Boas | Segunda Licenciatura Letras - Inglês | Aprovado | Rayssa pp aprovado")</f>
        <v>Ana Catarina Soares Villas Boas | Segunda Licenciatura Letras - Inglês | Aprovado | Rayssa pp aprovado</v>
      </c>
      <c r="B229" s="93"/>
    </row>
    <row r="230">
      <c r="A230" s="384" t="str">
        <f>IFERROR(__xludf.DUMMYFUNCTION("""COMPUTED_VALUE"""),"Ana Célia Alves Alvim | Letras Port./Ing. | Aprovado | Thiara: Trabalho aprovado dia 27/12/2018. Não apresentou erros ortograficos consideraveis. Impresso e encadernado 22/01/2019 para nova certificação.")</f>
        <v>Ana Célia Alves Alvim | Letras Port./Ing. | Aprovado | Thiara: Trabalho aprovado dia 27/12/2018. Não apresentou erros ortograficos consideraveis. Impresso e encadernado 22/01/2019 para nova certificação.</v>
      </c>
      <c r="B230" s="93"/>
    </row>
    <row r="231">
      <c r="A231" s="384" t="str">
        <f>IFERROR(__xludf.DUMMYFUNCTION("""COMPUTED_VALUE"""),"Ana Clara Faria Barros | Artes Visuais | Em análise | Aline Silva: apresentou declaração de experiência profissional.")</f>
        <v>Ana Clara Faria Barros | Artes Visuais | Em análise | Aline Silva: apresentou declaração de experiência profissional.</v>
      </c>
      <c r="B231" s="93"/>
    </row>
    <row r="232">
      <c r="A232" s="384" t="str">
        <f>IFERROR(__xludf.DUMMYFUNCTION("""COMPUTED_VALUE"""),"Ana Clara Oliveira Bacha | Pedagogia | Aprovado | Aline Silva: pedi complementaação e reenvio paraa correção. // Aline: aprovadocoa 07/12/2020")</f>
        <v>Ana Clara Oliveira Bacha | Pedagogia | Aprovado | Aline Silva: pedi complementaação e reenvio paraa correção. // Aline: aprovadocoa 07/12/2020</v>
      </c>
      <c r="B232" s="93"/>
    </row>
    <row r="233">
      <c r="A233" s="384" t="str">
        <f>IFERROR(__xludf.DUMMYFUNCTION("""COMPUTED_VALUE"""),"Ana Claudia Carvalho Dos Anjos | Letras Português Inglês | Aprovada | Júnio: pelo guru declaração de experiência válida //Júnio: aprovada: 16/06/2023")</f>
        <v>Ana Claudia Carvalho Dos Anjos | Letras Português Inglês | Aprovada | Júnio: pelo guru declaração de experiência válida //Júnio: aprovada: 16/06/2023</v>
      </c>
      <c r="B233" s="93"/>
    </row>
    <row r="234">
      <c r="A234" s="384" t="str">
        <f>IFERROR(__xludf.DUMMYFUNCTION("""COMPUTED_VALUE"""),"Ana Cláudia Castro Silva Siqueira | Artes Visuais | Aprovado | Thiara: Relatório cópiado da internet, apontei os plágios ou ampla semelhança e pedir para a aluna modificar. E não consta declaração de carga horária para diminuição de horas de estágio. Apro"&amp;"vado dia 18/01/2019. Entregue pessoalmente em 25/01/2019.")</f>
        <v>Ana Cláudia Castro Silva Siqueira | Artes Visuais | Aprovado | Thiara: Relatório cópiado da internet, apontei os plágios ou ampla semelhança e pedir para a aluna modificar. E não consta declaração de carga horária para diminuição de horas de estágio. Aprovado dia 18/01/2019. Entregue pessoalmente em 25/01/2019.</v>
      </c>
      <c r="B234" s="93"/>
    </row>
    <row r="235">
      <c r="A235" s="384" t="str">
        <f>IFERROR(__xludf.DUMMYFUNCTION("""COMPUTED_VALUE"""),"Ana Claudia Da Silva Barbosa Rodrigues | Pedagogia | Aprovada | Lucas: Falta realizar as Etapas 1, 2, 3 e complementar a etapa 4.  //Júnio: aprovada: 23/03/22")</f>
        <v>Ana Claudia Da Silva Barbosa Rodrigues | Pedagogia | Aprovada | Lucas: Falta realizar as Etapas 1, 2, 3 e complementar a etapa 4.  //Júnio: aprovada: 23/03/22</v>
      </c>
      <c r="B235" s="93"/>
    </row>
    <row r="236">
      <c r="A236" s="384" t="str">
        <f>IFERROR(__xludf.DUMMYFUNCTION("""COMPUTED_VALUE"""),"Ana Claudia De Oliveira | Pedagogia | Aprovado | Lucas: Aprovada no remoto atualizado //Júnio:conferido e arquivado: 26/05/22")</f>
        <v>Ana Claudia De Oliveira | Pedagogia | Aprovado | Lucas: Aprovada no remoto atualizado //Júnio:conferido e arquivado: 26/05/22</v>
      </c>
      <c r="B236" s="93"/>
    </row>
    <row r="237">
      <c r="A237" s="384" t="str">
        <f>IFERROR(__xludf.DUMMYFUNCTION("""COMPUTED_VALUE"""),"Ana Claudia De Oliveira Costa | Pedagogia | Aprovada | Júnio: PP - falta a carta de apresentação //Júnio: aprovada: 21/11/23")</f>
        <v>Ana Claudia De Oliveira Costa | Pedagogia | Aprovada | Júnio: PP - falta a carta de apresentação //Júnio: aprovada: 21/11/23</v>
      </c>
      <c r="B237" s="93"/>
    </row>
    <row r="238">
      <c r="A238" s="384" t="str">
        <f>IFERROR(__xludf.DUMMYFUNCTION("""COMPUTED_VALUE"""),"Ana Claudia Favare Silva | Matemática | Em análise | Bianca: autorizada a recolher assinaturas")</f>
        <v>Ana Claudia Favare Silva | Matemática | Em análise | Bianca: autorizada a recolher assinaturas</v>
      </c>
      <c r="B238" s="93"/>
    </row>
    <row r="239">
      <c r="A239" s="384" t="str">
        <f>IFERROR(__xludf.DUMMYFUNCTION("""COMPUTED_VALUE"""),"Ana Cláudia Favare Silva | Matemática | Aprovada | Bianca: autorizada a enviar físico")</f>
        <v>Ana Cláudia Favare Silva | Matemática | Aprovada | Bianca: autorizada a enviar físico</v>
      </c>
      <c r="B239" s="93"/>
    </row>
    <row r="240">
      <c r="A240" s="384" t="str">
        <f>IFERROR(__xludf.DUMMYFUNCTION("""COMPUTED_VALUE"""),"Ana Cláudia Mendonça De Oliveira | Biologia Celular E Estrutural | Em análise | Bianca: erros de formatação e número insuficiente de página")</f>
        <v>Ana Cláudia Mendonça De Oliveira | Biologia Celular E Estrutural | Em análise | Bianca: erros de formatação e número insuficiente de página</v>
      </c>
      <c r="B240" s="93"/>
    </row>
    <row r="241">
      <c r="A241" s="384" t="str">
        <f>IFERROR(__xludf.DUMMYFUNCTION("""COMPUTED_VALUE"""),"Ana Cláudia Sgarlata Cardoso | Artes Visuais | Aprovada  | Bárbara: falta 10 planos de aula/// Bianca: aprovada nas 4 etapas do remoto antigo 06/10/2021")</f>
        <v>Ana Cláudia Sgarlata Cardoso | Artes Visuais | Aprovada  | Bárbara: falta 10 planos de aula/// Bianca: aprovada nas 4 etapas do remoto antigo 06/10/2021</v>
      </c>
      <c r="B241" s="93"/>
    </row>
    <row r="242">
      <c r="A242" s="384" t="str">
        <f>IFERROR(__xludf.DUMMYFUNCTION("""COMPUTED_VALUE"""),"Ana Claúdia Teodoro De Oliveira | Letras Port./Ing. | Aprovado | Estella: número de horas insuficiente. /// Aluna entregou pessoalmente no Instituto em 03/07/2019.")</f>
        <v>Ana Claúdia Teodoro De Oliveira | Letras Port./Ing. | Aprovado | Estella: número de horas insuficiente. /// Aluna entregou pessoalmente no Instituto em 03/07/2019.</v>
      </c>
      <c r="B242" s="93"/>
    </row>
    <row r="243">
      <c r="A243" s="384" t="str">
        <f>IFERROR(__xludf.DUMMYFUNCTION("""COMPUTED_VALUE"""),"Ana Cleia Gomes Pereira | Pedagogia Para Bachareis E Tecnologos | Aprovada | Júnio - PP: 24% plágio PCC I: 21% plágio PCC II: 12% plágio PCC III: falta enviar PCC IV: fez só o mapa mental, falta todo o resto //Júnio: aprovada: 09/10/23")</f>
        <v>Ana Cleia Gomes Pereira | Pedagogia Para Bachareis E Tecnologos | Aprovada | Júnio - PP: 24% plágio PCC I: 21% plágio PCC II: 12% plágio PCC III: falta enviar PCC IV: fez só o mapa mental, falta todo o resto //Júnio: aprovada: 09/10/23</v>
      </c>
      <c r="B243" s="93"/>
    </row>
    <row r="244">
      <c r="A244" s="384" t="str">
        <f>IFERROR(__xludf.DUMMYFUNCTION("""COMPUTED_VALUE"""),"Ana Cristina Marques Da Silva | Letras Português Inglês | Aprovada | Aprovada nas 3 primeiras etapas do remoto antigo. //Júnio: aprovada na aula online. 13/05/22")</f>
        <v>Ana Cristina Marques Da Silva | Letras Português Inglês | Aprovada | Aprovada nas 3 primeiras etapas do remoto antigo. //Júnio: aprovada na aula online. 13/05/22</v>
      </c>
      <c r="B244" s="93"/>
    </row>
    <row r="245">
      <c r="A245" s="384" t="str">
        <f>IFERROR(__xludf.DUMMYFUNCTION("""COMPUTED_VALUE"""),"Ana Cristina Pereira Teles. | Letras - Libras | Aprovada | Alexsiane: PP aprovado")</f>
        <v>Ana Cristina Pereira Teles. | Letras - Libras | Aprovada | Alexsiane: PP aprovado</v>
      </c>
      <c r="B245" s="93"/>
    </row>
    <row r="246">
      <c r="A246" s="384" t="str">
        <f>IFERROR(__xludf.DUMMYFUNCTION("""COMPUTED_VALUE"""),"Ana Elisa dos santos santana | Segunda Licenciatura Em Letras – Português E Inglês | Aprovado | Rayssa: pp aprovado")</f>
        <v>Ana Elisa dos santos santana | Segunda Licenciatura Em Letras – Português E Inglês | Aprovado | Rayssa: pp aprovado</v>
      </c>
      <c r="B246" s="93"/>
    </row>
    <row r="247">
      <c r="A247" s="384" t="str">
        <f>IFERROR(__xludf.DUMMYFUNCTION("""COMPUTED_VALUE"""),"Ana Ernestina Chaves Brito | Música | Aprovado | Alexsiane: pp aprovado")</f>
        <v>Ana Ernestina Chaves Brito | Música | Aprovado | Alexsiane: pp aprovado</v>
      </c>
      <c r="B247" s="93"/>
    </row>
    <row r="248">
      <c r="A248" s="384" t="str">
        <f>IFERROR(__xludf.DUMMYFUNCTION("""COMPUTED_VALUE"""),"Ana Gabriela Matos De Medeiros Barros | Formação Pedagógica Em Pedagogia | Aprovada | Mariana: pp aprovado esperando os 6 meses (30/07/24)// Rayssa aprovado 23/09/2024")</f>
        <v>Ana Gabriela Matos De Medeiros Barros | Formação Pedagógica Em Pedagogia | Aprovada | Mariana: pp aprovado esperando os 6 meses (30/07/24)// Rayssa aprovado 23/09/2024</v>
      </c>
      <c r="B248" s="93"/>
    </row>
    <row r="249">
      <c r="A249" s="384" t="str">
        <f>IFERROR(__xludf.DUMMYFUNCTION("""COMPUTED_VALUE"""),"Ana Gleice Da Silva | Psicopedagogia Institucional, Clínica E Educação Infantil | Aprovada | Júnio: especificar o tipo de acompanhamento, fez mais de 6 horas por dia. //Júnio: pré aprovada: 14/08/23 //Júnio: aprovada: 17/08/23")</f>
        <v>Ana Gleice Da Silva | Psicopedagogia Institucional, Clínica E Educação Infantil | Aprovada | Júnio: especificar o tipo de acompanhamento, fez mais de 6 horas por dia. //Júnio: pré aprovada: 14/08/23 //Júnio: aprovada: 17/08/23</v>
      </c>
      <c r="B249" s="93"/>
    </row>
    <row r="250">
      <c r="A250" s="384" t="str">
        <f>IFERROR(__xludf.DUMMYFUNCTION("""COMPUTED_VALUE"""),"Ana Greice Alves Teixerira Nogueira | Pedagogia | Aprovado | Ana Flávia: aprovada nas 3 primeiras etapas do remoto, aguardando a última // Bárbara: aprovada 26/01/2021")</f>
        <v>Ana Greice Alves Teixerira Nogueira | Pedagogia | Aprovado | Ana Flávia: aprovada nas 3 primeiras etapas do remoto, aguardando a última // Bárbara: aprovada 26/01/2021</v>
      </c>
      <c r="B250" s="93"/>
    </row>
    <row r="251">
      <c r="A251" s="384" t="str">
        <f>IFERROR(__xludf.DUMMYFUNCTION("""COMPUTED_VALUE"""),"Ana Karina Costa Da Silva Gusmão | Letras - Inglês | Em análise | Edilaine: Tem que especificar nas fichas de registro o tipo de acompanhamento e a série. Tem que fazer as etapas dissertativas. Tem até dia  03/12/2022 para reenviar")</f>
        <v>Ana Karina Costa Da Silva Gusmão | Letras - Inglês | Em análise | Edilaine: Tem que especificar nas fichas de registro o tipo de acompanhamento e a série. Tem que fazer as etapas dissertativas. Tem até dia  03/12/2022 para reenviar</v>
      </c>
      <c r="B251" s="93"/>
    </row>
    <row r="252">
      <c r="A252" s="384" t="str">
        <f>IFERROR(__xludf.DUMMYFUNCTION("""COMPUTED_VALUE"""),"Ana Karoline Citadin Fernandes | Pedagogia | Aprovada | Júnio: 5,7% plágio e especificar tipo de acompanhamento, tema e série nas fichas //Júnio: aprovada: 02/08/2023")</f>
        <v>Ana Karoline Citadin Fernandes | Pedagogia | Aprovada | Júnio: 5,7% plágio e especificar tipo de acompanhamento, tema e série nas fichas //Júnio: aprovada: 02/08/2023</v>
      </c>
      <c r="B252" s="93"/>
    </row>
    <row r="253">
      <c r="A253" s="384" t="str">
        <f>IFERROR(__xludf.DUMMYFUNCTION("""COMPUTED_VALUE"""),"Ana Laura Dos Santos Ferreira | Pedagogia | Aprovada | Júnio: PP - 61% plágio, falta a carta e entrevista//aLEXSIANE: Aprovada 24/07")</f>
        <v>Ana Laura Dos Santos Ferreira | Pedagogia | Aprovada | Júnio: PP - 61% plágio, falta a carta e entrevista//aLEXSIANE: Aprovada 24/07</v>
      </c>
      <c r="B253" s="93"/>
    </row>
    <row r="254">
      <c r="A254" s="384" t="str">
        <f>IFERROR(__xludf.DUMMYFUNCTION("""COMPUTED_VALUE"""),"Ana Lia Dadamos | Artes Visuais | Aprovada | Alexsiane:falta 4° etapa do remoto atualizada, 34% de plágio. 15/09/ para reenviar 06/09- Júnio: mudei para o remoto antigo //Júnio: aprovada: aula 22/09")</f>
        <v>Ana Lia Dadamos | Artes Visuais | Aprovada | Alexsiane:falta 4° etapa do remoto atualizada, 34% de plágio. 15/09/ para reenviar 06/09- Júnio: mudei para o remoto antigo //Júnio: aprovada: aula 22/09</v>
      </c>
      <c r="B254" s="93"/>
    </row>
    <row r="255">
      <c r="A255" s="384" t="str">
        <f>IFERROR(__xludf.DUMMYFUNCTION("""COMPUTED_VALUE"""),"Ana Lice Gomes Pedro De Carvalho | Artes Visuais | Aprovada | Júnio: pré aprovada com lançamento no sponte // Pamela 23/01/2023 Conferido e arquivado. ")</f>
        <v>Ana Lice Gomes Pedro De Carvalho | Artes Visuais | Aprovada | Júnio: pré aprovada com lançamento no sponte // Pamela 23/01/2023 Conferido e arquivado. </v>
      </c>
      <c r="B255" s="93"/>
    </row>
    <row r="256">
      <c r="A256" s="384" t="str">
        <f>IFERROR(__xludf.DUMMYFUNCTION("""COMPUTED_VALUE"""),"Ana Lucia Alterina De Jesus | Pedagogia | Aprovado | Estella: mandou apenas parte textual. Thiara: aprovado dia 07/01/2019. Recebido dia 18/01/2019.")</f>
        <v>Ana Lucia Alterina De Jesus | Pedagogia | Aprovado | Estella: mandou apenas parte textual. Thiara: aprovado dia 07/01/2019. Recebido dia 18/01/2019.</v>
      </c>
      <c r="B256" s="93"/>
    </row>
    <row r="257">
      <c r="A257" s="384" t="str">
        <f>IFERROR(__xludf.DUMMYFUNCTION("""COMPUTED_VALUE"""),"Ana Lucia De Almeida | Letras- Português-Espanhol | Aprovada | Alexsiane:Capa, Contracapa, Resumo, Sumario, Introdução, etapa 3, etapa 4, Conclusão.// Edilaine: Aprovada  02/12/2022")</f>
        <v>Ana Lucia De Almeida | Letras- Português-Espanhol | Aprovada | Alexsiane:Capa, Contracapa, Resumo, Sumario, Introdução, etapa 3, etapa 4, Conclusão.// Edilaine: Aprovada  02/12/2022</v>
      </c>
      <c r="B257" s="93"/>
    </row>
    <row r="258">
      <c r="A258" s="384" t="str">
        <f>IFERROR(__xludf.DUMMYFUNCTION("""COMPUTED_VALUE"""),"Ana Lucia De Araujo Portes | Pedagogia | Aprovada | Júnio: PP - falta a etapa 2.//Alexsiane: pp aprovado 24/07")</f>
        <v>Ana Lucia De Araujo Portes | Pedagogia | Aprovada | Júnio: PP - falta a etapa 2.//Alexsiane: pp aprovado 24/07</v>
      </c>
      <c r="B258" s="93"/>
    </row>
    <row r="259">
      <c r="A259" s="384" t="str">
        <f>IFERROR(__xludf.DUMMYFUNCTION("""COMPUTED_VALUE"""),"Ana Lucia De Faria Rodrigues | Pedagogia | Aprovada | Bárbara: conferido e arquivado ( Aluna foi aprovada dia 16/11/2021) // Bárbara: conferido e arquivado 17/05/2021")</f>
        <v>Ana Lucia De Faria Rodrigues | Pedagogia | Aprovada | Bárbara: conferido e arquivado ( Aluna foi aprovada dia 16/11/2021) // Bárbara: conferido e arquivado 17/05/2021</v>
      </c>
      <c r="B259" s="93"/>
    </row>
    <row r="260">
      <c r="A260" s="384" t="str">
        <f>IFERROR(__xludf.DUMMYFUNCTION("""COMPUTED_VALUE"""),"Ana Lúcia De Oliveira Da Silva | Pedagogia | Aprovado | Bianca: autorizada a recolher assinaturas, falta carta de aceite e termo de conclusão //Júnio: conferido e arquivado: 03/08/21")</f>
        <v>Ana Lúcia De Oliveira Da Silva | Pedagogia | Aprovado | Bianca: autorizada a recolher assinaturas, falta carta de aceite e termo de conclusão //Júnio: conferido e arquivado: 03/08/21</v>
      </c>
      <c r="B260" s="93"/>
    </row>
    <row r="261">
      <c r="A261" s="384" t="str">
        <f>IFERROR(__xludf.DUMMYFUNCTION("""COMPUTED_VALUE"""),"Ana Lucia Lopes Pereira | Artes Visuais | Aprovada  | Lucas: Aprovada nas 3 primeiras etapas do remoto antigo // Bárbara: aprovada e autorizada a enviar o físico 14/02/2022// Bárbara: conferido e arquivado ")</f>
        <v>Ana Lucia Lopes Pereira | Artes Visuais | Aprovada  | Lucas: Aprovada nas 3 primeiras etapas do remoto antigo // Bárbara: aprovada e autorizada a enviar o físico 14/02/2022// Bárbara: conferido e arquivado </v>
      </c>
      <c r="B261" s="93"/>
    </row>
    <row r="262">
      <c r="A262" s="384" t="str">
        <f>IFERROR(__xludf.DUMMYFUNCTION("""COMPUTED_VALUE"""),"Ana Luisa Agostinho Da Silva | Pedagogia | Aprovada | Bianca: falta 9 planos de aula //Júnio: aprovada na aula online: 02/12/2021")</f>
        <v>Ana Luisa Agostinho Da Silva | Pedagogia | Aprovada | Bianca: falta 9 planos de aula //Júnio: aprovada na aula online: 02/12/2021</v>
      </c>
      <c r="B262" s="93"/>
    </row>
    <row r="263">
      <c r="A263" s="384" t="str">
        <f>IFERROR(__xludf.DUMMYFUNCTION("""COMPUTED_VALUE"""),"Ana Luiza Fernandes Diniz | Letras Português Inglês | Aprovada | Bianca:falta etapa 3 e 4 do remoto atualizado //Júnio: aprovada:  11/02/22")</f>
        <v>Ana Luiza Fernandes Diniz | Letras Português Inglês | Aprovada | Bianca:falta etapa 3 e 4 do remoto atualizado //Júnio: aprovada:  11/02/22</v>
      </c>
      <c r="B263" s="93"/>
    </row>
    <row r="264">
      <c r="A264" s="384" t="str">
        <f>IFERROR(__xludf.DUMMYFUNCTION("""COMPUTED_VALUE"""),"Ana Márcia Alves | Ciências Sociais | Em análise | Bárbara: apresentou declaração de experiência válida para isenção da 3 etapa, faltou etapa 1 e 2, apresentou os planos de trabalho, autorizada a recolher assinaturas, pedi para compeltar com regência ou o"&amp;"bservação, falta relatório de 4 etapas, solicitar inclusão pasta unica")</f>
        <v>Ana Márcia Alves | Ciências Sociais | Em análise | Bárbara: apresentou declaração de experiência válida para isenção da 3 etapa, faltou etapa 1 e 2, apresentou os planos de trabalho, autorizada a recolher assinaturas, pedi para compeltar com regência ou observação, falta relatório de 4 etapas, solicitar inclusão pasta unica</v>
      </c>
      <c r="B264" s="93"/>
    </row>
    <row r="265">
      <c r="A265" s="384" t="str">
        <f>IFERROR(__xludf.DUMMYFUNCTION("""COMPUTED_VALUE"""),"Ana Maria Alves | Ciências Socias | Aprovada | Júnio: conferido e arquivado: 09/12/2021")</f>
        <v>Ana Maria Alves | Ciências Socias | Aprovada | Júnio: conferido e arquivado: 09/12/2021</v>
      </c>
      <c r="B265" s="93"/>
    </row>
    <row r="266">
      <c r="A266" s="384" t="str">
        <f>IFERROR(__xludf.DUMMYFUNCTION("""COMPUTED_VALUE"""),"Ana Maria Menezes Do Nascimento | Pedagogia | Aprovado | Alexsiane: pp aprovado")</f>
        <v>Ana Maria Menezes Do Nascimento | Pedagogia | Aprovado | Alexsiane: pp aprovado</v>
      </c>
      <c r="B266" s="93"/>
    </row>
    <row r="267">
      <c r="A267" s="384" t="str">
        <f>IFERROR(__xludf.DUMMYFUNCTION("""COMPUTED_VALUE"""),"Ana Maria Pedro Soriano | Ciências Sociais | Aprovado | Ana Flávia: aprovada nas 3 primeiras etapas do remoto, e aguardando a última. /? Bárbara: aprovada 4ª etapoa 25/01/2021")</f>
        <v>Ana Maria Pedro Soriano | Ciências Sociais | Aprovado | Ana Flávia: aprovada nas 3 primeiras etapas do remoto, e aguardando a última. /? Bárbara: aprovada 4ª etapoa 25/01/2021</v>
      </c>
      <c r="B267" s="93"/>
    </row>
    <row r="268">
      <c r="A268" s="384" t="str">
        <f>IFERROR(__xludf.DUMMYFUNCTION("""COMPUTED_VALUE"""),"Ana Maria Pessoa Coelho | Artes Visuais | Aprovado | Alexsiane: pp aprovado")</f>
        <v>Ana Maria Pessoa Coelho | Artes Visuais | Aprovado | Alexsiane: pp aprovado</v>
      </c>
      <c r="B268" s="93"/>
    </row>
    <row r="269">
      <c r="A269" s="384" t="str">
        <f>IFERROR(__xludf.DUMMYFUNCTION("""COMPUTED_VALUE"""),"Ana Maria Silva Santos | Artes Visuais | Aprovado | Aline Silva: aprovado")</f>
        <v>Ana Maria Silva Santos | Artes Visuais | Aprovado | Aline Silva: aprovado</v>
      </c>
      <c r="B269" s="93"/>
    </row>
    <row r="270">
      <c r="A270" s="384" t="str">
        <f>IFERROR(__xludf.DUMMYFUNCTION("""COMPUTED_VALUE"""),"Ana Maria Vieira | Pedagogia | Aprovada | Júnio: remoto antigo - etapas 1,2 e 3 ok //Júnio: aprovada: 27/04/22")</f>
        <v>Ana Maria Vieira | Pedagogia | Aprovada | Júnio: remoto antigo - etapas 1,2 e 3 ok //Júnio: aprovada: 27/04/22</v>
      </c>
      <c r="B270" s="93"/>
    </row>
    <row r="271">
      <c r="A271" s="384" t="str">
        <f>IFERROR(__xludf.DUMMYFUNCTION("""COMPUTED_VALUE"""),"Ana Neri Laranjeira E Silva Pedrosa | Pedagogia | Aprovado | Bárbara: faltou considerações finais e declaração de experiência não consegue ler. // Bárbara: aprovada 11/11/2020// Miryã: conferido e arquivado 12/03/2021")</f>
        <v>Ana Neri Laranjeira E Silva Pedrosa | Pedagogia | Aprovado | Bárbara: faltou considerações finais e declaração de experiência não consegue ler. // Bárbara: aprovada 11/11/2020// Miryã: conferido e arquivado 12/03/2021</v>
      </c>
      <c r="B271" s="93"/>
    </row>
    <row r="272">
      <c r="A272" s="384" t="str">
        <f>IFERROR(__xludf.DUMMYFUNCTION("""COMPUTED_VALUE"""),"Ana Patrícia Da Silva | Matemática | Aprovado | Bárbara: o trabalho desformatou durante o envio, não tem plágio já verifiquei, pedi para a aluna verificar encaminhar de novo// Bárbara: aprovada 01/12/2020")</f>
        <v>Ana Patrícia Da Silva | Matemática | Aprovado | Bárbara: o trabalho desformatou durante o envio, não tem plágio já verifiquei, pedi para a aluna verificar encaminhar de novo// Bárbara: aprovada 01/12/2020</v>
      </c>
      <c r="B272" s="93"/>
    </row>
    <row r="273">
      <c r="A273" s="384" t="str">
        <f>IFERROR(__xludf.DUMMYFUNCTION("""COMPUTED_VALUE"""),"Ana Paula Borges Dos Anjos Silva | Geografia | Aprovado | Aline Silva: enviou algumas fichas muito desorganizadas e sem capricho algum ./// aprovada dia 03/09/2020")</f>
        <v>Ana Paula Borges Dos Anjos Silva | Geografia | Aprovado | Aline Silva: enviou algumas fichas muito desorganizadas e sem capricho algum ./// aprovada dia 03/09/2020</v>
      </c>
      <c r="B273" s="93"/>
    </row>
    <row r="274">
      <c r="A274" s="384" t="str">
        <f>IFERROR(__xludf.DUMMYFUNCTION("""COMPUTED_VALUE"""),"Ana Paula Bratiliere | Artes Visuais | Aprovado | Thiara: falta assinaturas, carimbos e ficha de conclusão de estágio. /// Enviou fichas carimbadas e assinadas e ficha de conclusão de estágio.")</f>
        <v>Ana Paula Bratiliere | Artes Visuais | Aprovado | Thiara: falta assinaturas, carimbos e ficha de conclusão de estágio. /// Enviou fichas carimbadas e assinadas e ficha de conclusão de estágio.</v>
      </c>
      <c r="B274" s="93"/>
    </row>
    <row r="275">
      <c r="A275" s="384" t="str">
        <f>IFERROR(__xludf.DUMMYFUNCTION("""COMPUTED_VALUE"""),"Ana Paula De Carvalho Ferreira | Pedagogia | Aprovado | Thiara: aprovado. Recebido no Instituto dia 13/09/2019.")</f>
        <v>Ana Paula De Carvalho Ferreira | Pedagogia | Aprovado | Thiara: aprovado. Recebido no Instituto dia 13/09/2019.</v>
      </c>
      <c r="B275" s="93"/>
    </row>
    <row r="276">
      <c r="A276" s="384" t="str">
        <f>IFERROR(__xludf.DUMMYFUNCTION("""COMPUTED_VALUE"""),"Ana Paula De Freitas Gonçalves Silva | Educação Especial | Aprovada | Alexsiane: pp aprovado")</f>
        <v>Ana Paula De Freitas Gonçalves Silva | Educação Especial | Aprovada | Alexsiane: pp aprovado</v>
      </c>
      <c r="B276" s="93"/>
    </row>
    <row r="277">
      <c r="A277" s="384" t="str">
        <f>IFERROR(__xludf.DUMMYFUNCTION("""COMPUTED_VALUE"""),"Ana Paula Dos Santos Pombo | Artes Visuais | Aprovado | Bianca: desformatação //Bianca: aprovada: 11/08/21")</f>
        <v>Ana Paula Dos Santos Pombo | Artes Visuais | Aprovado | Bianca: desformatação //Bianca: aprovada: 11/08/21</v>
      </c>
      <c r="B277" s="93"/>
    </row>
    <row r="278">
      <c r="A278" s="384" t="str">
        <f>IFERROR(__xludf.DUMMYFUNCTION("""COMPUTED_VALUE"""),"Ana Paula Florencio De Melo Macedo | Pedagogia | aprovada | Bárbara: aluna encaminhou o trabalho físico sem envio pelo e-mail e sem aprovação por lá, verificamos que o documento se encontra sem a carta de apresentação, mas em consulta a Aline como o resta"&amp;"nte está OK, decidimos aprova-la e não encaminharei email de aprovação a aluna// Júnio conferido e arquivado 07/04/2021")</f>
        <v>Ana Paula Florencio De Melo Macedo | Pedagogia | aprovada | Bárbara: aluna encaminhou o trabalho físico sem envio pelo e-mail e sem aprovação por lá, verificamos que o documento se encontra sem a carta de apresentação, mas em consulta a Aline como o restante está OK, decidimos aprova-la e não encaminharei email de aprovação a aluna// Júnio conferido e arquivado 07/04/2021</v>
      </c>
      <c r="B278" s="93"/>
    </row>
    <row r="279">
      <c r="A279" s="384" t="str">
        <f>IFERROR(__xludf.DUMMYFUNCTION("""COMPUTED_VALUE"""),"Ana Paula Gomes Ferreira | Pedagogia | Aprovada | Bárbara: aprovada em todas as etapas // Bárbara: imprimido conferido e arquivado 19/02/2021")</f>
        <v>Ana Paula Gomes Ferreira | Pedagogia | Aprovada | Bárbara: aprovada em todas as etapas // Bárbara: imprimido conferido e arquivado 19/02/2021</v>
      </c>
      <c r="B279" s="93"/>
    </row>
    <row r="280">
      <c r="A280" s="384" t="str">
        <f>IFERROR(__xludf.DUMMYFUNCTION("""COMPUTED_VALUE"""),"Ana Paula Gregório Ritel | Pedagogia | Aprovado | Bianca: autorizada a enviar físico //Júnio: conferido e arquivado: 16/06/2021")</f>
        <v>Ana Paula Gregório Ritel | Pedagogia | Aprovado | Bianca: autorizada a enviar físico //Júnio: conferido e arquivado: 16/06/2021</v>
      </c>
      <c r="B280" s="93"/>
    </row>
    <row r="281">
      <c r="A281" s="384" t="str">
        <f>IFERROR(__xludf.DUMMYFUNCTION("""COMPUTED_VALUE"""),"Ana Paula Malaquias Pires | Neuropsicopedagogia Institucional,Clínica E Hospitalar | Em análise | Alexsiane: enviou somente a declaração de experiência, ainda está fazendo o restante")</f>
        <v>Ana Paula Malaquias Pires | Neuropsicopedagogia Institucional,Clínica E Hospitalar | Em análise | Alexsiane: enviou somente a declaração de experiência, ainda está fazendo o restante</v>
      </c>
      <c r="B281" s="93"/>
    </row>
    <row r="282">
      <c r="A282" s="384" t="str">
        <f>IFERROR(__xludf.DUMMYFUNCTION("""COMPUTED_VALUE"""),"Ana Paula Maria Da Silva | Pedagogia | Aprovada | Aline Silva: Aprovada, e-mail enviado // Bárbara: conferido e arquivado 03/11/2020")</f>
        <v>Ana Paula Maria Da Silva | Pedagogia | Aprovada | Aline Silva: Aprovada, e-mail enviado // Bárbara: conferido e arquivado 03/11/2020</v>
      </c>
      <c r="B282" s="93"/>
    </row>
    <row r="283">
      <c r="A283" s="384" t="str">
        <f>IFERROR(__xludf.DUMMYFUNCTION("""COMPUTED_VALUE"""),"Ana Paula Martins Ferreira De Lima | Pedagogia | Aprovada | Bianca: Falta carta de apresentação e termo de conclusão// Pâmela: conferido e arquivado 17/10/2022")</f>
        <v>Ana Paula Martins Ferreira De Lima | Pedagogia | Aprovada | Bianca: Falta carta de apresentação e termo de conclusão// Pâmela: conferido e arquivado 17/10/2022</v>
      </c>
      <c r="B283" s="93"/>
    </row>
    <row r="284">
      <c r="A284" s="384" t="str">
        <f>IFERROR(__xludf.DUMMYFUNCTION("""COMPUTED_VALUE"""),"Ana Paula Massarelli Ianello | Pedagogia | Aprovado | Alexsiane: pp aprovado")</f>
        <v>Ana Paula Massarelli Ianello | Pedagogia | Aprovado | Alexsiane: pp aprovado</v>
      </c>
      <c r="B284" s="93"/>
    </row>
    <row r="285">
      <c r="A285" s="384" t="str">
        <f>IFERROR(__xludf.DUMMYFUNCTION("""COMPUTED_VALUE"""),"Ana Rita Pimentel Neves | Geografia | Aprovado | MANDEI enviar o estágio em arquivo ÚNICO, 17-09. Recebido dia 20/12/2018")</f>
        <v>Ana Rita Pimentel Neves | Geografia | Aprovado | MANDEI enviar o estágio em arquivo ÚNICO, 17-09. Recebido dia 20/12/2018</v>
      </c>
      <c r="B285" s="93"/>
    </row>
    <row r="286">
      <c r="A286" s="384" t="str">
        <f>IFERROR(__xludf.DUMMYFUNCTION("""COMPUTED_VALUE"""),"Ana Ruth Silva | Segunda Licenciatura em Ciências Biológicas | Aprovado | Rayssa: pp aprovado")</f>
        <v>Ana Ruth Silva | Segunda Licenciatura em Ciências Biológicas | Aprovado | Rayssa: pp aprovado</v>
      </c>
      <c r="B286" s="93"/>
    </row>
    <row r="287">
      <c r="A287" s="384" t="str">
        <f>IFERROR(__xludf.DUMMYFUNCTION("""COMPUTED_VALUE"""),"Anacélia Da Silva Brito | Pedagogia | Aprovada | Bárbara: as únicas etapas corretas são a 1 e 2. Etapa 3 com erros e faltando planos, apenas com capa e contra capa, faltando introdução e sumário e sem nenhum elemento pós textual. (Aluna recebeu orientaçõe"&amp;"s TCE remoto antigo, mas alegou por ligaçaõ ter feito 60 horas junto da escola, pedi a ela para informar com a escola a questão convênio, até hoje não tive resposta, qualquer coisa, se ela enviar dentro das regras, passar para TCE remoto atualizado, mas c"&amp;"omo ela ainda não nos informou, não deve ter a documentação)  //Júnio: aprovada na aula online: 20/01/22")</f>
        <v>Anacélia Da Silva Brito | Pedagogia | Aprovada | Bárbara: as únicas etapas corretas são a 1 e 2. Etapa 3 com erros e faltando planos, apenas com capa e contra capa, faltando introdução e sumário e sem nenhum elemento pós textual. (Aluna recebeu orientações TCE remoto antigo, mas alegou por ligaçaõ ter feito 60 horas junto da escola, pedi a ela para informar com a escola a questão convênio, até hoje não tive resposta, qualquer coisa, se ela enviar dentro das regras, passar para TCE remoto atualizado, mas como ela ainda não nos informou, não deve ter a documentação)  //Júnio: aprovada na aula online: 20/01/22</v>
      </c>
      <c r="B287" s="93"/>
    </row>
    <row r="288">
      <c r="A288" s="384" t="str">
        <f>IFERROR(__xludf.DUMMYFUNCTION("""COMPUTED_VALUE"""),"Anaci Pantoja Coelho | 2ª Licenciatura Pedagogia | Aprovada | Cris: PP aprovado")</f>
        <v>Anaci Pantoja Coelho | 2ª Licenciatura Pedagogia | Aprovada | Cris: PP aprovado</v>
      </c>
      <c r="B288" s="93"/>
    </row>
    <row r="289">
      <c r="A289" s="384" t="str">
        <f>IFERROR(__xludf.DUMMYFUNCTION("""COMPUTED_VALUE"""),"Analia Cássia Lima Da Silva | Artes Visuais | Em  | Pamela: declaração de experiência valida")</f>
        <v>Analia Cássia Lima Da Silva | Artes Visuais | Em  | Pamela: declaração de experiência valida</v>
      </c>
      <c r="B289" s="93"/>
    </row>
    <row r="290">
      <c r="A290" s="384" t="str">
        <f>IFERROR(__xludf.DUMMYFUNCTION("""COMPUTED_VALUE"""),"Analia Cássia Lima Da Silva | Artes Visuais | Aprovada | Júnio: PP aprovada")</f>
        <v>Analia Cássia Lima Da Silva | Artes Visuais | Aprovada | Júnio: PP aprovada</v>
      </c>
      <c r="B290" s="93"/>
    </row>
    <row r="291">
      <c r="A291" s="384" t="str">
        <f>IFERROR(__xludf.DUMMYFUNCTION("""COMPUTED_VALUE"""),"Analia Sheila Vieira | História | Aprovada | Alexsiane: 17% de plágio, corrigir a carga horaria diaria que está toda errada e fazer o relatório de observação e regência//Alexsiane:pré-aprovado com lançamento no jacad // Pamela 08/12/2022 Conferido e arqui"&amp;"vado. ")</f>
        <v>Analia Sheila Vieira | História | Aprovada | Alexsiane: 17% de plágio, corrigir a carga horaria diaria que está toda errada e fazer o relatório de observação e regência//Alexsiane:pré-aprovado com lançamento no jacad // Pamela 08/12/2022 Conferido e arquivado. </v>
      </c>
      <c r="B291" s="93"/>
    </row>
    <row r="292">
      <c r="A292" s="384" t="str">
        <f>IFERROR(__xludf.DUMMYFUNCTION("""COMPUTED_VALUE"""),"Anderson Cavaca Coelho Neto | Neuropsicopedagogia Instittucional Clínica E Hospitalar | Aprovado | Lucas: Caso apresentado aceito, falta desenvolver todo o restante perante a pasta padrão. //Júnio: aprovada: 13/05/22")</f>
        <v>Anderson Cavaca Coelho Neto | Neuropsicopedagogia Instittucional Clínica E Hospitalar | Aprovado | Lucas: Caso apresentado aceito, falta desenvolver todo o restante perante a pasta padrão. //Júnio: aprovada: 13/05/22</v>
      </c>
      <c r="B292" s="93"/>
    </row>
    <row r="293">
      <c r="A293" s="384" t="str">
        <f>IFERROR(__xludf.DUMMYFUNCTION("""COMPUTED_VALUE"""),"Anderson Cavaca Coelho Neto | Pedagogia | Em análise | Lucas: Numero insuficiente de paginsa, plagio 10,32%, falta introdução.")</f>
        <v>Anderson Cavaca Coelho Neto | Pedagogia | Em análise | Lucas: Numero insuficiente de paginsa, plagio 10,32%, falta introdução.</v>
      </c>
      <c r="B293" s="93"/>
    </row>
    <row r="294">
      <c r="A294" s="384" t="str">
        <f>IFERROR(__xludf.DUMMYFUNCTION("""COMPUTED_VALUE"""),"Anderson Fernando De Araújo Da Silva | Pedagogia | Aprovado | Júnio: remoto atualizado caso especial - pré aprovado //Júnio: aprovado: 23/05/23")</f>
        <v>Anderson Fernando De Araújo Da Silva | Pedagogia | Aprovado | Júnio: remoto atualizado caso especial - pré aprovado //Júnio: aprovado: 23/05/23</v>
      </c>
      <c r="B294" s="93"/>
    </row>
    <row r="295">
      <c r="A295" s="384" t="str">
        <f>IFERROR(__xludf.DUMMYFUNCTION("""COMPUTED_VALUE"""),"Anderson Kenede Venancio | Pedagogia | Aprovado | Bianca: desformação //Bárbara: aprovada 08/06/2021 //Júnio:conferido e arquivado: 15/10/21")</f>
        <v>Anderson Kenede Venancio | Pedagogia | Aprovado | Bianca: desformação //Bárbara: aprovada 08/06/2021 //Júnio:conferido e arquivado: 15/10/21</v>
      </c>
      <c r="B295" s="93"/>
    </row>
    <row r="296">
      <c r="A296" s="384" t="str">
        <f>IFERROR(__xludf.DUMMYFUNCTION("""COMPUTED_VALUE"""),"Anderson Macedo Malva | História | Aprovado | Júnio: remoto antigo - faltam 19 planos de aula e declaração de experiência não foi válida para 4ª etapa //Júnio: aprovado: 12/09/23")</f>
        <v>Anderson Macedo Malva | História | Aprovado | Júnio: remoto antigo - faltam 19 planos de aula e declaração de experiência não foi válida para 4ª etapa //Júnio: aprovado: 12/09/23</v>
      </c>
      <c r="B296" s="93"/>
    </row>
    <row r="297">
      <c r="A297" s="384" t="str">
        <f>IFERROR(__xludf.DUMMYFUNCTION("""COMPUTED_VALUE"""),"Anderson Manoel Caleffi | Pedagogia | Aprovado | Bianca: aprovado nas 4 etapas")</f>
        <v>Anderson Manoel Caleffi | Pedagogia | Aprovado | Bianca: aprovado nas 4 etapas</v>
      </c>
      <c r="B297" s="93"/>
    </row>
    <row r="298">
      <c r="A298" s="384" t="str">
        <f>IFERROR(__xludf.DUMMYFUNCTION("""COMPUTED_VALUE"""),"Anderson Montenegro Dos Santos | Pedagogia | Em análise | Júnio: PP - falta a carta de apresentação e entrevista")</f>
        <v>Anderson Montenegro Dos Santos | Pedagogia | Em análise | Júnio: PP - falta a carta de apresentação e entrevista</v>
      </c>
      <c r="B298" s="93"/>
    </row>
    <row r="299">
      <c r="A299" s="384" t="str">
        <f>IFERROR(__xludf.DUMMYFUNCTION("""COMPUTED_VALUE"""),"Anderson Montenegro Dos Santos | Pedagogia | Aprovado | Alexsiane: pp aprovado")</f>
        <v>Anderson Montenegro Dos Santos | Pedagogia | Aprovado | Alexsiane: pp aprovado</v>
      </c>
      <c r="B299" s="93"/>
    </row>
    <row r="300">
      <c r="A300" s="384" t="str">
        <f>IFERROR(__xludf.DUMMYFUNCTION("""COMPUTED_VALUE"""),"Anderson Vieira Dos Santos | Pedagogia | Aprovado | Bárbara: trabalho sem coerência e coesão, sem estar na norma culta, com erros ortográficos na etapa 2, introdução e conclusão. Apenas 3 planos de aula  //Júnio: aprovado 18/03/22")</f>
        <v>Anderson Vieira Dos Santos | Pedagogia | Aprovado | Bárbara: trabalho sem coerência e coesão, sem estar na norma culta, com erros ortográficos na etapa 2, introdução e conclusão. Apenas 3 planos de aula  //Júnio: aprovado 18/03/22</v>
      </c>
      <c r="B300" s="93"/>
    </row>
    <row r="301">
      <c r="A301" s="384" t="str">
        <f>IFERROR(__xludf.DUMMYFUNCTION("""COMPUTED_VALUE"""),"Andhrew Raphael Nunes Dos Santos | Formação Pedagógica em Música | Aprovado | Rayssa: pp aprovado")</f>
        <v>Andhrew Raphael Nunes Dos Santos | Formação Pedagógica em Música | Aprovado | Rayssa: pp aprovado</v>
      </c>
      <c r="B301" s="93"/>
    </row>
    <row r="302">
      <c r="A302" s="384" t="str">
        <f>IFERROR(__xludf.DUMMYFUNCTION("""COMPUTED_VALUE"""),"Andiara Bitencourt Orguim Rodrigues | Letras- Português/Inglês | Aprovada | Alexsiane: 15 % de plágio")</f>
        <v>Andiara Bitencourt Orguim Rodrigues | Letras- Português/Inglês | Aprovada | Alexsiane: 15 % de plágio</v>
      </c>
      <c r="B302" s="93"/>
    </row>
    <row r="303">
      <c r="A303" s="384" t="str">
        <f>IFERROR(__xludf.DUMMYFUNCTION("""COMPUTED_VALUE"""),"Andre Alves Senhorinho | Música | Aprovado | Júnio: PP - falta a carta de apresentação e etapa 1 //Júnio: aprovado: 20/10/2023")</f>
        <v>Andre Alves Senhorinho | Música | Aprovado | Júnio: PP - falta a carta de apresentação e etapa 1 //Júnio: aprovado: 20/10/2023</v>
      </c>
      <c r="B303" s="93"/>
    </row>
    <row r="304">
      <c r="A304" s="384" t="str">
        <f>IFERROR(__xludf.DUMMYFUNCTION("""COMPUTED_VALUE"""),"André Cardoso De Souza | Música | Aprovado | Júnio: pelo guru declaração de experiência válida")</f>
        <v>André Cardoso De Souza | Música | Aprovado | Júnio: pelo guru declaração de experiência válida</v>
      </c>
      <c r="B304" s="93"/>
    </row>
    <row r="305">
      <c r="A305" s="384" t="str">
        <f>IFERROR(__xludf.DUMMYFUNCTION("""COMPUTED_VALUE"""),"André Cardoso De Souza | Música | Aprovado | Alexsiane: Estágio esta faltando a carta de apresentação, planos de aulas, e as fichas de registro estão ilegiveis. Tem até dia 13/07 para reencias, depois dessa data precisará de extensão.// Rayssa aprovado di"&amp;"a 23/09/2024")</f>
        <v>André Cardoso De Souza | Música | Aprovado | Alexsiane: Estágio esta faltando a carta de apresentação, planos de aulas, e as fichas de registro estão ilegiveis. Tem até dia 13/07 para reencias, depois dessa data precisará de extensão.// Rayssa aprovado dia 23/09/2024</v>
      </c>
      <c r="B305" s="93"/>
    </row>
    <row r="306">
      <c r="A306" s="384" t="str">
        <f>IFERROR(__xludf.DUMMYFUNCTION("""COMPUTED_VALUE"""),"André Cardoso De Souza | Formação Pedagógica Em Música | Aprovado | Rayssa pp aprovado")</f>
        <v>André Cardoso De Souza | Formação Pedagógica Em Música | Aprovado | Rayssa pp aprovado</v>
      </c>
      <c r="B306" s="93"/>
    </row>
    <row r="307">
      <c r="A307" s="384" t="str">
        <f>IFERROR(__xludf.DUMMYFUNCTION("""COMPUTED_VALUE"""),"Andre Carlos De Souza | Pedagogia Para Bachareis E Tecnologos | Aprovado | Edilaine: Estágio de 800 horas. Estágio I: Falta a carta de apresentação, termo de conclusão, ficha de registro, autoavaliação, anexos. Tem que descrever os objetivos gerais e espe"&amp;"cíficos separadamente. Praticas I: Aprovado. Falta estágio II, III e IV. Falta práticas II, III e IV. //Júnio: pré aprovado: 14/08/23 //Júnio: aprovado: 17/08/23")</f>
        <v>Andre Carlos De Souza | Pedagogia Para Bachareis E Tecnologos | Aprovado | Edilaine: Estágio de 800 horas. Estágio I: Falta a carta de apresentação, termo de conclusão, ficha de registro, autoavaliação, anexos. Tem que descrever os objetivos gerais e específicos separadamente. Praticas I: Aprovado. Falta estágio II, III e IV. Falta práticas II, III e IV. //Júnio: pré aprovado: 14/08/23 //Júnio: aprovado: 17/08/23</v>
      </c>
      <c r="B307" s="93"/>
    </row>
    <row r="308">
      <c r="A308" s="384" t="str">
        <f>IFERROR(__xludf.DUMMYFUNCTION("""COMPUTED_VALUE"""),"André Cesar Barbosa | Música | Aprovado | Júnio: pelo guru declaração de experiencia válida //Júnio: aprovado")</f>
        <v>André Cesar Barbosa | Música | Aprovado | Júnio: pelo guru declaração de experiencia válida //Júnio: aprovado</v>
      </c>
      <c r="B308" s="93"/>
    </row>
    <row r="309">
      <c r="A309" s="384" t="str">
        <f>IFERROR(__xludf.DUMMYFUNCTION("""COMPUTED_VALUE"""),"André Dos Santos Freitas Ferreira | Matemática | Aprovado | Alexsiane: falta 42 horas da fichas de registro ( como inha ter que ser 2 horas de observação ou regência, cobrei 2 horas a mais na gestão)// Alexsiane: pré aprovado, autorizado a autenticar 14/0"&amp;"4/2023 //Júnio: aprovado: 14/04")</f>
        <v>André Dos Santos Freitas Ferreira | Matemática | Aprovado | Alexsiane: falta 42 horas da fichas de registro ( como inha ter que ser 2 horas de observação ou regência, cobrei 2 horas a mais na gestão)// Alexsiane: pré aprovado, autorizado a autenticar 14/04/2023 //Júnio: aprovado: 14/04</v>
      </c>
      <c r="B309" s="93"/>
    </row>
    <row r="310">
      <c r="A310" s="384" t="str">
        <f>IFERROR(__xludf.DUMMYFUNCTION("""COMPUTED_VALUE"""),"Andre Garnerio Nunes Dantas Araújo | Letras Português Inglês | Aprovado | Júnio: PP - falta responder o questionário  //Júnio: aprovado: 01/12/23")</f>
        <v>Andre Garnerio Nunes Dantas Araújo | Letras Português Inglês | Aprovado | Júnio: PP - falta responder o questionário  //Júnio: aprovado: 01/12/23</v>
      </c>
      <c r="B310" s="93"/>
    </row>
    <row r="311">
      <c r="A311" s="384" t="str">
        <f>IFERROR(__xludf.DUMMYFUNCTION("""COMPUTED_VALUE"""),"André Neres De Lima | Letras Português | Aprovado  | Bárbara: trabalho muito bom, contudo falta 30 horas na área da gestão. // Bárbara: aprovado e autorizado enviar o físico em 12/07/2022 //Júnio: físico recebido  e conferido: 11/08/22")</f>
        <v>André Neres De Lima | Letras Português | Aprovado  | Bárbara: trabalho muito bom, contudo falta 30 horas na área da gestão. // Bárbara: aprovado e autorizado enviar o físico em 12/07/2022 //Júnio: físico recebido  e conferido: 11/08/22</v>
      </c>
      <c r="B311" s="93"/>
    </row>
    <row r="312">
      <c r="A312" s="384" t="str">
        <f>IFERROR(__xludf.DUMMYFUNCTION("""COMPUTED_VALUE"""),"André Victor Brito De Andrade | Geografia | Aprovado | Alexsiane: tem que especificar na fichas de registro o tema, serie e acompanhamento, complementar com mais 44 horas e fazer todas as etapas dissertativas. declaração válida  //Júnio: aprovado: 29/09/2"&amp;"023")</f>
        <v>André Victor Brito De Andrade | Geografia | Aprovado | Alexsiane: tem que especificar na fichas de registro o tema, serie e acompanhamento, complementar com mais 44 horas e fazer todas as etapas dissertativas. declaração válida  //Júnio: aprovado: 29/09/2023</v>
      </c>
      <c r="B312" s="93"/>
    </row>
    <row r="313">
      <c r="A313" s="384" t="str">
        <f>IFERROR(__xludf.DUMMYFUNCTION("""COMPUTED_VALUE"""),"Andréa Alvim Araújo | Letras Inglês | Aprovada | Júnio: enviar plano de aula digitado e falta 40 hs de gestão. PRAZO: 01/08/2023 //Júnio: aprovada: 25/08/23")</f>
        <v>Andréa Alvim Araújo | Letras Inglês | Aprovada | Júnio: enviar plano de aula digitado e falta 40 hs de gestão. PRAZO: 01/08/2023 //Júnio: aprovada: 25/08/23</v>
      </c>
      <c r="B313" s="93"/>
    </row>
    <row r="314">
      <c r="A314" s="384" t="str">
        <f>IFERROR(__xludf.DUMMYFUNCTION("""COMPUTED_VALUE"""),"Andréa Assunção S. Barros | Pedagogia | Aprovado | Amélia: aprovado nas 3 primeiras etapas do remoto // Bianca: aprovada 04/03/2021")</f>
        <v>Andréa Assunção S. Barros | Pedagogia | Aprovado | Amélia: aprovado nas 3 primeiras etapas do remoto // Bianca: aprovada 04/03/2021</v>
      </c>
      <c r="B314" s="93"/>
    </row>
    <row r="315">
      <c r="A315" s="384" t="str">
        <f>IFERROR(__xludf.DUMMYFUNCTION("""COMPUTED_VALUE"""),"Andrea Carla Reis Da Silva | Pedagogia | Aprovada | Bárbara: aprovada nas 3 primeiras etapas do remoto e apresentou declaração de experiência válida// Bárbara: imprimido e arquivado 30/12/2020")</f>
        <v>Andrea Carla Reis Da Silva | Pedagogia | Aprovada | Bárbara: aprovada nas 3 primeiras etapas do remoto e apresentou declaração de experiência válida// Bárbara: imprimido e arquivado 30/12/2020</v>
      </c>
      <c r="B315" s="93"/>
    </row>
    <row r="316">
      <c r="A316" s="384" t="str">
        <f>IFERROR(__xludf.DUMMYFUNCTION("""COMPUTED_VALUE"""),"Andrea Costa Alves | Pedagogia | Aprovada | Bianca: aprovada nas 4 etapas do remoto antigo")</f>
        <v>Andrea Costa Alves | Pedagogia | Aprovada | Bianca: aprovada nas 4 etapas do remoto antigo</v>
      </c>
      <c r="B316" s="93"/>
    </row>
    <row r="317">
      <c r="A317" s="384" t="str">
        <f>IFERROR(__xludf.DUMMYFUNCTION("""COMPUTED_VALUE"""),"Andrea Cristina Da Costa | Pedagogia | Em análise | Bianca: aprovada nas três primeiras etapas")</f>
        <v>Andrea Cristina Da Costa | Pedagogia | Em análise | Bianca: aprovada nas três primeiras etapas</v>
      </c>
      <c r="B317" s="93"/>
    </row>
    <row r="318">
      <c r="A318" s="384" t="str">
        <f>IFERROR(__xludf.DUMMYFUNCTION("""COMPUTED_VALUE"""),"Andréa Cristina Da Silva Reis | Pedagogia C/ Ênf. | Aprovado | Recebido. Mandei enviar pelo correio (08/02). Aguardando envio em arquivo único (18/12).")</f>
        <v>Andréa Cristina Da Silva Reis | Pedagogia C/ Ênf. | Aprovado | Recebido. Mandei enviar pelo correio (08/02). Aguardando envio em arquivo único (18/12).</v>
      </c>
      <c r="B318" s="93"/>
    </row>
    <row r="319">
      <c r="A319" s="384" t="str">
        <f>IFERROR(__xludf.DUMMYFUNCTION("""COMPUTED_VALUE"""),"Andrea Cristina De Rezende Azevedo | Artes Visuais | Aprovada | Júnio: 16% plágio e falta a carta de apresentação //Júnio: aprovada: 18/10/23")</f>
        <v>Andrea Cristina De Rezende Azevedo | Artes Visuais | Aprovada | Júnio: 16% plágio e falta a carta de apresentação //Júnio: aprovada: 18/10/23</v>
      </c>
      <c r="B319" s="93"/>
    </row>
    <row r="320">
      <c r="A320" s="384" t="str">
        <f>IFERROR(__xludf.DUMMYFUNCTION("""COMPUTED_VALUE"""),"Andrea Cristina Gonçalves Pereira | Letras Port | Aprovado | Bárbara: aprovada 1, 2 e 3, aguardando 4ª etapa. // Bárbara: aprovada 05/01/2021")</f>
        <v>Andrea Cristina Gonçalves Pereira | Letras Port | Aprovado | Bárbara: aprovada 1, 2 e 3, aguardando 4ª etapa. // Bárbara: aprovada 05/01/2021</v>
      </c>
      <c r="B320" s="93"/>
    </row>
    <row r="321">
      <c r="A321" s="384" t="str">
        <f>IFERROR(__xludf.DUMMYFUNCTION("""COMPUTED_VALUE"""),"Andréa D'ávila Guimarães | Pedagogia | Aprovada | Padrão: autorizada a recolher assinaturas //Júnio: físico conferido e arquivado: 06/10/22")</f>
        <v>Andréa D'ávila Guimarães | Pedagogia | Aprovada | Padrão: autorizada a recolher assinaturas //Júnio: físico conferido e arquivado: 06/10/22</v>
      </c>
      <c r="B321" s="93"/>
    </row>
    <row r="322">
      <c r="A322" s="384" t="str">
        <f>IFERROR(__xludf.DUMMYFUNCTION("""COMPUTED_VALUE"""),"Andrea De Souza Araujo | Pedagogia | Aprovado | Thiara: aprovado// Miryã: conferido e arquivado 11/03/2021")</f>
        <v>Andrea De Souza Araujo | Pedagogia | Aprovado | Thiara: aprovado// Miryã: conferido e arquivado 11/03/2021</v>
      </c>
      <c r="B322" s="93"/>
    </row>
    <row r="323">
      <c r="A323" s="384" t="str">
        <f>IFERROR(__xludf.DUMMYFUNCTION("""COMPUTED_VALUE"""),"Andréa Dos Santos Costa | Pedagogia | Aprovado | Alexsiane&gt; etapa 1 ok, na etapa 2 falta a entrevista em formato de pergunta e responsta// alexsiane: pp provado 09/05")</f>
        <v>Andréa Dos Santos Costa | Pedagogia | Aprovado | Alexsiane&gt; etapa 1 ok, na etapa 2 falta a entrevista em formato de pergunta e responsta// alexsiane: pp provado 09/05</v>
      </c>
      <c r="B323" s="93"/>
    </row>
    <row r="324">
      <c r="A324" s="384" t="str">
        <f>IFERROR(__xludf.DUMMYFUNCTION("""COMPUTED_VALUE"""),"Andrea Edna Da Silva Martins | Letras Português | Aprovado | Júnio: PP - falta a carta de apresentação PRAZO: 08/01/24// pp aprovado 22/08/24 alexsiane")</f>
        <v>Andrea Edna Da Silva Martins | Letras Português | Aprovado | Júnio: PP - falta a carta de apresentação PRAZO: 08/01/24// pp aprovado 22/08/24 alexsiane</v>
      </c>
      <c r="B324" s="93"/>
    </row>
    <row r="325">
      <c r="A325" s="384" t="str">
        <f>IFERROR(__xludf.DUMMYFUNCTION("""COMPUTED_VALUE"""),"Andréa Jovelina De Araújo | Pedagogia | Aprovado | Aline Silva: faltam os carimbos e assinaturas.//Aline Silva: Recebido no instituto encadernado e impresso dia 27/12/2019// Miryã: conferido e arquivado 15/03/2021")</f>
        <v>Andréa Jovelina De Araújo | Pedagogia | Aprovado | Aline Silva: faltam os carimbos e assinaturas.//Aline Silva: Recebido no instituto encadernado e impresso dia 27/12/2019// Miryã: conferido e arquivado 15/03/2021</v>
      </c>
      <c r="B325" s="93"/>
    </row>
    <row r="326">
      <c r="A326" s="384" t="str">
        <f>IFERROR(__xludf.DUMMYFUNCTION("""COMPUTED_VALUE"""),"Andrea Miranda Gheren | Letras - Português Espanhol | Aprovada  | Bianca: autorizada a recolher assinatura")</f>
        <v>Andrea Miranda Gheren | Letras - Português Espanhol | Aprovada  | Bianca: autorizada a recolher assinatura</v>
      </c>
      <c r="B326" s="93"/>
    </row>
    <row r="327">
      <c r="A327" s="384" t="str">
        <f>IFERROR(__xludf.DUMMYFUNCTION("""COMPUTED_VALUE"""),"Andrea Puertas Marchesi | Artes Visuais | Aprovada | Júnio: etapas 1,2 e 3 ok //Júnio: aprovada na aula online: 19/05/22 //Júnio:conferido e arquivado: 01/06/22")</f>
        <v>Andrea Puertas Marchesi | Artes Visuais | Aprovada | Júnio: etapas 1,2 e 3 ok //Júnio: aprovada na aula online: 19/05/22 //Júnio:conferido e arquivado: 01/06/22</v>
      </c>
      <c r="B327" s="93"/>
    </row>
    <row r="328">
      <c r="A328" s="384" t="str">
        <f>IFERROR(__xludf.DUMMYFUNCTION("""COMPUTED_VALUE"""),"Andrea Rodrigues Da Silva | Geografia | Aprovada | Bianca: fichas preenchidas de forma incorreta //Bianca: aprovada: 23/09/21 //Júnio: conferido e arquivado: 05/10/2021")</f>
        <v>Andrea Rodrigues Da Silva | Geografia | Aprovada | Bianca: fichas preenchidas de forma incorreta //Bianca: aprovada: 23/09/21 //Júnio: conferido e arquivado: 05/10/2021</v>
      </c>
      <c r="B328" s="93"/>
    </row>
    <row r="329">
      <c r="A329" s="384" t="str">
        <f>IFERROR(__xludf.DUMMYFUNCTION("""COMPUTED_VALUE"""),"Andréa Rodrigues Da Silva | Geografia | aprovado | Bianca: aprovado nas 4 etapas do remoto atualizado")</f>
        <v>Andréa Rodrigues Da Silva | Geografia | aprovado | Bianca: aprovado nas 4 etapas do remoto atualizado</v>
      </c>
      <c r="B329" s="93"/>
    </row>
    <row r="330">
      <c r="A330" s="384" t="str">
        <f>IFERROR(__xludf.DUMMYFUNCTION("""COMPUTED_VALUE"""),"Andrea Rodrigues Da Silva Munaro | Pedagogia | Aprovada | Bárbara: aprovada nas 3 primeiras etapas, aguardando a última// Bárbara aprovada na 4 etapa 24/11/2020")</f>
        <v>Andrea Rodrigues Da Silva Munaro | Pedagogia | Aprovada | Bárbara: aprovada nas 3 primeiras etapas, aguardando a última// Bárbara aprovada na 4 etapa 24/11/2020</v>
      </c>
      <c r="B330" s="93"/>
    </row>
    <row r="331">
      <c r="A331" s="384" t="str">
        <f>IFERROR(__xludf.DUMMYFUNCTION("""COMPUTED_VALUE"""),"Andrea Rodrigues Da Silva Munaro | Psicopedagogia Int Cli | Aprovada | Bianca: aprovada e autorizada a enviar físico //Júnio:conferido e arquivado 27/04/2021")</f>
        <v>Andrea Rodrigues Da Silva Munaro | Psicopedagogia Int Cli | Aprovada | Bianca: aprovada e autorizada a enviar físico //Júnio:conferido e arquivado 27/04/2021</v>
      </c>
      <c r="B331" s="93"/>
    </row>
    <row r="332">
      <c r="A332" s="384" t="str">
        <f>IFERROR(__xludf.DUMMYFUNCTION("""COMPUTED_VALUE"""),"Andrea Rodrigues De Araújo | Pedagogia | Em análise | Bárbara: aprovadaa nas 3 primeiras etapas s do remoto, aguardando a última")</f>
        <v>Andrea Rodrigues De Araújo | Pedagogia | Em análise | Bárbara: aprovadaa nas 3 primeiras etapas s do remoto, aguardando a última</v>
      </c>
      <c r="B332" s="93"/>
    </row>
    <row r="333">
      <c r="A333" s="384" t="str">
        <f>IFERROR(__xludf.DUMMYFUNCTION("""COMPUTED_VALUE"""),"Andrea Sampaio Tibery | Artes Visuais | Aprovado | Júnio: remoto atualizada, autorizada a recolher assinaturas da 4ª etapa, fazer todo o resto// Alexsiane:  autorizada a enviar o físico 05/09/2022// Bárbara: conferido e arquivado 14/09/2022")</f>
        <v>Andrea Sampaio Tibery | Artes Visuais | Aprovado | Júnio: remoto atualizada, autorizada a recolher assinaturas da 4ª etapa, fazer todo o resto// Alexsiane:  autorizada a enviar o físico 05/09/2022// Bárbara: conferido e arquivado 14/09/2022</v>
      </c>
      <c r="B333" s="93"/>
    </row>
    <row r="334">
      <c r="A334" s="384" t="str">
        <f>IFERROR(__xludf.DUMMYFUNCTION("""COMPUTED_VALUE"""),"Andrea Santana Mendes Martins Buzzo | História | Aprovada | Júnio: faltam 100 hs nas fichas ( 40 hs de gestão e 60 hs de regência) PRAZO: 27/06/23 //Júnio: aprovada: 18/09/2023")</f>
        <v>Andrea Santana Mendes Martins Buzzo | História | Aprovada | Júnio: faltam 100 hs nas fichas ( 40 hs de gestão e 60 hs de regência) PRAZO: 27/06/23 //Júnio: aprovada: 18/09/2023</v>
      </c>
      <c r="B334" s="93"/>
    </row>
    <row r="335">
      <c r="A335" s="384" t="str">
        <f>IFERROR(__xludf.DUMMYFUNCTION("""COMPUTED_VALUE"""),"Andrea Souza Gomes | Artes Visuais | Aprovada | Júnio: aprovada no Remoto Antigo")</f>
        <v>Andrea Souza Gomes | Artes Visuais | Aprovada | Júnio: aprovada no Remoto Antigo</v>
      </c>
      <c r="B335" s="93"/>
    </row>
    <row r="336">
      <c r="A336" s="384" t="str">
        <f>IFERROR(__xludf.DUMMYFUNCTION("""COMPUTED_VALUE"""),"Andreia Camilla Oliveira | Educação Física | Aprovado | Alexsiane: pp aprovado")</f>
        <v>Andreia Camilla Oliveira | Educação Física | Aprovado | Alexsiane: pp aprovado</v>
      </c>
      <c r="B336" s="93"/>
    </row>
    <row r="337">
      <c r="A337" s="384" t="str">
        <f>IFERROR(__xludf.DUMMYFUNCTION("""COMPUTED_VALUE"""),"Andreia Cardoso Rosa Araújo | Pedagogia | Aprovada | Bárbara: aprovada")</f>
        <v>Andreia Cardoso Rosa Araújo | Pedagogia | Aprovada | Bárbara: aprovada</v>
      </c>
      <c r="B337" s="93"/>
    </row>
    <row r="338">
      <c r="A338" s="384" t="str">
        <f>IFERROR(__xludf.DUMMYFUNCTION("""COMPUTED_VALUE"""),"Andréia Cristina Alves De Moura | Letras/Espanhol | Aprovada | Edilaine: 21,75% de plágio. Falta o plano de aula, tem que especificar o tema e a série na ficha de registro, tem que fazer 40 horas de gestão. //Júnio: pre aprovada: 19/05/23 //Júnio: aprovad"&amp;"a: 16/06/23")</f>
        <v>Andréia Cristina Alves De Moura | Letras/Espanhol | Aprovada | Edilaine: 21,75% de plágio. Falta o plano de aula, tem que especificar o tema e a série na ficha de registro, tem que fazer 40 horas de gestão. //Júnio: pre aprovada: 19/05/23 //Júnio: aprovada: 16/06/23</v>
      </c>
      <c r="B338" s="93"/>
    </row>
    <row r="339">
      <c r="A339" s="384" t="str">
        <f>IFERROR(__xludf.DUMMYFUNCTION("""COMPUTED_VALUE"""),"Andreia Cristina Da Costa | Pedagogia | Aprovada | //Bárbara: aprovada na 4ª etapa")</f>
        <v>Andreia Cristina Da Costa | Pedagogia | Aprovada | //Bárbara: aprovada na 4ª etapa</v>
      </c>
      <c r="B339" s="93"/>
    </row>
    <row r="340">
      <c r="A340" s="384" t="str">
        <f>IFERROR(__xludf.DUMMYFUNCTION("""COMPUTED_VALUE"""),"Andreia Cristina Dos Santos | Pedagogia | Aprovada | Lucas: Aprovada no estagio remoto antigo")</f>
        <v>Andreia Cristina Dos Santos | Pedagogia | Aprovada | Lucas: Aprovada no estagio remoto antigo</v>
      </c>
      <c r="B340" s="93"/>
    </row>
    <row r="341">
      <c r="A341" s="384" t="str">
        <f>IFERROR(__xludf.DUMMYFUNCTION("""COMPUTED_VALUE"""),"Andreia Dias Silva | Artes Visuais | Aprovada | Bianca: autorizada a recolher assinaturas e falta carta de apresentação. //Júnio: aprovada: 11/11/2021 //Júnio: conferido e arquivado: 19/11/2021")</f>
        <v>Andreia Dias Silva | Artes Visuais | Aprovada | Bianca: autorizada a recolher assinaturas e falta carta de apresentação. //Júnio: aprovada: 11/11/2021 //Júnio: conferido e arquivado: 19/11/2021</v>
      </c>
      <c r="B341" s="93"/>
    </row>
    <row r="342">
      <c r="A342" s="384" t="str">
        <f>IFERROR(__xludf.DUMMYFUNCTION("""COMPUTED_VALUE"""),"Andreia Dos Santos De Queiroz | Matemática | Aprovada | Edilaine: 12,57% de plágio. Tem que fazer o relatório de regência. Tem que preencher todos os campos na ficha de registro, tem rasura na ficha, tem que especificar o tipo de acompanhamento nas fichas"&amp;", carga horária diária errada. //Júnio: aprovada: 03/11/2023")</f>
        <v>Andreia Dos Santos De Queiroz | Matemática | Aprovada | Edilaine: 12,57% de plágio. Tem que fazer o relatório de regência. Tem que preencher todos os campos na ficha de registro, tem rasura na ficha, tem que especificar o tipo de acompanhamento nas fichas, carga horária diária errada. //Júnio: aprovada: 03/11/2023</v>
      </c>
      <c r="B342" s="93"/>
    </row>
    <row r="343">
      <c r="A343" s="384" t="str">
        <f>IFERROR(__xludf.DUMMYFUNCTION("""COMPUTED_VALUE"""),"Andreia Maria Ayres De Pontes | Geografia | Aprovado | Bianca: autorizada a recolher assinatura //Bianca: aprovada: 07/07/21 //Júnio:conferido e arquivado: 20/07/21")</f>
        <v>Andreia Maria Ayres De Pontes | Geografia | Aprovado | Bianca: autorizada a recolher assinatura //Bianca: aprovada: 07/07/21 //Júnio:conferido e arquivado: 20/07/21</v>
      </c>
      <c r="B343" s="93"/>
    </row>
    <row r="344">
      <c r="A344" s="384" t="str">
        <f>IFERROR(__xludf.DUMMYFUNCTION("""COMPUTED_VALUE"""),"Andreia Maria Ayres De Pontes | História | Aprovado | Pamela: Pasta fisica recpciona no polo ( ainda não estava autorizada)  /// Edilaine: Aprovada 10/02/2023")</f>
        <v>Andreia Maria Ayres De Pontes | História | Aprovado | Pamela: Pasta fisica recpciona no polo ( ainda não estava autorizada)  /// Edilaine: Aprovada 10/02/2023</v>
      </c>
      <c r="B344" s="93"/>
    </row>
    <row r="345">
      <c r="A345" s="384" t="str">
        <f>IFERROR(__xludf.DUMMYFUNCTION("""COMPUTED_VALUE"""),"Andreia Martins De Andrade | Artes Visuais | Aprovada | Pamela: Pasta fisica recpciona no polo ( ainda não estava autorizada) ")</f>
        <v>Andreia Martins De Andrade | Artes Visuais | Aprovada | Pamela: Pasta fisica recpciona no polo ( ainda não estava autorizada) </v>
      </c>
      <c r="B345" s="93"/>
    </row>
    <row r="346">
      <c r="A346" s="384" t="str">
        <f>IFERROR(__xludf.DUMMYFUNCTION("""COMPUTED_VALUE"""),"Andreia Nice De Oliveira | Artes Visuais | Aprovada | Júnio: PP aprovada")</f>
        <v>Andreia Nice De Oliveira | Artes Visuais | Aprovada | Júnio: PP aprovada</v>
      </c>
      <c r="B346" s="93"/>
    </row>
    <row r="347">
      <c r="A347" s="384" t="str">
        <f>IFERROR(__xludf.DUMMYFUNCTION("""COMPUTED_VALUE"""),"Andreia Regina Da Silva | Artes Visuais | Aprovada | Alexsiane: enviou um tcc como estágio, cobrei todas as etapas do estágio padrão novo. até dia 25/08/2022 para reenviar // Edilaine: Aprovada com lançamento no sponte ")</f>
        <v>Andreia Regina Da Silva | Artes Visuais | Aprovada | Alexsiane: enviou um tcc como estágio, cobrei todas as etapas do estágio padrão novo. até dia 25/08/2022 para reenviar // Edilaine: Aprovada com lançamento no sponte </v>
      </c>
      <c r="B347" s="93"/>
    </row>
    <row r="348">
      <c r="A348" s="384" t="str">
        <f>IFERROR(__xludf.DUMMYFUNCTION("""COMPUTED_VALUE"""),"Andreia Rosalina Silva | Pedagogia | Aprovada | Bianca: apenas planos de aulas //Bárbara: aprovada: 30/06/2021")</f>
        <v>Andreia Rosalina Silva | Pedagogia | Aprovada | Bianca: apenas planos de aulas //Bárbara: aprovada: 30/06/2021</v>
      </c>
      <c r="B348" s="93"/>
    </row>
    <row r="349">
      <c r="A349" s="384" t="str">
        <f>IFERROR(__xludf.DUMMYFUNCTION("""COMPUTED_VALUE"""),"Andreia Viana Cupertino Amarante | Pedagogia | Aprovado | Bianca: Autorizada a recolher assinatura// Bárbara: conferido e arquivado 28/05/2021")</f>
        <v>Andreia Viana Cupertino Amarante | Pedagogia | Aprovado | Bianca: Autorizada a recolher assinatura// Bárbara: conferido e arquivado 28/05/2021</v>
      </c>
      <c r="B349" s="93"/>
    </row>
    <row r="350">
      <c r="A350" s="384" t="str">
        <f>IFERROR(__xludf.DUMMYFUNCTION("""COMPUTED_VALUE"""),"Andreia Wantz | Matemática | Aprovado | Júnio: etapa 1 e 2 ok, falta capa, sumário, etapas 3 e 4. //Júnio: aprovada: 14/07/2021")</f>
        <v>Andreia Wantz | Matemática | Aprovado | Júnio: etapa 1 e 2 ok, falta capa, sumário, etapas 3 e 4. //Júnio: aprovada: 14/07/2021</v>
      </c>
      <c r="B350" s="93"/>
    </row>
    <row r="351">
      <c r="A351" s="384" t="str">
        <f>IFERROR(__xludf.DUMMYFUNCTION("""COMPUTED_VALUE"""),"Andressa Carolina Costa Gonçalves | Pedagogia | Em análise | Júnio: PP - inicio: 04/10/23 Reenviar: 04/04/24")</f>
        <v>Andressa Carolina Costa Gonçalves | Pedagogia | Em análise | Júnio: PP - inicio: 04/10/23 Reenviar: 04/04/24</v>
      </c>
      <c r="B351" s="93"/>
    </row>
    <row r="352">
      <c r="A352" s="384" t="str">
        <f>IFERROR(__xludf.DUMMYFUNCTION("""COMPUTED_VALUE"""),"Andressa Leviski Guedes | Pedagogia | Aprovada | alexsiane: falta somnete a  carta de apresentação que esta ilegivel")</f>
        <v>Andressa Leviski Guedes | Pedagogia | Aprovada | alexsiane: falta somnete a  carta de apresentação que esta ilegivel</v>
      </c>
      <c r="B352" s="93"/>
    </row>
    <row r="353">
      <c r="A353" s="384" t="str">
        <f>IFERROR(__xludf.DUMMYFUNCTION("""COMPUTED_VALUE"""),"Andressa Maria De Lima Cardoso | História | Aprovada | Júnio: Falta capa, sumário, etapas 1, 2 e 3 e vários documentos. Autorizada na etapa 4 a recolher assinatura //Júnio: aprovada: 21/02/22// Bárbara: conferido e arquivado 29/03/22")</f>
        <v>Andressa Maria De Lima Cardoso | História | Aprovada | Júnio: Falta capa, sumário, etapas 1, 2 e 3 e vários documentos. Autorizada na etapa 4 a recolher assinatura //Júnio: aprovada: 21/02/22// Bárbara: conferido e arquivado 29/03/22</v>
      </c>
      <c r="B353" s="93"/>
    </row>
    <row r="354">
      <c r="A354" s="384" t="str">
        <f>IFERROR(__xludf.DUMMYFUNCTION("""COMPUTED_VALUE"""),"Andressa Oliveira Macedo | Matemática | Aprovado | Júnio: remoto antigo 5% plágio em vários trechos//Alexsiane: aprovada com lanaçamento no sponte")</f>
        <v>Andressa Oliveira Macedo | Matemática | Aprovado | Júnio: remoto antigo 5% plágio em vários trechos//Alexsiane: aprovada com lanaçamento no sponte</v>
      </c>
      <c r="B354" s="93"/>
    </row>
    <row r="355">
      <c r="A355" s="384" t="str">
        <f>IFERROR(__xludf.DUMMYFUNCTION("""COMPUTED_VALUE"""),"Andressa Virginia Borges Parreiras | Matemática | Aprovado | Bianca: etapas 1, 2 e 4 ok, etapa 3 apenas 10 planos //Bianca: aprovada: 27/04/21")</f>
        <v>Andressa Virginia Borges Parreiras | Matemática | Aprovado | Bianca: etapas 1, 2 e 4 ok, etapa 3 apenas 10 planos //Bianca: aprovada: 27/04/21</v>
      </c>
      <c r="B355" s="93"/>
    </row>
    <row r="356">
      <c r="A356" s="384" t="str">
        <f>IFERROR(__xludf.DUMMYFUNCTION("""COMPUTED_VALUE"""),"Andrevna Faiad Vaz De Oliveira | Pedagogia | Aprovado | Júnio: PP - etapas: ok Inicio: 21/09/23 Reenviar: 21/03/24// Alexsiane: aprovado 18/04/24")</f>
        <v>Andrevna Faiad Vaz De Oliveira | Pedagogia | Aprovado | Júnio: PP - etapas: ok Inicio: 21/09/23 Reenviar: 21/03/24// Alexsiane: aprovado 18/04/24</v>
      </c>
      <c r="B356" s="93"/>
    </row>
    <row r="357">
      <c r="A357" s="384" t="str">
        <f>IFERROR(__xludf.DUMMYFUNCTION("""COMPUTED_VALUE"""),"Andreza Luana De Andrade Santos | Pedagogia | Aprovada | Júnio: PP - ela precisa consertar todo o trabalho, pois fez voltado para o curso de neuropsicopedagogia, deverá corrigir informações na capa, providenciar uma nova carta de apresentação e responder "&amp;"o questionário na plataforma. PRAZO: 21/10/23 //Júnio: aprovada: 03/11/2023")</f>
        <v>Andreza Luana De Andrade Santos | Pedagogia | Aprovada | Júnio: PP - ela precisa consertar todo o trabalho, pois fez voltado para o curso de neuropsicopedagogia, deverá corrigir informações na capa, providenciar uma nova carta de apresentação e responder o questionário na plataforma. PRAZO: 21/10/23 //Júnio: aprovada: 03/11/2023</v>
      </c>
      <c r="B357" s="93"/>
    </row>
    <row r="358">
      <c r="A358" s="384" t="str">
        <f>IFERROR(__xludf.DUMMYFUNCTION("""COMPUTED_VALUE"""),"Andreza Oliveira Sacramento | Pedagogia | Aprovada | Ana Flávia: faltou dados//Alexsiane: aprovado com lançamento no Sponte")</f>
        <v>Andreza Oliveira Sacramento | Pedagogia | Aprovada | Ana Flávia: faltou dados//Alexsiane: aprovado com lançamento no Sponte</v>
      </c>
      <c r="B358" s="93"/>
    </row>
    <row r="359">
      <c r="A359" s="384" t="str">
        <f>IFERROR(__xludf.DUMMYFUNCTION("""COMPUTED_VALUE"""),"Andrezza Da Silva Machado Neto | Matemática | Em análise | Pamela: Declaração de experiência valida")</f>
        <v>Andrezza Da Silva Machado Neto | Matemática | Em análise | Pamela: Declaração de experiência valida</v>
      </c>
      <c r="B359" s="93"/>
    </row>
    <row r="360">
      <c r="A360" s="384" t="str">
        <f>IFERROR(__xludf.DUMMYFUNCTION("""COMPUTED_VALUE"""),"Andrezza Da Silva Machado Neto | Formação Pedagógica Em Matemática | Aprovado | Cris: PP falta etapa 1 / Cristiane: aprovada 27/05/24 proto. 6343")</f>
        <v>Andrezza Da Silva Machado Neto | Formação Pedagógica Em Matemática | Aprovado | Cris: PP falta etapa 1 / Cristiane: aprovada 27/05/24 proto. 6343</v>
      </c>
      <c r="B360" s="93"/>
    </row>
    <row r="361">
      <c r="A361" s="384" t="str">
        <f>IFERROR(__xludf.DUMMYFUNCTION("""COMPUTED_VALUE"""),"Anelize Fabricia De Souza Rodrigues | Pedagogia | Aprovado | Bianca: autorizada a recolher assinaturas, falta carta de apresentação e termo de conclusão // Lucas: Aprovada e autorizada a enviar físico //Júnio:conferida e arquivada: 14/06/22")</f>
        <v>Anelize Fabricia De Souza Rodrigues | Pedagogia | Aprovado | Bianca: autorizada a recolher assinaturas, falta carta de apresentação e termo de conclusão // Lucas: Aprovada e autorizada a enviar físico //Júnio:conferida e arquivada: 14/06/22</v>
      </c>
      <c r="B361" s="93"/>
    </row>
    <row r="362">
      <c r="A362" s="384" t="str">
        <f>IFERROR(__xludf.DUMMYFUNCTION("""COMPUTED_VALUE"""),"Ângela Da Silva Viana | História | Aprovado | Estella: faltam 30h em Gestão. Thiara enviou as horas faltantes13/03/2019. Entregou no Instituto dia 27/03/2019.")</f>
        <v>Ângela Da Silva Viana | História | Aprovado | Estella: faltam 30h em Gestão. Thiara enviou as horas faltantes13/03/2019. Entregou no Instituto dia 27/03/2019.</v>
      </c>
      <c r="B362" s="93"/>
    </row>
    <row r="363">
      <c r="A363" s="384" t="str">
        <f>IFERROR(__xludf.DUMMYFUNCTION("""COMPUTED_VALUE"""),"Angela De Almeida Pontes | Letras Por Es | Aprovada | Ana Flávia: aprovada nas 3 primeiras etapas, e aprdentou declaração de experiência válida// Bárbara: imprimido e arquivado 24/02/2021")</f>
        <v>Angela De Almeida Pontes | Letras Por Es | Aprovada | Ana Flávia: aprovada nas 3 primeiras etapas, e aprdentou declaração de experiência válida// Bárbara: imprimido e arquivado 24/02/2021</v>
      </c>
      <c r="B363" s="93"/>
    </row>
    <row r="364">
      <c r="A364" s="384" t="str">
        <f>IFERROR(__xludf.DUMMYFUNCTION("""COMPUTED_VALUE"""),"Angela Fernanda Cecatto | Artes Visiuais | Aprovada | Bárbara: falta 4ª etapa do remoto atualizado + 3 paragráfos de plágio  //Júnio: físico conferido e arquivado: 22/08/22")</f>
        <v>Angela Fernanda Cecatto | Artes Visiuais | Aprovada | Bárbara: falta 4ª etapa do remoto atualizado + 3 paragráfos de plágio  //Júnio: físico conferido e arquivado: 22/08/22</v>
      </c>
      <c r="B364" s="93"/>
    </row>
    <row r="365">
      <c r="A365" s="384" t="str">
        <f>IFERROR(__xludf.DUMMYFUNCTION("""COMPUTED_VALUE"""),"Angela Ferreira De Sousa | Psicopedagogia Institucional E Clínica | Aprovada | Bianca: pedi para reenviar as fichas pois estão ilegíveis e preencher com os temas dos atendimentos. //Júnio: aprovada: 02/03/22 //Júnio: conferida e arquivada: 18/04/22")</f>
        <v>Angela Ferreira De Sousa | Psicopedagogia Institucional E Clínica | Aprovada | Bianca: pedi para reenviar as fichas pois estão ilegíveis e preencher com os temas dos atendimentos. //Júnio: aprovada: 02/03/22 //Júnio: conferida e arquivada: 18/04/22</v>
      </c>
      <c r="B365" s="93"/>
    </row>
    <row r="366">
      <c r="A366" s="384" t="str">
        <f>IFERROR(__xludf.DUMMYFUNCTION("""COMPUTED_VALUE"""),"Angela Maria Piol Amorim | Ciências Sociais | Aprovada | Bianca: Aprovada nas 3 1° etapas do remoto antigo //JÚNIO: APROVADA NA AULA ONLINE 21/01/22")</f>
        <v>Angela Maria Piol Amorim | Ciências Sociais | Aprovada | Bianca: Aprovada nas 3 1° etapas do remoto antigo //JÚNIO: APROVADA NA AULA ONLINE 21/01/22</v>
      </c>
      <c r="B366" s="93"/>
    </row>
    <row r="367">
      <c r="A367" s="384" t="str">
        <f>IFERROR(__xludf.DUMMYFUNCTION("""COMPUTED_VALUE"""),"Ângela Rosana De Oliveira Trindade | Pedagogia | Aprovado | Júnio: aprovada no remoto  atualizado //Júnio:conferido e arquivado: 01/06/22")</f>
        <v>Ângela Rosana De Oliveira Trindade | Pedagogia | Aprovado | Júnio: aprovada no remoto  atualizado //Júnio:conferido e arquivado: 01/06/22</v>
      </c>
      <c r="B367" s="93"/>
    </row>
    <row r="368">
      <c r="A368" s="384" t="str">
        <f>IFERROR(__xludf.DUMMYFUNCTION("""COMPUTED_VALUE"""),"Angela Zomer Alberton | Pedagogia | Aprovada | Edilaine: Enviou planos de aula, falta bibliografia. Falta as partes dissertativas e as fichas de registro. //Júnio: aprovada: 11/09/23")</f>
        <v>Angela Zomer Alberton | Pedagogia | Aprovada | Edilaine: Enviou planos de aula, falta bibliografia. Falta as partes dissertativas e as fichas de registro. //Júnio: aprovada: 11/09/23</v>
      </c>
      <c r="B368" s="93"/>
    </row>
    <row r="369">
      <c r="A369" s="384" t="str">
        <f>IFERROR(__xludf.DUMMYFUNCTION("""COMPUTED_VALUE"""),"Angélica Andersen Chaves | Pedagogia | Aprovada | Júnio: PP - falta responder o questionario //Júnio: aprovada: 30/11/23")</f>
        <v>Angélica Andersen Chaves | Pedagogia | Aprovada | Júnio: PP - falta responder o questionario //Júnio: aprovada: 30/11/23</v>
      </c>
      <c r="B369" s="93"/>
    </row>
    <row r="370">
      <c r="A370" s="384" t="str">
        <f>IFERROR(__xludf.DUMMYFUNCTION("""COMPUTED_VALUE"""),"Angélica Da Silva | Pedagogia | Aprovada | Júnio: etapas: ok Inicio: 03/08/23 Reenviar: 03/02/24 //Aprovada: 21/02/24")</f>
        <v>Angélica Da Silva | Pedagogia | Aprovada | Júnio: etapas: ok Inicio: 03/08/23 Reenviar: 03/02/24 //Aprovada: 21/02/24</v>
      </c>
      <c r="B370" s="93"/>
    </row>
    <row r="371">
      <c r="A371" s="384" t="str">
        <f>IFERROR(__xludf.DUMMYFUNCTION("""COMPUTED_VALUE"""),"Angélica Da Silva Santana Santos | Pedagogia | Aprovada | Júnio: PP - enviar as etapas dissertativas digitadas//Alexsiane: parecer encaminhado 20/02/24")</f>
        <v>Angélica Da Silva Santana Santos | Pedagogia | Aprovada | Júnio: PP - enviar as etapas dissertativas digitadas//Alexsiane: parecer encaminhado 20/02/24</v>
      </c>
      <c r="B371" s="93"/>
    </row>
    <row r="372">
      <c r="A372" s="384" t="str">
        <f>IFERROR(__xludf.DUMMYFUNCTION("""COMPUTED_VALUE"""),"Angelica Melville Duarte | Pedagogia | Aprovada | Bárbara: Aprovada nas 3 1° etapas do remoto antigo// Bárbara: apresentou aula online 28/09/2021")</f>
        <v>Angelica Melville Duarte | Pedagogia | Aprovada | Bárbara: Aprovada nas 3 1° etapas do remoto antigo// Bárbara: apresentou aula online 28/09/2021</v>
      </c>
      <c r="B372" s="93"/>
    </row>
    <row r="373">
      <c r="A373" s="384" t="str">
        <f>IFERROR(__xludf.DUMMYFUNCTION("""COMPUTED_VALUE"""),"Angélica Nascimento Patrício | Letras Português | Aprovada | Júnio: PP aprovada")</f>
        <v>Angélica Nascimento Patrício | Letras Português | Aprovada | Júnio: PP aprovada</v>
      </c>
      <c r="B373" s="93"/>
    </row>
    <row r="374">
      <c r="A374" s="384" t="str">
        <f>IFERROR(__xludf.DUMMYFUNCTION("""COMPUTED_VALUE"""),"Angélica Ribeiro Mendes Rodrigues De Araújo | Pedagogia | Aprovado |  Bianca: aprovada nas 4 etapas do remoto atualizado, autorizada a enviar físico // Pâmela 10/01/2023  Conferido e arquivado. ")</f>
        <v>Angélica Ribeiro Mendes Rodrigues De Araújo | Pedagogia | Aprovado |  Bianca: aprovada nas 4 etapas do remoto atualizado, autorizada a enviar físico // Pâmela 10/01/2023  Conferido e arquivado. </v>
      </c>
      <c r="B374" s="93"/>
    </row>
    <row r="375">
      <c r="A375" s="384" t="str">
        <f>IFERROR(__xludf.DUMMYFUNCTION("""COMPUTED_VALUE"""),"Angelina Dutra Meneses | Pedagogia | Aprovada | Alexsiane: estágio padrão. Declaração de experiência aceita //Júnio: aprovada: 15/09/2023")</f>
        <v>Angelina Dutra Meneses | Pedagogia | Aprovada | Alexsiane: estágio padrão. Declaração de experiência aceita //Júnio: aprovada: 15/09/2023</v>
      </c>
      <c r="B375" s="93"/>
    </row>
    <row r="376">
      <c r="A376" s="384" t="str">
        <f>IFERROR(__xludf.DUMMYFUNCTION("""COMPUTED_VALUE"""),"Angelita De Jesus Gonçalves De Olivera Silva | Pedagogia | Aprovada | Júnio: autorizada a recolher assinaturas //Júnio: pré aprovada: 19/06/23 //Júnio: aprovada: 29/06/23")</f>
        <v>Angelita De Jesus Gonçalves De Olivera Silva | Pedagogia | Aprovada | Júnio: autorizada a recolher assinaturas //Júnio: pré aprovada: 19/06/23 //Júnio: aprovada: 29/06/23</v>
      </c>
      <c r="B376" s="93"/>
    </row>
    <row r="377">
      <c r="A377" s="384" t="str">
        <f>IFERROR(__xludf.DUMMYFUNCTION("""COMPUTED_VALUE"""),"Angelita Martignago Carvalho | Pedagogia Para Bacharéis E Tecnólogos | Aprovada | Júnio: -Estágio I: 17% plágio -Estágio II: 15% plágio -Estágio III: ok -Estágio IV: ok -PCC I: ok -PCC II: ok -PCC III: ok -PCC IV: falta anexar o mapa mental //Júnio: aprov"&amp;"ada: 11/01/24")</f>
        <v>Angelita Martignago Carvalho | Pedagogia Para Bacharéis E Tecnólogos | Aprovada | Júnio: -Estágio I: 17% plágio -Estágio II: 15% plágio -Estágio III: ok -Estágio IV: ok -PCC I: ok -PCC II: ok -PCC III: ok -PCC IV: falta anexar o mapa mental //Júnio: aprovada: 11/01/24</v>
      </c>
      <c r="B377" s="93"/>
    </row>
    <row r="378">
      <c r="A378" s="384" t="str">
        <f>IFERROR(__xludf.DUMMYFUNCTION("""COMPUTED_VALUE"""),"Aniete Maria De Souza | Artes Visuais | Aprovado | Amélia: Aprovada nas etapas 1, 2 e 3, solicitado 4ª etapa // Bárbara: aprovada 19/03/2021")</f>
        <v>Aniete Maria De Souza | Artes Visuais | Aprovado | Amélia: Aprovada nas etapas 1, 2 e 3, solicitado 4ª etapa // Bárbara: aprovada 19/03/2021</v>
      </c>
      <c r="B378" s="93"/>
    </row>
    <row r="379">
      <c r="A379" s="384" t="str">
        <f>IFERROR(__xludf.DUMMYFUNCTION("""COMPUTED_VALUE"""),"Anita Cione Tavares Ferreira | Artes Visuais | Aprovado | Aline Silva: realizar correção completando informações, encaminhar digitalizado para formalizar aprovação // Bárbara: aprovada 30/12/2020 //Júnio:aprovada com lançamento no Sponte")</f>
        <v>Anita Cione Tavares Ferreira | Artes Visuais | Aprovado | Aline Silva: realizar correção completando informações, encaminhar digitalizado para formalizar aprovação // Bárbara: aprovada 30/12/2020 //Júnio:aprovada com lançamento no Sponte</v>
      </c>
      <c r="B379" s="93"/>
    </row>
    <row r="380">
      <c r="A380" s="384" t="str">
        <f>IFERROR(__xludf.DUMMYFUNCTION("""COMPUTED_VALUE"""),"Anna Cláudia Alfonso Capuchinho | Neuropsicopedagogia Clínica | Aprovada | Alexsiane: aprovado com lançamento no Sponte")</f>
        <v>Anna Cláudia Alfonso Capuchinho | Neuropsicopedagogia Clínica | Aprovada | Alexsiane: aprovado com lançamento no Sponte</v>
      </c>
      <c r="B380" s="93"/>
    </row>
    <row r="381">
      <c r="A381" s="384" t="str">
        <f>IFERROR(__xludf.DUMMYFUNCTION("""COMPUTED_VALUE"""),"Anna Cláudia Alfonso Capuchinho | Pedagogia | Aprovada | Alexsiane: Etapa 1,2,3 ok corrigir na ficha de registro: tema da aula, acompanhamento e a turma e corrigir o total de horas.  ATE 21/05/2022 PARA REENVIAR //Júnio: aprovada: 12/07/22")</f>
        <v>Anna Cláudia Alfonso Capuchinho | Pedagogia | Aprovada | Alexsiane: Etapa 1,2,3 ok corrigir na ficha de registro: tema da aula, acompanhamento e a turma e corrigir o total de horas.  ATE 21/05/2022 PARA REENVIAR //Júnio: aprovada: 12/07/22</v>
      </c>
      <c r="B381" s="93"/>
    </row>
    <row r="382">
      <c r="A382" s="384" t="str">
        <f>IFERROR(__xludf.DUMMYFUNCTION("""COMPUTED_VALUE"""),"Anna Marys Saraiva Ferreira | Matemática | Aprovado | Thiara: Falta separar as horas de Gestão e estrutura escolar e assinaturas e carimbos na documentação.// Recebido no instituto dia 20/12/2019")</f>
        <v>Anna Marys Saraiva Ferreira | Matemática | Aprovado | Thiara: Falta separar as horas de Gestão e estrutura escolar e assinaturas e carimbos na documentação.// Recebido no instituto dia 20/12/2019</v>
      </c>
      <c r="B382" s="93"/>
    </row>
    <row r="383">
      <c r="A383" s="384" t="str">
        <f>IFERROR(__xludf.DUMMYFUNCTION("""COMPUTED_VALUE"""),"Anna Paula De Albuquerque Sales | Ciências Sociais | Aprovado | Edilaine: Declaração de experiência válida, aluna isenta da 4ª etapa do remoto antiga. Falta o currículo escolar, o resto está ok. Tem até dia 12/02/2023 para reenviar.// Alexsiane: aprovado "&amp;"com lançamento o sponte")</f>
        <v>Anna Paula De Albuquerque Sales | Ciências Sociais | Aprovado | Edilaine: Declaração de experiência válida, aluna isenta da 4ª etapa do remoto antiga. Falta o currículo escolar, o resto está ok. Tem até dia 12/02/2023 para reenviar.// Alexsiane: aprovado com lançamento o sponte</v>
      </c>
      <c r="B383" s="93"/>
    </row>
    <row r="384">
      <c r="A384" s="384" t="str">
        <f>IFERROR(__xludf.DUMMYFUNCTION("""COMPUTED_VALUE"""),"Anna Paula Fonseca De Oliveira | Educação Física | Em análise | Lucas: Termo de conclusão OK")</f>
        <v>Anna Paula Fonseca De Oliveira | Educação Física | Em análise | Lucas: Termo de conclusão OK</v>
      </c>
      <c r="B384" s="93"/>
    </row>
    <row r="385">
      <c r="A385" s="384" t="str">
        <f>IFERROR(__xludf.DUMMYFUNCTION("""COMPUTED_VALUE"""),"Anne Caroline Alves Ferreira | Pedagogia | Aprovado | Alexsiane: estágio remoto atualizado aprovado")</f>
        <v>Anne Caroline Alves Ferreira | Pedagogia | Aprovado | Alexsiane: estágio remoto atualizado aprovado</v>
      </c>
      <c r="B385" s="93"/>
    </row>
    <row r="386">
      <c r="A386" s="384" t="str">
        <f>IFERROR(__xludf.DUMMYFUNCTION("""COMPUTED_VALUE"""),"Anne Micheline Ribeiro De Souza | Pedagogia | Aprovado | Bianca: autorizada a recolher assinaturas Júnio:conferido e arquivado: 19/08/21")</f>
        <v>Anne Micheline Ribeiro De Souza | Pedagogia | Aprovado | Bianca: autorizada a recolher assinaturas Júnio:conferido e arquivado: 19/08/21</v>
      </c>
      <c r="B386" s="93"/>
    </row>
    <row r="387">
      <c r="A387" s="384" t="str">
        <f>IFERROR(__xludf.DUMMYFUNCTION("""COMPUTED_VALUE"""),"Anniely Pereira Cirilo | Pedagogia | Aprovada | Alexsiane: 12 % de plágio, falta enviar a declaração de experiência de forma correta. //Júnio: aprovada: 29/06/22")</f>
        <v>Anniely Pereira Cirilo | Pedagogia | Aprovada | Alexsiane: 12 % de plágio, falta enviar a declaração de experiência de forma correta. //Júnio: aprovada: 29/06/22</v>
      </c>
      <c r="B387" s="93"/>
    </row>
    <row r="388">
      <c r="A388" s="384" t="str">
        <f>IFERROR(__xludf.DUMMYFUNCTION("""COMPUTED_VALUE"""),"Antonia Aparecida Marcel | Pedagogia | Aprovada | Júnio: PP aprovada")</f>
        <v>Antonia Aparecida Marcel | Pedagogia | Aprovada | Júnio: PP aprovada</v>
      </c>
      <c r="B388" s="93"/>
    </row>
    <row r="389">
      <c r="A389" s="384" t="str">
        <f>IFERROR(__xludf.DUMMYFUNCTION("""COMPUTED_VALUE"""),"Antonia Euladia De Oliveira Barros | Neuropsicopedagogia Instittucional Clínica E Hospitalar | Aprovada | Júnio: pré aprovado //Júnio: aprovada: 20/06/23")</f>
        <v>Antonia Euladia De Oliveira Barros | Neuropsicopedagogia Instittucional Clínica E Hospitalar | Aprovada | Júnio: pré aprovado //Júnio: aprovada: 20/06/23</v>
      </c>
      <c r="B389" s="93"/>
    </row>
    <row r="390">
      <c r="A390" s="384" t="str">
        <f>IFERROR(__xludf.DUMMYFUNCTION("""COMPUTED_VALUE"""),"Antônia Márcia Da Silva Damasceno Almerim | História | Aprovada | Júnio: 6,3% plágio //Júnio: pré aprovada: 06/09/23 //Júnio: aprovada: 14/09/23")</f>
        <v>Antônia Márcia Da Silva Damasceno Almerim | História | Aprovada | Júnio: 6,3% plágio //Júnio: pré aprovada: 06/09/23 //Júnio: aprovada: 14/09/23</v>
      </c>
      <c r="B390" s="93"/>
    </row>
    <row r="391">
      <c r="A391" s="384" t="str">
        <f>IFERROR(__xludf.DUMMYFUNCTION("""COMPUTED_VALUE"""),"Antônia Pinto Nepomuceno | Pedagogia | Aprovada  | Júnio: só fez 2 planos de aula // Bárbara: aprovada na 4ª etapa do remoto ")</f>
        <v>Antônia Pinto Nepomuceno | Pedagogia | Aprovada  | Júnio: só fez 2 planos de aula // Bárbara: aprovada na 4ª etapa do remoto </v>
      </c>
      <c r="B391" s="93"/>
    </row>
    <row r="392">
      <c r="A392" s="384" t="str">
        <f>IFERROR(__xludf.DUMMYFUNCTION("""COMPUTED_VALUE"""),"Antoniedia Leite Gonçalves | Letras Português Inglês | Aprovada  | Lucas: Pedi para completar a etapa 2 com o perodo da historia unica // Lucas: Aprovada e autorizada a enviar físico // Alexsiane:: Conferido e arquivado 11/03/2022")</f>
        <v>Antoniedia Leite Gonçalves | Letras Português Inglês | Aprovada  | Lucas: Pedi para completar a etapa 2 com o perodo da historia unica // Lucas: Aprovada e autorizada a enviar físico // Alexsiane:: Conferido e arquivado 11/03/2022</v>
      </c>
      <c r="B392" s="93"/>
    </row>
    <row r="393">
      <c r="A393" s="384" t="str">
        <f>IFERROR(__xludf.DUMMYFUNCTION("""COMPUTED_VALUE"""),"Antônio Alan Alves Da Costa | Pedagogia | Aprovado | Júnio: remoto antigo, etapas 1,2 e 3 ok //Júnio: aprovado na aula online: 30/03/22")</f>
        <v>Antônio Alan Alves Da Costa | Pedagogia | Aprovado | Júnio: remoto antigo, etapas 1,2 e 3 ok //Júnio: aprovado na aula online: 30/03/22</v>
      </c>
      <c r="B393" s="93"/>
    </row>
    <row r="394">
      <c r="A394" s="384" t="str">
        <f>IFERROR(__xludf.DUMMYFUNCTION("""COMPUTED_VALUE"""),"Antônio Alberto Prata Teodoro | História | Aprovado | Júnio: PP etapas dissertativas OK, falta plataforma voltar para confirmar nota do questionário //Plataforma confirmou aprovação 12/07/23")</f>
        <v>Antônio Alberto Prata Teodoro | História | Aprovado | Júnio: PP etapas dissertativas OK, falta plataforma voltar para confirmar nota do questionário //Plataforma confirmou aprovação 12/07/23</v>
      </c>
      <c r="B394" s="93"/>
    </row>
    <row r="395">
      <c r="A395" s="384" t="str">
        <f>IFERROR(__xludf.DUMMYFUNCTION("""COMPUTED_VALUE"""),"Antônio Alberto Prata Teodoro | Letras Português Inglês | Aprovado | Júnio: PP - precisa enviar as etapas dissertativas digitadas //Júnio: aprovado: 14/09/23")</f>
        <v>Antônio Alberto Prata Teodoro | Letras Português Inglês | Aprovado | Júnio: PP - precisa enviar as etapas dissertativas digitadas //Júnio: aprovado: 14/09/23</v>
      </c>
      <c r="B395" s="93"/>
    </row>
    <row r="396">
      <c r="A396" s="384" t="str">
        <f>IFERROR(__xludf.DUMMYFUNCTION("""COMPUTED_VALUE"""),"Antônio Carlos Barbosa Da Silva | Artes Visuais | Aprovado  | Bárbara: pedi para especificar os anos que o trabalho foi desenvolvido, recolher as assinturas e enviar escaneado.// Bárbara: aprovado com lançamento no sponte 28/09/2021 //Júnio: Conferido e a"&amp;"rquivado: 05/11/2021")</f>
        <v>Antônio Carlos Barbosa Da Silva | Artes Visuais | Aprovado  | Bárbara: pedi para especificar os anos que o trabalho foi desenvolvido, recolher as assinturas e enviar escaneado.// Bárbara: aprovado com lançamento no sponte 28/09/2021 //Júnio: Conferido e arquivado: 05/11/2021</v>
      </c>
      <c r="B396" s="93"/>
    </row>
    <row r="397">
      <c r="A397" s="384" t="str">
        <f>IFERROR(__xludf.DUMMYFUNCTION("""COMPUTED_VALUE"""),"Antônio Carlos De Carvalho Melo Filho | Música | Em análise | Edilaine: Estágio padrão 200 horas. Tem que especificar nas ficas de registro o tipo de acompanhamneto, tema e série, falta 54 horas. Corrigir a carga horária da ficha do dia 03/10 a 20/10, fal"&amp;"ta as partes dissertativas.")</f>
        <v>Antônio Carlos De Carvalho Melo Filho | Música | Em análise | Edilaine: Estágio padrão 200 horas. Tem que especificar nas ficas de registro o tipo de acompanhamneto, tema e série, falta 54 horas. Corrigir a carga horária da ficha do dia 03/10 a 20/10, falta as partes dissertativas.</v>
      </c>
      <c r="B397" s="93"/>
    </row>
    <row r="398">
      <c r="A398" s="384" t="str">
        <f>IFERROR(__xludf.DUMMYFUNCTION("""COMPUTED_VALUE"""),"Antônio Carlos Gomes Júnior | Pedagogia | Aprovado  | Alexsiane:17 % de plágio, falta 13 planos de aula. etapa 1,2 e 4 ok remoto antigo// Alexsiane: aprovado com lanaçamento no sponte")</f>
        <v>Antônio Carlos Gomes Júnior | Pedagogia | Aprovado  | Alexsiane:17 % de plágio, falta 13 planos de aula. etapa 1,2 e 4 ok remoto antigo// Alexsiane: aprovado com lanaçamento no sponte</v>
      </c>
      <c r="B398" s="93"/>
    </row>
    <row r="399">
      <c r="A399" s="384" t="str">
        <f>IFERROR(__xludf.DUMMYFUNCTION("""COMPUTED_VALUE"""),"Antonio Carlos Morais Gomes | Pedagogia | Aprovado | Júnio: pelo guru declaração de experiência válida //Júnio: pre aprovado: 23/05/2023 //Júnio: aprovado: 23/05/23")</f>
        <v>Antonio Carlos Morais Gomes | Pedagogia | Aprovado | Júnio: pelo guru declaração de experiência válida //Júnio: pre aprovado: 23/05/2023 //Júnio: aprovado: 23/05/23</v>
      </c>
      <c r="B399" s="93"/>
    </row>
    <row r="400">
      <c r="A400" s="384" t="str">
        <f>IFERROR(__xludf.DUMMYFUNCTION("""COMPUTED_VALUE"""),"Antônio Carlos Vieira Lemos | Letras Português | Aprovado | Lucas: Faltou 17 planos de aula// Bianca: aprovado em 17/02/22")</f>
        <v>Antônio Carlos Vieira Lemos | Letras Português | Aprovado | Lucas: Faltou 17 planos de aula// Bianca: aprovado em 17/02/22</v>
      </c>
      <c r="B400" s="93"/>
    </row>
    <row r="401">
      <c r="A401" s="384" t="str">
        <f>IFERROR(__xludf.DUMMYFUNCTION("""COMPUTED_VALUE"""),"Antonio Castro De Sousa | Pedagogia | Aprovado | Júnio: PP aprovado")</f>
        <v>Antonio Castro De Sousa | Pedagogia | Aprovado | Júnio: PP aprovado</v>
      </c>
      <c r="B401" s="93"/>
    </row>
    <row r="402">
      <c r="A402" s="384" t="str">
        <f>IFERROR(__xludf.DUMMYFUNCTION("""COMPUTED_VALUE"""),"Antonio Clesivan Da Silva | Educação Física | Aprovado | Júnio: PP aprovado")</f>
        <v>Antonio Clesivan Da Silva | Educação Física | Aprovado | Júnio: PP aprovado</v>
      </c>
      <c r="B402" s="93"/>
    </row>
    <row r="403">
      <c r="A403" s="384" t="str">
        <f>IFERROR(__xludf.DUMMYFUNCTION("""COMPUTED_VALUE"""),"Antonio Delzumir Pessoa Da Silva | Matemática | Aprovado | Júnio: PP - falta a carta de apresentação e entrevista //Júnio: aprovado: 12/01/24")</f>
        <v>Antonio Delzumir Pessoa Da Silva | Matemática | Aprovado | Júnio: PP - falta a carta de apresentação e entrevista //Júnio: aprovado: 12/01/24</v>
      </c>
      <c r="B403" s="93"/>
    </row>
    <row r="404">
      <c r="A404" s="384" t="str">
        <f>IFERROR(__xludf.DUMMYFUNCTION("""COMPUTED_VALUE"""),"Antonio Eder Da Silva Freitas | Matemática | Aprovado | Júnio: falta responder o questionário. //Júnio: aprovado: 09/11/23")</f>
        <v>Antonio Eder Da Silva Freitas | Matemática | Aprovado | Júnio: falta responder o questionário. //Júnio: aprovado: 09/11/23</v>
      </c>
      <c r="B404" s="93"/>
    </row>
    <row r="405">
      <c r="A405" s="384" t="str">
        <f>IFERROR(__xludf.DUMMYFUNCTION("""COMPUTED_VALUE"""),"Antônio Fábio De Freitas Araújo | Pedagogia | Aprovado | Alexsiane:  Falta autoavaliação,  1 plano de aula,  dichas de registro, termo de conclusão e carta de apresentação.  PRAZO: 04/06/23 //Júnio: pre aprovado: 19/06/23 //Júnio: aprovado:03/07/2023")</f>
        <v>Antônio Fábio De Freitas Araújo | Pedagogia | Aprovado | Alexsiane:  Falta autoavaliação,  1 plano de aula,  dichas de registro, termo de conclusão e carta de apresentação.  PRAZO: 04/06/23 //Júnio: pre aprovado: 19/06/23 //Júnio: aprovado:03/07/2023</v>
      </c>
      <c r="B405" s="93"/>
    </row>
    <row r="406">
      <c r="A406" s="384" t="str">
        <f>IFERROR(__xludf.DUMMYFUNCTION("""COMPUTED_VALUE"""),"Antonio Fernando Da Silva Pires | Letras - Português Espanhol | Aprovado | Bianca: desformatação //Júnio: conferido e arquivado 29/06/2021")</f>
        <v>Antonio Fernando Da Silva Pires | Letras - Português Espanhol | Aprovado | Bianca: desformatação //Júnio: conferido e arquivado 29/06/2021</v>
      </c>
      <c r="B406" s="93"/>
    </row>
    <row r="407">
      <c r="A407" s="384" t="str">
        <f>IFERROR(__xludf.DUMMYFUNCTION("""COMPUTED_VALUE"""),"Antônio Fernando Da Silva Pires | Geografia | Aprovado | Bianca: autorizada a enviar físico //Júnio: conferido e arquivado: 01/11/21")</f>
        <v>Antônio Fernando Da Silva Pires | Geografia | Aprovado | Bianca: autorizada a enviar físico //Júnio: conferido e arquivado: 01/11/21</v>
      </c>
      <c r="B407" s="93"/>
    </row>
    <row r="408">
      <c r="A408" s="384" t="str">
        <f>IFERROR(__xludf.DUMMYFUNCTION("""COMPUTED_VALUE"""),"Antônio Fernando Da Silva Pires | História | Aprovada | Júnio: aprovada //Júnio: conferido e arquivado: 01/11/21")</f>
        <v>Antônio Fernando Da Silva Pires | História | Aprovada | Júnio: aprovada //Júnio: conferido e arquivado: 01/11/21</v>
      </c>
      <c r="B408" s="93"/>
    </row>
    <row r="409">
      <c r="A409" s="384" t="str">
        <f>IFERROR(__xludf.DUMMYFUNCTION("""COMPUTED_VALUE"""),"Antonio Fernando Sousa De Castro | Geografia | Aprovado | Alexsiane: etapa 1,2,3 ok, falta 4° etapa no remoto antigo /// Edilaine: Aprovado 12/04")</f>
        <v>Antonio Fernando Sousa De Castro | Geografia | Aprovado | Alexsiane: etapa 1,2,3 ok, falta 4° etapa no remoto antigo /// Edilaine: Aprovado 12/04</v>
      </c>
      <c r="B409" s="93"/>
    </row>
    <row r="410">
      <c r="A410" s="384" t="str">
        <f>IFERROR(__xludf.DUMMYFUNCTION("""COMPUTED_VALUE"""),"Antônio Gabriel Correia de Oliveira | Segunda Licenciatura em História | Aprovado | Rayssa: pp aprovado")</f>
        <v>Antônio Gabriel Correia de Oliveira | Segunda Licenciatura em História | Aprovado | Rayssa: pp aprovado</v>
      </c>
      <c r="B410" s="93"/>
    </row>
    <row r="411">
      <c r="A411" s="384" t="str">
        <f>IFERROR(__xludf.DUMMYFUNCTION("""COMPUTED_VALUE"""),"Antonio Gonçalves Neto | Pedagógica História | Aprovado | Rayssa pp aprovado")</f>
        <v>Antonio Gonçalves Neto | Pedagógica História | Aprovado | Rayssa pp aprovado</v>
      </c>
      <c r="B411" s="93"/>
    </row>
    <row r="412">
      <c r="A412" s="384" t="str">
        <f>IFERROR(__xludf.DUMMYFUNCTION("""COMPUTED_VALUE""")," |  |  | ")</f>
        <v> |  |  | </v>
      </c>
      <c r="B412" s="93"/>
    </row>
    <row r="413">
      <c r="A413" s="384" t="str">
        <f>IFERROR(__xludf.DUMMYFUNCTION("""COMPUTED_VALUE"""),"Antônio José Roque | Música | Aprovado | Júnio: pré aprovado //Júnio: aprovada: 31/08/23")</f>
        <v>Antônio José Roque | Música | Aprovado | Júnio: pré aprovado //Júnio: aprovada: 31/08/23</v>
      </c>
      <c r="B413" s="93"/>
    </row>
    <row r="414">
      <c r="A414" s="384" t="str">
        <f>IFERROR(__xludf.DUMMYFUNCTION("""COMPUTED_VALUE"""),"Antônio Lisboa Da Silva | Matemática | Em análise | Alexsiane: declaclaração de experiencia aceita no guru")</f>
        <v>Antônio Lisboa Da Silva | Matemática | Em análise | Alexsiane: declaclaração de experiencia aceita no guru</v>
      </c>
      <c r="B414" s="93"/>
    </row>
    <row r="415">
      <c r="A415" s="384" t="str">
        <f>IFERROR(__xludf.DUMMYFUNCTION("""COMPUTED_VALUE"""),"Antônio Marcos Morló | Geografia | Aprovado | Bianca: estágio padrão falta carta de aceite, termo de conclusão e fichas de registro //Júnio: físico conferido e arquivado 09/07/21")</f>
        <v>Antônio Marcos Morló | Geografia | Aprovado | Bianca: estágio padrão falta carta de aceite, termo de conclusão e fichas de registro //Júnio: físico conferido e arquivado 09/07/21</v>
      </c>
      <c r="B415" s="93"/>
    </row>
    <row r="416">
      <c r="A416" s="384" t="str">
        <f>IFERROR(__xludf.DUMMYFUNCTION("""COMPUTED_VALUE"""),"Antônio Marcos Pereira | Pedagogia | Aprovado | Enviou apenas fichas de registro //Júnio: aprovado: 24/03/22//Alexsiane: Conferido e arquivado 07/04/2022")</f>
        <v>Antônio Marcos Pereira | Pedagogia | Aprovado | Enviou apenas fichas de registro //Júnio: aprovado: 24/03/22//Alexsiane: Conferido e arquivado 07/04/2022</v>
      </c>
      <c r="B416" s="93"/>
    </row>
    <row r="417">
      <c r="A417" s="384" t="str">
        <f>IFERROR(__xludf.DUMMYFUNCTION("""COMPUTED_VALUE"""),"Antonio Marcos Schiavo | 2ª Licenciatura Em Educação Física | Aprovado | Cris: PP aprovado")</f>
        <v>Antonio Marcos Schiavo | 2ª Licenciatura Em Educação Física | Aprovado | Cris: PP aprovado</v>
      </c>
      <c r="B417" s="93"/>
    </row>
    <row r="418">
      <c r="A418" s="384" t="str">
        <f>IFERROR(__xludf.DUMMYFUNCTION("""COMPUTED_VALUE"""),"Antônio Marcos Tales De Queiroz | Geografia | Aprovado | Certificado de Horas ZAYN (Curso TGD).")</f>
        <v>Antônio Marcos Tales De Queiroz | Geografia | Aprovado | Certificado de Horas ZAYN (Curso TGD).</v>
      </c>
      <c r="B418" s="93"/>
    </row>
    <row r="419">
      <c r="A419" s="384" t="str">
        <f>IFERROR(__xludf.DUMMYFUNCTION("""COMPUTED_VALUE"""),"Antônio Paulo De Albuquerque | Música | Aprovado | Júnio: PP - falta a etapa II. //Júnio: aprovado: 30/11/2023")</f>
        <v>Antônio Paulo De Albuquerque | Música | Aprovado | Júnio: PP - falta a etapa II. //Júnio: aprovado: 30/11/2023</v>
      </c>
      <c r="B419" s="93"/>
    </row>
    <row r="420">
      <c r="A420" s="384" t="str">
        <f>IFERROR(__xludf.DUMMYFUNCTION("""COMPUTED_VALUE"""),"Antonio Pereira Santos | Letras Português | Em análise | Bianca: aprovado nas 3 primeiras etapas")</f>
        <v>Antonio Pereira Santos | Letras Português | Em análise | Bianca: aprovado nas 3 primeiras etapas</v>
      </c>
      <c r="B420" s="93"/>
    </row>
    <row r="421">
      <c r="A421" s="384" t="str">
        <f>IFERROR(__xludf.DUMMYFUNCTION("""COMPUTED_VALUE"""),"Antônio Pereira Santos | Matemática | Aprovado | Bárbara: aprovado nas 3 primeiras etapas do remoto// Bianca: aprovado 23/03/2021")</f>
        <v>Antônio Pereira Santos | Matemática | Aprovado | Bárbara: aprovado nas 3 primeiras etapas do remoto// Bianca: aprovado 23/03/2021</v>
      </c>
      <c r="B421" s="93"/>
    </row>
    <row r="422">
      <c r="A422" s="384" t="str">
        <f>IFERROR(__xludf.DUMMYFUNCTION("""COMPUTED_VALUE"""),"Antônio Ramos De Brito | Filosofia | Aprovado | Alexsiane:enviar declarão de experiência, Etapa 1,2 e 3 completa //Júnio: aprovado: 23/08/22")</f>
        <v>Antônio Ramos De Brito | Filosofia | Aprovado | Alexsiane:enviar declarão de experiência, Etapa 1,2 e 3 completa //Júnio: aprovado: 23/08/22</v>
      </c>
      <c r="B422" s="93"/>
    </row>
    <row r="423">
      <c r="A423" s="384" t="str">
        <f>IFERROR(__xludf.DUMMYFUNCTION("""COMPUTED_VALUE"""),"Antonio Vaz De Meneses | Ciências Sociais | Aprovado  | Bárbara: aluno encaminhou de uma vez trabalho físico. Trabalho aprovado ")</f>
        <v>Antonio Vaz De Meneses | Ciências Sociais | Aprovado  | Bárbara: aluno encaminhou de uma vez trabalho físico. Trabalho aprovado </v>
      </c>
      <c r="B423" s="93"/>
    </row>
    <row r="424">
      <c r="A424" s="384" t="str">
        <f>IFERROR(__xludf.DUMMYFUNCTION("""COMPUTED_VALUE"""),"Aparecida Amaral Gradisse Silva | História | Aprovado | Thiara: falta assinaturas e carimbos. // Estella aprovado em 16/01/2019. Entregue pessoalmente dia 23/01/2019.")</f>
        <v>Aparecida Amaral Gradisse Silva | História | Aprovado | Thiara: falta assinaturas e carimbos. // Estella aprovado em 16/01/2019. Entregue pessoalmente dia 23/01/2019.</v>
      </c>
      <c r="B424" s="93"/>
    </row>
    <row r="425">
      <c r="A425" s="384" t="str">
        <f>IFERROR(__xludf.DUMMYFUNCTION("""COMPUTED_VALUE"""),"Aparecida De Almeida Do Amaral | Pedagogia | Em análise | Júnio: 41% plágio, acompanhamento de observação e regência tem que passar no nosso modelo padrão de ficha de registro.")</f>
        <v>Aparecida De Almeida Do Amaral | Pedagogia | Em análise | Júnio: 41% plágio, acompanhamento de observação e regência tem que passar no nosso modelo padrão de ficha de registro.</v>
      </c>
      <c r="B425" s="93"/>
    </row>
    <row r="426">
      <c r="A426" s="384" t="str">
        <f>IFERROR(__xludf.DUMMYFUNCTION("""COMPUTED_VALUE"""),"Aparecida De Almeida Neves Do Amaral | Pedagogia | Aprovada | Júnio: pre aprovada PRAZO: 12/06/23 //Júnio: aprovada: 22/06/23")</f>
        <v>Aparecida De Almeida Neves Do Amaral | Pedagogia | Aprovada | Júnio: pre aprovada PRAZO: 12/06/23 //Júnio: aprovada: 22/06/23</v>
      </c>
      <c r="B426" s="93"/>
    </row>
    <row r="427">
      <c r="A427" s="384" t="str">
        <f>IFERROR(__xludf.DUMMYFUNCTION("""COMPUTED_VALUE"""),"Aparecida Dos Reis Azevedo | Pedagogia | Aprovado | Mandei enviar pelo correio, disse que vai entregar pessoalmente à Ana (12/12).")</f>
        <v>Aparecida Dos Reis Azevedo | Pedagogia | Aprovado | Mandei enviar pelo correio, disse que vai entregar pessoalmente à Ana (12/12).</v>
      </c>
      <c r="B427" s="93"/>
    </row>
    <row r="428">
      <c r="A428" s="384" t="str">
        <f>IFERROR(__xludf.DUMMYFUNCTION("""COMPUTED_VALUE"""),"Aparecida Letícia Silveira Cardoso | Ed. Física | Aprovado | Bárbara: trabalho incompleto, sem formatação, com algumas partes ok// Bárbara: aprovada 05/11/2020// Bárbara: imprimido e arquivado 30/12/2020")</f>
        <v>Aparecida Letícia Silveira Cardoso | Ed. Física | Aprovado | Bárbara: trabalho incompleto, sem formatação, com algumas partes ok// Bárbara: aprovada 05/11/2020// Bárbara: imprimido e arquivado 30/12/2020</v>
      </c>
      <c r="B428" s="93"/>
    </row>
    <row r="429">
      <c r="A429" s="384" t="str">
        <f>IFERROR(__xludf.DUMMYFUNCTION("""COMPUTED_VALUE"""),"Aparecida Rosa Da Silva | Letras Port./Ing. | Aprovado | Estella: incomp. Mandei orientações. /// Aprovado em 04/10/2019. Recebido dia 17/10/2019.")</f>
        <v>Aparecida Rosa Da Silva | Letras Port./Ing. | Aprovado | Estella: incomp. Mandei orientações. /// Aprovado em 04/10/2019. Recebido dia 17/10/2019.</v>
      </c>
      <c r="B429" s="93"/>
    </row>
    <row r="430">
      <c r="A430" s="384" t="str">
        <f>IFERROR(__xludf.DUMMYFUNCTION("""COMPUTED_VALUE"""),"Aparecida Salomé Rosa | Filosofia | Aprovada | Bárbara: declaração de experiência válida para isenção da 3ª etapa.  //Júnio: aprovada: 27/06/22 //Júnio: conferido e arquivado: 27/07/22")</f>
        <v>Aparecida Salomé Rosa | Filosofia | Aprovada | Bárbara: declaração de experiência válida para isenção da 3ª etapa.  //Júnio: aprovada: 27/06/22 //Júnio: conferido e arquivado: 27/07/22</v>
      </c>
      <c r="B430" s="93"/>
    </row>
    <row r="431">
      <c r="A431" s="384" t="str">
        <f>IFERROR(__xludf.DUMMYFUNCTION("""COMPUTED_VALUE"""),"Aprovada | Letras Português | Aprovado | Bárbara: aprovada nas 3 primeiras etapas do remoto // Bárbara: conferido e arquivado 15/02/2021 ( aluna enviou declaração física válida")</f>
        <v>Aprovada | Letras Português | Aprovado | Bárbara: aprovada nas 3 primeiras etapas do remoto // Bárbara: conferido e arquivado 15/02/2021 ( aluna enviou declaração física válida</v>
      </c>
      <c r="B431" s="93"/>
    </row>
    <row r="432">
      <c r="A432" s="384" t="str">
        <f>IFERROR(__xludf.DUMMYFUNCTION("""COMPUTED_VALUE"""),"Aquilino Alves De Macedo | Neuropsicopedagogia Instittucional Clínica E Hospitalar | Aprovado | Lucas: Falta considerações finais, e formatação do sumario. //Júnio: aprovado:25/05/22")</f>
        <v>Aquilino Alves De Macedo | Neuropsicopedagogia Instittucional Clínica E Hospitalar | Aprovado | Lucas: Falta considerações finais, e formatação do sumario. //Júnio: aprovado:25/05/22</v>
      </c>
      <c r="B432" s="93"/>
    </row>
    <row r="433">
      <c r="A433" s="384" t="str">
        <f>IFERROR(__xludf.DUMMYFUNCTION("""COMPUTED_VALUE"""),"Aracele Souza Caccavone Primo | Pedagogia | Aprovada  | Bianca: falta carta de apresentação e fichas de registro// Bianca: aprovada 15/10/2021 //Júnio: conferido e arquivado 14/01/2022")</f>
        <v>Aracele Souza Caccavone Primo | Pedagogia | Aprovada  | Bianca: falta carta de apresentação e fichas de registro// Bianca: aprovada 15/10/2021 //Júnio: conferido e arquivado 14/01/2022</v>
      </c>
      <c r="B433" s="93"/>
    </row>
    <row r="434">
      <c r="A434" s="384" t="str">
        <f>IFERROR(__xludf.DUMMYFUNCTION("""COMPUTED_VALUE"""),"Araciane Aparecida Buratti Cardoso | Artes Visuais | Aprovada  | Júnio: pelo guru declaração de experiência válida// Alexsiane; PP aprovado")</f>
        <v>Araciane Aparecida Buratti Cardoso | Artes Visuais | Aprovada  | Júnio: pelo guru declaração de experiência válida// Alexsiane; PP aprovado</v>
      </c>
      <c r="B434" s="93"/>
    </row>
    <row r="435">
      <c r="A435" s="384" t="str">
        <f>IFERROR(__xludf.DUMMYFUNCTION("""COMPUTED_VALUE"""),"Araciane Aparecida Buratti Cardoso | Pedagogia | Em análise | Júnio: pelo guru declaração de experiência válida")</f>
        <v>Araciane Aparecida Buratti Cardoso | Pedagogia | Em análise | Júnio: pelo guru declaração de experiência válida</v>
      </c>
      <c r="B435" s="93"/>
    </row>
    <row r="436">
      <c r="A436" s="384" t="str">
        <f>IFERROR(__xludf.DUMMYFUNCTION("""COMPUTED_VALUE"""),"Ariadne Rafaela Nogueira Lima | Letras/Português-Inglês | Aprovada | Alexsiane: 6% de plágio é falta 16 planos de aula nosso modelo. //Júnio: aprovada: 23/06/22")</f>
        <v>Ariadne Rafaela Nogueira Lima | Letras/Português-Inglês | Aprovada | Alexsiane: 6% de plágio é falta 16 planos de aula nosso modelo. //Júnio: aprovada: 23/06/22</v>
      </c>
      <c r="B436" s="93"/>
    </row>
    <row r="437">
      <c r="A437" s="384" t="str">
        <f>IFERROR(__xludf.DUMMYFUNCTION("""COMPUTED_VALUE"""),"Ariadny Rafaela Valejo Santana | Artes Visuais | Aprovada | Júnio: aprovada - retroativa")</f>
        <v>Ariadny Rafaela Valejo Santana | Artes Visuais | Aprovada | Júnio: aprovada - retroativa</v>
      </c>
      <c r="B437" s="93"/>
    </row>
    <row r="438">
      <c r="A438" s="384" t="str">
        <f>IFERROR(__xludf.DUMMYFUNCTION("""COMPUTED_VALUE"""),"Ariana Guimarães Silva | Pedagogia | Aprovada | Júnio: PP - complementar a etapa I com mais páginas e enviar as etapas dissertativas digitadas. //Júnio: aprovada 18/01/24")</f>
        <v>Ariana Guimarães Silva | Pedagogia | Aprovada | Júnio: PP - complementar a etapa I com mais páginas e enviar as etapas dissertativas digitadas. //Júnio: aprovada 18/01/24</v>
      </c>
      <c r="B438" s="93"/>
    </row>
    <row r="439">
      <c r="A439" s="384" t="str">
        <f>IFERROR(__xludf.DUMMYFUNCTION("""COMPUTED_VALUE"""),"Ariana Jesus De Carvalho | Geografia | Aprovado | Bárbara: apresentou declaração de experiência válida //Bianca: aprovada: 08/07/21")</f>
        <v>Ariana Jesus De Carvalho | Geografia | Aprovado | Bárbara: apresentou declaração de experiência válida //Bianca: aprovada: 08/07/21</v>
      </c>
      <c r="B439" s="93"/>
    </row>
    <row r="440">
      <c r="A440" s="384" t="str">
        <f>IFERROR(__xludf.DUMMYFUNCTION("""COMPUTED_VALUE"""),"Ariane Cristina Do Carmo Diniz | Pedagogia | Pre aprovada | Bárbara: fichas de registro excedendo 6 horas por dia, termo de conclusão com 200 horas e fichas com 300, relatório teórico faltando considerações finais e auto avaliação PRAZO: até 30/09/2022 //"&amp;" Pamela 07/12/2022 Conferido e arquivado ")</f>
        <v>Ariane Cristina Do Carmo Diniz | Pedagogia | Pre aprovada | Bárbara: fichas de registro excedendo 6 horas por dia, termo de conclusão com 200 horas e fichas com 300, relatório teórico faltando considerações finais e auto avaliação PRAZO: até 30/09/2022 // Pamela 07/12/2022 Conferido e arquivado </v>
      </c>
      <c r="B440" s="93"/>
    </row>
    <row r="441">
      <c r="A441" s="384" t="str">
        <f>IFERROR(__xludf.DUMMYFUNCTION("""COMPUTED_VALUE"""),"Ariane Linda Costa | Matemática | Aprovada | Júnio: especificar nas fichas tipo de acompanhamento, tema e série //Júnio: aprovada: 27/07/23")</f>
        <v>Ariane Linda Costa | Matemática | Aprovada | Júnio: especificar nas fichas tipo de acompanhamento, tema e série //Júnio: aprovada: 27/07/23</v>
      </c>
      <c r="B441" s="93"/>
    </row>
    <row r="442">
      <c r="A442" s="384" t="str">
        <f>IFERROR(__xludf.DUMMYFUNCTION("""COMPUTED_VALUE"""),"Aricia Rodrigues Da Silva | Pedagogia | Em análise | Alexsiane: declaclaração de experiencia aceita no e-mail")</f>
        <v>Aricia Rodrigues Da Silva | Pedagogia | Em análise | Alexsiane: declaclaração de experiencia aceita no e-mail</v>
      </c>
      <c r="B442" s="93"/>
    </row>
    <row r="443">
      <c r="A443" s="384" t="str">
        <f>IFERROR(__xludf.DUMMYFUNCTION("""COMPUTED_VALUE"""),"Ariély Maihara Camargo | Neuropsicopedagogia Institucional,Clínica E Hospitalar | Pré-Aprovada | Alexsiane: falta etapa 1,2,3 e elementos pré textuais do remoto atualizado// Alexsiane: pré aprovado com lançamento no sponte")</f>
        <v>Ariély Maihara Camargo | Neuropsicopedagogia Institucional,Clínica E Hospitalar | Pré-Aprovada | Alexsiane: falta etapa 1,2,3 e elementos pré textuais do remoto atualizado// Alexsiane: pré aprovado com lançamento no sponte</v>
      </c>
      <c r="B443" s="93"/>
    </row>
    <row r="444">
      <c r="A444" s="384" t="str">
        <f>IFERROR(__xludf.DUMMYFUNCTION("""COMPUTED_VALUE"""),"Ariély Maihara Camargo | Psicopedagogia Clínica, Institucional E Hospitalar | Em análise | Lucas: falou Etapas 1, 2 e 3, elementos pré/pós textuais e carta de apresentação. ")</f>
        <v>Ariély Maihara Camargo | Psicopedagogia Clínica, Institucional E Hospitalar | Em análise | Lucas: falou Etapas 1, 2 e 3, elementos pré/pós textuais e carta de apresentação. </v>
      </c>
      <c r="B444" s="93"/>
    </row>
    <row r="445">
      <c r="A445" s="384" t="str">
        <f>IFERROR(__xludf.DUMMYFUNCTION("""COMPUTED_VALUE"""),"Arissérgio De Melo | Música | Aprovada | Alexsiane: PP aprovado")</f>
        <v>Arissérgio De Melo | Música | Aprovada | Alexsiane: PP aprovado</v>
      </c>
      <c r="B445" s="93"/>
    </row>
    <row r="446">
      <c r="A446" s="384" t="str">
        <f>IFERROR(__xludf.DUMMYFUNCTION("""COMPUTED_VALUE"""),"Arlene Lúcia de Oliveira Tavares | Segunda Licenciatura em Música | Aprovado | Rayssa: pp aprovado")</f>
        <v>Arlene Lúcia de Oliveira Tavares | Segunda Licenciatura em Música | Aprovado | Rayssa: pp aprovado</v>
      </c>
      <c r="B446" s="93"/>
    </row>
    <row r="447">
      <c r="A447" s="384" t="str">
        <f>IFERROR(__xludf.DUMMYFUNCTION("""COMPUTED_VALUE"""),"Arlete Alves | Pedagogia | Aprovada | Júnio: faltam as fichas de registro PRAZO: 14/10/23 //Júnio: aprovada 11/12/23")</f>
        <v>Arlete Alves | Pedagogia | Aprovada | Júnio: faltam as fichas de registro PRAZO: 14/10/23 //Júnio: aprovada 11/12/23</v>
      </c>
      <c r="B447" s="93"/>
    </row>
    <row r="448">
      <c r="A448" s="384" t="str">
        <f>IFERROR(__xludf.DUMMYFUNCTION("""COMPUTED_VALUE"""),"Arlete Aparecida Do Couto | Letras Português-Inglês | Aprovada | Alexsiane: estágio padrão de 300h, enviou somente fichas de registro( especificar nas fichas o tipo de acompanhamento e a série). Falta todo o restante até dia 06/09 para reenviar //Júnio: p"&amp;"re aprovada: 01/06/23 //Júnio: aprovada: 15/06/23")</f>
        <v>Arlete Aparecida Do Couto | Letras Português-Inglês | Aprovada | Alexsiane: estágio padrão de 300h, enviou somente fichas de registro( especificar nas fichas o tipo de acompanhamento e a série). Falta todo o restante até dia 06/09 para reenviar //Júnio: pre aprovada: 01/06/23 //Júnio: aprovada: 15/06/23</v>
      </c>
      <c r="B448" s="93"/>
    </row>
    <row r="449">
      <c r="A449" s="384" t="str">
        <f>IFERROR(__xludf.DUMMYFUNCTION("""COMPUTED_VALUE"""),"Arlete Gonçalves Fagundes Rodrigues | Letras | Aprovado | Thiara: Não enviou parte escrita do trabalho, horas faltantes e fez mais de 4 horas de estágio por dia.// Ana Flávia: aprovada 04/01/2021// Bárbara: conferido e arquivado 28/05/2021")</f>
        <v>Arlete Gonçalves Fagundes Rodrigues | Letras | Aprovado | Thiara: Não enviou parte escrita do trabalho, horas faltantes e fez mais de 4 horas de estágio por dia.// Ana Flávia: aprovada 04/01/2021// Bárbara: conferido e arquivado 28/05/2021</v>
      </c>
      <c r="B449" s="93"/>
    </row>
    <row r="450">
      <c r="A450" s="384" t="str">
        <f>IFERROR(__xludf.DUMMYFUNCTION("""COMPUTED_VALUE"""),"Arlete Martins Gomes Estanislau | Artes Visuais | Aprovada | Bárbara: aprovada nas 3 primeiras etapas do remoto e apresentou declaração de experiência válida")</f>
        <v>Arlete Martins Gomes Estanislau | Artes Visuais | Aprovada | Bárbara: aprovada nas 3 primeiras etapas do remoto e apresentou declaração de experiência válida</v>
      </c>
      <c r="B450" s="93"/>
    </row>
    <row r="451">
      <c r="A451" s="384" t="str">
        <f>IFERROR(__xludf.DUMMYFUNCTION("""COMPUTED_VALUE"""),"Arlete Sales De Almeida | Filosofia | Aprovado | Bárbara: aprovado nas 3 primeiras etapas do remoto e aguardando a última. // Bárbara: aprovado na 4ª etapa 06/01/2021")</f>
        <v>Arlete Sales De Almeida | Filosofia | Aprovado | Bárbara: aprovado nas 3 primeiras etapas do remoto e aguardando a última. // Bárbara: aprovado na 4ª etapa 06/01/2021</v>
      </c>
      <c r="B451" s="93"/>
    </row>
    <row r="452">
      <c r="A452" s="384" t="str">
        <f>IFERROR(__xludf.DUMMYFUNCTION("""COMPUTED_VALUE"""),"Arlete Sales De Almeida | Pedagogia | Aprovada | Bianca: autorizada a recolher assinaturas, falta etapa 1,2 e 3//Júnio: conferido e arquivado 03/12/21")</f>
        <v>Arlete Sales De Almeida | Pedagogia | Aprovada | Bianca: autorizada a recolher assinaturas, falta etapa 1,2 e 3//Júnio: conferido e arquivado 03/12/21</v>
      </c>
      <c r="B452" s="93"/>
    </row>
    <row r="453">
      <c r="A453" s="384" t="str">
        <f>IFERROR(__xludf.DUMMYFUNCTION("""COMPUTED_VALUE"""),"Arlete Vinhote Picanço | Pedagogia | Aprovada | Júnio: nas fichas de registro o dia 5/6 está ultrapassando 6 horas e precisa refazer a primeira ficha pois na terceira linha tem data incorreta e na quarta linha rasura de caneta. //Júnio: aprovada: 08/12/23")</f>
        <v>Arlete Vinhote Picanço | Pedagogia | Aprovada | Júnio: nas fichas de registro o dia 5/6 está ultrapassando 6 horas e precisa refazer a primeira ficha pois na terceira linha tem data incorreta e na quarta linha rasura de caneta. //Júnio: aprovada: 08/12/23</v>
      </c>
      <c r="B453" s="93"/>
    </row>
    <row r="454">
      <c r="A454" s="384" t="str">
        <f>IFERROR(__xludf.DUMMYFUNCTION("""COMPUTED_VALUE"""),"Arlindo Da Cunha Pereira Neto | Matemática | Aprovado | Júnio: pré aprovado, fez em hora/aula. //Júnio: aprovado: 18/05/23")</f>
        <v>Arlindo Da Cunha Pereira Neto | Matemática | Aprovado | Júnio: pré aprovado, fez em hora/aula. //Júnio: aprovado: 18/05/23</v>
      </c>
      <c r="B454" s="93"/>
    </row>
    <row r="455">
      <c r="A455" s="384" t="str">
        <f>IFERROR(__xludf.DUMMYFUNCTION("""COMPUTED_VALUE"""),"Armando Gomes Silva | Letras Português Inglês | Aprovado | Júnio: nas fichas de registro vários dias estão com total diário errado e ultrapassando 6 hs.PRAZO: 09/10/2023// Alexsiane: estágio aprovado")</f>
        <v>Armando Gomes Silva | Letras Português Inglês | Aprovado | Júnio: nas fichas de registro vários dias estão com total diário errado e ultrapassando 6 hs.PRAZO: 09/10/2023// Alexsiane: estágio aprovado</v>
      </c>
      <c r="B455" s="93"/>
    </row>
    <row r="456">
      <c r="A456" s="384" t="str">
        <f>IFERROR(__xludf.DUMMYFUNCTION("""COMPUTED_VALUE"""),"Arnaldo Barros Dos Santos | Geografia | Aprovado | Júnio: PP: 27% plágio PRAZO: 18/12/2023 //Júnio: aprovado: 29/12/2023")</f>
        <v>Arnaldo Barros Dos Santos | Geografia | Aprovado | Júnio: PP: 27% plágio PRAZO: 18/12/2023 //Júnio: aprovado: 29/12/2023</v>
      </c>
      <c r="B456" s="93"/>
    </row>
    <row r="457">
      <c r="A457" s="384" t="str">
        <f>IFERROR(__xludf.DUMMYFUNCTION("""COMPUTED_VALUE"""),"Arnaldo Da Silva Lino | Pedagogia | Aprovada | Alexsiane: Falta a 2° etapa das PP// pp aprovado 10/05")</f>
        <v>Arnaldo Da Silva Lino | Pedagogia | Aprovada | Alexsiane: Falta a 2° etapa das PP// pp aprovado 10/05</v>
      </c>
      <c r="B457" s="93"/>
    </row>
    <row r="458">
      <c r="A458" s="384" t="str">
        <f>IFERROR(__xludf.DUMMYFUNCTION("""COMPUTED_VALUE"""),"Arnaldo Rogério Vieira | 2ª Licenciatura Pedagogia | Aprovado | Cris: PP aprovado")</f>
        <v>Arnaldo Rogério Vieira | 2ª Licenciatura Pedagogia | Aprovado | Cris: PP aprovado</v>
      </c>
      <c r="B458" s="93"/>
    </row>
    <row r="459">
      <c r="A459" s="384" t="str">
        <f>IFERROR(__xludf.DUMMYFUNCTION("""COMPUTED_VALUE"""),"Artemilson Santana Lima | História | Aprovado | Alexsiane: falta resumo, sumario, 19 planos de aula,declaração não aceita pois não espefica qual o cargo. até dia 15/07/2022 para reenvira //// Edilaine: Aprovado 08/03/2023")</f>
        <v>Artemilson Santana Lima | História | Aprovado | Alexsiane: falta resumo, sumario, 19 planos de aula,declaração não aceita pois não espefica qual o cargo. até dia 15/07/2022 para reenvira //// Edilaine: Aprovado 08/03/2023</v>
      </c>
      <c r="B459" s="93"/>
    </row>
    <row r="460">
      <c r="A460" s="384" t="str">
        <f>IFERROR(__xludf.DUMMYFUNCTION("""COMPUTED_VALUE"""),"Arthur Henrique Silva | Música | Aprovado | Júnio: PP - preencher na carta de apresentação o nome do curso e 51% de similaridade das etapas dissertativas em relaçao ao outro curso. //Júnio: PP aprovado 26/01/24")</f>
        <v>Arthur Henrique Silva | Música | Aprovado | Júnio: PP - preencher na carta de apresentação o nome do curso e 51% de similaridade das etapas dissertativas em relaçao ao outro curso. //Júnio: PP aprovado 26/01/24</v>
      </c>
      <c r="B460" s="93"/>
    </row>
    <row r="461">
      <c r="A461" s="384" t="str">
        <f>IFERROR(__xludf.DUMMYFUNCTION("""COMPUTED_VALUE"""),"Arthur Henrique Silva | Educação Especial | Aprovado | Júnio: PP aprovado")</f>
        <v>Arthur Henrique Silva | Educação Especial | Aprovado | Júnio: PP aprovado</v>
      </c>
      <c r="B461" s="93"/>
    </row>
    <row r="462">
      <c r="A462" s="384" t="str">
        <f>IFERROR(__xludf.DUMMYFUNCTION("""COMPUTED_VALUE"""),"Arthur Veloso Leal Ardizzoni | Formação Pedagógica Em Pedagogia | Análise | Rayssa Falta entrevista")</f>
        <v>Arthur Veloso Leal Ardizzoni | Formação Pedagógica Em Pedagogia | Análise | Rayssa Falta entrevista</v>
      </c>
      <c r="B462" s="93"/>
    </row>
    <row r="463">
      <c r="A463" s="384" t="str">
        <f>IFERROR(__xludf.DUMMYFUNCTION("""COMPUTED_VALUE"""),"Artunho De Araujo Farias | Letras – Português E Inglês | Aprovado | Alexsiane: estágio aprovado")</f>
        <v>Artunho De Araujo Farias | Letras – Português E Inglês | Aprovado | Alexsiane: estágio aprovado</v>
      </c>
      <c r="B463" s="93"/>
    </row>
    <row r="464">
      <c r="A464" s="384" t="str">
        <f>IFERROR(__xludf.DUMMYFUNCTION("""COMPUTED_VALUE"""),"Artunho De Araújo Farias | Letras - Português / Inglês | Em análise | Alexsiane: declaração de experiência aceita no guru e carta de apresentação certa no gmail")</f>
        <v>Artunho De Araújo Farias | Letras - Português / Inglês | Em análise | Alexsiane: declaração de experiência aceita no guru e carta de apresentação certa no gmail</v>
      </c>
      <c r="B464" s="93"/>
    </row>
    <row r="465">
      <c r="A465" s="384" t="str">
        <f>IFERROR(__xludf.DUMMYFUNCTION("""COMPUTED_VALUE"""),"Artur Charczuk | Filosofia | Aprovado | Aline: Aprovado ")</f>
        <v>Artur Charczuk | Filosofia | Aprovado | Aline: Aprovado </v>
      </c>
      <c r="B465" s="93"/>
    </row>
    <row r="466">
      <c r="A466" s="384" t="str">
        <f>IFERROR(__xludf.DUMMYFUNCTION("""COMPUTED_VALUE"""),"Artur Charczuk | Letras Inglês | Aprovado | Júnio: pré aprovado// Alexsiane: aprovado 01/03/24")</f>
        <v>Artur Charczuk | Letras Inglês | Aprovado | Júnio: pré aprovado// Alexsiane: aprovado 01/03/24</v>
      </c>
      <c r="B466" s="93"/>
    </row>
    <row r="467">
      <c r="A467" s="384" t="str">
        <f>IFERROR(__xludf.DUMMYFUNCTION("""COMPUTED_VALUE"""),"Ataildo Ferreira Barbosa | Música | Aprovado | Júnio: PP aprovado")</f>
        <v>Ataildo Ferreira Barbosa | Música | Aprovado | Júnio: PP aprovado</v>
      </c>
      <c r="B467" s="93"/>
    </row>
    <row r="468">
      <c r="A468" s="384" t="str">
        <f>IFERROR(__xludf.DUMMYFUNCTION("""COMPUTED_VALUE"""),"Audelina De Jesus Macieira Dos Santos | Ciências Sociais | Aprovado | Alexsiane: pp falta encaminhar a entrevista digitada// Cristiane pp ap")</f>
        <v>Audelina De Jesus Macieira Dos Santos | Ciências Sociais | Aprovado | Alexsiane: pp falta encaminhar a entrevista digitada// Cristiane pp ap</v>
      </c>
      <c r="B468" s="93"/>
    </row>
    <row r="469">
      <c r="A469" s="384" t="str">
        <f>IFERROR(__xludf.DUMMYFUNCTION("""COMPUTED_VALUE"""),"Aulizandra Dos Santos Correa | Pedagogia | Aprovada | Júnio: estágio padrão - falta 1 plano de aula, faltam 74 horas na ficha de registro ou declaração de experrência para abate-las PRAZO: 13/01/23// Alexsiane: pré aprovada com lançamento no sponte// Pame"&amp;"la 04/04/2023 conferido e arquivado com autenticação. ")</f>
        <v>Aulizandra Dos Santos Correa | Pedagogia | Aprovada | Júnio: estágio padrão - falta 1 plano de aula, faltam 74 horas na ficha de registro ou declaração de experrência para abate-las PRAZO: 13/01/23// Alexsiane: pré aprovada com lançamento no sponte// Pamela 04/04/2023 conferido e arquivado com autenticação. </v>
      </c>
      <c r="B469" s="93"/>
    </row>
    <row r="470">
      <c r="A470" s="384" t="str">
        <f>IFERROR(__xludf.DUMMYFUNCTION("""COMPUTED_VALUE"""),"Aurea Lucia Isidoro Russafa | Artes Visuais | Aprovada | Bianca: aprovada nas 4 etapas do remoto antigo")</f>
        <v>Aurea Lucia Isidoro Russafa | Artes Visuais | Aprovada | Bianca: aprovada nas 4 etapas do remoto antigo</v>
      </c>
      <c r="B470" s="93"/>
    </row>
    <row r="471">
      <c r="A471" s="384" t="str">
        <f>IFERROR(__xludf.DUMMYFUNCTION("""COMPUTED_VALUE"""),"Aurilene Andrade Leal | Pedagogia | Aprovada | Júnio: pelo guru declaração de experiência válida //Júnio: aprovada: 24/08/23")</f>
        <v>Aurilene Andrade Leal | Pedagogia | Aprovada | Júnio: pelo guru declaração de experiência válida //Júnio: aprovada: 24/08/23</v>
      </c>
      <c r="B471" s="93"/>
    </row>
    <row r="472">
      <c r="A472" s="384" t="str">
        <f>IFERROR(__xludf.DUMMYFUNCTION("""COMPUTED_VALUE"""),"Avany Viana De Oliveira | Ciências Sociais | Aprovado | Bárbara: aluna aprovada etapas 1, 2 e 3, aguardando o agendamento da 4ª etapa.// Bárbara: aprovada 4ª etapa 21/10/2020// Bárbara: conferido e arquivado 04/02/2021")</f>
        <v>Avany Viana De Oliveira | Ciências Sociais | Aprovado | Bárbara: aluna aprovada etapas 1, 2 e 3, aguardando o agendamento da 4ª etapa.// Bárbara: aprovada 4ª etapa 21/10/2020// Bárbara: conferido e arquivado 04/02/2021</v>
      </c>
      <c r="B472" s="93"/>
    </row>
    <row r="473">
      <c r="A473" s="384" t="str">
        <f>IFERROR(__xludf.DUMMYFUNCTION("""COMPUTED_VALUE"""),"Averiana Castro De Oliveira | Artes Visuais | Aprovado | Aline Silva: falta completar as considerações finais, faltam as horas do ensino medio e fundamental, e fichas.// aprovado dia 07/01/2020// Recebido dia 13/01/2020")</f>
        <v>Averiana Castro De Oliveira | Artes Visuais | Aprovado | Aline Silva: falta completar as considerações finais, faltam as horas do ensino medio e fundamental, e fichas.// aprovado dia 07/01/2020// Recebido dia 13/01/2020</v>
      </c>
      <c r="B473" s="93"/>
    </row>
    <row r="474">
      <c r="A474" s="384" t="str">
        <f>IFERROR(__xludf.DUMMYFUNCTION("""COMPUTED_VALUE"""),"Avila Maria Caetano Da Silva | Pedagogia | Aprovada | Bianca: Fichas preenchidas de forma incorreta//Bianca: aprovado em 07/01/22 //Júnio:conferido e arquivado: 11/02/22")</f>
        <v>Avila Maria Caetano Da Silva | Pedagogia | Aprovada | Bianca: Fichas preenchidas de forma incorreta//Bianca: aprovado em 07/01/22 //Júnio:conferido e arquivado: 11/02/22</v>
      </c>
      <c r="B474" s="93"/>
    </row>
    <row r="475">
      <c r="A475" s="384" t="str">
        <f>IFERROR(__xludf.DUMMYFUNCTION("""COMPUTED_VALUE"""),"Ayra Da Silva Martins | Psicopedagogia Clínica, Institucional E Hospitalar | Aprovada | Júnio: aprovada - orientação de estágio de licenciatura enviada a aluna por engano, no entanto como o trabalho dela s eencontra impecável aceitaremos em caráter excepc"&amp;"ional")</f>
        <v>Ayra Da Silva Martins | Psicopedagogia Clínica, Institucional E Hospitalar | Aprovada | Júnio: aprovada - orientação de estágio de licenciatura enviada a aluna por engano, no entanto como o trabalho dela s eencontra impecável aceitaremos em caráter excepcional</v>
      </c>
      <c r="B475" s="93"/>
    </row>
    <row r="476">
      <c r="A476" s="384" t="str">
        <f>IFERROR(__xludf.DUMMYFUNCTION("""COMPUTED_VALUE"""),"Ayrson Souza Santos | Pedagogia | Aprovado | Bárbara: aprovada nas 3 primeiras etapas do remoto. Aguardando a última. //Bárbara: aprovado 28/12/2020")</f>
        <v>Ayrson Souza Santos | Pedagogia | Aprovado | Bárbara: aprovada nas 3 primeiras etapas do remoto. Aguardando a última. //Bárbara: aprovado 28/12/2020</v>
      </c>
      <c r="B476" s="93"/>
    </row>
    <row r="477">
      <c r="A477" s="384" t="str">
        <f>IFERROR(__xludf.DUMMYFUNCTION("""COMPUTED_VALUE"""),"Azenaite Maria Miranda | Artes Visuais | Aprovada | Júnio: remoto antigo, falta fazer 17 planos de aula//  Alexsiane:Aprovada com lançamento no sponte")</f>
        <v>Azenaite Maria Miranda | Artes Visuais | Aprovada | Júnio: remoto antigo, falta fazer 17 planos de aula//  Alexsiane:Aprovada com lançamento no sponte</v>
      </c>
      <c r="B477" s="93"/>
    </row>
    <row r="478">
      <c r="A478" s="384" t="str">
        <f>IFERROR(__xludf.DUMMYFUNCTION("""COMPUTED_VALUE"""),"Azenaite Maria Miranda | Música | Aprovado | Alexsiane: pp aprovado")</f>
        <v>Azenaite Maria Miranda | Música | Aprovado | Alexsiane: pp aprovado</v>
      </c>
      <c r="B478" s="93"/>
    </row>
    <row r="479">
      <c r="A479" s="384" t="str">
        <f>IFERROR(__xludf.DUMMYFUNCTION("""COMPUTED_VALUE"""),"Azenita Cardoso Lima De Moura | Artes Visuais | Aprovada | Bárbara: aprovada em todas as etapas //Amélia 05/02 Trabalho carimbado e entregue a secretaria. //Bárbara:conferido e arquivado: 16/06/2021")</f>
        <v>Azenita Cardoso Lima De Moura | Artes Visuais | Aprovada | Bárbara: aprovada em todas as etapas //Amélia 05/02 Trabalho carimbado e entregue a secretaria. //Bárbara:conferido e arquivado: 16/06/2021</v>
      </c>
      <c r="B479" s="93"/>
    </row>
    <row r="480">
      <c r="A480" s="384" t="str">
        <f>IFERROR(__xludf.DUMMYFUNCTION("""COMPUTED_VALUE"""),"Aziel Barcelo Da Silveira | Ciências Sociais | Em análise | Bianca: fez apenas 3 planos de aula, outras etapas ok // Bianca: aprovado 07/04/2021")</f>
        <v>Aziel Barcelo Da Silveira | Ciências Sociais | Em análise | Bianca: fez apenas 3 planos de aula, outras etapas ok // Bianca: aprovado 07/04/2021</v>
      </c>
      <c r="B480" s="93"/>
    </row>
    <row r="481">
      <c r="A481" s="384" t="str">
        <f>IFERROR(__xludf.DUMMYFUNCTION("""COMPUTED_VALUE"""),"Bárbara Caroline Neto Oliveira | História | Aprovada | Alexsiane:Aprovado com lançamento no Jacad")</f>
        <v>Bárbara Caroline Neto Oliveira | História | Aprovada | Alexsiane:Aprovado com lançamento no Jacad</v>
      </c>
      <c r="B481" s="93"/>
    </row>
    <row r="482">
      <c r="A482" s="384" t="str">
        <f>IFERROR(__xludf.DUMMYFUNCTION("""COMPUTED_VALUE"""),"Bárbara Carvalho Guimarães Leão | Matemática | Aprovado | Júnio: remoto antigo - declaração válida da 4ª etapa e 1 plano de aula. Fazer todo o resto // Lucas: Aprovada no estagio remoto antigo")</f>
        <v>Bárbara Carvalho Guimarães Leão | Matemática | Aprovado | Júnio: remoto antigo - declaração válida da 4ª etapa e 1 plano de aula. Fazer todo o resto // Lucas: Aprovada no estagio remoto antigo</v>
      </c>
      <c r="B482" s="93"/>
    </row>
    <row r="483">
      <c r="A483" s="384" t="str">
        <f>IFERROR(__xludf.DUMMYFUNCTION("""COMPUTED_VALUE"""),"Bárbara Gomes Leal Viana | Pedagogia | Em análise | Júnio - Estágio Padrão - 28% plágio, declaração de experiencia não foi válida, falta 1 plano de aula e as fichas de registros. PRAZO: 07/01/23 ATUALIZAÇÃO  PRAZO: 30/03/23")</f>
        <v>Bárbara Gomes Leal Viana | Pedagogia | Em análise | Júnio - Estágio Padrão - 28% plágio, declaração de experiencia não foi válida, falta 1 plano de aula e as fichas de registros. PRAZO: 07/01/23 ATUALIZAÇÃO  PRAZO: 30/03/23</v>
      </c>
      <c r="B483" s="93"/>
    </row>
    <row r="484">
      <c r="A484" s="384" t="str">
        <f>IFERROR(__xludf.DUMMYFUNCTION("""COMPUTED_VALUE"""),"Bárbara Maria De Lana Luiz | Ciências Sociais | Apeovada | Edilaine: 10,71% de plágio. Falta assinatura na declaração de experiência.//Alexsiane: aprovada com lançamento no Jacad")</f>
        <v>Bárbara Maria De Lana Luiz | Ciências Sociais | Apeovada | Edilaine: 10,71% de plágio. Falta assinatura na declaração de experiência.//Alexsiane: aprovada com lançamento no Jacad</v>
      </c>
      <c r="B484" s="93"/>
    </row>
    <row r="485">
      <c r="A485" s="384" t="str">
        <f>IFERROR(__xludf.DUMMYFUNCTION("""COMPUTED_VALUE"""),"Bárbara Maria De Lana Luiz | Pedagogia | Aprovada | Lucas: Complemnetar planos de aula, realizar capa, contra capa, sumario, introdução, conclusão, e etapa 2(houve plagio total) //Júnio: aprovada na aula online: 05/05/22")</f>
        <v>Bárbara Maria De Lana Luiz | Pedagogia | Aprovada | Lucas: Complemnetar planos de aula, realizar capa, contra capa, sumario, introdução, conclusão, e etapa 2(houve plagio total) //Júnio: aprovada na aula online: 05/05/22</v>
      </c>
      <c r="B485" s="93"/>
    </row>
    <row r="486">
      <c r="A486" s="384" t="str">
        <f>IFERROR(__xludf.DUMMYFUNCTION("""COMPUTED_VALUE"""),"Bárbara Maria Moia Capellazzo | Artes Visuais | Aprovado | Bárbara: aprovada nas 3 primeiras etapas do remoto// Ana Flávia: aprovada 4ª etapa 06/01/2021//Bárbara: conferido e arquivado 15/02/2021")</f>
        <v>Bárbara Maria Moia Capellazzo | Artes Visuais | Aprovado | Bárbara: aprovada nas 3 primeiras etapas do remoto// Ana Flávia: aprovada 4ª etapa 06/01/2021//Bárbara: conferido e arquivado 15/02/2021</v>
      </c>
      <c r="B486" s="93"/>
    </row>
    <row r="487">
      <c r="A487" s="384" t="str">
        <f>IFERROR(__xludf.DUMMYFUNCTION("""COMPUTED_VALUE"""),"Barbara Wotter Dutra | Pedagogia | Aprovado | Alexsiane: corrigir a rasura na data da carta de apresentação.// Alexsiane: pp aprovado 23/02")</f>
        <v>Barbara Wotter Dutra | Pedagogia | Aprovado | Alexsiane: corrigir a rasura na data da carta de apresentação.// Alexsiane: pp aprovado 23/02</v>
      </c>
      <c r="B487" s="93"/>
    </row>
    <row r="488">
      <c r="A488" s="384" t="str">
        <f>IFERROR(__xludf.DUMMYFUNCTION("""COMPUTED_VALUE"""),"Bárbara: Aluna Encaminhou Somente As Fichas De Registro, Autorizada A Recolher Assinaturas, Falta Todo O Resto. //Lucas: Conferido E Arquivado Dia 13/03/2023 | Pedagogia | pré aprovado | Alexsiane:5,08% de plágio//Alexsiane: pré aprovado com lançamento no"&amp;" jacad")</f>
        <v>Bárbara: Aluna Encaminhou Somente As Fichas De Registro, Autorizada A Recolher Assinaturas, Falta Todo O Resto. //Lucas: Conferido E Arquivado Dia 13/03/2023 | Pedagogia | pré aprovado | Alexsiane:5,08% de plágio//Alexsiane: pré aprovado com lançamento no jacad</v>
      </c>
      <c r="B488" s="93"/>
    </row>
    <row r="489">
      <c r="A489" s="384" t="str">
        <f>IFERROR(__xludf.DUMMYFUNCTION("""COMPUTED_VALUE"""),"Beanice Helena De Souza Oliveira | Letras Port. Ingl. | Aprovado | Thiara: Apresentou 216 horas do Ens. Fundam. 108 do Ensino médio mas não fez Gestão e Estrutura Escolar.// Aline Silva: aprovada dia 13/02 com ressalva, com base na correção anterior da tu"&amp;"tora Thiara. // Recebido dia 06/03/2020// Bárbara: conferido e arquivado 09/09/2020")</f>
        <v>Beanice Helena De Souza Oliveira | Letras Port. Ingl. | Aprovado | Thiara: Apresentou 216 horas do Ens. Fundam. 108 do Ensino médio mas não fez Gestão e Estrutura Escolar.// Aline Silva: aprovada dia 13/02 com ressalva, com base na correção anterior da tutora Thiara. // Recebido dia 06/03/2020// Bárbara: conferido e arquivado 09/09/2020</v>
      </c>
      <c r="B489" s="93"/>
    </row>
    <row r="490">
      <c r="A490" s="384" t="str">
        <f>IFERROR(__xludf.DUMMYFUNCTION("""COMPUTED_VALUE"""),"Beatriz Cristina Batista Rodrigues | Geografia | Aprovada | Júnio: PP - etapas: ok Inicio: 16/07/2023 Reenviar: 16/01/2024 //Júnio: aprovada: 17/01/24")</f>
        <v>Beatriz Cristina Batista Rodrigues | Geografia | Aprovada | Júnio: PP - etapas: ok Inicio: 16/07/2023 Reenviar: 16/01/2024 //Júnio: aprovada: 17/01/24</v>
      </c>
      <c r="B490" s="93"/>
    </row>
    <row r="491">
      <c r="A491" s="384" t="str">
        <f>IFERROR(__xludf.DUMMYFUNCTION("""COMPUTED_VALUE"""),"Beatriz Cristina Batista Rodrigues | Pedagogia | Em análise | Alexsiane: Tem que enviar o trablaho em word editável 15/09/24 reenviar")</f>
        <v>Beatriz Cristina Batista Rodrigues | Pedagogia | Em análise | Alexsiane: Tem que enviar o trablaho em word editável 15/09/24 reenviar</v>
      </c>
      <c r="B491" s="93"/>
    </row>
    <row r="492">
      <c r="A492" s="384" t="str">
        <f>IFERROR(__xludf.DUMMYFUNCTION("""COMPUTED_VALUE"""),"Beatriz De Freitas Solana | Pedagogia | Aprovada | Alexsiane:23%de plágio, deve especificar nas fichas o tema e a turma. até dia 02/06/2022 para reenviar //Júnio:aprovada: 30/06/22")</f>
        <v>Beatriz De Freitas Solana | Pedagogia | Aprovada | Alexsiane:23%de plágio, deve especificar nas fichas o tema e a turma. até dia 02/06/2022 para reenviar //Júnio:aprovada: 30/06/22</v>
      </c>
      <c r="B492" s="93"/>
    </row>
    <row r="493">
      <c r="A493" s="384" t="str">
        <f>IFERROR(__xludf.DUMMYFUNCTION("""COMPUTED_VALUE"""),"Beatriz De Freitas Solana | Psicopedagogia Ins, Clin E Ef | Aprovado  | Bárbara: aprovada e autorizada enviar o físico ")</f>
        <v>Beatriz De Freitas Solana | Psicopedagogia Ins, Clin E Ef | Aprovado  | Bárbara: aprovada e autorizada enviar o físico </v>
      </c>
      <c r="B493" s="93"/>
    </row>
    <row r="494">
      <c r="A494" s="384" t="str">
        <f>IFERROR(__xludf.DUMMYFUNCTION("""COMPUTED_VALUE"""),"Beatriz Ferreira Santos | Artes Visuais | Aprovado | Ana Flávia: aprovado nas 3 primeiras etapas do remoto //Júnio: conferido e arquivado: 16/06/2021")</f>
        <v>Beatriz Ferreira Santos | Artes Visuais | Aprovado | Ana Flávia: aprovado nas 3 primeiras etapas do remoto //Júnio: conferido e arquivado: 16/06/2021</v>
      </c>
      <c r="B494" s="93"/>
    </row>
    <row r="495">
      <c r="A495" s="384" t="str">
        <f>IFERROR(__xludf.DUMMYFUNCTION("""COMPUTED_VALUE"""),"Beatriz Freitas Gonçalves Martins | Pedagogia | Aprovado | Aline Silva: falta recolher assinaturas e termo de compromisso. //Bárbara: corrigiu as assinaturas. Trabalho OK, conferido e arquivado 08/04/2021")</f>
        <v>Beatriz Freitas Gonçalves Martins | Pedagogia | Aprovado | Aline Silva: falta recolher assinaturas e termo de compromisso. //Bárbara: corrigiu as assinaturas. Trabalho OK, conferido e arquivado 08/04/2021</v>
      </c>
      <c r="B495" s="93"/>
    </row>
    <row r="496">
      <c r="A496" s="384" t="str">
        <f>IFERROR(__xludf.DUMMYFUNCTION("""COMPUTED_VALUE"""),"Beatriz Neri Nascimento | Pedagogia | Aprovada | Edilaine: Aprovada com lançamento na Jacad.")</f>
        <v>Beatriz Neri Nascimento | Pedagogia | Aprovada | Edilaine: Aprovada com lançamento na Jacad.</v>
      </c>
      <c r="B496" s="93"/>
    </row>
    <row r="497">
      <c r="A497" s="384" t="str">
        <f>IFERROR(__xludf.DUMMYFUNCTION("""COMPUTED_VALUE"""),"Beatriz Pereira Da Costa Assis | Pedagogia | aprovada | Bianca: Aprovada nas 4 etapas")</f>
        <v>Beatriz Pereira Da Costa Assis | Pedagogia | aprovada | Bianca: Aprovada nas 4 etapas</v>
      </c>
      <c r="B497" s="93"/>
    </row>
    <row r="498">
      <c r="A498" s="384" t="str">
        <f>IFERROR(__xludf.DUMMYFUNCTION("""COMPUTED_VALUE"""),"Beatriz Silvério Mariano | Segunda Licenciatura Em Educação Especial | Aprovado | Rayssa pp aprovado")</f>
        <v>Beatriz Silvério Mariano | Segunda Licenciatura Em Educação Especial | Aprovado | Rayssa pp aprovado</v>
      </c>
      <c r="B498" s="93"/>
    </row>
    <row r="499">
      <c r="A499" s="384" t="str">
        <f>IFERROR(__xludf.DUMMYFUNCTION("""COMPUTED_VALUE"""),"Beatriz Sitta Moreira | Artes Visuais | - | Júnio: faltam 19 planos de aula")</f>
        <v>Beatriz Sitta Moreira | Artes Visuais | - | Júnio: faltam 19 planos de aula</v>
      </c>
      <c r="B499" s="93"/>
    </row>
    <row r="500">
      <c r="A500" s="384" t="str">
        <f>IFERROR(__xludf.DUMMYFUNCTION("""COMPUTED_VALUE"""),"Ben-Hail Harrison Guimarães | Letras Inglês | Em análise | Júnio: pelo guru declaração de experiencia válida")</f>
        <v>Ben-Hail Harrison Guimarães | Letras Inglês | Em análise | Júnio: pelo guru declaração de experiencia válida</v>
      </c>
      <c r="B500" s="93"/>
    </row>
    <row r="501">
      <c r="A501" s="384" t="str">
        <f>IFERROR(__xludf.DUMMYFUNCTION("""COMPUTED_VALUE"""),"Ben-Hail Harrison Guimarães | Formação Pedagógica Em Letras - Inglês | em análise | J")</f>
        <v>Ben-Hail Harrison Guimarães | Formação Pedagógica Em Letras - Inglês | em análise | J</v>
      </c>
      <c r="B501" s="93"/>
    </row>
    <row r="502">
      <c r="A502" s="384" t="str">
        <f>IFERROR(__xludf.DUMMYFUNCTION("""COMPUTED_VALUE"""),"Benedita Sozete Valiente Fernandes | Pedagogia | Aaprovada | Bárbara: aprovada em todas as etapas")</f>
        <v>Benedita Sozete Valiente Fernandes | Pedagogia | Aaprovada | Bárbara: aprovada em todas as etapas</v>
      </c>
      <c r="B502" s="93"/>
    </row>
    <row r="503">
      <c r="A503" s="384" t="str">
        <f>IFERROR(__xludf.DUMMYFUNCTION("""COMPUTED_VALUE"""),"Benedito Aparecido De Lima | Letras Português Espanhol | Aprovado | Júnio: pelo guru declaração de experiencia válida //Júnio: aprovado 20/12/23")</f>
        <v>Benedito Aparecido De Lima | Letras Português Espanhol | Aprovado | Júnio: pelo guru declaração de experiencia válida //Júnio: aprovado 20/12/23</v>
      </c>
      <c r="B503" s="93"/>
    </row>
    <row r="504">
      <c r="A504" s="384" t="str">
        <f>IFERROR(__xludf.DUMMYFUNCTION("""COMPUTED_VALUE"""),"Berenice Dos Santos Souza | Letras Português Inglês | Aprovada | Júnio: remoto atualizado: total da ficha de registro deu 104  102 horas 25 minutos, aluno colocou 104, pedi para consertar ficha de registro e colocar de forma diaria// Alexsiane: Pré aprova"&amp;"do // Pamela 09/01/2023 Conferido e arquivado. ")</f>
        <v>Berenice Dos Santos Souza | Letras Português Inglês | Aprovada | Júnio: remoto atualizado: total da ficha de registro deu 104  102 horas 25 minutos, aluno colocou 104, pedi para consertar ficha de registro e colocar de forma diaria// Alexsiane: Pré aprovado // Pamela 09/01/2023 Conferido e arquivado. </v>
      </c>
      <c r="B504" s="93"/>
    </row>
    <row r="505">
      <c r="A505" s="384" t="str">
        <f>IFERROR(__xludf.DUMMYFUNCTION("""COMPUTED_VALUE"""),"Berenice Gedoz Seimetz | Pedagogia | Aprovada | Bianca: Falta etapa 4 do estágio remoto atualizado. //Júnio: aprovada: 16/12/2021")</f>
        <v>Berenice Gedoz Seimetz | Pedagogia | Aprovada | Bianca: Falta etapa 4 do estágio remoto atualizado. //Júnio: aprovada: 16/12/2021</v>
      </c>
      <c r="B505" s="93"/>
    </row>
    <row r="506">
      <c r="A506" s="384" t="str">
        <f>IFERROR(__xludf.DUMMYFUNCTION("""COMPUTED_VALUE"""),"Bernadete Aparecida Fernandes | Neuropsicopedagogia Institucional Clínica E Hospitalar | Aprovado | Lucas: Aprovada no estagio remoto pós.")</f>
        <v>Bernadete Aparecida Fernandes | Neuropsicopedagogia Institucional Clínica E Hospitalar | Aprovado | Lucas: Aprovada no estagio remoto pós.</v>
      </c>
      <c r="B506" s="93"/>
    </row>
    <row r="507">
      <c r="A507" s="384" t="str">
        <f>IFERROR(__xludf.DUMMYFUNCTION("""COMPUTED_VALUE"""),"Bernadete Rossi Barbosa Fantin | Pedagogia | Aprovada | Alexsiane: corrigir o total de horas por dia que está errado.31/12 reenviar //Júnio: pré aprovada: 03/01/23// Pamela 24/01/23 Conferido e arquivado. ")</f>
        <v>Bernadete Rossi Barbosa Fantin | Pedagogia | Aprovada | Alexsiane: corrigir o total de horas por dia que está errado.31/12 reenviar //Júnio: pré aprovada: 03/01/23// Pamela 24/01/23 Conferido e arquivado. </v>
      </c>
      <c r="B507" s="93"/>
    </row>
    <row r="508">
      <c r="A508" s="384" t="str">
        <f>IFERROR(__xludf.DUMMYFUNCTION("""COMPUTED_VALUE"""),"Bernardete De Lourdes Lima | Neuropsicopedagogia Institucional,Clínica E Hospitalar | Em análise | Júnio: precisa fazer o estudo de caso de um único paciente observado conforme todos os tópicos exigidos, falta a carta de apresentação, termo de conclusão e"&amp;" nas fichas de registro precisa corrigir os totais diários que estão errados e e lançar mais 50 hs de participação.")</f>
        <v>Bernardete De Lourdes Lima | Neuropsicopedagogia Institucional,Clínica E Hospitalar | Em análise | Júnio: precisa fazer o estudo de caso de um único paciente observado conforme todos os tópicos exigidos, falta a carta de apresentação, termo de conclusão e nas fichas de registro precisa corrigir os totais diários que estão errados e e lançar mais 50 hs de participação.</v>
      </c>
      <c r="B508" s="93"/>
    </row>
    <row r="509">
      <c r="A509" s="384" t="str">
        <f>IFERROR(__xludf.DUMMYFUNCTION("""COMPUTED_VALUE"""),"Bertiher Teixeira Do Amaral Júnior | Artes Visuais | Aprovado | Júnio: aprovado no remoto antigo")</f>
        <v>Bertiher Teixeira Do Amaral Júnior | Artes Visuais | Aprovado | Júnio: aprovado no remoto antigo</v>
      </c>
      <c r="B509" s="93"/>
    </row>
    <row r="510">
      <c r="A510" s="384" t="str">
        <f>IFERROR(__xludf.DUMMYFUNCTION("""COMPUTED_VALUE"""),"Betânia De Souza Costa | Filosofia | Aprovado | Já enviou ao ZAYN junto com o estágio da Cristiane (04/01). Falta declaração de exp. Profissional, consertar data de início do estágio, textos de int. e conc. Em primeira pessoa, ZAYN vai assinar. / Thiara 2"&amp;"0/12/18 (tinha um libete junto ao trabalho: Lembrete referente ao estágio: Como foi combinado com a Ana Lucia Moreira de Jesus, diretora do Instituto Zayn, o estágio do Ensino Médio foi dispensado, desde que realizasse estas horas com um curso de capacita"&amp;"ção profissional.")</f>
        <v>Betânia De Souza Costa | Filosofia | Aprovado | Já enviou ao ZAYN junto com o estágio da Cristiane (04/01). Falta declaração de exp. Profissional, consertar data de início do estágio, textos de int. e conc. Em primeira pessoa, ZAYN vai assinar. / Thiara 20/12/18 (tinha um libete junto ao trabalho: Lembrete referente ao estágio: Como foi combinado com a Ana Lucia Moreira de Jesus, diretora do Instituto Zayn, o estágio do Ensino Médio foi dispensado, desde que realizasse estas horas com um curso de capacitação profissional.</v>
      </c>
      <c r="B510" s="93"/>
    </row>
    <row r="511">
      <c r="A511" s="384" t="str">
        <f>IFERROR(__xludf.DUMMYFUNCTION("""COMPUTED_VALUE"""),"Betânia De Souza Costa | Letras Ing./Port. | Aprovado | –// Bárbara: Conferido e arquivado 15/09/2020")</f>
        <v>Betânia De Souza Costa | Letras Ing./Port. | Aprovado | –// Bárbara: Conferido e arquivado 15/09/2020</v>
      </c>
      <c r="B511" s="93"/>
    </row>
    <row r="512">
      <c r="A512" s="384" t="str">
        <f>IFERROR(__xludf.DUMMYFUNCTION("""COMPUTED_VALUE"""),"Bh2019009 | Letras Portugues | Aprovado | Thiara: Faltou enviar a declaração de experiência, mas enviou via whatsapp, anasisei e aprovei. // aprovado dia 04/12/2019// Miryã: conferido e arquivado 15/03/2021")</f>
        <v>Bh2019009 | Letras Portugues | Aprovado | Thiara: Faltou enviar a declaração de experiência, mas enviou via whatsapp, anasisei e aprovei. // aprovado dia 04/12/2019// Miryã: conferido e arquivado 15/03/2021</v>
      </c>
      <c r="B512" s="93"/>
    </row>
    <row r="513">
      <c r="A513" s="384" t="str">
        <f>IFERROR(__xludf.DUMMYFUNCTION("""COMPUTED_VALUE"""),"Bh2019047 | Artes Visuais | aprovada | Aline Silva: estágio apresente 420 folhas, foi acordado com a ana , o envio do arquivo no CD e demais fichas assinadas e carimbadas fisicamente.// Recebido dia 15/01/2020")</f>
        <v>Bh2019047 | Artes Visuais | aprovada | Aline Silva: estágio apresente 420 folhas, foi acordado com a ana , o envio do arquivo no CD e demais fichas assinadas e carimbadas fisicamente.// Recebido dia 15/01/2020</v>
      </c>
      <c r="B513" s="93"/>
    </row>
    <row r="514">
      <c r="A514" s="384" t="str">
        <f>IFERROR(__xludf.DUMMYFUNCTION("""COMPUTED_VALUE"""),"Bh2019364 | Letras Port. Esp. | Aprovado | Thiara: Aprovado.// Miryã: conferido e arquivado 15/03/2021")</f>
        <v>Bh2019364 | Letras Port. Esp. | Aprovado | Thiara: Aprovado.// Miryã: conferido e arquivado 15/03/2021</v>
      </c>
      <c r="B514" s="93"/>
    </row>
    <row r="515">
      <c r="A515" s="384" t="str">
        <f>IFERROR(__xludf.DUMMYFUNCTION("""COMPUTED_VALUE"""),"Bianca Costa Ferreira | Pedagogia | Aprovada | Júnio: PP - falta a carta e entrevista //Júnio: aprovada: 24/01/24")</f>
        <v>Bianca Costa Ferreira | Pedagogia | Aprovada | Júnio: PP - falta a carta e entrevista //Júnio: aprovada: 24/01/24</v>
      </c>
      <c r="B515" s="93"/>
    </row>
    <row r="516">
      <c r="A516" s="384" t="str">
        <f>IFERROR(__xludf.DUMMYFUNCTION("""COMPUTED_VALUE"""),"Bianca Cristina Da Silva Baptista | Psicopedagogia Clínica, Institucional E Hospitalar | Aprovado | alexsiane: estágio aprovado")</f>
        <v>Bianca Cristina Da Silva Baptista | Psicopedagogia Clínica, Institucional E Hospitalar | Aprovado | alexsiane: estágio aprovado</v>
      </c>
      <c r="B516" s="93"/>
    </row>
    <row r="517">
      <c r="A517" s="384" t="str">
        <f>IFERROR(__xludf.DUMMYFUNCTION("""COMPUTED_VALUE"""),"Bianca De Almeida Oliveira | Formação Pedagógica Em Pedagogia | Aprovado | Cris: PP aprovado")</f>
        <v>Bianca De Almeida Oliveira | Formação Pedagógica Em Pedagogia | Aprovado | Cris: PP aprovado</v>
      </c>
      <c r="B517" s="93"/>
    </row>
    <row r="518">
      <c r="A518" s="384" t="str">
        <f>IFERROR(__xludf.DUMMYFUNCTION("""COMPUTED_VALUE"""),"Bianca De Almeida Oliveira | Pedagogia | em análise | Alexsiane; pp primeira etapa tem que complementar e segunda ok")</f>
        <v>Bianca De Almeida Oliveira | Pedagogia | em análise | Alexsiane; pp primeira etapa tem que complementar e segunda ok</v>
      </c>
      <c r="B518" s="93"/>
    </row>
    <row r="519">
      <c r="A519" s="384" t="str">
        <f>IFERROR(__xludf.DUMMYFUNCTION("""COMPUTED_VALUE"""),"Bianca Maçana Medalla | Geografia | Aprovada | Júnio: estágio remoto atualizado, autorizada a recolher assinaturas //Júnio: conferido e arquivado: 04/10/2021")</f>
        <v>Bianca Maçana Medalla | Geografia | Aprovada | Júnio: estágio remoto atualizado, autorizada a recolher assinaturas //Júnio: conferido e arquivado: 04/10/2021</v>
      </c>
      <c r="B519" s="93"/>
    </row>
    <row r="520">
      <c r="A520" s="384" t="str">
        <f>IFERROR(__xludf.DUMMYFUNCTION("""COMPUTED_VALUE"""),"Bianca Maria De Carvalho | Pedagogia | Aprovada | Alexsiane: enviou somente relatótio de gestão, obeservação e regência. Falta todo o restante do padrão de 200 h até dia 07/07 para reenviar // Pamela 09/02/2023 Conferido e arquivado. ")</f>
        <v>Bianca Maria De Carvalho | Pedagogia | Aprovada | Alexsiane: enviou somente relatótio de gestão, obeservação e regência. Falta todo o restante do padrão de 200 h até dia 07/07 para reenviar // Pamela 09/02/2023 Conferido e arquivado. </v>
      </c>
      <c r="B520" s="93"/>
    </row>
    <row r="521">
      <c r="A521" s="384" t="str">
        <f>IFERROR(__xludf.DUMMYFUNCTION("""COMPUTED_VALUE"""),"Bianca Pitchiny Da Silva Correia | Pedagogia | Aprovado | Aline Silva: trabalho recebido no instituto sem aprovação prévia pela Thiara, dei as informações por email e whats, enviei um modelo pronto para edição, e a aluna se dispôs a refazer.// Aline Silva"&amp;": Aprovado dia 20/12/2019// Bárbara: Conferido e arquivado em 16/09/2020 as assinaturas, falta trabalho")</f>
        <v>Bianca Pitchiny Da Silva Correia | Pedagogia | Aprovado | Aline Silva: trabalho recebido no instituto sem aprovação prévia pela Thiara, dei as informações por email e whats, enviei um modelo pronto para edição, e a aluna se dispôs a refazer.// Aline Silva: Aprovado dia 20/12/2019// Bárbara: Conferido e arquivado em 16/09/2020 as assinaturas, falta trabalho</v>
      </c>
      <c r="B521" s="93"/>
    </row>
    <row r="522">
      <c r="A522" s="384" t="str">
        <f>IFERROR(__xludf.DUMMYFUNCTION("""COMPUTED_VALUE"""),"Bianca Rossane Soares Ribeiro | Letras Inglês | Aprovada | Júnio: remoto antigo - falta a etapa 4// Alexsiane: aprovado com lançamento no Jacad")</f>
        <v>Bianca Rossane Soares Ribeiro | Letras Inglês | Aprovada | Júnio: remoto antigo - falta a etapa 4// Alexsiane: aprovado com lançamento no Jacad</v>
      </c>
      <c r="B522" s="93"/>
    </row>
    <row r="523">
      <c r="A523" s="384" t="str">
        <f>IFERROR(__xludf.DUMMYFUNCTION("""COMPUTED_VALUE"""),"Bianca: Enviou Apenas 1 Plano De Aula// Bárbara: Aprovada E Autorizada A Enviar O Físico Em 09/12/2021 //Júnio: Conferido E Arquivado: 17/12/21 | Pedagogia | Aprovada | Bianca: Enviou apenas 1 plano de aula// Bárbara: aprovada e autorizada a enviar o físi"&amp;"co em 09/12/2021")</f>
        <v>Bianca: Enviou Apenas 1 Plano De Aula// Bárbara: Aprovada E Autorizada A Enviar O Físico Em 09/12/2021 //Júnio: Conferido E Arquivado: 17/12/21 | Pedagogia | Aprovada | Bianca: Enviou apenas 1 plano de aula// Bárbara: aprovada e autorizada a enviar o físico em 09/12/2021</v>
      </c>
      <c r="B523" s="93"/>
    </row>
    <row r="524">
      <c r="A524" s="384" t="str">
        <f>IFERROR(__xludf.DUMMYFUNCTION("""COMPUTED_VALUE"""),"Bianca: Tce Remoto Atualizado Incompleto. Apresentando Apenas A 1ª Etapa, Número Insuficiente De Páginas //Bianca: Aprovada: 13/08/21 //Júnio: Conferido E Arquivado: 26/08/21 | Pedagogia | Aprovada | Bianca: TCE Remoto atualizado incompleto. Apresentando "&amp;"apenas a 1ª etapa, número insuficiente de páginas //Bianca: aprovada: 13/08/21")</f>
        <v>Bianca: Tce Remoto Atualizado Incompleto. Apresentando Apenas A 1ª Etapa, Número Insuficiente De Páginas //Bianca: Aprovada: 13/08/21 //Júnio: Conferido E Arquivado: 26/08/21 | Pedagogia | Aprovada | Bianca: TCE Remoto atualizado incompleto. Apresentando apenas a 1ª etapa, número insuficiente de páginas //Bianca: aprovada: 13/08/21</v>
      </c>
      <c r="B524" s="93"/>
    </row>
    <row r="525">
      <c r="A525" s="384" t="str">
        <f>IFERROR(__xludf.DUMMYFUNCTION("""COMPUTED_VALUE"""),"Bill Jonnathan Pereira | Música | Aprovado | Júnio: PP aprovado")</f>
        <v>Bill Jonnathan Pereira | Música | Aprovado | Júnio: PP aprovado</v>
      </c>
      <c r="B525" s="93"/>
    </row>
    <row r="526">
      <c r="A526" s="384" t="str">
        <f>IFERROR(__xludf.DUMMYFUNCTION("""COMPUTED_VALUE"""),"Boninne Monalliza Brun Moraes | Letras Português | Aprovada | Júnio: PP- falta a carta de autorização da entrevista PRAZO: 26/08/23 //Júnio: aprovada: 21/08/2023")</f>
        <v>Boninne Monalliza Brun Moraes | Letras Português | Aprovada | Júnio: PP- falta a carta de autorização da entrevista PRAZO: 26/08/23 //Júnio: aprovada: 21/08/2023</v>
      </c>
      <c r="B526" s="93"/>
    </row>
    <row r="527">
      <c r="A527" s="384" t="str">
        <f>IFERROR(__xludf.DUMMYFUNCTION("""COMPUTED_VALUE"""),"Brás Pereira Da Cunha | Educação Física | aprovado | Bianca: aprovado nas 4 etpas do remoto atualizado")</f>
        <v>Brás Pereira Da Cunha | Educação Física | aprovado | Bianca: aprovado nas 4 etpas do remoto atualizado</v>
      </c>
      <c r="B527" s="93"/>
    </row>
    <row r="528">
      <c r="A528" s="384" t="str">
        <f>IFERROR(__xludf.DUMMYFUNCTION("""COMPUTED_VALUE"""),"Brenda Gabriela Favretto Da Silva | Neuropsicopedagogia Institucional, Clínica E Hospitalar | Aprovada | Lucas: Aprovada e anexada ao Sponte ")</f>
        <v>Brenda Gabriela Favretto Da Silva | Neuropsicopedagogia Institucional, Clínica E Hospitalar | Aprovada | Lucas: Aprovada e anexada ao Sponte </v>
      </c>
      <c r="B528" s="93"/>
    </row>
    <row r="529">
      <c r="A529" s="384" t="str">
        <f>IFERROR(__xludf.DUMMYFUNCTION("""COMPUTED_VALUE"""),"Brissa Gonçalves Jardim | Letras Port Ingles | Aprovado | Aline Silva: apresentou declaração de experiência válida. // Bárbara: aprovada 17/09/2020// Bárbara: conferido e arquivado 09/10/2020")</f>
        <v>Brissa Gonçalves Jardim | Letras Port Ingles | Aprovado | Aline Silva: apresentou declaração de experiência válida. // Bárbara: aprovada 17/09/2020// Bárbara: conferido e arquivado 09/10/2020</v>
      </c>
      <c r="B529" s="93"/>
    </row>
    <row r="530">
      <c r="A530" s="384" t="str">
        <f>IFERROR(__xludf.DUMMYFUNCTION("""COMPUTED_VALUE"""),"Bruna Aparecida Dos Santos Santiago | Pedagogia | Aprovado | Bárbara: aprovada nas 3 primeiras etapas do remoto // Bárbara: aprovada nas 4 etapas // Bárbara: conferido e arquivado 20/04/2021")</f>
        <v>Bruna Aparecida Dos Santos Santiago | Pedagogia | Aprovado | Bárbara: aprovada nas 3 primeiras etapas do remoto // Bárbara: aprovada nas 4 etapas // Bárbara: conferido e arquivado 20/04/2021</v>
      </c>
      <c r="B530" s="93"/>
    </row>
    <row r="531">
      <c r="A531" s="384" t="str">
        <f>IFERROR(__xludf.DUMMYFUNCTION("""COMPUTED_VALUE"""),"Bruna De Jesus Brandão | Pedagogia | Aprovado | Júnio: PP - falta a carta de apresentação// Alexsiane; PP aprovado")</f>
        <v>Bruna De Jesus Brandão | Pedagogia | Aprovado | Júnio: PP - falta a carta de apresentação// Alexsiane; PP aprovado</v>
      </c>
      <c r="B531" s="93"/>
    </row>
    <row r="532">
      <c r="A532" s="384" t="str">
        <f>IFERROR(__xludf.DUMMYFUNCTION("""COMPUTED_VALUE"""),"Bruna Fátima De Brito Santos | Geografia | Aprovado | Estella: tudo ok, pedi correção por constar plágio. Aprovado 09/11.")</f>
        <v>Bruna Fátima De Brito Santos | Geografia | Aprovado | Estella: tudo ok, pedi correção por constar plágio. Aprovado 09/11.</v>
      </c>
      <c r="B532" s="93"/>
    </row>
    <row r="533">
      <c r="A533" s="384" t="str">
        <f>IFERROR(__xludf.DUMMYFUNCTION("""COMPUTED_VALUE"""),"Bruna Fernanda Alves | Pedagogia | Aprovado | Estella: Aprovado.")</f>
        <v>Bruna Fernanda Alves | Pedagogia | Aprovado | Estella: Aprovado.</v>
      </c>
      <c r="B533" s="93"/>
    </row>
    <row r="534">
      <c r="A534" s="384" t="str">
        <f>IFERROR(__xludf.DUMMYFUNCTION("""COMPUTED_VALUE"""),"Bruna Fernanda Rodrigues Martins | Matemática | Aprovado | Aline Silva: trabalho fora do padrão, horas faltantes, excesso de horas. Indiquei a aluna a realização do remoto. // Amélia: aprovado nas 4 etapas")</f>
        <v>Bruna Fernanda Rodrigues Martins | Matemática | Aprovado | Aline Silva: trabalho fora do padrão, horas faltantes, excesso de horas. Indiquei a aluna a realização do remoto. // Amélia: aprovado nas 4 etapas</v>
      </c>
      <c r="B534" s="93"/>
    </row>
    <row r="535">
      <c r="A535" s="384" t="str">
        <f>IFERROR(__xludf.DUMMYFUNCTION("""COMPUTED_VALUE"""),"Bruna Gomes Lovatti | Formação Pedagógica Música | Aprovada | Cris: PP aprovado")</f>
        <v>Bruna Gomes Lovatti | Formação Pedagógica Música | Aprovada | Cris: PP aprovado</v>
      </c>
      <c r="B535" s="93"/>
    </row>
    <row r="536">
      <c r="A536" s="384" t="str">
        <f>IFERROR(__xludf.DUMMYFUNCTION("""COMPUTED_VALUE"""),"Bruna Martins Do Nascimento | Pedagogia | Aprovado | Alexsiane: 22% de plágio e esta falatndo a carta de apresentação 19/08/ reenviar//Alexsiane: pp aprovado")</f>
        <v>Bruna Martins Do Nascimento | Pedagogia | Aprovado | Alexsiane: 22% de plágio e esta falatndo a carta de apresentação 19/08/ reenviar//Alexsiane: pp aprovado</v>
      </c>
      <c r="B536" s="93"/>
    </row>
    <row r="537">
      <c r="A537" s="384" t="str">
        <f>IFERROR(__xludf.DUMMYFUNCTION("""COMPUTED_VALUE"""),"Bruna Milene Oliveira Dos Reis | Artes Visuais | Aprovado | Alexsiane: Especificar a ficha de acompanhamento e assinar a delaração de experiência // Lucas: Aprovada no remoto atuallizado com declaração de experiência /Júnio:físico conferido e arquivado: 1"&amp;"7/06/22")</f>
        <v>Bruna Milene Oliveira Dos Reis | Artes Visuais | Aprovado | Alexsiane: Especificar a ficha de acompanhamento e assinar a delaração de experiência // Lucas: Aprovada no remoto atuallizado com declaração de experiência /Júnio:físico conferido e arquivado: 17/06/22</v>
      </c>
      <c r="B537" s="93"/>
    </row>
    <row r="538">
      <c r="A538" s="384" t="str">
        <f>IFERROR(__xludf.DUMMYFUNCTION("""COMPUTED_VALUE"""),"Bruna Raquel De Oliveira Castello Branco | Letras Inglês | Aprovada | Edilaine: Falta auto avaliação, declaração não foi aceita pois está como estagiária. Falta especificar na ficha em cada dia o tipo de acompanhamento e série. Falta enviar carta de apres"&amp;"entação. Tem até dia 13/11/2022 para enviar.  //// Edilaine: Pré-aprovada 13/02/2023 /// Edilaine: Aprovada 09/03/2023")</f>
        <v>Bruna Raquel De Oliveira Castello Branco | Letras Inglês | Aprovada | Edilaine: Falta auto avaliação, declaração não foi aceita pois está como estagiária. Falta especificar na ficha em cada dia o tipo de acompanhamento e série. Falta enviar carta de apresentação. Tem até dia 13/11/2022 para enviar.  //// Edilaine: Pré-aprovada 13/02/2023 /// Edilaine: Aprovada 09/03/2023</v>
      </c>
      <c r="B538" s="93"/>
    </row>
    <row r="539">
      <c r="A539" s="384" t="str">
        <f>IFERROR(__xludf.DUMMYFUNCTION("""COMPUTED_VALUE"""),"Bruna Rodrigues Teixeira | Segunda Licenciatura Em Pedagogia | Aprovado | Rayssa pp aprovado")</f>
        <v>Bruna Rodrigues Teixeira | Segunda Licenciatura Em Pedagogia | Aprovado | Rayssa pp aprovado</v>
      </c>
      <c r="B539" s="93"/>
    </row>
    <row r="540">
      <c r="A540" s="384" t="str">
        <f>IFERROR(__xludf.DUMMYFUNCTION("""COMPUTED_VALUE"""),"Bruna Saldanha Gomes | Pedagogia | Aprovado | Bárbara: aprovada etapas 1, 2 e 3, aguardando etapa 4ª etapa.// Bárbara: aprovada 05/11/2020// Bárbara: imprimido e arquivado 30/12/2020")</f>
        <v>Bruna Saldanha Gomes | Pedagogia | Aprovado | Bárbara: aprovada etapas 1, 2 e 3, aguardando etapa 4ª etapa.// Bárbara: aprovada 05/11/2020// Bárbara: imprimido e arquivado 30/12/2020</v>
      </c>
      <c r="B540" s="93"/>
    </row>
    <row r="541">
      <c r="A541" s="384" t="str">
        <f>IFERROR(__xludf.DUMMYFUNCTION("""COMPUTED_VALUE"""),"Bruna Tais Bombonato Do Nascimento | Artes Visuais | Em análise | Júnio: remoto antigo, fez metade dos planos de aulas, falta etapa 4")</f>
        <v>Bruna Tais Bombonato Do Nascimento | Artes Visuais | Em análise | Júnio: remoto antigo, fez metade dos planos de aulas, falta etapa 4</v>
      </c>
      <c r="B541" s="93"/>
    </row>
    <row r="542">
      <c r="A542" s="384" t="str">
        <f>IFERROR(__xludf.DUMMYFUNCTION("""COMPUTED_VALUE"""),"Bruna Tais Bombonato Do Nascimento | Artes Visuais | Aprovada | Alexsiane: etapa 1,2,3 , falta 4° etapa do remoto antigo. //Júnio:aprovada na aula: 03/06/2022")</f>
        <v>Bruna Tais Bombonato Do Nascimento | Artes Visuais | Aprovada | Alexsiane: etapa 1,2,3 , falta 4° etapa do remoto antigo. //Júnio:aprovada na aula: 03/06/2022</v>
      </c>
      <c r="B542" s="93"/>
    </row>
    <row r="543">
      <c r="A543" s="384" t="str">
        <f>IFERROR(__xludf.DUMMYFUNCTION("""COMPUTED_VALUE"""),"Brunaraquel@Outlook.Com | Artes Visuais | Aprovado | Aline Silva: aprovado com autorização da Ana, fez tudo nos anos iniciais e ensino médio apresentou tempo de serviço.// Bárbara: Conferido e arquivado em 16/09/2020")</f>
        <v>Brunaraquel@Outlook.Com | Artes Visuais | Aprovado | Aline Silva: aprovado com autorização da Ana, fez tudo nos anos iniciais e ensino médio apresentou tempo de serviço.// Bárbara: Conferido e arquivado em 16/09/2020</v>
      </c>
      <c r="B543" s="93"/>
    </row>
    <row r="544">
      <c r="A544" s="384" t="str">
        <f>IFERROR(__xludf.DUMMYFUNCTION("""COMPUTED_VALUE"""),"Bruno Augusto Matias | História | Em análise | Júnio: PP - 10% plágio")</f>
        <v>Bruno Augusto Matias | História | Em análise | Júnio: PP - 10% plágio</v>
      </c>
      <c r="B544" s="93"/>
    </row>
    <row r="545">
      <c r="A545" s="384" t="str">
        <f>IFERROR(__xludf.DUMMYFUNCTION("""COMPUTED_VALUE"""),"Bruno Augusto Matias | História | Aprovado | Júnio: PP aprovado")</f>
        <v>Bruno Augusto Matias | História | Aprovado | Júnio: PP aprovado</v>
      </c>
      <c r="B545" s="93"/>
    </row>
    <row r="546">
      <c r="A546" s="384" t="str">
        <f>IFERROR(__xludf.DUMMYFUNCTION("""COMPUTED_VALUE"""),"Bruno César Borges Da Penha | Música | Aprovado | Júnio: nas fichas de registro precisa especificar o tipo de acompanhamento, corrigir os totais diários que estão errados e complementar com mais 13 hs. //Júnio: aprovado: 11/01/24")</f>
        <v>Bruno César Borges Da Penha | Música | Aprovado | Júnio: nas fichas de registro precisa especificar o tipo de acompanhamento, corrigir os totais diários que estão errados e complementar com mais 13 hs. //Júnio: aprovado: 11/01/24</v>
      </c>
      <c r="B546" s="93"/>
    </row>
    <row r="547">
      <c r="A547" s="384" t="str">
        <f>IFERROR(__xludf.DUMMYFUNCTION("""COMPUTED_VALUE"""),"Bruno César Borges Da Penha | Pedagogia | Aprovado | Alexsiane: 22% de plágio// PP APROVADO 23/08")</f>
        <v>Bruno César Borges Da Penha | Pedagogia | Aprovado | Alexsiane: 22% de plágio// PP APROVADO 23/08</v>
      </c>
      <c r="B547" s="93"/>
    </row>
    <row r="548">
      <c r="A548" s="384" t="str">
        <f>IFERROR(__xludf.DUMMYFUNCTION("""COMPUTED_VALUE"""),"Bruno Fabrício Dos Santos Alves Pereira | História | Aprovado | Júnio: PP - falta responder o questionário. //Júnio: aprovado: 31/10/2023")</f>
        <v>Bruno Fabrício Dos Santos Alves Pereira | História | Aprovado | Júnio: PP - falta responder o questionário. //Júnio: aprovado: 31/10/2023</v>
      </c>
      <c r="B548" s="93"/>
    </row>
    <row r="549">
      <c r="A549" s="384" t="str">
        <f>IFERROR(__xludf.DUMMYFUNCTION("""COMPUTED_VALUE"""),"Bruno Maia De Andrade | Artes Visuais | Aprovado | Alexsiane: encaminhar novamente as fichas de registro pois estão ilegíveis // Alexsiane: Pré aprovado com lançamento no Jacad // Pâmela 29/11/2022 Conferido e arquivado")</f>
        <v>Bruno Maia De Andrade | Artes Visuais | Aprovado | Alexsiane: encaminhar novamente as fichas de registro pois estão ilegíveis // Alexsiane: Pré aprovado com lançamento no Jacad // Pâmela 29/11/2022 Conferido e arquivado</v>
      </c>
      <c r="B549" s="93"/>
    </row>
    <row r="550">
      <c r="A550" s="384" t="str">
        <f>IFERROR(__xludf.DUMMYFUNCTION("""COMPUTED_VALUE"""),"Bruno Nogueira Torres | Letras Inglês | Aprovado | Júnio: pelo guru declaração de experiência válida //Júnio: pré aprovado 05/05/23 //Júnio:aprovado: 18/05/23")</f>
        <v>Bruno Nogueira Torres | Letras Inglês | Aprovado | Júnio: pelo guru declaração de experiência válida //Júnio: pré aprovado 05/05/23 //Júnio:aprovado: 18/05/23</v>
      </c>
      <c r="B550" s="93"/>
    </row>
    <row r="551">
      <c r="A551" s="384" t="str">
        <f>IFERROR(__xludf.DUMMYFUNCTION("""COMPUTED_VALUE"""),"Bruno Silva Tavares | Pedagogia | Aprovado | Júnio: pelo guru declaração de experiência válida //Júnio: aprovado: 21/06/23")</f>
        <v>Bruno Silva Tavares | Pedagogia | Aprovado | Júnio: pelo guru declaração de experiência válida //Júnio: aprovado: 21/06/23</v>
      </c>
      <c r="B551" s="93"/>
    </row>
    <row r="552">
      <c r="A552" s="384" t="str">
        <f>IFERROR(__xludf.DUMMYFUNCTION("""COMPUTED_VALUE"""),"Cacilene De Oliveira Costa | Neuropsicopedagogia Institucional,Clínica E Hospitalar | Aprovado | Lucas: falta todos os documento assinados, e ""objetivos do acompanhamento"".//Alexsiane: aprovado com lançamento no sponte //Júnio: físico conferido e arquiv"&amp;"ado: 10/06/22")</f>
        <v>Cacilene De Oliveira Costa | Neuropsicopedagogia Institucional,Clínica E Hospitalar | Aprovado | Lucas: falta todos os documento assinados, e "objetivos do acompanhamento".//Alexsiane: aprovado com lançamento no sponte //Júnio: físico conferido e arquivado: 10/06/22</v>
      </c>
      <c r="B552" s="93"/>
    </row>
    <row r="553">
      <c r="A553" s="384" t="str">
        <f>IFERROR(__xludf.DUMMYFUNCTION("""COMPUTED_VALUE"""),"Caio Inácio Faria Junior | História | Aprovado | Alexsiane: faltando o currículo escolar.// Alexsiane: aprovado com lançamento")</f>
        <v>Caio Inácio Faria Junior | História | Aprovado | Alexsiane: faltando o currículo escolar.// Alexsiane: aprovado com lançamento</v>
      </c>
      <c r="B553" s="93"/>
    </row>
    <row r="554">
      <c r="A554" s="384" t="str">
        <f>IFERROR(__xludf.DUMMYFUNCTION("""COMPUTED_VALUE"""),"Caio Reis De Araújo | Artes Visuais | Aprovado | Júnio: PP- etapas ok , início: 05/05/23 reenviar 05/11/23 //Júnio: aprovado: 06/11/23")</f>
        <v>Caio Reis De Araújo | Artes Visuais | Aprovado | Júnio: PP- etapas ok , início: 05/05/23 reenviar 05/11/23 //Júnio: aprovado: 06/11/23</v>
      </c>
      <c r="B554" s="93"/>
    </row>
    <row r="555">
      <c r="A555" s="384" t="str">
        <f>IFERROR(__xludf.DUMMYFUNCTION("""COMPUTED_VALUE"""),"Caique Alexandre Rocha | Pedagogia | Aprovado | Júnio: aprovado com lançamento no Sponte")</f>
        <v>Caique Alexandre Rocha | Pedagogia | Aprovado | Júnio: aprovado com lançamento no Sponte</v>
      </c>
      <c r="B555" s="93"/>
    </row>
    <row r="556">
      <c r="A556" s="384" t="str">
        <f>IFERROR(__xludf.DUMMYFUNCTION("""COMPUTED_VALUE"""),"Caíque Tadeu Dos Santos Barreto | Música | Aprovado | Júnio: pelo guru declaração de experiência válida //Júnio: pré aprovado 15/05/23 //Júnio: aprovado: 18/05/23")</f>
        <v>Caíque Tadeu Dos Santos Barreto | Música | Aprovado | Júnio: pelo guru declaração de experiência válida //Júnio: pré aprovado 15/05/23 //Júnio: aprovado: 18/05/23</v>
      </c>
      <c r="B556" s="93"/>
    </row>
    <row r="557">
      <c r="A557" s="384" t="str">
        <f>IFERROR(__xludf.DUMMYFUNCTION("""COMPUTED_VALUE"""),"Camila Auricchio Villani | Pedagogia | Aprovado | Júnio: aprovada estágio padrão //Júnio: 10/02/2022 - conferido, fichas vieiram falsificadas, solicitamos envio// Bárbara: 06/04/2022 aluna encaminhou um novo trabalho com as assinaturas novas, agora com as"&amp;"sinturas e carimbo da assistente da diretora, Ana autorizou aceitar, autorizei o envio físico.  //Júnio: 18/04/22 - conferido e arquivado , aluno reencaminhou o estágio com assinaturas originais, tudo ok")</f>
        <v>Camila Auricchio Villani | Pedagogia | Aprovado | Júnio: aprovada estágio padrão //Júnio: 10/02/2022 - conferido, fichas vieiram falsificadas, solicitamos envio// Bárbara: 06/04/2022 aluna encaminhou um novo trabalho com as assinaturas novas, agora com assinturas e carimbo da assistente da diretora, Ana autorizou aceitar, autorizei o envio físico.  //Júnio: 18/04/22 - conferido e arquivado , aluno reencaminhou o estágio com assinaturas originais, tudo ok</v>
      </c>
      <c r="B557" s="93"/>
    </row>
    <row r="558">
      <c r="A558" s="384" t="str">
        <f>IFERROR(__xludf.DUMMYFUNCTION("""COMPUTED_VALUE"""),"Camila Borges De Abreu | Pedagogia | Aprovado | Lucas: Aprovada no remoto antigo.")</f>
        <v>Camila Borges De Abreu | Pedagogia | Aprovado | Lucas: Aprovada no remoto antigo.</v>
      </c>
      <c r="B558" s="93"/>
    </row>
    <row r="559">
      <c r="A559" s="384" t="str">
        <f>IFERROR(__xludf.DUMMYFUNCTION("""COMPUTED_VALUE"""),"Camila Coelho De Almeida | Form. Pedagógica Pedagogia | Aprovado | Cris:PP aprovado")</f>
        <v>Camila Coelho De Almeida | Form. Pedagógica Pedagogia | Aprovado | Cris:PP aprovado</v>
      </c>
      <c r="B559" s="93"/>
    </row>
    <row r="560">
      <c r="A560" s="384" t="str">
        <f>IFERROR(__xludf.DUMMYFUNCTION("""COMPUTED_VALUE"""),"Camila Cristina Canhestro Guimarães | Matemática | Aprovada | Júnio: PP aprovada")</f>
        <v>Camila Cristina Canhestro Guimarães | Matemática | Aprovada | Júnio: PP aprovada</v>
      </c>
      <c r="B560" s="93"/>
    </row>
    <row r="561">
      <c r="A561" s="384" t="str">
        <f>IFERROR(__xludf.DUMMYFUNCTION("""COMPUTED_VALUE"""),"Camila Dayane De Andrade | Matemática | Aprovado | Bárbara: aprovad nas 3 primeiras, aguardando a última// Bárbara: aprovada na 4ª etapa 30/11/2020")</f>
        <v>Camila Dayane De Andrade | Matemática | Aprovado | Bárbara: aprovad nas 3 primeiras, aguardando a última// Bárbara: aprovada na 4ª etapa 30/11/2020</v>
      </c>
      <c r="B561" s="93"/>
    </row>
    <row r="562">
      <c r="A562" s="384" t="str">
        <f>IFERROR(__xludf.DUMMYFUNCTION("""COMPUTED_VALUE"""),"Camila De Melo Dos Reis | Pedagogia | Aprovada | Júnio: PP aprovada")</f>
        <v>Camila De Melo Dos Reis | Pedagogia | Aprovada | Júnio: PP aprovada</v>
      </c>
      <c r="B562" s="93"/>
    </row>
    <row r="563">
      <c r="A563" s="384" t="str">
        <f>IFERROR(__xludf.DUMMYFUNCTION("""COMPUTED_VALUE"""),"Camila De Paiva Leal | Pedagogia | Aprovado | Alexsiane: pp com 7% de plágio")</f>
        <v>Camila De Paiva Leal | Pedagogia | Aprovado | Alexsiane: pp com 7% de plágio</v>
      </c>
      <c r="B563" s="93"/>
    </row>
    <row r="564">
      <c r="A564" s="384" t="str">
        <f>IFERROR(__xludf.DUMMYFUNCTION("""COMPUTED_VALUE"""),"Camila De Paiva Leal | Formação Ped. Em História | Aprovado | Cris: PP aprovado")</f>
        <v>Camila De Paiva Leal | Formação Ped. Em História | Aprovado | Cris: PP aprovado</v>
      </c>
      <c r="B564" s="93"/>
    </row>
    <row r="565">
      <c r="A565" s="384" t="str">
        <f>IFERROR(__xludf.DUMMYFUNCTION("""COMPUTED_VALUE"""),"Camila De Souza Alonso | Artes Visuais | Aprovada | Júnio: PP - falta a etapa 1. //Júnio: aprovada 26/12/23")</f>
        <v>Camila De Souza Alonso | Artes Visuais | Aprovada | Júnio: PP - falta a etapa 1. //Júnio: aprovada 26/12/23</v>
      </c>
      <c r="B565" s="93"/>
    </row>
    <row r="566">
      <c r="A566" s="384" t="str">
        <f>IFERROR(__xludf.DUMMYFUNCTION("""COMPUTED_VALUE"""),"Camila De Velasco E Vieira | Letras Português Inglês | Aprovada | Lucas: Aprovana no estagio remoto antigo")</f>
        <v>Camila De Velasco E Vieira | Letras Português Inglês | Aprovada | Lucas: Aprovana no estagio remoto antigo</v>
      </c>
      <c r="B566" s="93"/>
    </row>
    <row r="567">
      <c r="A567" s="384" t="str">
        <f>IFERROR(__xludf.DUMMYFUNCTION("""COMPUTED_VALUE"""),"Camila Florenço De Oliveira | Neuropsicopedagogia Institucional,Clínica E Hospitalar | Aprovada | Alexsiane: falta 75 Horas nas fichas de registro, fazer o relatório das ações e sintese de conclusão //Júnio: pre aprovada: 30/12/22 Júnio: 10/01/23: Uma pág"&amp;"ina da ficha de registro do estágio da aluna veio rasurada (impressa e assinada por cima), analisei a situação com Ana, e ela liberou que aceitássemos a ficha visto que todo o restante das fichas veio correto.")</f>
        <v>Camila Florenço De Oliveira | Neuropsicopedagogia Institucional,Clínica E Hospitalar | Aprovada | Alexsiane: falta 75 Horas nas fichas de registro, fazer o relatório das ações e sintese de conclusão //Júnio: pre aprovada: 30/12/22 Júnio: 10/01/23: Uma página da ficha de registro do estágio da aluna veio rasurada (impressa e assinada por cima), analisei a situação com Ana, e ela liberou que aceitássemos a ficha visto que todo o restante das fichas veio correto.</v>
      </c>
      <c r="B567" s="93"/>
    </row>
    <row r="568">
      <c r="A568" s="384" t="str">
        <f>IFERROR(__xludf.DUMMYFUNCTION("""COMPUTED_VALUE"""),"Camila Gabriele Alves | Pedagogia | Em análise | Bárbara: aprovadas nas 3 primeiras do remoto// Bianca: aprovada na 4ª em 04/03")</f>
        <v>Camila Gabriele Alves | Pedagogia | Em análise | Bárbara: aprovadas nas 3 primeiras do remoto// Bianca: aprovada na 4ª em 04/03</v>
      </c>
      <c r="B568" s="93"/>
    </row>
    <row r="569">
      <c r="A569" s="384" t="str">
        <f>IFERROR(__xludf.DUMMYFUNCTION("""COMPUTED_VALUE"""),"Camila Matos Lameira | Pedagogia | Aprovada | Bianca: Falta carta de aceite, termo de conclusão, fichas de registro e relatório de 2 páginas")</f>
        <v>Camila Matos Lameira | Pedagogia | Aprovada | Bianca: Falta carta de aceite, termo de conclusão, fichas de registro e relatório de 2 páginas</v>
      </c>
      <c r="B569" s="93"/>
    </row>
    <row r="570">
      <c r="A570" s="384" t="str">
        <f>IFERROR(__xludf.DUMMYFUNCTION("""COMPUTED_VALUE"""),"Camila Nascimento Neri | Matemática | Aprovada | Júnio: PP - falta o carimbo na carta de apresentação. //Júnio: aprovada: 08/01/24")</f>
        <v>Camila Nascimento Neri | Matemática | Aprovada | Júnio: PP - falta o carimbo na carta de apresentação. //Júnio: aprovada: 08/01/24</v>
      </c>
      <c r="B570" s="93"/>
    </row>
    <row r="571">
      <c r="A571" s="384" t="str">
        <f>IFERROR(__xludf.DUMMYFUNCTION("""COMPUTED_VALUE"""),"Camila Oliveira Borges | Geografia | Aprovada | Bárbara: aprovada nas 4 etapas")</f>
        <v>Camila Oliveira Borges | Geografia | Aprovada | Bárbara: aprovada nas 4 etapas</v>
      </c>
      <c r="B571" s="93"/>
    </row>
    <row r="572">
      <c r="A572" s="384" t="str">
        <f>IFERROR(__xludf.DUMMYFUNCTION("""COMPUTED_VALUE"""),"Camila Prado Dos Santos | Pedagogia | Aprovada | Júnio: PP - complementar a etapa 1 das práticas pedagógicas com mais páginas. //Júnio: aprovada: 29/11/23")</f>
        <v>Camila Prado Dos Santos | Pedagogia | Aprovada | Júnio: PP - complementar a etapa 1 das práticas pedagógicas com mais páginas. //Júnio: aprovada: 29/11/23</v>
      </c>
      <c r="B572" s="93"/>
    </row>
    <row r="573">
      <c r="A573" s="384" t="str">
        <f>IFERROR(__xludf.DUMMYFUNCTION("""COMPUTED_VALUE"""),"Camila Ribeiro Leite | Pedagogia | Aprovada | Júnio: pré aprovada PRAZO: 03/12/23 //Júnio: aprovada: 13/12/23")</f>
        <v>Camila Ribeiro Leite | Pedagogia | Aprovada | Júnio: pré aprovada PRAZO: 03/12/23 //Júnio: aprovada: 13/12/23</v>
      </c>
      <c r="B573" s="93"/>
    </row>
    <row r="574">
      <c r="A574" s="384" t="str">
        <f>IFERROR(__xludf.DUMMYFUNCTION("""COMPUTED_VALUE"""),"Camila Rodriguês Quemel | Artes Visuais | Aprovada | Júnio: aprovada no remoto antigo")</f>
        <v>Camila Rodriguês Quemel | Artes Visuais | Aprovada | Júnio: aprovada no remoto antigo</v>
      </c>
      <c r="B574" s="93"/>
    </row>
    <row r="575">
      <c r="A575" s="384" t="str">
        <f>IFERROR(__xludf.DUMMYFUNCTION("""COMPUTED_VALUE"""),"Camila Xavier Dourado | Pedagogia | Aprovado | Aline: autorizada a recolher as assinaturas, e enviar digitalizado. // Bárbara: aluna esqueceu de enviar digitalizado, Aline autorizou aprovar no dia do arquivo. Conferido e arquivado 23/11/2020")</f>
        <v>Camila Xavier Dourado | Pedagogia | Aprovado | Aline: autorizada a recolher as assinaturas, e enviar digitalizado. // Bárbara: aluna esqueceu de enviar digitalizado, Aline autorizou aprovar no dia do arquivo. Conferido e arquivado 23/11/2020</v>
      </c>
      <c r="B575" s="93"/>
    </row>
    <row r="576">
      <c r="A576" s="384" t="str">
        <f>IFERROR(__xludf.DUMMYFUNCTION("""COMPUTED_VALUE"""),"Carem Simone Sampaio Christofoletti | Pedagogia | Aprovado | Alexsiane: 18% de plágio, falta encaminhar a entrevista digitada e em formato de resposta e pergunta//Cris: PP aprovado")</f>
        <v>Carem Simone Sampaio Christofoletti | Pedagogia | Aprovado | Alexsiane: 18% de plágio, falta encaminhar a entrevista digitada e em formato de resposta e pergunta//Cris: PP aprovado</v>
      </c>
      <c r="B576" s="93"/>
    </row>
    <row r="577">
      <c r="A577" s="384" t="str">
        <f>IFERROR(__xludf.DUMMYFUNCTION("""COMPUTED_VALUE"""),"Carina Santos | Artes Visuais | Em analise  | Pamela: declaração de experiencia valida.")</f>
        <v>Carina Santos | Artes Visuais | Em analise  | Pamela: declaração de experiencia valida.</v>
      </c>
      <c r="B577" s="93"/>
    </row>
    <row r="578">
      <c r="A578" s="384" t="str">
        <f>IFERROR(__xludf.DUMMYFUNCTION("""COMPUTED_VALUE"""),"Carina Von Neutegen Braff Dos Santos | Artes Visuais | Aprovada | Júnio: faltam fichas de registro, relatório de observação, relatório de regência, considerações finais, autoavaliação e referencias. PRAZO: 28/08/23 //Júnio: aprovada: 31/10/23")</f>
        <v>Carina Von Neutegen Braff Dos Santos | Artes Visuais | Aprovada | Júnio: faltam fichas de registro, relatório de observação, relatório de regência, considerações finais, autoavaliação e referencias. PRAZO: 28/08/23 //Júnio: aprovada: 31/10/23</v>
      </c>
      <c r="B578" s="93"/>
    </row>
    <row r="579">
      <c r="A579" s="384" t="str">
        <f>IFERROR(__xludf.DUMMYFUNCTION("""COMPUTED_VALUE"""),"Carissiene Colares Dos Santos | Artes Visuais | Aprovado | Aline Silva: apresentou declaração de experiência válida, e carta de apresentação.// Bárbara: aprovada etpas 1, 2 e 3. //Júnio:conferido e arquivado: 16/06/2021")</f>
        <v>Carissiene Colares Dos Santos | Artes Visuais | Aprovado | Aline Silva: apresentou declaração de experiência válida, e carta de apresentação.// Bárbara: aprovada etpas 1, 2 e 3. //Júnio:conferido e arquivado: 16/06/2021</v>
      </c>
      <c r="B579" s="93"/>
    </row>
    <row r="580">
      <c r="A580" s="384" t="str">
        <f>IFERROR(__xludf.DUMMYFUNCTION("""COMPUTED_VALUE"""),"Carla Aparecida Albrussezze Da Silva | Pedagogia | Aprovada | Júnio: faltam 40 hs de gestão, especificar de forma diária o tema e série, falta carta de apresentação e todas as etapas dissertativas. PRAZO: 25/08/23 //Júnio: aprovada")</f>
        <v>Carla Aparecida Albrussezze Da Silva | Pedagogia | Aprovada | Júnio: faltam 40 hs de gestão, especificar de forma diária o tema e série, falta carta de apresentação e todas as etapas dissertativas. PRAZO: 25/08/23 //Júnio: aprovada</v>
      </c>
      <c r="B580" s="93"/>
    </row>
    <row r="581">
      <c r="A581" s="384" t="str">
        <f>IFERROR(__xludf.DUMMYFUNCTION("""COMPUTED_VALUE"""),"Carla Brisot Zanadreia | Geografia | Aprovado | Aline Silva: apresentou declaração de experiência // Bárbara: Aluna apresentou no dia 04/09/20 primeiras duas etapas do estágio remoto, e está ótimo.// Bárbara: Aluna foi aprovada 04/09/2020, pois ela já tem"&amp;" declaração.")</f>
        <v>Carla Brisot Zanadreia | Geografia | Aprovado | Aline Silva: apresentou declaração de experiência // Bárbara: Aluna apresentou no dia 04/09/20 primeiras duas etapas do estágio remoto, e está ótimo.// Bárbara: Aluna foi aprovada 04/09/2020, pois ela já tem declaração.</v>
      </c>
      <c r="B581" s="93"/>
    </row>
    <row r="582">
      <c r="A582" s="384" t="str">
        <f>IFERROR(__xludf.DUMMYFUNCTION("""COMPUTED_VALUE"""),"Carla Cristina Justino Da Silva | Pedagogia | Aprovada | Bárbara: a aluna tem PENDENCIAS DOCUMENTAIS, mas encminhou o trabalho para verificação rápida, por isso fiz a verificação. informei ela da pendencia e solicitei o contato da documentação opelo Guru."&amp;" A respeito do estágio, osão 400 horas totais ela entregou apenas 288, não tem termo de conclusão nem carta de apresentação e entregou apenas o relatório da gestão. As fichas faltam as séries, o resto ta ok. // Pamela 08/12/2022 Conferido e arquivado. ")</f>
        <v>Carla Cristina Justino Da Silva | Pedagogia | Aprovada | Bárbara: a aluna tem PENDENCIAS DOCUMENTAIS, mas encminhou o trabalho para verificação rápida, por isso fiz a verificação. informei ela da pendencia e solicitei o contato da documentação opelo Guru. A respeito do estágio, osão 400 horas totais ela entregou apenas 288, não tem termo de conclusão nem carta de apresentação e entregou apenas o relatório da gestão. As fichas faltam as séries, o resto ta ok. // Pamela 08/12/2022 Conferido e arquivado. </v>
      </c>
      <c r="B582" s="93"/>
    </row>
    <row r="583">
      <c r="A583" s="384" t="str">
        <f>IFERROR(__xludf.DUMMYFUNCTION("""COMPUTED_VALUE"""),"Carla Daniele Borges Dos Santos Costa | Pedagogia | Aprovada | Lucas: Aprovada nas 3 priemiras etapas do remoto antigo //Júnio: aprovada: 05/09/22")</f>
        <v>Carla Daniele Borges Dos Santos Costa | Pedagogia | Aprovada | Lucas: Aprovada nas 3 priemiras etapas do remoto antigo //Júnio: aprovada: 05/09/22</v>
      </c>
      <c r="B583" s="93"/>
    </row>
    <row r="584">
      <c r="A584" s="384" t="str">
        <f>IFERROR(__xludf.DUMMYFUNCTION("""COMPUTED_VALUE"""),"Carla Emiliane Da Costa Magela | Matemática | Aprovada | Alexsiane: especificar o tema nas fichas de registro, corrigir o total de horas por dia( EM ALGUNS DIAS)E 13,46% de plágio 04/09/2022 para reenviar // Alexsiane: pré aprovada com lançamento no spont"&amp;"e //Pamela: 11/22: conferido e arquivdo")</f>
        <v>Carla Emiliane Da Costa Magela | Matemática | Aprovada | Alexsiane: especificar o tema nas fichas de registro, corrigir o total de horas por dia( EM ALGUNS DIAS)E 13,46% de plágio 04/09/2022 para reenviar // Alexsiane: pré aprovada com lançamento no sponte //Pamela: 11/22: conferido e arquivdo</v>
      </c>
      <c r="B584" s="93"/>
    </row>
    <row r="585">
      <c r="A585" s="384" t="str">
        <f>IFERROR(__xludf.DUMMYFUNCTION("""COMPUTED_VALUE"""),"Carla Mairla Da Silva Gomes | Artes Visuais | Aprovado | Bárbara: Falta introdução, trabalho com 34% de plágio e devido a formatação, naõ se consegue visuailizar as partes de baixo dos planos.// Bárbara: aprovada 10/11/2020 //Amélia 05/02 Trabalho carimba"&amp;"do e entre a secretaria.")</f>
        <v>Carla Mairla Da Silva Gomes | Artes Visuais | Aprovado | Bárbara: Falta introdução, trabalho com 34% de plágio e devido a formatação, naõ se consegue visuailizar as partes de baixo dos planos.// Bárbara: aprovada 10/11/2020 //Amélia 05/02 Trabalho carimbado e entre a secretaria.</v>
      </c>
      <c r="B585" s="93"/>
    </row>
    <row r="586">
      <c r="A586" s="384" t="str">
        <f>IFERROR(__xludf.DUMMYFUNCTION("""COMPUTED_VALUE"""),"Carla Nayane Regner | Pedagogia | Aprovada | Júnio: PP aprovada")</f>
        <v>Carla Nayane Regner | Pedagogia | Aprovada | Júnio: PP aprovada</v>
      </c>
      <c r="B586" s="93"/>
    </row>
    <row r="587">
      <c r="A587" s="384" t="str">
        <f>IFERROR(__xludf.DUMMYFUNCTION("""COMPUTED_VALUE"""),"Carla Regina Blecha | Neuropsicopedagogia Institucional,Clínica E Hospitalar | Aprovada | Alexsiane: 17 % de plágio, especificar o tipo de acompanhamento nas fichas( observação e regência), encaminhar termo de conclusão pois está ilegivel e fazer a síntes"&amp;"e de conclusão do caso e avaliação pedagógica //Júnio: pre aprovada: 03/01/23 // Pamela 13/01/2023 Conferido e arquivado. ")</f>
        <v>Carla Regina Blecha | Neuropsicopedagogia Institucional,Clínica E Hospitalar | Aprovada | Alexsiane: 17 % de plágio, especificar o tipo de acompanhamento nas fichas( observação e regência), encaminhar termo de conclusão pois está ilegivel e fazer a síntese de conclusão do caso e avaliação pedagógica //Júnio: pre aprovada: 03/01/23 // Pamela 13/01/2023 Conferido e arquivado. </v>
      </c>
      <c r="B587" s="93"/>
    </row>
    <row r="588">
      <c r="A588" s="384" t="str">
        <f>IFERROR(__xludf.DUMMYFUNCTION("""COMPUTED_VALUE"""),"Carla Regina Luiz Dos Santos | Artes Visuais | Em análise | Aline Silva: declaração de experiência foi aceita.")</f>
        <v>Carla Regina Luiz Dos Santos | Artes Visuais | Em análise | Aline Silva: declaração de experiência foi aceita.</v>
      </c>
      <c r="B588" s="93"/>
    </row>
    <row r="589">
      <c r="A589" s="384" t="str">
        <f>IFERROR(__xludf.DUMMYFUNCTION("""COMPUTED_VALUE"""),"Carlessandra Costa Valenca Carvalho | Pós-Graduação Em Neuropsicopedagogia Clínica E Institucional | Aprovado | Rayssa pp aprovado")</f>
        <v>Carlessandra Costa Valenca Carvalho | Pós-Graduação Em Neuropsicopedagogia Clínica E Institucional | Aprovado | Rayssa pp aprovado</v>
      </c>
      <c r="B589" s="93"/>
    </row>
    <row r="590">
      <c r="A590" s="384" t="str">
        <f>IFERROR(__xludf.DUMMYFUNCTION("""COMPUTED_VALUE"""),"Carlize Cristina Cecatto Do Amaral | Pedagogia | Aprovada | Júnio: estágio padrão - faltam as fichas de registro PRAZO: 07/01/23  /// Edilaine: Pré-aprovada 12/04 //Júnio: aprovada: 07/08/23")</f>
        <v>Carlize Cristina Cecatto Do Amaral | Pedagogia | Aprovada | Júnio: estágio padrão - faltam as fichas de registro PRAZO: 07/01/23  /// Edilaine: Pré-aprovada 12/04 //Júnio: aprovada: 07/08/23</v>
      </c>
      <c r="B590" s="93"/>
    </row>
    <row r="591">
      <c r="A591" s="384" t="str">
        <f>IFERROR(__xludf.DUMMYFUNCTION("""COMPUTED_VALUE"""),"Carlos Alberto Rodrigues | Pedagogia | Aprovado | Aline Silva: apresentou declaração de experiência válida // aprovado dia 19/06/2020 desde que encaminhe o documento conforme o padrão, e insira a comprvação de experiência, a atividade executada e o plano "&amp;"de aula. Aluno foi avisado. // Bárbara: Conferido e arquivado em 16/09/2020")</f>
        <v>Carlos Alberto Rodrigues | Pedagogia | Aprovado | Aline Silva: apresentou declaração de experiência válida // aprovado dia 19/06/2020 desde que encaminhe o documento conforme o padrão, e insira a comprvação de experiência, a atividade executada e o plano de aula. Aluno foi avisado. // Bárbara: Conferido e arquivado em 16/09/2020</v>
      </c>
      <c r="B591" s="93"/>
    </row>
    <row r="592">
      <c r="A592" s="384" t="str">
        <f>IFERROR(__xludf.DUMMYFUNCTION("""COMPUTED_VALUE"""),"Carlos Alberto Siqueira | Pedagogia | Aprovado | Júnio: aluno enviou a pasta física antes de enviar para correção, solicitei enviar o trabalho em formato word para correção, pasta física veio com as fichas de registros sem assinaturas e carimbo //Júnio: f"&amp;"ichas de registro física recebidas: 22/06/22 conferido e arquivado// Bárbara: 17/10/2022 aprovado ")</f>
        <v>Carlos Alberto Siqueira | Pedagogia | Aprovado | Júnio: aluno enviou a pasta física antes de enviar para correção, solicitei enviar o trabalho em formato word para correção, pasta física veio com as fichas de registros sem assinaturas e carimbo //Júnio: fichas de registro física recebidas: 22/06/22 conferido e arquivado// Bárbara: 17/10/2022 aprovado </v>
      </c>
      <c r="B592" s="93"/>
    </row>
    <row r="593">
      <c r="A593" s="384" t="str">
        <f>IFERROR(__xludf.DUMMYFUNCTION("""COMPUTED_VALUE"""),"Carlos Almeida Santos | Letras Português | Aprovado | Júnio: PP aprovado")</f>
        <v>Carlos Almeida Santos | Letras Português | Aprovado | Júnio: PP aprovado</v>
      </c>
      <c r="B593" s="93"/>
    </row>
    <row r="594">
      <c r="A594" s="384" t="str">
        <f>IFERROR(__xludf.DUMMYFUNCTION("""COMPUTED_VALUE"""),"Carlos Antonio Camilo Dos Santos | Pedagogia | Aprovada | Lucas: Aprovado no estagio  remoto antigo")</f>
        <v>Carlos Antonio Camilo Dos Santos | Pedagogia | Aprovada | Lucas: Aprovado no estagio  remoto antigo</v>
      </c>
      <c r="B594" s="93"/>
    </row>
    <row r="595">
      <c r="A595" s="384" t="str">
        <f>IFERROR(__xludf.DUMMYFUNCTION("""COMPUTED_VALUE"""),"Carlos Antonio Do Nascimento Santos | Música | Aprovada | Alexsiane: etapa 1 ok, etapa 2 tem que encaminhar a carta de apresentação com as assinaturas originias e a entrevista está ok//Alexsiane: carta apresentação ok, pp aprovado 27/05")</f>
        <v>Carlos Antonio Do Nascimento Santos | Música | Aprovada | Alexsiane: etapa 1 ok, etapa 2 tem que encaminhar a carta de apresentação com as assinaturas originias e a entrevista está ok//Alexsiane: carta apresentação ok, pp aprovado 27/05</v>
      </c>
      <c r="B595" s="93"/>
    </row>
    <row r="596">
      <c r="A596" s="384" t="str">
        <f>IFERROR(__xludf.DUMMYFUNCTION("""COMPUTED_VALUE"""),"Carlos Catini Oliveira Meneses | Artes Visuais | Aprovada | Bianca: aprovada com lançamento no Sponte")</f>
        <v>Carlos Catini Oliveira Meneses | Artes Visuais | Aprovada | Bianca: aprovada com lançamento no Sponte</v>
      </c>
      <c r="B596" s="93"/>
    </row>
    <row r="597">
      <c r="A597" s="384" t="str">
        <f>IFERROR(__xludf.DUMMYFUNCTION("""COMPUTED_VALUE"""),"Carlos Cirico | Matemática | Aprovado | Alexsiane; etapa 1,2,3 ok, falta 4° etapa do remoto antigo 15/12 para enviar//Alexsiane; aprovada com lançamento no sponte ")</f>
        <v>Carlos Cirico | Matemática | Aprovado | Alexsiane; etapa 1,2,3 ok, falta 4° etapa do remoto antigo 15/12 para enviar//Alexsiane; aprovada com lançamento no sponte </v>
      </c>
      <c r="B597" s="93"/>
    </row>
    <row r="598">
      <c r="A598" s="384" t="str">
        <f>IFERROR(__xludf.DUMMYFUNCTION("""COMPUTED_VALUE"""),"Carlos Eduardo Martins | Filosofia | Aprovado | Lucas: Falta etapa 4 do remoto antigo. //Júnio: aprovado na aula 13/05/22")</f>
        <v>Carlos Eduardo Martins | Filosofia | Aprovado | Lucas: Falta etapa 4 do remoto antigo. //Júnio: aprovado na aula 13/05/22</v>
      </c>
      <c r="B598" s="93"/>
    </row>
    <row r="599">
      <c r="A599" s="384" t="str">
        <f>IFERROR(__xludf.DUMMYFUNCTION("""COMPUTED_VALUE"""),"Carlos Eduardo Pires Batista | Geografia | Aprovado | Júnio: PP aprovado")</f>
        <v>Carlos Eduardo Pires Batista | Geografia | Aprovado | Júnio: PP aprovado</v>
      </c>
      <c r="B599" s="93"/>
    </row>
    <row r="600">
      <c r="A600" s="384" t="str">
        <f>IFERROR(__xludf.DUMMYFUNCTION("""COMPUTED_VALUE"""),"Carlos Eduardo Pires Batista | História | Aprovado | Alexsiane: enviou somente a carta de apresentação, falta etapa 1 e a entrevista// Alexsiane: pp aprovado 02/08")</f>
        <v>Carlos Eduardo Pires Batista | História | Aprovado | Alexsiane: enviou somente a carta de apresentação, falta etapa 1 e a entrevista// Alexsiane: pp aprovado 02/08</v>
      </c>
      <c r="B600" s="93"/>
    </row>
    <row r="601">
      <c r="A601" s="384" t="str">
        <f>IFERROR(__xludf.DUMMYFUNCTION("""COMPUTED_VALUE"""),"Carlos Eduardo Quirino | Música | Aprovado | Júnio: PP - falta a etapa 2. //Júnio: aprovado: 02/01/24")</f>
        <v>Carlos Eduardo Quirino | Música | Aprovado | Júnio: PP - falta a etapa 2. //Júnio: aprovado: 02/01/24</v>
      </c>
      <c r="B601" s="93"/>
    </row>
    <row r="602">
      <c r="A602" s="384" t="str">
        <f>IFERROR(__xludf.DUMMYFUNCTION("""COMPUTED_VALUE"""),"Carlos Faccio | Pedagogia | Aprovado | Bárbara: aprovado nas 3 primeiras etapas e apresentou declaração de experiência // Bárbara: imprimido e arquivado 29/12/2020")</f>
        <v>Carlos Faccio | Pedagogia | Aprovado | Bárbara: aprovado nas 3 primeiras etapas e apresentou declaração de experiência // Bárbara: imprimido e arquivado 29/12/2020</v>
      </c>
      <c r="B602" s="93"/>
    </row>
    <row r="603">
      <c r="A603" s="384" t="str">
        <f>IFERROR(__xludf.DUMMYFUNCTION("""COMPUTED_VALUE"""),"Carlos Felipe Fagundes Munhoz | Filosofia | Aprovado | Bárbara: aprovada nas 3 primeiras // Bárbara: aprovado 23/03/2021")</f>
        <v>Carlos Felipe Fagundes Munhoz | Filosofia | Aprovado | Bárbara: aprovada nas 3 primeiras // Bárbara: aprovado 23/03/2021</v>
      </c>
      <c r="B603" s="93"/>
    </row>
    <row r="604">
      <c r="A604" s="384" t="str">
        <f>IFERROR(__xludf.DUMMYFUNCTION("""COMPUTED_VALUE"""),"Carlos Germano Do Nascimento Rodrigues | História | Aprovado | Alexsiane; declaração de experiência aceita no e-mail //Júnio: PP aprovado 23/08/23")</f>
        <v>Carlos Germano Do Nascimento Rodrigues | História | Aprovado | Alexsiane; declaração de experiência aceita no e-mail //Júnio: PP aprovado 23/08/23</v>
      </c>
      <c r="B604" s="93"/>
    </row>
    <row r="605">
      <c r="A605" s="384" t="str">
        <f>IFERROR(__xludf.DUMMYFUNCTION("""COMPUTED_VALUE"""),"Carlos Germano Do Nascimento Rodrigues | Pedagogia | Aprovado | Júnio: pelo guru declaração de experiência válida //Júnio: PP aprovado 23/08/23")</f>
        <v>Carlos Germano Do Nascimento Rodrigues | Pedagogia | Aprovado | Júnio: pelo guru declaração de experiência válida //Júnio: PP aprovado 23/08/23</v>
      </c>
      <c r="B605" s="93"/>
    </row>
    <row r="606">
      <c r="A606" s="384" t="str">
        <f>IFERROR(__xludf.DUMMYFUNCTION("""COMPUTED_VALUE"""),"Carlos Germano Do Nascimento Rodrigues | Geografia | Aprovado | Alexsiane: etapa 1 ok, etapa 2 tem que encaminhar digitado e falta carta de apresentação// pp aprovado")</f>
        <v>Carlos Germano Do Nascimento Rodrigues | Geografia | Aprovado | Alexsiane: etapa 1 ok, etapa 2 tem que encaminhar digitado e falta carta de apresentação// pp aprovado</v>
      </c>
      <c r="B606" s="93"/>
    </row>
    <row r="607">
      <c r="A607" s="384" t="str">
        <f>IFERROR(__xludf.DUMMYFUNCTION("""COMPUTED_VALUE"""),"Carlos Henrique De Lira | Pedagogia | Em análise | Ana Flávia: Falta completar TCE.")</f>
        <v>Carlos Henrique De Lira | Pedagogia | Em análise | Ana Flávia: Falta completar TCE.</v>
      </c>
      <c r="B607" s="93"/>
    </row>
    <row r="608">
      <c r="A608" s="384" t="str">
        <f>IFERROR(__xludf.DUMMYFUNCTION("""COMPUTED_VALUE"""),"Carlos Henrique Fernandes | Música | Aprovado | Júnio: enviar a etapa I digitada e responder questionário //Júnio: aprovado: 13/10/23")</f>
        <v>Carlos Henrique Fernandes | Música | Aprovado | Júnio: enviar a etapa I digitada e responder questionário //Júnio: aprovado: 13/10/23</v>
      </c>
      <c r="B608" s="93"/>
    </row>
    <row r="609">
      <c r="A609" s="384" t="str">
        <f>IFERROR(__xludf.DUMMYFUNCTION("""COMPUTED_VALUE"""),"Carlos José De Lima Junior | Educação Física | Aprovado | Júnio: 8% plágio em vários sites - estágio padrão// Bianca: aprovado no estágio padrão em 13/12/2021 // Lucas conferido e arquivado 21/12/2021")</f>
        <v>Carlos José De Lima Junior | Educação Física | Aprovado | Júnio: 8% plágio em vários sites - estágio padrão// Bianca: aprovado no estágio padrão em 13/12/2021 // Lucas conferido e arquivado 21/12/2021</v>
      </c>
      <c r="B609" s="93"/>
    </row>
    <row r="610">
      <c r="A610" s="384" t="str">
        <f>IFERROR(__xludf.DUMMYFUNCTION("""COMPUTED_VALUE"""),"Carlos José De Lima Júnior | Pedagogia | Aprovado | Bianca: aprovado no estágio padrão")</f>
        <v>Carlos José De Lima Júnior | Pedagogia | Aprovado | Bianca: aprovado no estágio padrão</v>
      </c>
      <c r="B610" s="93"/>
    </row>
    <row r="611">
      <c r="A611" s="384" t="str">
        <f>IFERROR(__xludf.DUMMYFUNCTION("""COMPUTED_VALUE"""),"Carlos Lucas De Souza Melo Braz | Música | Aprovado | Alexsiane: pp aprovado")</f>
        <v>Carlos Lucas De Souza Melo Braz | Música | Aprovado | Alexsiane: pp aprovado</v>
      </c>
      <c r="B611" s="93"/>
    </row>
    <row r="612">
      <c r="A612" s="384" t="str">
        <f>IFERROR(__xludf.DUMMYFUNCTION("""COMPUTED_VALUE"""),"Carlos Magno Farias Rodrigues | Música | Aprovado | Júnio: PP aprovado")</f>
        <v>Carlos Magno Farias Rodrigues | Música | Aprovado | Júnio: PP aprovado</v>
      </c>
      <c r="B612" s="93"/>
    </row>
    <row r="613">
      <c r="A613" s="384" t="str">
        <f>IFERROR(__xludf.DUMMYFUNCTION("""COMPUTED_VALUE"""),"Carlos Roberto Da Silva | Artes Visuais | aprovado | Bianca: aprovado nas 4 etapas do remoto ")</f>
        <v>Carlos Roberto Da Silva | Artes Visuais | aprovado | Bianca: aprovado nas 4 etapas do remoto </v>
      </c>
      <c r="B613" s="93"/>
    </row>
    <row r="614">
      <c r="A614" s="384" t="str">
        <f>IFERROR(__xludf.DUMMYFUNCTION("""COMPUTED_VALUE"""),"Carlos Roberto Santos Oliveira | Ciências Da Religião | Aprovado | Alexsiane: pp aprovado")</f>
        <v>Carlos Roberto Santos Oliveira | Ciências Da Religião | Aprovado | Alexsiane: pp aprovado</v>
      </c>
      <c r="B614" s="93"/>
    </row>
    <row r="615">
      <c r="A615" s="384" t="str">
        <f>IFERROR(__xludf.DUMMYFUNCTION("""COMPUTED_VALUE"""),"Carlos Roberto Silva Júnior | Matemática | Aprovado | Thiara: aprovado. // Bárbara: Conferido e arquivado em 16/09/2020")</f>
        <v>Carlos Roberto Silva Júnior | Matemática | Aprovado | Thiara: aprovado. // Bárbara: Conferido e arquivado em 16/09/2020</v>
      </c>
      <c r="B615" s="93"/>
    </row>
    <row r="616">
      <c r="A616" s="384" t="str">
        <f>IFERROR(__xludf.DUMMYFUNCTION("""COMPUTED_VALUE"""),"Carlos Sergio Coelho Serra | Pedagogia | Aprovado | Edilaine: Aluno enviou as fichas de registro. Faltam 118 horas, tem que fazer uma ficha para cada tipo de acompanhamento e fazer as partes dissertativas. //Júnio: pré aprovado: 27/07/23 //Júnio: aprovado"&amp;": 11/08/23")</f>
        <v>Carlos Sergio Coelho Serra | Pedagogia | Aprovado | Edilaine: Aluno enviou as fichas de registro. Faltam 118 horas, tem que fazer uma ficha para cada tipo de acompanhamento e fazer as partes dissertativas. //Júnio: pré aprovado: 27/07/23 //Júnio: aprovado: 11/08/23</v>
      </c>
      <c r="B616" s="93"/>
    </row>
    <row r="617">
      <c r="A617" s="384" t="str">
        <f>IFERROR(__xludf.DUMMYFUNCTION("""COMPUTED_VALUE"""),"Carlos Soares Da Costa | Geografia | Aprovada | Alexsiane: 17,60% de plágio//Alexsiane: estágio remoto antigo aprovado")</f>
        <v>Carlos Soares Da Costa | Geografia | Aprovada | Alexsiane: 17,60% de plágio//Alexsiane: estágio remoto antigo aprovado</v>
      </c>
      <c r="B617" s="93"/>
    </row>
    <row r="618">
      <c r="A618" s="384" t="str">
        <f>IFERROR(__xludf.DUMMYFUNCTION("""COMPUTED_VALUE"""),"Carlos Vinicius Moura Reinaldo | Geografia | Aprovado | Júnio: remoto antigo,etapas 1,2 e 3 ok - marcar aula //Júnio: aprovado na aula online: 04/03/22")</f>
        <v>Carlos Vinicius Moura Reinaldo | Geografia | Aprovado | Júnio: remoto antigo,etapas 1,2 e 3 ok - marcar aula //Júnio: aprovado na aula online: 04/03/22</v>
      </c>
      <c r="B618" s="93"/>
    </row>
    <row r="619">
      <c r="A619" s="384" t="str">
        <f>IFERROR(__xludf.DUMMYFUNCTION("""COMPUTED_VALUE"""),"Carlyle Rosemond Freire | Artes Visuais | Aprovado | Bianca: aprovado na etapa 1 //Júnio: físico conferido e arquivado: 30/09/22")</f>
        <v>Carlyle Rosemond Freire | Artes Visuais | Aprovado | Bianca: aprovado na etapa 1 //Júnio: físico conferido e arquivado: 30/09/22</v>
      </c>
      <c r="B619" s="93"/>
    </row>
    <row r="620">
      <c r="A620" s="384" t="str">
        <f>IFERROR(__xludf.DUMMYFUNCTION("""COMPUTED_VALUE"""),"Carmem Correia Rocha | Letras Inglês | Aprovada | Júnio: estágio padrão - carta de apresentação e termo de conclusão ok, ficha de registro passou mais de 6 horas nos campos diários e tem que especificar o tipo de acompanhamento, tema e séire, faltam todas"&amp;" as etapas dissertativas //Júnio: pre aprovada: 02/05/23 //Júnio: aprovada: 02/06/23")</f>
        <v>Carmem Correia Rocha | Letras Inglês | Aprovada | Júnio: estágio padrão - carta de apresentação e termo de conclusão ok, ficha de registro passou mais de 6 horas nos campos diários e tem que especificar o tipo de acompanhamento, tema e séire, faltam todas as etapas dissertativas //Júnio: pre aprovada: 02/05/23 //Júnio: aprovada: 02/06/23</v>
      </c>
      <c r="B620" s="93"/>
    </row>
    <row r="621">
      <c r="A621" s="384" t="str">
        <f>IFERROR(__xludf.DUMMYFUNCTION("""COMPUTED_VALUE"""),"Carmen Cilene Lacerda Moreira | Neuropsicopedagogia Instittucional Clínica E Hospitalar | Aprovada | Bianca: Aprovada no estágio remoto")</f>
        <v>Carmen Cilene Lacerda Moreira | Neuropsicopedagogia Instittucional Clínica E Hospitalar | Aprovada | Bianca: Aprovada no estágio remoto</v>
      </c>
      <c r="B621" s="93"/>
    </row>
    <row r="622">
      <c r="A622" s="384" t="str">
        <f>IFERROR(__xludf.DUMMYFUNCTION("""COMPUTED_VALUE"""),"Carmen Lúcia Nogueira De Paula | Pedagogia | Aprovada | Lucas: Plagio 27,49%, Desformatação, Numero insuficiente de paginas.//Alexsiane: aprovado com lançamento no Sponte")</f>
        <v>Carmen Lúcia Nogueira De Paula | Pedagogia | Aprovada | Lucas: Plagio 27,49%, Desformatação, Numero insuficiente de paginas.//Alexsiane: aprovado com lançamento no Sponte</v>
      </c>
      <c r="B622" s="93"/>
    </row>
    <row r="623">
      <c r="A623" s="384" t="str">
        <f>IFERROR(__xludf.DUMMYFUNCTION("""COMPUTED_VALUE"""),"Carolina De Almeida Ciriaco | Neuropsicopedagogia Institucional, Clínica E Hospitala | aprovada | Júnio: falta a queixa do professor e as assinaturas nas fichas estão coladas.//Alexsiane: tce aprovado 23/02")</f>
        <v>Carolina De Almeida Ciriaco | Neuropsicopedagogia Institucional, Clínica E Hospitala | aprovada | Júnio: falta a queixa do professor e as assinaturas nas fichas estão coladas.//Alexsiane: tce aprovado 23/02</v>
      </c>
      <c r="B623" s="93"/>
    </row>
    <row r="624">
      <c r="A624" s="384" t="str">
        <f>IFERROR(__xludf.DUMMYFUNCTION("""COMPUTED_VALUE"""),"Carolina Michels Suarez Ortiz | Letras - Português-Inglês | Aprovado | Bianca: aprovada nas 3 primeiras etapas do Remoto Antigo //Bárbara: aprovada na 4ª etapa")</f>
        <v>Carolina Michels Suarez Ortiz | Letras - Português-Inglês | Aprovado | Bianca: aprovada nas 3 primeiras etapas do Remoto Antigo //Bárbara: aprovada na 4ª etapa</v>
      </c>
      <c r="B624" s="93"/>
    </row>
    <row r="625">
      <c r="A625" s="384" t="str">
        <f>IFERROR(__xludf.DUMMYFUNCTION("""COMPUTED_VALUE"""),"Carolina Pimentel Ferreira | Pedagogia | Aprovada | Júnio: PP - falta a carta de autorização. //Júnio: aprovada: 03/08/23")</f>
        <v>Carolina Pimentel Ferreira | Pedagogia | Aprovada | Júnio: PP - falta a carta de autorização. //Júnio: aprovada: 03/08/23</v>
      </c>
      <c r="B625" s="93"/>
    </row>
    <row r="626">
      <c r="A626" s="384" t="str">
        <f>IFERROR(__xludf.DUMMYFUNCTION("""COMPUTED_VALUE"""),"Carolina Queiroz Veloso Marques | Artes Visuais | Aprovado | Bianca: fichas preenchidas de forma incorreta //Alexsiane: Pré-aprovado com lanaçmento no sponte //Júnio: físico, recebido e arquivado: 29/08/22")</f>
        <v>Carolina Queiroz Veloso Marques | Artes Visuais | Aprovado | Bianca: fichas preenchidas de forma incorreta //Alexsiane: Pré-aprovado com lanaçmento no sponte //Júnio: físico, recebido e arquivado: 29/08/22</v>
      </c>
      <c r="B626" s="93"/>
    </row>
    <row r="627">
      <c r="A627" s="384" t="str">
        <f>IFERROR(__xludf.DUMMYFUNCTION("""COMPUTED_VALUE"""),"Carolina Santos De Souza | Pedagogia Para Bachareis E Tecnólos | Aprovada | Júnio- Estágio I: falta autoavaliação e especificar nas fichas o tipo de acompanhamento e tema Estágio II: especificar nas fichas o tipo de acompanhamento e tema Estágio III: falt"&amp;"am objetivos gerais e específicos, dados gerais, relatório de gestão e autoavaliação Estágio IV: faltam objetivos gerais e especificos, dados gerais , relatório de observação, relàtorio de regência, autoavaliação e especificar nas fichas o tipo de acompan"&amp;"hamento e tema PCC I: falta a tabela  PCC II: falta a tabela  PCC III: falta a tabela  PCC IV: falta a tabela //Júnio: aprovada: 08/01/2024")</f>
        <v>Carolina Santos De Souza | Pedagogia Para Bachareis E Tecnólos | Aprovada | Júnio- Estágio I: falta autoavaliação e especificar nas fichas o tipo de acompanhamento e tema Estágio II: especificar nas fichas o tipo de acompanhamento e tema Estágio III: faltam objetivos gerais e específicos, dados gerais, relatório de gestão e autoavaliação Estágio IV: faltam objetivos gerais e especificos, dados gerais , relatório de observação, relàtorio de regência, autoavaliação e especificar nas fichas o tipo de acompanhamento e tema PCC I: falta a tabela  PCC II: falta a tabela  PCC III: falta a tabela  PCC IV: falta a tabela //Júnio: aprovada: 08/01/2024</v>
      </c>
      <c r="B627" s="93"/>
    </row>
    <row r="628">
      <c r="A628" s="384" t="str">
        <f>IFERROR(__xludf.DUMMYFUNCTION("""COMPUTED_VALUE"""),"Carolina Santos De Souza | História | Aprovada | Júnio: PP aprovada")</f>
        <v>Carolina Santos De Souza | História | Aprovada | Júnio: PP aprovada</v>
      </c>
      <c r="B628" s="93"/>
    </row>
    <row r="629">
      <c r="A629" s="384" t="str">
        <f>IFERROR(__xludf.DUMMYFUNCTION("""COMPUTED_VALUE"""),"Caroline Castro Hawrylyszyn | Pedagogia | Em análise | Bianca: autorizada a recolher assinaturas. //Júnio: aprovada: 01/12/2021 //Júnio: conferido e arquivado 03/12/2021 não enviou assinaturas originais, encaminhou xerox")</f>
        <v>Caroline Castro Hawrylyszyn | Pedagogia | Em análise | Bianca: autorizada a recolher assinaturas. //Júnio: aprovada: 01/12/2021 //Júnio: conferido e arquivado 03/12/2021 não enviou assinaturas originais, encaminhou xerox</v>
      </c>
      <c r="B629" s="93"/>
    </row>
    <row r="630">
      <c r="A630" s="384" t="str">
        <f>IFERROR(__xludf.DUMMYFUNCTION("""COMPUTED_VALUE"""),"Caroline De Oliveira Eufrásio | Pedagogia | Em análise | Bianca: autorizada a recolher assinaturas e enviar termo de conclusão e carta de aceite          ")</f>
        <v>Caroline De Oliveira Eufrásio | Pedagogia | Em análise | Bianca: autorizada a recolher assinaturas e enviar termo de conclusão e carta de aceite          </v>
      </c>
      <c r="B630" s="93"/>
    </row>
    <row r="631">
      <c r="A631" s="384" t="str">
        <f>IFERROR(__xludf.DUMMYFUNCTION("""COMPUTED_VALUE"""),"Caroline Menescal Braga Itabaiana Nicolau | Segunda Licenciatura Em Letras Português / Espanhol | Aprovado | Rayssa: pp aprovado")</f>
        <v>Caroline Menescal Braga Itabaiana Nicolau | Segunda Licenciatura Em Letras Português / Espanhol | Aprovado | Rayssa: pp aprovado</v>
      </c>
      <c r="B631" s="93"/>
    </row>
    <row r="632">
      <c r="A632" s="384" t="str">
        <f>IFERROR(__xludf.DUMMYFUNCTION("""COMPUTED_VALUE"""),"Carulina Guilherme Buzatto | Letras/Português-Inglês | Aprovada | Lucas: Trabalho completamente desformatado, falta etapas 1, 2, 3 e 4, temos pré e pós textuais. (TCE remoto antigo) // Edilaine: Aprovada com lançamento no sponte.")</f>
        <v>Carulina Guilherme Buzatto | Letras/Português-Inglês | Aprovada | Lucas: Trabalho completamente desformatado, falta etapas 1, 2, 3 e 4, temos pré e pós textuais. (TCE remoto antigo) // Edilaine: Aprovada com lançamento no sponte.</v>
      </c>
      <c r="B632" s="93"/>
    </row>
    <row r="633">
      <c r="A633" s="384" t="str">
        <f>IFERROR(__xludf.DUMMYFUNCTION("""COMPUTED_VALUE"""),"Cássia Araújo Neves | Artes Visuais | Aprovado | Thiara: Falta 30 horas de Regência no Ensino Médio. /// Enviou horas faltantes 28/10/2019.// Recebido dia 04/12/2019")</f>
        <v>Cássia Araújo Neves | Artes Visuais | Aprovado | Thiara: Falta 30 horas de Regência no Ensino Médio. /// Enviou horas faltantes 28/10/2019.// Recebido dia 04/12/2019</v>
      </c>
      <c r="B633" s="93"/>
    </row>
    <row r="634">
      <c r="A634" s="384" t="str">
        <f>IFERROR(__xludf.DUMMYFUNCTION("""COMPUTED_VALUE"""),"Cássia Araújo Neves | Letras Português | Aprovado | Aline Silva: Recolher as assinaturas e reencaminhar // Aline: aprovada 17/11/2020// Bárbara: conferido e arquivado 16/12/2020")</f>
        <v>Cássia Araújo Neves | Letras Português | Aprovado | Aline Silva: Recolher as assinaturas e reencaminhar // Aline: aprovada 17/11/2020// Bárbara: conferido e arquivado 16/12/2020</v>
      </c>
      <c r="B634" s="93"/>
    </row>
    <row r="635">
      <c r="A635" s="384" t="str">
        <f>IFERROR(__xludf.DUMMYFUNCTION("""COMPUTED_VALUE"""),"Cássia Juliana Teixeira Alves Ataíde | Artes Visuais | Aprovada | Bianca: faltam as fichas de registro (remoto atualizado) //Júnio: conferido e arquivado: 01/11/21")</f>
        <v>Cássia Juliana Teixeira Alves Ataíde | Artes Visuais | Aprovada | Bianca: faltam as fichas de registro (remoto atualizado) //Júnio: conferido e arquivado: 01/11/21</v>
      </c>
      <c r="B635" s="93"/>
    </row>
    <row r="636">
      <c r="A636" s="384" t="str">
        <f>IFERROR(__xludf.DUMMYFUNCTION("""COMPUTED_VALUE"""),"Cassia Morais Reis | Psicopedagogia Institucional E Clínica | Aprovada | Alexsiane: falta especificar o tipo de acompanhamento nas fichas de registro, preencher o cabeçalho das fichas e preencher as duas primeiras linhas do termo. Restante ok e sem plágio"&amp;" //Júnio: pre aprovada: 05/06/23 //Júnio: aprovada")</f>
        <v>Cassia Morais Reis | Psicopedagogia Institucional E Clínica | Aprovada | Alexsiane: falta especificar o tipo de acompanhamento nas fichas de registro, preencher o cabeçalho das fichas e preencher as duas primeiras linhas do termo. Restante ok e sem plágio //Júnio: pre aprovada: 05/06/23 //Júnio: aprovada</v>
      </c>
      <c r="B636" s="93"/>
    </row>
    <row r="637">
      <c r="A637" s="384" t="str">
        <f>IFERROR(__xludf.DUMMYFUNCTION("""COMPUTED_VALUE"""),"Cássia Silene Rebolho Pereira | Psicopedagogia Institucional, Clínica E Educação Infantil | Aprovada | Júnio: fazer estudo de caso, faltam todas as fichas. PRAZO: 25/06/23 //Júnio: aprovada: 28/11/23")</f>
        <v>Cássia Silene Rebolho Pereira | Psicopedagogia Institucional, Clínica E Educação Infantil | Aprovada | Júnio: fazer estudo de caso, faltam todas as fichas. PRAZO: 25/06/23 //Júnio: aprovada: 28/11/23</v>
      </c>
      <c r="B637" s="93"/>
    </row>
    <row r="638">
      <c r="A638" s="384" t="str">
        <f>IFERROR(__xludf.DUMMYFUNCTION("""COMPUTED_VALUE"""),"Cassiana Aparecida Da Paixão De Morais | Letras - Português | Aprovado | Bianca: aprovada nas 3 primeiras etapas do remoto antigo //Júnio: aprovada na aula 07/07/21")</f>
        <v>Cassiana Aparecida Da Paixão De Morais | Letras - Português | Aprovado | Bianca: aprovada nas 3 primeiras etapas do remoto antigo //Júnio: aprovada na aula 07/07/21</v>
      </c>
      <c r="B638" s="93"/>
    </row>
    <row r="639">
      <c r="A639" s="384" t="str">
        <f>IFERROR(__xludf.DUMMYFUNCTION("""COMPUTED_VALUE"""),"Cassiane Sepp | Ed. Física | Aprovado | Bárbara: aprovado etapas 1,2 e 3 do remoto, aguardando a 4// Bárbara:apresentou declaração de experiencia 23/10/2020 válida (e-mail da Aline Antunes)")</f>
        <v>Cassiane Sepp | Ed. Física | Aprovado | Bárbara: aprovado etapas 1,2 e 3 do remoto, aguardando a 4// Bárbara:apresentou declaração de experiencia 23/10/2020 válida (e-mail da Aline Antunes)</v>
      </c>
      <c r="B639" s="93"/>
    </row>
    <row r="640">
      <c r="A640" s="384" t="str">
        <f>IFERROR(__xludf.DUMMYFUNCTION("""COMPUTED_VALUE"""),"Cassiane Sepp | Geografia | Aprovada | Júnio: aprovada no remoto atualizado  //Júnio:conferido e arquivado: 25/02/22")</f>
        <v>Cassiane Sepp | Geografia | Aprovada | Júnio: aprovada no remoto atualizado  //Júnio:conferido e arquivado: 25/02/22</v>
      </c>
      <c r="B640" s="93"/>
    </row>
    <row r="641">
      <c r="A641" s="384" t="str">
        <f>IFERROR(__xludf.DUMMYFUNCTION("""COMPUTED_VALUE"""),"Cássio Fernandes Da Fonseca | Matemática | Aprovado | Bianca: aprovado nas 4 etapas do remoto")</f>
        <v>Cássio Fernandes Da Fonseca | Matemática | Aprovado | Bianca: aprovado nas 4 etapas do remoto</v>
      </c>
      <c r="B641" s="93"/>
    </row>
    <row r="642">
      <c r="A642" s="384" t="str">
        <f>IFERROR(__xludf.DUMMYFUNCTION("""COMPUTED_VALUE"""),"Catarina Renata De Melo Ventura | Pedagogia | Aprovado | Recebido via correios (22/10/2018); não encontrei registro de aprovação, mas Adélia estava responsável e em comunicação com a aluna")</f>
        <v>Catarina Renata De Melo Ventura | Pedagogia | Aprovado | Recebido via correios (22/10/2018); não encontrei registro de aprovação, mas Adélia estava responsável e em comunicação com a aluna</v>
      </c>
      <c r="B642" s="93"/>
    </row>
    <row r="643">
      <c r="A643" s="384" t="str">
        <f>IFERROR(__xludf.DUMMYFUNCTION("""COMPUTED_VALUE"""),"Cátia Aracéli Cunha | Neuropsicopedagogia Instittucional Clínica E Hospitalar | Aprovada | Júnio: pré aprovada PRAZO: 24/06/23 //Júnio: aprovada: 20/06/23")</f>
        <v>Cátia Aracéli Cunha | Neuropsicopedagogia Instittucional Clínica E Hospitalar | Aprovada | Júnio: pré aprovada PRAZO: 24/06/23 //Júnio: aprovada: 20/06/23</v>
      </c>
      <c r="B643" s="93"/>
    </row>
    <row r="644">
      <c r="A644" s="384" t="str">
        <f>IFERROR(__xludf.DUMMYFUNCTION("""COMPUTED_VALUE"""),"Cátia Da Costa Silva Melo | Pedagogia | Em análise | Júnio: PP - falta a carta de apresentação")</f>
        <v>Cátia Da Costa Silva Melo | Pedagogia | Em análise | Júnio: PP - falta a carta de apresentação</v>
      </c>
      <c r="B644" s="93"/>
    </row>
    <row r="645">
      <c r="A645" s="384" t="str">
        <f>IFERROR(__xludf.DUMMYFUNCTION("""COMPUTED_VALUE"""),"Cátia Da Costa Silva Melo | Pedagogia | Aprovada | Júnio: PP aprovada")</f>
        <v>Cátia Da Costa Silva Melo | Pedagogia | Aprovada | Júnio: PP aprovada</v>
      </c>
      <c r="B645" s="93"/>
    </row>
    <row r="646">
      <c r="A646" s="384" t="str">
        <f>IFERROR(__xludf.DUMMYFUNCTION("""COMPUTED_VALUE"""),"Cátia Letícia Lopes Souza | Artes Visuais | Aprovada | Lucas: Falta etapa 3 e 4 do remoto atualizado //Júnio:aprovada: 24/05/22 //JÚNIO:físico conferido e arquivado: 10/06/22")</f>
        <v>Cátia Letícia Lopes Souza | Artes Visuais | Aprovada | Lucas: Falta etapa 3 e 4 do remoto atualizado //Júnio:aprovada: 24/05/22 //JÚNIO:físico conferido e arquivado: 10/06/22</v>
      </c>
      <c r="B646" s="93"/>
    </row>
    <row r="647">
      <c r="A647" s="384" t="str">
        <f>IFERROR(__xludf.DUMMYFUNCTION("""COMPUTED_VALUE"""),"Cátia Letícia Lopes Souza | Neuropsicopedagogia Institucional,Clínica E Hospitalar | Aprovada | Alexsiane: enviar em formato word editável 28/08/2022 para reenviar// Bárbara atualizei o prazo de entrega para 03/09, tínhamos esquecido de anexar o trabalho "&amp;"// Edilaine: Pré-aprovada com lançamento no Sponte // Pamela 23/12/2022 Conferido e arquivado. ")</f>
        <v>Cátia Letícia Lopes Souza | Neuropsicopedagogia Institucional,Clínica E Hospitalar | Aprovada | Alexsiane: enviar em formato word editável 28/08/2022 para reenviar// Bárbara atualizei o prazo de entrega para 03/09, tínhamos esquecido de anexar o trabalho // Edilaine: Pré-aprovada com lançamento no Sponte // Pamela 23/12/2022 Conferido e arquivado. </v>
      </c>
      <c r="B647" s="93"/>
    </row>
    <row r="648">
      <c r="A648" s="384" t="str">
        <f>IFERROR(__xludf.DUMMYFUNCTION("""COMPUTED_VALUE"""),"Cátia Letícia Lopes Souza | Psicopedagogia Institucional E Clínica | Aprovado | Alexsiane: enviar uma das fichas que está ilegível, corrigir o total de horas por dia e especificar o tipo de acompanhamento(observação ou participação) até dia 01/09 reenviar"&amp;"// Alexsiane: pré aprovado com lançamento no sponte// Pamela 23/12/2022 Conferido e arquivado. ")</f>
        <v>Cátia Letícia Lopes Souza | Psicopedagogia Institucional E Clínica | Aprovado | Alexsiane: enviar uma das fichas que está ilegível, corrigir o total de horas por dia e especificar o tipo de acompanhamento(observação ou participação) até dia 01/09 reenviar// Alexsiane: pré aprovado com lançamento no sponte// Pamela 23/12/2022 Conferido e arquivado. </v>
      </c>
      <c r="B648" s="93"/>
    </row>
    <row r="649">
      <c r="A649" s="384" t="str">
        <f>IFERROR(__xludf.DUMMYFUNCTION("""COMPUTED_VALUE"""),"Cátia Silene Oliveira Puglia | Pedagogia | Aprovada | Júnio: PP aprovada")</f>
        <v>Cátia Silene Oliveira Puglia | Pedagogia | Aprovada | Júnio: PP aprovada</v>
      </c>
      <c r="B649" s="93"/>
    </row>
    <row r="650">
      <c r="A650" s="384" t="str">
        <f>IFERROR(__xludf.DUMMYFUNCTION("""COMPUTED_VALUE"""),"Catia Silene Ribeiro | Pedagogia | Em análise | Thiara: não enviou as 50 horas de observação do ensino fundamental.")</f>
        <v>Catia Silene Ribeiro | Pedagogia | Em análise | Thiara: não enviou as 50 horas de observação do ensino fundamental.</v>
      </c>
      <c r="B650" s="93"/>
    </row>
    <row r="651">
      <c r="A651" s="384" t="str">
        <f>IFERROR(__xludf.DUMMYFUNCTION("""COMPUTED_VALUE"""),"Cátia Silene Ribeiro | Pedagogia | Aprovado | Aline Silva: aprovado// Miryã: conferido e arquivado 12/03/2021")</f>
        <v>Cátia Silene Ribeiro | Pedagogia | Aprovado | Aline Silva: aprovado// Miryã: conferido e arquivado 12/03/2021</v>
      </c>
      <c r="B651" s="93"/>
    </row>
    <row r="652">
      <c r="A652" s="384" t="str">
        <f>IFERROR(__xludf.DUMMYFUNCTION("""COMPUTED_VALUE"""),"Cauan Alves Da Costa Mazzoleni | Sociologia |  | Bárbara: Conferido e arquivado em 16/09/2020 planos de aula")</f>
        <v>Cauan Alves Da Costa Mazzoleni | Sociologia |  | Bárbara: Conferido e arquivado em 16/09/2020 planos de aula</v>
      </c>
      <c r="B652" s="93"/>
    </row>
    <row r="653">
      <c r="A653" s="384" t="str">
        <f>IFERROR(__xludf.DUMMYFUNCTION("""COMPUTED_VALUE"""),"Cecília Mendes De Castro | Matemática | Aprovada | Aline Silva: aprovada // Bárbara: conferido e arquivado 16/12/2020")</f>
        <v>Cecília Mendes De Castro | Matemática | Aprovada | Aline Silva: aprovada // Bárbara: conferido e arquivado 16/12/2020</v>
      </c>
      <c r="B653" s="93"/>
    </row>
    <row r="654">
      <c r="A654" s="384" t="str">
        <f>IFERROR(__xludf.DUMMYFUNCTION("""COMPUTED_VALUE"""),"Cecília Micaela De Carvalho Silva | Letras – Português E Inglês | Aprovada | Mariana: pp ok aguardando 6 mes (01/04/2024)// Alexsiane: pp aprovado 17/05")</f>
        <v>Cecília Micaela De Carvalho Silva | Letras – Português E Inglês | Aprovada | Mariana: pp ok aguardando 6 mes (01/04/2024)// Alexsiane: pp aprovado 17/05</v>
      </c>
      <c r="B654" s="93"/>
    </row>
    <row r="655">
      <c r="A655" s="384" t="str">
        <f>IFERROR(__xludf.DUMMYFUNCTION("""COMPUTED_VALUE"""),"Célia Clemente Leal | Artes Visuais | Aprovada | Júnio: PP - falta a etapa 2. //Júnio: aprovada")</f>
        <v>Célia Clemente Leal | Artes Visuais | Aprovada | Júnio: PP - falta a etapa 2. //Júnio: aprovada</v>
      </c>
      <c r="B655" s="93"/>
    </row>
    <row r="656">
      <c r="A656" s="384" t="str">
        <f>IFERROR(__xludf.DUMMYFUNCTION("""COMPUTED_VALUE"""),"Célia Da Silva Morais | Música | Aprovada | Júnio: falta responder o questionário //Júnio: PP aprovada: 24/11/2023")</f>
        <v>Célia Da Silva Morais | Música | Aprovada | Júnio: falta responder o questionário //Júnio: PP aprovada: 24/11/2023</v>
      </c>
      <c r="B656" s="93"/>
    </row>
    <row r="657">
      <c r="A657" s="384" t="str">
        <f>IFERROR(__xludf.DUMMYFUNCTION("""COMPUTED_VALUE"""),"Célia Das Graças Oliveira Vilela | Educação Física | Aprovado | Será feito Certificado.")</f>
        <v>Célia Das Graças Oliveira Vilela | Educação Física | Aprovado | Será feito Certificado.</v>
      </c>
      <c r="B657" s="93"/>
    </row>
    <row r="658">
      <c r="A658" s="384" t="str">
        <f>IFERROR(__xludf.DUMMYFUNCTION("""COMPUTED_VALUE"""),"Célia Regina Da Silva | Letras Inglês | Aprovada | Bárbara: aprovada nas 3 etapas do remoto, e apresentou declaração de experiencia válida")</f>
        <v>Célia Regina Da Silva | Letras Inglês | Aprovada | Bárbara: aprovada nas 3 etapas do remoto, e apresentou declaração de experiencia válida</v>
      </c>
      <c r="B658" s="93"/>
    </row>
    <row r="659">
      <c r="A659" s="384" t="str">
        <f>IFERROR(__xludf.DUMMYFUNCTION("""COMPUTED_VALUE"""),"Célia Regina Zavarize Siqueira | Artes Visuais | Aprovada | Júnio: refazer as fichas de registro, pois lançou  mais de 6 hs por dia. //Júnio: pré aprovada: 05/07/23 //Júnio: aprovada: 14/07/23")</f>
        <v>Célia Regina Zavarize Siqueira | Artes Visuais | Aprovada | Júnio: refazer as fichas de registro, pois lançou  mais de 6 hs por dia. //Júnio: pré aprovada: 05/07/23 //Júnio: aprovada: 14/07/23</v>
      </c>
      <c r="B659" s="93"/>
    </row>
    <row r="660">
      <c r="A660" s="384" t="str">
        <f>IFERROR(__xludf.DUMMYFUNCTION("""COMPUTED_VALUE"""),"Célia Regina Zavarize Siqueira | História | Aprovada | Júnio: pré aprovada //Júnio: aprovada: 25/09/23")</f>
        <v>Célia Regina Zavarize Siqueira | História | Aprovada | Júnio: pré aprovada //Júnio: aprovada: 25/09/23</v>
      </c>
      <c r="B660" s="93"/>
    </row>
    <row r="661">
      <c r="A661" s="384" t="str">
        <f>IFERROR(__xludf.DUMMYFUNCTION("""COMPUTED_VALUE"""),"Célio Antônio Da Silva Santos | Pedagogia | Aprovado | Bárbara: apresentou declração nos anos que pleiteiam o estágio, mas sem carimbo, não aceita  //Júnio: pre aprovado: 04/05/23 //Júnio: aprovado: 17/05/23")</f>
        <v>Célio Antônio Da Silva Santos | Pedagogia | Aprovado | Bárbara: apresentou declração nos anos que pleiteiam o estágio, mas sem carimbo, não aceita  //Júnio: pre aprovado: 04/05/23 //Júnio: aprovado: 17/05/23</v>
      </c>
      <c r="B661" s="93"/>
    </row>
    <row r="662">
      <c r="A662" s="384" t="str">
        <f>IFERROR(__xludf.DUMMYFUNCTION("""COMPUTED_VALUE"""),"Célio Marçal Da Rocha | Educação Física | Em análise | Bianca: plágio")</f>
        <v>Célio Marçal Da Rocha | Educação Física | Em análise | Bianca: plágio</v>
      </c>
      <c r="B662" s="93"/>
    </row>
    <row r="663">
      <c r="A663" s="384" t="str">
        <f>IFERROR(__xludf.DUMMYFUNCTION("""COMPUTED_VALUE"""),"Celione Rocha Matos | Letras Port Ingl | Aprovado | Bárbara: fichas de registro com erros, faltando 30 horas // Bianca: aprovada 16/03 +- // Bárbara: conferido e arquivado 19/03/2021")</f>
        <v>Celione Rocha Matos | Letras Port Ingl | Aprovado | Bárbara: fichas de registro com erros, faltando 30 horas // Bianca: aprovada 16/03 +- // Bárbara: conferido e arquivado 19/03/2021</v>
      </c>
      <c r="B663" s="93"/>
    </row>
    <row r="664">
      <c r="A664" s="384" t="str">
        <f>IFERROR(__xludf.DUMMYFUNCTION("""COMPUTED_VALUE"""),"Celso Henrique Vieira De Lima | Segunda Licenciatura Em Filosofia | Aprovado | Rayssa pp aprovado")</f>
        <v>Celso Henrique Vieira De Lima | Segunda Licenciatura Em Filosofia | Aprovado | Rayssa pp aprovado</v>
      </c>
      <c r="B664" s="93"/>
    </row>
    <row r="665">
      <c r="A665" s="384" t="str">
        <f>IFERROR(__xludf.DUMMYFUNCTION("""COMPUTED_VALUE"""),"Celso Henrique Vieira De Lima | Segunda Licenciatura Em Filosofia | Aprovado | Rayssa pp aprovado")</f>
        <v>Celso Henrique Vieira De Lima | Segunda Licenciatura Em Filosofia | Aprovado | Rayssa pp aprovado</v>
      </c>
      <c r="B665" s="93"/>
    </row>
    <row r="666">
      <c r="A666" s="384" t="str">
        <f>IFERROR(__xludf.DUMMYFUNCTION("""COMPUTED_VALUE"""),"Charles Alves De Almeida | Letras/Português | Aprovado | Alexsiane: Aceitei a declaração de experiência //Júnio: pré aprovado: 21/08/2023 //Júnio: aprovado: 25/08/23")</f>
        <v>Charles Alves De Almeida | Letras/Português | Aprovado | Alexsiane: Aceitei a declaração de experiência //Júnio: pré aprovado: 21/08/2023 //Júnio: aprovado: 25/08/23</v>
      </c>
      <c r="B666" s="93"/>
    </row>
    <row r="667">
      <c r="A667" s="384" t="str">
        <f>IFERROR(__xludf.DUMMYFUNCTION("""COMPUTED_VALUE"""),"Charles Araújo Oliveira | Educação Física | Em análise | Edilaine: Enviou um trabalho que não é o estágio. Tem que enviar o trabalho todo. Tem até dia 17/12/2022 para reenviar.")</f>
        <v>Charles Araújo Oliveira | Educação Física | Em análise | Edilaine: Enviou um trabalho que não é o estágio. Tem que enviar o trabalho todo. Tem até dia 17/12/2022 para reenviar.</v>
      </c>
      <c r="B667" s="93"/>
    </row>
    <row r="668">
      <c r="A668" s="384" t="str">
        <f>IFERROR(__xludf.DUMMYFUNCTION("""COMPUTED_VALUE"""),"Charles Da Silva Machado | Matematica | Aprovado | Pâmela: Declaração de experiência válida //Pré aprovado: 15/08/23 //Júnio: aprovado: 31/08/23")</f>
        <v>Charles Da Silva Machado | Matematica | Aprovado | Pâmela: Declaração de experiência válida //Pré aprovado: 15/08/23 //Júnio: aprovado: 31/08/23</v>
      </c>
      <c r="B668" s="93"/>
    </row>
    <row r="669">
      <c r="A669" s="384" t="str">
        <f>IFERROR(__xludf.DUMMYFUNCTION("""COMPUTED_VALUE"""),"Charles Félix Da Silva | Música | Aprovado | Alexsiane: Cristiane ja havia aprovado o aluno.protocolo 6687")</f>
        <v>Charles Félix Da Silva | Música | Aprovado | Alexsiane: Cristiane ja havia aprovado o aluno.protocolo 6687</v>
      </c>
      <c r="B669" s="93"/>
    </row>
    <row r="670">
      <c r="A670" s="384" t="str">
        <f>IFERROR(__xludf.DUMMYFUNCTION("""COMPUTED_VALUE"""),"Chaves Alves De Almeida | Letras Português | Em análise | Júnio: corrigir nas fichas a rasura, total de horas de alguns dias e especificar tipo de acompanhamento e série")</f>
        <v>Chaves Alves De Almeida | Letras Português | Em análise | Júnio: corrigir nas fichas a rasura, total de horas de alguns dias e especificar tipo de acompanhamento e série</v>
      </c>
      <c r="B670" s="93"/>
    </row>
    <row r="671">
      <c r="A671" s="384" t="str">
        <f>IFERROR(__xludf.DUMMYFUNCTION("""COMPUTED_VALUE"""),"Cheila Camargos Capanema | Educação Especial | Aprovado | Alexsiane: Pp; falta encaminhar a carta de apresentação com as assinaturas originais// Alexsiane: Pp aprovado 19/02")</f>
        <v>Cheila Camargos Capanema | Educação Especial | Aprovado | Alexsiane: Pp; falta encaminhar a carta de apresentação com as assinaturas originais// Alexsiane: Pp aprovado 19/02</v>
      </c>
      <c r="B671" s="93"/>
    </row>
    <row r="672">
      <c r="A672" s="384" t="str">
        <f>IFERROR(__xludf.DUMMYFUNCTION("""COMPUTED_VALUE"""),"Christian Pierini Macena | Formação Pedagógica em Música | Aprovado | Rayssa: pp aprovado")</f>
        <v>Christian Pierini Macena | Formação Pedagógica em Música | Aprovado | Rayssa: pp aprovado</v>
      </c>
      <c r="B672" s="93"/>
    </row>
    <row r="673">
      <c r="A673" s="384" t="str">
        <f>IFERROR(__xludf.DUMMYFUNCTION("""COMPUTED_VALUE"""),"Christiani Oliveira Faria | Pedagogia | Aprovado | Alexsiane: etapa 1,2 e 3 do remoto antigo ok, falta 4° etapa até dia 14/08/22 para reenviar/ Alexsiane: tce antigo aprovado 18/09/24")</f>
        <v>Christiani Oliveira Faria | Pedagogia | Aprovado | Alexsiane: etapa 1,2 e 3 do remoto antigo ok, falta 4° etapa até dia 14/08/22 para reenviar/ Alexsiane: tce antigo aprovado 18/09/24</v>
      </c>
      <c r="B673" s="93"/>
    </row>
    <row r="674">
      <c r="A674" s="384" t="str">
        <f>IFERROR(__xludf.DUMMYFUNCTION("""COMPUTED_VALUE"""),"Christiani Oliveira Faria | Matemática | Aprovado | Alexsiane: pp aprovado")</f>
        <v>Christiani Oliveira Faria | Matemática | Aprovado | Alexsiane: pp aprovado</v>
      </c>
      <c r="B674" s="93"/>
    </row>
    <row r="675">
      <c r="A675" s="384" t="str">
        <f>IFERROR(__xludf.DUMMYFUNCTION("""COMPUTED_VALUE"""),"Christiano Martins De Oliveira | Geografia | Aprovado | Júnio: aprovado no remoto atualizado //Júnio: físico conferido e arquivado: 22/07/22")</f>
        <v>Christiano Martins De Oliveira | Geografia | Aprovado | Júnio: aprovado no remoto atualizado //Júnio: físico conferido e arquivado: 22/07/22</v>
      </c>
      <c r="B675" s="93"/>
    </row>
    <row r="676">
      <c r="A676" s="384" t="str">
        <f>IFERROR(__xludf.DUMMYFUNCTION("""COMPUTED_VALUE"""),"Chrystiane Conceição Carneiro Farias Souza | Pedagogia Para Bachareis E Tecnologos | Em análise | Júnio: PP: ok PCCs: falta enviar PRAZO: 14/01/24")</f>
        <v>Chrystiane Conceição Carneiro Farias Souza | Pedagogia Para Bachareis E Tecnologos | Em análise | Júnio: PP: ok PCCs: falta enviar PRAZO: 14/01/24</v>
      </c>
      <c r="B676" s="93"/>
    </row>
    <row r="677">
      <c r="A677" s="384" t="str">
        <f>IFERROR(__xludf.DUMMYFUNCTION("""COMPUTED_VALUE"""),"Chrystiane Silva Pizão | Neuropsicopedagogia Institucional,Clínica E Hospitalar | Em análise | Edilaine: 27,41% de plágio. Tem que fazer alguns temas: Família; Escola, relacionamentos, aptidões e dificuldades; Objetivo e estágio; Síntese de conclusão do c"&amp;"aso e avaliação pedagógica. Tem que enviar a carta de apresentação e termo de conclusão escaneados. Tem que especificar o tipo de acompanhamento nas fichas e a data, tem que fazer mais 100 horas.")</f>
        <v>Chrystiane Silva Pizão | Neuropsicopedagogia Institucional,Clínica E Hospitalar | Em análise | Edilaine: 27,41% de plágio. Tem que fazer alguns temas: Família; Escola, relacionamentos, aptidões e dificuldades; Objetivo e estágio; Síntese de conclusão do caso e avaliação pedagógica. Tem que enviar a carta de apresentação e termo de conclusão escaneados. Tem que especificar o tipo de acompanhamento nas fichas e a data, tem que fazer mais 100 horas.</v>
      </c>
      <c r="B677" s="93"/>
    </row>
    <row r="678">
      <c r="A678" s="384" t="str">
        <f>IFERROR(__xludf.DUMMYFUNCTION("""COMPUTED_VALUE"""),"Cibele Nunes Dos Santos | Pedagogia | Aprovado | Alexsiane: falta as 10 competências e o perigo da história única// Alexsiane: aprovado com lançamento no sponte 28/07/2022")</f>
        <v>Cibele Nunes Dos Santos | Pedagogia | Aprovado | Alexsiane: falta as 10 competências e o perigo da história única// Alexsiane: aprovado com lançamento no sponte 28/07/2022</v>
      </c>
      <c r="B678" s="93"/>
    </row>
    <row r="679">
      <c r="A679" s="384" t="str">
        <f>IFERROR(__xludf.DUMMYFUNCTION("""COMPUTED_VALUE"""),"Cibele Regina Passio De Almeida | Música | Aprovada | Júnio: os dias 01/03, 02/03 e 03/03 lançados na ficha de registro estão com total errado, precisa especificar também tipo de acompanhamento e série. //Júnio: aprovada: 31/10/2023")</f>
        <v>Cibele Regina Passio De Almeida | Música | Aprovada | Júnio: os dias 01/03, 02/03 e 03/03 lançados na ficha de registro estão com total errado, precisa especificar também tipo de acompanhamento e série. //Júnio: aprovada: 31/10/2023</v>
      </c>
      <c r="B679" s="93"/>
    </row>
    <row r="680">
      <c r="A680" s="384" t="str">
        <f>IFERROR(__xludf.DUMMYFUNCTION("""COMPUTED_VALUE"""),"Cicera Micheline De Lima Silva | Pedagogia | Aprovada | Júnio: PP - enviar entrevista digitada //Júnio: aprovada 02/02/24")</f>
        <v>Cicera Micheline De Lima Silva | Pedagogia | Aprovada | Júnio: PP - enviar entrevista digitada //Júnio: aprovada 02/02/24</v>
      </c>
      <c r="B680" s="93"/>
    </row>
    <row r="681">
      <c r="A681" s="384" t="str">
        <f>IFERROR(__xludf.DUMMYFUNCTION("""COMPUTED_VALUE"""),"Cícero Pereira Batista | Música | Aprovado | Júnio: PP aprovado")</f>
        <v>Cícero Pereira Batista | Música | Aprovado | Júnio: PP aprovado</v>
      </c>
      <c r="B681" s="93"/>
    </row>
    <row r="682">
      <c r="A682" s="384" t="str">
        <f>IFERROR(__xludf.DUMMYFUNCTION("""COMPUTED_VALUE"""),"Cícero Pereira Batista | Ciências Da Religião | Aprovado | Júnio: falta responder o questionário. //Júnio: aprovado: 17/01/24")</f>
        <v>Cícero Pereira Batista | Ciências Da Religião | Aprovado | Júnio: falta responder o questionário. //Júnio: aprovado: 17/01/24</v>
      </c>
      <c r="B682" s="93"/>
    </row>
    <row r="683">
      <c r="A683" s="384" t="str">
        <f>IFERROR(__xludf.DUMMYFUNCTION("""COMPUTED_VALUE"""),"Cidéia Aparecida Da Cruz Silva | Geografia | Aprovado | Estella: Horas ok faltou parte escrita. Aprovado em 16/01/2019. Recebido dia 29/01/2019")</f>
        <v>Cidéia Aparecida Da Cruz Silva | Geografia | Aprovado | Estella: Horas ok faltou parte escrita. Aprovado em 16/01/2019. Recebido dia 29/01/2019</v>
      </c>
      <c r="B683" s="93"/>
    </row>
    <row r="684">
      <c r="A684" s="384" t="str">
        <f>IFERROR(__xludf.DUMMYFUNCTION("""COMPUTED_VALUE"""),"Cilea Maria De Melo | Artes Visuais | Aprovado | Recebido 03/12/2018 documentos relatando Experiência Profissional e serviço de 227h. Ana pediu (wpp 04/12) para fazer um certificado de 300h para o aluna.")</f>
        <v>Cilea Maria De Melo | Artes Visuais | Aprovado | Recebido 03/12/2018 documentos relatando Experiência Profissional e serviço de 227h. Ana pediu (wpp 04/12) para fazer um certificado de 300h para o aluna.</v>
      </c>
      <c r="B684" s="93"/>
    </row>
    <row r="685">
      <c r="A685" s="384" t="str">
        <f>IFERROR(__xludf.DUMMYFUNCTION("""COMPUTED_VALUE"""),"Cinara Sabadin Dagneze | Filosofia | Aprovada  | Bianca: falta etapa 4 do remoto atualizado// Bianca: aprovada 15/10/2021 //Júnio: Conferido e arquivado: 05/11/2021")</f>
        <v>Cinara Sabadin Dagneze | Filosofia | Aprovada  | Bianca: falta etapa 4 do remoto atualizado// Bianca: aprovada 15/10/2021 //Júnio: Conferido e arquivado: 05/11/2021</v>
      </c>
      <c r="B685" s="93"/>
    </row>
    <row r="686">
      <c r="A686" s="384" t="str">
        <f>IFERROR(__xludf.DUMMYFUNCTION("""COMPUTED_VALUE"""),"Cinthia Basto De Carvalho | Neuropsicologia Clínica | Aprovada | Edilaine: Tem que enviar a carta de apresentação e o termo de conclusão. Tem que especificar o tipo de acompanhamento, tem que colocar um dia em cada quadrinho e tem que especificar a observ"&amp;"ação principal de cada dia. //Júnio: pre aprovada: 09/05/23 //Júnio: aprovada: 07/06/23")</f>
        <v>Cinthia Basto De Carvalho | Neuropsicologia Clínica | Aprovada | Edilaine: Tem que enviar a carta de apresentação e o termo de conclusão. Tem que especificar o tipo de acompanhamento, tem que colocar um dia em cada quadrinho e tem que especificar a observação principal de cada dia. //Júnio: pre aprovada: 09/05/23 //Júnio: aprovada: 07/06/23</v>
      </c>
      <c r="B686" s="93"/>
    </row>
    <row r="687">
      <c r="A687" s="384" t="str">
        <f>IFERROR(__xludf.DUMMYFUNCTION("""COMPUTED_VALUE"""),"Cíntia Alaina Strabelli | Artes Visuais | Aprovada | Júnio: anexar termo de conclusão, ficha de aceite e consertar fichas //Júnio:conferida e arquivada 26/10/21")</f>
        <v>Cíntia Alaina Strabelli | Artes Visuais | Aprovada | Júnio: anexar termo de conclusão, ficha de aceite e consertar fichas //Júnio:conferida e arquivada 26/10/21</v>
      </c>
      <c r="B687" s="93"/>
    </row>
    <row r="688">
      <c r="A688" s="384" t="str">
        <f>IFERROR(__xludf.DUMMYFUNCTION("""COMPUTED_VALUE"""),"Cintia Alice De Miranda Dupim | Artes Visuais | Aprovado | Thiara: Faltou 3 horas. /// Enviou horas restantes. Recebido no Instituto dia 01/10/2019")</f>
        <v>Cintia Alice De Miranda Dupim | Artes Visuais | Aprovado | Thiara: Faltou 3 horas. /// Enviou horas restantes. Recebido no Instituto dia 01/10/2019</v>
      </c>
      <c r="B688" s="93"/>
    </row>
    <row r="689">
      <c r="A689" s="384" t="str">
        <f>IFERROR(__xludf.DUMMYFUNCTION("""COMPUTED_VALUE"""),"Cintia Carla Natale Purisco Alves | Pedagogia | Aprovada | Bianca: aprovada nas 3 1ª etapas do remoto antigo //Júnio: aprovada na aula online 23/02/22")</f>
        <v>Cintia Carla Natale Purisco Alves | Pedagogia | Aprovada | Bianca: aprovada nas 3 1ª etapas do remoto antigo //Júnio: aprovada na aula online 23/02/22</v>
      </c>
      <c r="B689" s="93"/>
    </row>
    <row r="690">
      <c r="A690" s="384" t="str">
        <f>IFERROR(__xludf.DUMMYFUNCTION("""COMPUTED_VALUE"""),"Cintia Da Silva Dias | Matematica | Aprovada | Júnio: PP - falta a etapa 2. //Júnio: aprovada: 03/11/2023")</f>
        <v>Cintia Da Silva Dias | Matematica | Aprovada | Júnio: PP - falta a etapa 2. //Júnio: aprovada: 03/11/2023</v>
      </c>
      <c r="B690" s="93"/>
    </row>
    <row r="691">
      <c r="A691" s="384" t="str">
        <f>IFERROR(__xludf.DUMMYFUNCTION("""COMPUTED_VALUE"""),"Cíntia De Castro | Pedagogia | Em análise | Júnio: PP - falta responder  o questionario")</f>
        <v>Cíntia De Castro | Pedagogia | Em análise | Júnio: PP - falta responder  o questionario</v>
      </c>
      <c r="B691" s="93"/>
    </row>
    <row r="692">
      <c r="A692" s="384" t="str">
        <f>IFERROR(__xludf.DUMMYFUNCTION("""COMPUTED_VALUE"""),"Cíntia De Castro | Artes Visuais | Aprovada | Júnio: PP - 15% semelhança com o outro curso// Alexsiane: aprovada 09/05/24")</f>
        <v>Cíntia De Castro | Artes Visuais | Aprovada | Júnio: PP - 15% semelhança com o outro curso// Alexsiane: aprovada 09/05/24</v>
      </c>
      <c r="B692" s="93"/>
    </row>
    <row r="693">
      <c r="A693" s="384" t="str">
        <f>IFERROR(__xludf.DUMMYFUNCTION("""COMPUTED_VALUE"""),"Cintia Fernandes Quintas | Pedagogia | Aprovada | Júnio: pelo email declaração de experiencia valida //Júnio: aprovada: 27/12/2023")</f>
        <v>Cintia Fernandes Quintas | Pedagogia | Aprovada | Júnio: pelo email declaração de experiencia valida //Júnio: aprovada: 27/12/2023</v>
      </c>
      <c r="B693" s="93"/>
    </row>
    <row r="694">
      <c r="A694" s="384" t="str">
        <f>IFERROR(__xludf.DUMMYFUNCTION("""COMPUTED_VALUE"""),"Cintia Lopes Mattar | Pedagogia | Aprovada | Júnio: precisa lançar alguns dias de forma diária sem ultrapassar 6 hs PRAZO: 21/08/23 //Júnio: aprovada: 27/10/23")</f>
        <v>Cintia Lopes Mattar | Pedagogia | Aprovada | Júnio: precisa lançar alguns dias de forma diária sem ultrapassar 6 hs PRAZO: 21/08/23 //Júnio: aprovada: 27/10/23</v>
      </c>
      <c r="B694" s="93"/>
    </row>
    <row r="695">
      <c r="A695" s="384" t="str">
        <f>IFERROR(__xludf.DUMMYFUNCTION("""COMPUTED_VALUE"""),"Cíntia Maria Batista | Pedagogia | Aprovado | Thiara: Ana Lúcia solicitou que fizesse o certificado de Capacitação.")</f>
        <v>Cíntia Maria Batista | Pedagogia | Aprovado | Thiara: Ana Lúcia solicitou que fizesse o certificado de Capacitação.</v>
      </c>
      <c r="B695" s="93"/>
    </row>
    <row r="696">
      <c r="A696" s="384" t="str">
        <f>IFERROR(__xludf.DUMMYFUNCTION("""COMPUTED_VALUE"""),"Cintia Marques Caldeira Aoki | Pedagogia | Aprovado | Alexsiane: pp aprovado")</f>
        <v>Cintia Marques Caldeira Aoki | Pedagogia | Aprovado | Alexsiane: pp aprovado</v>
      </c>
      <c r="B696" s="93"/>
    </row>
    <row r="697">
      <c r="A697" s="384" t="str">
        <f>IFERROR(__xludf.DUMMYFUNCTION("""COMPUTED_VALUE"""),"Cíntia Michele Da Silva | Pedagogia | Aprovada | Júnio: PP - falta a etapa 2. //Júnio: aprovada: 18/10/2023")</f>
        <v>Cíntia Michele Da Silva | Pedagogia | Aprovada | Júnio: PP - falta a etapa 2. //Júnio: aprovada: 18/10/2023</v>
      </c>
      <c r="B697" s="93"/>
    </row>
    <row r="698">
      <c r="A698" s="384" t="str">
        <f>IFERROR(__xludf.DUMMYFUNCTION("""COMPUTED_VALUE"""),"Cíntia Polomares | Filosofia | Aprovada | Bárbara: aprovada nas 3 primeiras etapas, e apresentou declaração de experiência na pasta.")</f>
        <v>Cíntia Polomares | Filosofia | Aprovada | Bárbara: aprovada nas 3 primeiras etapas, e apresentou declaração de experiência na pasta.</v>
      </c>
      <c r="B698" s="93"/>
    </row>
    <row r="699">
      <c r="A699" s="384" t="str">
        <f>IFERROR(__xludf.DUMMYFUNCTION("""COMPUTED_VALUE"""),"Cintia Santos Dias | Pedagogia Pbt | Em análise  | Bárbara: Estágio I EI- Aluna encaminhou apenas as fichas de registro para verificação, solicitei complmentação do tipo de acompanhamento e autorizei recolhimento de assinaturas, solicitei restante do trab"&amp;"alho. ")</f>
        <v>Cintia Santos Dias | Pedagogia Pbt | Em análise  | Bárbara: Estágio I EI- Aluna encaminhou apenas as fichas de registro para verificação, solicitei complmentação do tipo de acompanhamento e autorizei recolhimento de assinaturas, solicitei restante do trabalho. </v>
      </c>
      <c r="B699" s="93"/>
    </row>
    <row r="700">
      <c r="A700" s="384" t="str">
        <f>IFERROR(__xludf.DUMMYFUNCTION("""COMPUTED_VALUE"""),"Cintia Santos Dias | Pedagogia Para Bacharéis | Em análise | Cris: PP ok falta relatório de estágio, ficha de registro de estágio, carta de encaminhamento e trabalho escrito")</f>
        <v>Cintia Santos Dias | Pedagogia Para Bacharéis | Em análise | Cris: PP ok falta relatório de estágio, ficha de registro de estágio, carta de encaminhamento e trabalho escrito</v>
      </c>
      <c r="B700" s="93"/>
    </row>
    <row r="701">
      <c r="A701" s="384" t="str">
        <f>IFERROR(__xludf.DUMMYFUNCTION("""COMPUTED_VALUE"""),"Cintia Vogas Aguiar Robadey | Pedagogia | Aprovada | Júnio: falta responder o questionário. //Júnio: aprovada: 28/11/23 entrou como turma retroatriva")</f>
        <v>Cintia Vogas Aguiar Robadey | Pedagogia | Aprovada | Júnio: falta responder o questionário. //Júnio: aprovada: 28/11/23 entrou como turma retroatriva</v>
      </c>
      <c r="B701" s="93"/>
    </row>
    <row r="702">
      <c r="A702" s="384" t="str">
        <f>IFERROR(__xludf.DUMMYFUNCTION("""COMPUTED_VALUE"""),"Cipriano Ramón Martinez Velasques | Neuropsicologia Clínica | Aprovado | Júnio: aprovado no estágio remoto ")</f>
        <v>Cipriano Ramón Martinez Velasques | Neuropsicologia Clínica | Aprovado | Júnio: aprovado no estágio remoto </v>
      </c>
      <c r="B702" s="93"/>
    </row>
    <row r="703">
      <c r="A703" s="384" t="str">
        <f>IFERROR(__xludf.DUMMYFUNCTION("""COMPUTED_VALUE"""),"Claiton Adriano Tives Ribeiro | Música | Aprovado | Júnio: fichas de regência foi autorizado a recolher assinaturas, falta todo o resto exigido. //Júnio: pre aprovado: 18/10/23 //Júnio: aprovado: 24/10/2023")</f>
        <v>Claiton Adriano Tives Ribeiro | Música | Aprovado | Júnio: fichas de regência foi autorizado a recolher assinaturas, falta todo o resto exigido. //Júnio: pre aprovado: 18/10/23 //Júnio: aprovado: 24/10/2023</v>
      </c>
      <c r="B703" s="93"/>
    </row>
    <row r="704">
      <c r="A704" s="384" t="str">
        <f>IFERROR(__xludf.DUMMYFUNCTION("""COMPUTED_VALUE"""),"Clarice De Fátima Souza | Pedagogia | Aprovado | Aline Silva: aprovado dia 06/01/2020// Miryã: conferido e arquivado 11/03/2021")</f>
        <v>Clarice De Fátima Souza | Pedagogia | Aprovado | Aline Silva: aprovado dia 06/01/2020// Miryã: conferido e arquivado 11/03/2021</v>
      </c>
      <c r="B704" s="93"/>
    </row>
    <row r="705">
      <c r="A705" s="384" t="str">
        <f>IFERROR(__xludf.DUMMYFUNCTION("""COMPUTED_VALUE"""),"Clarice Donizete Da Silva Santos | Neuropsicopedagogia | Aprovado | Lucas: Aprovada no estagio remoto pós novo")</f>
        <v>Clarice Donizete Da Silva Santos | Neuropsicopedagogia | Aprovado | Lucas: Aprovada no estagio remoto pós novo</v>
      </c>
      <c r="B705" s="93"/>
    </row>
    <row r="706">
      <c r="A706" s="384" t="str">
        <f>IFERROR(__xludf.DUMMYFUNCTION("""COMPUTED_VALUE"""),"Clarkson Henrique Santos Lemos | Pedagogia | Aprovado | Júnio: Etapas: ok Início: 18/07/23 Reenviar: 18/01/2024 //Júnio: aprovado: 18/01/24")</f>
        <v>Clarkson Henrique Santos Lemos | Pedagogia | Aprovado | Júnio: Etapas: ok Início: 18/07/23 Reenviar: 18/01/2024 //Júnio: aprovado: 18/01/24</v>
      </c>
      <c r="B706" s="93"/>
    </row>
    <row r="707">
      <c r="A707" s="384" t="str">
        <f>IFERROR(__xludf.DUMMYFUNCTION("""COMPUTED_VALUE"""),"Claudete Aparecida Pereira | Segunda Licenciatura Em Pedagogia | Aprovado | Rayssa. PP escaneada// Alexsiane: pp aprovado 12/11")</f>
        <v>Claudete Aparecida Pereira | Segunda Licenciatura Em Pedagogia | Aprovado | Rayssa. PP escaneada// Alexsiane: pp aprovado 12/11</v>
      </c>
      <c r="B707" s="93"/>
    </row>
    <row r="708">
      <c r="A708" s="384" t="str">
        <f>IFERROR(__xludf.DUMMYFUNCTION("""COMPUTED_VALUE"""),"Claudete Da Silva Moitinho | Letras Portugues E Inglês | Aprovado | Júnio: PP - Inicio: 25/10/2023 Reenviar: 25/04/2024//Alexsiane/Junior: pp aprovada")</f>
        <v>Claudete Da Silva Moitinho | Letras Portugues E Inglês | Aprovado | Júnio: PP - Inicio: 25/10/2023 Reenviar: 25/04/2024//Alexsiane/Junior: pp aprovada</v>
      </c>
      <c r="B708" s="93"/>
    </row>
    <row r="709">
      <c r="A709" s="384" t="str">
        <f>IFERROR(__xludf.DUMMYFUNCTION("""COMPUTED_VALUE"""),"Claudete Regina Fritzen Rosler | Pedagogia | Aprovado | Andréa: aprovado nas 3 primeiras etapas do remoto// Amélia: aprovado 11/02/2021")</f>
        <v>Claudete Regina Fritzen Rosler | Pedagogia | Aprovado | Andréa: aprovado nas 3 primeiras etapas do remoto// Amélia: aprovado 11/02/2021</v>
      </c>
      <c r="B709" s="93"/>
    </row>
    <row r="710">
      <c r="A710" s="384" t="str">
        <f>IFERROR(__xludf.DUMMYFUNCTION("""COMPUTED_VALUE"""),"Claudete Rodrigues Silva | Pedagogia | Aprovado | Thiara: aprovado. Recebido dia 09/10/2019.")</f>
        <v>Claudete Rodrigues Silva | Pedagogia | Aprovado | Thiara: aprovado. Recebido dia 09/10/2019.</v>
      </c>
      <c r="B710" s="93"/>
    </row>
    <row r="711">
      <c r="A711" s="384" t="str">
        <f>IFERROR(__xludf.DUMMYFUNCTION("""COMPUTED_VALUE"""),"Claudete Terres Rodrigues Borges | Pedagogia Para Bachareis E Tecnólogos | Aprovada | Júnio: PCC I: ok PCC II: 9% plágio  PCC III: ok PCC IV: ok PP: ok  //Júnio: aprovada: 17/11/23")</f>
        <v>Claudete Terres Rodrigues Borges | Pedagogia Para Bachareis E Tecnólogos | Aprovada | Júnio: PCC I: ok PCC II: 9% plágio  PCC III: ok PCC IV: ok PP: ok  //Júnio: aprovada: 17/11/23</v>
      </c>
      <c r="B711" s="93"/>
    </row>
    <row r="712">
      <c r="A712" s="384" t="str">
        <f>IFERROR(__xludf.DUMMYFUNCTION("""COMPUTED_VALUE"""),"Cláudia Aparecida Silva Martins | Pedagogia | Aprovado | Alexsiane: 22% de plágio falta etapa 3// Alexsiane: aprovado no remoto antigo com lançamento no sponte 09/08/22")</f>
        <v>Cláudia Aparecida Silva Martins | Pedagogia | Aprovado | Alexsiane: 22% de plágio falta etapa 3// Alexsiane: aprovado no remoto antigo com lançamento no sponte 09/08/22</v>
      </c>
      <c r="B712" s="93"/>
    </row>
    <row r="713">
      <c r="A713" s="384" t="str">
        <f>IFERROR(__xludf.DUMMYFUNCTION("""COMPUTED_VALUE"""),"Cláudia Cristina Barrozo Da Silva | Pedagogia | Aprovado | Alexsiane: pp aprovado")</f>
        <v>Cláudia Cristina Barrozo Da Silva | Pedagogia | Aprovado | Alexsiane: pp aprovado</v>
      </c>
      <c r="B713" s="93"/>
    </row>
    <row r="714">
      <c r="A714" s="384" t="str">
        <f>IFERROR(__xludf.DUMMYFUNCTION("""COMPUTED_VALUE"""),"Claudia Cristina Costa Santos | Geografia | Aprovado | Estella: não mandou nenhum documento no Relatório. Será emitido certificado de 300h no lugar do estágio.")</f>
        <v>Claudia Cristina Costa Santos | Geografia | Aprovado | Estella: não mandou nenhum documento no Relatório. Será emitido certificado de 300h no lugar do estágio.</v>
      </c>
      <c r="B714" s="93"/>
    </row>
    <row r="715">
      <c r="A715" s="384" t="str">
        <f>IFERROR(__xludf.DUMMYFUNCTION("""COMPUTED_VALUE"""),"Claudia Cristina Costa Santos | História | Aprovado | Estella: Ana pediu pessoalmente para olhar o caso da aluna. No curso de História será emitido certificado de 300h no lugar do estágio.")</f>
        <v>Claudia Cristina Costa Santos | História | Aprovado | Estella: Ana pediu pessoalmente para olhar o caso da aluna. No curso de História será emitido certificado de 300h no lugar do estágio.</v>
      </c>
      <c r="B715" s="93"/>
    </row>
    <row r="716">
      <c r="A716" s="384" t="str">
        <f>IFERROR(__xludf.DUMMYFUNCTION("""COMPUTED_VALUE"""),"Claudia Cristina Vieira | Pedagogia | Aprovado | Júnio: PP - falta a carta e entrevista")</f>
        <v>Claudia Cristina Vieira | Pedagogia | Aprovado | Júnio: PP - falta a carta e entrevista</v>
      </c>
      <c r="B716" s="93"/>
    </row>
    <row r="717">
      <c r="A717" s="384" t="str">
        <f>IFERROR(__xludf.DUMMYFUNCTION("""COMPUTED_VALUE"""),"Claúdia Elieny De Oliveira Morais | Pedagogia | Em análise | Bianca: pedi para consertar fichas, colocar descrição")</f>
        <v>Claúdia Elieny De Oliveira Morais | Pedagogia | Em análise | Bianca: pedi para consertar fichas, colocar descrição</v>
      </c>
      <c r="B717" s="93"/>
    </row>
    <row r="718">
      <c r="A718" s="384" t="str">
        <f>IFERROR(__xludf.DUMMYFUNCTION("""COMPUTED_VALUE"""),"Claudia Inez Hipólito | Artes Visuais | Aprovado | Alexsiane: 18% de plágio, falar sobre a BNCC, complementar a 2° etapa, 3° etapa falta 19 planos de aula e colocar em nosso modelo padrão. Etapa 4 possui declaração de experiência válida 20/02 reenviar// A"&amp;"lexsiane: com lançamento no sponte")</f>
        <v>Claudia Inez Hipólito | Artes Visuais | Aprovado | Alexsiane: 18% de plágio, falar sobre a BNCC, complementar a 2° etapa, 3° etapa falta 19 planos de aula e colocar em nosso modelo padrão. Etapa 4 possui declaração de experiência válida 20/02 reenviar// Alexsiane: com lançamento no sponte</v>
      </c>
      <c r="B718" s="93"/>
    </row>
    <row r="719">
      <c r="A719" s="384" t="str">
        <f>IFERROR(__xludf.DUMMYFUNCTION("""COMPUTED_VALUE"""),"Claudia Marcia Da Silva Lima | Pedagogia | Aprovado | Thiara: Fez TGD 300 horas.")</f>
        <v>Claudia Marcia Da Silva Lima | Pedagogia | Aprovado | Thiara: Fez TGD 300 horas.</v>
      </c>
      <c r="B719" s="93"/>
    </row>
    <row r="720">
      <c r="A720" s="384" t="str">
        <f>IFERROR(__xludf.DUMMYFUNCTION("""COMPUTED_VALUE"""),"Claudia Maria Silva Lima | Pedagogia | Aprovada | Lucas: Plágio 5,52%, Realizar etapa 1 (plágio presente), Realizar/formatar ficha de registro, formatar planos de aula e apresentar termo de concusão //Júnio: físico conferido e arquivado: 06/09/22")</f>
        <v>Claudia Maria Silva Lima | Pedagogia | Aprovada | Lucas: Plágio 5,52%, Realizar etapa 1 (plágio presente), Realizar/formatar ficha de registro, formatar planos de aula e apresentar termo de concusão //Júnio: físico conferido e arquivado: 06/09/22</v>
      </c>
      <c r="B720" s="93"/>
    </row>
    <row r="721">
      <c r="A721" s="384" t="str">
        <f>IFERROR(__xludf.DUMMYFUNCTION("""COMPUTED_VALUE"""),"Claudia Massuia Leal De Souza | Pedagogia | Aprovada | Júnio: pré aprovada (fez em hs/aulas)  PRAZO: 17/11/23 /// Contratou extensão //Júnio: aprovada:  19/11/2023")</f>
        <v>Claudia Massuia Leal De Souza | Pedagogia | Aprovada | Júnio: pré aprovada (fez em hs/aulas)  PRAZO: 17/11/23 /// Contratou extensão //Júnio: aprovada:  19/11/2023</v>
      </c>
      <c r="B721" s="93"/>
    </row>
    <row r="722">
      <c r="A722" s="384" t="str">
        <f>IFERROR(__xludf.DUMMYFUNCTION("""COMPUTED_VALUE"""),"Claudia Naves Carneiro Isobata | Artes Visuais | Aprovada | Bianca: Falta carta de apresentação, termo de conclusão e fichas preenchidas de forma incorreta. //Júnio: aprovada: 22/12/21  // Lucas: conferido e arquivado 04/01/2022")</f>
        <v>Claudia Naves Carneiro Isobata | Artes Visuais | Aprovada | Bianca: Falta carta de apresentação, termo de conclusão e fichas preenchidas de forma incorreta. //Júnio: aprovada: 22/12/21  // Lucas: conferido e arquivado 04/01/2022</v>
      </c>
      <c r="B722" s="93"/>
    </row>
    <row r="723">
      <c r="A723" s="384" t="str">
        <f>IFERROR(__xludf.DUMMYFUNCTION("""COMPUTED_VALUE"""),"Claudia Oliveira De Freitas | Pedagogia | Aprovado | Estella: ok. // Thiara: entregue pessoalmente em 17/12/2018")</f>
        <v>Claudia Oliveira De Freitas | Pedagogia | Aprovado | Estella: ok. // Thiara: entregue pessoalmente em 17/12/2018</v>
      </c>
      <c r="B723" s="93"/>
    </row>
    <row r="724">
      <c r="A724" s="384" t="str">
        <f>IFERROR(__xludf.DUMMYFUNCTION("""COMPUTED_VALUE"""),"Cláudia Pires Alvarenga | Ed Física | Aprovado | Bárbara: aluna apresentou a aula da 4ª etapa, sem encaminhar o estágio primeiro // Lucas: Aprovada no remoto Antigo")</f>
        <v>Cláudia Pires Alvarenga | Ed Física | Aprovado | Bárbara: aluna apresentou a aula da 4ª etapa, sem encaminhar o estágio primeiro // Lucas: Aprovada no remoto Antigo</v>
      </c>
      <c r="B724" s="93"/>
    </row>
    <row r="725">
      <c r="A725" s="384" t="str">
        <f>IFERROR(__xludf.DUMMYFUNCTION("""COMPUTED_VALUE"""),"Claúdia Regina Lima Ventura Da Cruz | Pedagogia | Aprovada | Bianca: apenas fichas preenchidas //Júnio: aprovada: 06/04/2022")</f>
        <v>Claúdia Regina Lima Ventura Da Cruz | Pedagogia | Aprovada | Bianca: apenas fichas preenchidas //Júnio: aprovada: 06/04/2022</v>
      </c>
      <c r="B725" s="93"/>
    </row>
    <row r="726">
      <c r="A726" s="384" t="str">
        <f>IFERROR(__xludf.DUMMYFUNCTION("""COMPUTED_VALUE"""),"Claudia Regina Silva Medeiros | Segunda Licenciatura em História | Aprovado | Rayssa: pp aprovado")</f>
        <v>Claudia Regina Silva Medeiros | Segunda Licenciatura em História | Aprovado | Rayssa: pp aprovado</v>
      </c>
      <c r="B726" s="93"/>
    </row>
    <row r="727">
      <c r="A727" s="384" t="str">
        <f>IFERROR(__xludf.DUMMYFUNCTION("""COMPUTED_VALUE"""),"Claudia Ribeiro Cardoso | Pedagogia | Aprovado | Aline Silva: falta enviar termo de compromisso e recolher assinaturas // Recebido dia 11/02/2020 sem aprovação anterior, porém está ok.")</f>
        <v>Claudia Ribeiro Cardoso | Pedagogia | Aprovado | Aline Silva: falta enviar termo de compromisso e recolher assinaturas // Recebido dia 11/02/2020 sem aprovação anterior, porém está ok.</v>
      </c>
      <c r="B727" s="93"/>
    </row>
    <row r="728">
      <c r="A728" s="384" t="str">
        <f>IFERROR(__xludf.DUMMYFUNCTION("""COMPUTED_VALUE"""),"Claudia Teresa Romualdo Da Silva | Psicopedagogia Inst. E Clínica | Em análise | Júnio: remoto - 33% plágio")</f>
        <v>Claudia Teresa Romualdo Da Silva | Psicopedagogia Inst. E Clínica | Em análise | Júnio: remoto - 33% plágio</v>
      </c>
      <c r="B728" s="93"/>
    </row>
    <row r="729">
      <c r="A729" s="384" t="str">
        <f>IFERROR(__xludf.DUMMYFUNCTION("""COMPUTED_VALUE"""),"Claudia Teresa Romualdo Da Silva | Letras Inglês | Aprovada | Júnio: PP - falta a carta de apresentação PRAZO: 14/01/24 //Júnio: aprovada: 05/02/24")</f>
        <v>Claudia Teresa Romualdo Da Silva | Letras Inglês | Aprovada | Júnio: PP - falta a carta de apresentação PRAZO: 14/01/24 //Júnio: aprovada: 05/02/24</v>
      </c>
      <c r="B729" s="93"/>
    </row>
    <row r="730">
      <c r="A730" s="384" t="str">
        <f>IFERROR(__xludf.DUMMYFUNCTION("""COMPUTED_VALUE"""),"Cláudia Trindade De Freitas Monteiro | Pedagogia | Aprovado | Bárbara: aprovado etapas 1,2 e 3 do remoto, aguardando a 4// Bárbara: aprovada etapa 4, dia 28/10/2020")</f>
        <v>Cláudia Trindade De Freitas Monteiro | Pedagogia | Aprovado | Bárbara: aprovado etapas 1,2 e 3 do remoto, aguardando a 4// Bárbara: aprovada etapa 4, dia 28/10/2020</v>
      </c>
      <c r="B730" s="93"/>
    </row>
    <row r="731">
      <c r="A731" s="384" t="str">
        <f>IFERROR(__xludf.DUMMYFUNCTION("""COMPUTED_VALUE"""),"Claudiano Alves Dos Santos | Pedagogia | Aprovado | Bárbara: aprovado nas 3 primeiras etapas do remoto, aguardando a última // Bárbara: aprovado 05/01/2021")</f>
        <v>Claudiano Alves Dos Santos | Pedagogia | Aprovado | Bárbara: aprovado nas 3 primeiras etapas do remoto, aguardando a última // Bárbara: aprovado 05/01/2021</v>
      </c>
      <c r="B731" s="93"/>
    </row>
    <row r="732">
      <c r="A732" s="384" t="str">
        <f>IFERROR(__xludf.DUMMYFUNCTION("""COMPUTED_VALUE"""),"Claudiany De Souza Coelho Boechat | 2ª Licenciatura Artes Visuais | Em análise | Cris: Falta etapa 2 do PP ( carta de apresentação e entrevista)")</f>
        <v>Claudiany De Souza Coelho Boechat | 2ª Licenciatura Artes Visuais | Em análise | Cris: Falta etapa 2 do PP ( carta de apresentação e entrevista)</v>
      </c>
      <c r="B732" s="93"/>
    </row>
    <row r="733">
      <c r="A733" s="384" t="str">
        <f>IFERROR(__xludf.DUMMYFUNCTION("""COMPUTED_VALUE"""),"Claudiene De Oliveira Castro | Artes Visuais | Em análise | Alexsiane: falta todas as etapas dissertativas, nas fichas deverá que especificar o tipo de acompanhamento e complementar com mais 79 horas no total pois fez apenas 41 horas e colocar os dias sep"&amp;"arados nas fichas.")</f>
        <v>Claudiene De Oliveira Castro | Artes Visuais | Em análise | Alexsiane: falta todas as etapas dissertativas, nas fichas deverá que especificar o tipo de acompanhamento e complementar com mais 79 horas no total pois fez apenas 41 horas e colocar os dias separados nas fichas.</v>
      </c>
      <c r="B733" s="93"/>
    </row>
    <row r="734">
      <c r="A734" s="384" t="str">
        <f>IFERROR(__xludf.DUMMYFUNCTION("""COMPUTED_VALUE"""),"Claudilene Ferreira De Almeida | História | Pré-aprovado | Thiara: falta declaração de conclusão de estágio.")</f>
        <v>Claudilene Ferreira De Almeida | História | Pré-aprovado | Thiara: falta declaração de conclusão de estágio.</v>
      </c>
      <c r="B734" s="93"/>
    </row>
    <row r="735">
      <c r="A735" s="384" t="str">
        <f>IFERROR(__xludf.DUMMYFUNCTION("""COMPUTED_VALUE"""),"Claudilene Martins Fialho | Pedagogia | Aprovada | Júnio: PP: etapas: OK Inicio: 10/07/2023 Reenviar: 10/01/2024 //Júnio: aprovada: 10/01/24")</f>
        <v>Claudilene Martins Fialho | Pedagogia | Aprovada | Júnio: PP: etapas: OK Inicio: 10/07/2023 Reenviar: 10/01/2024 //Júnio: aprovada: 10/01/24</v>
      </c>
      <c r="B735" s="93"/>
    </row>
    <row r="736">
      <c r="A736" s="384" t="str">
        <f>IFERROR(__xludf.DUMMYFUNCTION("""COMPUTED_VALUE"""),"Claudinei Frank Da Costa | Matemática | Aprovado | Bianca: aprovado nas 3 1° etapas do remoto antigo.")</f>
        <v>Claudinei Frank Da Costa | Matemática | Aprovado | Bianca: aprovado nas 3 1° etapas do remoto antigo.</v>
      </c>
      <c r="B736" s="93"/>
    </row>
    <row r="737">
      <c r="A737" s="384" t="str">
        <f>IFERROR(__xludf.DUMMYFUNCTION("""COMPUTED_VALUE"""),"Cláudio Alejandro Garate Ramirez | Letras Port Ing | aprovado | Aline Silva: aprovado ( Planos de aula)")</f>
        <v>Cláudio Alejandro Garate Ramirez | Letras Port Ing | aprovado | Aline Silva: aprovado ( Planos de aula)</v>
      </c>
      <c r="B737" s="93"/>
    </row>
    <row r="738">
      <c r="A738" s="384" t="str">
        <f>IFERROR(__xludf.DUMMYFUNCTION("""COMPUTED_VALUE"""),"Claudio Aparecido De Oliveira | Segunda Licenciatura Em Música | Aprovado | Mariana: pp aprovado")</f>
        <v>Claudio Aparecido De Oliveira | Segunda Licenciatura Em Música | Aprovado | Mariana: pp aprovado</v>
      </c>
      <c r="B738" s="93"/>
    </row>
    <row r="739">
      <c r="A739" s="384" t="str">
        <f>IFERROR(__xludf.DUMMYFUNCTION("""COMPUTED_VALUE"""),"Cláudio Aparecido De Oliveira | Música | Aprovado | Júnio: Complementar a análise da escolar, lançar mais 85 hs nas fichas. faltam plano de aula, carta de apresentação, termo de conclusão, relatório de observação, relatório de regência, conclusão, autoava"&amp;"liação e referências.")</f>
        <v>Cláudio Aparecido De Oliveira | Música | Aprovado | Júnio: Complementar a análise da escolar, lançar mais 85 hs nas fichas. faltam plano de aula, carta de apresentação, termo de conclusão, relatório de observação, relatório de regência, conclusão, autoavaliação e referências.</v>
      </c>
      <c r="B739" s="93"/>
    </row>
    <row r="740">
      <c r="A740" s="384" t="str">
        <f>IFERROR(__xludf.DUMMYFUNCTION("""COMPUTED_VALUE"""),"Cláudio César Diniz | Form. Pedagógica Filosofia | Em análise | Cris: Falta etapa 2 e carta de apresentação.")</f>
        <v>Cláudio César Diniz | Form. Pedagógica Filosofia | Em análise | Cris: Falta etapa 2 e carta de apresentação.</v>
      </c>
      <c r="B740" s="93"/>
    </row>
    <row r="741">
      <c r="A741" s="384" t="str">
        <f>IFERROR(__xludf.DUMMYFUNCTION("""COMPUTED_VALUE"""),"Claudio Cesar Faustino | Pedagogia | Aprovado | Júnio - PP 5 ETAPAS: 30% plágio, enviar planos de aula digitados, falta etapa 5 //Júnio: aprovado: 18/09/23")</f>
        <v>Claudio Cesar Faustino | Pedagogia | Aprovado | Júnio - PP 5 ETAPAS: 30% plágio, enviar planos de aula digitados, falta etapa 5 //Júnio: aprovado: 18/09/23</v>
      </c>
      <c r="B741" s="93"/>
    </row>
    <row r="742">
      <c r="A742" s="384" t="str">
        <f>IFERROR(__xludf.DUMMYFUNCTION("""COMPUTED_VALUE"""),"Cláudio César Nardes Antunes | Pedagogia Para Bacharéis | Em análise | Cris: CPP falta carta de apresentação")</f>
        <v>Cláudio César Nardes Antunes | Pedagogia Para Bacharéis | Em análise | Cris: CPP falta carta de apresentação</v>
      </c>
      <c r="B742" s="93"/>
    </row>
    <row r="743">
      <c r="A743" s="384" t="str">
        <f>IFERROR(__xludf.DUMMYFUNCTION("""COMPUTED_VALUE"""),"Cláudio Cézar De Souza Cota | Neuropsicopedagogia Clínica E Hospitalar | Aprovado | //Júnio: conferida e arquivada: 18/04/22")</f>
        <v>Cláudio Cézar De Souza Cota | Neuropsicopedagogia Clínica E Hospitalar | Aprovado | //Júnio: conferida e arquivada: 18/04/22</v>
      </c>
      <c r="B743" s="93"/>
    </row>
    <row r="744">
      <c r="A744" s="384" t="str">
        <f>IFERROR(__xludf.DUMMYFUNCTION("""COMPUTED_VALUE"""),"Cláudio Dias Dos Santos | Pedagogia | Aprovado | Bárbara: horas e documentos oks, restando apenas carta de aceite e parte teórica para entregar // Bárbara: aprovado 19/03/2021")</f>
        <v>Cláudio Dias Dos Santos | Pedagogia | Aprovado | Bárbara: horas e documentos oks, restando apenas carta de aceite e parte teórica para entregar // Bárbara: aprovado 19/03/2021</v>
      </c>
      <c r="B744" s="93"/>
    </row>
    <row r="745">
      <c r="A745" s="384" t="str">
        <f>IFERROR(__xludf.DUMMYFUNCTION("""COMPUTED_VALUE"""),"Cláudio Dionysio Nogueira | História | Aprovado | Aline Silva: aguardando as assinaturas e carimbos// Aline Silva: aprovado ( inserir carta de apresentação - assim como o aluno está ciente de que o processo de certificação só pode ser iniciado após 06 mes"&amp;"es de curso.)")</f>
        <v>Cláudio Dionysio Nogueira | História | Aprovado | Aline Silva: aguardando as assinaturas e carimbos// Aline Silva: aprovado ( inserir carta de apresentação - assim como o aluno está ciente de que o processo de certificação só pode ser iniciado após 06 meses de curso.)</v>
      </c>
      <c r="B745" s="93"/>
    </row>
    <row r="746">
      <c r="A746" s="384" t="str">
        <f>IFERROR(__xludf.DUMMYFUNCTION("""COMPUTED_VALUE"""),"Cláudio Henrique Corleto Gomes | Letras Inglês | Aprovado | Júnio: PP- falta a etapa 2 //Júnio: aprovado: 05/12/2023")</f>
        <v>Cláudio Henrique Corleto Gomes | Letras Inglês | Aprovado | Júnio: PP- falta a etapa 2 //Júnio: aprovado: 05/12/2023</v>
      </c>
      <c r="B746" s="93"/>
    </row>
    <row r="747">
      <c r="A747" s="384" t="str">
        <f>IFERROR(__xludf.DUMMYFUNCTION("""COMPUTED_VALUE"""),"Cláudio Justiniano Gomes | Música | Aprovado | Júnio: inicio: 22/07/2023 L: 22/01/2024 //Júnio: aprovado 22/01/24")</f>
        <v>Cláudio Justiniano Gomes | Música | Aprovado | Júnio: inicio: 22/07/2023 L: 22/01/2024 //Júnio: aprovado 22/01/24</v>
      </c>
      <c r="B747" s="93"/>
    </row>
    <row r="748">
      <c r="A748" s="384" t="str">
        <f>IFERROR(__xludf.DUMMYFUNCTION("""COMPUTED_VALUE"""),"Cláudio Onório Da Silva | Matemática | Aprovado | Ana pediu (wpp 13/11) para fazer um certificado de 300h para o aluno.")</f>
        <v>Cláudio Onório Da Silva | Matemática | Aprovado | Ana pediu (wpp 13/11) para fazer um certificado de 300h para o aluno.</v>
      </c>
      <c r="B748" s="93"/>
    </row>
    <row r="749">
      <c r="A749" s="384" t="str">
        <f>IFERROR(__xludf.DUMMYFUNCTION("""COMPUTED_VALUE"""),"Claudionor Miranda Da Silva | Filosofia |  | Aline Silva: recebido no instituto dia 27/11/2019 ( não há informações sobre o processo de correção nesta planilha)")</f>
        <v>Claudionor Miranda Da Silva | Filosofia |  | Aline Silva: recebido no instituto dia 27/11/2019 ( não há informações sobre o processo de correção nesta planilha)</v>
      </c>
      <c r="B749" s="93"/>
    </row>
    <row r="750">
      <c r="A750" s="384" t="str">
        <f>IFERROR(__xludf.DUMMYFUNCTION("""COMPUTED_VALUE"""),"Clausimara De Fátima Santos | Psicopedagogia Int Cli | Aprovada | Bianca: aprovada com autorização de enviar físico // Bárbara: conferido e arquivado 20/04/2021")</f>
        <v>Clausimara De Fátima Santos | Psicopedagogia Int Cli | Aprovada | Bianca: aprovada com autorização de enviar físico // Bárbara: conferido e arquivado 20/04/2021</v>
      </c>
      <c r="B750" s="93"/>
    </row>
    <row r="751">
      <c r="A751" s="384" t="str">
        <f>IFERROR(__xludf.DUMMYFUNCTION("""COMPUTED_VALUE"""),"Clayse Lopes De Almeida | Pedagogia | Aprovado | Andréa: aprovado nas 3 primeiras etapas do remoto// Bárbara: aprovado na 4ª etapa 09/03/2021")</f>
        <v>Clayse Lopes De Almeida | Pedagogia | Aprovado | Andréa: aprovado nas 3 primeiras etapas do remoto// Bárbara: aprovado na 4ª etapa 09/03/2021</v>
      </c>
      <c r="B751" s="93"/>
    </row>
    <row r="752">
      <c r="A752" s="384" t="str">
        <f>IFERROR(__xludf.DUMMYFUNCTION("""COMPUTED_VALUE"""),"Clayton Marcelo De Lima | Música | Em análise | Alexsiane: declaclaração de experiencia aceita no e-mail")</f>
        <v>Clayton Marcelo De Lima | Música | Em análise | Alexsiane: declaclaração de experiencia aceita no e-mail</v>
      </c>
      <c r="B752" s="93"/>
    </row>
    <row r="753">
      <c r="A753" s="384" t="str">
        <f>IFERROR(__xludf.DUMMYFUNCTION("""COMPUTED_VALUE"""),"Clayton Marcelo De Lima | Geografia | Aprovada | Alexsiane: pp aprovado")</f>
        <v>Clayton Marcelo De Lima | Geografia | Aprovada | Alexsiane: pp aprovado</v>
      </c>
      <c r="B753" s="93"/>
    </row>
    <row r="754">
      <c r="A754" s="384" t="str">
        <f>IFERROR(__xludf.DUMMYFUNCTION("""COMPUTED_VALUE"""),"Clayton Oliveira Vieira Da Silva | Pedagogia | Aprovada | Bianca: aprovado nas 3 primeiras etapas do remoto antigo //Bárbara: aprovada 17/06/2021")</f>
        <v>Clayton Oliveira Vieira Da Silva | Pedagogia | Aprovada | Bianca: aprovado nas 3 primeiras etapas do remoto antigo //Bárbara: aprovada 17/06/2021</v>
      </c>
      <c r="B754" s="93"/>
    </row>
    <row r="755">
      <c r="A755" s="384" t="str">
        <f>IFERROR(__xludf.DUMMYFUNCTION("""COMPUTED_VALUE"""),"Clazeieley Ferreira Dantas Fernandes | História | Aprovada | Alexsiane: 18% de plágio, falta encaminhar o termo de conclusão, carta de apresentação e as fichas de registro e encaminhar o plano de aula em nosso modelo padrão.//Júnio: pré aprovada 13/06/202"&amp;"3 //Júnio: aprovada: 22/06/23")</f>
        <v>Clazeieley Ferreira Dantas Fernandes | História | Aprovada | Alexsiane: 18% de plágio, falta encaminhar o termo de conclusão, carta de apresentação e as fichas de registro e encaminhar o plano de aula em nosso modelo padrão.//Júnio: pré aprovada 13/06/2023 //Júnio: aprovada: 22/06/23</v>
      </c>
      <c r="B755" s="93"/>
    </row>
    <row r="756">
      <c r="A756" s="384" t="str">
        <f>IFERROR(__xludf.DUMMYFUNCTION("""COMPUTED_VALUE"""),"Cléber Bernardes Dos Santos | Geografia | Aprovado | Estella: pedi para mandar conforme modelo e em um único arquivo")</f>
        <v>Cléber Bernardes Dos Santos | Geografia | Aprovado | Estella: pedi para mandar conforme modelo e em um único arquivo</v>
      </c>
      <c r="B756" s="93"/>
    </row>
    <row r="757">
      <c r="A757" s="384" t="str">
        <f>IFERROR(__xludf.DUMMYFUNCTION("""COMPUTED_VALUE"""),"Cléber Campos Martins | Ciências Biológicas | Em análise | Bianca: Documentação ok, autorizada a recolher assinaturas. Falta parte teórica.")</f>
        <v>Cléber Campos Martins | Ciências Biológicas | Em análise | Bianca: Documentação ok, autorizada a recolher assinaturas. Falta parte teórica.</v>
      </c>
      <c r="B757" s="93"/>
    </row>
    <row r="758">
      <c r="A758" s="384" t="str">
        <f>IFERROR(__xludf.DUMMYFUNCTION("""COMPUTED_VALUE"""),"Cleber Conrado Arcello | Letras Português | Aprovado | Bárbara: apresentou comprovante de experiência válido para isenção da 4ª etapa // Aprovado 16/03")</f>
        <v>Cleber Conrado Arcello | Letras Português | Aprovado | Bárbara: apresentou comprovante de experiência válido para isenção da 4ª etapa // Aprovado 16/03</v>
      </c>
      <c r="B758" s="93"/>
    </row>
    <row r="759">
      <c r="A759" s="384" t="str">
        <f>IFERROR(__xludf.DUMMYFUNCTION("""COMPUTED_VALUE"""),"Cleber Lúcio Sousa Santos | Ciências Sociais | Aprovado | Bianca: falta etapa 4, introdução, sumário e conclusão // Lucas: Aprovado no estagio remoto atualizado ")</f>
        <v>Cleber Lúcio Sousa Santos | Ciências Sociais | Aprovado | Bianca: falta etapa 4, introdução, sumário e conclusão // Lucas: Aprovado no estagio remoto atualizado </v>
      </c>
      <c r="B759" s="93"/>
    </row>
    <row r="760">
      <c r="A760" s="384" t="str">
        <f>IFERROR(__xludf.DUMMYFUNCTION("""COMPUTED_VALUE"""),"Cléber Vinícius Braga De Lima | Educação Física | Aprovado | Júnio: pré aprovado //Júnio: aprovado: 30/06/23")</f>
        <v>Cléber Vinícius Braga De Lima | Educação Física | Aprovado | Júnio: pré aprovado //Júnio: aprovado: 30/06/23</v>
      </c>
      <c r="B760" s="93"/>
    </row>
    <row r="761">
      <c r="A761" s="384" t="str">
        <f>IFERROR(__xludf.DUMMYFUNCTION("""COMPUTED_VALUE"""),"Clécia Silva Neves | Formação Pedagógica Pedagogia | Aprovado | Cris: Plágio 16%// alexsiane: pp aprovado")</f>
        <v>Clécia Silva Neves | Formação Pedagógica Pedagogia | Aprovado | Cris: Plágio 16%// alexsiane: pp aprovado</v>
      </c>
      <c r="B761" s="93"/>
    </row>
    <row r="762">
      <c r="A762" s="384" t="str">
        <f>IFERROR(__xludf.DUMMYFUNCTION("""COMPUTED_VALUE"""),"Cleia Marcolan | Neuropsicopedagogia Instittucional Clínica E Hospitalar | Aprovada | Júnio: precisa descrever em forma de texto as estrátegias desenvolvidas. PRAZO: 24/08/23 //Júnio: aprovada: 05/09/2023")</f>
        <v>Cleia Marcolan | Neuropsicopedagogia Instittucional Clínica E Hospitalar | Aprovada | Júnio: precisa descrever em forma de texto as estrátegias desenvolvidas. PRAZO: 24/08/23 //Júnio: aprovada: 05/09/2023</v>
      </c>
      <c r="B762" s="93"/>
    </row>
    <row r="763">
      <c r="A763" s="384" t="str">
        <f>IFERROR(__xludf.DUMMYFUNCTION("""COMPUTED_VALUE"""),"Cleide Ferreira De Almeid | Geografia | Aprovada | Bárbara: aprovada nas etapas 1, 2 e 3 do remoto atualizado. Fichas ok, pode recolher assinaturas, falta TC e CA, encaminhei pedi preenchimento e recolhimento de assinaturas //Júnio: aprovada: 19/01/22 //J"&amp;"únio: conferida e arquivada: 28/01/22")</f>
        <v>Cleide Ferreira De Almeid | Geografia | Aprovada | Bárbara: aprovada nas etapas 1, 2 e 3 do remoto atualizado. Fichas ok, pode recolher assinaturas, falta TC e CA, encaminhei pedi preenchimento e recolhimento de assinaturas //Júnio: aprovada: 19/01/22 //Júnio: conferida e arquivada: 28/01/22</v>
      </c>
      <c r="B763" s="93"/>
    </row>
    <row r="764">
      <c r="A764" s="384" t="str">
        <f>IFERROR(__xludf.DUMMYFUNCTION("""COMPUTED_VALUE"""),"Cleidian Merian De Andrade | Matemática | Aprovado | Júnio: PP - etapas: ok Inicio: 15/08/23 Reenviar: 15/02/23 //Júnio: aprovado: 28/02/24")</f>
        <v>Cleidian Merian De Andrade | Matemática | Aprovado | Júnio: PP - etapas: ok Inicio: 15/08/23 Reenviar: 15/02/23 //Júnio: aprovado: 28/02/24</v>
      </c>
      <c r="B764" s="93"/>
    </row>
    <row r="765">
      <c r="A765" s="384" t="str">
        <f>IFERROR(__xludf.DUMMYFUNCTION("""COMPUTED_VALUE"""),"Cleidiane Borges De Souza | Pedagogia | Em análise | Aline Silva: 5h relatadas, inconsistência de informações, falta carta de ap, plano de aula, atv executada, mesma assinatura em todas as fichas.// Miryã: conferido e arquivado 10/03/2021")</f>
        <v>Cleidiane Borges De Souza | Pedagogia | Em análise | Aline Silva: 5h relatadas, inconsistência de informações, falta carta de ap, plano de aula, atv executada, mesma assinatura em todas as fichas.// Miryã: conferido e arquivado 10/03/2021</v>
      </c>
      <c r="B765" s="93"/>
    </row>
    <row r="766">
      <c r="A766" s="384" t="str">
        <f>IFERROR(__xludf.DUMMYFUNCTION("""COMPUTED_VALUE"""),"Cleilson Cristiano Venâncio | Educação Física | Aprovado | Bianca: aprovado , autorizado a enviar assinaturas //Júnio: aprovado: 05/11/21 //Júnio: conferido e arquivado: 19/11/21")</f>
        <v>Cleilson Cristiano Venâncio | Educação Física | Aprovado | Bianca: aprovado , autorizado a enviar assinaturas //Júnio: aprovado: 05/11/21 //Júnio: conferido e arquivado: 19/11/21</v>
      </c>
      <c r="B766" s="93"/>
    </row>
    <row r="767">
      <c r="A767" s="384" t="str">
        <f>IFERROR(__xludf.DUMMYFUNCTION("""COMPUTED_VALUE"""),"Cleilson Cristiano Venâncio | Pedagogia | Aprovada | Bárbara: aprovado no estágio remoto// Bárbara: aluna pagou taxa de impressão, Impresso e encadernado no instituto dia 01/10/2020.")</f>
        <v>Cleilson Cristiano Venâncio | Pedagogia | Aprovada | Bárbara: aprovado no estágio remoto// Bárbara: aluna pagou taxa de impressão, Impresso e encadernado no instituto dia 01/10/2020.</v>
      </c>
      <c r="B767" s="93"/>
    </row>
    <row r="768">
      <c r="A768" s="384" t="str">
        <f>IFERROR(__xludf.DUMMYFUNCTION("""COMPUTED_VALUE"""),"Cleiton De Paula Oliveira | Educação Física | Aprovada | Alexsiane: PP aprovado")</f>
        <v>Cleiton De Paula Oliveira | Educação Física | Aprovada | Alexsiane: PP aprovado</v>
      </c>
      <c r="B768" s="93"/>
    </row>
    <row r="769">
      <c r="A769" s="384" t="str">
        <f>IFERROR(__xludf.DUMMYFUNCTION("""COMPUTED_VALUE"""),"Cleiton De Paula Oliveira | Formação Pedagógica Em Educação Física | Aprovado | Mariana : pp aprovado")</f>
        <v>Cleiton De Paula Oliveira | Formação Pedagógica Em Educação Física | Aprovado | Mariana : pp aprovado</v>
      </c>
      <c r="B769" s="93"/>
    </row>
    <row r="770">
      <c r="A770" s="384" t="str">
        <f>IFERROR(__xludf.DUMMYFUNCTION("""COMPUTED_VALUE"""),"Cleliton Marcelo Da Silva | Matemática | Em análise | Júnio: Remoto atualizado: completar a etapa1, fazer a etapa 2, enviar as fichas de estágio e declaração de experiência veio só carimbada, pedi para assinar.")</f>
        <v>Cleliton Marcelo Da Silva | Matemática | Em análise | Júnio: Remoto atualizado: completar a etapa1, fazer a etapa 2, enviar as fichas de estágio e declaração de experiência veio só carimbada, pedi para assinar.</v>
      </c>
      <c r="B770" s="93"/>
    </row>
    <row r="771">
      <c r="A771" s="384" t="str">
        <f>IFERROR(__xludf.DUMMYFUNCTION("""COMPUTED_VALUE"""),"Cleliton Marcelo Da Silva | Psicopedagogia Clínica | Em análise | Júnio: A parte da introdução até as referências Bibliográficas estão corretas, falta enviar documentação.")</f>
        <v>Cleliton Marcelo Da Silva | Psicopedagogia Clínica | Em análise | Júnio: A parte da introdução até as referências Bibliográficas estão corretas, falta enviar documentação.</v>
      </c>
      <c r="B771" s="93"/>
    </row>
    <row r="772">
      <c r="A772" s="384" t="str">
        <f>IFERROR(__xludf.DUMMYFUNCTION("""COMPUTED_VALUE"""),"Clenes Alves Da Silva | Artes Visuais | Pré-aprovado | Alexsiane: enviar o trabalho em word editável até dia 08/08/22 para reenviar// Alexsiane:Pré-aprovado com lançameno no sponte")</f>
        <v>Clenes Alves Da Silva | Artes Visuais | Pré-aprovado | Alexsiane: enviar o trabalho em word editável até dia 08/08/22 para reenviar// Alexsiane:Pré-aprovado com lançameno no sponte</v>
      </c>
      <c r="B772" s="93"/>
    </row>
    <row r="773">
      <c r="A773" s="384" t="str">
        <f>IFERROR(__xludf.DUMMYFUNCTION("""COMPUTED_VALUE"""),"Clenilson Silva De Souza | Filosofia | Aprovado | Bianca: aprovado nas 4 etapas do remoto antigo")</f>
        <v>Clenilson Silva De Souza | Filosofia | Aprovado | Bianca: aprovado nas 4 etapas do remoto antigo</v>
      </c>
      <c r="B773" s="93"/>
    </row>
    <row r="774">
      <c r="A774" s="384" t="str">
        <f>IFERROR(__xludf.DUMMYFUNCTION("""COMPUTED_VALUE"""),"Clenilson Silva De Souza | Pedagogia |  | ")</f>
        <v>Clenilson Silva De Souza | Pedagogia |  | </v>
      </c>
      <c r="B774" s="93"/>
    </row>
    <row r="775">
      <c r="A775" s="384" t="str">
        <f>IFERROR(__xludf.DUMMYFUNCTION("""COMPUTED_VALUE"""),"Cleomilce Maria Alves Da Rocha | Pedagogia | Aprovada | Júnio: pela analise do guru carteira é valida como comprovante de experiencia para abatimento de 50% das etapas de observação e regencia // Pamela 02/01/23 com lançamento no sponte. 13/01/2023 Confer"&amp;"ido e arquivado. ")</f>
        <v>Cleomilce Maria Alves Da Rocha | Pedagogia | Aprovada | Júnio: pela analise do guru carteira é valida como comprovante de experiencia para abatimento de 50% das etapas de observação e regencia // Pamela 02/01/23 com lançamento no sponte. 13/01/2023 Conferido e arquivado. </v>
      </c>
      <c r="B775" s="93"/>
    </row>
    <row r="776">
      <c r="A776" s="384" t="str">
        <f>IFERROR(__xludf.DUMMYFUNCTION("""COMPUTED_VALUE"""),"Cleonice Félix Pimenta | Educação Física | Aprovado | Júnio: autorizada a recolher assinaturas // alexsiane: Aprovada 03/01/2022")</f>
        <v>Cleonice Félix Pimenta | Educação Física | Aprovado | Júnio: autorizada a recolher assinaturas // alexsiane: Aprovada 03/01/2022</v>
      </c>
      <c r="B776" s="93"/>
    </row>
    <row r="777">
      <c r="A777" s="384" t="str">
        <f>IFERROR(__xludf.DUMMYFUNCTION("""COMPUTED_VALUE"""),"Cleonice Lemos De Carvalho | Neuropsicologia Clínica | Aprovada | Edilainee: Aprovada com lançamento no Sponte")</f>
        <v>Cleonice Lemos De Carvalho | Neuropsicologia Clínica | Aprovada | Edilainee: Aprovada com lançamento no Sponte</v>
      </c>
      <c r="B777" s="93"/>
    </row>
    <row r="778">
      <c r="A778" s="384" t="str">
        <f>IFERROR(__xludf.DUMMYFUNCTION("""COMPUTED_VALUE"""),"Cleriston Arruda De Araújo | Letras Inglês | Aprovado | ")</f>
        <v>Cleriston Arruda De Araújo | Letras Inglês | Aprovado | </v>
      </c>
      <c r="B778" s="93"/>
    </row>
    <row r="779">
      <c r="A779" s="384" t="str">
        <f>IFERROR(__xludf.DUMMYFUNCTION("""COMPUTED_VALUE"""),"Clessia Layane Martins De Almeida Souza | Neuropsicopedagogia Institucional,Clínica E Hospitalar | Em análise | Alexsiane: falta todas as etapas dissertativas, fez somente 96 horas nas fichas de registro( falta 54), especifcar o tipo de acompanhamento")</f>
        <v>Clessia Layane Martins De Almeida Souza | Neuropsicopedagogia Institucional,Clínica E Hospitalar | Em análise | Alexsiane: falta todas as etapas dissertativas, fez somente 96 horas nas fichas de registro( falta 54), especifcar o tipo de acompanhamento</v>
      </c>
      <c r="B779" s="93"/>
    </row>
    <row r="780">
      <c r="A780" s="384" t="str">
        <f>IFERROR(__xludf.DUMMYFUNCTION("""COMPUTED_VALUE"""),"Cleude Alves Do Carmo | Pedagogia | Aprovada | Júnio: aprovada no Remoto Antigo")</f>
        <v>Cleude Alves Do Carmo | Pedagogia | Aprovada | Júnio: aprovada no Remoto Antigo</v>
      </c>
      <c r="B780" s="93"/>
    </row>
    <row r="781">
      <c r="A781" s="384" t="str">
        <f>IFERROR(__xludf.DUMMYFUNCTION("""COMPUTED_VALUE"""),"Cleudiane Lopes De Melo | Letras - Português Inglês | Em análise | Júnio: fazer resumo, sumário, introdução, conclusão, relatório de 2 pgs, anexar carta de aceite, termo de conclusão, consertar ficha de registro.")</f>
        <v>Cleudiane Lopes De Melo | Letras - Português Inglês | Em análise | Júnio: fazer resumo, sumário, introdução, conclusão, relatório de 2 pgs, anexar carta de aceite, termo de conclusão, consertar ficha de registro.</v>
      </c>
      <c r="B781" s="93"/>
    </row>
    <row r="782">
      <c r="A782" s="384" t="str">
        <f>IFERROR(__xludf.DUMMYFUNCTION("""COMPUTED_VALUE"""),"Cleunice Janaína Diniz | Matemática | Aprovada | Júnio: remoto antigo - falta etapa 4 //Júnio: aprovada: 17/07/23")</f>
        <v>Cleunice Janaína Diniz | Matemática | Aprovada | Júnio: remoto antigo - falta etapa 4 //Júnio: aprovada: 17/07/23</v>
      </c>
      <c r="B782" s="93"/>
    </row>
    <row r="783">
      <c r="A783" s="384" t="str">
        <f>IFERROR(__xludf.DUMMYFUNCTION("""COMPUTED_VALUE"""),"Cleuza Aparecida Soares Kegler | Pedagogia | Aprovada | Júnio: aprovado no remoto atualizado //Júnio: conferido e arquivado.")</f>
        <v>Cleuza Aparecida Soares Kegler | Pedagogia | Aprovada | Júnio: aprovado no remoto atualizado //Júnio: conferido e arquivado.</v>
      </c>
      <c r="B783" s="93"/>
    </row>
    <row r="784">
      <c r="A784" s="384" t="str">
        <f>IFERROR(__xludf.DUMMYFUNCTION("""COMPUTED_VALUE"""),"Cléverson Moreira Scarpa | Pedagogia | Aprovado | Bárbara: aluno enviou os planos de aula e foi aprovado (ressalva: não entregou pasta, e brigou, então Aline autorizou aprovar), e possui TGD na plataforma")</f>
        <v>Cléverson Moreira Scarpa | Pedagogia | Aprovado | Bárbara: aluno enviou os planos de aula e foi aprovado (ressalva: não entregou pasta, e brigou, então Aline autorizou aprovar), e possui TGD na plataforma</v>
      </c>
      <c r="B784" s="93"/>
    </row>
    <row r="785">
      <c r="A785" s="384" t="str">
        <f>IFERROR(__xludf.DUMMYFUNCTION("""COMPUTED_VALUE"""),"Cleyton Izidoro | Matemática | Aprovado | Bárbara: aprovado em todas as etapas // Bárbara: Bárbara: conferido e arquivado 28/05/2021")</f>
        <v>Cleyton Izidoro | Matemática | Aprovado | Bárbara: aprovado em todas as etapas // Bárbara: Bárbara: conferido e arquivado 28/05/2021</v>
      </c>
      <c r="B785" s="93"/>
    </row>
    <row r="786">
      <c r="A786" s="384" t="str">
        <f>IFERROR(__xludf.DUMMYFUNCTION("""COMPUTED_VALUE"""),"Clodoaldo Da Silva | Pedagogia | Aprovado | Júnio: PP aprovado")</f>
        <v>Clodoaldo Da Silva | Pedagogia | Aprovado | Júnio: PP aprovado</v>
      </c>
      <c r="B786" s="93"/>
    </row>
    <row r="787">
      <c r="A787" s="384" t="str">
        <f>IFERROR(__xludf.DUMMYFUNCTION("""COMPUTED_VALUE"""),"Conceição De Maria Rodrigues | Neuropsicopedagogia | Aprovada | Lucas: Aprovada no estagio Remoto em Neuropsicopedagogia ")</f>
        <v>Conceição De Maria Rodrigues | Neuropsicopedagogia | Aprovada | Lucas: Aprovada no estagio Remoto em Neuropsicopedagogia </v>
      </c>
      <c r="B787" s="93"/>
    </row>
    <row r="788">
      <c r="A788" s="384" t="str">
        <f>IFERROR(__xludf.DUMMYFUNCTION("""COMPUTED_VALUE"""),"Constância Gomes Rezende | Pedagogia Para Bachareis E Tecnólogos | Aprovada | Júnio: Estágios - autorizada a recolher assinaturas PCCs: faltaram as tabelas //Júnio: aprovada: 12/09/2023")</f>
        <v>Constância Gomes Rezende | Pedagogia Para Bachareis E Tecnólogos | Aprovada | Júnio: Estágios - autorizada a recolher assinaturas PCCs: faltaram as tabelas //Júnio: aprovada: 12/09/2023</v>
      </c>
      <c r="B788" s="93"/>
    </row>
    <row r="789">
      <c r="A789" s="384" t="str">
        <f>IFERROR(__xludf.DUMMYFUNCTION("""COMPUTED_VALUE"""),"Cris: Pp Aprovado | 2ª Licenc. Pedagogia | Em análise | Cris: PP Plagio 9,76%")</f>
        <v>Cris: Pp Aprovado | 2ª Licenc. Pedagogia | Em análise | Cris: PP Plagio 9,76%</v>
      </c>
      <c r="B789" s="93"/>
    </row>
    <row r="790">
      <c r="A790" s="384" t="str">
        <f>IFERROR(__xludf.DUMMYFUNCTION("""COMPUTED_VALUE"""),"Crislaine Aguiar De Jesus | Matemática | Aprovada | Júnio: Etapas: Ok  Inicio do curso: 10/11/23 Reenviar: 10/05/24  //Aprovada 24/01/24 - Ana autorizou aprovar antes dos seis meses")</f>
        <v>Crislaine Aguiar De Jesus | Matemática | Aprovada | Júnio: Etapas: Ok  Inicio do curso: 10/11/23 Reenviar: 10/05/24  //Aprovada 24/01/24 - Ana autorizou aprovar antes dos seis meses</v>
      </c>
      <c r="B790" s="93"/>
    </row>
    <row r="791">
      <c r="A791" s="384" t="str">
        <f>IFERROR(__xludf.DUMMYFUNCTION("""COMPUTED_VALUE"""),"Cristiana Aparecida Pereira | Matemática | aprovada | Aline Silva: aprovada, pedi apenas que fizesse uma autoavaliação// Bárbara: Conferido e arquivado em 16/09/2020")</f>
        <v>Cristiana Aparecida Pereira | Matemática | aprovada | Aline Silva: aprovada, pedi apenas que fizesse uma autoavaliação// Bárbara: Conferido e arquivado em 16/09/2020</v>
      </c>
      <c r="B791" s="93"/>
    </row>
    <row r="792">
      <c r="A792" s="384" t="str">
        <f>IFERROR(__xludf.DUMMYFUNCTION("""COMPUTED_VALUE"""),"Cristiana Paula De Andrade Flor Campos | Matemática | Aprovado | Estella: aprovado. Recebido 14/01/2019")</f>
        <v>Cristiana Paula De Andrade Flor Campos | Matemática | Aprovado | Estella: aprovado. Recebido 14/01/2019</v>
      </c>
      <c r="B792" s="93"/>
    </row>
    <row r="793">
      <c r="A793" s="384" t="str">
        <f>IFERROR(__xludf.DUMMYFUNCTION("""COMPUTED_VALUE"""),"Cristiane Aparecida Aguiar Da Silva | História | Aprovado | Mandei enviar pelo correio (22/12). Mandei enviar pelo correio (20/12). Sem ensino médio e horas incompletas (20/12).")</f>
        <v>Cristiane Aparecida Aguiar Da Silva | História | Aprovado | Mandei enviar pelo correio (22/12). Mandei enviar pelo correio (20/12). Sem ensino médio e horas incompletas (20/12).</v>
      </c>
      <c r="B793" s="93"/>
    </row>
    <row r="794">
      <c r="A794" s="384" t="str">
        <f>IFERROR(__xludf.DUMMYFUNCTION("""COMPUTED_VALUE"""),"Cristiane Aparecida De Oliveira | Letras-Português/Espanhol | Aprovada | Alexsiane: 10 % de plágio e corrigir o tipo de atividade nas fichas //Pre aprovado: 25/05/23 //Júnio: aprovada: 30/05/23")</f>
        <v>Cristiane Aparecida De Oliveira | Letras-Português/Espanhol | Aprovada | Alexsiane: 10 % de plágio e corrigir o tipo de atividade nas fichas //Pre aprovado: 25/05/23 //Júnio: aprovada: 30/05/23</v>
      </c>
      <c r="B794" s="93"/>
    </row>
    <row r="795">
      <c r="A795" s="384" t="str">
        <f>IFERROR(__xludf.DUMMYFUNCTION("""COMPUTED_VALUE"""),"Cristiane Aparecida Melo De Souza | Artes Visuais | aprovada | Aline Silva: aprovada // Recebido dia 11/02/2020")</f>
        <v>Cristiane Aparecida Melo De Souza | Artes Visuais | aprovada | Aline Silva: aprovada // Recebido dia 11/02/2020</v>
      </c>
      <c r="B795" s="93"/>
    </row>
    <row r="796">
      <c r="A796" s="384" t="str">
        <f>IFERROR(__xludf.DUMMYFUNCTION("""COMPUTED_VALUE"""),"Cristiane Brasil Da Costa Dos Santos | Pedagogia | Aprovada | Bianca: enviou apenas carta de apresentação assinadas, pedi para reenviar outros documentos// Bianca: aprovada nas 4 etapas do remoto atualizado, autorizada a enviar físico 02/09 //Júnio:confer"&amp;"ida e arquivado: 14/01/2022")</f>
        <v>Cristiane Brasil Da Costa Dos Santos | Pedagogia | Aprovada | Bianca: enviou apenas carta de apresentação assinadas, pedi para reenviar outros documentos// Bianca: aprovada nas 4 etapas do remoto atualizado, autorizada a enviar físico 02/09 //Júnio:conferida e arquivado: 14/01/2022</v>
      </c>
      <c r="B796" s="93"/>
    </row>
    <row r="797">
      <c r="A797" s="384" t="str">
        <f>IFERROR(__xludf.DUMMYFUNCTION("""COMPUTED_VALUE"""),"Cristiane Campos Ferreira Da Silva | Pedagogia | Aprovada | Bianca: autorizada a recolher assinaturas //Bianca: aprovada: 02/09/2021")</f>
        <v>Cristiane Campos Ferreira Da Silva | Pedagogia | Aprovada | Bianca: autorizada a recolher assinaturas //Bianca: aprovada: 02/09/2021</v>
      </c>
      <c r="B797" s="93"/>
    </row>
    <row r="798">
      <c r="A798" s="384" t="str">
        <f>IFERROR(__xludf.DUMMYFUNCTION("""COMPUTED_VALUE"""),"Cristiane Campos Ferreira Da Silva | Pedagogia | Aprovada | Josirene Reis Cunha")</f>
        <v>Cristiane Campos Ferreira Da Silva | Pedagogia | Aprovada | Josirene Reis Cunha</v>
      </c>
      <c r="B798" s="93"/>
    </row>
    <row r="799">
      <c r="A799" s="384" t="str">
        <f>IFERROR(__xludf.DUMMYFUNCTION("""COMPUTED_VALUE"""),"Cristiane Da Silva Pereira | Pedagogia | Aprovada | Bianca: falta etapa 4 do remoto atualizado // Lucas: Aprovada no Estagio remoto atualizado e autorizada a enviar fisico. ")</f>
        <v>Cristiane Da Silva Pereira | Pedagogia | Aprovada | Bianca: falta etapa 4 do remoto atualizado // Lucas: Aprovada no Estagio remoto atualizado e autorizada a enviar fisico. </v>
      </c>
      <c r="B799" s="93"/>
    </row>
    <row r="800">
      <c r="A800" s="384" t="str">
        <f>IFERROR(__xludf.DUMMYFUNCTION("""COMPUTED_VALUE"""),"Cristiane Das Graças Silva Melo | Pedagogia | Aprovada | Júnio: PP aprovada")</f>
        <v>Cristiane Das Graças Silva Melo | Pedagogia | Aprovada | Júnio: PP aprovada</v>
      </c>
      <c r="B800" s="93"/>
    </row>
    <row r="801">
      <c r="A801" s="384" t="str">
        <f>IFERROR(__xludf.DUMMYFUNCTION("""COMPUTED_VALUE"""),"Cristiane De Oliveira Andrade | Artes Visuais | Aprovada | Edilaine: Falta a carta de apresentação, termo de conclusão, considerações finais e autoavaliação devem constar separadas no trabalho. Deve enviar somente um plano de aula, tem que especificar nas"&amp;" fichas de registro o tipo de acompanhamento, o tema e a série. ///// Edilaine: Pré- aprovada.// Pamela 23/01/2023 Conferido e arquivado. ")</f>
        <v>Cristiane De Oliveira Andrade | Artes Visuais | Aprovada | Edilaine: Falta a carta de apresentação, termo de conclusão, considerações finais e autoavaliação devem constar separadas no trabalho. Deve enviar somente um plano de aula, tem que especificar nas fichas de registro o tipo de acompanhamento, o tema e a série. ///// Edilaine: Pré- aprovada.// Pamela 23/01/2023 Conferido e arquivado. </v>
      </c>
      <c r="B801" s="93"/>
    </row>
    <row r="802">
      <c r="A802" s="384" t="str">
        <f>IFERROR(__xludf.DUMMYFUNCTION("""COMPUTED_VALUE"""),"Cristiane Esteves De Faria Fulaneti | Pedagogia | Aprovado | Thiara: Não foi possivel avaliar o trabalho devido ao formato pedi para reenviar em formato word no dia 27/12/2018. Aprovado dia 28/12/2018.Corpo do texto está correto, foi enviado o manual anti"&amp;"go por isso as horas.")</f>
        <v>Cristiane Esteves De Faria Fulaneti | Pedagogia | Aprovado | Thiara: Não foi possivel avaliar o trabalho devido ao formato pedi para reenviar em formato word no dia 27/12/2018. Aprovado dia 28/12/2018.Corpo do texto está correto, foi enviado o manual antigo por isso as horas.</v>
      </c>
      <c r="B802" s="93"/>
    </row>
    <row r="803">
      <c r="A803" s="384" t="str">
        <f>IFERROR(__xludf.DUMMYFUNCTION("""COMPUTED_VALUE"""),"Cristiane Fernandes De Almeida | Pedagogia | Aprovada | Lucas: Plagio 6,16%, Faltam 19 planos de aula.// Alexsiane:aprovada com lançamento no Sponte.")</f>
        <v>Cristiane Fernandes De Almeida | Pedagogia | Aprovada | Lucas: Plagio 6,16%, Faltam 19 planos de aula.// Alexsiane:aprovada com lançamento no Sponte.</v>
      </c>
      <c r="B803" s="93"/>
    </row>
    <row r="804">
      <c r="A804" s="384" t="str">
        <f>IFERROR(__xludf.DUMMYFUNCTION("""COMPUTED_VALUE"""),"Cristiane Maria Rezende | Pedagogia | Em análise | Alexsiane: encaminhou somente a carta de apresentação, falta todo o restante.")</f>
        <v>Cristiane Maria Rezende | Pedagogia | Em análise | Alexsiane: encaminhou somente a carta de apresentação, falta todo o restante.</v>
      </c>
      <c r="B804" s="93"/>
    </row>
    <row r="805">
      <c r="A805" s="384" t="str">
        <f>IFERROR(__xludf.DUMMYFUNCTION("""COMPUTED_VALUE"""),"Cristiane Maria Rezende | Pedagogia | Aprovado | Alexsiane: pp aprovado")</f>
        <v>Cristiane Maria Rezende | Pedagogia | Aprovado | Alexsiane: pp aprovado</v>
      </c>
      <c r="B805" s="93"/>
    </row>
    <row r="806">
      <c r="A806" s="384" t="str">
        <f>IFERROR(__xludf.DUMMYFUNCTION("""COMPUTED_VALUE"""),"Cristiane Meiry Alves | Filosofia | Aprovada | Júnio: aprovada com lançamento no Sponte")</f>
        <v>Cristiane Meiry Alves | Filosofia | Aprovada | Júnio: aprovada com lançamento no Sponte</v>
      </c>
      <c r="B806" s="93"/>
    </row>
    <row r="807">
      <c r="A807" s="384" t="str">
        <f>IFERROR(__xludf.DUMMYFUNCTION("""COMPUTED_VALUE"""),"Cristiane Mesquita Pereira Ferreira | Pedagogia | Aprovado | Alexsiane: pp aprovado")</f>
        <v>Cristiane Mesquita Pereira Ferreira | Pedagogia | Aprovado | Alexsiane: pp aprovado</v>
      </c>
      <c r="B807" s="93"/>
    </row>
    <row r="808">
      <c r="A808" s="384" t="str">
        <f>IFERROR(__xludf.DUMMYFUNCTION("""COMPUTED_VALUE"""),"Cristiane Milena Nepomuceno Pinto | Ciências Sociais | Aprovada | Júnio: PP - falta a carta de apresentação. PRAZO: 08/11/23 //Júnio: aprovada: 03/11/2023")</f>
        <v>Cristiane Milena Nepomuceno Pinto | Ciências Sociais | Aprovada | Júnio: PP - falta a carta de apresentação. PRAZO: 08/11/23 //Júnio: aprovada: 03/11/2023</v>
      </c>
      <c r="B808" s="93"/>
    </row>
    <row r="809">
      <c r="A809" s="384" t="str">
        <f>IFERROR(__xludf.DUMMYFUNCTION("""COMPUTED_VALUE"""),"Cristiane Pereira Da Silva | Neuropsicopedagogia Institucional,Clínica E Hospitalar | Pré- aprovada | Alexsiane: Pré- aprovada com lançamento no Sponte.")</f>
        <v>Cristiane Pereira Da Silva | Neuropsicopedagogia Institucional,Clínica E Hospitalar | Pré- aprovada | Alexsiane: Pré- aprovada com lançamento no Sponte.</v>
      </c>
      <c r="B809" s="93"/>
    </row>
    <row r="810">
      <c r="A810" s="384" t="str">
        <f>IFERROR(__xludf.DUMMYFUNCTION("""COMPUTED_VALUE"""),"Cristiane Pereira Guimarães | Letras Port./Ing. | Aprovado | Estella: Falltou carimbo na assinatura da supervisão. Avisei e aprovei. Entregue dia 15/05/2019// Bárbara: Conferido e arquivado 10/09/2020")</f>
        <v>Cristiane Pereira Guimarães | Letras Port./Ing. | Aprovado | Estella: Falltou carimbo na assinatura da supervisão. Avisei e aprovei. Entregue dia 15/05/2019// Bárbara: Conferido e arquivado 10/09/2020</v>
      </c>
      <c r="B810" s="93"/>
    </row>
    <row r="811">
      <c r="A811" s="384" t="str">
        <f>IFERROR(__xludf.DUMMYFUNCTION("""COMPUTED_VALUE"""),"Cristiane Pereira Guimarães | Psic. Ped. Clínica | Aprovado | Thiara: aprovado // Bárbara: Conferido e arquivado 10/09/2020")</f>
        <v>Cristiane Pereira Guimarães | Psic. Ped. Clínica | Aprovado | Thiara: aprovado // Bárbara: Conferido e arquivado 10/09/2020</v>
      </c>
      <c r="B811" s="93"/>
    </row>
    <row r="812">
      <c r="A812" s="384" t="str">
        <f>IFERROR(__xludf.DUMMYFUNCTION("""COMPUTED_VALUE"""),"Cristiane Rafaela Dias Lopes | Pedagogia | Aprovado | aline Silva: falta carta de apresentação, termo de conclusao,autoavaliação, termo de compromisso // Barbára: aprovada 09/04/2021 Júnio: Conferido e arquivado.")</f>
        <v>Cristiane Rafaela Dias Lopes | Pedagogia | Aprovado | aline Silva: falta carta de apresentação, termo de conclusao,autoavaliação, termo de compromisso // Barbára: aprovada 09/04/2021 Júnio: Conferido e arquivado.</v>
      </c>
      <c r="B812" s="93"/>
    </row>
    <row r="813">
      <c r="A813" s="384" t="str">
        <f>IFERROR(__xludf.DUMMYFUNCTION("""COMPUTED_VALUE"""),"Cristiane Santos Souza Sauer | Pedagogia | Aprovada  | Júnio: remoto antigo, etapas 1,2 e 3 corretas// Bárbara: apresentou declração de experiência válida 01/04/2022")</f>
        <v>Cristiane Santos Souza Sauer | Pedagogia | Aprovada  | Júnio: remoto antigo, etapas 1,2 e 3 corretas// Bárbara: apresentou declração de experiência válida 01/04/2022</v>
      </c>
      <c r="B813" s="93"/>
    </row>
    <row r="814">
      <c r="A814" s="384" t="str">
        <f>IFERROR(__xludf.DUMMYFUNCTION("""COMPUTED_VALUE"""),"Cristiane Severio Marques | Neuropsicopedagogia Clínica E Hospitalar | Aprovado | Alexsiane: Aprovado (Sponte não está funcionando).")</f>
        <v>Cristiane Severio Marques | Neuropsicopedagogia Clínica E Hospitalar | Aprovado | Alexsiane: Aprovado (Sponte não está funcionando).</v>
      </c>
      <c r="B814" s="93"/>
    </row>
    <row r="815">
      <c r="A815" s="384" t="str">
        <f>IFERROR(__xludf.DUMMYFUNCTION("""COMPUTED_VALUE"""),"Cristiane Severio Marques | Psicopedagogia Institucional E Clínica | Aprovada  | Alexsiane: 36% plágio// Alexsiane: aprovado com lançamento no Sponte")</f>
        <v>Cristiane Severio Marques | Psicopedagogia Institucional E Clínica | Aprovada  | Alexsiane: 36% plágio// Alexsiane: aprovado com lançamento no Sponte</v>
      </c>
      <c r="B815" s="93"/>
    </row>
    <row r="816">
      <c r="A816" s="384" t="str">
        <f>IFERROR(__xludf.DUMMYFUNCTION("""COMPUTED_VALUE"""),"Cristiane Teixeira Tavares De Souza | Psicopedagogia,Clínica E Hospitalar | Aprovado | Alexsiane:Complementar a introdução,diagnostico do caso,considerações finais e anamnese.//Alexsiane: aprovado com lançamento no Sponte")</f>
        <v>Cristiane Teixeira Tavares De Souza | Psicopedagogia,Clínica E Hospitalar | Aprovado | Alexsiane:Complementar a introdução,diagnostico do caso,considerações finais e anamnese.//Alexsiane: aprovado com lançamento no Sponte</v>
      </c>
      <c r="B816" s="93"/>
    </row>
    <row r="817">
      <c r="A817" s="384" t="str">
        <f>IFERROR(__xludf.DUMMYFUNCTION("""COMPUTED_VALUE"""),"Cristiano De Miranda Gomes | Pedagogia | Aprovado | Júnio:PP - falta preencher a carta de apresentação //Júnio: aprovado: 30/08/23")</f>
        <v>Cristiano De Miranda Gomes | Pedagogia | Aprovado | Júnio:PP - falta preencher a carta de apresentação //Júnio: aprovado: 30/08/23</v>
      </c>
      <c r="B817" s="93"/>
    </row>
    <row r="818">
      <c r="A818" s="384" t="str">
        <f>IFERROR(__xludf.DUMMYFUNCTION("""COMPUTED_VALUE"""),"Cristiano Leonardo Ferreira De Souza | Artes Visuais | Aprovado | Bianca: aprovada nas 3 primeiras etapas do remoto antigo //Bianca: aprovada 26/07/2021")</f>
        <v>Cristiano Leonardo Ferreira De Souza | Artes Visuais | Aprovado | Bianca: aprovada nas 3 primeiras etapas do remoto antigo //Bianca: aprovada 26/07/2021</v>
      </c>
      <c r="B818" s="93"/>
    </row>
    <row r="819">
      <c r="A819" s="384" t="str">
        <f>IFERROR(__xludf.DUMMYFUNCTION("""COMPUTED_VALUE"""),"Cristiano Marcos De Carvalho | Matemática | Aprovado | Lucas: Complementar etapa 2 com o perigo da historia unica  //Júnio: aprovado na aula online.")</f>
        <v>Cristiano Marcos De Carvalho | Matemática | Aprovado | Lucas: Complementar etapa 2 com o perigo da historia unica  //Júnio: aprovado na aula online.</v>
      </c>
      <c r="B819" s="93"/>
    </row>
    <row r="820">
      <c r="A820" s="384" t="str">
        <f>IFERROR(__xludf.DUMMYFUNCTION("""COMPUTED_VALUE"""),"Cristiano Rosa Marciano | Educação Física | Aprovado | Júnio: PP - falta a etapa 1 //Júnio: aprovado: 20/12/23")</f>
        <v>Cristiano Rosa Marciano | Educação Física | Aprovado | Júnio: PP - falta a etapa 1 //Júnio: aprovado: 20/12/23</v>
      </c>
      <c r="B820" s="93"/>
    </row>
    <row r="821">
      <c r="A821" s="384" t="str">
        <f>IFERROR(__xludf.DUMMYFUNCTION("""COMPUTED_VALUE"""),"Cristina Angélica De Miranda | Pedagogia | Aprovada | Bárbara: padrão, autorizada a enviar o físico //Júnio: físico conferido e arquivado: 15/08/22")</f>
        <v>Cristina Angélica De Miranda | Pedagogia | Aprovada | Bárbara: padrão, autorizada a enviar o físico //Júnio: físico conferido e arquivado: 15/08/22</v>
      </c>
      <c r="B821" s="93"/>
    </row>
    <row r="822">
      <c r="A822" s="384" t="str">
        <f>IFERROR(__xludf.DUMMYFUNCTION("""COMPUTED_VALUE"""),"Cristina Benedita Da Silva | Artes Visuais | Aprovada | Bianca: falta etapa 4 do remoto atualizado //Júnio: conferida, aprovada, arquivada: 15/09/21")</f>
        <v>Cristina Benedita Da Silva | Artes Visuais | Aprovada | Bianca: falta etapa 4 do remoto atualizado //Júnio: conferida, aprovada, arquivada: 15/09/21</v>
      </c>
      <c r="B822" s="93"/>
    </row>
    <row r="823">
      <c r="A823" s="384" t="str">
        <f>IFERROR(__xludf.DUMMYFUNCTION("""COMPUTED_VALUE"""),"Cristina Do Socorro Maia Nogueira Alves | Ciências Sociais | Aprovada  | Bianca: Enviou apenas planos de aulas e fichas de registro// Lucas: aprovada 16/02 //Júnio: 14/04 - conferida e arquivada")</f>
        <v>Cristina Do Socorro Maia Nogueira Alves | Ciências Sociais | Aprovada  | Bianca: Enviou apenas planos de aulas e fichas de registro// Lucas: aprovada 16/02 //Júnio: 14/04 - conferida e arquivada</v>
      </c>
      <c r="B823" s="93"/>
    </row>
    <row r="824">
      <c r="A824" s="384" t="str">
        <f>IFERROR(__xludf.DUMMYFUNCTION("""COMPUTED_VALUE"""),"Cristina Freitas | Filosofia | Aprovada | Bianca: aprovada nas 4 etapas do remoto atualizado //Júnio: conferido e arquivado: 19/07/2021")</f>
        <v>Cristina Freitas | Filosofia | Aprovada | Bianca: aprovada nas 4 etapas do remoto atualizado //Júnio: conferido e arquivado: 19/07/2021</v>
      </c>
      <c r="B824" s="93"/>
    </row>
    <row r="825">
      <c r="A825" s="384" t="str">
        <f>IFERROR(__xludf.DUMMYFUNCTION("""COMPUTED_VALUE"""),"Cristina Porto Silva Coelho | Pedagogia | Aprovada | Bárbara: aluna fez 1 plano de aula apenas, e as etapas 1 e 2 estã completamente incompletas. //Bárbara: aprovada 11/05/2021")</f>
        <v>Cristina Porto Silva Coelho | Pedagogia | Aprovada | Bárbara: aluna fez 1 plano de aula apenas, e as etapas 1 e 2 estã completamente incompletas. //Bárbara: aprovada 11/05/2021</v>
      </c>
      <c r="B825" s="93"/>
    </row>
    <row r="826">
      <c r="A826" s="384" t="str">
        <f>IFERROR(__xludf.DUMMYFUNCTION("""COMPUTED_VALUE"""),"Cristina Porto Silva Coelho | Sociologia | Aprovada | Bárbara: aluna fez 1 plano de aula apenas, e as etapas 1 e 2 estã completamente incompletas. //Bianca: aprovada nas quatro etapas 04/05/21 //Bárbara: aprovada 25/11/21")</f>
        <v>Cristina Porto Silva Coelho | Sociologia | Aprovada | Bárbara: aluna fez 1 plano de aula apenas, e as etapas 1 e 2 estã completamente incompletas. //Bianca: aprovada nas quatro etapas 04/05/21 //Bárbara: aprovada 25/11/21</v>
      </c>
      <c r="B826" s="93"/>
    </row>
    <row r="827">
      <c r="A827" s="384" t="str">
        <f>IFERROR(__xludf.DUMMYFUNCTION("""COMPUTED_VALUE"""),"Cristina Ribeiro Brand | Pedagogia | Aprovada | Bárbara: TINHA PENDENCIA DOCUMENTAL, como era verificação rápida fiz e informei da pendência, apresentou declaração de experiência válida, e carta de apresentação. Ainda deve realizar 250 horas. falta todo o"&amp;" restante.  //Júnio: pré aprovada: 10/08/23 //Júnio: aprovada: 24/08/23")</f>
        <v>Cristina Ribeiro Brand | Pedagogia | Aprovada | Bárbara: TINHA PENDENCIA DOCUMENTAL, como era verificação rápida fiz e informei da pendência, apresentou declaração de experiência válida, e carta de apresentação. Ainda deve realizar 250 horas. falta todo o restante.  //Júnio: pré aprovada: 10/08/23 //Júnio: aprovada: 24/08/23</v>
      </c>
      <c r="B827" s="93"/>
    </row>
    <row r="828">
      <c r="A828" s="384" t="str">
        <f>IFERROR(__xludf.DUMMYFUNCTION("""COMPUTED_VALUE"""),"Cristina Sebastiana Duarte | Pedagogia | Aprovado | Thiara: aprovado")</f>
        <v>Cristina Sebastiana Duarte | Pedagogia | Aprovado | Thiara: aprovado</v>
      </c>
      <c r="B828" s="93"/>
    </row>
    <row r="829">
      <c r="A829" s="384" t="str">
        <f>IFERROR(__xludf.DUMMYFUNCTION("""COMPUTED_VALUE"""),"Cristina Sebastiana Duarte | Artes Visuais | Aprovada | Júnio: PP- 13% plágio //Júnio: aprovada: 14/08/23")</f>
        <v>Cristina Sebastiana Duarte | Artes Visuais | Aprovada | Júnio: PP- 13% plágio //Júnio: aprovada: 14/08/23</v>
      </c>
      <c r="B829" s="93"/>
    </row>
    <row r="830">
      <c r="A830" s="384" t="str">
        <f>IFERROR(__xludf.DUMMYFUNCTION("""COMPUTED_VALUE"""),"Cristina Spinatto Schereschewsky | Pedagogia | Aprovado | Alexsiane: falta o vídeo da 4° etapa. //Júnio: aprovada na aula: 19/05/22")</f>
        <v>Cristina Spinatto Schereschewsky | Pedagogia | Aprovado | Alexsiane: falta o vídeo da 4° etapa. //Júnio: aprovada na aula: 19/05/22</v>
      </c>
      <c r="B830" s="93"/>
    </row>
    <row r="831">
      <c r="A831" s="384" t="str">
        <f>IFERROR(__xludf.DUMMYFUNCTION("""COMPUTED_VALUE"""),"Cristina Vagnoni Moscardi Do Carmo | Pedagogia Para Bachareis E Tecnologos | Aprovada | Júnio- Estágio I: falta introdução, objetivos gerais e especificos, analise do PPP e gestão, relatórios de observação e regência, conclusão, autoavaliação e passar os "&amp;"acompanhamentos para a ficha de registro sem ultrapassar 6 hs. PCC I: deve colocar atividades na tabela relacionadas ao portfolio. Estágios II, III e IV: falta enviar PCC II, III e IV: falta enviar //Júnio: Aprovada: 16/01/24")</f>
        <v>Cristina Vagnoni Moscardi Do Carmo | Pedagogia Para Bachareis E Tecnologos | Aprovada | Júnio- Estágio I: falta introdução, objetivos gerais e especificos, analise do PPP e gestão, relatórios de observação e regência, conclusão, autoavaliação e passar os acompanhamentos para a ficha de registro sem ultrapassar 6 hs. PCC I: deve colocar atividades na tabela relacionadas ao portfolio. Estágios II, III e IV: falta enviar PCC II, III e IV: falta enviar //Júnio: Aprovada: 16/01/24</v>
      </c>
      <c r="B831" s="93"/>
    </row>
    <row r="832">
      <c r="A832" s="384" t="str">
        <f>IFERROR(__xludf.DUMMYFUNCTION("""COMPUTED_VALUE"""),"Cyntia Laura Xavier Soares | Segunda Licenciatura Em Música | Aprovado | Rayssa pp aprovado")</f>
        <v>Cyntia Laura Xavier Soares | Segunda Licenciatura Em Música | Aprovado | Rayssa pp aprovado</v>
      </c>
      <c r="B832" s="93"/>
    </row>
    <row r="833">
      <c r="A833" s="384" t="str">
        <f>IFERROR(__xludf.DUMMYFUNCTION("""COMPUTED_VALUE"""),"Dagmar Vanda De Oliveira Bizuti | Geografia | Aprovado | Bárbara: aprovada nas 3 primeiras etapas do remoto// Bárbara: aprovada na 4ª etapa 05/03/2021")</f>
        <v>Dagmar Vanda De Oliveira Bizuti | Geografia | Aprovado | Bárbara: aprovada nas 3 primeiras etapas do remoto// Bárbara: aprovada na 4ª etapa 05/03/2021</v>
      </c>
      <c r="B833" s="93"/>
    </row>
    <row r="834">
      <c r="A834" s="384" t="str">
        <f>IFERROR(__xludf.DUMMYFUNCTION("""COMPUTED_VALUE"""),"Daiana Da Silva | Segunda Licenciatura Em Artes Visuais | Em analise  | Mariana: correções estágio faltante 66  horas e rasura no termo de conclusão até dia 28/03 pra enviar correções.")</f>
        <v>Daiana Da Silva | Segunda Licenciatura Em Artes Visuais | Em analise  | Mariana: correções estágio faltante 66  horas e rasura no termo de conclusão até dia 28/03 pra enviar correções.</v>
      </c>
      <c r="B834" s="93"/>
    </row>
    <row r="835">
      <c r="A835" s="384" t="str">
        <f>IFERROR(__xludf.DUMMYFUNCTION("""COMPUTED_VALUE"""),"Daiana Priscila Alberici | Letras | Aprovada | Bárbara: apresentou declaração de experiência para isençõ da 4 etapa do remoto antigo  //Júnio: aprovada: 24/01/22")</f>
        <v>Daiana Priscila Alberici | Letras | Aprovada | Bárbara: apresentou declaração de experiência para isençõ da 4 etapa do remoto antigo  //Júnio: aprovada: 24/01/22</v>
      </c>
      <c r="B835" s="93"/>
    </row>
    <row r="836">
      <c r="A836" s="384" t="str">
        <f>IFERROR(__xludf.DUMMYFUNCTION("""COMPUTED_VALUE"""),"Daiana Ribeiro De Castro Tibães | Letras Português | Aprovada | Bianca: falta carta de aceite, termo de conclusão e preencher fichas de registro //Bárbara: aprovada: 02/09/2021 //Júnio: conferido e arquivado: 15/10/21")</f>
        <v>Daiana Ribeiro De Castro Tibães | Letras Português | Aprovada | Bianca: falta carta de aceite, termo de conclusão e preencher fichas de registro //Bárbara: aprovada: 02/09/2021 //Júnio: conferido e arquivado: 15/10/21</v>
      </c>
      <c r="B836" s="93"/>
    </row>
    <row r="837">
      <c r="A837" s="384" t="str">
        <f>IFERROR(__xludf.DUMMYFUNCTION("""COMPUTED_VALUE"""),"Daiana Souza Alvim | Neuropsicopedagogia Institucional, Clínica E Hospitalar | Em análise | Alexsiane: encaminhou somente a carta de encaminhamento, esta faltando todo o restante dp estágio")</f>
        <v>Daiana Souza Alvim | Neuropsicopedagogia Institucional, Clínica E Hospitalar | Em análise | Alexsiane: encaminhou somente a carta de encaminhamento, esta faltando todo o restante dp estágio</v>
      </c>
      <c r="B837" s="93"/>
    </row>
    <row r="838">
      <c r="A838" s="384" t="str">
        <f>IFERROR(__xludf.DUMMYFUNCTION("""COMPUTED_VALUE"""),"Daiana Targino Da Silva | Artes Visuais | Aprovada | Alexsiane: tem que complementar as fichas de registro pois fez ""80"" horas, corrigir a carga horaria dia e total da ficha que está toda errada, especificar o tipo de acompanhamento é serie //Júnio: pré"&amp;" aprovada: 04/08/23 //Júnio: aprovada: 23/08/23")</f>
        <v>Daiana Targino Da Silva | Artes Visuais | Aprovada | Alexsiane: tem que complementar as fichas de registro pois fez "80" horas, corrigir a carga horaria dia e total da ficha que está toda errada, especificar o tipo de acompanhamento é serie //Júnio: pré aprovada: 04/08/23 //Júnio: aprovada: 23/08/23</v>
      </c>
      <c r="B838" s="93"/>
    </row>
    <row r="839">
      <c r="A839" s="384" t="str">
        <f>IFERROR(__xludf.DUMMYFUNCTION("""COMPUTED_VALUE"""),"Daiane Aparecida Henrique | Pós Alfabetização E Letramento | Em análise | Cris: falta Pastas 1,2,3 e 4")</f>
        <v>Daiane Aparecida Henrique | Pós Alfabetização E Letramento | Em análise | Cris: falta Pastas 1,2,3 e 4</v>
      </c>
      <c r="B839" s="93"/>
    </row>
    <row r="840">
      <c r="A840" s="384" t="str">
        <f>IFERROR(__xludf.DUMMYFUNCTION("""COMPUTED_VALUE"""),"Daiane Aparecida Henrique | 2ª Licenciatura Pedagogia | Aprovado | Cris: PP aprovado")</f>
        <v>Daiane Aparecida Henrique | 2ª Licenciatura Pedagogia | Aprovado | Cris: PP aprovado</v>
      </c>
      <c r="B840" s="93"/>
    </row>
    <row r="841">
      <c r="A841" s="384" t="str">
        <f>IFERROR(__xludf.DUMMYFUNCTION("""COMPUTED_VALUE"""),"Daiane Aparecida Henrique | 2ª Licenciatura Pedagogia | Aprovado | Cris: PP aprovado")</f>
        <v>Daiane Aparecida Henrique | 2ª Licenciatura Pedagogia | Aprovado | Cris: PP aprovado</v>
      </c>
      <c r="B841" s="93"/>
    </row>
    <row r="842">
      <c r="A842" s="384" t="str">
        <f>IFERROR(__xludf.DUMMYFUNCTION("""COMPUTED_VALUE"""),"Daiane Asnal Mendes | Ciências Bioloógicas | Aprovado | Bianca: aprovada nas 3 primeiras etapas do remoto// Bárbara: aprovada nas 4 etapas 18/03/2021")</f>
        <v>Daiane Asnal Mendes | Ciências Bioloógicas | Aprovado | Bianca: aprovada nas 3 primeiras etapas do remoto// Bárbara: aprovada nas 4 etapas 18/03/2021</v>
      </c>
      <c r="B842" s="93"/>
    </row>
    <row r="843">
      <c r="A843" s="384" t="str">
        <f>IFERROR(__xludf.DUMMYFUNCTION("""COMPUTED_VALUE"""),"Daiane Asnal Mendes | Letras Português | Aprovado | Bárbara: aprovada nas 4 etapas do remoto antigo ")</f>
        <v>Daiane Asnal Mendes | Letras Português | Aprovado | Bárbara: aprovada nas 4 etapas do remoto antigo </v>
      </c>
      <c r="B843" s="93"/>
    </row>
    <row r="844">
      <c r="A844" s="384" t="str">
        <f>IFERROR(__xludf.DUMMYFUNCTION("""COMPUTED_VALUE"""),"Daiane Magalhães Dos Santos Bastos | Psicopedagogia Institucional E Clínica | Pré-aprovada | Lucas Plágio 7,90% //// Edilaine: Pré Aprovada 08/02/2023")</f>
        <v>Daiane Magalhães Dos Santos Bastos | Psicopedagogia Institucional E Clínica | Pré-aprovada | Lucas Plágio 7,90% //// Edilaine: Pré Aprovada 08/02/2023</v>
      </c>
      <c r="B844" s="93"/>
    </row>
    <row r="845">
      <c r="A845" s="384" t="str">
        <f>IFERROR(__xludf.DUMMYFUNCTION("""COMPUTED_VALUE"""),"Daiane Mattoso Lima Cabrera | Pedagogia Para Bacharéis E Tecnólogos | Aprovada | Júnio: PP e PCCs aprovados")</f>
        <v>Daiane Mattoso Lima Cabrera | Pedagogia Para Bacharéis E Tecnólogos | Aprovada | Júnio: PP e PCCs aprovados</v>
      </c>
      <c r="B845" s="93"/>
    </row>
    <row r="846">
      <c r="A846" s="384" t="str">
        <f>IFERROR(__xludf.DUMMYFUNCTION("""COMPUTED_VALUE"""),"Daiani Cristini Cardoso Campos | Matemática | Aprovado | Bárbar: remoto antigo, apresentou declração de experiência válida //Alexsiane: aprovada com lançamento no Sponte")</f>
        <v>Daiani Cristini Cardoso Campos | Matemática | Aprovado | Bárbar: remoto antigo, apresentou declração de experiência válida //Alexsiane: aprovada com lançamento no Sponte</v>
      </c>
      <c r="B846" s="93"/>
    </row>
    <row r="847">
      <c r="A847" s="384" t="str">
        <f>IFERROR(__xludf.DUMMYFUNCTION("""COMPUTED_VALUE"""),"Daianny Aparecida Caravalho De Matos | Filosofia | Em análise | Bárbara: etapas 1,2 e 3 ok, aguardando 4")</f>
        <v>Daianny Aparecida Caravalho De Matos | Filosofia | Em análise | Bárbara: etapas 1,2 e 3 ok, aguardando 4</v>
      </c>
      <c r="B847" s="93"/>
    </row>
    <row r="848">
      <c r="A848" s="384" t="str">
        <f>IFERROR(__xludf.DUMMYFUNCTION("""COMPUTED_VALUE"""),"Daiany Cristine Martins Araujo | Pedagogia | Aprovada | Edilaine: Tem que colocar o plano de aula em nosso modelo padrão, tem que especificar o tipo de acompanhamento nas fichas de registro e enviar o termo de conclusão. //Júnio: pre aprovada: 28/04/23 //"&amp;"Júnio: aprovada: 28/05/23")</f>
        <v>Daiany Cristine Martins Araujo | Pedagogia | Aprovada | Edilaine: Tem que colocar o plano de aula em nosso modelo padrão, tem que especificar o tipo de acompanhamento nas fichas de registro e enviar o termo de conclusão. //Júnio: pre aprovada: 28/04/23 //Júnio: aprovada: 28/05/23</v>
      </c>
      <c r="B848" s="93"/>
    </row>
    <row r="849">
      <c r="A849" s="384" t="str">
        <f>IFERROR(__xludf.DUMMYFUNCTION("""COMPUTED_VALUE"""),"Daiany Lara Oliveira | Artes Visuais | Aprovado | APROVADO")</f>
        <v>Daiany Lara Oliveira | Artes Visuais | Aprovado | APROVADO</v>
      </c>
      <c r="B849" s="93"/>
    </row>
    <row r="850">
      <c r="A850" s="384" t="str">
        <f>IFERROR(__xludf.DUMMYFUNCTION("""COMPUTED_VALUE"""),"Daiany Vasconcellos Serafim | Educação Física | Aprovada | Alexsiane: etapa 1,2,3 ok, falta 4° etapa do remoto antigo até dia 29/07 para reenviar //Júnio: aprovada no vídeo: 01/09/22")</f>
        <v>Daiany Vasconcellos Serafim | Educação Física | Aprovada | Alexsiane: etapa 1,2,3 ok, falta 4° etapa do remoto antigo até dia 29/07 para reenviar //Júnio: aprovada no vídeo: 01/09/22</v>
      </c>
      <c r="B850" s="93"/>
    </row>
    <row r="851">
      <c r="A851" s="384" t="str">
        <f>IFERROR(__xludf.DUMMYFUNCTION("""COMPUTED_VALUE"""),"Daiara Tomaz | Letras Espanhol | Aprovada | Alexsiane: falta etapa 2,3,4 e 10% de plágio parafraseado //Júnio: aprovada: 30/01/24")</f>
        <v>Daiara Tomaz | Letras Espanhol | Aprovada | Alexsiane: falta etapa 2,3,4 e 10% de plágio parafraseado //Júnio: aprovada: 30/01/24</v>
      </c>
      <c r="B851" s="93"/>
    </row>
    <row r="852">
      <c r="A852" s="384" t="str">
        <f>IFERROR(__xludf.DUMMYFUNCTION("""COMPUTED_VALUE"""),"Dailson Elvis Lima Silva | Música | Aprovado | Júnio: PP - etapas: ok Inicio: 03/05/2023 Reenviar: 03/11/2023 //Júnio: aprovado: 03/11/23")</f>
        <v>Dailson Elvis Lima Silva | Música | Aprovado | Júnio: PP - etapas: ok Inicio: 03/05/2023 Reenviar: 03/11/2023 //Júnio: aprovado: 03/11/23</v>
      </c>
      <c r="B852" s="93"/>
    </row>
    <row r="853">
      <c r="A853" s="384" t="str">
        <f>IFERROR(__xludf.DUMMYFUNCTION("""COMPUTED_VALUE"""),"Daíne De Resende Sousa |  | Aprovado | Mandei enviar pelo correio.")</f>
        <v>Daíne De Resende Sousa |  | Aprovado | Mandei enviar pelo correio.</v>
      </c>
      <c r="B853" s="93"/>
    </row>
    <row r="854">
      <c r="A854" s="384" t="str">
        <f>IFERROR(__xludf.DUMMYFUNCTION("""COMPUTED_VALUE"""),"Daisy Rodrigues | Pedagogia | Aprovada | Alexsiane: etapa 1,2,3ok, aprovado no video da 4° etapa")</f>
        <v>Daisy Rodrigues | Pedagogia | Aprovada | Alexsiane: etapa 1,2,3ok, aprovado no video da 4° etapa</v>
      </c>
      <c r="B854" s="93"/>
    </row>
    <row r="855">
      <c r="A855" s="384" t="str">
        <f>IFERROR(__xludf.DUMMYFUNCTION("""COMPUTED_VALUE"""),"Daisy Rodriguês | Matématica | Aprovada | Bárbara: aprovada")</f>
        <v>Daisy Rodriguês | Matématica | Aprovada | Bárbara: aprovada</v>
      </c>
      <c r="B855" s="93"/>
    </row>
    <row r="856">
      <c r="A856" s="384" t="str">
        <f>IFERROR(__xludf.DUMMYFUNCTION("""COMPUTED_VALUE"""),"Dalila Damasceno Gomes | Pedagogia | Aprovada | Aline Silva: aprovada com ressalva, possui 05H em alguns dias.// Bárbara: Conferido e arquivado 15/09/2020")</f>
        <v>Dalila Damasceno Gomes | Pedagogia | Aprovada | Aline Silva: aprovada com ressalva, possui 05H em alguns dias.// Bárbara: Conferido e arquivado 15/09/2020</v>
      </c>
      <c r="B856" s="93"/>
    </row>
    <row r="857">
      <c r="A857" s="384" t="str">
        <f>IFERROR(__xludf.DUMMYFUNCTION("""COMPUTED_VALUE"""),"Dalila De Jesus De Souza Lopes | Letras Português | Aprovada | Júnio: fez só 116 hs na ficha de registo, precisa especificar tipo de acompanhamento e enviar todo o resto //Júnio: aprovada: 06/11/23")</f>
        <v>Dalila De Jesus De Souza Lopes | Letras Português | Aprovada | Júnio: fez só 116 hs na ficha de registo, precisa especificar tipo de acompanhamento e enviar todo o resto //Júnio: aprovada: 06/11/23</v>
      </c>
      <c r="B857" s="93"/>
    </row>
    <row r="858">
      <c r="A858" s="384" t="str">
        <f>IFERROR(__xludf.DUMMYFUNCTION("""COMPUTED_VALUE"""),"Dalila Miranda Dos Reis Carvalho | Pedagogia | Aprovada | Júnio: precisa enviar todas as etapas dissertativas digitadas. Fez até mais horas do que é exigido. //Júnio: aprovada")</f>
        <v>Dalila Miranda Dos Reis Carvalho | Pedagogia | Aprovada | Júnio: precisa enviar todas as etapas dissertativas digitadas. Fez até mais horas do que é exigido. //Júnio: aprovada</v>
      </c>
      <c r="B858" s="93"/>
    </row>
    <row r="859">
      <c r="A859" s="384" t="str">
        <f>IFERROR(__xludf.DUMMYFUNCTION("""COMPUTED_VALUE"""),"Damarys Alves Silva Barbosa | Pedagogia | Aprovada | Júnio:PP - falta a etapa II //Júnio: aprovada: 22/08/23")</f>
        <v>Damarys Alves Silva Barbosa | Pedagogia | Aprovada | Júnio:PP - falta a etapa II //Júnio: aprovada: 22/08/23</v>
      </c>
      <c r="B859" s="93"/>
    </row>
    <row r="860">
      <c r="A860" s="384" t="str">
        <f>IFERROR(__xludf.DUMMYFUNCTION("""COMPUTED_VALUE"""),"Dane Ertes Cardoso De Oliveira | Música | Em análise | Júnio: complementar a etapa 1 com mais páginas, falta a carta e entrevista.")</f>
        <v>Dane Ertes Cardoso De Oliveira | Música | Em análise | Júnio: complementar a etapa 1 com mais páginas, falta a carta e entrevista.</v>
      </c>
      <c r="B860" s="93"/>
    </row>
    <row r="861">
      <c r="A861" s="384" t="str">
        <f>IFERROR(__xludf.DUMMYFUNCTION("""COMPUTED_VALUE"""),"Dane Ertes Cardoso De Oliveira | Segunda Licenciatura Em Música | Aprovado | Alexsiane: pp aprovado")</f>
        <v>Dane Ertes Cardoso De Oliveira | Segunda Licenciatura Em Música | Aprovado | Alexsiane: pp aprovado</v>
      </c>
      <c r="B861" s="93"/>
    </row>
    <row r="862">
      <c r="A862" s="384" t="str">
        <f>IFERROR(__xludf.DUMMYFUNCTION("""COMPUTED_VALUE"""),"Dangel Domingues Lopes | Artes Visuais | Aprovado | Júnio: estágio padrão: anexar carta de apresentação, termo de conclusão. autorizado a recolçher assinaturas// Alexsiane: aprovado com lançamento no Sponte //Júnio: físico, conferido e arquivado.")</f>
        <v>Dangel Domingues Lopes | Artes Visuais | Aprovado | Júnio: estágio padrão: anexar carta de apresentação, termo de conclusão. autorizado a recolçher assinaturas// Alexsiane: aprovado com lançamento no Sponte //Júnio: físico, conferido e arquivado.</v>
      </c>
      <c r="B862" s="93"/>
    </row>
    <row r="863">
      <c r="A863" s="384" t="str">
        <f>IFERROR(__xludf.DUMMYFUNCTION("""COMPUTED_VALUE"""),"Dangel Domingues Lopes | Pedagogia | Aprovada | Aline Silva: falta a parte descritiva do trabalho.// enviou parte descritiva dia 06/01/2020 falta recolher assinaturas// Bárbara: conferido e arquivado 14/04/2021")</f>
        <v>Dangel Domingues Lopes | Pedagogia | Aprovada | Aline Silva: falta a parte descritiva do trabalho.// enviou parte descritiva dia 06/01/2020 falta recolher assinaturas// Bárbara: conferido e arquivado 14/04/2021</v>
      </c>
      <c r="B863" s="93"/>
    </row>
    <row r="864">
      <c r="A864" s="384" t="str">
        <f>IFERROR(__xludf.DUMMYFUNCTION("""COMPUTED_VALUE"""),"Daniel Aparecido De Souza | Letras/Português-Espanhol | Aprovado | Edilaine: Remoto antigo. Etapa 1 e 2 ok, tem que fazer a etapa 3 e 4. Tem até 23/04 para reenviar.  /// Edilaine: Aprovado 20/04")</f>
        <v>Daniel Aparecido De Souza | Letras/Português-Espanhol | Aprovado | Edilaine: Remoto antigo. Etapa 1 e 2 ok, tem que fazer a etapa 3 e 4. Tem até 23/04 para reenviar.  /// Edilaine: Aprovado 20/04</v>
      </c>
      <c r="B864" s="93"/>
    </row>
    <row r="865">
      <c r="A865" s="384" t="str">
        <f>IFERROR(__xludf.DUMMYFUNCTION("""COMPUTED_VALUE"""),"Daniel Chiminazo Toledo Souza | Letras Inglês | Aprovada | Bianca: aprovada, enviou 30 planos de aulas apenas, foi acordado com a Aline pelo guru final 13")</f>
        <v>Daniel Chiminazo Toledo Souza | Letras Inglês | Aprovada | Bianca: aprovada, enviou 30 planos de aulas apenas, foi acordado com a Aline pelo guru final 13</v>
      </c>
      <c r="B865" s="93"/>
    </row>
    <row r="866">
      <c r="A866" s="384" t="str">
        <f>IFERROR(__xludf.DUMMYFUNCTION("""COMPUTED_VALUE"""),"Daniel Da Silva Freire Rios | Matemática | Em análise | Júnio: remoto antigo - Faltam 19 planos de aula, etapa 4 e referências //PRAZO: 10/07/22")</f>
        <v>Daniel Da Silva Freire Rios | Matemática | Em análise | Júnio: remoto antigo - Faltam 19 planos de aula, etapa 4 e referências //PRAZO: 10/07/22</v>
      </c>
      <c r="B866" s="93"/>
    </row>
    <row r="867">
      <c r="A867" s="384" t="str">
        <f>IFERROR(__xludf.DUMMYFUNCTION("""COMPUTED_VALUE"""),"Daniel Da Silva Freire Rios | Pedagogia | Aprovado | Júnio: remoto antigo - Faltam 19 planos de aula, etapa 4 e referências //PRAZO: 10/07/22 //Júnio: aprovado no vídeo da 4ª etapa")</f>
        <v>Daniel Da Silva Freire Rios | Pedagogia | Aprovado | Júnio: remoto antigo - Faltam 19 planos de aula, etapa 4 e referências //PRAZO: 10/07/22 //Júnio: aprovado no vídeo da 4ª etapa</v>
      </c>
      <c r="B867" s="93"/>
    </row>
    <row r="868">
      <c r="A868" s="384" t="str">
        <f>IFERROR(__xludf.DUMMYFUNCTION("""COMPUTED_VALUE"""),"Daniel Da Silva Garcia | Matemática | Em análise | Alexsiane: tem que enviar o trablaho em word editável// Alexsiane 26/11/24: tem que colocar o trabalho em nosso modelo padrão, fez envio de uma coisa que não sei o que é")</f>
        <v>Daniel Da Silva Garcia | Matemática | Em análise | Alexsiane: tem que enviar o trablaho em word editável// Alexsiane 26/11/24: tem que colocar o trabalho em nosso modelo padrão, fez envio de uma coisa que não sei o que é</v>
      </c>
      <c r="B868" s="93"/>
    </row>
    <row r="869">
      <c r="A869" s="384" t="str">
        <f>IFERROR(__xludf.DUMMYFUNCTION("""COMPUTED_VALUE"""),"Daniel Da Silveira Rodrigues | Letras Port Ingl | Aprovada | Bianca: autorizada a recolher assinaturas //Bianca: aprovado: 06/08/21 //Júnio: conferido e arquivado: 16/08/21")</f>
        <v>Daniel Da Silveira Rodrigues | Letras Port Ingl | Aprovada | Bianca: autorizada a recolher assinaturas //Bianca: aprovado: 06/08/21 //Júnio: conferido e arquivado: 16/08/21</v>
      </c>
      <c r="B869" s="93"/>
    </row>
    <row r="870">
      <c r="A870" s="384" t="str">
        <f>IFERROR(__xludf.DUMMYFUNCTION("""COMPUTED_VALUE"""),"Daniel De Jesus Lopes | Psicopedagogia Institucional E Clínica | Aprovado | Edilaine: 4,15% Tem que complementar o trabalho com *Exemplos de atividades desenvolvidas;
*Atividades (Xerox ou fotos),*Relatório das ações; * Sugestões de estratégia de interven"&amp;"ção; * Síntese de conclusão do caso e avaliação pedagógica. // Alexsiane: aprovado com lançamento no sponte")</f>
        <v>Daniel De Jesus Lopes | Psicopedagogia Institucional E Clínica | Aprovado | Edilaine: 4,15% Tem que complementar o trabalho com *Exemplos de atividades desenvolvidas;
*Atividades (Xerox ou fotos),*Relatório das ações; * Sugestões de estratégia de intervenção; * Síntese de conclusão do caso e avaliação pedagógica. // Alexsiane: aprovado com lançamento no sponte</v>
      </c>
      <c r="B870" s="93"/>
    </row>
    <row r="871">
      <c r="A871" s="384" t="str">
        <f>IFERROR(__xludf.DUMMYFUNCTION("""COMPUTED_VALUE"""),"Daniel Evangelista Do Nascimento | Segunda Licenciatura Em Pedagogia | Aprovado | Rayssa pp aprovado")</f>
        <v>Daniel Evangelista Do Nascimento | Segunda Licenciatura Em Pedagogia | Aprovado | Rayssa pp aprovado</v>
      </c>
      <c r="B871" s="93"/>
    </row>
    <row r="872">
      <c r="A872" s="384" t="str">
        <f>IFERROR(__xludf.DUMMYFUNCTION("""COMPUTED_VALUE"""),"Daniel Frederico Fagundes De Lima Andrade | História | Aprovado | Bianca: autorizada a recolher assinaturas //Bianca: aprovado: 06/08/21 //Júnio: conferido e arquivado: 16/08/21")</f>
        <v>Daniel Frederico Fagundes De Lima Andrade | História | Aprovado | Bianca: autorizada a recolher assinaturas //Bianca: aprovado: 06/08/21 //Júnio: conferido e arquivado: 16/08/21</v>
      </c>
      <c r="B872" s="93"/>
    </row>
    <row r="873">
      <c r="A873" s="384" t="str">
        <f>IFERROR(__xludf.DUMMYFUNCTION("""COMPUTED_VALUE"""),"Daniel Frederico Fagundes De Lima Andrade | Pedagogia | Em análise | Alexsiane: falta termo de conclusão, carta de apresentação, fichas de registro e 14,03% de plágio")</f>
        <v>Daniel Frederico Fagundes De Lima Andrade | Pedagogia | Em análise | Alexsiane: falta termo de conclusão, carta de apresentação, fichas de registro e 14,03% de plágio</v>
      </c>
      <c r="B873" s="93"/>
    </row>
    <row r="874">
      <c r="A874" s="384" t="str">
        <f>IFERROR(__xludf.DUMMYFUNCTION("""COMPUTED_VALUE"""),"Daniel Frederico Fagundes De Lima Andrade | Ciências Sociais | Aprovado | Júnio: falta carta de apresentação, termo de conclusão e fichas de registros. //Júnio: pre aprovadO: 31/05/23 //Júnhio: aprovado: 05/06/23")</f>
        <v>Daniel Frederico Fagundes De Lima Andrade | Ciências Sociais | Aprovado | Júnio: falta carta de apresentação, termo de conclusão e fichas de registros. //Júnio: pre aprovadO: 31/05/23 //Júnhio: aprovado: 05/06/23</v>
      </c>
      <c r="B874" s="93"/>
    </row>
    <row r="875">
      <c r="A875" s="384" t="str">
        <f>IFERROR(__xludf.DUMMYFUNCTION("""COMPUTED_VALUE"""),"Daniel Santos De Oliveira | Educação Física | Aprovado | Júnio: PP- falta responder o questionário. PRAZO: 14/10/23 //Júnio: aprovado: 03/10/23")</f>
        <v>Daniel Santos De Oliveira | Educação Física | Aprovado | Júnio: PP- falta responder o questionário. PRAZO: 14/10/23 //Júnio: aprovado: 03/10/23</v>
      </c>
      <c r="B875" s="93"/>
    </row>
    <row r="876">
      <c r="A876" s="384" t="str">
        <f>IFERROR(__xludf.DUMMYFUNCTION("""COMPUTED_VALUE"""),"Daniel Santos De Oliveira | Letras Inglês | Aprovado | Júnio: PP- falta responder o questionário. PRAZO: 14/10/23 //Júnio: aprovado: 03/10/23")</f>
        <v>Daniel Santos De Oliveira | Letras Inglês | Aprovado | Júnio: PP- falta responder o questionário. PRAZO: 14/10/23 //Júnio: aprovado: 03/10/23</v>
      </c>
      <c r="B876" s="93"/>
    </row>
    <row r="877">
      <c r="A877" s="384" t="str">
        <f>IFERROR(__xludf.DUMMYFUNCTION("""COMPUTED_VALUE"""),"Daniel Soares Dantas | Letras Por Esp | Aprovado | Bianca: aluno realizando TCE remoto atualizado, com as 3 primeiras etapas ok, aguardando a última //Bianca: aprovada: 30/08/2021")</f>
        <v>Daniel Soares Dantas | Letras Por Esp | Aprovado | Bianca: aluno realizando TCE remoto atualizado, com as 3 primeiras etapas ok, aguardando a última //Bianca: aprovada: 30/08/2021</v>
      </c>
      <c r="B877" s="93"/>
    </row>
    <row r="878">
      <c r="A878" s="384" t="str">
        <f>IFERROR(__xludf.DUMMYFUNCTION("""COMPUTED_VALUE"""),"Daniel Souza Leão Angelim | Pedagogia | Aprovado | Júnio: aprovado no remoto antigo")</f>
        <v>Daniel Souza Leão Angelim | Pedagogia | Aprovado | Júnio: aprovado no remoto antigo</v>
      </c>
      <c r="B878" s="93"/>
    </row>
    <row r="879">
      <c r="A879" s="384" t="str">
        <f>IFERROR(__xludf.DUMMYFUNCTION("""COMPUTED_VALUE"""),"Daniel Vieira Da Silva | Segunda Licenciatura Em Música | Em análise | Rayssa PP ! Prazo inferior a 6 meses de plataforma")</f>
        <v>Daniel Vieira Da Silva | Segunda Licenciatura Em Música | Em análise | Rayssa PP ! Prazo inferior a 6 meses de plataforma</v>
      </c>
      <c r="B879" s="93"/>
    </row>
    <row r="880">
      <c r="A880" s="384" t="str">
        <f>IFERROR(__xludf.DUMMYFUNCTION("""COMPUTED_VALUE"""),"Daniel William Rocha Silva | Educação Física | Aprovado | Júnio: PP - falta a carta e entrevista //Júnio: aprovado: 29/01/24")</f>
        <v>Daniel William Rocha Silva | Educação Física | Aprovado | Júnio: PP - falta a carta e entrevista //Júnio: aprovado: 29/01/24</v>
      </c>
      <c r="B880" s="93"/>
    </row>
    <row r="881">
      <c r="A881" s="384" t="str">
        <f>IFERROR(__xludf.DUMMYFUNCTION("""COMPUTED_VALUE"""),"Daniela Aparecida Dos Santos Silva | Ciências Sociais | Aprovada | Júnio: fez os planos de aulas de forma semanal, pedi para fazer 20 de forma diária //Júnio: aprovada: 06/01/22")</f>
        <v>Daniela Aparecida Dos Santos Silva | Ciências Sociais | Aprovada | Júnio: fez os planos de aulas de forma semanal, pedi para fazer 20 de forma diária //Júnio: aprovada: 06/01/22</v>
      </c>
      <c r="B881" s="93"/>
    </row>
    <row r="882">
      <c r="A882" s="384" t="str">
        <f>IFERROR(__xludf.DUMMYFUNCTION("""COMPUTED_VALUE"""),"Daniela Campos Vieira E Silva | Pedagogia | Aprovado | Thiara: Falta horas de observação e regência. Mandou horas faltantes via whatsapp /// Recebido no Instituto dia 08/08/2019.")</f>
        <v>Daniela Campos Vieira E Silva | Pedagogia | Aprovado | Thiara: Falta horas de observação e regência. Mandou horas faltantes via whatsapp /// Recebido no Instituto dia 08/08/2019.</v>
      </c>
      <c r="B882" s="93"/>
    </row>
    <row r="883">
      <c r="A883" s="384" t="str">
        <f>IFERROR(__xludf.DUMMYFUNCTION("""COMPUTED_VALUE"""),"Daniela Cardoso Lidorio | Educação Especial | Aprovada | Júnio: PP - etapas: Ok Inicio: 25/08/23 Reenviar: 25/02/24 //Júnio: aprovada 27/02/24")</f>
        <v>Daniela Cardoso Lidorio | Educação Especial | Aprovada | Júnio: PP - etapas: Ok Inicio: 25/08/23 Reenviar: 25/02/24 //Júnio: aprovada 27/02/24</v>
      </c>
      <c r="B883" s="93"/>
    </row>
    <row r="884">
      <c r="A884" s="384" t="str">
        <f>IFERROR(__xludf.DUMMYFUNCTION("""COMPUTED_VALUE"""),"Daniela Catalão Garcia De Carvalho | Psicopedagogia Clínica Institucional E Hospitalar | pré aprovado | Bianca: autorizada a recolher assinatura// Alexsiane: pré aprovado com lançamento no sponte")</f>
        <v>Daniela Catalão Garcia De Carvalho | Psicopedagogia Clínica Institucional E Hospitalar | pré aprovado | Bianca: autorizada a recolher assinatura// Alexsiane: pré aprovado com lançamento no sponte</v>
      </c>
      <c r="B884" s="93"/>
    </row>
    <row r="885">
      <c r="A885" s="384" t="str">
        <f>IFERROR(__xludf.DUMMYFUNCTION("""COMPUTED_VALUE"""),"Daniela Ceolin Palhano | Artes Visuais | Aprovada | Júnio: aprovada ")</f>
        <v>Daniela Ceolin Palhano | Artes Visuais | Aprovada | Júnio: aprovada </v>
      </c>
      <c r="B885" s="93"/>
    </row>
    <row r="886">
      <c r="A886" s="384" t="str">
        <f>IFERROR(__xludf.DUMMYFUNCTION("""COMPUTED_VALUE"""),"Daniela Coutinho Salvador | Pedagogia | Em análise | Júnio: PP - falta a etapa 2.")</f>
        <v>Daniela Coutinho Salvador | Pedagogia | Em análise | Júnio: PP - falta a etapa 2.</v>
      </c>
      <c r="B886" s="93"/>
    </row>
    <row r="887">
      <c r="A887" s="384" t="str">
        <f>IFERROR(__xludf.DUMMYFUNCTION("""COMPUTED_VALUE"""),"Daniela Davis-Becker | História | Aprovada | Júnio: pré aprovada  PRAZO: 28/07/23 //Júnio: aprovada: 27/07/23")</f>
        <v>Daniela Davis-Becker | História | Aprovada | Júnio: pré aprovada  PRAZO: 28/07/23 //Júnio: aprovada: 27/07/23</v>
      </c>
      <c r="B887" s="93"/>
    </row>
    <row r="888">
      <c r="A888" s="384" t="str">
        <f>IFERROR(__xludf.DUMMYFUNCTION("""COMPUTED_VALUE"""),"Daniela De Souza De Morais | Pedagogia | Aprovada | Júnio: PP -14% plágio //Júnio: aprovada: 22/11/23")</f>
        <v>Daniela De Souza De Morais | Pedagogia | Aprovada | Júnio: PP -14% plágio //Júnio: aprovada: 22/11/23</v>
      </c>
      <c r="B888" s="93"/>
    </row>
    <row r="889">
      <c r="A889" s="384" t="str">
        <f>IFERROR(__xludf.DUMMYFUNCTION("""COMPUTED_VALUE"""),"Daniela Flávia Silva Alves | Letras Port./Ing. | Aprovado | Estella: faltando colocar nome da escola na Carta de Aceite presente nos anexos, apenas.// Bárbara: Conferido e arquivado em 16/09/2020")</f>
        <v>Daniela Flávia Silva Alves | Letras Port./Ing. | Aprovado | Estella: faltando colocar nome da escola na Carta de Aceite presente nos anexos, apenas.// Bárbara: Conferido e arquivado em 16/09/2020</v>
      </c>
      <c r="B889" s="93"/>
    </row>
    <row r="890">
      <c r="A890" s="384" t="str">
        <f>IFERROR(__xludf.DUMMYFUNCTION("""COMPUTED_VALUE"""),"Daniela Flávia Silva Alves | Psicopedagogia Institucional E Clínica | Aprovada | Bianca: aprovada //Júnio: conferido e arquivado: 30/06/2021")</f>
        <v>Daniela Flávia Silva Alves | Psicopedagogia Institucional E Clínica | Aprovada | Bianca: aprovada //Júnio: conferido e arquivado: 30/06/2021</v>
      </c>
      <c r="B890" s="93"/>
    </row>
    <row r="891">
      <c r="A891" s="384" t="str">
        <f>IFERROR(__xludf.DUMMYFUNCTION("""COMPUTED_VALUE"""),"Daniela Gabriel Pacheco Castello Branco | Pedagogia | Aprovado | Aline Silva: apresentou declaração de experiência válida. // Bárbara: conferido e arquivado 13/10/2020")</f>
        <v>Daniela Gabriel Pacheco Castello Branco | Pedagogia | Aprovado | Aline Silva: apresentou declaração de experiência válida. // Bárbara: conferido e arquivado 13/10/2020</v>
      </c>
      <c r="B891" s="93"/>
    </row>
    <row r="892">
      <c r="A892" s="384" t="str">
        <f>IFERROR(__xludf.DUMMYFUNCTION("""COMPUTED_VALUE"""),"Daniela Macedo Diniz Dias Lacerda | Artes Visuais | Aprovado | APROVADO, 27/08.// VOLTOU PARA CORREÇÃO, organização de acordo com o modelo atual e textos em 1 pessoa.")</f>
        <v>Daniela Macedo Diniz Dias Lacerda | Artes Visuais | Aprovado | APROVADO, 27/08.// VOLTOU PARA CORREÇÃO, organização de acordo com o modelo atual e textos em 1 pessoa.</v>
      </c>
      <c r="B892" s="93"/>
    </row>
    <row r="893">
      <c r="A893" s="384" t="str">
        <f>IFERROR(__xludf.DUMMYFUNCTION("""COMPUTED_VALUE"""),"Daniela Machado Assef | Gformação Pedag. Pedagogia | Aprovada | Cris: PP aprovado")</f>
        <v>Daniela Machado Assef | Gformação Pedag. Pedagogia | Aprovada | Cris: PP aprovado</v>
      </c>
      <c r="B893" s="93"/>
    </row>
    <row r="894">
      <c r="A894" s="384" t="str">
        <f>IFERROR(__xludf.DUMMYFUNCTION("""COMPUTED_VALUE"""),"Daniela Mative Caires Giroto | Segunda Licenciatura Em Pedagogia | Aprovado | Rayssa pp aprovado")</f>
        <v>Daniela Mative Caires Giroto | Segunda Licenciatura Em Pedagogia | Aprovado | Rayssa pp aprovado</v>
      </c>
      <c r="B894" s="93"/>
    </row>
    <row r="895">
      <c r="A895" s="384" t="str">
        <f>IFERROR(__xludf.DUMMYFUNCTION("""COMPUTED_VALUE"""),"Daniela Minchio Andrez | Letras Português | Aprovado | Júnio: remoto antigo: 12% plágio, citação na conclusão, fazer sumário e anexar declaração. PRAZO 10 DIAS -15/04/2022 // Lucas: Aprovada no etágio remoto antigo com declaração de experiência. ")</f>
        <v>Daniela Minchio Andrez | Letras Português | Aprovado | Júnio: remoto antigo: 12% plágio, citação na conclusão, fazer sumário e anexar declaração. PRAZO 10 DIAS -15/04/2022 // Lucas: Aprovada no etágio remoto antigo com declaração de experiência. </v>
      </c>
      <c r="B895" s="93"/>
    </row>
    <row r="896">
      <c r="A896" s="384" t="str">
        <f>IFERROR(__xludf.DUMMYFUNCTION("""COMPUTED_VALUE"""),"Daniela Minchio Andrez | Egunda Licenciatura Em História | Aprovado | Rayssa pp aprovado")</f>
        <v>Daniela Minchio Andrez | Egunda Licenciatura Em História | Aprovado | Rayssa pp aprovado</v>
      </c>
      <c r="B896" s="93"/>
    </row>
    <row r="897">
      <c r="A897" s="384" t="str">
        <f>IFERROR(__xludf.DUMMYFUNCTION("""COMPUTED_VALUE"""),"Daniela Oenning Roman | Neuropsicopedagogia Institucional,Clínica E Hospitalar | Aprovado | Alexsiane: falta encaminhar as fichas de registro, termo de conclusão e a carta de apresentação// Edilaine: Pré- aprovada com lançamento no Sponte// Pâmela 17/11/2"&amp;"022 Conferido e arquivado.")</f>
        <v>Daniela Oenning Roman | Neuropsicopedagogia Institucional,Clínica E Hospitalar | Aprovado | Alexsiane: falta encaminhar as fichas de registro, termo de conclusão e a carta de apresentação// Edilaine: Pré- aprovada com lançamento no Sponte// Pâmela 17/11/2022 Conferido e arquivado.</v>
      </c>
      <c r="B897" s="93"/>
    </row>
    <row r="898">
      <c r="A898" s="384" t="str">
        <f>IFERROR(__xludf.DUMMYFUNCTION("""COMPUTED_VALUE"""),"Daniela Rodrigues De Araújo | Artes Visuais | Aprovada | Alexsiane: falta enviar as fichas de registro. Estágio padrão de 200 horas// Alexsiane: Pré-aprovado com lançamento no sponte 05/08/2022 //Júnio: físico conferido e arquivado: 09/08/22")</f>
        <v>Daniela Rodrigues De Araújo | Artes Visuais | Aprovada | Alexsiane: falta enviar as fichas de registro. Estágio padrão de 200 horas// Alexsiane: Pré-aprovado com lançamento no sponte 05/08/2022 //Júnio: físico conferido e arquivado: 09/08/22</v>
      </c>
      <c r="B898" s="93"/>
    </row>
    <row r="899">
      <c r="A899" s="384" t="str">
        <f>IFERROR(__xludf.DUMMYFUNCTION("""COMPUTED_VALUE"""),"Daniela Soares Ortolan | Ciências Sociais | Em análise  | Bárbara: Etapa 1 e 2 ok, falta introdução, conclusão e etapas 3 e 4 ")</f>
        <v>Daniela Soares Ortolan | Ciências Sociais | Em análise  | Bárbara: Etapa 1 e 2 ok, falta introdução, conclusão e etapas 3 e 4 </v>
      </c>
      <c r="B899" s="93"/>
    </row>
    <row r="900">
      <c r="A900" s="384" t="str">
        <f>IFERROR(__xludf.DUMMYFUNCTION("""COMPUTED_VALUE"""),"Daniela Vieira Mattos De Carvalho | Pedagogia | Aprovado | Bianca: Aprovada nas 4 etapas do remoto antigo")</f>
        <v>Daniela Vieira Mattos De Carvalho | Pedagogia | Aprovado | Bianca: Aprovada nas 4 etapas do remoto antigo</v>
      </c>
      <c r="B900" s="93"/>
    </row>
    <row r="901">
      <c r="A901" s="384" t="str">
        <f>IFERROR(__xludf.DUMMYFUNCTION("""COMPUTED_VALUE"""),"Daniele Barion Acero | Pedagogia | Aprovada | Júnio: remoto antigo - etapas 1,2 e 3 ok //Júnio: aprovada na aula online: 29/04/22")</f>
        <v>Daniele Barion Acero | Pedagogia | Aprovada | Júnio: remoto antigo - etapas 1,2 e 3 ok //Júnio: aprovada na aula online: 29/04/22</v>
      </c>
      <c r="B901" s="93"/>
    </row>
    <row r="902">
      <c r="A902" s="384" t="str">
        <f>IFERROR(__xludf.DUMMYFUNCTION("""COMPUTED_VALUE"""),"Daniele Bellin Gauderetto | Pedagogia | Aprovado | Thiara: aprovado")</f>
        <v>Daniele Bellin Gauderetto | Pedagogia | Aprovado | Thiara: aprovado</v>
      </c>
      <c r="B902" s="93"/>
    </row>
    <row r="903">
      <c r="A903" s="384" t="str">
        <f>IFERROR(__xludf.DUMMYFUNCTION("""COMPUTED_VALUE"""),"Daniele Coelho De Souza | Letras/Inglês | Aprovada | Edilaine: 3,34% de plágio. Tem que colocar o trabalho e o o plano de aula em nosso modelo padrão. Tem que especificar se o total de horas diárias é hora aula ou hora normal. OBS: tipo de acompanhamento "&amp;"ela colocou, as horas pedi que colocasse uma nota falando que era hora/aula //Júnio: pre aprovada: 15/06/23 - Júnio: aprovada: 22/06/23")</f>
        <v>Daniele Coelho De Souza | Letras/Inglês | Aprovada | Edilaine: 3,34% de plágio. Tem que colocar o trabalho e o o plano de aula em nosso modelo padrão. Tem que especificar se o total de horas diárias é hora aula ou hora normal. OBS: tipo de acompanhamento ela colocou, as horas pedi que colocasse uma nota falando que era hora/aula //Júnio: pre aprovada: 15/06/23 - Júnio: aprovada: 22/06/23</v>
      </c>
      <c r="B903" s="93"/>
    </row>
    <row r="904">
      <c r="A904" s="384" t="str">
        <f>IFERROR(__xludf.DUMMYFUNCTION("""COMPUTED_VALUE"""),"Daniele Coelho De Souza | Letras/Portugues | Aprovada | Júnio pre aprovada PRAZO: 22/05/23 //Júnio: aprovada: 31/05/23")</f>
        <v>Daniele Coelho De Souza | Letras/Portugues | Aprovada | Júnio pre aprovada PRAZO: 22/05/23 //Júnio: aprovada: 31/05/23</v>
      </c>
      <c r="B904" s="93"/>
    </row>
    <row r="905">
      <c r="A905" s="384" t="str">
        <f>IFERROR(__xludf.DUMMYFUNCTION("""COMPUTED_VALUE"""),"Daniele Santos Da Silva Marinho | Ciências Biológicas | Aprovado | Alexsiane: pp aprovado")</f>
        <v>Daniele Santos Da Silva Marinho | Ciências Biológicas | Aprovado | Alexsiane: pp aprovado</v>
      </c>
      <c r="B905" s="93"/>
    </row>
    <row r="906">
      <c r="A906" s="384" t="str">
        <f>IFERROR(__xludf.DUMMYFUNCTION("""COMPUTED_VALUE"""),"Daniele Tauane Souza De Melo | Letras Port Inglês | Aprovado | Aline Silva: recolher assinaturas e anexar demais fichas.// Aline Silva: aprovada dia 21/01/2020// Recebido dia 11/02/2020")</f>
        <v>Daniele Tauane Souza De Melo | Letras Port Inglês | Aprovado | Aline Silva: recolher assinaturas e anexar demais fichas.// Aline Silva: aprovada dia 21/01/2020// Recebido dia 11/02/2020</v>
      </c>
      <c r="B906" s="93"/>
    </row>
    <row r="907">
      <c r="A907" s="384" t="str">
        <f>IFERROR(__xludf.DUMMYFUNCTION("""COMPUTED_VALUE"""),"Daniele Tauane Souza De Melo | Segunda Licenciatura Em Ciências Sociais | Em análise | Rayssa PP escaneada| Falta etapa 1")</f>
        <v>Daniele Tauane Souza De Melo | Segunda Licenciatura Em Ciências Sociais | Em análise | Rayssa PP escaneada| Falta etapa 1</v>
      </c>
      <c r="B907" s="93"/>
    </row>
    <row r="908">
      <c r="A908" s="384" t="str">
        <f>IFERROR(__xludf.DUMMYFUNCTION("""COMPUTED_VALUE"""),"Daniella Andrade Arantes | Matemática | Aprovada | Bárbara: Conferido e arquivado em 16/09/2020")</f>
        <v>Daniella Andrade Arantes | Matemática | Aprovada | Bárbara: Conferido e arquivado em 16/09/2020</v>
      </c>
      <c r="B908" s="93"/>
    </row>
    <row r="909">
      <c r="A909" s="384" t="str">
        <f>IFERROR(__xludf.DUMMYFUNCTION("""COMPUTED_VALUE"""),"Daniella Andrade Gomes | Letras Port Inglês | Aprovado | Aline Silva: faltam separar as horas de obs e reg no ens médio e fundamental, e definir se são de obs ou de reg.// Aprovada dia 30/01/2020 solicitei que recolhesse as assinaturas de gestão e estrutu"&amp;"ra escolar // Recebido dia 11/02/2020")</f>
        <v>Daniella Andrade Gomes | Letras Port Inglês | Aprovado | Aline Silva: faltam separar as horas de obs e reg no ens médio e fundamental, e definir se são de obs ou de reg.// Aprovada dia 30/01/2020 solicitei que recolhesse as assinaturas de gestão e estrutura escolar // Recebido dia 11/02/2020</v>
      </c>
      <c r="B909" s="93"/>
    </row>
    <row r="910">
      <c r="A910" s="384" t="str">
        <f>IFERROR(__xludf.DUMMYFUNCTION("""COMPUTED_VALUE"""),"Danielle Batista De Mendonça Dos Santos | Pedagogia | Aprovada | Lucas:Falta Introdução, conclusão, e referencias //Júnio: aprovada: 31/01/2021")</f>
        <v>Danielle Batista De Mendonça Dos Santos | Pedagogia | Aprovada | Lucas:Falta Introdução, conclusão, e referencias //Júnio: aprovada: 31/01/2021</v>
      </c>
      <c r="B910" s="93"/>
    </row>
    <row r="911">
      <c r="A911" s="384" t="str">
        <f>IFERROR(__xludf.DUMMYFUNCTION("""COMPUTED_VALUE"""),"Danielle Carla De Godoy Souza | Pedagogia | Aprovada | Bianca: tce remoto atualizado ok, termo de conclusão ilegível, pedi para reenviar // Lucas: Aprovada no remoto atualizado. //Júnio: conferida e arquivada: 26/04/22")</f>
        <v>Danielle Carla De Godoy Souza | Pedagogia | Aprovada | Bianca: tce remoto atualizado ok, termo de conclusão ilegível, pedi para reenviar // Lucas: Aprovada no remoto atualizado. //Júnio: conferida e arquivada: 26/04/22</v>
      </c>
      <c r="B911" s="93"/>
    </row>
    <row r="912">
      <c r="A912" s="384" t="str">
        <f>IFERROR(__xludf.DUMMYFUNCTION("""COMPUTED_VALUE"""),"Danielle Dos Santos Nogueira | Letras/Inglês | Aprovada | Alexsiane: falta especificar nas fichas o tipo de acompanhamento e a serie// Alexsiane: Pre-aprovado com lançamento no Jacad  // Pâmela 21/11/22 Conferido e arquivado. ")</f>
        <v>Danielle Dos Santos Nogueira | Letras/Inglês | Aprovada | Alexsiane: falta especificar nas fichas o tipo de acompanhamento e a serie// Alexsiane: Pre-aprovado com lançamento no Jacad  // Pâmela 21/11/22 Conferido e arquivado. </v>
      </c>
      <c r="B912" s="93"/>
    </row>
    <row r="913">
      <c r="A913" s="384" t="str">
        <f>IFERROR(__xludf.DUMMYFUNCTION("""COMPUTED_VALUE"""),"Danielle Paganini Teixeira Da Silva | Psicopedagogia Institucional E Clínica | Aprovada | Bianca: Autorizada a recolher assinatura //Bianca: aprovada: 07/05/21 //Júnio: conferido e arquivado: 18/05/2021")</f>
        <v>Danielle Paganini Teixeira Da Silva | Psicopedagogia Institucional E Clínica | Aprovada | Bianca: Autorizada a recolher assinatura //Bianca: aprovada: 07/05/21 //Júnio: conferido e arquivado: 18/05/2021</v>
      </c>
      <c r="B913" s="93"/>
    </row>
    <row r="914">
      <c r="A914" s="384" t="str">
        <f>IFERROR(__xludf.DUMMYFUNCTION("""COMPUTED_VALUE"""),"Danielle Veronez Nandi | Letras - Português Inglês | Aprovado | Júnio: aprovada com lançamento no Sponte")</f>
        <v>Danielle Veronez Nandi | Letras - Português Inglês | Aprovado | Júnio: aprovada com lançamento no Sponte</v>
      </c>
      <c r="B914" s="93"/>
    </row>
    <row r="915">
      <c r="A915" s="384" t="str">
        <f>IFERROR(__xludf.DUMMYFUNCTION("""COMPUTED_VALUE"""),"Danielle Veronez Nandi | Letras Espanhol | Aprovada | Alexsiane: etapa 1,2e 4 ok, falta 11 planos de aula da 3° etapa. //Júnio: aprovada: 12/12/22")</f>
        <v>Danielle Veronez Nandi | Letras Espanhol | Aprovada | Alexsiane: etapa 1,2e 4 ok, falta 11 planos de aula da 3° etapa. //Júnio: aprovada: 12/12/22</v>
      </c>
      <c r="B915" s="93"/>
    </row>
    <row r="916">
      <c r="A916" s="384" t="str">
        <f>IFERROR(__xludf.DUMMYFUNCTION("""COMPUTED_VALUE"""),"Danielly Ohana Ribeiro Araujo Oliveira | Matemática | Aprovada | Bianca:Aprovada com lançamento no sponte")</f>
        <v>Danielly Ohana Ribeiro Araujo Oliveira | Matemática | Aprovada | Bianca:Aprovada com lançamento no sponte</v>
      </c>
      <c r="B916" s="93"/>
    </row>
    <row r="917">
      <c r="A917" s="384" t="str">
        <f>IFERROR(__xludf.DUMMYFUNCTION("""COMPUTED_VALUE"""),"Danielly Sousa Campelo | Pedagogia | Em análise | Matheus: Falta BNCC, 10 competências, Entrevista e Carta, acesso expirado.")</f>
        <v>Danielly Sousa Campelo | Pedagogia | Em análise | Matheus: Falta BNCC, 10 competências, Entrevista e Carta, acesso expirado.</v>
      </c>
      <c r="B917" s="93"/>
    </row>
    <row r="918">
      <c r="A918" s="384" t="str">
        <f>IFERROR(__xludf.DUMMYFUNCTION("""COMPUTED_VALUE"""),"Danila Pereira Borges Chenci | História | Aprovada | Lucas: Plágio 12,55%, anexar os 20 planos de aula e declaração de experiência (valida), realziar termos pré e pós textuais, ee realizar a formatação. //Júnio: aprovada: 21/10/22")</f>
        <v>Danila Pereira Borges Chenci | História | Aprovada | Lucas: Plágio 12,55%, anexar os 20 planos de aula e declaração de experiência (valida), realziar termos pré e pós textuais, ee realizar a formatação. //Júnio: aprovada: 21/10/22</v>
      </c>
      <c r="B918" s="93"/>
    </row>
    <row r="919">
      <c r="A919" s="384" t="str">
        <f>IFERROR(__xludf.DUMMYFUNCTION("""COMPUTED_VALUE"""),"Danilo Américo Pereira Da Silva | Letras-Português/Inglês | Aprovado | Alexsiane: está faltando a tipo de atividades na ficha, termo de conclusão e carta de apresentação. //Júnio: aprovado: 14/04/22 //Júnio:conferido e arquivado: 03/05/2022")</f>
        <v>Danilo Américo Pereira Da Silva | Letras-Português/Inglês | Aprovado | Alexsiane: está faltando a tipo de atividades na ficha, termo de conclusão e carta de apresentação. //Júnio: aprovado: 14/04/22 //Júnio:conferido e arquivado: 03/05/2022</v>
      </c>
      <c r="B919" s="93"/>
    </row>
    <row r="920">
      <c r="A920" s="384" t="str">
        <f>IFERROR(__xludf.DUMMYFUNCTION("""COMPUTED_VALUE"""),"Danilo Américo Pereira Da Silva | Pedagogia | aprovado | Aline Silva: aprovado com as horas de gestão com comprovante de cargo efetivo, conforme autorização da Ana.// Recebido dia 19/03/2020")</f>
        <v>Danilo Américo Pereira Da Silva | Pedagogia | aprovado | Aline Silva: aprovado com as horas de gestão com comprovante de cargo efetivo, conforme autorização da Ana.// Recebido dia 19/03/2020</v>
      </c>
      <c r="B920" s="93"/>
    </row>
    <row r="921">
      <c r="A921" s="384" t="str">
        <f>IFERROR(__xludf.DUMMYFUNCTION("""COMPUTED_VALUE"""),"Danilo De Araújo Nogueira | Pedagogia | Aprovado | Bianca: elaborou apenas 2 planos de aulas //Júnio: aprovado na aula online 18/01/22")</f>
        <v>Danilo De Araújo Nogueira | Pedagogia | Aprovado | Bianca: elaborou apenas 2 planos de aulas //Júnio: aprovado na aula online 18/01/22</v>
      </c>
      <c r="B921" s="93"/>
    </row>
    <row r="922">
      <c r="A922" s="384" t="str">
        <f>IFERROR(__xludf.DUMMYFUNCTION("""COMPUTED_VALUE"""),"Danilo De Moura Davi | Música | Aprovado | Júnio: PP - falta a carta de apresentação. //Júnio: aprovado: 28/11/23")</f>
        <v>Danilo De Moura Davi | Música | Aprovado | Júnio: PP - falta a carta de apresentação. //Júnio: aprovado: 28/11/23</v>
      </c>
      <c r="B922" s="93"/>
    </row>
    <row r="923">
      <c r="A923" s="384" t="str">
        <f>IFERROR(__xludf.DUMMYFUNCTION("""COMPUTED_VALUE"""),"Danilo Ferreira Soares | Letras Português-Inglês | Aprovado | Alexsiane: pp aprovado")</f>
        <v>Danilo Ferreira Soares | Letras Português-Inglês | Aprovado | Alexsiane: pp aprovado</v>
      </c>
      <c r="B923" s="93"/>
    </row>
    <row r="924">
      <c r="A924" s="384" t="str">
        <f>IFERROR(__xludf.DUMMYFUNCTION("""COMPUTED_VALUE"""),"Danilo Francisco Pereira Da Costa | Ciências Sociais | Aprovado | Alexsiane: falta autoavaliação, termo de conclusçao, carta de apresentação e fichas de registro 09/11/2022 para reenviar  //Júnio: aprovado: 01/09/23")</f>
        <v>Danilo Francisco Pereira Da Costa | Ciências Sociais | Aprovado | Alexsiane: falta autoavaliação, termo de conclusçao, carta de apresentação e fichas de registro 09/11/2022 para reenviar  //Júnio: aprovado: 01/09/23</v>
      </c>
      <c r="B924" s="93"/>
    </row>
    <row r="925">
      <c r="A925" s="384" t="str">
        <f>IFERROR(__xludf.DUMMYFUNCTION("""COMPUTED_VALUE"""),"Danyela Dreissig | Pedagogia | Aprovado | Alexsiane: pp aprovado")</f>
        <v>Danyela Dreissig | Pedagogia | Aprovado | Alexsiane: pp aprovado</v>
      </c>
      <c r="B925" s="93"/>
    </row>
    <row r="926">
      <c r="A926" s="384" t="str">
        <f>IFERROR(__xludf.DUMMYFUNCTION("""COMPUTED_VALUE"""),"Dara Nathieli Cidreira Bigoni Veiga | Educação Física | Aprovada | Bianca: aprovada nas 3 1° etapas do remoto antigo //Júnio: aprovada na aula online 20/05/22")</f>
        <v>Dara Nathieli Cidreira Bigoni Veiga | Educação Física | Aprovada | Bianca: aprovada nas 3 1° etapas do remoto antigo //Júnio: aprovada na aula online 20/05/22</v>
      </c>
      <c r="B926" s="93"/>
    </row>
    <row r="927">
      <c r="A927" s="384" t="str">
        <f>IFERROR(__xludf.DUMMYFUNCTION("""COMPUTED_VALUE"""),"Darcilene Rodrigues De Souza | Pedagogia | Aprovada | Júnio: remoto antigo - faltam 18 planos de aula PRAZO: 04/07/22 //Júnio: aprovada: 14/09/22")</f>
        <v>Darcilene Rodrigues De Souza | Pedagogia | Aprovada | Júnio: remoto antigo - faltam 18 planos de aula PRAZO: 04/07/22 //Júnio: aprovada: 14/09/22</v>
      </c>
      <c r="B927" s="93"/>
    </row>
    <row r="928">
      <c r="A928" s="384" t="str">
        <f>IFERROR(__xludf.DUMMYFUNCTION("""COMPUTED_VALUE"""),"Darianna Laura Da Silva | Letras Português | Aprovada | Júnio: PP 9% plágio, falta a carta de apresentação e responder o questionário //Júnio: aprovada: 06/10/2023")</f>
        <v>Darianna Laura Da Silva | Letras Português | Aprovada | Júnio: PP 9% plágio, falta a carta de apresentação e responder o questionário //Júnio: aprovada: 06/10/2023</v>
      </c>
      <c r="B928" s="93"/>
    </row>
    <row r="929">
      <c r="A929" s="384" t="str">
        <f>IFERROR(__xludf.DUMMYFUNCTION("""COMPUTED_VALUE"""),"Darianna Laura Da Silva | Pedagogia Formação Pedagógica* | Aprovada | Júnio - PP: etapa I é igual a do estágio de letras portugues tera que refazer, falta a carta e responder questionario na plataforma PCC I, II, III e IV: falta enviar //Júnio: PP aprovad"&amp;"a: 06/11/23")</f>
        <v>Darianna Laura Da Silva | Pedagogia Formação Pedagógica* | Aprovada | Júnio - PP: etapa I é igual a do estágio de letras portugues tera que refazer, falta a carta e responder questionario na plataforma PCC I, II, III e IV: falta enviar //Júnio: PP aprovada: 06/11/23</v>
      </c>
      <c r="B929" s="93"/>
    </row>
    <row r="930">
      <c r="A930" s="384" t="str">
        <f>IFERROR(__xludf.DUMMYFUNCTION("""COMPUTED_VALUE"""),"Darildo Paulino | Pedagogia Para Bachareis E Tecnologos | Aprovado | Júnio- PCC I, II, III e IV: ok  PP: falta enviar //Júnio: aprovado: 02/10/23")</f>
        <v>Darildo Paulino | Pedagogia Para Bachareis E Tecnologos | Aprovado | Júnio- PCC I, II, III e IV: ok  PP: falta enviar //Júnio: aprovado: 02/10/23</v>
      </c>
      <c r="B930" s="93"/>
    </row>
    <row r="931">
      <c r="A931" s="384" t="str">
        <f>IFERROR(__xludf.DUMMYFUNCTION("""COMPUTED_VALUE"""),"Darildo Paulino | Letras Português Inglês | Aprovado | Júnio: PP aprovado")</f>
        <v>Darildo Paulino | Letras Português Inglês | Aprovado | Júnio: PP aprovado</v>
      </c>
      <c r="B931" s="93"/>
    </row>
    <row r="932">
      <c r="A932" s="384" t="str">
        <f>IFERROR(__xludf.DUMMYFUNCTION("""COMPUTED_VALUE"""),"Dario Ferreira Duarte | Música | Aprovado | Júnio: PP aprovado")</f>
        <v>Dario Ferreira Duarte | Música | Aprovado | Júnio: PP aprovado</v>
      </c>
      <c r="B932" s="93"/>
    </row>
    <row r="933">
      <c r="A933" s="384" t="str">
        <f>IFERROR(__xludf.DUMMYFUNCTION("""COMPUTED_VALUE"""),"Dario Neves De Almeida | Matematica | Aprovado | Júnio: TCE padrão antigo 300 horas - consertar horarios diarios nas fichas pois varios dias estão ultrapassando 6 horas, colocar as series emobservação e regencia e corrigir rasuras nas fichas.// Alexsiane:"&amp;"pré-aprovado com lanaçamento no sponte // Pamela 04/04/23 Conferido e arquivado a autenticação. ")</f>
        <v>Dario Neves De Almeida | Matematica | Aprovado | Júnio: TCE padrão antigo 300 horas - consertar horarios diarios nas fichas pois varios dias estão ultrapassando 6 horas, colocar as series emobservação e regencia e corrigir rasuras nas fichas.// Alexsiane:pré-aprovado com lanaçamento no sponte // Pamela 04/04/23 Conferido e arquivado a autenticação. </v>
      </c>
      <c r="B933" s="93"/>
    </row>
    <row r="934">
      <c r="A934" s="384" t="str">
        <f>IFERROR(__xludf.DUMMYFUNCTION("""COMPUTED_VALUE"""),"Darques Celso Domingues Leite | Música | Aprovado | Júnio: colocar o total de horas no termo de conclusão, especificar nas fichas de registro o tipo de acompanhamento e série, fez mais de 6 hs por dia. //Pré aprovado: 11/09/23 //Júnio: aprovado: 19/09/23")</f>
        <v>Darques Celso Domingues Leite | Música | Aprovado | Júnio: colocar o total de horas no termo de conclusão, especificar nas fichas de registro o tipo de acompanhamento e série, fez mais de 6 hs por dia. //Pré aprovado: 11/09/23 //Júnio: aprovado: 19/09/23</v>
      </c>
      <c r="B934" s="93"/>
    </row>
    <row r="935">
      <c r="A935" s="384" t="str">
        <f>IFERROR(__xludf.DUMMYFUNCTION("""COMPUTED_VALUE"""),"Dassayew Klelwin De Vasconcelos Rocha | História | Aprovado | Júnio: PP - falta a etapa 2. //Júnio: aprovado: 28/12/23")</f>
        <v>Dassayew Klelwin De Vasconcelos Rocha | História | Aprovado | Júnio: PP - falta a etapa 2. //Júnio: aprovado: 28/12/23</v>
      </c>
      <c r="B935" s="93"/>
    </row>
    <row r="936">
      <c r="A936" s="384" t="str">
        <f>IFERROR(__xludf.DUMMYFUNCTION("""COMPUTED_VALUE"""),"David Eduardo Luzetti Filho | Pedagogia | Aprovado | Edilaine: Aprovado com lançamento no Sponte.")</f>
        <v>David Eduardo Luzetti Filho | Pedagogia | Aprovado | Edilaine: Aprovado com lançamento no Sponte.</v>
      </c>
      <c r="B936" s="93"/>
    </row>
    <row r="937">
      <c r="A937" s="384" t="str">
        <f>IFERROR(__xludf.DUMMYFUNCTION("""COMPUTED_VALUE"""),"David Gomes Carvalho | Pedagogia | em análise | Alexsiane: 16% de plágio e enviar entrevista digitado no word. 02/09 reenviar")</f>
        <v>David Gomes Carvalho | Pedagogia | em análise | Alexsiane: 16% de plágio e enviar entrevista digitado no word. 02/09 reenviar</v>
      </c>
      <c r="B937" s="93"/>
    </row>
    <row r="938">
      <c r="A938" s="384" t="str">
        <f>IFERROR(__xludf.DUMMYFUNCTION("""COMPUTED_VALUE"""),"David Gomes Carvalho | Segunda Licenciatura Letras - Inglês | Análise | Rayssa Falta PP completa")</f>
        <v>David Gomes Carvalho | Segunda Licenciatura Letras - Inglês | Análise | Rayssa Falta PP completa</v>
      </c>
      <c r="B938" s="93"/>
    </row>
    <row r="939">
      <c r="A939" s="384" t="str">
        <f>IFERROR(__xludf.DUMMYFUNCTION("""COMPUTED_VALUE"""),"David Santos | Pedagogia | Aprovado | Júnio: remoto atualizado - Faltam 9 planos de aulas ( enviar os planos em arquivo digitado), falta carta de apresentação e ficha de registro// Edilaine 30/11/2022 pré aprovado com lançamento no sponte // Pamela 13/01/"&amp;"2022 Conferido e arquivado. ")</f>
        <v>David Santos | Pedagogia | Aprovado | Júnio: remoto atualizado - Faltam 9 planos de aulas ( enviar os planos em arquivo digitado), falta carta de apresentação e ficha de registro// Edilaine 30/11/2022 pré aprovado com lançamento no sponte // Pamela 13/01/2022 Conferido e arquivado. </v>
      </c>
      <c r="B939" s="93"/>
    </row>
    <row r="940">
      <c r="A940" s="384" t="str">
        <f>IFERROR(__xludf.DUMMYFUNCTION("""COMPUTED_VALUE"""),"Davyd Angelo Biondo | Artes Visuais | Aprovado | Bianca: aprovada nas 4 etapas do remoto antigo")</f>
        <v>Davyd Angelo Biondo | Artes Visuais | Aprovado | Bianca: aprovada nas 4 etapas do remoto antigo</v>
      </c>
      <c r="B940" s="93"/>
    </row>
    <row r="941">
      <c r="A941" s="384" t="str">
        <f>IFERROR(__xludf.DUMMYFUNCTION("""COMPUTED_VALUE"""),"Davyd Angelo Biondo | Letras Inglês | Aprovado | Bianca: aprovada nas 4 etapas do remoto antigo")</f>
        <v>Davyd Angelo Biondo | Letras Inglês | Aprovado | Bianca: aprovada nas 4 etapas do remoto antigo</v>
      </c>
      <c r="B941" s="93"/>
    </row>
    <row r="942">
      <c r="A942" s="384" t="str">
        <f>IFERROR(__xludf.DUMMYFUNCTION("""COMPUTED_VALUE"""),"Dayane Aparecida Teixeira | Pedagogia | Aprovada | Alexsiane: falta o vídeo da 4° etapa. //Júnio: aprovada na aula: 10/05/22")</f>
        <v>Dayane Aparecida Teixeira | Pedagogia | Aprovada | Alexsiane: falta o vídeo da 4° etapa. //Júnio: aprovada na aula: 10/05/22</v>
      </c>
      <c r="B942" s="93"/>
    </row>
    <row r="943">
      <c r="A943" s="384" t="str">
        <f>IFERROR(__xludf.DUMMYFUNCTION("""COMPUTED_VALUE"""),"Dayane Cardoso Da Silva | Pedagogia | Aprovada | Júnio: pré aprovada no remoto antigo //Júnio: físico conferido e arquivado: 28/10/22")</f>
        <v>Dayane Cardoso Da Silva | Pedagogia | Aprovada | Júnio: pré aprovada no remoto antigo //Júnio: físico conferido e arquivado: 28/10/22</v>
      </c>
      <c r="B943" s="93"/>
    </row>
    <row r="944">
      <c r="A944" s="384" t="str">
        <f>IFERROR(__xludf.DUMMYFUNCTION("""COMPUTED_VALUE"""),"Dayane Da Silva Guimarães | Letras Inglês | Aprovada | Amélia: Aprovada nas 4 etapas //Júnio: conferido e arquivado: 12/08/21")</f>
        <v>Dayane Da Silva Guimarães | Letras Inglês | Aprovada | Amélia: Aprovada nas 4 etapas //Júnio: conferido e arquivado: 12/08/21</v>
      </c>
      <c r="B944" s="93"/>
    </row>
    <row r="945">
      <c r="A945" s="384" t="str">
        <f>IFERROR(__xludf.DUMMYFUNCTION("""COMPUTED_VALUE"""),"Dayane Santos Silva | Letras Inglês | Aprovada | Amélia: aprovado nas 3 primeiras etapas e apresentou declaração de experiencia válida")</f>
        <v>Dayane Santos Silva | Letras Inglês | Aprovada | Amélia: aprovado nas 3 primeiras etapas e apresentou declaração de experiencia válida</v>
      </c>
      <c r="B945" s="93"/>
    </row>
    <row r="946">
      <c r="A946" s="384" t="str">
        <f>IFERROR(__xludf.DUMMYFUNCTION("""COMPUTED_VALUE"""),"Dayane Santos Silva | Pedagogia | Aprovado | Aprovado /// Recebido no Instituto dia 22/10/201")</f>
        <v>Dayane Santos Silva | Pedagogia | Aprovado | Aprovado /// Recebido no Instituto dia 22/10/201</v>
      </c>
      <c r="B946" s="93"/>
    </row>
    <row r="947">
      <c r="A947" s="384" t="str">
        <f>IFERROR(__xludf.DUMMYFUNCTION("""COMPUTED_VALUE"""),"Dayse Rodrigues | Matemática | Aprovado | Bárbara: aprovado etapas 1, 2 e 3 do remoto. // Bárbara: aprovada 13/01/2021")</f>
        <v>Dayse Rodrigues | Matemática | Aprovado | Bárbara: aprovado etapas 1, 2 e 3 do remoto. // Bárbara: aprovada 13/01/2021</v>
      </c>
      <c r="B947" s="93"/>
    </row>
    <row r="948">
      <c r="A948" s="384" t="str">
        <f>IFERROR(__xludf.DUMMYFUNCTION("""COMPUTED_VALUE"""),"Débora Cristina Cruz | Matemática | aprovado | Edilaine: Tem que especificar a série e fazer 30 horas de gestão.//Alexsiane: Pré-aprovado, autorizada a autenticar//Alexsiane: aprovada com lançamento no sponte 12/04/2023")</f>
        <v>Débora Cristina Cruz | Matemática | aprovado | Edilaine: Tem que especificar a série e fazer 30 horas de gestão.//Alexsiane: Pré-aprovado, autorizada a autenticar//Alexsiane: aprovada com lançamento no sponte 12/04/2023</v>
      </c>
      <c r="B948" s="93"/>
    </row>
    <row r="949">
      <c r="A949" s="384" t="str">
        <f>IFERROR(__xludf.DUMMYFUNCTION("""COMPUTED_VALUE"""),"Débora Cristina Guimarães Brunetto | Psicopedagogia Institucional E Clínica | Aprovada | Edilaine: Tem que fazer o relatório das ações, tem que especificar o tipo de acompanhamento na ficha e especificar o total de horas cumpridas. //Júnio: pre aprovada: "&amp;"09/05/23 //Júnio: aprovada: 30/05/2023")</f>
        <v>Débora Cristina Guimarães Brunetto | Psicopedagogia Institucional E Clínica | Aprovada | Edilaine: Tem que fazer o relatório das ações, tem que especificar o tipo de acompanhamento na ficha e especificar o total de horas cumpridas. //Júnio: pre aprovada: 09/05/23 //Júnio: aprovada: 30/05/2023</v>
      </c>
      <c r="B949" s="93"/>
    </row>
    <row r="950">
      <c r="A950" s="384" t="str">
        <f>IFERROR(__xludf.DUMMYFUNCTION("""COMPUTED_VALUE"""),"Débora Lachner | Pedagogia | Aprovada | Júnio: PP aprovada")</f>
        <v>Débora Lachner | Pedagogia | Aprovada | Júnio: PP aprovada</v>
      </c>
      <c r="B950" s="93"/>
    </row>
    <row r="951">
      <c r="A951" s="384" t="str">
        <f>IFERROR(__xludf.DUMMYFUNCTION("""COMPUTED_VALUE"""),"Débora Lais Mota Soares Lopes | Filosofia | Aprovada | Bianca: autorizada a enviar físico //Alexsiane:Conferido e arquivado 14/03/2022")</f>
        <v>Débora Lais Mota Soares Lopes | Filosofia | Aprovada | Bianca: autorizada a enviar físico //Alexsiane:Conferido e arquivado 14/03/2022</v>
      </c>
      <c r="B951" s="93"/>
    </row>
    <row r="952">
      <c r="A952" s="384" t="str">
        <f>IFERROR(__xludf.DUMMYFUNCTION("""COMPUTED_VALUE"""),"Debora Silene Fonseca De Andrade | História | Aprovado | Alexsiane: pp aprovado")</f>
        <v>Debora Silene Fonseca De Andrade | História | Aprovado | Alexsiane: pp aprovado</v>
      </c>
      <c r="B952" s="93"/>
    </row>
    <row r="953">
      <c r="A953" s="384" t="str">
        <f>IFERROR(__xludf.DUMMYFUNCTION("""COMPUTED_VALUE"""),"Débora Silvestre De Oliveira | Artes Visuais | Aprovada | Bianca: aprovada nas 4 etapas")</f>
        <v>Débora Silvestre De Oliveira | Artes Visuais | Aprovada | Bianca: aprovada nas 4 etapas</v>
      </c>
      <c r="B953" s="93"/>
    </row>
    <row r="954">
      <c r="A954" s="384" t="str">
        <f>IFERROR(__xludf.DUMMYFUNCTION("""COMPUTED_VALUE"""),"Débora Vanessa Rocha Alves Amancio | Educação Física | Aprovado | Alexsiane: falta a entrevista e a carta de apresentação preenchida.// Alexsiane: pp aprovado")</f>
        <v>Débora Vanessa Rocha Alves Amancio | Educação Física | Aprovado | Alexsiane: falta a entrevista e a carta de apresentação preenchida.// Alexsiane: pp aprovado</v>
      </c>
      <c r="B954" s="93"/>
    </row>
    <row r="955">
      <c r="A955" s="384" t="str">
        <f>IFERROR(__xludf.DUMMYFUNCTION("""COMPUTED_VALUE"""),"Déborah Cardoso Meireles Marques | Ciências Sociais | Aprovada | Júnio: pelo guru declaração de experiencia válida //Júnio: aprovada: 05/12/23")</f>
        <v>Déborah Cardoso Meireles Marques | Ciências Sociais | Aprovada | Júnio: pelo guru declaração de experiencia válida //Júnio: aprovada: 05/12/23</v>
      </c>
      <c r="B955" s="93"/>
    </row>
    <row r="956">
      <c r="A956" s="384" t="str">
        <f>IFERROR(__xludf.DUMMYFUNCTION("""COMPUTED_VALUE"""),"Deborah Macaron Castanha | Letras- Português E Ingles | Aprovada | Júnio: consertar a ficha de registro e fazer todas as etapas do remoto atualizado //Júnio: aprovada 07/01/2022 //Júnio: conferida e arquivada: 21/01/22")</f>
        <v>Deborah Macaron Castanha | Letras- Português E Ingles | Aprovada | Júnio: consertar a ficha de registro e fazer todas as etapas do remoto atualizado //Júnio: aprovada 07/01/2022 //Júnio: conferida e arquivada: 21/01/22</v>
      </c>
      <c r="B956" s="93"/>
    </row>
    <row r="957">
      <c r="A957" s="384" t="str">
        <f>IFERROR(__xludf.DUMMYFUNCTION("""COMPUTED_VALUE"""),"Décio De Freitas Junior | Pedagogia | Aprovado | Bárbara: aprovado tres etapas do remoto, e aguardando última // Aline: aprovado 30/12/2020")</f>
        <v>Décio De Freitas Junior | Pedagogia | Aprovado | Bárbara: aprovado tres etapas do remoto, e aguardando última // Aline: aprovado 30/12/2020</v>
      </c>
      <c r="B957" s="93"/>
    </row>
    <row r="958">
      <c r="A958" s="384" t="str">
        <f>IFERROR(__xludf.DUMMYFUNCTION("""COMPUTED_VALUE"""),"Deise Monteiro Nunes | Pedagogia | Aprovada | Júnio: remoto antigo - aprovada")</f>
        <v>Deise Monteiro Nunes | Pedagogia | Aprovada | Júnio: remoto antigo - aprovada</v>
      </c>
      <c r="B958" s="93"/>
    </row>
    <row r="959">
      <c r="A959" s="384" t="str">
        <f>IFERROR(__xludf.DUMMYFUNCTION("""COMPUTED_VALUE"""),"Deivid Rafael Dos Anjos | Letras-Ingês | Em análise | Alexsiane: enviou a declaração de experiência para analisar foi aceita Padrão  de 200 horas")</f>
        <v>Deivid Rafael Dos Anjos | Letras-Ingês | Em análise | Alexsiane: enviou a declaração de experiência para analisar foi aceita Padrão  de 200 horas</v>
      </c>
      <c r="B959" s="93"/>
    </row>
    <row r="960">
      <c r="A960" s="384" t="str">
        <f>IFERROR(__xludf.DUMMYFUNCTION("""COMPUTED_VALUE"""),"Dejailson Luiz Carolino | Música | Aprovado | Matheus: Carta precisa de dados manuscritos, Entrevista deverá ser digitada//Alexsiane: pp aprovado")</f>
        <v>Dejailson Luiz Carolino | Música | Aprovado | Matheus: Carta precisa de dados manuscritos, Entrevista deverá ser digitada//Alexsiane: pp aprovado</v>
      </c>
      <c r="B960" s="93"/>
    </row>
    <row r="961">
      <c r="A961" s="384" t="str">
        <f>IFERROR(__xludf.DUMMYFUNCTION("""COMPUTED_VALUE"""),"Dejane Mascarenhas Araujo | Pedagogia | Aprovado | Júnio: PP - falta a etapa 2.// Alexsiane: pp aprovado 16/05")</f>
        <v>Dejane Mascarenhas Araujo | Pedagogia | Aprovado | Júnio: PP - falta a etapa 2.// Alexsiane: pp aprovado 16/05</v>
      </c>
      <c r="B961" s="93"/>
    </row>
    <row r="962">
      <c r="A962" s="384" t="str">
        <f>IFERROR(__xludf.DUMMYFUNCTION("""COMPUTED_VALUE"""),"Delair Rodrigues | Pedagogia | Aprovada | Júnio: PP - falta a etapa 1. //Júnio: PP aprovada 20/09/23")</f>
        <v>Delair Rodrigues | Pedagogia | Aprovada | Júnio: PP - falta a etapa 1. //Júnio: PP aprovada 20/09/23</v>
      </c>
      <c r="B962" s="93"/>
    </row>
    <row r="963">
      <c r="A963" s="384" t="str">
        <f>IFERROR(__xludf.DUMMYFUNCTION("""COMPUTED_VALUE"""),"Délcia Cristina De Oliveira | História | Em análise | Lucas:fez só etapa 1 e 2, Complementar planos de aula, realizar todos os termos pré e pós textuais")</f>
        <v>Délcia Cristina De Oliveira | História | Em análise | Lucas:fez só etapa 1 e 2, Complementar planos de aula, realizar todos os termos pré e pós textuais</v>
      </c>
      <c r="B963" s="93"/>
    </row>
    <row r="964">
      <c r="A964" s="384" t="str">
        <f>IFERROR(__xludf.DUMMYFUNCTION("""COMPUTED_VALUE"""),"Delcilene Reis Guerreiro | Neuropsicopedagogia Clínica | Em análise | Júnio: Estudo de caso veio em formato de imagem, pedi para enviar digitado com todas as etapas PRAZO: 12/01/23")</f>
        <v>Delcilene Reis Guerreiro | Neuropsicopedagogia Clínica | Em análise | Júnio: Estudo de caso veio em formato de imagem, pedi para enviar digitado com todas as etapas PRAZO: 12/01/23</v>
      </c>
      <c r="B964" s="93"/>
    </row>
    <row r="965">
      <c r="A965" s="384" t="str">
        <f>IFERROR(__xludf.DUMMYFUNCTION("""COMPUTED_VALUE"""),"Delio Luis Da Silva | Educação Física | Aprovado | Alexsiane: PADRÃO ANTIGO 300 HORAS - falta todas as etapas dissertativas, Termo de Conclusão e fazer uma tabelinha com as respectivas datas e tipo de acompanhamento  até dia 27/01/23 para reenviar //Júnio"&amp;": aprovado: 20/12/2023")</f>
        <v>Delio Luis Da Silva | Educação Física | Aprovado | Alexsiane: PADRÃO ANTIGO 300 HORAS - falta todas as etapas dissertativas, Termo de Conclusão e fazer uma tabelinha com as respectivas datas e tipo de acompanhamento  até dia 27/01/23 para reenviar //Júnio: aprovado: 20/12/2023</v>
      </c>
      <c r="B965" s="93"/>
    </row>
    <row r="966">
      <c r="A966" s="384" t="str">
        <f>IFERROR(__xludf.DUMMYFUNCTION("""COMPUTED_VALUE"""),"Demilson Rodrigues Da Mota Junior | Filosofia | Aprovado | Júnio: descrever quais os temas na observação //Júnio:aprovado: 05/11/2021 //Júnio: conferido e arquivado: 19/11/2021")</f>
        <v>Demilson Rodrigues Da Mota Junior | Filosofia | Aprovado | Júnio: descrever quais os temas na observação //Júnio:aprovado: 05/11/2021 //Júnio: conferido e arquivado: 19/11/2021</v>
      </c>
      <c r="B966" s="93"/>
    </row>
    <row r="967">
      <c r="A967" s="384" t="str">
        <f>IFERROR(__xludf.DUMMYFUNCTION("""COMPUTED_VALUE"""),"Demilson Rodrigues Da Mota Junior | Geografia | Aprovado | Bárbara: autorizada a recolher assinaturas e pedi para enviar digitalizado. // Bárbara: aprovado e pedi para enviar físico // Bárbara: conferido e arquivado 22/12/2020")</f>
        <v>Demilson Rodrigues Da Mota Junior | Geografia | Aprovado | Bárbara: autorizada a recolher assinaturas e pedi para enviar digitalizado. // Bárbara: aprovado e pedi para enviar físico // Bárbara: conferido e arquivado 22/12/2020</v>
      </c>
      <c r="B967" s="93"/>
    </row>
    <row r="968">
      <c r="A968" s="384" t="str">
        <f>IFERROR(__xludf.DUMMYFUNCTION("""COMPUTED_VALUE"""),"Demilson Rodrigues Da Mota Junior | Pedagogia | Aprovado | Júnio: PP aprovado")</f>
        <v>Demilson Rodrigues Da Mota Junior | Pedagogia | Aprovado | Júnio: PP aprovado</v>
      </c>
      <c r="B968" s="93"/>
    </row>
    <row r="969">
      <c r="A969" s="384" t="str">
        <f>IFERROR(__xludf.DUMMYFUNCTION("""COMPUTED_VALUE"""),"Denia Inácia Vieira Lopes | Psicopedagogia Clínica, Institucional E Hospitalar | Pré aprovada | Alexsiane: falta especificar nas fichas o tipo de acompanhamento e colocar os dias em quadradinhos diferentes. Júnio: pre aprovada: 05/05/23")</f>
        <v>Denia Inácia Vieira Lopes | Psicopedagogia Clínica, Institucional E Hospitalar | Pré aprovada | Alexsiane: falta especificar nas fichas o tipo de acompanhamento e colocar os dias em quadradinhos diferentes. Júnio: pre aprovada: 05/05/23</v>
      </c>
      <c r="B969" s="93"/>
    </row>
    <row r="970">
      <c r="A970" s="384" t="str">
        <f>IFERROR(__xludf.DUMMYFUNCTION("""COMPUTED_VALUE"""),"Denise Andrea Nobre Lopes | Letras - Português | Aprovado | Alexsiane: pp aprovado")</f>
        <v>Denise Andrea Nobre Lopes | Letras - Português | Aprovado | Alexsiane: pp aprovado</v>
      </c>
      <c r="B970" s="93"/>
    </row>
    <row r="971">
      <c r="A971" s="384" t="str">
        <f>IFERROR(__xludf.DUMMYFUNCTION("""COMPUTED_VALUE"""),"Denise Aparecida Pereira Freitas | Pedagogia | Aprovado | Aline silva: apresentou a contagem de tempo para abatimento da carga horária do estágio, foi aceita.// Bárbara: aprovada 12/11/2020")</f>
        <v>Denise Aparecida Pereira Freitas | Pedagogia | Aprovado | Aline silva: apresentou a contagem de tempo para abatimento da carga horária do estágio, foi aceita.// Bárbara: aprovada 12/11/2020</v>
      </c>
      <c r="B971" s="93"/>
    </row>
    <row r="972">
      <c r="A972" s="384" t="str">
        <f>IFERROR(__xludf.DUMMYFUNCTION("""COMPUTED_VALUE"""),"Denise Barbosa Da Silva | Historia | Aprovado | Lucas: Falta 19 planos de aula///Alexsiane:Aprovado com lançamento no Sponte")</f>
        <v>Denise Barbosa Da Silva | Historia | Aprovado | Lucas: Falta 19 planos de aula///Alexsiane:Aprovado com lançamento no Sponte</v>
      </c>
      <c r="B972" s="93"/>
    </row>
    <row r="973">
      <c r="A973" s="384" t="str">
        <f>IFERROR(__xludf.DUMMYFUNCTION("""COMPUTED_VALUE"""),"Denise Bruna Barbosa | Letras Port Ingl | Aprovado | Bárbara: aprovada nas 3 primeiras etapas do remoto // Bárbara: aprovada na 4ª etapa do estágio 03/02/2021// Bárbara: conferido e arquivado 10/02/2021")</f>
        <v>Denise Bruna Barbosa | Letras Port Ingl | Aprovado | Bárbara: aprovada nas 3 primeiras etapas do remoto // Bárbara: aprovada na 4ª etapa do estágio 03/02/2021// Bárbara: conferido e arquivado 10/02/2021</v>
      </c>
      <c r="B973" s="93"/>
    </row>
    <row r="974">
      <c r="A974" s="384" t="str">
        <f>IFERROR(__xludf.DUMMYFUNCTION("""COMPUTED_VALUE"""),"Denise Costa Marques Hoffman | Pedagogia | Aprovado | Júnio: PP - falta a entrevista e a carta de apresentação// Alexsiane: pp aprovado 26/06")</f>
        <v>Denise Costa Marques Hoffman | Pedagogia | Aprovado | Júnio: PP - falta a entrevista e a carta de apresentação// Alexsiane: pp aprovado 26/06</v>
      </c>
      <c r="B974" s="93"/>
    </row>
    <row r="975">
      <c r="A975" s="384" t="str">
        <f>IFERROR(__xludf.DUMMYFUNCTION("""COMPUTED_VALUE"""),"Denise De Carvalho Rodrigues Moreira | Pedagogia | Aprovada | Júnio: PP aprovada")</f>
        <v>Denise De Carvalho Rodrigues Moreira | Pedagogia | Aprovada | Júnio: PP aprovada</v>
      </c>
      <c r="B975" s="93"/>
    </row>
    <row r="976">
      <c r="A976" s="384" t="str">
        <f>IFERROR(__xludf.DUMMYFUNCTION("""COMPUTED_VALUE"""),"Denise De Jesus Gomes | Ed Física | Aprovada | Bárbara: trabalho cheio de erros de formatação e de português. Aluna colou as assinaturas e os carimbos. Falta o estágio do ensino médio // Bianca: aprovada 23/03/2021// Bárbara: conferido e arquivado 17/05/2"&amp;"021")</f>
        <v>Denise De Jesus Gomes | Ed Física | Aprovada | Bárbara: trabalho cheio de erros de formatação e de português. Aluna colou as assinaturas e os carimbos. Falta o estágio do ensino médio // Bianca: aprovada 23/03/2021// Bárbara: conferido e arquivado 17/05/2021</v>
      </c>
      <c r="B976" s="93"/>
    </row>
    <row r="977">
      <c r="A977" s="384" t="str">
        <f>IFERROR(__xludf.DUMMYFUNCTION("""COMPUTED_VALUE"""),"Denise Do Rosário Moura | Artes Visuais | Aprovada | Júnio: PP -19% plágio//Alexsiane: PP APROVADO 04/03")</f>
        <v>Denise Do Rosário Moura | Artes Visuais | Aprovada | Júnio: PP -19% plágio//Alexsiane: PP APROVADO 04/03</v>
      </c>
      <c r="B977" s="93"/>
    </row>
    <row r="978">
      <c r="A978" s="384" t="str">
        <f>IFERROR(__xludf.DUMMYFUNCTION("""COMPUTED_VALUE"""),"Denise Fernandes Pinheiro | Matemática | Aprovado | Thiara: aprovado// Aline Silva: Recebido no instituto encadernado e impresso dia 27/12/2019// Bárbara: Conferido e arquivado em 16/09/2020")</f>
        <v>Denise Fernandes Pinheiro | Matemática | Aprovado | Thiara: aprovado// Aline Silva: Recebido no instituto encadernado e impresso dia 27/12/2019// Bárbara: Conferido e arquivado em 16/09/2020</v>
      </c>
      <c r="B978" s="93"/>
    </row>
    <row r="979">
      <c r="A979" s="384" t="str">
        <f>IFERROR(__xludf.DUMMYFUNCTION("""COMPUTED_VALUE"""),"Denise Fernandes Pinheiro | Pedagogia | Aprovada | Amélia: pedi para completar os planos //Bianca: aprovado: 08/07/21")</f>
        <v>Denise Fernandes Pinheiro | Pedagogia | Aprovada | Amélia: pedi para completar os planos //Bianca: aprovado: 08/07/21</v>
      </c>
      <c r="B979" s="93"/>
    </row>
    <row r="980">
      <c r="A980" s="384" t="str">
        <f>IFERROR(__xludf.DUMMYFUNCTION("""COMPUTED_VALUE"""),"Denise Marques Viana | Ed. Física | Aprovado | Thiara: Detectado alguns erros de concordância N e V, mas que não comprometia o entendimento. Entregue no Instituto dia 09/05/2019.")</f>
        <v>Denise Marques Viana | Ed. Física | Aprovado | Thiara: Detectado alguns erros de concordância N e V, mas que não comprometia o entendimento. Entregue no Instituto dia 09/05/2019.</v>
      </c>
      <c r="B980" s="93"/>
    </row>
    <row r="981">
      <c r="A981" s="384" t="str">
        <f>IFERROR(__xludf.DUMMYFUNCTION("""COMPUTED_VALUE"""),"Denise Miranda Silva | Educação Física | Em análise | Thiara: falta 140 horas de estágio e realizou somente na Educação Infantil. // Recebido no instituto dia 12/12/2019// Miryã: conferido e arquivado 12/03/2021")</f>
        <v>Denise Miranda Silva | Educação Física | Em análise | Thiara: falta 140 horas de estágio e realizou somente na Educação Infantil. // Recebido no instituto dia 12/12/2019// Miryã: conferido e arquivado 12/03/2021</v>
      </c>
      <c r="B981" s="93"/>
    </row>
    <row r="982">
      <c r="A982" s="384" t="str">
        <f>IFERROR(__xludf.DUMMYFUNCTION("""COMPUTED_VALUE"""),"Denise Miranda Silva | Letras Portugues | Aprovado | Estella: aprovado pedi para fazer correções ortográficas. Recebido em 29/01/2019.// Bárbara: conferido e arquivado 09/09/2020")</f>
        <v>Denise Miranda Silva | Letras Portugues | Aprovado | Estella: aprovado pedi para fazer correções ortográficas. Recebido em 29/01/2019.// Bárbara: conferido e arquivado 09/09/2020</v>
      </c>
      <c r="B982" s="93"/>
    </row>
    <row r="983">
      <c r="A983" s="384" t="str">
        <f>IFERROR(__xludf.DUMMYFUNCTION("""COMPUTED_VALUE"""),"Denise Santos De Oliveira | Educação Física | Aprovada | Júnio: fez apenas 80 hs, análise do PPP e da gestão e 1 plano de aula, falta todo o resto. //Júnio: aprovada 29/09/23")</f>
        <v>Denise Santos De Oliveira | Educação Física | Aprovada | Júnio: fez apenas 80 hs, análise do PPP e da gestão e 1 plano de aula, falta todo o resto. //Júnio: aprovada 29/09/23</v>
      </c>
      <c r="B983" s="93"/>
    </row>
    <row r="984">
      <c r="A984" s="384" t="str">
        <f>IFERROR(__xludf.DUMMYFUNCTION("""COMPUTED_VALUE"""),"Dennis Caldeira Da Silva | Geografia | Em análise | Edilaine: Falta especificar nas fichas o tipo de acompanhamento e falta 104 horas nas fichas")</f>
        <v>Dennis Caldeira Da Silva | Geografia | Em análise | Edilaine: Falta especificar nas fichas o tipo de acompanhamento e falta 104 horas nas fichas</v>
      </c>
      <c r="B984" s="93"/>
    </row>
    <row r="985">
      <c r="A985" s="384" t="str">
        <f>IFERROR(__xludf.DUMMYFUNCTION("""COMPUTED_VALUE"""),"Denys Wilton Ferreira Martins | Pedagogia | Aprovado | Alexsiane: pp aprovado")</f>
        <v>Denys Wilton Ferreira Martins | Pedagogia | Aprovado | Alexsiane: pp aprovado</v>
      </c>
      <c r="B985" s="93"/>
    </row>
    <row r="986">
      <c r="A986" s="384" t="str">
        <f>IFERROR(__xludf.DUMMYFUNCTION("""COMPUTED_VALUE"""),"Derek Miranda De Souza | Segunda Licenciatura Em Música | Aprovado | Alexsiane: pp falta etapa I//Alexsiane: pp aprovado: 19/08")</f>
        <v>Derek Miranda De Souza | Segunda Licenciatura Em Música | Aprovado | Alexsiane: pp falta etapa I//Alexsiane: pp aprovado: 19/08</v>
      </c>
      <c r="B986" s="93"/>
    </row>
    <row r="987">
      <c r="A987" s="384" t="str">
        <f>IFERROR(__xludf.DUMMYFUNCTION("""COMPUTED_VALUE"""),"Derinaldo Cancio Biá | Pedagogia | Aprovado | Júnio: pré aprovado //Júnio: aprovado: 23/10/23")</f>
        <v>Derinaldo Cancio Biá | Pedagogia | Aprovado | Júnio: pré aprovado //Júnio: aprovado: 23/10/23</v>
      </c>
      <c r="B987" s="93"/>
    </row>
    <row r="988">
      <c r="A988" s="384" t="str">
        <f>IFERROR(__xludf.DUMMYFUNCTION("""COMPUTED_VALUE"""),"Desireé Da Costa Taveiros | Pedagogia | Aprovada | Bárbara: aluna enviou alguns documentos do estágio padrão que iniciada a realização. A aluna vai dar sequencia no estágio remoto antigo, e vai usar essas partes para a isenção da 4ª etapa. Contudo apenas "&amp;"38 horas, perguntei se é somente. Como a aluna já tinha sido orientada com o estágio antigo teremos que aceitar apenas as 38. Algumas correções no registro de atividades foi solicitadas //Júnio: aprovada na aula  27/01/22")</f>
        <v>Desireé Da Costa Taveiros | Pedagogia | Aprovada | Bárbara: aluna enviou alguns documentos do estágio padrão que iniciada a realização. A aluna vai dar sequencia no estágio remoto antigo, e vai usar essas partes para a isenção da 4ª etapa. Contudo apenas 38 horas, perguntei se é somente. Como a aluna já tinha sido orientada com o estágio antigo teremos que aceitar apenas as 38. Algumas correções no registro de atividades foi solicitadas //Júnio: aprovada na aula  27/01/22</v>
      </c>
      <c r="B988" s="93"/>
    </row>
    <row r="989">
      <c r="A989" s="384" t="str">
        <f>IFERROR(__xludf.DUMMYFUNCTION("""COMPUTED_VALUE"""),"Deyse De Oliveira Ferreira | Segunda Licenciatura Em Pedagogia | Aprovado | Rayssa pp aprovado")</f>
        <v>Deyse De Oliveira Ferreira | Segunda Licenciatura Em Pedagogia | Aprovado | Rayssa pp aprovado</v>
      </c>
      <c r="B989" s="93"/>
    </row>
    <row r="990">
      <c r="A990" s="384" t="str">
        <f>IFERROR(__xludf.DUMMYFUNCTION("""COMPUTED_VALUE"""),"Deyse Leite Guedes | Pedagogia | Aprovada | Bianca: falta etapa 4 do remoto antigo aprovada nas 3 1ª etapas //Bárbara: aprovada: 18/08/21")</f>
        <v>Deyse Leite Guedes | Pedagogia | Aprovada | Bianca: falta etapa 4 do remoto antigo aprovada nas 3 1ª etapas //Bárbara: aprovada: 18/08/21</v>
      </c>
      <c r="B990" s="93"/>
    </row>
    <row r="991">
      <c r="A991" s="384" t="str">
        <f>IFERROR(__xludf.DUMMYFUNCTION("""COMPUTED_VALUE"""),"Deysiane Pereira Pardin | História | Aprovado  | Bianca: apenas etapa 4, pedi para enviar as 3 primeiras etapas// Júnio: conferida e arquivado: 08/10/21")</f>
        <v>Deysiane Pereira Pardin | História | Aprovado  | Bianca: apenas etapa 4, pedi para enviar as 3 primeiras etapas// Júnio: conferida e arquivado: 08/10/21</v>
      </c>
      <c r="B991" s="93"/>
    </row>
    <row r="992">
      <c r="A992" s="384" t="str">
        <f>IFERROR(__xludf.DUMMYFUNCTION("""COMPUTED_VALUE"""),"Diana Beatriz Moraes Soares | Pedagogia | Aprovada | Júnio: PP - falta a carta de apresentação e complementar a etapa 1 com mais páginas. PRAZO: 02/12/23 //Júnio: aprovada: 19/12/2023")</f>
        <v>Diana Beatriz Moraes Soares | Pedagogia | Aprovada | Júnio: PP - falta a carta de apresentação e complementar a etapa 1 com mais páginas. PRAZO: 02/12/23 //Júnio: aprovada: 19/12/2023</v>
      </c>
      <c r="B992" s="93"/>
    </row>
    <row r="993">
      <c r="A993" s="384" t="str">
        <f>IFERROR(__xludf.DUMMYFUNCTION("""COMPUTED_VALUE"""),"Diana Beatriz Moraes Soares | Letras Portugês Inglês | Aprovada | Júnio: PP - Na etapa I precisa complementar com mais páginas e trechos iguais ao outro curso e falta a etapa 2. // Alexsiane: aprovado no pp 19/02")</f>
        <v>Diana Beatriz Moraes Soares | Letras Portugês Inglês | Aprovada | Júnio: PP - Na etapa I precisa complementar com mais páginas e trechos iguais ao outro curso e falta a etapa 2. // Alexsiane: aprovado no pp 19/02</v>
      </c>
      <c r="B993" s="93"/>
    </row>
    <row r="994">
      <c r="A994" s="384" t="str">
        <f>IFERROR(__xludf.DUMMYFUNCTION("""COMPUTED_VALUE"""),"Diana Cristina Silvério Nascimento | Pedagogia | Aprovada | Júnio: etapas: OK Inicio: 04/09/2023 Reenviar: 04/03/2024 //Júnio: pagou apressamento- aprovada: 30/10/23")</f>
        <v>Diana Cristina Silvério Nascimento | Pedagogia | Aprovada | Júnio: etapas: OK Inicio: 04/09/2023 Reenviar: 04/03/2024 //Júnio: pagou apressamento- aprovada: 30/10/23</v>
      </c>
      <c r="B994" s="93"/>
    </row>
    <row r="995">
      <c r="A995" s="384" t="str">
        <f>IFERROR(__xludf.DUMMYFUNCTION("""COMPUTED_VALUE"""),"Diana Cristina Silvério Nascimento | Educação Especial | Aprovada | Júnio: PP aprovada - pagou apressamento")</f>
        <v>Diana Cristina Silvério Nascimento | Educação Especial | Aprovada | Júnio: PP aprovada - pagou apressamento</v>
      </c>
      <c r="B995" s="93"/>
    </row>
    <row r="996">
      <c r="A996" s="384" t="str">
        <f>IFERROR(__xludf.DUMMYFUNCTION("""COMPUTED_VALUE"""),"Diana Lopes De Almeida | Psicopedagogia Clínica E Institucional | Aprovada  | Júnio: 8% plágio, falta carta de aceite, autorizada a recolher assinatura da ficha de registro// Bárbara: aprovada 23/11/2021")</f>
        <v>Diana Lopes De Almeida | Psicopedagogia Clínica E Institucional | Aprovada  | Júnio: 8% plágio, falta carta de aceite, autorizada a recolher assinatura da ficha de registro// Bárbara: aprovada 23/11/2021</v>
      </c>
      <c r="B996" s="93"/>
    </row>
    <row r="997">
      <c r="A997" s="384" t="str">
        <f>IFERROR(__xludf.DUMMYFUNCTION("""COMPUTED_VALUE"""),"Diana Maria Farias Pessoa | Bacharel Pedagogia | Aprovada | Cris: PP aprovado")</f>
        <v>Diana Maria Farias Pessoa | Bacharel Pedagogia | Aprovada | Cris: PP aprovado</v>
      </c>
      <c r="B997" s="93"/>
    </row>
    <row r="998">
      <c r="A998" s="384" t="str">
        <f>IFERROR(__xludf.DUMMYFUNCTION("""COMPUTED_VALUE"""),"Diego Silva Ferreira | Pedagogia | Aprovado | Aline Silva:Aprovado - recolher assinaturas e carimbos // Bárbara: conferido e arquivado 09/04/2021")</f>
        <v>Diego Silva Ferreira | Pedagogia | Aprovado | Aline Silva:Aprovado - recolher assinaturas e carimbos // Bárbara: conferido e arquivado 09/04/2021</v>
      </c>
      <c r="B998" s="93"/>
    </row>
    <row r="999">
      <c r="A999" s="384" t="str">
        <f>IFERROR(__xludf.DUMMYFUNCTION("""COMPUTED_VALUE"""),"Diego Vieira Araujo | Matemática | Aprovado | Júnio: Incio: 14/06/2023 Reenviar: 14/12/23 //Júnio: aprovado: 18/12/2023")</f>
        <v>Diego Vieira Araujo | Matemática | Aprovado | Júnio: Incio: 14/06/2023 Reenviar: 14/12/23 //Júnio: aprovado: 18/12/2023</v>
      </c>
      <c r="B999" s="93"/>
    </row>
    <row r="1000">
      <c r="A1000" s="384" t="str">
        <f>IFERROR(__xludf.DUMMYFUNCTION("""COMPUTED_VALUE"""),"Dieymisthon Rosa Da Silva Carvalho | Letras Inglês | Aprovado | Júnio: falta  responder o questionário. //Júnio: PP aprovado: 16/11/23")</f>
        <v>Dieymisthon Rosa Da Silva Carvalho | Letras Inglês | Aprovado | Júnio: falta  responder o questionário. //Júnio: PP aprovado: 16/11/23</v>
      </c>
      <c r="B1000" s="93"/>
    </row>
    <row r="1001">
      <c r="A1001" s="384" t="str">
        <f>IFERROR(__xludf.DUMMYFUNCTION("""COMPUTED_VALUE"""),"Dilcineth Dos Santos Morais Avancini | Educação Física | Aprovada | Lucas: Falta 9 planos de aula, plagio 9,55% //Júnio:aprovada no video da 4ª etapa 25/05")</f>
        <v>Dilcineth Dos Santos Morais Avancini | Educação Física | Aprovada | Lucas: Falta 9 planos de aula, plagio 9,55% //Júnio:aprovada no video da 4ª etapa 25/05</v>
      </c>
      <c r="B1001" s="93"/>
    </row>
    <row r="1002">
      <c r="A1002" s="384" t="str">
        <f>IFERROR(__xludf.DUMMYFUNCTION("""COMPUTED_VALUE"""),"Dilcineth Dos Santos Morais Avancini | História | Aprovada  | Júnio: Remoto Antigo: 10% plágio em vários sites, consertar tudo// Júnio: aprovada 25/05")</f>
        <v>Dilcineth Dos Santos Morais Avancini | História | Aprovada  | Júnio: Remoto Antigo: 10% plágio em vários sites, consertar tudo// Júnio: aprovada 25/05</v>
      </c>
      <c r="B1002" s="93"/>
    </row>
    <row r="1003">
      <c r="A1003" s="384" t="str">
        <f>IFERROR(__xludf.DUMMYFUNCTION("""COMPUTED_VALUE"""),"Dilene Lopes De Almeida | Ed. Física | Aprovado | Thiara: aprovado, foi enviado para a aluna o manual da FAMOSP.// Recebido no instituto encadernado e impresso dia 26/11/2019// Bárbara: conferido e arquivado 09/09/2020")</f>
        <v>Dilene Lopes De Almeida | Ed. Física | Aprovado | Thiara: aprovado, foi enviado para a aluna o manual da FAMOSP.// Recebido no instituto encadernado e impresso dia 26/11/2019// Bárbara: conferido e arquivado 09/09/2020</v>
      </c>
      <c r="B1003" s="93"/>
    </row>
    <row r="1004">
      <c r="A1004" s="384" t="str">
        <f>IFERROR(__xludf.DUMMYFUNCTION("""COMPUTED_VALUE"""),"Diógenes De Oliveira Costa | Letras Inglês | Em análise | Júnio: falta 40 hs de gestão, termo de conclusão e todas as etapas dissertativas.")</f>
        <v>Diógenes De Oliveira Costa | Letras Inglês | Em análise | Júnio: falta 40 hs de gestão, termo de conclusão e todas as etapas dissertativas.</v>
      </c>
      <c r="B1004" s="93"/>
    </row>
    <row r="1005">
      <c r="A1005" s="384" t="str">
        <f>IFERROR(__xludf.DUMMYFUNCTION("""COMPUTED_VALUE"""),"Diógenes Eteóclites Da Silva | Segunda Licenciatura Em Pedagogia | Aprovada | Alexsiane: pp aprovado]")</f>
        <v>Diógenes Eteóclites Da Silva | Segunda Licenciatura Em Pedagogia | Aprovada | Alexsiane: pp aprovado]</v>
      </c>
      <c r="B1005" s="93"/>
    </row>
    <row r="1006">
      <c r="A1006" s="384" t="str">
        <f>IFERROR(__xludf.DUMMYFUNCTION("""COMPUTED_VALUE"""),"Diogo Augusto Dutra | Pedagogia | Aprovado | Matheus: pp aprovado")</f>
        <v>Diogo Augusto Dutra | Pedagogia | Aprovado | Matheus: pp aprovado</v>
      </c>
      <c r="B1006" s="93"/>
    </row>
    <row r="1007">
      <c r="A1007" s="384" t="str">
        <f>IFERROR(__xludf.DUMMYFUNCTION("""COMPUTED_VALUE"""),"Diogo Mendes Dos Santos | Filosofia | Em análise | Alexsiane: fichas de registro está ok(falta recolher as assinaturas) e fazer toda a parte dissertativa 06/11/2022 para reenviar- Júnio: Aluna não recebeu o parecer dia 06/11, reenviei 09/12 contando o pra"&amp;"zo até 19/12")</f>
        <v>Diogo Mendes Dos Santos | Filosofia | Em análise | Alexsiane: fichas de registro está ok(falta recolher as assinaturas) e fazer toda a parte dissertativa 06/11/2022 para reenviar- Júnio: Aluna não recebeu o parecer dia 06/11, reenviei 09/12 contando o prazo até 19/12</v>
      </c>
      <c r="B1007" s="93"/>
    </row>
    <row r="1008">
      <c r="A1008" s="384" t="str">
        <f>IFERROR(__xludf.DUMMYFUNCTION("""COMPUTED_VALUE"""),"Dionei Da Silva Batista | História | Aprovado | Alexsiane: falta enviar a quarta etapa do remoto antigo //Júnio: aprovado: 18/04/22")</f>
        <v>Dionei Da Silva Batista | História | Aprovado | Alexsiane: falta enviar a quarta etapa do remoto antigo //Júnio: aprovado: 18/04/22</v>
      </c>
      <c r="B1008" s="93"/>
    </row>
    <row r="1009">
      <c r="A1009" s="384" t="str">
        <f>IFERROR(__xludf.DUMMYFUNCTION("""COMPUTED_VALUE"""),"Dioneia Mota Dos Santos Paiva | Artes Visuais | Aprovada | Júnio: PP-  a etapa I precisa complementar com mais duas páginas e falta etapa II. //Júnio: aprovada: 20/09/2023")</f>
        <v>Dioneia Mota Dos Santos Paiva | Artes Visuais | Aprovada | Júnio: PP-  a etapa I precisa complementar com mais duas páginas e falta etapa II. //Júnio: aprovada: 20/09/2023</v>
      </c>
      <c r="B1009" s="93"/>
    </row>
    <row r="1010">
      <c r="A1010" s="384" t="str">
        <f>IFERROR(__xludf.DUMMYFUNCTION("""COMPUTED_VALUE"""),"Dirceu Cesário Da Costa | Pedagogia | Pré-aprovado | Thiara: Faltam 50h em Observação e 50h em Regência no Fundamental I. Declaração para dispensa não é válida. // Estella: Recebido 11/12/2018 via Correios, ainda não havia sido aprovado.")</f>
        <v>Dirceu Cesário Da Costa | Pedagogia | Pré-aprovado | Thiara: Faltam 50h em Observação e 50h em Regência no Fundamental I. Declaração para dispensa não é válida. // Estella: Recebido 11/12/2018 via Correios, ainda não havia sido aprovado.</v>
      </c>
      <c r="B1010" s="93"/>
    </row>
    <row r="1011">
      <c r="A1011" s="384" t="str">
        <f>IFERROR(__xludf.DUMMYFUNCTION("""COMPUTED_VALUE"""),"Dirceu Mendes Ferreira | Pedagogia | Aprovado | Alexsiane; pp aprovado")</f>
        <v>Dirceu Mendes Ferreira | Pedagogia | Aprovado | Alexsiane; pp aprovado</v>
      </c>
      <c r="B1011" s="93"/>
    </row>
    <row r="1012">
      <c r="A1012" s="384" t="str">
        <f>IFERROR(__xludf.DUMMYFUNCTION("""COMPUTED_VALUE"""),"Dirlene Reis | Pedagogia | Aprovada | Bianca: autorizada a recolher assinaturas// Bianca: aprovada em 21/12/2021 // Lucas: conferido e arquivado 04/01/2022")</f>
        <v>Dirlene Reis | Pedagogia | Aprovada | Bianca: autorizada a recolher assinaturas// Bianca: aprovada em 21/12/2021 // Lucas: conferido e arquivado 04/01/2022</v>
      </c>
      <c r="B1012" s="93"/>
    </row>
    <row r="1013">
      <c r="A1013" s="384" t="str">
        <f>IFERROR(__xludf.DUMMYFUNCTION("""COMPUTED_VALUE"""),"Divânia Alexandre De Souza | Artes Visuais | Aprovada | Alexsiane: fichas de registro está ok(falta recolher as assinaturas) e fazer toda a parte dissertativa 06/11/2022 para reenviar- Júnio: Aluna não recebeu o parecer dia 06/11, reenviei 09/12 contando "&amp;"o prazo até 19/12 Pamela; autorizada a fazer autenticação no termo de conclusão //Júnio: aprovada: 11/04/23")</f>
        <v>Divânia Alexandre De Souza | Artes Visuais | Aprovada | Alexsiane: fichas de registro está ok(falta recolher as assinaturas) e fazer toda a parte dissertativa 06/11/2022 para reenviar- Júnio: Aluna não recebeu o parecer dia 06/11, reenviei 09/12 contando o prazo até 19/12 Pamela; autorizada a fazer autenticação no termo de conclusão //Júnio: aprovada: 11/04/23</v>
      </c>
      <c r="B1013" s="93"/>
    </row>
    <row r="1014">
      <c r="A1014" s="384" t="str">
        <f>IFERROR(__xludf.DUMMYFUNCTION("""COMPUTED_VALUE"""),"Divânia Aparecida Pego | Filosofia | Aprovada | Bianca: aguardando o aluno responder o guru  //Júnio:conferido e arquivada: 12/11/2021")</f>
        <v>Divânia Aparecida Pego | Filosofia | Aprovada | Bianca: aguardando o aluno responder o guru  //Júnio:conferido e arquivada: 12/11/2021</v>
      </c>
      <c r="B1014" s="93"/>
    </row>
    <row r="1015">
      <c r="A1015" s="384" t="str">
        <f>IFERROR(__xludf.DUMMYFUNCTION("""COMPUTED_VALUE"""),"Divino Borges De Campos | Letras Inglês | Aprovado | Amélia: aprovado nas 4 etapas do remoto")</f>
        <v>Divino Borges De Campos | Letras Inglês | Aprovado | Amélia: aprovado nas 4 etapas do remoto</v>
      </c>
      <c r="B1015" s="93"/>
    </row>
    <row r="1016">
      <c r="A1016" s="384" t="str">
        <f>IFERROR(__xludf.DUMMYFUNCTION("""COMPUTED_VALUE"""),"Dolores Dos Anjos Reis | Pedagogia | aprovada | Bárbara: correção foi feita de acordo com o documento físico apresentado. Júnio: arquivado 08/04/2021")</f>
        <v>Dolores Dos Anjos Reis | Pedagogia | aprovada | Bárbara: correção foi feita de acordo com o documento físico apresentado. Júnio: arquivado 08/04/2021</v>
      </c>
      <c r="B1016" s="93"/>
    </row>
    <row r="1017">
      <c r="A1017" s="384" t="str">
        <f>IFERROR(__xludf.DUMMYFUNCTION("""COMPUTED_VALUE"""),"Donald Michael Dos Santos | Letras Português Inglês | Aprovado | Lucas: Aprovado o estagio remoto antigo ")</f>
        <v>Donald Michael Dos Santos | Letras Português Inglês | Aprovado | Lucas: Aprovado o estagio remoto antigo </v>
      </c>
      <c r="B1017" s="93"/>
    </row>
    <row r="1018">
      <c r="A1018" s="384" t="str">
        <f>IFERROR(__xludf.DUMMYFUNCTION("""COMPUTED_VALUE"""),"Donizete Augusto Lucas | História | Aprovado | Júnio: PP - falta a entrevista e o video ou declaração de experiencia PRAZO: 13/07/23// alexisane: video da 4° etapa aprovado.")</f>
        <v>Donizete Augusto Lucas | História | Aprovado | Júnio: PP - falta a entrevista e o video ou declaração de experiencia PRAZO: 13/07/23// alexisane: video da 4° etapa aprovado.</v>
      </c>
      <c r="B1018" s="93"/>
    </row>
    <row r="1019">
      <c r="A1019" s="384" t="str">
        <f>IFERROR(__xludf.DUMMYFUNCTION("""COMPUTED_VALUE"""),"Dorceli Gomes Pacheco Dos Santos | Matemática | Aprovada | Júnio: aprovada no remoto antigo")</f>
        <v>Dorceli Gomes Pacheco Dos Santos | Matemática | Aprovada | Júnio: aprovada no remoto antigo</v>
      </c>
      <c r="B1019" s="93"/>
    </row>
    <row r="1020">
      <c r="A1020" s="384" t="str">
        <f>IFERROR(__xludf.DUMMYFUNCTION("""COMPUTED_VALUE"""),"Dorcilene Da Silva | Neuropsicologia Clínica | Aprovada | Alexsiane: falta relatorios de observação e participação e complementar com mais 4 horas as fichas de registro// Alexsiane: pré aprovada, autorizada a autenticar  //Júnio: aprovada: 06/04/23")</f>
        <v>Dorcilene Da Silva | Neuropsicologia Clínica | Aprovada | Alexsiane: falta relatorios de observação e participação e complementar com mais 4 horas as fichas de registro// Alexsiane: pré aprovada, autorizada a autenticar  //Júnio: aprovada: 06/04/23</v>
      </c>
      <c r="B1020" s="93"/>
    </row>
    <row r="1021">
      <c r="A1021" s="384" t="str">
        <f>IFERROR(__xludf.DUMMYFUNCTION("""COMPUTED_VALUE"""),"Dougla Correia Da Silva | 2ª Licenciatura Pedagogia | Aprovado | Cris: PP aprovado")</f>
        <v>Dougla Correia Da Silva | 2ª Licenciatura Pedagogia | Aprovado | Cris: PP aprovado</v>
      </c>
      <c r="B1021" s="93"/>
    </row>
    <row r="1022">
      <c r="A1022" s="384" t="str">
        <f>IFERROR(__xludf.DUMMYFUNCTION("""COMPUTED_VALUE"""),"Douglas Correia Da Silva | Pedagogia | Aprovada | Júnio: PP - etapas:ok  Inicio: 30/09/2023 Reenviar: 30/03/2023//Alexsaine: pp aprovado 28/06")</f>
        <v>Douglas Correia Da Silva | Pedagogia | Aprovada | Júnio: PP - etapas:ok  Inicio: 30/09/2023 Reenviar: 30/03/2023//Alexsaine: pp aprovado 28/06</v>
      </c>
      <c r="B1022" s="93"/>
    </row>
    <row r="1023">
      <c r="A1023" s="384" t="str">
        <f>IFERROR(__xludf.DUMMYFUNCTION("""COMPUTED_VALUE"""),"Douglas Damião Silva Dos Santos | Pedagogia | Aprovado | /Alexsiane: 21,4% de plágio// Alexsiane: pp aprovado 17/07")</f>
        <v>Douglas Damião Silva Dos Santos | Pedagogia | Aprovado | /Alexsiane: 21,4% de plágio// Alexsiane: pp aprovado 17/07</v>
      </c>
      <c r="B1023" s="93"/>
    </row>
    <row r="1024">
      <c r="A1024" s="384" t="str">
        <f>IFERROR(__xludf.DUMMYFUNCTION("""COMPUTED_VALUE"""),"Douglas De Oliveira Pereira | História | Aprovado | Bianca: Enviou apenas etapas 1 e 3 do estágio remoto atualizado // Lucas: Aprovado e anexado ao Sponte ")</f>
        <v>Douglas De Oliveira Pereira | História | Aprovado | Bianca: Enviou apenas etapas 1 e 3 do estágio remoto atualizado // Lucas: Aprovado e anexado ao Sponte </v>
      </c>
      <c r="B1024" s="93"/>
    </row>
    <row r="1025">
      <c r="A1025" s="384" t="str">
        <f>IFERROR(__xludf.DUMMYFUNCTION("""COMPUTED_VALUE"""),"Douglas De Souza Neves | Artes Visuais | Aprovado | Bárbara: aprovado nas 3 primeiras etapas do remoto, aguardando a última // Bárbara: aprovado 27/11/2020 //Amélia 05/02 Trabalho carimbado e entre a secretaria. //Júnio: conferido e arquivado: 16/06/2021")</f>
        <v>Douglas De Souza Neves | Artes Visuais | Aprovado | Bárbara: aprovado nas 3 primeiras etapas do remoto, aguardando a última // Bárbara: aprovado 27/11/2020 //Amélia 05/02 Trabalho carimbado e entre a secretaria. //Júnio: conferido e arquivado: 16/06/2021</v>
      </c>
      <c r="B1025" s="93"/>
    </row>
    <row r="1026">
      <c r="A1026" s="384" t="str">
        <f>IFERROR(__xludf.DUMMYFUNCTION("""COMPUTED_VALUE"""),"Douglas Felipe Nogueira Rocha | Música | Aprovado | Júnio: pré aprovado //Júnio: aprovado: 18/01/2024")</f>
        <v>Douglas Felipe Nogueira Rocha | Música | Aprovado | Júnio: pré aprovado //Júnio: aprovado: 18/01/2024</v>
      </c>
      <c r="B1026" s="93"/>
    </row>
    <row r="1027">
      <c r="A1027" s="384" t="str">
        <f>IFERROR(__xludf.DUMMYFUNCTION("""COMPUTED_VALUE"""),"Dovânio Barbosa Dos Santos Filho | Educação Física | Aprovado | Alexsiane: aprovado com lançamento no Jacad")</f>
        <v>Dovânio Barbosa Dos Santos Filho | Educação Física | Aprovado | Alexsiane: aprovado com lançamento no Jacad</v>
      </c>
      <c r="B1027" s="93"/>
    </row>
    <row r="1028">
      <c r="A1028" s="384" t="str">
        <f>IFERROR(__xludf.DUMMYFUNCTION("""COMPUTED_VALUE"""),"Ducinalva De Souza Santos | Pedagogia | Aprovada | Pamela: declaração de expeirencia válida //Júnio: aprovada: 27/11/23")</f>
        <v>Ducinalva De Souza Santos | Pedagogia | Aprovada | Pamela: declaração de expeirencia válida //Júnio: aprovada: 27/11/23</v>
      </c>
      <c r="B1028" s="93"/>
    </row>
    <row r="1029">
      <c r="A1029" s="384" t="str">
        <f>IFERROR(__xludf.DUMMYFUNCTION("""COMPUTED_VALUE"""),"Dulce Deia De Oliveira | Sociologia | Aprovado | APROVADO antes de mim, a aluna já havia entregado o trabalho de estágio pelo correio em 04/06, (27/08).// VOLTOU PARA CORREÇÃO, texto em primeira pessoa e falta de cronograma 30/08.")</f>
        <v>Dulce Deia De Oliveira | Sociologia | Aprovado | APROVADO antes de mim, a aluna já havia entregado o trabalho de estágio pelo correio em 04/06, (27/08).// VOLTOU PARA CORREÇÃO, texto em primeira pessoa e falta de cronograma 30/08.</v>
      </c>
      <c r="B1029" s="93"/>
    </row>
    <row r="1030">
      <c r="A1030" s="384" t="str">
        <f>IFERROR(__xludf.DUMMYFUNCTION("""COMPUTED_VALUE"""),"Dulcilene Ribeiro Dos Santos Damiane | Artes Visuais |  | APROVADO, 03-09. Ana autorizou, sendo ela professora de música e com estágio no fundamental 1.")</f>
        <v>Dulcilene Ribeiro Dos Santos Damiane | Artes Visuais |  | APROVADO, 03-09. Ana autorizou, sendo ela professora de música e com estágio no fundamental 1.</v>
      </c>
      <c r="B1030" s="93"/>
    </row>
    <row r="1031">
      <c r="A1031" s="384" t="str">
        <f>IFERROR(__xludf.DUMMYFUNCTION("""COMPUTED_VALUE"""),"Dulcineia De Almeida Lima | Pedagogia | Aprovada | Bianca: Consertar sumário, fazer considerações finais e referências. //JÚNIO: APROVADA NA AULA 13/01/22")</f>
        <v>Dulcineia De Almeida Lima | Pedagogia | Aprovada | Bianca: Consertar sumário, fazer considerações finais e referências. //JÚNIO: APROVADA NA AULA 13/01/22</v>
      </c>
      <c r="B1031" s="93"/>
    </row>
    <row r="1032">
      <c r="A1032" s="384" t="str">
        <f>IFERROR(__xludf.DUMMYFUNCTION("""COMPUTED_VALUE"""),"Durcilene Rodrigues Nogueira | Pedagogia | Aprovada | Bianca: aprovada nas 3 1° etapas do remoto antigo //Júnio: aprovada na aula online")</f>
        <v>Durcilene Rodrigues Nogueira | Pedagogia | Aprovada | Bianca: aprovada nas 3 1° etapas do remoto antigo //Júnio: aprovada na aula online</v>
      </c>
      <c r="B1032" s="93"/>
    </row>
    <row r="1033">
      <c r="A1033" s="384" t="str">
        <f>IFERROR(__xludf.DUMMYFUNCTION("""COMPUTED_VALUE"""),"Edcarlos Batista Dos Santos | Pedagogia | Aprovado | Júnio: aprovado")</f>
        <v>Edcarlos Batista Dos Santos | Pedagogia | Aprovado | Júnio: aprovado</v>
      </c>
      <c r="B1033" s="93"/>
    </row>
    <row r="1034">
      <c r="A1034" s="384" t="str">
        <f>IFERROR(__xludf.DUMMYFUNCTION("""COMPUTED_VALUE"""),"Edelise Maria Moreira Da Silva | Pedagogia | Aprovada | Alexsiane: declaração de experiência aceita no email //Júnio: pré aprovada: 20/06/23 //Júnio: aprovada: 11/07/23")</f>
        <v>Edelise Maria Moreira Da Silva | Pedagogia | Aprovada | Alexsiane: declaração de experiência aceita no email //Júnio: pré aprovada: 20/06/23 //Júnio: aprovada: 11/07/23</v>
      </c>
      <c r="B1034" s="93"/>
    </row>
    <row r="1035">
      <c r="A1035" s="384" t="str">
        <f>IFERROR(__xludf.DUMMYFUNCTION("""COMPUTED_VALUE"""),"Eder Monteiro Salgado | História | Aprovado | Alexsiane: pp faltando somente a segunda etapa//Alexsiane: pp aprovado 14/05")</f>
        <v>Eder Monteiro Salgado | História | Aprovado | Alexsiane: pp faltando somente a segunda etapa//Alexsiane: pp aprovado 14/05</v>
      </c>
      <c r="B1035" s="93"/>
    </row>
    <row r="1036">
      <c r="A1036" s="384" t="str">
        <f>IFERROR(__xludf.DUMMYFUNCTION("""COMPUTED_VALUE"""),"Ederson Farley Riedel | Musica | Em analise | Mariana: não enviou em formato word para correção")</f>
        <v>Ederson Farley Riedel | Musica | Em analise | Mariana: não enviou em formato word para correção</v>
      </c>
      <c r="B1036" s="93"/>
    </row>
    <row r="1037">
      <c r="A1037" s="384" t="str">
        <f>IFERROR(__xludf.DUMMYFUNCTION("""COMPUTED_VALUE"""),"Ederson Rodolfo Rodrigues | Pedagogia | Em análise | Aline Silva: falta itens descritivos e fichas, recolher assinaturas, horas ok")</f>
        <v>Ederson Rodolfo Rodrigues | Pedagogia | Em análise | Aline Silva: falta itens descritivos e fichas, recolher assinaturas, horas ok</v>
      </c>
      <c r="B1037" s="93"/>
    </row>
    <row r="1038">
      <c r="A1038" s="384" t="str">
        <f>IFERROR(__xludf.DUMMYFUNCTION("""COMPUTED_VALUE"""),"Éderson Rodolfo Rodrigues | Pedagogia | Aprovado | Aline Silva: aprovado, falta recolher assinaturas// Recebido dia 15/01/2020// Bárbara: conferido e arquivado 09/09/2020")</f>
        <v>Éderson Rodolfo Rodrigues | Pedagogia | Aprovado | Aline Silva: aprovado, falta recolher assinaturas// Recebido dia 15/01/2020// Bárbara: conferido e arquivado 09/09/2020</v>
      </c>
      <c r="B1038" s="93"/>
    </row>
    <row r="1039">
      <c r="A1039" s="384" t="str">
        <f>IFERROR(__xludf.DUMMYFUNCTION("""COMPUTED_VALUE"""),"Édery Dieison Ribeiro | Pedagogia | Aprovado | Júnio: pré aprovado //Júnio: aprovado: 13/07/23")</f>
        <v>Édery Dieison Ribeiro | Pedagogia | Aprovado | Júnio: pré aprovado //Júnio: aprovado: 13/07/23</v>
      </c>
      <c r="B1039" s="93"/>
    </row>
    <row r="1040">
      <c r="A1040" s="384" t="str">
        <f>IFERROR(__xludf.DUMMYFUNCTION("""COMPUTED_VALUE"""),"Ediene Almeida Da Silva | Ciências Biologicas | Aprovado | Thiara: Falta horas. Enviou somente as horas de Ensino Fundamental. /// Thiara: enviou a documentação assinada e aprovei.")</f>
        <v>Ediene Almeida Da Silva | Ciências Biologicas | Aprovado | Thiara: Falta horas. Enviou somente as horas de Ensino Fundamental. /// Thiara: enviou a documentação assinada e aprovei.</v>
      </c>
      <c r="B1040" s="93"/>
    </row>
    <row r="1041">
      <c r="A1041" s="384" t="str">
        <f>IFERROR(__xludf.DUMMYFUNCTION("""COMPUTED_VALUE"""),"Edilaine Alexandrina Da Rocha Camargo | História | Aprovada | Júnio: pré aprovada //Júnio: aprovada 10/08/23")</f>
        <v>Edilaine Alexandrina Da Rocha Camargo | História | Aprovada | Júnio: pré aprovada //Júnio: aprovada 10/08/23</v>
      </c>
      <c r="B1041" s="93"/>
    </row>
    <row r="1042">
      <c r="A1042" s="384" t="str">
        <f>IFERROR(__xludf.DUMMYFUNCTION("""COMPUTED_VALUE"""),"Edilaine: Foram Enviadas Orientações Do Curso De Neuropsicologia Clínica, Portanto O Estágio Tem Somente 60 Horas E Deve Ser Corrigido Conforme As Orientações Enviadas. -- Falta Relatório De Observação, Falta A Carta De Apresentação, Tem Que Enviar A Fich"&amp;"a De Registro Legível. | Neuropsicopedagogia Clínica | Em análise | Edilaine: Foram enviadas orientações do curso de Neuropsicopedagogia Clínica, portanto o estágio tem somente 60 horas e deve ser corrigido conforme as orientações enviadas. -- Falta relat"&amp;"ório de observação, falta a carta de apresentação, tem que enviar a ficha de registro legível.")</f>
        <v>Edilaine: Foram Enviadas Orientações Do Curso De Neuropsicologia Clínica, Portanto O Estágio Tem Somente 60 Horas E Deve Ser Corrigido Conforme As Orientações Enviadas. -- Falta Relatório De Observação, Falta A Carta De Apresentação, Tem Que Enviar A Ficha De Registro Legível. | Neuropsicopedagogia Clínica | Em análise | Edilaine: Foram enviadas orientações do curso de Neuropsicopedagogia Clínica, portanto o estágio tem somente 60 horas e deve ser corrigido conforme as orientações enviadas. -- Falta relatório de observação, falta a carta de apresentação, tem que enviar a ficha de registro legível.</v>
      </c>
      <c r="B1042" s="93"/>
    </row>
    <row r="1043">
      <c r="A1043" s="384" t="str">
        <f>IFERROR(__xludf.DUMMYFUNCTION("""COMPUTED_VALUE"""),"Edilane Aparecida Fernandes | Pedagogia | Aprovada  | Júnio: remoto antigo, etapas 1, 2 e 3 ok// Bárbara: apresentação da 4ª etapa APROVADA ")</f>
        <v>Edilane Aparecida Fernandes | Pedagogia | Aprovada  | Júnio: remoto antigo, etapas 1, 2 e 3 ok// Bárbara: apresentação da 4ª etapa APROVADA </v>
      </c>
      <c r="B1043" s="93"/>
    </row>
    <row r="1044">
      <c r="A1044" s="384" t="str">
        <f>IFERROR(__xludf.DUMMYFUNCTION("""COMPUTED_VALUE"""),"Edilane Aparecida Fernandes | Educação Especial | Aprovada | Júnio: etapas: ok Inicio: 26/07/23 Reenviar: 26/01/24 //Aprovada: 30/01/24")</f>
        <v>Edilane Aparecida Fernandes | Educação Especial | Aprovada | Júnio: etapas: ok Inicio: 26/07/23 Reenviar: 26/01/24 //Aprovada: 30/01/24</v>
      </c>
      <c r="B1044" s="93"/>
    </row>
    <row r="1045">
      <c r="A1045" s="384" t="str">
        <f>IFERROR(__xludf.DUMMYFUNCTION("""COMPUTED_VALUE"""),"Edilene Amorim Silva | Pedagogia | Aprovada  | Bianca: Falta sumário, carta de apresentação, termo de conclusão, fichas de registro estão preenchidas de forma correta.// Bárbara: aprovada 16/12/2021 // Lucas: conferido e arquivado 04/01/2022")</f>
        <v>Edilene Amorim Silva | Pedagogia | Aprovada  | Bianca: Falta sumário, carta de apresentação, termo de conclusão, fichas de registro estão preenchidas de forma correta.// Bárbara: aprovada 16/12/2021 // Lucas: conferido e arquivado 04/01/2022</v>
      </c>
      <c r="B1045" s="93"/>
    </row>
    <row r="1046">
      <c r="A1046" s="384" t="str">
        <f>IFERROR(__xludf.DUMMYFUNCTION("""COMPUTED_VALUE"""),"Edilene Francisca Barbosa Scandurra Pereira | Neuropsicopedagogia Clínica | Aprovada  | Júnio: 28% plágio em todo o trabalho, fazer introdução, capa, sumário, anamnese, ojbjetivos e estratégias desenvolvidas//Alexsiane:aprovado com lançamento no sponte// "&amp;"Alexsiane:conferido e arquivado 06/03/2023")</f>
        <v>Edilene Francisca Barbosa Scandurra Pereira | Neuropsicopedagogia Clínica | Aprovada  | Júnio: 28% plágio em todo o trabalho, fazer introdução, capa, sumário, anamnese, ojbjetivos e estratégias desenvolvidas//Alexsiane:aprovado com lançamento no sponte// Alexsiane:conferido e arquivado 06/03/2023</v>
      </c>
      <c r="B1046" s="93"/>
    </row>
    <row r="1047">
      <c r="A1047" s="384" t="str">
        <f>IFERROR(__xludf.DUMMYFUNCTION("""COMPUTED_VALUE"""),"Edilene Ricardo De Paula De Amorim | Geografia | Em análise | Alexsiane: faltar enviar carta de apresentação, termo de conclusão, colocar na ficha de registro a divisão da carga horaria, especificar o tema das aulas e corrigir a carga horaria  diária que "&amp;"passou de 6 horas ")</f>
        <v>Edilene Ricardo De Paula De Amorim | Geografia | Em análise | Alexsiane: faltar enviar carta de apresentação, termo de conclusão, colocar na ficha de registro a divisão da carga horaria, especificar o tema das aulas e corrigir a carga horaria  diária que passou de 6 horas </v>
      </c>
      <c r="B1047" s="93"/>
    </row>
    <row r="1048">
      <c r="A1048" s="384" t="str">
        <f>IFERROR(__xludf.DUMMYFUNCTION("""COMPUTED_VALUE"""),"Edilene Tavares Dos Santos | Matemática | Aprovada  | Alexsiane: 15% de plágio nos planos de aula 22/01 reenviar// Alexsiane: aprovada no remoto antigo com lançamento no sponte")</f>
        <v>Edilene Tavares Dos Santos | Matemática | Aprovada  | Alexsiane: 15% de plágio nos planos de aula 22/01 reenviar// Alexsiane: aprovada no remoto antigo com lançamento no sponte</v>
      </c>
      <c r="B1048" s="93"/>
    </row>
    <row r="1049">
      <c r="A1049" s="384" t="str">
        <f>IFERROR(__xludf.DUMMYFUNCTION("""COMPUTED_VALUE"""),"Edileusa Erlene Gomes Da Silva | Pedagogia | Aprovada | Lucas: Etapa 1, 2, 3 OK. Falta etapa 4 . (Estagio remoto antigo) //Júnio; aprovada: 29/04/022")</f>
        <v>Edileusa Erlene Gomes Da Silva | Pedagogia | Aprovada | Lucas: Etapa 1, 2, 3 OK. Falta etapa 4 . (Estagio remoto antigo) //Júnio; aprovada: 29/04/022</v>
      </c>
      <c r="B1049" s="93"/>
    </row>
    <row r="1050">
      <c r="A1050" s="384" t="str">
        <f>IFERROR(__xludf.DUMMYFUNCTION("""COMPUTED_VALUE"""),"Edileusa Silva Lima | História | Aprovada | Prazo dos 10 dias atualizados, devido ao não recebimento, 05/10/2022 //Júnio: aprovada: 23/05/23")</f>
        <v>Edileusa Silva Lima | História | Aprovada | Prazo dos 10 dias atualizados, devido ao não recebimento, 05/10/2022 //Júnio: aprovada: 23/05/23</v>
      </c>
      <c r="B1050" s="93"/>
    </row>
    <row r="1051">
      <c r="A1051" s="384" t="str">
        <f>IFERROR(__xludf.DUMMYFUNCTION("""COMPUTED_VALUE"""),"Edileuza Alves Veloso Almeida | Filosofia | Aprovada | Edilaine: faltam 18 planos de aula PRAZO: 19/11/2023 //Júnio: aprovada 05/12/23")</f>
        <v>Edileuza Alves Veloso Almeida | Filosofia | Aprovada | Edilaine: faltam 18 planos de aula PRAZO: 19/11/2023 //Júnio: aprovada 05/12/23</v>
      </c>
      <c r="B1051" s="93"/>
    </row>
    <row r="1052">
      <c r="A1052" s="384" t="str">
        <f>IFERROR(__xludf.DUMMYFUNCTION("""COMPUTED_VALUE"""),"Edileuza Alves Veloso Almeida | Ciências Sociais | Aprovada | Edilaine: faltam 18 planos de aula PRAZO: 19/11/2023 //Júnio: aprovada 05/12/23")</f>
        <v>Edileuza Alves Veloso Almeida | Ciências Sociais | Aprovada | Edilaine: faltam 18 planos de aula PRAZO: 19/11/2023 //Júnio: aprovada 05/12/23</v>
      </c>
      <c r="B1052" s="93"/>
    </row>
    <row r="1053">
      <c r="A1053" s="384" t="str">
        <f>IFERROR(__xludf.DUMMYFUNCTION("""COMPUTED_VALUE"""),"Edilia Viana Carvalho | Artes Visuais | Aprovada | Júnio: PP aprovada")</f>
        <v>Edilia Viana Carvalho | Artes Visuais | Aprovada | Júnio: PP aprovada</v>
      </c>
      <c r="B1053" s="93"/>
    </row>
    <row r="1054">
      <c r="A1054" s="384" t="str">
        <f>IFERROR(__xludf.DUMMYFUNCTION("""COMPUTED_VALUE"""),"Edilma Joana De Figuerêdo Neves Dos Santos | Matemática | Em análise | Alexsiane: enviou somente a carta de apresentação, termo de conclusão e fichas de registro ( especificar nas fichas o tema e a turma), falta todo o restante. até dia 10/07 para reenvia"&amp;"r")</f>
        <v>Edilma Joana De Figuerêdo Neves Dos Santos | Matemática | Em análise | Alexsiane: enviou somente a carta de apresentação, termo de conclusão e fichas de registro ( especificar nas fichas o tema e a turma), falta todo o restante. até dia 10/07 para reenviar</v>
      </c>
      <c r="B1054" s="93"/>
    </row>
    <row r="1055">
      <c r="A1055" s="384" t="str">
        <f>IFERROR(__xludf.DUMMYFUNCTION("""COMPUTED_VALUE"""),"Edilson Aspet De Azambuja | Música | Aprovado | Edilaine: Tem que enviar o trabalho em word editável. A declaração de experiência não é válida.//Alexsiane: Pre-aprovado com lançamentono jacad// Pamela 13/02/2023 Conferido e arquivado. ")</f>
        <v>Edilson Aspet De Azambuja | Música | Aprovado | Edilaine: Tem que enviar o trabalho em word editável. A declaração de experiência não é válida.//Alexsiane: Pre-aprovado com lançamentono jacad// Pamela 13/02/2023 Conferido e arquivado. </v>
      </c>
      <c r="B1055" s="93"/>
    </row>
    <row r="1056">
      <c r="A1056" s="384" t="str">
        <f>IFERROR(__xludf.DUMMYFUNCTION("""COMPUTED_VALUE"""),"Edina Batista De Souza | Pedagogia | Aprovado | Alexsiane: etapas ok, ainda não deu os 6 meses de curso terá que reenviar dia 14/03/2024")</f>
        <v>Edina Batista De Souza | Pedagogia | Aprovado | Alexsiane: etapas ok, ainda não deu os 6 meses de curso terá que reenviar dia 14/03/2024</v>
      </c>
      <c r="B1056" s="93"/>
    </row>
    <row r="1057">
      <c r="A1057" s="384" t="str">
        <f>IFERROR(__xludf.DUMMYFUNCTION("""COMPUTED_VALUE"""),"Edineusa Sales Moura | Pedagogia | Aprovada | Júnio: pré aprovada PRAZO: 16/09/23 //Júnio: aprovada: 15/09/23")</f>
        <v>Edineusa Sales Moura | Pedagogia | Aprovada | Júnio: pré aprovada PRAZO: 16/09/23 //Júnio: aprovada: 15/09/23</v>
      </c>
      <c r="B1057" s="93"/>
    </row>
    <row r="1058">
      <c r="A1058" s="384" t="str">
        <f>IFERROR(__xludf.DUMMYFUNCTION("""COMPUTED_VALUE"""),"Édison Augusto Veloso Murta | Matemática | Em análise | Alexsiane:Enviou os trabalho em formato de imagem.")</f>
        <v>Édison Augusto Veloso Murta | Matemática | Em análise | Alexsiane:Enviou os trabalho em formato de imagem.</v>
      </c>
      <c r="B1058" s="93"/>
    </row>
    <row r="1059">
      <c r="A1059" s="384" t="str">
        <f>IFERROR(__xludf.DUMMYFUNCTION("""COMPUTED_VALUE"""),"Edison Estanislau Da Silva Jr | Música | Em análise | Júnio: PP - falta a etapa 1 e a carta de apresentação.")</f>
        <v>Edison Estanislau Da Silva Jr | Música | Em análise | Júnio: PP - falta a etapa 1 e a carta de apresentação.</v>
      </c>
      <c r="B1059" s="93"/>
    </row>
    <row r="1060">
      <c r="A1060" s="384" t="str">
        <f>IFERROR(__xludf.DUMMYFUNCTION("""COMPUTED_VALUE"""),"Edivanda Maria De Jesus | Pedagogia | Aprovado | Aline Silva: falta recolher assinaturas e carimbos // aprovada dia 06/01/2020// Miryã: conferido e arquivado 11/03/2021")</f>
        <v>Edivanda Maria De Jesus | Pedagogia | Aprovado | Aline Silva: falta recolher assinaturas e carimbos // aprovada dia 06/01/2020// Miryã: conferido e arquivado 11/03/2021</v>
      </c>
      <c r="B1060" s="93"/>
    </row>
    <row r="1061">
      <c r="A1061" s="384" t="str">
        <f>IFERROR(__xludf.DUMMYFUNCTION("""COMPUTED_VALUE"""),"Edivandro De Paula Castro | Filosofia | Em análise | Thiara: Falta ficha de estágio em Gestão e Estrutura. O texto não apresenta erros ortograficos consideraveis somente falhas em digitação. 03/01/2019 O trabalho impresso veio com o documento de Gestão.")</f>
        <v>Edivandro De Paula Castro | Filosofia | Em análise | Thiara: Falta ficha de estágio em Gestão e Estrutura. O texto não apresenta erros ortograficos consideraveis somente falhas em digitação. 03/01/2019 O trabalho impresso veio com o documento de Gestão.</v>
      </c>
      <c r="B1061" s="93"/>
    </row>
    <row r="1062">
      <c r="A1062" s="384" t="str">
        <f>IFERROR(__xludf.DUMMYFUNCTION("""COMPUTED_VALUE"""),"Edivania Aparecida Fernandes | Artes Visuais | Aprovada | Júnio: 25% plágio, consertar margens e referencias //Júnio: aprovada: 27/04/22")</f>
        <v>Edivania Aparecida Fernandes | Artes Visuais | Aprovada | Júnio: 25% plágio, consertar margens e referencias //Júnio: aprovada: 27/04/22</v>
      </c>
      <c r="B1062" s="93"/>
    </row>
    <row r="1063">
      <c r="A1063" s="384" t="str">
        <f>IFERROR(__xludf.DUMMYFUNCTION("""COMPUTED_VALUE"""),"Edizângela De Figuerêdo Neves | Artes Visuais | Aprovada | Alexsiane: falta enviar as referências é especificar o tema e a turma nas fichas de registro  até dia 08/07/2022 para reenviar// Alexsiane: Alexsiane: Pré- aprovada no Padrão com lançamento no Spo"&amp;"nte 08/08/2022 //Júnio: físico conferido e arquivado: 06/10/22")</f>
        <v>Edizângela De Figuerêdo Neves | Artes Visuais | Aprovada | Alexsiane: falta enviar as referências é especificar o tema e a turma nas fichas de registro  até dia 08/07/2022 para reenviar// Alexsiane: Alexsiane: Pré- aprovada no Padrão com lançamento no Sponte 08/08/2022 //Júnio: físico conferido e arquivado: 06/10/22</v>
      </c>
      <c r="B1063" s="93"/>
    </row>
    <row r="1064">
      <c r="A1064" s="384" t="str">
        <f>IFERROR(__xludf.DUMMYFUNCTION("""COMPUTED_VALUE"""),"Edleusa Erlene Gomes Da Silva | Pedagogia | Em análise | Júnio: falta +11 planos de aula e fazer etapa 4")</f>
        <v>Edleusa Erlene Gomes Da Silva | Pedagogia | Em análise | Júnio: falta +11 planos de aula e fazer etapa 4</v>
      </c>
      <c r="B1064" s="93"/>
    </row>
    <row r="1065">
      <c r="A1065" s="384" t="str">
        <f>IFERROR(__xludf.DUMMYFUNCTION("""COMPUTED_VALUE"""),"Edmar Santos Silva | Ed Física | Aprovado | Bianca: aprovado nas 4 etapas do remoto")</f>
        <v>Edmar Santos Silva | Ed Física | Aprovado | Bianca: aprovado nas 4 etapas do remoto</v>
      </c>
      <c r="B1065" s="93"/>
    </row>
    <row r="1066">
      <c r="A1066" s="384" t="str">
        <f>IFERROR(__xludf.DUMMYFUNCTION("""COMPUTED_VALUE"""),"Edméia Pereira Gonçalves | Artes Visuais | Aprovada | Bárbara: primeira e segunda etapa ok, planos sem formatação, com metodologia errada, com tema errado, avaliação sem sentido, objetivos errados. // Bárbara: aprovada 18/01/2021// Bárbara: conferido e ar"&amp;"quivado 04/02/2021 //Amélia 05/02 Trabalho carimbado e entregue a secretaria.")</f>
        <v>Edméia Pereira Gonçalves | Artes Visuais | Aprovada | Bárbara: primeira e segunda etapa ok, planos sem formatação, com metodologia errada, com tema errado, avaliação sem sentido, objetivos errados. // Bárbara: aprovada 18/01/2021// Bárbara: conferido e arquivado 04/02/2021 //Amélia 05/02 Trabalho carimbado e entregue a secretaria.</v>
      </c>
      <c r="B1066" s="93"/>
    </row>
    <row r="1067">
      <c r="A1067" s="384" t="str">
        <f>IFERROR(__xludf.DUMMYFUNCTION("""COMPUTED_VALUE"""),"Edna Aparecida de Souza Gallo | Formação Pedagógica em Pedagogia | Aprovado | Mariana:pp aprovado")</f>
        <v>Edna Aparecida de Souza Gallo | Formação Pedagógica em Pedagogia | Aprovado | Mariana:pp aprovado</v>
      </c>
      <c r="B1067" s="93"/>
    </row>
    <row r="1068">
      <c r="A1068" s="384" t="str">
        <f>IFERROR(__xludf.DUMMYFUNCTION("""COMPUTED_VALUE"""),"Edna De Oliveira | Pedagogia | Aprovado | Ana Flávia: apresentou somente 2 planos de aula // Ana Flávia: aprovada 03/12/2020")</f>
        <v>Edna De Oliveira | Pedagogia | Aprovado | Ana Flávia: apresentou somente 2 planos de aula // Ana Flávia: aprovada 03/12/2020</v>
      </c>
      <c r="B1068" s="93"/>
    </row>
    <row r="1069">
      <c r="A1069" s="384" t="str">
        <f>IFERROR(__xludf.DUMMYFUNCTION("""COMPUTED_VALUE"""),"Edna Francisca De Carvalho | Pedagogia | Aprovada | Bárbara: aprovada nas 3 primeiras etapas do remoto. // Bárbara: aprovada 16/03/2021")</f>
        <v>Edna Francisca De Carvalho | Pedagogia | Aprovada | Bárbara: aprovada nas 3 primeiras etapas do remoto. // Bárbara: aprovada 16/03/2021</v>
      </c>
      <c r="B1069" s="93"/>
    </row>
    <row r="1070">
      <c r="A1070" s="384" t="str">
        <f>IFERROR(__xludf.DUMMYFUNCTION("""COMPUTED_VALUE"""),"Edna Maria Aparecida De Andrade Cerqueira | Artes Visuais | Aprovado | Bárbara: aprovada nas 3 priemeiras etapas do remoto, aguarando a última // Bárbara: aprovada na 4ª etapa 14/01/2021")</f>
        <v>Edna Maria Aparecida De Andrade Cerqueira | Artes Visuais | Aprovado | Bárbara: aprovada nas 3 priemeiras etapas do remoto, aguarando a última // Bárbara: aprovada na 4ª etapa 14/01/2021</v>
      </c>
      <c r="B1070" s="93"/>
    </row>
    <row r="1071">
      <c r="A1071" s="384" t="str">
        <f>IFERROR(__xludf.DUMMYFUNCTION("""COMPUTED_VALUE"""),"Edna Milena Fernandes De Lima | Pedagogia | Aprovada | Alexsiane: encaminhar o plano de aula digitado e especificar o tema da gestão, restante ok /// Edilaine: Pré-aprovada 14/02/2023 /// Edilaine: Aprovada 02/03/2023")</f>
        <v>Edna Milena Fernandes De Lima | Pedagogia | Aprovada | Alexsiane: encaminhar o plano de aula digitado e especificar o tema da gestão, restante ok /// Edilaine: Pré-aprovada 14/02/2023 /// Edilaine: Aprovada 02/03/2023</v>
      </c>
      <c r="B1071" s="93"/>
    </row>
    <row r="1072">
      <c r="A1072" s="384" t="str">
        <f>IFERROR(__xludf.DUMMYFUNCTION("""COMPUTED_VALUE"""),"Edna Oliveira Chaves | Pedagogia Bt | Aprovada | Alexsiane: PCC I: APROVADO; PCC II: tem que preencher a tabela de registro; PCC III: tem que preencher a tabela de registro; PCC IV: tem que fazer o trabalho pois veio em branco. Falta fazer o PP//Alexsiane"&amp;": pp e pcc aprovados 11/06")</f>
        <v>Edna Oliveira Chaves | Pedagogia Bt | Aprovada | Alexsiane: PCC I: APROVADO; PCC II: tem que preencher a tabela de registro; PCC III: tem que preencher a tabela de registro; PCC IV: tem que fazer o trabalho pois veio em branco. Falta fazer o PP//Alexsiane: pp e pcc aprovados 11/06</v>
      </c>
      <c r="B1072" s="93"/>
    </row>
    <row r="1073">
      <c r="A1073" s="384" t="str">
        <f>IFERROR(__xludf.DUMMYFUNCTION("""COMPUTED_VALUE"""),"Edna Oliveira Chaves | Bacharéis Em Pedagogia | Aprovada | Cris: solicitação de preenchimento das fichas com registro de atividades, carimbo da instituição e assinatura do responsável, adequação das referências bibliográficas.// Alexsiane: pp e pcc aprova"&amp;"do 11/06/24")</f>
        <v>Edna Oliveira Chaves | Bacharéis Em Pedagogia | Aprovada | Cris: solicitação de preenchimento das fichas com registro de atividades, carimbo da instituição e assinatura do responsável, adequação das referências bibliográficas.// Alexsiane: pp e pcc aprovado 11/06/24</v>
      </c>
      <c r="B1073" s="93"/>
    </row>
    <row r="1074">
      <c r="A1074" s="384" t="str">
        <f>IFERROR(__xludf.DUMMYFUNCTION("""COMPUTED_VALUE"""),"Ednalva De Souza Saraiva | Pedagogia | Aprovado | Bárbara: aprovado 3 primeiras etapas do estágio remoto, aguardando 4 etapa.// Bárbara: aprovada 4ª etapa 09/10/2020")</f>
        <v>Ednalva De Souza Saraiva | Pedagogia | Aprovado | Bárbara: aprovado 3 primeiras etapas do estágio remoto, aguardando 4 etapa.// Bárbara: aprovada 4ª etapa 09/10/2020</v>
      </c>
      <c r="B1074" s="93"/>
    </row>
    <row r="1075">
      <c r="A1075" s="384" t="str">
        <f>IFERROR(__xludf.DUMMYFUNCTION("""COMPUTED_VALUE"""),"Ednalva Neves Coelho | Letras Português Inglês | Aprovado | Bianca: Faltam etapas 1,2 e 3 do estágio remoto atualizado//Alexsiane: aprovado com lançamento no Sponte //Júnio: físico, conferido e arquivado: 15/07/22")</f>
        <v>Ednalva Neves Coelho | Letras Português Inglês | Aprovado | Bianca: Faltam etapas 1,2 e 3 do estágio remoto atualizado//Alexsiane: aprovado com lançamento no Sponte //Júnio: físico, conferido e arquivado: 15/07/22</v>
      </c>
      <c r="B1075" s="93"/>
    </row>
    <row r="1076">
      <c r="A1076" s="384" t="str">
        <f>IFERROR(__xludf.DUMMYFUNCTION("""COMPUTED_VALUE"""),"Ednamar De Resende Andrade | Letras Port./Ing. | Pré-aprovado | Estella: fazer certificado de 300 horas.")</f>
        <v>Ednamar De Resende Andrade | Letras Port./Ing. | Pré-aprovado | Estella: fazer certificado de 300 horas.</v>
      </c>
      <c r="B1076" s="93"/>
    </row>
    <row r="1077">
      <c r="A1077" s="384" t="str">
        <f>IFERROR(__xludf.DUMMYFUNCTION("""COMPUTED_VALUE"""),"Edneide Aparecida Rosário Silva | Geografia | Aprovado | Thiara: aprovado. Recebido dia 21/01/2019.")</f>
        <v>Edneide Aparecida Rosário Silva | Geografia | Aprovado | Thiara: aprovado. Recebido dia 21/01/2019.</v>
      </c>
      <c r="B1077" s="93"/>
    </row>
    <row r="1078">
      <c r="A1078" s="384" t="str">
        <f>IFERROR(__xludf.DUMMYFUNCTION("""COMPUTED_VALUE"""),"Ednelson Hilário Souza | Educação Física | Aprovado | Júnio: PP aprovado")</f>
        <v>Ednelson Hilário Souza | Educação Física | Aprovado | Júnio: PP aprovado</v>
      </c>
      <c r="B1078" s="93"/>
    </row>
    <row r="1079">
      <c r="A1079" s="384" t="str">
        <f>IFERROR(__xludf.DUMMYFUNCTION("""COMPUTED_VALUE"""),"Ednilson Moisés De Lima E Silva | Geografia | Geografia | Bianca: aprovado nas 4 etapas do remoto atualizado // Lucas: conferido e arquivado 04/01/2022")</f>
        <v>Ednilson Moisés De Lima E Silva | Geografia | Geografia | Bianca: aprovado nas 4 etapas do remoto atualizado // Lucas: conferido e arquivado 04/01/2022</v>
      </c>
      <c r="B1079" s="93"/>
    </row>
    <row r="1080">
      <c r="A1080" s="384" t="str">
        <f>IFERROR(__xludf.DUMMYFUNCTION("""COMPUTED_VALUE"""),"Edriane Araújo Serra Sousa | Pós-Graduação Em Neuropsicopedagogia Institucional, Clínica E Hospitalar | em análise | Alexsiane:plágio total e tem que colocar o trabalho em nosso modelo padrão 05/08 reenviar")</f>
        <v>Edriane Araújo Serra Sousa | Pós-Graduação Em Neuropsicopedagogia Institucional, Clínica E Hospitalar | em análise | Alexsiane:plágio total e tem que colocar o trabalho em nosso modelo padrão 05/08 reenviar</v>
      </c>
      <c r="B1080" s="93"/>
    </row>
    <row r="1081">
      <c r="A1081" s="384" t="str">
        <f>IFERROR(__xludf.DUMMYFUNCTION("""COMPUTED_VALUE"""),"Edson Carlos Da Silva | Pedagogia | Em análise | Bianca: plágio")</f>
        <v>Edson Carlos Da Silva | Pedagogia | Em análise | Bianca: plágio</v>
      </c>
      <c r="B1081" s="93"/>
    </row>
    <row r="1082">
      <c r="A1082" s="384" t="str">
        <f>IFERROR(__xludf.DUMMYFUNCTION("""COMPUTED_VALUE"""),"Edson Dos Santos | Pedagogia | Aprovado | Bárbara: apresentou declração de expe válida, para isen de 50% da carga horária de observação e regência //// Edilaine: Pré- aprovado 10/02/2023 /// Edilaine: Aprovado 08/03/2023")</f>
        <v>Edson Dos Santos | Pedagogia | Aprovado | Bárbara: apresentou declração de expe válida, para isen de 50% da carga horária de observação e regência //// Edilaine: Pré- aprovado 10/02/2023 /// Edilaine: Aprovado 08/03/2023</v>
      </c>
      <c r="B1082" s="93"/>
    </row>
    <row r="1083">
      <c r="A1083" s="384" t="str">
        <f>IFERROR(__xludf.DUMMYFUNCTION("""COMPUTED_VALUE"""),"Edson Ferreira Costa | Pedagogia | Aprovado | Alexsiane: pp aprovado")</f>
        <v>Edson Ferreira Costa | Pedagogia | Aprovado | Alexsiane: pp aprovado</v>
      </c>
      <c r="B1083" s="93"/>
    </row>
    <row r="1084">
      <c r="A1084" s="384" t="str">
        <f>IFERROR(__xludf.DUMMYFUNCTION("""COMPUTED_VALUE"""),"Edson Ferreira De Oliveira | Pedagogia | Em análise | Bianca: apenas carta de apresentação e termo de conclusão")</f>
        <v>Edson Ferreira De Oliveira | Pedagogia | Em análise | Bianca: apenas carta de apresentação e termo de conclusão</v>
      </c>
      <c r="B1084" s="93"/>
    </row>
    <row r="1085">
      <c r="A1085" s="384" t="str">
        <f>IFERROR(__xludf.DUMMYFUNCTION("""COMPUTED_VALUE"""),"Edson Jose Marques Goes | Ciencias Sociais | Aprovado | Júnio: pré aprovado PRAZO: 06/11/23 //Júnio:  aprovado: 31/10/23")</f>
        <v>Edson Jose Marques Goes | Ciencias Sociais | Aprovado | Júnio: pré aprovado PRAZO: 06/11/23 //Júnio:  aprovado: 31/10/23</v>
      </c>
      <c r="B1085" s="93"/>
    </row>
    <row r="1086">
      <c r="A1086" s="384" t="str">
        <f>IFERROR(__xludf.DUMMYFUNCTION("""COMPUTED_VALUE"""),"Eduana Bagli Moraes (Edna) | Artes Visuais | Aprovado | Helder disse ter olhado esta semana e estava tudo ok (05/10).")</f>
        <v>Eduana Bagli Moraes (Edna) | Artes Visuais | Aprovado | Helder disse ter olhado esta semana e estava tudo ok (05/10).</v>
      </c>
      <c r="B1086" s="93"/>
    </row>
    <row r="1087">
      <c r="A1087" s="384" t="str">
        <f>IFERROR(__xludf.DUMMYFUNCTION("""COMPUTED_VALUE"""),"Eduarda Carlos De Lima | Ciências Biologicas | Aprovada | Júnio: PP aprovada")</f>
        <v>Eduarda Carlos De Lima | Ciências Biologicas | Aprovada | Júnio: PP aprovada</v>
      </c>
      <c r="B1087" s="93"/>
    </row>
    <row r="1088">
      <c r="A1088" s="384" t="str">
        <f>IFERROR(__xludf.DUMMYFUNCTION("""COMPUTED_VALUE"""),"Eduarda Maria Da Silva | Neuropsicopedagogia Instittucional Clínica E Hospitalar | Em análise | Bianca: colocar temas nas fichas e tampar rosto das crianças// Bianca aprovada em 19/11/2021 //Júnio: conferido e arquivado 03/12/21")</f>
        <v>Eduarda Maria Da Silva | Neuropsicopedagogia Instittucional Clínica E Hospitalar | Em análise | Bianca: colocar temas nas fichas e tampar rosto das crianças// Bianca aprovada em 19/11/2021 //Júnio: conferido e arquivado 03/12/21</v>
      </c>
      <c r="B1088" s="93"/>
    </row>
    <row r="1089">
      <c r="A1089" s="384" t="str">
        <f>IFERROR(__xludf.DUMMYFUNCTION("""COMPUTED_VALUE"""),"Eduarda Roberta Outeiro Rodrigues | Formação Pedag. Pedagogia | Aprovado | Cris: PP aprovado")</f>
        <v>Eduarda Roberta Outeiro Rodrigues | Formação Pedag. Pedagogia | Aprovado | Cris: PP aprovado</v>
      </c>
      <c r="B1089" s="93"/>
    </row>
    <row r="1090">
      <c r="A1090" s="384" t="str">
        <f>IFERROR(__xludf.DUMMYFUNCTION("""COMPUTED_VALUE"""),"Eduardo André Duarte De Araújo | Letras Por Inglês | Aprovado | Bárbara: aprovado nas 3 etapas do remoto, e apresentou delcaração de experiência válida;")</f>
        <v>Eduardo André Duarte De Araújo | Letras Por Inglês | Aprovado | Bárbara: aprovado nas 3 etapas do remoto, e apresentou delcaração de experiência válida;</v>
      </c>
      <c r="B1090" s="93"/>
    </row>
    <row r="1091">
      <c r="A1091" s="384" t="str">
        <f>IFERROR(__xludf.DUMMYFUNCTION("""COMPUTED_VALUE"""),"Eduardo Fabiano Lopes | Pedagogia | Aprovado | Júnio: PP aprovado")</f>
        <v>Eduardo Fabiano Lopes | Pedagogia | Aprovado | Júnio: PP aprovado</v>
      </c>
      <c r="B1091" s="93"/>
    </row>
    <row r="1092">
      <c r="A1092" s="384" t="str">
        <f>IFERROR(__xludf.DUMMYFUNCTION("""COMPUTED_VALUE"""),"Eduardo Henrique Bovo | Pedagogia | Aprovado | Bianca: aprovado nas 4 etapas 07/04/2021")</f>
        <v>Eduardo Henrique Bovo | Pedagogia | Aprovado | Bianca: aprovado nas 4 etapas 07/04/2021</v>
      </c>
      <c r="B1092" s="93"/>
    </row>
    <row r="1093">
      <c r="A1093" s="384" t="str">
        <f>IFERROR(__xludf.DUMMYFUNCTION("""COMPUTED_VALUE"""),"Eduardo Magalhães Moreira | Matemática | aprovado | Bianca: aprovado nas 4 etapas do remoto atualizado")</f>
        <v>Eduardo Magalhães Moreira | Matemática | aprovado | Bianca: aprovado nas 4 etapas do remoto atualizado</v>
      </c>
      <c r="B1093" s="93"/>
    </row>
    <row r="1094">
      <c r="A1094" s="384" t="str">
        <f>IFERROR(__xludf.DUMMYFUNCTION("""COMPUTED_VALUE"""),"Eduardo Magalhães Moreira | Pedagogia | Aprovado | Bárbara: aprovado etapas 1, 2 e 3 do estágio remoto, aguardando agendamento da 4ª //Bianca: aprovado: 01/07/2021")</f>
        <v>Eduardo Magalhães Moreira | Pedagogia | Aprovado | Bárbara: aprovado etapas 1, 2 e 3 do estágio remoto, aguardando agendamento da 4ª //Bianca: aprovado: 01/07/2021</v>
      </c>
      <c r="B1094" s="93"/>
    </row>
    <row r="1095">
      <c r="A1095" s="384" t="str">
        <f>IFERROR(__xludf.DUMMYFUNCTION("""COMPUTED_VALUE"""),"Eduardo Marques Prezoto | Pedagogia | Em análise | Bárbara: aprovado nas tres primeiras etapas do remoto// Ana Flávia: apresentou aula 30/12/2020 Aprovado")</f>
        <v>Eduardo Marques Prezoto | Pedagogia | Em análise | Bárbara: aprovado nas tres primeiras etapas do remoto// Ana Flávia: apresentou aula 30/12/2020 Aprovado</v>
      </c>
      <c r="B1095" s="93"/>
    </row>
    <row r="1096">
      <c r="A1096" s="384" t="str">
        <f>IFERROR(__xludf.DUMMYFUNCTION("""COMPUTED_VALUE"""),"Eduardo Nascimento De Lucas | Geografia | Aprovado | PP: falta responder o questionário //Júnio: aprovado: 04/10/23")</f>
        <v>Eduardo Nascimento De Lucas | Geografia | Aprovado | PP: falta responder o questionário //Júnio: aprovado: 04/10/23</v>
      </c>
      <c r="B1096" s="93"/>
    </row>
    <row r="1097">
      <c r="A1097" s="384" t="str">
        <f>IFERROR(__xludf.DUMMYFUNCTION("""COMPUTED_VALUE"""),"Eduardo Ribeiro | Artes Visuais | Aprovado | Certificado de horas ZAYN (curso de capacitação).")</f>
        <v>Eduardo Ribeiro | Artes Visuais | Aprovado | Certificado de horas ZAYN (curso de capacitação).</v>
      </c>
      <c r="B1097" s="93"/>
    </row>
    <row r="1098">
      <c r="A1098" s="384" t="str">
        <f>IFERROR(__xludf.DUMMYFUNCTION("""COMPUTED_VALUE"""),"Eduardo Vieira Da Silva | Ed Física | Em análise | Amélia: aprovado nas 3 primeiras etapas do remoto// Bárbara: aprovado 12/03/2021")</f>
        <v>Eduardo Vieira Da Silva | Ed Física | Em análise | Amélia: aprovado nas 3 primeiras etapas do remoto// Bárbara: aprovado 12/03/2021</v>
      </c>
      <c r="B1098" s="93"/>
    </row>
    <row r="1099">
      <c r="A1099" s="384" t="str">
        <f>IFERROR(__xludf.DUMMYFUNCTION("""COMPUTED_VALUE"""),"Educação Física | 44592 | Alexsiane: remoto antigo- enviou etapa 1 e 2 e um plano de aula, fazer todo o resto | ")</f>
        <v>Educação Física | 44592 | Alexsiane: remoto antigo- enviou etapa 1 e 2 e um plano de aula, fazer todo o resto | </v>
      </c>
      <c r="B1099" s="93"/>
    </row>
    <row r="1100">
      <c r="A1100" s="384" t="str">
        <f>IFERROR(__xludf.DUMMYFUNCTION("""COMPUTED_VALUE"""),"Edvane Rodrigues De Sousa Cunha | Artes Visuais | Aprovado | Bárbara: aprovado em todas as etapas // Bárbara: conferido e arquivado 04/02/2021// Bárbara: conferido e arquivado 03/03/2021")</f>
        <v>Edvane Rodrigues De Sousa Cunha | Artes Visuais | Aprovado | Bárbara: aprovado em todas as etapas // Bárbara: conferido e arquivado 04/02/2021// Bárbara: conferido e arquivado 03/03/2021</v>
      </c>
      <c r="B1100" s="93"/>
    </row>
    <row r="1101">
      <c r="A1101" s="384" t="str">
        <f>IFERROR(__xludf.DUMMYFUNCTION("""COMPUTED_VALUE"""),"Edvanei Lopes Ferreira | História | aprovado | Aline Silva: aprovado, ok, planos de aula.// Bárbara: conferido e arquivado 28/05/2021")</f>
        <v>Edvanei Lopes Ferreira | História | aprovado | Aline Silva: aprovado, ok, planos de aula.// Bárbara: conferido e arquivado 28/05/2021</v>
      </c>
      <c r="B1101" s="93"/>
    </row>
    <row r="1102">
      <c r="A1102" s="384" t="str">
        <f>IFERROR(__xludf.DUMMYFUNCTION("""COMPUTED_VALUE"""),"Efigenia Rocha Ribeiro | Neuropsicopedagogia Institucional,Clínica E Hospitalar | Aprovada | Júnio: pré aprovada //Júnio: aprovada: 05/12/2023")</f>
        <v>Efigenia Rocha Ribeiro | Neuropsicopedagogia Institucional,Clínica E Hospitalar | Aprovada | Júnio: pré aprovada //Júnio: aprovada: 05/12/2023</v>
      </c>
      <c r="B1102" s="93"/>
    </row>
    <row r="1103">
      <c r="A1103" s="384" t="str">
        <f>IFERROR(__xludf.DUMMYFUNCTION("""COMPUTED_VALUE"""),"Efrain Rael De Eron Silva De Azevedo | Música | Aprovado | Alexsiane: pp aprovado")</f>
        <v>Efrain Rael De Eron Silva De Azevedo | Música | Aprovado | Alexsiane: pp aprovado</v>
      </c>
      <c r="B1103" s="93"/>
    </row>
    <row r="1104">
      <c r="A1104" s="384" t="str">
        <f>IFERROR(__xludf.DUMMYFUNCTION("""COMPUTED_VALUE"""),"Eidy Luize Da Silva | Pedagogia Para Bachareis E Tecnologos | Aprovada | Júnio: pre aprovada //Júnio: aprovada: 01/09/23")</f>
        <v>Eidy Luize Da Silva | Pedagogia Para Bachareis E Tecnologos | Aprovada | Júnio: pre aprovada //Júnio: aprovada: 01/09/23</v>
      </c>
      <c r="B1104" s="93"/>
    </row>
    <row r="1105">
      <c r="A1105" s="384" t="str">
        <f>IFERROR(__xludf.DUMMYFUNCTION("""COMPUTED_VALUE"""),"Eidy Luize Da Silva | Letras Português | Aprovada | Júnio: PP - 21% plágio e falta a etapa 2. //Júnio: aprovada: 14/09/2023")</f>
        <v>Eidy Luize Da Silva | Letras Português | Aprovada | Júnio: PP - 21% plágio e falta a etapa 2. //Júnio: aprovada: 14/09/2023</v>
      </c>
      <c r="B1105" s="93"/>
    </row>
    <row r="1106">
      <c r="A1106" s="384" t="str">
        <f>IFERROR(__xludf.DUMMYFUNCTION("""COMPUTED_VALUE"""),"Elaine Alves Dos Reis | Geografia | Aprovado | Aline Silva: falta carta de apresentação e termo de conclusão, rec ass. // Aline: aprovado 13/10/2020// Bárbara: conferido e arquivado 03/11/2020")</f>
        <v>Elaine Alves Dos Reis | Geografia | Aprovado | Aline Silva: falta carta de apresentação e termo de conclusão, rec ass. // Aline: aprovado 13/10/2020// Bárbara: conferido e arquivado 03/11/2020</v>
      </c>
      <c r="B1106" s="93"/>
    </row>
    <row r="1107">
      <c r="A1107" s="384" t="str">
        <f>IFERROR(__xludf.DUMMYFUNCTION("""COMPUTED_VALUE"""),"Elaine Betelli | Neuropsicopedagogia | Aprovada | Lucas: Aprovada no estagio Remoto em Neuropsicopedagogia ")</f>
        <v>Elaine Betelli | Neuropsicopedagogia | Aprovada | Lucas: Aprovada no estagio Remoto em Neuropsicopedagogia </v>
      </c>
      <c r="B1107" s="93"/>
    </row>
    <row r="1108">
      <c r="A1108" s="384" t="str">
        <f>IFERROR(__xludf.DUMMYFUNCTION("""COMPUTED_VALUE"""),"Elaine Betelli | Pedagogia | Aprovado | Júnio: falta a etapa 4//alexsiane: ficha de estágio aprovada. Enviada por e-mail")</f>
        <v>Elaine Betelli | Pedagogia | Aprovado | Júnio: falta a etapa 4//alexsiane: ficha de estágio aprovada. Enviada por e-mail</v>
      </c>
      <c r="B1108" s="93"/>
    </row>
    <row r="1109">
      <c r="A1109" s="384" t="str">
        <f>IFERROR(__xludf.DUMMYFUNCTION("""COMPUTED_VALUE"""),"Elaine Borges Da Silva Sueth | Ciências Sociais | Aprovada | Bianca: falta carta de apresentação e termo de conclusão //Júnio: aprovada: 27/07/21 //Júnio: conferido e arquivado: 09/08/21")</f>
        <v>Elaine Borges Da Silva Sueth | Ciências Sociais | Aprovada | Bianca: falta carta de apresentação e termo de conclusão //Júnio: aprovada: 27/07/21 //Júnio: conferido e arquivado: 09/08/21</v>
      </c>
      <c r="B1109" s="93"/>
    </row>
    <row r="1110">
      <c r="A1110" s="384" t="str">
        <f>IFERROR(__xludf.DUMMYFUNCTION("""COMPUTED_VALUE"""),"Elaine Cristina Barbosa De Oliveira | Letras - Português Inglês | Aprovada | Júnio: aprovada remoto atualizado -Em caráter excepcional tutoria aceitou o envio todo digitalizado. //Júnio: conferida e arquivada: 18/04/22")</f>
        <v>Elaine Cristina Barbosa De Oliveira | Letras - Português Inglês | Aprovada | Júnio: aprovada remoto atualizado -Em caráter excepcional tutoria aceitou o envio todo digitalizado. //Júnio: conferida e arquivada: 18/04/22</v>
      </c>
      <c r="B1110" s="93"/>
    </row>
    <row r="1111">
      <c r="A1111" s="384" t="str">
        <f>IFERROR(__xludf.DUMMYFUNCTION("""COMPUTED_VALUE"""),"Elaine Cristina Barbosa Dos Anjos | Artes Visuais | Aprovada  | Bianca: falta termo de conclusão e carta de apresentação e preencher fichas// Bárbara: aprovada e autorizada a enviar físico 09/12/2021 Júnio: conferido e arquivado: 17/12/21")</f>
        <v>Elaine Cristina Barbosa Dos Anjos | Artes Visuais | Aprovada  | Bianca: falta termo de conclusão e carta de apresentação e preencher fichas// Bárbara: aprovada e autorizada a enviar físico 09/12/2021 Júnio: conferido e arquivado: 17/12/21</v>
      </c>
      <c r="B1111" s="93"/>
    </row>
    <row r="1112">
      <c r="A1112" s="384" t="str">
        <f>IFERROR(__xludf.DUMMYFUNCTION("""COMPUTED_VALUE"""),"Elaine Cristina Dos Santos Gonçalves | Letras Português Inglês | Aprovada | Alexsiane: falta fichas de registro, termo de conclusão, carta de apresentação e encamihar a declaração de experência escaneada e preenchida 07/01/23 OBS: prazo estendido até 16/0"&amp;"1/23, pois ela viu a mensagem  só no dia 06/01//Alexsiane: Pré-aprovada, autorizada a autenticar. //// Edilaine: Aprovada 07/03/2023.")</f>
        <v>Elaine Cristina Dos Santos Gonçalves | Letras Português Inglês | Aprovada | Alexsiane: falta fichas de registro, termo de conclusão, carta de apresentação e encamihar a declaração de experência escaneada e preenchida 07/01/23 OBS: prazo estendido até 16/01/23, pois ela viu a mensagem  só no dia 06/01//Alexsiane: Pré-aprovada, autorizada a autenticar. //// Edilaine: Aprovada 07/03/2023.</v>
      </c>
      <c r="B1112" s="93"/>
    </row>
    <row r="1113">
      <c r="A1113" s="384" t="str">
        <f>IFERROR(__xludf.DUMMYFUNCTION("""COMPUTED_VALUE"""),"Elaine Cristina Mendes De Oliveira | Artes Visuais | Aprovada  | Lucas: Plagio 29,22%, complemnetar etapas 1, 2, 3. // Bárbara: aprovada: 09/12")</f>
        <v>Elaine Cristina Mendes De Oliveira | Artes Visuais | Aprovada  | Lucas: Plagio 29,22%, complemnetar etapas 1, 2, 3. // Bárbara: aprovada: 09/12</v>
      </c>
      <c r="B1113" s="93"/>
    </row>
    <row r="1114">
      <c r="A1114" s="384" t="str">
        <f>IFERROR(__xludf.DUMMYFUNCTION("""COMPUTED_VALUE"""),"Elaine Dos Santos Felizardo Maria | Artes Visuais | Aprovada | Júnio: pré aprovada -PRAZO: 13/07/23 //Júnio: aprovada: 13/07/23")</f>
        <v>Elaine Dos Santos Felizardo Maria | Artes Visuais | Aprovada | Júnio: pré aprovada -PRAZO: 13/07/23 //Júnio: aprovada: 13/07/23</v>
      </c>
      <c r="B1114" s="93"/>
    </row>
    <row r="1115">
      <c r="A1115" s="384" t="str">
        <f>IFERROR(__xludf.DUMMYFUNCTION("""COMPUTED_VALUE"""),"Elaine Henrique Barboza | Educação Física | Aprovada | Júnio: declaração de experiência válida, completar carga horária faltante, especificar tipo de acompanhamento e  série, preencher campos em branco das fichas e falta todas as etapas dissertativas //Jú"&amp;"nio: aprovada: 13/06/23")</f>
        <v>Elaine Henrique Barboza | Educação Física | Aprovada | Júnio: declaração de experiência válida, completar carga horária faltante, especificar tipo de acompanhamento e  série, preencher campos em branco das fichas e falta todas as etapas dissertativas //Júnio: aprovada: 13/06/23</v>
      </c>
      <c r="B1115" s="93"/>
    </row>
    <row r="1116">
      <c r="A1116" s="384" t="str">
        <f>IFERROR(__xludf.DUMMYFUNCTION("""COMPUTED_VALUE"""),"Elaine Lopes Ramos | Letras Port Inglês |  | Aline Silva: nenhuma informação anterior , recebido no instituto dia 04/12/2019// Bárbara: Conferido e arquivado 15/09/2020")</f>
        <v>Elaine Lopes Ramos | Letras Port Inglês |  | Aline Silva: nenhuma informação anterior , recebido no instituto dia 04/12/2019// Bárbara: Conferido e arquivado 15/09/2020</v>
      </c>
      <c r="B1116" s="93"/>
    </row>
    <row r="1117">
      <c r="A1117" s="384" t="str">
        <f>IFERROR(__xludf.DUMMYFUNCTION("""COMPUTED_VALUE"""),"Elaine Maria Machado Couto | Letras Português | aprovado | Thiara: aprovado// Aline Silva : Recebido no instituto encadernado e impresso dia 26/11/2019// Miryã: conferido e arquivado 15/03/2021")</f>
        <v>Elaine Maria Machado Couto | Letras Português | aprovado | Thiara: aprovado// Aline Silva : Recebido no instituto encadernado e impresso dia 26/11/2019// Miryã: conferido e arquivado 15/03/2021</v>
      </c>
      <c r="B1117" s="93"/>
    </row>
    <row r="1118">
      <c r="A1118" s="384" t="str">
        <f>IFERROR(__xludf.DUMMYFUNCTION("""COMPUTED_VALUE"""),"Elaine Nunes Rodrigues | Pedagogia | Aprovada | Júnio: pelo guru declaração de experiência válida //Júnio: aprovada: 06/12/23")</f>
        <v>Elaine Nunes Rodrigues | Pedagogia | Aprovada | Júnio: pelo guru declaração de experiência válida //Júnio: aprovada: 06/12/23</v>
      </c>
      <c r="B1118" s="93"/>
    </row>
    <row r="1119">
      <c r="A1119" s="384" t="str">
        <f>IFERROR(__xludf.DUMMYFUNCTION("""COMPUTED_VALUE"""),"Elaine Soares De Oliveira Avelar | Pedagogia | Aprovada | Bianca: enviou apenas fichas de registros. //Júnio: Conferido e arquivado: 05/11/2021")</f>
        <v>Elaine Soares De Oliveira Avelar | Pedagogia | Aprovada | Bianca: enviou apenas fichas de registros. //Júnio: Conferido e arquivado: 05/11/2021</v>
      </c>
      <c r="B1119" s="93"/>
    </row>
    <row r="1120">
      <c r="A1120" s="384" t="str">
        <f>IFERROR(__xludf.DUMMYFUNCTION("""COMPUTED_VALUE"""),"Elaine Souza Dos Santos Gomes | Letras/Inglês | Aprovada | Edilaine: 12,94% de plágio, tem que fazer capa, contracapa, sumário, autoavaliação. Falta carta de apresentação, termo de conclusão. Deve escolher apenas um plano de aula, tem que especificar nas "&amp;"fichas de registro o tipo de acompanhamento e deve colocar os dias que foram feito o estágio separados nas fichas.  //Júnio: aprovada: 04/08/23")</f>
        <v>Elaine Souza Dos Santos Gomes | Letras/Inglês | Aprovada | Edilaine: 12,94% de plágio, tem que fazer capa, contracapa, sumário, autoavaliação. Falta carta de apresentação, termo de conclusão. Deve escolher apenas um plano de aula, tem que especificar nas fichas de registro o tipo de acompanhamento e deve colocar os dias que foram feito o estágio separados nas fichas.  //Júnio: aprovada: 04/08/23</v>
      </c>
      <c r="B1120" s="93"/>
    </row>
    <row r="1121">
      <c r="A1121" s="384" t="str">
        <f>IFERROR(__xludf.DUMMYFUNCTION("""COMPUTED_VALUE"""),"Elainia Ferreira Rosa Prado | Pedagogia | Aprovada | Bianca: aprovada nas 3 primeiras etapas //Bárbara: aprovada: 20/07/21")</f>
        <v>Elainia Ferreira Rosa Prado | Pedagogia | Aprovada | Bianca: aprovada nas 3 primeiras etapas //Bárbara: aprovada: 20/07/21</v>
      </c>
      <c r="B1121" s="93"/>
    </row>
    <row r="1122">
      <c r="A1122" s="384" t="str">
        <f>IFERROR(__xludf.DUMMYFUNCTION("""COMPUTED_VALUE"""),"Elane Cristina Da Silva Dias | Letras-Português/Espanhol | Aprovado | Alexsiane: PP está falando a carta de apresentação da 2° etapa. Terá até dia 11/02/24 para reenviar// Alexsiane: PP aprovado 14/06 (camila autorizou)")</f>
        <v>Elane Cristina Da Silva Dias | Letras-Português/Espanhol | Aprovado | Alexsiane: PP está falando a carta de apresentação da 2° etapa. Terá até dia 11/02/24 para reenviar// Alexsiane: PP aprovado 14/06 (camila autorizou)</v>
      </c>
      <c r="B1122" s="93"/>
    </row>
    <row r="1123">
      <c r="A1123" s="384" t="str">
        <f>IFERROR(__xludf.DUMMYFUNCTION("""COMPUTED_VALUE"""),"Elber Barbosa De Oliveira | História | Aprovado | Bárbara: estágio remoto 3 etapas estão ok, mas aluno precisa formatar referências e elementos pré textuais, e anexar o comprovante de experiencia. // Bárbara: aprovado 20/11/2020 //Júnio: conferido e arqui"&amp;"vado: 16/06/2021")</f>
        <v>Elber Barbosa De Oliveira | História | Aprovado | Bárbara: estágio remoto 3 etapas estão ok, mas aluno precisa formatar referências e elementos pré textuais, e anexar o comprovante de experiencia. // Bárbara: aprovado 20/11/2020 //Júnio: conferido e arquivado: 16/06/2021</v>
      </c>
      <c r="B1123" s="93"/>
    </row>
    <row r="1124">
      <c r="A1124" s="384" t="str">
        <f>IFERROR(__xludf.DUMMYFUNCTION("""COMPUTED_VALUE"""),"Eldes Arcanjo | Pedagogia | Aprovada | Alexsiane: PP aprovado")</f>
        <v>Eldes Arcanjo | Pedagogia | Aprovada | Alexsiane: PP aprovado</v>
      </c>
      <c r="B1124" s="93"/>
    </row>
    <row r="1125">
      <c r="A1125" s="384" t="str">
        <f>IFERROR(__xludf.DUMMYFUNCTION("""COMPUTED_VALUE"""),"Elem Da Ajuda De Moura | Pedagogia | Aprovada | Bianca: falta carta de apresentação e termo de conclusão //Júnio:conferido e arquivado: 20/09/21")</f>
        <v>Elem Da Ajuda De Moura | Pedagogia | Aprovada | Bianca: falta carta de apresentação e termo de conclusão //Júnio:conferido e arquivado: 20/09/21</v>
      </c>
      <c r="B1125" s="93"/>
    </row>
    <row r="1126">
      <c r="A1126" s="384" t="str">
        <f>IFERROR(__xludf.DUMMYFUNCTION("""COMPUTED_VALUE"""),"Elen Cristina Martos Cruz | Formação Pedagógica Educação Física | Aprovado | Rayssa pp aprovado")</f>
        <v>Elen Cristina Martos Cruz | Formação Pedagógica Educação Física | Aprovado | Rayssa pp aprovado</v>
      </c>
      <c r="B1126" s="93"/>
    </row>
    <row r="1127">
      <c r="A1127" s="384" t="str">
        <f>IFERROR(__xludf.DUMMYFUNCTION("""COMPUTED_VALUE"""),"Elen Galdino Ramos | Letras - Português | Em análise | Bianca: apenas planos de aula")</f>
        <v>Elen Galdino Ramos | Letras - Português | Em análise | Bianca: apenas planos de aula</v>
      </c>
      <c r="B1127" s="93"/>
    </row>
    <row r="1128">
      <c r="A1128" s="384" t="str">
        <f>IFERROR(__xludf.DUMMYFUNCTION("""COMPUTED_VALUE"""),"Elen Marcia Ferreira Americo | Letras Português | Aprovada | Bianca: aprovada nas 4 etapas do remoto atualizado  //Júnio:conferido e arquivada: 12/11/2021")</f>
        <v>Elen Marcia Ferreira Americo | Letras Português | Aprovada | Bianca: aprovada nas 4 etapas do remoto atualizado  //Júnio:conferido e arquivada: 12/11/2021</v>
      </c>
      <c r="B1128" s="93"/>
    </row>
    <row r="1129">
      <c r="A1129" s="384" t="str">
        <f>IFERROR(__xludf.DUMMYFUNCTION("""COMPUTED_VALUE"""),"Elen Marcia Ferreira Américo | Educação Especial | em análise | Alexsiane: complementar a primeira etapa com mais 1 lauda completa")</f>
        <v>Elen Marcia Ferreira Américo | Educação Especial | em análise | Alexsiane: complementar a primeira etapa com mais 1 lauda completa</v>
      </c>
      <c r="B1129" s="93"/>
    </row>
    <row r="1130">
      <c r="A1130" s="384" t="str">
        <f>IFERROR(__xludf.DUMMYFUNCTION("""COMPUTED_VALUE"""),"Elena Câmara Pereira Monteiro | Pedagogia | Aprovada | Júnio: PP aprovada")</f>
        <v>Elena Câmara Pereira Monteiro | Pedagogia | Aprovada | Júnio: PP aprovada</v>
      </c>
      <c r="B1130" s="93"/>
    </row>
    <row r="1131">
      <c r="A1131" s="384" t="str">
        <f>IFERROR(__xludf.DUMMYFUNCTION("""COMPUTED_VALUE"""),"Elenice Alves Da Luz Bosi | Segunda Licenciatura Em Letras E Libras | Aprovada | Mariana: pp aprovado 18/03 aguardando prazo de 6 meses pra formalizaçao//Alexsiane: pp aprovado 15/05/24")</f>
        <v>Elenice Alves Da Luz Bosi | Segunda Licenciatura Em Letras E Libras | Aprovada | Mariana: pp aprovado 18/03 aguardando prazo de 6 meses pra formalizaçao//Alexsiane: pp aprovado 15/05/24</v>
      </c>
      <c r="B1131" s="93"/>
    </row>
    <row r="1132">
      <c r="A1132" s="384" t="str">
        <f>IFERROR(__xludf.DUMMYFUNCTION("""COMPUTED_VALUE"""),"Elenice Alves Da Luz Bossi | Letras Lingua Portuguesa E Libras | Em análise | Júnio: PP - enviar a entrevista digitada")</f>
        <v>Elenice Alves Da Luz Bossi | Letras Lingua Portuguesa E Libras | Em análise | Júnio: PP - enviar a entrevista digitada</v>
      </c>
      <c r="B1132" s="93"/>
    </row>
    <row r="1133">
      <c r="A1133" s="384" t="str">
        <f>IFERROR(__xludf.DUMMYFUNCTION("""COMPUTED_VALUE"""),"Elenir Ramos Arruda | Letras Português Inglês | Aprovada | Bárbara: apresentou declaração de experiência válida para isenção de 50% da carga horária de regência e observação. //Júnio: pre aprovada: 04/01/23 // Pamela 23/01/2023 Conferido e arquivado. ")</f>
        <v>Elenir Ramos Arruda | Letras Português Inglês | Aprovada | Bárbara: apresentou declaração de experiência válida para isenção de 50% da carga horária de regência e observação. //Júnio: pre aprovada: 04/01/23 // Pamela 23/01/2023 Conferido e arquivado. </v>
      </c>
      <c r="B1133" s="93"/>
    </row>
    <row r="1134">
      <c r="A1134" s="384" t="str">
        <f>IFERROR(__xludf.DUMMYFUNCTION("""COMPUTED_VALUE"""),"Elenisio Rodrigues Barbosa Junior | Música | Aprovado | Júnio: PP- etapas: ok Inicio: 29/03/23 Reenviar: 29/09/23 //Júnio: aprovado: 03/10/23")</f>
        <v>Elenisio Rodrigues Barbosa Junior | Música | Aprovado | Júnio: PP- etapas: ok Inicio: 29/03/23 Reenviar: 29/09/23 //Júnio: aprovado: 03/10/23</v>
      </c>
      <c r="B1134" s="93"/>
    </row>
    <row r="1135">
      <c r="A1135" s="384" t="str">
        <f>IFERROR(__xludf.DUMMYFUNCTION("""COMPUTED_VALUE"""),"Elessandra Cabral De Freitas | Letras Portugues Espanhol | aprovada | Bárbara: 30% plágio na etapa 1 todas, paráfrase introdução e considerações finais. Nenhum plano da etapa 3 enviado, apenas imagens, etapa 2 incompleta, apenas 3 parágrafos. Etapa 4 apen"&amp;"as relatório, nenhum documento. REMOTO ATUALIZADO- tem até 14/07 para reenviar ")</f>
        <v>Elessandra Cabral De Freitas | Letras Portugues Espanhol | aprovada | Bárbara: 30% plágio na etapa 1 todas, paráfrase introdução e considerações finais. Nenhum plano da etapa 3 enviado, apenas imagens, etapa 2 incompleta, apenas 3 parágrafos. Etapa 4 apenas relatório, nenhum documento. REMOTO ATUALIZADO- tem até 14/07 para reenviar </v>
      </c>
      <c r="B1135" s="93"/>
    </row>
    <row r="1136">
      <c r="A1136" s="384" t="str">
        <f>IFERROR(__xludf.DUMMYFUNCTION("""COMPUTED_VALUE"""),"Eleusa Maria Ferreira | Pedagogia | aprovado | Aline Silva: recebido no instituto na semana do dia 15/12 sem aprovação. Enviei um email com as orientações. // Bárbara: conferido e arquivado")</f>
        <v>Eleusa Maria Ferreira | Pedagogia | aprovado | Aline Silva: recebido no instituto na semana do dia 15/12 sem aprovação. Enviei um email com as orientações. // Bárbara: conferido e arquivado</v>
      </c>
      <c r="B1136" s="93"/>
    </row>
    <row r="1137">
      <c r="A1137" s="384" t="str">
        <f>IFERROR(__xludf.DUMMYFUNCTION("""COMPUTED_VALUE"""),"Eli Cristiane Aparecida De Oliveira | Formação Pedagógica em Física | Aprovada | Alexsiane: tem que complementar a primeira etapa com + 2 páginas e enviar carta de apres. 04/08/24 reenviar/ Alexsiane: pp aprovado")</f>
        <v>Eli Cristiane Aparecida De Oliveira | Formação Pedagógica em Física | Aprovada | Alexsiane: tem que complementar a primeira etapa com + 2 páginas e enviar carta de apres. 04/08/24 reenviar/ Alexsiane: pp aprovado</v>
      </c>
      <c r="B1137" s="93"/>
    </row>
    <row r="1138">
      <c r="A1138" s="384" t="str">
        <f>IFERROR(__xludf.DUMMYFUNCTION("""COMPUTED_VALUE"""),"Elia Quirina Laender Quadros | Pedagogia | Aprovada | Bianca: aprovada com lançamento no Sponte //Júnio: conferido e arquivada: 15/10/21")</f>
        <v>Elia Quirina Laender Quadros | Pedagogia | Aprovada | Bianca: aprovada com lançamento no Sponte //Júnio: conferido e arquivada: 15/10/21</v>
      </c>
      <c r="B1138" s="93"/>
    </row>
    <row r="1139">
      <c r="A1139" s="384" t="str">
        <f>IFERROR(__xludf.DUMMYFUNCTION("""COMPUTED_VALUE"""),"Eliamar Magna Dos Reis | Matemática | Aprovada | Bianca: falta etapa 4 de remoto atualizado  //Júnio:conferido e arquivada: 12/11/2021")</f>
        <v>Eliamar Magna Dos Reis | Matemática | Aprovada | Bianca: falta etapa 4 de remoto atualizado  //Júnio:conferido e arquivada: 12/11/2021</v>
      </c>
      <c r="B1139" s="93"/>
    </row>
    <row r="1140">
      <c r="A1140" s="384" t="str">
        <f>IFERROR(__xludf.DUMMYFUNCTION("""COMPUTED_VALUE"""),"Eliamar Magna Dos Reis | Matemática | Aprovado | Bianca: aprovada nas 4 etapas do remoto atualizado")</f>
        <v>Eliamar Magna Dos Reis | Matemática | Aprovado | Bianca: aprovada nas 4 etapas do remoto atualizado</v>
      </c>
      <c r="B1140" s="93"/>
    </row>
    <row r="1141">
      <c r="A1141" s="384" t="str">
        <f>IFERROR(__xludf.DUMMYFUNCTION("""COMPUTED_VALUE"""),"Eliana Alves Chumpati | Artes Visuais | Aprovada | Bianca: aprovada nas 4 etapas do remoto atualizado")</f>
        <v>Eliana Alves Chumpati | Artes Visuais | Aprovada | Bianca: aprovada nas 4 etapas do remoto atualizado</v>
      </c>
      <c r="B1141" s="93"/>
    </row>
    <row r="1142">
      <c r="A1142" s="384" t="str">
        <f>IFERROR(__xludf.DUMMYFUNCTION("""COMPUTED_VALUE"""),"Eliana Aparecida Vieira Romualdo | História | Em análise | Edilaine: Declaração de experiência válida, mas possui rasura. Carga horária diária errada,não foi possível somar a carga horária, tem que fazer 40 horas de gestão, falta todas as etapas dissertat"&amp;"ivas. Tem até 13/02/2023 para reenviar. OBS: na proxíma correção enviar bom dia ou boa tarde")</f>
        <v>Eliana Aparecida Vieira Romualdo | História | Em análise | Edilaine: Declaração de experiência válida, mas possui rasura. Carga horária diária errada,não foi possível somar a carga horária, tem que fazer 40 horas de gestão, falta todas as etapas dissertativas. Tem até 13/02/2023 para reenviar. OBS: na proxíma correção enviar bom dia ou boa tarde</v>
      </c>
      <c r="B1142" s="93"/>
    </row>
    <row r="1143">
      <c r="A1143" s="384" t="str">
        <f>IFERROR(__xludf.DUMMYFUNCTION("""COMPUTED_VALUE"""),"Eliana Da Conceição Silva Garcia | Pedagogia | Em análise | Bianca: trabalho desformatado")</f>
        <v>Eliana Da Conceição Silva Garcia | Pedagogia | Em análise | Bianca: trabalho desformatado</v>
      </c>
      <c r="B1143" s="93"/>
    </row>
    <row r="1144">
      <c r="A1144" s="384" t="str">
        <f>IFERROR(__xludf.DUMMYFUNCTION("""COMPUTED_VALUE"""),"Eliana De Lima Pereira | Educação Física | Aprovada | Júnio: PP - falta a etapa 2. //Júnio: PP aprovada: 05/10/23")</f>
        <v>Eliana De Lima Pereira | Educação Física | Aprovada | Júnio: PP - falta a etapa 2. //Júnio: PP aprovada: 05/10/23</v>
      </c>
      <c r="B1144" s="93"/>
    </row>
    <row r="1145">
      <c r="A1145" s="384" t="str">
        <f>IFERROR(__xludf.DUMMYFUNCTION("""COMPUTED_VALUE"""),"Eliana Oliveira Vieira Da Silva | Música | Aprovada | Júnio: declaração de experiencia valida //Júnio: aprovada: 12/07/23")</f>
        <v>Eliana Oliveira Vieira Da Silva | Música | Aprovada | Júnio: declaração de experiencia valida //Júnio: aprovada: 12/07/23</v>
      </c>
      <c r="B1145" s="93"/>
    </row>
    <row r="1146">
      <c r="A1146" s="384" t="str">
        <f>IFERROR(__xludf.DUMMYFUNCTION("""COMPUTED_VALUE"""),"Eliana Oliveira Vieira Da Silva | Educação Especial | Aprovada | Alexsiane: Pp está faltando somente a carta de Ap, restante ok// Alexsiane: pp aprovado 24/06/24")</f>
        <v>Eliana Oliveira Vieira Da Silva | Educação Especial | Aprovada | Alexsiane: Pp está faltando somente a carta de Ap, restante ok// Alexsiane: pp aprovado 24/06/24</v>
      </c>
      <c r="B1146" s="93"/>
    </row>
    <row r="1147">
      <c r="A1147" s="384" t="str">
        <f>IFERROR(__xludf.DUMMYFUNCTION("""COMPUTED_VALUE"""),"Eliana Ribeiro Francisco | História | Aprovada | Alexsiane: falta enviar carta de apresentação e o termo de conclusão// Bárbara: 18//08 autorizada a enviar o físico // Pamela 07/11/2022 conferido e arquivado.")</f>
        <v>Eliana Ribeiro Francisco | História | Aprovada | Alexsiane: falta enviar carta de apresentação e o termo de conclusão// Bárbara: 18//08 autorizada a enviar o físico // Pamela 07/11/2022 conferido e arquivado.</v>
      </c>
      <c r="B1147" s="93"/>
    </row>
    <row r="1148">
      <c r="A1148" s="384" t="str">
        <f>IFERROR(__xludf.DUMMYFUNCTION("""COMPUTED_VALUE"""),"Eliana Silva Da Silva | Educação Especial | Aprovado | Júnio: PP - falta a etapa I.")</f>
        <v>Eliana Silva Da Silva | Educação Especial | Aprovado | Júnio: PP - falta a etapa I.</v>
      </c>
      <c r="B1148" s="93"/>
    </row>
    <row r="1149">
      <c r="A1149" s="384" t="str">
        <f>IFERROR(__xludf.DUMMYFUNCTION("""COMPUTED_VALUE"""),"Eliane Aparecida Da Silva |  | Aprovado | Mandei enviar pelo correio (11/01).")</f>
        <v>Eliane Aparecida Da Silva |  | Aprovado | Mandei enviar pelo correio (11/01).</v>
      </c>
      <c r="B1149" s="93"/>
    </row>
    <row r="1150">
      <c r="A1150" s="384" t="str">
        <f>IFERROR(__xludf.DUMMYFUNCTION("""COMPUTED_VALUE"""),"Eliane Aparecida Rosa De Oliveira | Pedagogia | Aprovada | Alexsiane: etapa 1,2,4 ok, falta 8 planos de aula da 3° etapa 15/08/22 para reenviar //Júnio: aprovada: 31/08/22")</f>
        <v>Eliane Aparecida Rosa De Oliveira | Pedagogia | Aprovada | Alexsiane: etapa 1,2,4 ok, falta 8 planos de aula da 3° etapa 15/08/22 para reenviar //Júnio: aprovada: 31/08/22</v>
      </c>
      <c r="B1150" s="93"/>
    </row>
    <row r="1151">
      <c r="A1151" s="384" t="str">
        <f>IFERROR(__xludf.DUMMYFUNCTION("""COMPUTED_VALUE"""),"Eliane Aparecida Sena Pimenta | Pedagogia | Aprovado | Aline Silva: falta preencher o termo de compromisso e recolher assinaturas.// Aprovado dia 20/03/2020// Bárbara: Conferido e arquivado em 16/09/2020")</f>
        <v>Eliane Aparecida Sena Pimenta | Pedagogia | Aprovado | Aline Silva: falta preencher o termo de compromisso e recolher assinaturas.// Aprovado dia 20/03/2020// Bárbara: Conferido e arquivado em 16/09/2020</v>
      </c>
      <c r="B1151" s="93"/>
    </row>
    <row r="1152">
      <c r="A1152" s="384" t="str">
        <f>IFERROR(__xludf.DUMMYFUNCTION("""COMPUTED_VALUE"""),"Eliane Aparecida Teixeira Rodrigues | Matemática | Aprovada | Alexsiane: etapa 1,2,3 ok, falta 4° etapa do remoto antigo até dia 28/07 para enviar //Júnio: aprovada no vídeo: 21/07/2022")</f>
        <v>Eliane Aparecida Teixeira Rodrigues | Matemática | Aprovada | Alexsiane: etapa 1,2,3 ok, falta 4° etapa do remoto antigo até dia 28/07 para enviar //Júnio: aprovada no vídeo: 21/07/2022</v>
      </c>
      <c r="B1152" s="93"/>
    </row>
    <row r="1153">
      <c r="A1153" s="384" t="str">
        <f>IFERROR(__xludf.DUMMYFUNCTION("""COMPUTED_VALUE"""),"Eliane Cristina Dos Anjos | Pedagogia | Aprovada | Aline Silva: falta termo de compromisso, e alterar os objetivos específicos. // aprovada dia 05/05 anexar termo de compromisso, e aguardar quarentena para envio// Bárbara: Conferido e arquivado em 16/09/2"&amp;"020")</f>
        <v>Eliane Cristina Dos Anjos | Pedagogia | Aprovada | Aline Silva: falta termo de compromisso, e alterar os objetivos específicos. // aprovada dia 05/05 anexar termo de compromisso, e aguardar quarentena para envio// Bárbara: Conferido e arquivado em 16/09/2020</v>
      </c>
      <c r="B1153" s="93"/>
    </row>
    <row r="1154">
      <c r="A1154" s="384" t="str">
        <f>IFERROR(__xludf.DUMMYFUNCTION("""COMPUTED_VALUE"""),"Eliane Dantas Silva | Pedagogia | Em análise | Júnio: padrão- falta carta de apresentação, ficha de registro, termo de conclusão, relatórios e autoavaliação")</f>
        <v>Eliane Dantas Silva | Pedagogia | Em análise | Júnio: padrão- falta carta de apresentação, ficha de registro, termo de conclusão, relatórios e autoavaliação</v>
      </c>
      <c r="B1154" s="93"/>
    </row>
    <row r="1155">
      <c r="A1155" s="384" t="str">
        <f>IFERROR(__xludf.DUMMYFUNCTION("""COMPUTED_VALUE"""),"Eliane Dos Santos Costa Silvano | Artes Visuais | Aprovada | Júnio: pelo guru declaração de experiência válida //Júnio: aprovada: 30/05/23")</f>
        <v>Eliane Dos Santos Costa Silvano | Artes Visuais | Aprovada | Júnio: pelo guru declaração de experiência válida //Júnio: aprovada: 30/05/23</v>
      </c>
      <c r="B1155" s="93"/>
    </row>
    <row r="1156">
      <c r="A1156" s="384" t="str">
        <f>IFERROR(__xludf.DUMMYFUNCTION("""COMPUTED_VALUE"""),"Eliane Esteves Rodrigues | Pedagogia | Aprovada | Júnio: PP - falta responder o questionário e encaminhar a carta de apresentação. //Júnio: aprovada: 27/09/2023")</f>
        <v>Eliane Esteves Rodrigues | Pedagogia | Aprovada | Júnio: PP - falta responder o questionário e encaminhar a carta de apresentação. //Júnio: aprovada: 27/09/2023</v>
      </c>
      <c r="B1156" s="93"/>
    </row>
    <row r="1157">
      <c r="A1157" s="384" t="str">
        <f>IFERROR(__xludf.DUMMYFUNCTION("""COMPUTED_VALUE"""),"Eliane Francisco Do Nascimento Braga | Letras - Português Inglês | Aprovada | Júnio: remoto antigo, etapas 1, 2 e 3 ok //Júnio: aprovada na aula online 09/02/2022")</f>
        <v>Eliane Francisco Do Nascimento Braga | Letras - Português Inglês | Aprovada | Júnio: remoto antigo, etapas 1, 2 e 3 ok //Júnio: aprovada na aula online 09/02/2022</v>
      </c>
      <c r="B1157" s="93"/>
    </row>
    <row r="1158">
      <c r="A1158" s="384" t="str">
        <f>IFERROR(__xludf.DUMMYFUNCTION("""COMPUTED_VALUE"""),"Eliane Maria De Moura | Pedagogia | Aprovada | Bianca: falta etapa 4 do estágio remoto atualizado //Júnio:conferido e arquivado: 26/10/21")</f>
        <v>Eliane Maria De Moura | Pedagogia | Aprovada | Bianca: falta etapa 4 do estágio remoto atualizado //Júnio:conferido e arquivado: 26/10/21</v>
      </c>
      <c r="B1158" s="93"/>
    </row>
    <row r="1159">
      <c r="A1159" s="384" t="str">
        <f>IFERROR(__xludf.DUMMYFUNCTION("""COMPUTED_VALUE"""),"Eliane Maria Ferreira | Pedagogia | Em análise | Alexsiane: falta etapa 1 e 2, enviou somente a carta de apresentação. ")</f>
        <v>Eliane Maria Ferreira | Pedagogia | Em análise | Alexsiane: falta etapa 1 e 2, enviou somente a carta de apresentação. </v>
      </c>
      <c r="B1159" s="93"/>
    </row>
    <row r="1160">
      <c r="A1160" s="384" t="str">
        <f>IFERROR(__xludf.DUMMYFUNCTION("""COMPUTED_VALUE"""),"Eliane Proença Rodrigues | Educação Física | Aprovada | Júnio: PP aprovada")</f>
        <v>Eliane Proença Rodrigues | Educação Física | Aprovada | Júnio: PP aprovada</v>
      </c>
      <c r="B1160" s="93"/>
    </row>
    <row r="1161">
      <c r="A1161" s="384" t="str">
        <f>IFERROR(__xludf.DUMMYFUNCTION("""COMPUTED_VALUE"""),"Eliane Reis Cunha | Letras Português Espanhol | Aprovada | Lucas: Plagio 7,03%, falta 12 planos de aula// Bárbara: apresentou o vídeo da 4ª etapa 08/08 aprovada ")</f>
        <v>Eliane Reis Cunha | Letras Português Espanhol | Aprovada | Lucas: Plagio 7,03%, falta 12 planos de aula// Bárbara: apresentou o vídeo da 4ª etapa 08/08 aprovada </v>
      </c>
      <c r="B1161" s="93"/>
    </row>
    <row r="1162">
      <c r="A1162" s="384" t="str">
        <f>IFERROR(__xludf.DUMMYFUNCTION("""COMPUTED_VALUE"""),"Eliane Rodrigues Lima Costa | Pedagogia | Em análise | Bianca: Autorizada a recolher assinatura")</f>
        <v>Eliane Rodrigues Lima Costa | Pedagogia | Em análise | Bianca: Autorizada a recolher assinatura</v>
      </c>
      <c r="B1162" s="93"/>
    </row>
    <row r="1163">
      <c r="A1163" s="384" t="str">
        <f>IFERROR(__xludf.DUMMYFUNCTION("""COMPUTED_VALUE"""),"Eliane Sales Pereira | Pedagogia | Aprovado | Thiara: Cronograma de estágio com horas preenchidas erradas e sem assinaturas.// Thiara: aprovado// Miryã: conferido e arquivado 10/03/2021")</f>
        <v>Eliane Sales Pereira | Pedagogia | Aprovado | Thiara: Cronograma de estágio com horas preenchidas erradas e sem assinaturas.// Thiara: aprovado// Miryã: conferido e arquivado 10/03/2021</v>
      </c>
      <c r="B1163" s="93"/>
    </row>
    <row r="1164">
      <c r="A1164" s="384" t="str">
        <f>IFERROR(__xludf.DUMMYFUNCTION("""COMPUTED_VALUE"""),"Eliani De Ávila Pedrotti | Pedagogia | Em análise | Júnio: PP: 15% plágio")</f>
        <v>Eliani De Ávila Pedrotti | Pedagogia | Em análise | Júnio: PP: 15% plágio</v>
      </c>
      <c r="B1164" s="93"/>
    </row>
    <row r="1165">
      <c r="A1165" s="384" t="str">
        <f>IFERROR(__xludf.DUMMYFUNCTION("""COMPUTED_VALUE"""),"Elias Marques De Santana Junior | Artes Visuais | Aprovado  | 9% plágio, consertar margens// Bárbara: aprovado 05/04/22")</f>
        <v>Elias Marques De Santana Junior | Artes Visuais | Aprovado  | 9% plágio, consertar margens// Bárbara: aprovado 05/04/22</v>
      </c>
      <c r="B1165" s="93"/>
    </row>
    <row r="1166">
      <c r="A1166" s="384" t="str">
        <f>IFERROR(__xludf.DUMMYFUNCTION("""COMPUTED_VALUE"""),"Elias Raimundo Dos Santos Junior | Neuropsicologia Clínica | Aprovado | Alexsiane: plágio total. tem que fazer a anamnese,avaliação e teste, diagnosticos, reabilitação e sintese de conclusão. //Júnio: aprovado: 07/06/23")</f>
        <v>Elias Raimundo Dos Santos Junior | Neuropsicologia Clínica | Aprovado | Alexsiane: plágio total. tem que fazer a anamnese,avaliação e teste, diagnosticos, reabilitação e sintese de conclusão. //Júnio: aprovado: 07/06/23</v>
      </c>
      <c r="B1166" s="93"/>
    </row>
    <row r="1167">
      <c r="A1167" s="384" t="str">
        <f>IFERROR(__xludf.DUMMYFUNCTION("""COMPUTED_VALUE"""),"Elias Silva De Araújo | Música | Aprovado | Alexsiane: pp aprovado")</f>
        <v>Elias Silva De Araújo | Música | Aprovado | Alexsiane: pp aprovado</v>
      </c>
      <c r="B1167" s="93"/>
    </row>
    <row r="1168">
      <c r="A1168" s="384" t="str">
        <f>IFERROR(__xludf.DUMMYFUNCTION("""COMPUTED_VALUE"""),"Elias Sousa De Castro | Pedagogia | Aprovada | Alexsiane:remoto atualizado falta falar sobre as 10 competencias e especificar nas fichas o tipo de acompanhamento. 19/09 para reenviar// Alexsiane: Pré aprovado// Pamela 23/01/2023 Conferido e arquivado. ")</f>
        <v>Elias Sousa De Castro | Pedagogia | Aprovada | Alexsiane:remoto atualizado falta falar sobre as 10 competencias e especificar nas fichas o tipo de acompanhamento. 19/09 para reenviar// Alexsiane: Pré aprovado// Pamela 23/01/2023 Conferido e arquivado. </v>
      </c>
      <c r="B1168" s="93"/>
    </row>
    <row r="1169">
      <c r="A1169" s="384" t="str">
        <f>IFERROR(__xludf.DUMMYFUNCTION("""COMPUTED_VALUE"""),"Elias Vargas Ramm | Pedagogia | Aprovado | Júnio: padrão - Faltam 80 horas nas fichas de registro e especificar a serie ///// Edilaine: Pré- aprovado em 05/01/2023 // Pamela 23/01/2023 Conferido e arquivado. ")</f>
        <v>Elias Vargas Ramm | Pedagogia | Aprovado | Júnio: padrão - Faltam 80 horas nas fichas de registro e especificar a serie ///// Edilaine: Pré- aprovado em 05/01/2023 // Pamela 23/01/2023 Conferido e arquivado. </v>
      </c>
      <c r="B1169" s="93"/>
    </row>
    <row r="1170">
      <c r="A1170" s="384" t="str">
        <f>IFERROR(__xludf.DUMMYFUNCTION("""COMPUTED_VALUE"""),"Elias Vargas Ramm | Educação Física | Aprovado | Alexsiane: pp aprovado")</f>
        <v>Elias Vargas Ramm | Educação Física | Aprovado | Alexsiane: pp aprovado</v>
      </c>
      <c r="B1170" s="93"/>
    </row>
    <row r="1171">
      <c r="A1171" s="384" t="str">
        <f>IFERROR(__xludf.DUMMYFUNCTION("""COMPUTED_VALUE"""),"Elielma Nunes De Queiros | Letras- Português | Aprovada | Júnio: aprovada no remoto antigo")</f>
        <v>Elielma Nunes De Queiros | Letras- Português | Aprovada | Júnio: aprovada no remoto antigo</v>
      </c>
      <c r="B1171" s="93"/>
    </row>
    <row r="1172">
      <c r="A1172" s="384" t="str">
        <f>IFERROR(__xludf.DUMMYFUNCTION("""COMPUTED_VALUE"""),"Elielton Fernando Martins | Pedagogia Para Bachareis E Tecnólogos | Aprovado | Júnio: PP- falta a carta PCCs- ok //Júnio: aprovado: 13/10/23")</f>
        <v>Elielton Fernando Martins | Pedagogia Para Bachareis E Tecnólogos | Aprovado | Júnio: PP- falta a carta PCCs- ok //Júnio: aprovado: 13/10/23</v>
      </c>
      <c r="B1172" s="93"/>
    </row>
    <row r="1173">
      <c r="A1173" s="384" t="str">
        <f>IFERROR(__xludf.DUMMYFUNCTION("""COMPUTED_VALUE"""),"Eliene Lopes Silva | Matemática | Aprovado | Thiara: Falta enviar a documentação devidamente assinada e carimbada.")</f>
        <v>Eliene Lopes Silva | Matemática | Aprovado | Thiara: Falta enviar a documentação devidamente assinada e carimbada.</v>
      </c>
      <c r="B1173" s="93"/>
    </row>
    <row r="1174">
      <c r="A1174" s="384" t="str">
        <f>IFERROR(__xludf.DUMMYFUNCTION("""COMPUTED_VALUE"""),"Eliete Costa | Educação Física | Aprovada | Edilaine: 12,94% de plágio. Falta 1 plano de aula, falta a carta de apresentação, falta termo de conclusão e as fichas de registro. Tem até dia 29/01/2023 para reenviar. //Júnio: aprovada: 10/11/23")</f>
        <v>Eliete Costa | Educação Física | Aprovada | Edilaine: 12,94% de plágio. Falta 1 plano de aula, falta a carta de apresentação, falta termo de conclusão e as fichas de registro. Tem até dia 29/01/2023 para reenviar. //Júnio: aprovada: 10/11/23</v>
      </c>
      <c r="B1174" s="93"/>
    </row>
    <row r="1175">
      <c r="A1175" s="384" t="str">
        <f>IFERROR(__xludf.DUMMYFUNCTION("""COMPUTED_VALUE"""),"Eliete Guimarães Rahimi | Pedagogia | Aprovada  | Bianca: plágio 19%// Bárbara: aprovada 13/10/2021 //Júnio: Conferido e arquivado: 05/11/2021")</f>
        <v>Eliete Guimarães Rahimi | Pedagogia | Aprovada  | Bianca: plágio 19%// Bárbara: aprovada 13/10/2021 //Júnio: Conferido e arquivado: 05/11/2021</v>
      </c>
      <c r="B1175" s="93"/>
    </row>
    <row r="1176">
      <c r="A1176" s="384" t="str">
        <f>IFERROR(__xludf.DUMMYFUNCTION("""COMPUTED_VALUE"""),"Eliete Quixaba Ferreira | Pedagogia | Aprovada | Júnio: fez só introdução, etapas 1 e 2 //Júnio: aprovada: 10/12/2021")</f>
        <v>Eliete Quixaba Ferreira | Pedagogia | Aprovada | Júnio: fez só introdução, etapas 1 e 2 //Júnio: aprovada: 10/12/2021</v>
      </c>
      <c r="B1176" s="93"/>
    </row>
    <row r="1177">
      <c r="A1177" s="384" t="str">
        <f>IFERROR(__xludf.DUMMYFUNCTION("""COMPUTED_VALUE"""),"Eliete Santana Chaves Barroso | Neuropsicopedagogia Institucional,Clínica E Hospitalar | Aprovado | Alexsiane: aprovado com lançamento no Sponte")</f>
        <v>Eliete Santana Chaves Barroso | Neuropsicopedagogia Institucional,Clínica E Hospitalar | Aprovado | Alexsiane: aprovado com lançamento no Sponte</v>
      </c>
      <c r="B1177" s="93"/>
    </row>
    <row r="1178">
      <c r="A1178" s="384" t="str">
        <f>IFERROR(__xludf.DUMMYFUNCTION("""COMPUTED_VALUE"""),"Elieusa De Sousa Carvalho | Pedagogia Para Bacharéis | Aprovada | Alexsiane: aprovado no PP e PCC ")</f>
        <v>Elieusa De Sousa Carvalho | Pedagogia Para Bacharéis | Aprovada | Alexsiane: aprovado no PP e PCC </v>
      </c>
      <c r="B1178" s="93"/>
    </row>
    <row r="1179">
      <c r="A1179" s="384" t="str">
        <f>IFERROR(__xludf.DUMMYFUNCTION("""COMPUTED_VALUE"""),"Eliezer Da Silva Guedes | Música | Aprovado | Júnio: padrão de 200 horas - declaração de experiência válida, falta todo o resto //// Edilaine: Pré- aprovado 28/02/2023  //// Edilaine: Aprovado 14/03/2023")</f>
        <v>Eliezer Da Silva Guedes | Música | Aprovado | Júnio: padrão de 200 horas - declaração de experiência válida, falta todo o resto //// Edilaine: Pré- aprovado 28/02/2023  //// Edilaine: Aprovado 14/03/2023</v>
      </c>
      <c r="B1179" s="93"/>
    </row>
    <row r="1180">
      <c r="A1180" s="384" t="str">
        <f>IFERROR(__xludf.DUMMYFUNCTION("""COMPUTED_VALUE"""),"Eliézer Ismael Alves | Pedagogia | Aprovado | Júnio: remoto antigo - aprovado")</f>
        <v>Eliézer Ismael Alves | Pedagogia | Aprovado | Júnio: remoto antigo - aprovado</v>
      </c>
      <c r="B1180" s="93"/>
    </row>
    <row r="1181">
      <c r="A1181" s="384" t="str">
        <f>IFERROR(__xludf.DUMMYFUNCTION("""COMPUTED_VALUE"""),"Elionete María Regina Souza Rezende | Pedagogia | Aprovado | Alexsiane: pp aprovado")</f>
        <v>Elionete María Regina Souza Rezende | Pedagogia | Aprovado | Alexsiane: pp aprovado</v>
      </c>
      <c r="B1181" s="93"/>
    </row>
    <row r="1182">
      <c r="A1182" s="384" t="str">
        <f>IFERROR(__xludf.DUMMYFUNCTION("""COMPUTED_VALUE"""),"Elis Regina Gonçalves Vieira | Pedagogia | Aprovada | Júnio: PP aprovada")</f>
        <v>Elis Regina Gonçalves Vieira | Pedagogia | Aprovada | Júnio: PP aprovada</v>
      </c>
      <c r="B1182" s="93"/>
    </row>
    <row r="1183">
      <c r="A1183" s="384" t="str">
        <f>IFERROR(__xludf.DUMMYFUNCTION("""COMPUTED_VALUE"""),"Elisa Helena Andrade Alvim | Neuropsicopedagogia Instittucional Clínica E Hospitalar | Aprovada | Bianca: aprovada no estágio remoto //Júnio:conferido e arquivado: 14/01/2022")</f>
        <v>Elisa Helena Andrade Alvim | Neuropsicopedagogia Instittucional Clínica E Hospitalar | Aprovada | Bianca: aprovada no estágio remoto //Júnio:conferido e arquivado: 14/01/2022</v>
      </c>
      <c r="B1183" s="93"/>
    </row>
    <row r="1184">
      <c r="A1184" s="384" t="str">
        <f>IFERROR(__xludf.DUMMYFUNCTION("""COMPUTED_VALUE"""),"Elisa Rossi Bueno | Pedagogia | Aprovada | Júnio: falta carimbo na carta de apresentação //Alexsiane: Aprovada 21/02/24")</f>
        <v>Elisa Rossi Bueno | Pedagogia | Aprovada | Júnio: falta carimbo na carta de apresentação //Alexsiane: Aprovada 21/02/24</v>
      </c>
      <c r="B1184" s="93"/>
    </row>
    <row r="1185">
      <c r="A1185" s="384" t="str">
        <f>IFERROR(__xludf.DUMMYFUNCTION("""COMPUTED_VALUE"""),"Elisa Schoenhals Sehnem | Letras Espanhol | Aprovada | Júnio: PP aprovada")</f>
        <v>Elisa Schoenhals Sehnem | Letras Espanhol | Aprovada | Júnio: PP aprovada</v>
      </c>
      <c r="B1185" s="93"/>
    </row>
    <row r="1186">
      <c r="A1186" s="384" t="str">
        <f>IFERROR(__xludf.DUMMYFUNCTION("""COMPUTED_VALUE"""),"Elisabete Kelly Dos Santos | Artes Visuais | Aprovada | Júnio: 50% plágio //Aprovada nas 4 etapas do remoto antigo //Bianca: aprovada: 13/08/21")</f>
        <v>Elisabete Kelly Dos Santos | Artes Visuais | Aprovada | Júnio: 50% plágio //Aprovada nas 4 etapas do remoto antigo //Bianca: aprovada: 13/08/21</v>
      </c>
      <c r="B1186" s="93"/>
    </row>
    <row r="1187">
      <c r="A1187" s="384" t="str">
        <f>IFERROR(__xludf.DUMMYFUNCTION("""COMPUTED_VALUE"""),"Elisabeth Carvalho Costa | Pedagogia | Em análise | Júnio: etapa 1,2 ok, na 3° etap falta 18 planos de aula, 9,5% de plágio. Falta o vídeo da 4° etapa 17/02 reenviar")</f>
        <v>Elisabeth Carvalho Costa | Pedagogia | Em análise | Júnio: etapa 1,2 ok, na 3° etap falta 18 planos de aula, 9,5% de plágio. Falta o vídeo da 4° etapa 17/02 reenviar</v>
      </c>
      <c r="B1187" s="93"/>
    </row>
    <row r="1188">
      <c r="A1188" s="384" t="str">
        <f>IFERROR(__xludf.DUMMYFUNCTION("""COMPUTED_VALUE"""),"Elisandra Maria Pereira Gonçalves | Pedagogia | Aprovada | Alexsiane: Corrigir a carga horária  que ultrapassou 6 horas e corrigir as datas iguais até dia 07/07/22 para reenviar// Alexsiane: Pré-aprovado com lançamento no sponte// Bárbara: conferido e arq"&amp;"uivado 14/09/2022")</f>
        <v>Elisandra Maria Pereira Gonçalves | Pedagogia | Aprovada | Alexsiane: Corrigir a carga horária  que ultrapassou 6 horas e corrigir as datas iguais até dia 07/07/22 para reenviar// Alexsiane: Pré-aprovado com lançamento no sponte// Bárbara: conferido e arquivado 14/09/2022</v>
      </c>
      <c r="B1188" s="93"/>
    </row>
    <row r="1189">
      <c r="A1189" s="384" t="str">
        <f>IFERROR(__xludf.DUMMYFUNCTION("""COMPUTED_VALUE"""),"Elisangela Antônia De Aguiar | Pedagogia | Em análise | Amélia: aprovada nas 3 primeiras etapas")</f>
        <v>Elisangela Antônia De Aguiar | Pedagogia | Em análise | Amélia: aprovada nas 3 primeiras etapas</v>
      </c>
      <c r="B1189" s="93"/>
    </row>
    <row r="1190">
      <c r="A1190" s="384" t="str">
        <f>IFERROR(__xludf.DUMMYFUNCTION("""COMPUTED_VALUE"""),"Elisangela Aparecida Magalhães | Matemática | Aprovado | ARQUIVO CORROMPIDO. FALTANDO HORAS EM FUND. 2 (Estella: Recebido 05/12/2018)")</f>
        <v>Elisangela Aparecida Magalhães | Matemática | Aprovado | ARQUIVO CORROMPIDO. FALTANDO HORAS EM FUND. 2 (Estella: Recebido 05/12/2018)</v>
      </c>
      <c r="B1190" s="93"/>
    </row>
    <row r="1191">
      <c r="A1191" s="384" t="str">
        <f>IFERROR(__xludf.DUMMYFUNCTION("""COMPUTED_VALUE"""),"Elisângela Barbosa Borges Estevam | Pedagogia | Aprovada | Júnio: remoto atualizado - falta etapa 3 e 4 //Júnio: aprovada: 18/05/22 //Júnio: físico conferido e arquivado: 01/07/22")</f>
        <v>Elisângela Barbosa Borges Estevam | Pedagogia | Aprovada | Júnio: remoto atualizado - falta etapa 3 e 4 //Júnio: aprovada: 18/05/22 //Júnio: físico conferido e arquivado: 01/07/22</v>
      </c>
      <c r="B1191" s="93"/>
    </row>
    <row r="1192">
      <c r="A1192" s="384" t="str">
        <f>IFERROR(__xludf.DUMMYFUNCTION("""COMPUTED_VALUE"""),"Elisângela Carvalho Fortunato | Psicopedagogia Institucional,Clinica E Educação Infantil | Aprovado | Lucas: Plágio 8,79%// Alexsiane: aprovado com lançamento no Sponte")</f>
        <v>Elisângela Carvalho Fortunato | Psicopedagogia Institucional,Clinica E Educação Infantil | Aprovado | Lucas: Plágio 8,79%// Alexsiane: aprovado com lançamento no Sponte</v>
      </c>
      <c r="B1192" s="93"/>
    </row>
    <row r="1193">
      <c r="A1193" s="384" t="str">
        <f>IFERROR(__xludf.DUMMYFUNCTION("""COMPUTED_VALUE"""),"Elisângela Cristina Ferreira | Pedagogia | Aprovada | Júnio: PP aprovada")</f>
        <v>Elisângela Cristina Ferreira | Pedagogia | Aprovada | Júnio: PP aprovada</v>
      </c>
      <c r="B1193" s="93"/>
    </row>
    <row r="1194">
      <c r="A1194" s="384" t="str">
        <f>IFERROR(__xludf.DUMMYFUNCTION("""COMPUTED_VALUE"""),"Elisangela Dos Santos Teixeira | Segunda Licenciatura Em Educação Especial | Aprovado | Alexsiane: pp aprovado")</f>
        <v>Elisangela Dos Santos Teixeira | Segunda Licenciatura Em Educação Especial | Aprovado | Alexsiane: pp aprovado</v>
      </c>
      <c r="B1194" s="93"/>
    </row>
    <row r="1195">
      <c r="A1195" s="384" t="str">
        <f>IFERROR(__xludf.DUMMYFUNCTION("""COMPUTED_VALUE"""),"Elisangela Ferreira Da Silva | Pedagogia Para Bachareis E Tecnólogos | Aprovada | Júnio: -ESTÁGIO I: 36% plágio, enviar plano de aula e relatório de regência digitado. Relatório de observação e autoavaliação veio igual das outras pastas. -ESTÁGIO II: 5% p"&amp;"lágio, enviar plano de aula e relatório de regência digitado. Relatório  de observação e autoavaliação igual aos outros. - ESTÁGIO III: 12% plágio, enviar introdução, conclusão, referências. Relatório de gestão e autoavaliação igual das demais etapas. -ES"&amp;"TÁGIO IV: 10% plágio, enviar plano de aula e relatório de regência. Relatório de observação e autoavaliação iguais das demais pastas. -PRÁTICA I: 44% plágio, enviar tabela preenchida -PRÁTICA II: 25% plágio, enviar tabela preenchida -PRÁTICA III: fazer in"&amp;"trodução, desenvolvimento, conclusão, enviar tabela preenchida, enviar entrevista digitada. -PRÁTICA IV: 13% plágio, enviar tabela preenchida. //Júnio: aprovada: 15/06/23")</f>
        <v>Elisangela Ferreira Da Silva | Pedagogia Para Bachareis E Tecnólogos | Aprovada | Júnio: -ESTÁGIO I: 36% plágio, enviar plano de aula e relatório de regência digitado. Relatório de observação e autoavaliação veio igual das outras pastas. -ESTÁGIO II: 5% plágio, enviar plano de aula e relatório de regência digitado. Relatório  de observação e autoavaliação igual aos outros. - ESTÁGIO III: 12% plágio, enviar introdução, conclusão, referências. Relatório de gestão e autoavaliação igual das demais etapas. -ESTÁGIO IV: 10% plágio, enviar plano de aula e relatório de regência. Relatório de observação e autoavaliação iguais das demais pastas. -PRÁTICA I: 44% plágio, enviar tabela preenchida -PRÁTICA II: 25% plágio, enviar tabela preenchida -PRÁTICA III: fazer introdução, desenvolvimento, conclusão, enviar tabela preenchida, enviar entrevista digitada. -PRÁTICA IV: 13% plágio, enviar tabela preenchida. //Júnio: aprovada: 15/06/23</v>
      </c>
      <c r="B1195" s="93"/>
    </row>
    <row r="1196">
      <c r="A1196" s="384" t="str">
        <f>IFERROR(__xludf.DUMMYFUNCTION("""COMPUTED_VALUE"""),"Elisângela Maria Caitano Nunes | Artes Visuais | Em análise | Bianca: aprovada nas 4 etapas")</f>
        <v>Elisângela Maria Caitano Nunes | Artes Visuais | Em análise | Bianca: aprovada nas 4 etapas</v>
      </c>
      <c r="B1196" s="93"/>
    </row>
    <row r="1197">
      <c r="A1197" s="384" t="str">
        <f>IFERROR(__xludf.DUMMYFUNCTION("""COMPUTED_VALUE"""),"Elisangela Maria De Oliveira | Educação Especial | Aprovada | Júnio: PP: 22% plagio e complementar etapa 1 com mais páginas. //Júnio: aprovada: 14/11/23")</f>
        <v>Elisangela Maria De Oliveira | Educação Especial | Aprovada | Júnio: PP: 22% plagio e complementar etapa 1 com mais páginas. //Júnio: aprovada: 14/11/23</v>
      </c>
      <c r="B1197" s="93"/>
    </row>
    <row r="1198">
      <c r="A1198" s="384" t="str">
        <f>IFERROR(__xludf.DUMMYFUNCTION("""COMPUTED_VALUE"""),"Elisangela Menezes Paiva | Artes Visuais | aprovada | Bianca: aprovada nas 3 1ªs etapas //Bárbara: aprovada na 4ª etapa 12/04/21 Remoto Antigo")</f>
        <v>Elisangela Menezes Paiva | Artes Visuais | aprovada | Bianca: aprovada nas 3 1ªs etapas //Bárbara: aprovada na 4ª etapa 12/04/21 Remoto Antigo</v>
      </c>
      <c r="B1198" s="93"/>
    </row>
    <row r="1199">
      <c r="A1199" s="384" t="str">
        <f>IFERROR(__xludf.DUMMYFUNCTION("""COMPUTED_VALUE"""),"Elisangela Oliveira Ferreira | Geografia | Aprovada | Lucas: aprovada remoto antigo com declaração de experiência")</f>
        <v>Elisangela Oliveira Ferreira | Geografia | Aprovada | Lucas: aprovada remoto antigo com declaração de experiência</v>
      </c>
      <c r="B1199" s="93"/>
    </row>
    <row r="1200">
      <c r="A1200" s="384" t="str">
        <f>IFERROR(__xludf.DUMMYFUNCTION("""COMPUTED_VALUE"""),"Elisangela Rosa De Oliveira Alencar | Letras/Português-Inglês | Em análise | Júnio: PP - falta conseguir média de acertos exigida no questionário.")</f>
        <v>Elisangela Rosa De Oliveira Alencar | Letras/Português-Inglês | Em análise | Júnio: PP - falta conseguir média de acertos exigida no questionário.</v>
      </c>
      <c r="B1200" s="93"/>
    </row>
    <row r="1201">
      <c r="A1201" s="384" t="str">
        <f>IFERROR(__xludf.DUMMYFUNCTION("""COMPUTED_VALUE"""),"Elisângela Tavares De Almeida Ferreira | Pedagogia | Aprovada  | Alexsiane: etapa 1,2,3 ok, falta 4° etapa do remoto antigo.// Bárbara: aprovada no remoto antigo 03/10/2022")</f>
        <v>Elisângela Tavares De Almeida Ferreira | Pedagogia | Aprovada  | Alexsiane: etapa 1,2,3 ok, falta 4° etapa do remoto antigo.// Bárbara: aprovada no remoto antigo 03/10/2022</v>
      </c>
      <c r="B1201" s="93"/>
    </row>
    <row r="1202">
      <c r="A1202" s="384" t="str">
        <f>IFERROR(__xludf.DUMMYFUNCTION("""COMPUTED_VALUE"""),"Elisângelo Ferraz Da Silva | Letras Portugues | aprovado | Aline Silva: apresentou 5 hrs por dia, falta carta de apresentação, ficha com dados da escola e do aluno, autoavaliação, plano de aula, atv. Executada.// Aline Silva: Aprovado dia 15/03/2020// Mir"&amp;"yã: conferido e arquivado 15/03/2021")</f>
        <v>Elisângelo Ferraz Da Silva | Letras Portugues | aprovado | Aline Silva: apresentou 5 hrs por dia, falta carta de apresentação, ficha com dados da escola e do aluno, autoavaliação, plano de aula, atv. Executada.// Aline Silva: Aprovado dia 15/03/2020// Miryã: conferido e arquivado 15/03/2021</v>
      </c>
      <c r="B1202" s="93"/>
    </row>
    <row r="1203">
      <c r="A1203" s="384" t="str">
        <f>IFERROR(__xludf.DUMMYFUNCTION("""COMPUTED_VALUE"""),"Elisângelo Ferraz Da Silva | Psic. Ped. Clínica | Em análise | Aline Silva: faltaram as horas clínicas, ficha, anexos, anamnese, embasar mais tudo que foi aplicado, ficha de encaminhamento, na escola há psicopedagoga ? Quem acompanhou o aluno ? Onde estão"&amp;" as horas clínicas?")</f>
        <v>Elisângelo Ferraz Da Silva | Psic. Ped. Clínica | Em análise | Aline Silva: faltaram as horas clínicas, ficha, anexos, anamnese, embasar mais tudo que foi aplicado, ficha de encaminhamento, na escola há psicopedagoga ? Quem acompanhou o aluno ? Onde estão as horas clínicas?</v>
      </c>
      <c r="B1203" s="93"/>
    </row>
    <row r="1204">
      <c r="A1204" s="384" t="str">
        <f>IFERROR(__xludf.DUMMYFUNCTION("""COMPUTED_VALUE"""),"Eliseu Gonçalves Pereira | Educação Física | Aprovado | Bianca:  falta etapa 4 //Júnio: aprovado 03/05/23")</f>
        <v>Eliseu Gonçalves Pereira | Educação Física | Aprovado | Bianca:  falta etapa 4 //Júnio: aprovado 03/05/23</v>
      </c>
      <c r="B1204" s="93"/>
    </row>
    <row r="1205">
      <c r="A1205" s="384" t="str">
        <f>IFERROR(__xludf.DUMMYFUNCTION("""COMPUTED_VALUE"""),"Elisiane Andrade Lima | Artes Visuais | Aprovada | Remoto atualizado: falta 10 planos de aulas //Aprovada: 01/02/24")</f>
        <v>Elisiane Andrade Lima | Artes Visuais | Aprovada | Remoto atualizado: falta 10 planos de aulas //Aprovada: 01/02/24</v>
      </c>
      <c r="B1205" s="93"/>
    </row>
    <row r="1206">
      <c r="A1206" s="384" t="str">
        <f>IFERROR(__xludf.DUMMYFUNCTION("""COMPUTED_VALUE"""),"Elisiane Pilar Gregório De Matos | História | Aprovada | Júnio: Inicio: 21/06/2023 Reenviar: 21/12/23 //Júnio: aprovada: 21/12/23")</f>
        <v>Elisiane Pilar Gregório De Matos | História | Aprovada | Júnio: Inicio: 21/06/2023 Reenviar: 21/12/23 //Júnio: aprovada: 21/12/23</v>
      </c>
      <c r="B1206" s="93"/>
    </row>
    <row r="1207">
      <c r="A1207" s="384" t="str">
        <f>IFERROR(__xludf.DUMMYFUNCTION("""COMPUTED_VALUE"""),"Elisnátila Da Costa | Letras Inglês | Aprovada | Júnio: PP aprovada")</f>
        <v>Elisnátila Da Costa | Letras Inglês | Aprovada | Júnio: PP aprovada</v>
      </c>
      <c r="B1207" s="93"/>
    </row>
    <row r="1208">
      <c r="A1208" s="384" t="str">
        <f>IFERROR(__xludf.DUMMYFUNCTION("""COMPUTED_VALUE"""),"Elisnéia Aparecida Andrade | Filosofia | Aprovada | Bárbara: etapas 3 e 4 ok, plágio nas etapas 1 e 2 //Júnio: conferida e arquivada: 17/05/22")</f>
        <v>Elisnéia Aparecida Andrade | Filosofia | Aprovada | Bárbara: etapas 3 e 4 ok, plágio nas etapas 1 e 2 //Júnio: conferida e arquivada: 17/05/22</v>
      </c>
      <c r="B1208" s="93"/>
    </row>
    <row r="1209">
      <c r="A1209" s="384" t="str">
        <f>IFERROR(__xludf.DUMMYFUNCTION("""COMPUTED_VALUE"""),"Elivam Moura Viana | Segunda Licenciatura Em Música | Aprovado | Rayssa pp aprovado")</f>
        <v>Elivam Moura Viana | Segunda Licenciatura Em Música | Aprovado | Rayssa pp aprovado</v>
      </c>
      <c r="B1209" s="93"/>
    </row>
    <row r="1210">
      <c r="A1210" s="384" t="str">
        <f>IFERROR(__xludf.DUMMYFUNCTION("""COMPUTED_VALUE"""),"Elivane Almeida Nascimento | Artes Visuais | Em análise | Bianca: etapa 1 e 2 incompletas, apenas 3 planos de aulas, falta carta de aceite e termo de conclusão  // Lucas: conferido e arquivado 04/01/2022")</f>
        <v>Elivane Almeida Nascimento | Artes Visuais | Em análise | Bianca: etapa 1 e 2 incompletas, apenas 3 planos de aulas, falta carta de aceite e termo de conclusão  // Lucas: conferido e arquivado 04/01/2022</v>
      </c>
      <c r="B1210" s="93"/>
    </row>
    <row r="1211">
      <c r="A1211" s="384" t="str">
        <f>IFERROR(__xludf.DUMMYFUNCTION("""COMPUTED_VALUE"""),"Elivane Almeida Nascimento | Artes Visuais | Aprovada | Bianca: aprovada nas 4 etapas do remoto antigo")</f>
        <v>Elivane Almeida Nascimento | Artes Visuais | Aprovada | Bianca: aprovada nas 4 etapas do remoto antigo</v>
      </c>
      <c r="B1211" s="93"/>
    </row>
    <row r="1212">
      <c r="A1212" s="384" t="str">
        <f>IFERROR(__xludf.DUMMYFUNCTION("""COMPUTED_VALUE"""),"Elivanusa De Jesus Lima | Pedagogia | Aprovada | Bárbar: aluno realizando TCe padrão, enviou declração de experiência INVÁLIDA PARA A ISENÇÃO. Não estava liberado, mas como era apenas isso, dei o parecer.  //Júnio: físico conferido e arquivado: 15/08/22")</f>
        <v>Elivanusa De Jesus Lima | Pedagogia | Aprovada | Bárbar: aluno realizando TCe padrão, enviou declração de experiência INVÁLIDA PARA A ISENÇÃO. Não estava liberado, mas como era apenas isso, dei o parecer.  //Júnio: físico conferido e arquivado: 15/08/22</v>
      </c>
      <c r="B1212" s="93"/>
    </row>
    <row r="1213">
      <c r="A1213" s="384" t="str">
        <f>IFERROR(__xludf.DUMMYFUNCTION("""COMPUTED_VALUE"""),"Elizabete Baeta Draeger | Letras Português Espanhol | Aprovada  | Bárbara: aprovada nas etapas 1,2 e 3// Bárbara: apresentou a 4ª etapa, aprovada ")</f>
        <v>Elizabete Baeta Draeger | Letras Português Espanhol | Aprovada  | Bárbara: aprovada nas etapas 1,2 e 3// Bárbara: apresentou a 4ª etapa, aprovada </v>
      </c>
      <c r="B1213" s="93"/>
    </row>
    <row r="1214">
      <c r="A1214" s="384" t="str">
        <f>IFERROR(__xludf.DUMMYFUNCTION("""COMPUTED_VALUE"""),"Elizabete Évina Dos Santos Bomfim | Neuropsicologia Clínica | Aprovada | Júnio: aprovada - em cárater excepcional ela foi migrada para o remoto antigo, devido a ter começado o curso em periodo de pandemia e por causa das ameaças de processo")</f>
        <v>Elizabete Évina Dos Santos Bomfim | Neuropsicologia Clínica | Aprovada | Júnio: aprovada - em cárater excepcional ela foi migrada para o remoto antigo, devido a ter começado o curso em periodo de pandemia e por causa das ameaças de processo</v>
      </c>
      <c r="B1214" s="93"/>
    </row>
    <row r="1215">
      <c r="A1215" s="384" t="str">
        <f>IFERROR(__xludf.DUMMYFUNCTION("""COMPUTED_VALUE"""),"Elizabete Evina Santos Bomfim | Terapia Em Aba-Análise Do Comportamento Aplicada Clínico | Em análise | Alexsiane: falta a ficha de registro, carta de apresentação e termo de conclusão")</f>
        <v>Elizabete Evina Santos Bomfim | Terapia Em Aba-Análise Do Comportamento Aplicada Clínico | Em análise | Alexsiane: falta a ficha de registro, carta de apresentação e termo de conclusão</v>
      </c>
      <c r="B1215" s="93"/>
    </row>
    <row r="1216">
      <c r="A1216" s="384" t="str">
        <f>IFERROR(__xludf.DUMMYFUNCTION("""COMPUTED_VALUE"""),"Elizabete Lima De Souza | Artes Visuais | Aprovada | Amélia: devolvido para correção nas etapas 1, 2 e 3// Bárbara: aprovada 16/03/2021")</f>
        <v>Elizabete Lima De Souza | Artes Visuais | Aprovada | Amélia: devolvido para correção nas etapas 1, 2 e 3// Bárbara: aprovada 16/03/2021</v>
      </c>
      <c r="B1216" s="93"/>
    </row>
    <row r="1217">
      <c r="A1217" s="384" t="str">
        <f>IFERROR(__xludf.DUMMYFUNCTION("""COMPUTED_VALUE"""),"Elizabete Lima De Souza | Artes Visuais | Aprovada | Bianca: aprovada nas 4 etapas do remoto atualizado")</f>
        <v>Elizabete Lima De Souza | Artes Visuais | Aprovada | Bianca: aprovada nas 4 etapas do remoto atualizado</v>
      </c>
      <c r="B1217" s="93"/>
    </row>
    <row r="1218">
      <c r="A1218" s="384" t="str">
        <f>IFERROR(__xludf.DUMMYFUNCTION("""COMPUTED_VALUE"""),"Elizabeth Aparecida Fortes Dos Santos | História | Aprovada  | Lucas: Falta etapa 4 do estágio remoto antigo // Bárbara: aprovada 26/05/2022")</f>
        <v>Elizabeth Aparecida Fortes Dos Santos | História | Aprovada  | Lucas: Falta etapa 4 do estágio remoto antigo // Bárbara: aprovada 26/05/2022</v>
      </c>
      <c r="B1218" s="93"/>
    </row>
    <row r="1219">
      <c r="A1219" s="384" t="str">
        <f>IFERROR(__xludf.DUMMYFUNCTION("""COMPUTED_VALUE"""),"Elizabeth Cristina Sales Pereira Ferraz | Artes Visuais | Aprovada  | Bianca: aprovada no estágio remoto")</f>
        <v>Elizabeth Cristina Sales Pereira Ferraz | Artes Visuais | Aprovada  | Bianca: aprovada no estágio remoto</v>
      </c>
      <c r="B1219" s="93"/>
    </row>
    <row r="1220">
      <c r="A1220" s="384" t="str">
        <f>IFERROR(__xludf.DUMMYFUNCTION("""COMPUTED_VALUE"""),"Elizabeth Cristina Sales Pereira Ferraz | Letras/ Inglês | Aprovado | Edilaine: 14,02% de plágio. Tem que descrever sobre o currículo escolar e o perigo da escola única.// Alexsiane: aprovado com lançamento no sponte")</f>
        <v>Elizabeth Cristina Sales Pereira Ferraz | Letras/ Inglês | Aprovado | Edilaine: 14,02% de plágio. Tem que descrever sobre o currículo escolar e o perigo da escola única.// Alexsiane: aprovado com lançamento no sponte</v>
      </c>
      <c r="B1220" s="93"/>
    </row>
    <row r="1221">
      <c r="A1221" s="384" t="str">
        <f>IFERROR(__xludf.DUMMYFUNCTION("""COMPUTED_VALUE"""),"Elizabeth Viana Souza | Artes Visuais | Aprovada | Thiara: não separou as horas de observação e regência do Ensino Fundamantal e Médio, não apresentou carta de aceite nem declaração de conclusão de estágio. O cronograma não estava assinado e nem carimbado"&amp;".  //// Edilaine: Pré-aprovada 16/03/2023 //Júnio: aprovada: 15/05/23")</f>
        <v>Elizabeth Viana Souza | Artes Visuais | Aprovada | Thiara: não separou as horas de observação e regência do Ensino Fundamantal e Médio, não apresentou carta de aceite nem declaração de conclusão de estágio. O cronograma não estava assinado e nem carimbado.  //// Edilaine: Pré-aprovada 16/03/2023 //Júnio: aprovada: 15/05/23</v>
      </c>
      <c r="B1221" s="93"/>
    </row>
    <row r="1222">
      <c r="A1222" s="384" t="str">
        <f>IFERROR(__xludf.DUMMYFUNCTION("""COMPUTED_VALUE"""),"Elizangela Antônia De Aguiar | Pedagogia | Aprovada | Bárbara: etapas 1 e 2 ok, aluna anexou os planos de forma errada. // Bárbara: aprovada na etapa 4 02/03/2021")</f>
        <v>Elizangela Antônia De Aguiar | Pedagogia | Aprovada | Bárbara: etapas 1 e 2 ok, aluna anexou os planos de forma errada. // Bárbara: aprovada na etapa 4 02/03/2021</v>
      </c>
      <c r="B1222" s="93"/>
    </row>
    <row r="1223">
      <c r="A1223" s="384" t="str">
        <f>IFERROR(__xludf.DUMMYFUNCTION("""COMPUTED_VALUE"""),"Elizangela Coutinho Da Cunha | Pedagogia | Aprovada | Júnio: PP aprovada")</f>
        <v>Elizangela Coutinho Da Cunha | Pedagogia | Aprovada | Júnio: PP aprovada</v>
      </c>
      <c r="B1223" s="93"/>
    </row>
    <row r="1224">
      <c r="A1224" s="384" t="str">
        <f>IFERROR(__xludf.DUMMYFUNCTION("""COMPUTED_VALUE"""),"Elizângela Menezes Paiva | Artes Visuais | Aprovada | Bárbara: aprovada na 4ª etapa")</f>
        <v>Elizângela Menezes Paiva | Artes Visuais | Aprovada | Bárbara: aprovada na 4ª etapa</v>
      </c>
      <c r="B1224" s="93"/>
    </row>
    <row r="1225">
      <c r="A1225" s="384" t="str">
        <f>IFERROR(__xludf.DUMMYFUNCTION("""COMPUTED_VALUE"""),"Elizângela Stella | Pedagogia | Em análise | Júnio: remoto antigo - fez apenas 3ª etapa 9% plágio")</f>
        <v>Elizângela Stella | Pedagogia | Em análise | Júnio: remoto antigo - fez apenas 3ª etapa 9% plágio</v>
      </c>
      <c r="B1225" s="93"/>
    </row>
    <row r="1226">
      <c r="A1226" s="384" t="str">
        <f>IFERROR(__xludf.DUMMYFUNCTION("""COMPUTED_VALUE"""),"Elizete Azevedo Marques Moreira | Pedagogia | Aprovado | Aline Silva: aprovado recolher assinaturas")</f>
        <v>Elizete Azevedo Marques Moreira | Pedagogia | Aprovado | Aline Silva: aprovado recolher assinaturas</v>
      </c>
      <c r="B1226" s="93"/>
    </row>
    <row r="1227">
      <c r="A1227" s="384" t="str">
        <f>IFERROR(__xludf.DUMMYFUNCTION("""COMPUTED_VALUE"""),"Elizete Azevedo Moreira | Pedagogia | Em análise | Thiara: enviou para conferencia antes da assinatura faltava apenas termo de compromisso de estágio.")</f>
        <v>Elizete Azevedo Moreira | Pedagogia | Em análise | Thiara: enviou para conferencia antes da assinatura faltava apenas termo de compromisso de estágio.</v>
      </c>
      <c r="B1227" s="93"/>
    </row>
    <row r="1228">
      <c r="A1228" s="384" t="str">
        <f>IFERROR(__xludf.DUMMYFUNCTION("""COMPUTED_VALUE"""),"Elizete De Almeida Nascimento | Artes Visuais | Aprovado | Aline Silva: declaração de expe aceita, falta plano de aula, atv executada, carta de aceite, termo de conclusão, colocar data nas fichas. // recolher assinaturas e carimbos.// carimbo colado, mesm"&amp;"a assinatura em todas as fichas. Aluna irá recolhê-las novamente. // aprovada dia 08/07/2020// Bárbara: Conferido e arquivado em 16/09/2020")</f>
        <v>Elizete De Almeida Nascimento | Artes Visuais | Aprovado | Aline Silva: declaração de expe aceita, falta plano de aula, atv executada, carta de aceite, termo de conclusão, colocar data nas fichas. // recolher assinaturas e carimbos.// carimbo colado, mesma assinatura em todas as fichas. Aluna irá recolhê-las novamente. // aprovada dia 08/07/2020// Bárbara: Conferido e arquivado em 16/09/2020</v>
      </c>
      <c r="B1228" s="93"/>
    </row>
    <row r="1229">
      <c r="A1229" s="384" t="str">
        <f>IFERROR(__xludf.DUMMYFUNCTION("""COMPUTED_VALUE"""),"Elizete Lourenço Gomes | Pedagogia | Aprovada | Bianca: falta carta de apresentação, termo de conclusão, elaborou apenas 1 plano de aula.// Bianca: Aprovada nas 4 etapas do remoto atualizado 18/10/2021 //Júnio: conferido e arquivado: 01/11/21")</f>
        <v>Elizete Lourenço Gomes | Pedagogia | Aprovada | Bianca: falta carta de apresentação, termo de conclusão, elaborou apenas 1 plano de aula.// Bianca: Aprovada nas 4 etapas do remoto atualizado 18/10/2021 //Júnio: conferido e arquivado: 01/11/21</v>
      </c>
      <c r="B1229" s="93"/>
    </row>
    <row r="1230">
      <c r="A1230" s="384" t="str">
        <f>IFERROR(__xludf.DUMMYFUNCTION("""COMPUTED_VALUE"""),"Elizete Pereira Trivellato | Letras Port./Ing. | Aprovado | Thiara: Falta assinar e carimbar todas as páginas. /// Aprovado dia 30/07/2019// Recebido no instituto dia 04/12/2019")</f>
        <v>Elizete Pereira Trivellato | Letras Port./Ing. | Aprovado | Thiara: Falta assinar e carimbar todas as páginas. /// Aprovado dia 30/07/2019// Recebido no instituto dia 04/12/2019</v>
      </c>
      <c r="B1230" s="93"/>
    </row>
    <row r="1231">
      <c r="A1231" s="384" t="str">
        <f>IFERROR(__xludf.DUMMYFUNCTION("""COMPUTED_VALUE"""),"Elizeu Mendes Silva | Música | Em análise | Júnio: PP 18% plágio")</f>
        <v>Elizeu Mendes Silva | Música | Em análise | Júnio: PP 18% plágio</v>
      </c>
      <c r="B1231" s="93"/>
    </row>
    <row r="1232">
      <c r="A1232" s="384" t="str">
        <f>IFERROR(__xludf.DUMMYFUNCTION("""COMPUTED_VALUE"""),"Elizeu Mendes Silva | Música | Aprovado | Júnio: PP- etapas: OK Inicio: 21/07/2023 Reenviar: 21/01/2024 //Júnio: aprovado: 23/01/24")</f>
        <v>Elizeu Mendes Silva | Música | Aprovado | Júnio: PP- etapas: OK Inicio: 21/07/2023 Reenviar: 21/01/2024 //Júnio: aprovado: 23/01/24</v>
      </c>
      <c r="B1232" s="93"/>
    </row>
    <row r="1233">
      <c r="A1233" s="384" t="str">
        <f>IFERROR(__xludf.DUMMYFUNCTION("""COMPUTED_VALUE"""),"Elizeu Rocha Dos Santos Junior | Letras - Português Espanhol | Aprovado | Júnio: autorizada a recolher assinaturas, fazer capa, introdução, sumário e etapa 1 e 2 //Júnio:conferido e arquivado: 21/10/21")</f>
        <v>Elizeu Rocha Dos Santos Junior | Letras - Português Espanhol | Aprovado | Júnio: autorizada a recolher assinaturas, fazer capa, introdução, sumário e etapa 1 e 2 //Júnio:conferido e arquivado: 21/10/21</v>
      </c>
      <c r="B1233" s="93"/>
    </row>
    <row r="1234">
      <c r="A1234" s="384" t="str">
        <f>IFERROR(__xludf.DUMMYFUNCTION("""COMPUTED_VALUE"""),"Eliziane Rocha Rodrigues | Artes Visuais | Aprovada | Júnio: falta carta de apresentação, fichas de registro e termo de conclusão. //Júnio: aprovada: 23/10/23")</f>
        <v>Eliziane Rocha Rodrigues | Artes Visuais | Aprovada | Júnio: falta carta de apresentação, fichas de registro e termo de conclusão. //Júnio: aprovada: 23/10/23</v>
      </c>
      <c r="B1234" s="93"/>
    </row>
    <row r="1235">
      <c r="A1235" s="384" t="str">
        <f>IFERROR(__xludf.DUMMYFUNCTION("""COMPUTED_VALUE"""),"Ellen Maria Oliveira Barroso | Filosofia | Aprovada | Bárbara: aluna aprovada etapas 1, 2 e 3, aguardando o agendamento da 4ª etapa.// Bárbara: aprovada 23/12/2020 //Júnio:conferido e arquivado: 16/06/2021")</f>
        <v>Ellen Maria Oliveira Barroso | Filosofia | Aprovada | Bárbara: aluna aprovada etapas 1, 2 e 3, aguardando o agendamento da 4ª etapa.// Bárbara: aprovada 23/12/2020 //Júnio:conferido e arquivado: 16/06/2021</v>
      </c>
      <c r="B1235" s="93"/>
    </row>
    <row r="1236">
      <c r="A1236" s="384" t="str">
        <f>IFERROR(__xludf.DUMMYFUNCTION("""COMPUTED_VALUE"""),"Ellen Marliane Dos Santos Silva | Pedagogia Para Bachareis E Tecnologos | Aprovado | Júnio: - ESTÁGIO I: deve preencher o termo de conclusão e poderá recolher as assinaturas de todas as fichas ( carta de apresentação, fichas de registro e termo de conclus"&amp;"ão. - ESTÁGIO II: deve preencher o termo de conclusão e poderá recolher as assinaturas de todas as fichas ( carta de apresentação, fichas de registro e termo de conclusão. - ESTÁGIO III: deve preencher o termo de conclusão e poderá recolher as assinaturas"&amp;" de todas as fichas ( carta de apresentação, fichas de registro e termo de conclusão. - ESTÁGIO IV: deve preencher o termo de conclusão e poderá recolher as assinaturas de todas as fichas ( carta de apresentação, fichas de registro e termo de conclusão. -"&amp;" PRÁTICA DE COMPONENTE CURRICULAR I: ok - PRÁTICA DE COMPONENTE CURRICULAR II: falta enviar - PRÁTICA DE COMPONENTE CURRICULAR III: falta enviar - PRÁTICA DE COMPONENTE CURRICULAR IV: falta enviar// Alexsiane: estágio e práticas de componentes curriculare"&amp;"s aprovadas 31/07/2024")</f>
        <v>Ellen Marliane Dos Santos Silva | Pedagogia Para Bachareis E Tecnologos | Aprovado | Júnio: - ESTÁGIO I: deve preencher o termo de conclusão e poderá recolher as assinaturas de todas as fichas ( carta de apresentação, fichas de registro e termo de conclusão. - ESTÁGIO II: deve preencher o termo de conclusão e poderá recolher as assinaturas de todas as fichas ( carta de apresentação, fichas de registro e termo de conclusão. - ESTÁGIO III: deve preencher o termo de conclusão e poderá recolher as assinaturas de todas as fichas ( carta de apresentação, fichas de registro e termo de conclusão. - ESTÁGIO IV: deve preencher o termo de conclusão e poderá recolher as assinaturas de todas as fichas ( carta de apresentação, fichas de registro e termo de conclusão. - PRÁTICA DE COMPONENTE CURRICULAR I: ok - PRÁTICA DE COMPONENTE CURRICULAR II: falta enviar - PRÁTICA DE COMPONENTE CURRICULAR III: falta enviar - PRÁTICA DE COMPONENTE CURRICULAR IV: falta enviar// Alexsiane: estágio e práticas de componentes curriculares aprovadas 31/07/2024</v>
      </c>
      <c r="B1236" s="93"/>
    </row>
    <row r="1237">
      <c r="A1237" s="384" t="str">
        <f>IFERROR(__xludf.DUMMYFUNCTION("""COMPUTED_VALUE"""),"Ellen Marliane Dos Santos Silva | Pedagogia Bt | Aprovado | Alexsiane e Camila:A aluna expirou no dia 23/05/24 e enviou o trabalho para correção no dia 07/05/24. Conforme verificado com a Camila, quando a correção for feita, pode pedir ao setor responsáve"&amp;"l para liberar a plataforma para que ela veja o parecer e avisá-la pelo WhatsApp.")</f>
        <v>Ellen Marliane Dos Santos Silva | Pedagogia Bt | Aprovado | Alexsiane e Camila:A aluna expirou no dia 23/05/24 e enviou o trabalho para correção no dia 07/05/24. Conforme verificado com a Camila, quando a correção for feita, pode pedir ao setor responsável para liberar a plataforma para que ela veja o parecer e avisá-la pelo WhatsApp.</v>
      </c>
      <c r="B1237" s="93"/>
    </row>
    <row r="1238">
      <c r="A1238" s="384" t="str">
        <f>IFERROR(__xludf.DUMMYFUNCTION("""COMPUTED_VALUE"""),"Eller Rafael Da Silva | Letras Inglês | Aprovado | Júnio: pré aprovado //Júnio: aprovado: 24/10/23")</f>
        <v>Eller Rafael Da Silva | Letras Inglês | Aprovado | Júnio: pré aprovado //Júnio: aprovado: 24/10/23</v>
      </c>
      <c r="B1238" s="93"/>
    </row>
    <row r="1239">
      <c r="A1239" s="384" t="str">
        <f>IFERROR(__xludf.DUMMYFUNCTION("""COMPUTED_VALUE"""),"Elma Assunção | Pedagogia | Aprovada | Alexsiane: falta 10 planos de aula,  declaração de experiência não aceita pois está com estagiaria e 11% de plágio.// Alexsiane: aprovado no remoto antigo com lançamento no spont 03/08/2022")</f>
        <v>Elma Assunção | Pedagogia | Aprovada | Alexsiane: falta 10 planos de aula,  declaração de experiência não aceita pois está com estagiaria e 11% de plágio.// Alexsiane: aprovado no remoto antigo com lançamento no spont 03/08/2022</v>
      </c>
      <c r="B1239" s="93"/>
    </row>
    <row r="1240">
      <c r="A1240" s="384" t="str">
        <f>IFERROR(__xludf.DUMMYFUNCTION("""COMPUTED_VALUE"""),"Eloíza Helena De Souza Mateus | Pedagogia | aprovada | Aline Silva: aprovada sob os moldes de 2018// Bárbara: Conferido e arquivado em 16/09/2020")</f>
        <v>Eloíza Helena De Souza Mateus | Pedagogia | aprovada | Aline Silva: aprovada sob os moldes de 2018// Bárbara: Conferido e arquivado em 16/09/2020</v>
      </c>
      <c r="B1240" s="93"/>
    </row>
    <row r="1241">
      <c r="A1241" s="384" t="str">
        <f>IFERROR(__xludf.DUMMYFUNCTION("""COMPUTED_VALUE"""),"Elson Sobrinho Marcos | Pedagogia | Aprovada | Bianca: aprovada nas 4 etapas do remoto antigo")</f>
        <v>Elson Sobrinho Marcos | Pedagogia | Aprovada | Bianca: aprovada nas 4 etapas do remoto antigo</v>
      </c>
      <c r="B1241" s="93"/>
    </row>
    <row r="1242">
      <c r="A1242" s="384" t="str">
        <f>IFERROR(__xludf.DUMMYFUNCTION("""COMPUTED_VALUE"""),"Elton Nogueira Malaquias | História | Aprovado | Aline Silva: apresentou declaração de experiência.// Reenviar com assinaturas e carimbos. Faltam carta de ap, e termo de conclusão.// aprovado dia 26/06/2020// Bárbara: Conferido e arquivado 15/09/2020")</f>
        <v>Elton Nogueira Malaquias | História | Aprovado | Aline Silva: apresentou declaração de experiência.// Reenviar com assinaturas e carimbos. Faltam carta de ap, e termo de conclusão.// aprovado dia 26/06/2020// Bárbara: Conferido e arquivado 15/09/2020</v>
      </c>
      <c r="B1242" s="93"/>
    </row>
    <row r="1243">
      <c r="A1243" s="384" t="str">
        <f>IFERROR(__xludf.DUMMYFUNCTION("""COMPUTED_VALUE"""),"Eluana De Lima Melo Lira | Neuropsicopedagogia Instittucional Clínica E Hospitalar | Aprovada | Edilaine: 21,17% de plágio. Tem que enviar a carta de apresentação. Tem que especificar o tipo de acompanhamento nas fichas de registro. Tem que corrigir o tot"&amp;"al de horas cumpridas na ficha de 53 horas.Tem até dia 13/03/2023 para reenviar.  //// Edilaine: Pré-aprovada 19/04 //Júnio: aprovada")</f>
        <v>Eluana De Lima Melo Lira | Neuropsicopedagogia Instittucional Clínica E Hospitalar | Aprovada | Edilaine: 21,17% de plágio. Tem que enviar a carta de apresentação. Tem que especificar o tipo de acompanhamento nas fichas de registro. Tem que corrigir o total de horas cumpridas na ficha de 53 horas.Tem até dia 13/03/2023 para reenviar.  //// Edilaine: Pré-aprovada 19/04 //Júnio: aprovada</v>
      </c>
      <c r="B1243" s="93"/>
    </row>
    <row r="1244">
      <c r="A1244" s="384" t="str">
        <f>IFERROR(__xludf.DUMMYFUNCTION("""COMPUTED_VALUE"""),"Elvira Narcizo De Oliveira | História | Aprovada | Bianca: Falta etapa 1,2 e 3 e fichas de registros //Júnio:conferido e arquivado: 26/05/22")</f>
        <v>Elvira Narcizo De Oliveira | História | Aprovada | Bianca: Falta etapa 1,2 e 3 e fichas de registros //Júnio:conferido e arquivado: 26/05/22</v>
      </c>
      <c r="B1244" s="93"/>
    </row>
    <row r="1245">
      <c r="A1245" s="384" t="str">
        <f>IFERROR(__xludf.DUMMYFUNCTION("""COMPUTED_VALUE"""),"Ely Clayton Fernandes Da Silva | Formação Pedagógica Geografia | Aprovado | Cris: PP aprovado")</f>
        <v>Ely Clayton Fernandes Da Silva | Formação Pedagógica Geografia | Aprovado | Cris: PP aprovado</v>
      </c>
      <c r="B1245" s="93"/>
    </row>
    <row r="1246">
      <c r="A1246" s="384" t="str">
        <f>IFERROR(__xludf.DUMMYFUNCTION("""COMPUTED_VALUE"""),"Emanoela Costa Dos Santos | Letras Port | Aprovado | Bárbara: aluna repetiu todos os planos 2 X // Bárbara: aprovada 19/11/2020")</f>
        <v>Emanoela Costa Dos Santos | Letras Port | Aprovado | Bárbara: aluna repetiu todos os planos 2 X // Bárbara: aprovada 19/11/2020</v>
      </c>
      <c r="B1246" s="93"/>
    </row>
    <row r="1247">
      <c r="A1247" s="384" t="str">
        <f>IFERROR(__xludf.DUMMYFUNCTION("""COMPUTED_VALUE"""),"Emanoela Pires Barbosa Pelegrini Da Silva | Pedagogia | Aprovada | Alexsiane: enviou somente os 20 planos de aula e as fichas porém está faltando descrever as atividades desempenhada //Júnio:aprovada: 14/06/22 //Júnio: físico conferido e arquivado: 28/06/"&amp;"22")</f>
        <v>Emanoela Pires Barbosa Pelegrini Da Silva | Pedagogia | Aprovada | Alexsiane: enviou somente os 20 planos de aula e as fichas porém está faltando descrever as atividades desempenhada //Júnio:aprovada: 14/06/22 //Júnio: físico conferido e arquivado: 28/06/22</v>
      </c>
      <c r="B1247" s="93"/>
    </row>
    <row r="1248">
      <c r="A1248" s="384" t="str">
        <f>IFERROR(__xludf.DUMMYFUNCTION("""COMPUTED_VALUE"""),"Emanuele Moreira De Oliveira | História | Em análise | Bianca: enviou apenas fichas de registros preenchidas")</f>
        <v>Emanuele Moreira De Oliveira | História | Em análise | Bianca: enviou apenas fichas de registros preenchidas</v>
      </c>
      <c r="B1248" s="93"/>
    </row>
    <row r="1249">
      <c r="A1249" s="384" t="str">
        <f>IFERROR(__xludf.DUMMYFUNCTION("""COMPUTED_VALUE"""),"Emanuelly Carollyne Lopes Nascimento | Pedagogia Para Bacharéis E Tecnólogos | Aprovada | Júnio: PP: precisa complementar com mais páginas PCCs: ok //Júnio: aprovada: 20/11/23")</f>
        <v>Emanuelly Carollyne Lopes Nascimento | Pedagogia Para Bacharéis E Tecnólogos | Aprovada | Júnio: PP: precisa complementar com mais páginas PCCs: ok //Júnio: aprovada: 20/11/23</v>
      </c>
      <c r="B1249" s="93"/>
    </row>
    <row r="1250">
      <c r="A1250" s="384" t="str">
        <f>IFERROR(__xludf.DUMMYFUNCTION("""COMPUTED_VALUE"""),"Emelly Aparecida Rocha Borges | Pedagogia | Aprovada | Alexsiane: pp aprovado")</f>
        <v>Emelly Aparecida Rocha Borges | Pedagogia | Aprovada | Alexsiane: pp aprovado</v>
      </c>
      <c r="B1250" s="93"/>
    </row>
    <row r="1251">
      <c r="A1251" s="384" t="str">
        <f>IFERROR(__xludf.DUMMYFUNCTION("""COMPUTED_VALUE"""),"Emerson Cerqueira De Oliveira | Pedagogia | Aprovado | Júnio: PP -  24% plágio //Aprovado: 20/02/24")</f>
        <v>Emerson Cerqueira De Oliveira | Pedagogia | Aprovado | Júnio: PP -  24% plágio //Aprovado: 20/02/24</v>
      </c>
      <c r="B1251" s="93"/>
    </row>
    <row r="1252">
      <c r="A1252" s="384" t="str">
        <f>IFERROR(__xludf.DUMMYFUNCTION("""COMPUTED_VALUE"""),"Emerson Dos Santos Ferreira | Música | Aprovado | Júnio: declaração de experiencia valida //Júnio: PP aprovado: 20/07/23")</f>
        <v>Emerson Dos Santos Ferreira | Música | Aprovado | Júnio: declaração de experiencia valida //Júnio: PP aprovado: 20/07/23</v>
      </c>
      <c r="B1252" s="93"/>
    </row>
    <row r="1253">
      <c r="A1253" s="384" t="str">
        <f>IFERROR(__xludf.DUMMYFUNCTION("""COMPUTED_VALUE"""),"Emerson Fauzer Da Silva | Pedagogia | Aprovado  | Lucas: Aprovado nas 3 primeiras etapas do Estago remoto antigo// Bianca aprovado nas 4 etapas do remoto antigo em 25/01/2022 //Júnio:conferido e arquivado: 04/04/22")</f>
        <v>Emerson Fauzer Da Silva | Pedagogia | Aprovado  | Lucas: Aprovado nas 3 primeiras etapas do Estago remoto antigo// Bianca aprovado nas 4 etapas do remoto antigo em 25/01/2022 //Júnio:conferido e arquivado: 04/04/22</v>
      </c>
      <c r="B1253" s="93"/>
    </row>
    <row r="1254">
      <c r="A1254" s="384" t="str">
        <f>IFERROR(__xludf.DUMMYFUNCTION("""COMPUTED_VALUE"""),"Emerson Galvão Coelho Do Rosário | Música | Aprovado | Júnio: PP aprovado")</f>
        <v>Emerson Galvão Coelho Do Rosário | Música | Aprovado | Júnio: PP aprovado</v>
      </c>
      <c r="B1254" s="93"/>
    </row>
    <row r="1255">
      <c r="A1255" s="384" t="str">
        <f>IFERROR(__xludf.DUMMYFUNCTION("""COMPUTED_VALUE"""),"Emerson Ricardo De Souza | Geografia | Aprovado | Thiara: aprovado. /// Recebido no Instituto dia 23/07/2019")</f>
        <v>Emerson Ricardo De Souza | Geografia | Aprovado | Thiara: aprovado. /// Recebido no Instituto dia 23/07/2019</v>
      </c>
      <c r="B1255" s="93"/>
    </row>
    <row r="1256">
      <c r="A1256" s="384" t="str">
        <f>IFERROR(__xludf.DUMMYFUNCTION("""COMPUTED_VALUE"""),"Eni Alves Pereira | Matemática | Em análise | Edilaine: Enviou a declaração de experiência, mas não é válida. Falta o restante do trabalho. Tem até dia 02/01/2023 para reenviar.")</f>
        <v>Eni Alves Pereira | Matemática | Em análise | Edilaine: Enviou a declaração de experiência, mas não é válida. Falta o restante do trabalho. Tem até dia 02/01/2023 para reenviar.</v>
      </c>
      <c r="B1256" s="93"/>
    </row>
    <row r="1257">
      <c r="A1257" s="384" t="str">
        <f>IFERROR(__xludf.DUMMYFUNCTION("""COMPUTED_VALUE"""),"Ênio Chrystian Goulart De Oliveira | Física | Aprovado | Júnio: PP - falta responder  o questionário. //Júnio: PP aprovado")</f>
        <v>Ênio Chrystian Goulart De Oliveira | Física | Aprovado | Júnio: PP - falta responder  o questionário. //Júnio: PP aprovado</v>
      </c>
      <c r="B1257" s="93"/>
    </row>
    <row r="1258">
      <c r="A1258" s="384" t="str">
        <f>IFERROR(__xludf.DUMMYFUNCTION("""COMPUTED_VALUE"""),"Ênio Filipe Goularte De Oliveira | Ciências Sociais | Aprovado | Júnio: PP- etapas: OK Inicio: 05/04/2023 Reenviar: 05/10/23 //Júnio: aprovado: 05/10/2023")</f>
        <v>Ênio Filipe Goularte De Oliveira | Ciências Sociais | Aprovado | Júnio: PP- etapas: OK Inicio: 05/04/2023 Reenviar: 05/10/23 //Júnio: aprovado: 05/10/2023</v>
      </c>
      <c r="B1258" s="93"/>
    </row>
    <row r="1259">
      <c r="A1259" s="384" t="str">
        <f>IFERROR(__xludf.DUMMYFUNCTION("""COMPUTED_VALUE"""),"Ênio Richard Goulart De Oliveira | Educação Física | Aprovada | Alexsiane: pp aprovado")</f>
        <v>Ênio Richard Goulart De Oliveira | Educação Física | Aprovada | Alexsiane: pp aprovado</v>
      </c>
      <c r="B1259" s="93"/>
    </row>
    <row r="1260">
      <c r="A1260" s="384" t="str">
        <f>IFERROR(__xludf.DUMMYFUNCTION("""COMPUTED_VALUE"""),"Enzo Ishicava Bortocoli Escobar Brussi | Matemática | Aprovado | Júnio: PP 5 ETAPAS: falta carta de autorização e reenviar o vídeo da aula pois não abriu //Júnio: aprovado: 22/08/23")</f>
        <v>Enzo Ishicava Bortocoli Escobar Brussi | Matemática | Aprovado | Júnio: PP 5 ETAPAS: falta carta de autorização e reenviar o vídeo da aula pois não abriu //Júnio: aprovado: 22/08/23</v>
      </c>
      <c r="B1260" s="93"/>
    </row>
    <row r="1261">
      <c r="A1261" s="384" t="str">
        <f>IFERROR(__xludf.DUMMYFUNCTION("""COMPUTED_VALUE"""),"Epetino Sora | História | Aprovado | Thiara: aprovado// Recebido no instituto encadernado e impresso dia 26/11/2019")</f>
        <v>Epetino Sora | História | Aprovado | Thiara: aprovado// Recebido no instituto encadernado e impresso dia 26/11/2019</v>
      </c>
      <c r="B1261" s="93"/>
    </row>
    <row r="1262">
      <c r="A1262" s="384" t="str">
        <f>IFERROR(__xludf.DUMMYFUNCTION("""COMPUTED_VALUE"""),"Érica Cecília Noronha Da Boit | Psicopedagogia Int Cli | Aprovada | Bárbara: trabalho ok, faltou apenas a carta de encaminhamento, aguardando para a aprovação e autorização do envio físico. // Bárbara: aprovada 23/02/2021 // Bianca: Conferido e arquivado "&amp;"09/04/2021")</f>
        <v>Érica Cecília Noronha Da Boit | Psicopedagogia Int Cli | Aprovada | Bárbara: trabalho ok, faltou apenas a carta de encaminhamento, aguardando para a aprovação e autorização do envio físico. // Bárbara: aprovada 23/02/2021 // Bianca: Conferido e arquivado 09/04/2021</v>
      </c>
      <c r="B1262" s="93"/>
    </row>
    <row r="1263">
      <c r="A1263" s="384" t="str">
        <f>IFERROR(__xludf.DUMMYFUNCTION("""COMPUTED_VALUE"""),"Érica Da Silva Fróes | Artes Visuais | Aprovada | Júnio: PP - falta a etapa 2. //Júnio: aprovada: 13/11/23")</f>
        <v>Érica Da Silva Fróes | Artes Visuais | Aprovada | Júnio: PP - falta a etapa 2. //Júnio: aprovada: 13/11/23</v>
      </c>
      <c r="B1263" s="93"/>
    </row>
    <row r="1264">
      <c r="A1264" s="384" t="str">
        <f>IFERROR(__xludf.DUMMYFUNCTION("""COMPUTED_VALUE"""),"Erica Emannuele Pereira De Souza Alcantara | Pedagogia | Aprovada | Bianca: autorizada a recolher assinaturas, falta carta de apresentação e termo de conclusão// Aprovada em 18/10//Júnio: conferido e arquivado: 26/11/21")</f>
        <v>Erica Emannuele Pereira De Souza Alcantara | Pedagogia | Aprovada | Bianca: autorizada a recolher assinaturas, falta carta de apresentação e termo de conclusão// Aprovada em 18/10//Júnio: conferido e arquivado: 26/11/21</v>
      </c>
      <c r="B1264" s="93"/>
    </row>
    <row r="1265">
      <c r="A1265" s="384" t="str">
        <f>IFERROR(__xludf.DUMMYFUNCTION("""COMPUTED_VALUE"""),"Érica Fernanda Camargo Fogaça | Pedagogia | Aprovada | Alexsiane: etapa 1, 2 e 4 ok, etapa 3 falta 1 plano de aula.// Alexsiane: aprovado no remoto antigo com lanaçamento no sponte 11/08/2022")</f>
        <v>Érica Fernanda Camargo Fogaça | Pedagogia | Aprovada | Alexsiane: etapa 1, 2 e 4 ok, etapa 3 falta 1 plano de aula.// Alexsiane: aprovado no remoto antigo com lanaçamento no sponte 11/08/2022</v>
      </c>
      <c r="B1265" s="93"/>
    </row>
    <row r="1266">
      <c r="A1266" s="384" t="str">
        <f>IFERROR(__xludf.DUMMYFUNCTION("""COMPUTED_VALUE"""),"Érica Fernanda Camargo Fogaça | Psicopedagogia Institucional E Clínica | Aprovado | Alexsiane: falta fichas de registro, termo de conclusão e carta de apresentação// Alexsiane: pré aprovado com lançamento no sponte// Pâmela 07/11/2022 conferido e arquivad"&amp;"o. ")</f>
        <v>Érica Fernanda Camargo Fogaça | Psicopedagogia Institucional E Clínica | Aprovado | Alexsiane: falta fichas de registro, termo de conclusão e carta de apresentação// Alexsiane: pré aprovado com lançamento no sponte// Pâmela 07/11/2022 conferido e arquivado. </v>
      </c>
      <c r="B1266" s="93"/>
    </row>
    <row r="1267">
      <c r="A1267" s="384" t="str">
        <f>IFERROR(__xludf.DUMMYFUNCTION("""COMPUTED_VALUE"""),"Érica Fernanda Gregio | Pedagogia | Aprovada | Júnio: PP - falta a entrevista //Júnio: aprovada: 15/08/23")</f>
        <v>Érica Fernanda Gregio | Pedagogia | Aprovada | Júnio: PP - falta a entrevista //Júnio: aprovada: 15/08/23</v>
      </c>
      <c r="B1267" s="93"/>
    </row>
    <row r="1268">
      <c r="A1268" s="384" t="str">
        <f>IFERROR(__xludf.DUMMYFUNCTION("""COMPUTED_VALUE"""),"Érica Nayara Santana Do Nascimento | Pedagogia | Aprovada | Júnio: PP - etapas: ok Inicio: 05/07/23 Reenviar: 05/01/24 //Júnio: aprovada: 05/01/24")</f>
        <v>Érica Nayara Santana Do Nascimento | Pedagogia | Aprovada | Júnio: PP - etapas: ok Inicio: 05/07/23 Reenviar: 05/01/24 //Júnio: aprovada: 05/01/24</v>
      </c>
      <c r="B1268" s="93"/>
    </row>
    <row r="1269">
      <c r="A1269" s="384" t="str">
        <f>IFERROR(__xludf.DUMMYFUNCTION("""COMPUTED_VALUE"""),"Erica Patrícia Da Silva | Artes Visuais | Aprovada | Bianca: autorizada a recolher assinaturas // Lucas: Aprovada e anexada no Sponte //Alexsiane: Conferido e arquivado 07/04/2022")</f>
        <v>Erica Patrícia Da Silva | Artes Visuais | Aprovada | Bianca: autorizada a recolher assinaturas // Lucas: Aprovada e anexada no Sponte //Alexsiane: Conferido e arquivado 07/04/2022</v>
      </c>
      <c r="B1269" s="93"/>
    </row>
    <row r="1270">
      <c r="A1270" s="384" t="str">
        <f>IFERROR(__xludf.DUMMYFUNCTION("""COMPUTED_VALUE"""),"Érica Patrícia Teixeira De Souza | Pedagogia | Aprovada | Bárbara: aluna apresentopu declração de ecperiência INVÁLIDA, não aceita, visto que não especifica// Pamela 17/01/2023 Conferido e arquivado. ")</f>
        <v>Érica Patrícia Teixeira De Souza | Pedagogia | Aprovada | Bárbara: aluna apresentopu declração de ecperiência INVÁLIDA, não aceita, visto que não especifica// Pamela 17/01/2023 Conferido e arquivado. </v>
      </c>
      <c r="B1270" s="93"/>
    </row>
    <row r="1271">
      <c r="A1271" s="384" t="str">
        <f>IFERROR(__xludf.DUMMYFUNCTION("""COMPUTED_VALUE"""),"Erica Taisa De Brito Raimundo | Matemática | Aprovada  | Júnio: 17% plágio, fazer + 19 planos de aula, colocar nome no trabalho, consertar margem, colocar cor preta, fazer sumário, introdução, conclusão e referências// Lucas: aprovada 15/02")</f>
        <v>Erica Taisa De Brito Raimundo | Matemática | Aprovada  | Júnio: 17% plágio, fazer + 19 planos de aula, colocar nome no trabalho, consertar margem, colocar cor preta, fazer sumário, introdução, conclusão e referências// Lucas: aprovada 15/02</v>
      </c>
      <c r="B1271" s="93"/>
    </row>
    <row r="1272">
      <c r="A1272" s="384" t="str">
        <f>IFERROR(__xludf.DUMMYFUNCTION("""COMPUTED_VALUE"""),"Érico Fernando Borges Tegon | Música | Aprovado | Júnio: PP aprovado")</f>
        <v>Érico Fernando Borges Tegon | Música | Aprovado | Júnio: PP aprovado</v>
      </c>
      <c r="B1272" s="93"/>
    </row>
    <row r="1273">
      <c r="A1273" s="384" t="str">
        <f>IFERROR(__xludf.DUMMYFUNCTION("""COMPUTED_VALUE"""),"Ericon Moura De Jesus | Música | Aprovado | Alexsiane: pp aprovado")</f>
        <v>Ericon Moura De Jesus | Música | Aprovado | Alexsiane: pp aprovado</v>
      </c>
      <c r="B1273" s="93"/>
    </row>
    <row r="1274">
      <c r="A1274" s="384" t="str">
        <f>IFERROR(__xludf.DUMMYFUNCTION("""COMPUTED_VALUE"""),"Éricson Fabrício Alves Vieira Da Silva | Música | Aprovada | Alexsiane: aprovado no pp")</f>
        <v>Éricson Fabrício Alves Vieira Da Silva | Música | Aprovada | Alexsiane: aprovado no pp</v>
      </c>
      <c r="B1274" s="93"/>
    </row>
    <row r="1275">
      <c r="A1275" s="384" t="str">
        <f>IFERROR(__xludf.DUMMYFUNCTION("""COMPUTED_VALUE"""),"Erika Aparecida Ribeiro | Letras Português Inglês | Aprovada | Bárbara: etapas 1 e 2 ok, autorizada a recolher assinaturas declração de experiência da isenção da etapa 3, autorizada a recolher assintura documentação etapa 4. Falta relatório geral de acomp"&amp;"anhamento etapa 4 //Júnio:aprovada: 25/05/22 //Júnio: conferida e arquivada: 02/06/22")</f>
        <v>Erika Aparecida Ribeiro | Letras Português Inglês | Aprovada | Bárbara: etapas 1 e 2 ok, autorizada a recolher assinaturas declração de experiência da isenção da etapa 3, autorizada a recolher assintura documentação etapa 4. Falta relatório geral de acompanhamento etapa 4 //Júnio:aprovada: 25/05/22 //Júnio: conferida e arquivada: 02/06/22</v>
      </c>
      <c r="B1275" s="93"/>
    </row>
    <row r="1276">
      <c r="A1276" s="384" t="str">
        <f>IFERROR(__xludf.DUMMYFUNCTION("""COMPUTED_VALUE"""),"Erika Carrion | Pedagogia | Aprovada  | Lucas: Etapas 1, 2 e 3 aprovadas, falta etapa 4 do remoto antigo. (Pode apresentar declaração)// Bárbara: aprovada 23/06/2022")</f>
        <v>Erika Carrion | Pedagogia | Aprovada  | Lucas: Etapas 1, 2 e 3 aprovadas, falta etapa 4 do remoto antigo. (Pode apresentar declaração)// Bárbara: aprovada 23/06/2022</v>
      </c>
      <c r="B1276" s="93"/>
    </row>
    <row r="1277">
      <c r="A1277" s="384" t="str">
        <f>IFERROR(__xludf.DUMMYFUNCTION("""COMPUTED_VALUE"""),"Erika Cordulino Fernandes | Inglês Sl | Aprovada | Júnio: precisa consertar a ficha de registro, total diário está errado e ultrapassando o limite de 6 horas, especificar tipo de acompanhamento, tema e série e completar com mais 30 horas. //Júnio: aprovad"&amp;"a: 30/06/23")</f>
        <v>Erika Cordulino Fernandes | Inglês Sl | Aprovada | Júnio: precisa consertar a ficha de registro, total diário está errado e ultrapassando o limite de 6 horas, especificar tipo de acompanhamento, tema e série e completar com mais 30 horas. //Júnio: aprovada: 30/06/23</v>
      </c>
      <c r="B1277" s="93"/>
    </row>
    <row r="1278">
      <c r="A1278" s="384" t="str">
        <f>IFERROR(__xludf.DUMMYFUNCTION("""COMPUTED_VALUE"""),"Erika Ferreira Rocha Pires | História | Pré-aprovado | APROVADO pela carga horária, mas não enviou o trabalho completo 10/09.")</f>
        <v>Erika Ferreira Rocha Pires | História | Pré-aprovado | APROVADO pela carga horária, mas não enviou o trabalho completo 10/09.</v>
      </c>
      <c r="B1278" s="93"/>
    </row>
    <row r="1279">
      <c r="A1279" s="384" t="str">
        <f>IFERROR(__xludf.DUMMYFUNCTION("""COMPUTED_VALUE"""),"Erika Fonseca De Almeida | Pedagogia | Aprovado | Thiara: falta 6 horas de Gestão Escolar. Enviei para correção dia 27/12/2018. Aprovado dia 15/01/2018. Recebido em 01/02/2019.")</f>
        <v>Erika Fonseca De Almeida | Pedagogia | Aprovado | Thiara: falta 6 horas de Gestão Escolar. Enviei para correção dia 27/12/2018. Aprovado dia 15/01/2018. Recebido em 01/02/2019.</v>
      </c>
      <c r="B1279" s="93"/>
    </row>
    <row r="1280">
      <c r="A1280" s="384" t="str">
        <f>IFERROR(__xludf.DUMMYFUNCTION("""COMPUTED_VALUE"""),"Erika Justino | Neuropsicologia Clínica | Aprovada | Alexsiane: refazer as fichas de registro na tabela pois esta ilegivel( restante está ok e sem plagio.)  //// Edilaine: Pré- aprovada 07/02/2023  /// Edilaine: Aprovada 15/03/2023")</f>
        <v>Erika Justino | Neuropsicologia Clínica | Aprovada | Alexsiane: refazer as fichas de registro na tabela pois esta ilegivel( restante está ok e sem plagio.)  //// Edilaine: Pré- aprovada 07/02/2023  /// Edilaine: Aprovada 15/03/2023</v>
      </c>
      <c r="B1280" s="93"/>
    </row>
    <row r="1281">
      <c r="A1281" s="384" t="str">
        <f>IFERROR(__xludf.DUMMYFUNCTION("""COMPUTED_VALUE"""),"Erika Pimentel Aniceto Santana | Geografia | Aprovado | Estella: ok, mandei corrigido e pedi para enviar impresso. Thiara Recebido dia 21/12/2018")</f>
        <v>Erika Pimentel Aniceto Santana | Geografia | Aprovado | Estella: ok, mandei corrigido e pedi para enviar impresso. Thiara Recebido dia 21/12/2018</v>
      </c>
      <c r="B1281" s="93"/>
    </row>
    <row r="1282">
      <c r="A1282" s="384" t="str">
        <f>IFERROR(__xludf.DUMMYFUNCTION("""COMPUTED_VALUE"""),"Erika Queiroz Silva | Artes Visuais | Aprovada | Bianca: Aprovada no Sponte 07/04/2021 //Júnio:conferido e arquivado: 27/04/21")</f>
        <v>Erika Queiroz Silva | Artes Visuais | Aprovada | Bianca: Aprovada no Sponte 07/04/2021 //Júnio:conferido e arquivado: 27/04/21</v>
      </c>
      <c r="B1282" s="93"/>
    </row>
    <row r="1283">
      <c r="A1283" s="384" t="str">
        <f>IFERROR(__xludf.DUMMYFUNCTION("""COMPUTED_VALUE"""),"Erineide Queiroz De Souza | Artes Visuais | Aprovada | Aline Silva: falta completar os itens descritivos, apresentar ficha de apresentação e dados gerais da escola, não apresentou as 300 horas. //Bianca: aprovada:07/04 //Júnio: conferido e arquivado 27/04"&amp;"/21")</f>
        <v>Erineide Queiroz De Souza | Artes Visuais | Aprovada | Aline Silva: falta completar os itens descritivos, apresentar ficha de apresentação e dados gerais da escola, não apresentou as 300 horas. //Bianca: aprovada:07/04 //Júnio: conferido e arquivado 27/04/21</v>
      </c>
      <c r="B1283" s="93"/>
    </row>
    <row r="1284">
      <c r="A1284" s="384" t="str">
        <f>IFERROR(__xludf.DUMMYFUNCTION("""COMPUTED_VALUE"""),"Erivaldo Brito De Almeida | Filosofia | Aprovado | Bianca: aprovado nas 3 primeiras etapas do remoto antigo //Bárbara: aprovado na 4 etapa 28/04/2021")</f>
        <v>Erivaldo Brito De Almeida | Filosofia | Aprovado | Bianca: aprovado nas 3 primeiras etapas do remoto antigo //Bárbara: aprovado na 4 etapa 28/04/2021</v>
      </c>
      <c r="B1284" s="93"/>
    </row>
    <row r="1285">
      <c r="A1285" s="384" t="str">
        <f>IFERROR(__xludf.DUMMYFUNCTION("""COMPUTED_VALUE"""),"Erivelton Damião Luz Rodrigues | Letras Por | Aprovado | Bárbara: aprovado etapas 1,2 e 3 do remoto, aguardando a 4// Bárabara: aprovado etapa 4 estágio remoto 09/10/2020// Bárbara: imprimido e arquivado 30/12/2020// Bárbara: conferido e arquivado 03/03/2"&amp;"021")</f>
        <v>Erivelton Damião Luz Rodrigues | Letras Por | Aprovado | Bárbara: aprovado etapas 1,2 e 3 do remoto, aguardando a 4// Bárabara: aprovado etapa 4 estágio remoto 09/10/2020// Bárbara: imprimido e arquivado 30/12/2020// Bárbara: conferido e arquivado 03/03/2021</v>
      </c>
      <c r="B1285" s="93"/>
    </row>
    <row r="1286">
      <c r="A1286" s="384" t="str">
        <f>IFERROR(__xludf.DUMMYFUNCTION("""COMPUTED_VALUE"""),"Erlane Rocha Da Silva | Neuropsicopedagogia Institucional,Clínica E Hospitalar | Aprovada  | Alexsiane: Corrigir o total de horas por dia nas fichas passou de 6 horas, especificar a turma e o tipo de acompanhamento. ?? Bárbara: 27/09 autorizada a enviar o"&amp;" físico 27/09/2022 // Pamela 19/12/2022 Conferido e arquivado.")</f>
        <v>Erlane Rocha Da Silva | Neuropsicopedagogia Institucional,Clínica E Hospitalar | Aprovada  | Alexsiane: Corrigir o total de horas por dia nas fichas passou de 6 horas, especificar a turma e o tipo de acompanhamento. ?? Bárbara: 27/09 autorizada a enviar o físico 27/09/2022 // Pamela 19/12/2022 Conferido e arquivado.</v>
      </c>
      <c r="B1286" s="93"/>
    </row>
    <row r="1287">
      <c r="A1287" s="384" t="str">
        <f>IFERROR(__xludf.DUMMYFUNCTION("""COMPUTED_VALUE"""),"Ernandes Santos Xavier | Matemática | Aprovado | Matheus: pp aprovado")</f>
        <v>Ernandes Santos Xavier | Matemática | Aprovado | Matheus: pp aprovado</v>
      </c>
      <c r="B1287" s="93"/>
    </row>
    <row r="1288">
      <c r="A1288" s="384" t="str">
        <f>IFERROR(__xludf.DUMMYFUNCTION("""COMPUTED_VALUE"""),"Eronilde Rodrigues De Araújo | Letras Português | Aprovada | Júnio: pre aprovada //Júnio: aprovada: 25/05/23")</f>
        <v>Eronilde Rodrigues De Araújo | Letras Português | Aprovada | Júnio: pre aprovada //Júnio: aprovada: 25/05/23</v>
      </c>
      <c r="B1288" s="93"/>
    </row>
    <row r="1289">
      <c r="A1289" s="384" t="str">
        <f>IFERROR(__xludf.DUMMYFUNCTION("""COMPUTED_VALUE"""),"Estefane Alessandra Da Silva Fagundes | Psicopedagogia | Aprovada | Júnio: aprovada com lançamento no Sponte //Júnio: físico recebido, conferido e arquivado -16/12/22")</f>
        <v>Estefane Alessandra Da Silva Fagundes | Psicopedagogia | Aprovada | Júnio: aprovada com lançamento no Sponte //Júnio: físico recebido, conferido e arquivado -16/12/22</v>
      </c>
      <c r="B1289" s="93"/>
    </row>
    <row r="1290">
      <c r="A1290" s="384" t="str">
        <f>IFERROR(__xludf.DUMMYFUNCTION("""COMPUTED_VALUE"""),"Estéfane Dantas Cabral Alexandre | Artes Visuais | Aprovada | Júnio: PP - carta com assinatura colada//Alexsiane: Pp aprovado 22/02")</f>
        <v>Estéfane Dantas Cabral Alexandre | Artes Visuais | Aprovada | Júnio: PP - carta com assinatura colada//Alexsiane: Pp aprovado 22/02</v>
      </c>
      <c r="B1290" s="93"/>
    </row>
    <row r="1291">
      <c r="A1291" s="384" t="str">
        <f>IFERROR(__xludf.DUMMYFUNCTION("""COMPUTED_VALUE"""),"Estefania Geovanini Ferreira Santos | Matemática | Aprovada | Alexsiane: Falta autoavaliação, fichas de registro, relatório de observação, regência e gestão. 27/11 para reenviar//Alexsiane:pré-aprovado com lançamento no sponte // Pâmela 13/12/2022 Conferi"&amp;"do e arquivado. ")</f>
        <v>Estefania Geovanini Ferreira Santos | Matemática | Aprovada | Alexsiane: Falta autoavaliação, fichas de registro, relatório de observação, regência e gestão. 27/11 para reenviar//Alexsiane:pré-aprovado com lançamento no sponte // Pâmela 13/12/2022 Conferido e arquivado. </v>
      </c>
      <c r="B1291" s="93"/>
    </row>
    <row r="1292">
      <c r="A1292" s="384" t="str">
        <f>IFERROR(__xludf.DUMMYFUNCTION("""COMPUTED_VALUE"""),"Estefania Geovanini Ferreira Santos | Pedagogia | Aprovada | Bárbara: aluna apresentou declaração de dispensa na gestão, isentando-a as 40 horas do PPP conforme conversado com a Ana. Alexsiane: Pré aprovado com lançamento no sponte")</f>
        <v>Estefania Geovanini Ferreira Santos | Pedagogia | Aprovada | Bárbara: aluna apresentou declaração de dispensa na gestão, isentando-a as 40 horas do PPP conforme conversado com a Ana. Alexsiane: Pré aprovado com lançamento no sponte</v>
      </c>
      <c r="B1292" s="93"/>
    </row>
    <row r="1293">
      <c r="A1293" s="384" t="str">
        <f>IFERROR(__xludf.DUMMYFUNCTION("""COMPUTED_VALUE"""),"Estela Maria De Azevedo Nery Ferreira | Pedagogia | Aprovada | Bárbara: aluna encaminhou o trabalho para verificação rápida, apenas fichas de observação. As fichas estão preenchidas corretamente,. Solicitei complementação das fichas e dos documentos, assi"&amp;"m como pasrte teórica. Não apresentou as 400 horas, mandei relação da carga horária completa a ser apresentada. //Júnio: aprovada: 28/08/23")</f>
        <v>Estela Maria De Azevedo Nery Ferreira | Pedagogia | Aprovada | Bárbara: aluna encaminhou o trabalho para verificação rápida, apenas fichas de observação. As fichas estão preenchidas corretamente,. Solicitei complementação das fichas e dos documentos, assim como pasrte teórica. Não apresentou as 400 horas, mandei relação da carga horária completa a ser apresentada. //Júnio: aprovada: 28/08/23</v>
      </c>
      <c r="B1293" s="93"/>
    </row>
    <row r="1294">
      <c r="A1294" s="384" t="str">
        <f>IFERROR(__xludf.DUMMYFUNCTION("""COMPUTED_VALUE"""),"Estela Marta Machado | Pedagogia | Aprovada | Edilaine: Enviou a declaração de experiência válida. A carga horária diária foi somada errada, tem que especificar o tipo de acompanhamento, tema e série nas fichas. Falta as partes dissertativas. //Júnio: pre"&amp;" aprovada: 16/05/23 //Júnio: aprovada: 14/06/23")</f>
        <v>Estela Marta Machado | Pedagogia | Aprovada | Edilaine: Enviou a declaração de experiência válida. A carga horária diária foi somada errada, tem que especificar o tipo de acompanhamento, tema e série nas fichas. Falta as partes dissertativas. //Júnio: pre aprovada: 16/05/23 //Júnio: aprovada: 14/06/23</v>
      </c>
      <c r="B1294" s="93"/>
    </row>
    <row r="1295">
      <c r="A1295" s="384" t="str">
        <f>IFERROR(__xludf.DUMMYFUNCTION("""COMPUTED_VALUE"""),"Estevao Bianco Capelari | Música | Aprovado | Júnio: PP aprovado")</f>
        <v>Estevao Bianco Capelari | Música | Aprovado | Júnio: PP aprovado</v>
      </c>
      <c r="B1295" s="93"/>
    </row>
    <row r="1296">
      <c r="A1296" s="384" t="str">
        <f>IFERROR(__xludf.DUMMYFUNCTION("""COMPUTED_VALUE"""),"Estevão Marcel De Almeida Condor | Matemática | Aprovada | Júnio: falta responder o questionário.//Alexsiane: PP aprovada")</f>
        <v>Estevão Marcel De Almeida Condor | Matemática | Aprovada | Júnio: falta responder o questionário.//Alexsiane: PP aprovada</v>
      </c>
      <c r="B1296" s="93"/>
    </row>
    <row r="1297">
      <c r="A1297" s="384" t="str">
        <f>IFERROR(__xludf.DUMMYFUNCTION("""COMPUTED_VALUE"""),"Estrela Maria Rabay | Artes Visuais | Aprovada | Júnio: PP - falta a etapa 2. //Júnio: PP aprovada: 18/10/23")</f>
        <v>Estrela Maria Rabay | Artes Visuais | Aprovada | Júnio: PP - falta a etapa 2. //Júnio: PP aprovada: 18/10/23</v>
      </c>
      <c r="B1297" s="93"/>
    </row>
    <row r="1298">
      <c r="A1298" s="384" t="str">
        <f>IFERROR(__xludf.DUMMYFUNCTION("""COMPUTED_VALUE"""),"Eudiane Luz Monteiro Miranda | Psicopedagogia Institucional, Clínica E Hospitalar | Aprovada | Edilaine: 8% de plágio, falta queixa, falta diagnóstico. Tem até dia 20/11/2022 para reenviar  trabalho //Júnio: prazo foi  até 15/01/23 pois ela não recebeu o "&amp;"e-mail no dia //// Edilaine: Aprovada 18/04")</f>
        <v>Eudiane Luz Monteiro Miranda | Psicopedagogia Institucional, Clínica E Hospitalar | Aprovada | Edilaine: 8% de plágio, falta queixa, falta diagnóstico. Tem até dia 20/11/2022 para reenviar  trabalho //Júnio: prazo foi  até 15/01/23 pois ela não recebeu o e-mail no dia //// Edilaine: Aprovada 18/04</v>
      </c>
      <c r="B1298" s="93"/>
    </row>
    <row r="1299">
      <c r="A1299" s="384" t="str">
        <f>IFERROR(__xludf.DUMMYFUNCTION("""COMPUTED_VALUE"""),"Eunaítala Farias Da Silva | Educação Física | em análise | Alexsiane: 18,44% de plágio até 16/08 reenviar")</f>
        <v>Eunaítala Farias Da Silva | Educação Física | em análise | Alexsiane: 18,44% de plágio até 16/08 reenviar</v>
      </c>
      <c r="B1299" s="93"/>
    </row>
    <row r="1300">
      <c r="A1300" s="384" t="str">
        <f>IFERROR(__xludf.DUMMYFUNCTION("""COMPUTED_VALUE"""),"Eunice De Souza Dantas | Ciências Sociais | Aprovada | Alexsiane; falta um plano de aula, carta de aceite e corrigir as fichas de registro.// Alexsiane; Pré-aprovada, autorizada a autenticar")</f>
        <v>Eunice De Souza Dantas | Ciências Sociais | Aprovada | Alexsiane; falta um plano de aula, carta de aceite e corrigir as fichas de registro.// Alexsiane; Pré-aprovada, autorizada a autenticar</v>
      </c>
      <c r="B1300" s="93"/>
    </row>
    <row r="1301">
      <c r="A1301" s="384" t="str">
        <f>IFERROR(__xludf.DUMMYFUNCTION("""COMPUTED_VALUE"""),"Eunice De Souza Dantas | Geografia | Aprovada | Bianca: plágio 16% // Bárbara: 27/09 autorizada enviar físico //Júnio: físico conferido e aprovado: 01/11/22")</f>
        <v>Eunice De Souza Dantas | Geografia | Aprovada | Bianca: plágio 16% // Bárbara: 27/09 autorizada enviar físico //Júnio: físico conferido e aprovado: 01/11/22</v>
      </c>
      <c r="B1301" s="93"/>
    </row>
    <row r="1302">
      <c r="A1302" s="384" t="str">
        <f>IFERROR(__xludf.DUMMYFUNCTION("""COMPUTED_VALUE"""),"Eunice Rodrigues Moreira | Neuropsicopedagogia Institucional,Clínica E Hospitalar | Em análise | Júnio: 88% plágio, falta anamnese, queixa do professor, deve especificar tambem de forma diaria  o tipo de acompanhamento.")</f>
        <v>Eunice Rodrigues Moreira | Neuropsicopedagogia Institucional,Clínica E Hospitalar | Em análise | Júnio: 88% plágio, falta anamnese, queixa do professor, deve especificar tambem de forma diaria  o tipo de acompanhamento.</v>
      </c>
      <c r="B1302" s="93"/>
    </row>
    <row r="1303">
      <c r="A1303" s="384" t="str">
        <f>IFERROR(__xludf.DUMMYFUNCTION("""COMPUTED_VALUE"""),"Eunice Rodrigues Moreira | Pedagogia | Em análise | Júnio: PP - falta a carta de apreentação.")</f>
        <v>Eunice Rodrigues Moreira | Pedagogia | Em análise | Júnio: PP - falta a carta de apreentação.</v>
      </c>
      <c r="B1303" s="93"/>
    </row>
    <row r="1304">
      <c r="A1304" s="384" t="str">
        <f>IFERROR(__xludf.DUMMYFUNCTION("""COMPUTED_VALUE"""),"Euripedes Marcelo Campos | Neuropsicologia | Liberado | Lucas: Aprovado e anexado no Sponte, pode estar enviando fisico.")</f>
        <v>Euripedes Marcelo Campos | Neuropsicologia | Liberado | Lucas: Aprovado e anexado no Sponte, pode estar enviando fisico.</v>
      </c>
      <c r="B1304" s="93"/>
    </row>
    <row r="1305">
      <c r="A1305" s="384" t="str">
        <f>IFERROR(__xludf.DUMMYFUNCTION("""COMPUTED_VALUE"""),"Eva Aparecida Gonçalves | Ciências Sociais | Aprovada | Bianca: aprovada nas 3 primeiras etapas do remoto //Bárbara: aprovada na 4 etapa 29/04/21")</f>
        <v>Eva Aparecida Gonçalves | Ciências Sociais | Aprovada | Bianca: aprovada nas 3 primeiras etapas do remoto //Bárbara: aprovada na 4 etapa 29/04/21</v>
      </c>
      <c r="B1305" s="93"/>
    </row>
    <row r="1306">
      <c r="A1306" s="384" t="str">
        <f>IFERROR(__xludf.DUMMYFUNCTION("""COMPUTED_VALUE"""),"Eva De Jesus Macedo | Artes Visuais | Aprovado | Certificado de horas ZAYN (TGD).")</f>
        <v>Eva De Jesus Macedo | Artes Visuais | Aprovado | Certificado de horas ZAYN (TGD).</v>
      </c>
      <c r="B1306" s="93"/>
    </row>
    <row r="1307">
      <c r="A1307" s="384" t="str">
        <f>IFERROR(__xludf.DUMMYFUNCTION("""COMPUTED_VALUE"""),"Eva Teixeira De Souza Caixeta | Educação Especial | Aprovada | Júnio: PP - falta a carta e entrevista. //Júnio: PP aprovada: 17/11/23")</f>
        <v>Eva Teixeira De Souza Caixeta | Educação Especial | Aprovada | Júnio: PP - falta a carta e entrevista. //Júnio: PP aprovada: 17/11/23</v>
      </c>
      <c r="B1307" s="93"/>
    </row>
    <row r="1308">
      <c r="A1308" s="384" t="str">
        <f>IFERROR(__xludf.DUMMYFUNCTION("""COMPUTED_VALUE"""),"Evanderly Geraldo Gonçalves | Geografia | Aprovado | Júnio: aprovado com lançamento no Sponte")</f>
        <v>Evanderly Geraldo Gonçalves | Geografia | Aprovado | Júnio: aprovado com lançamento no Sponte</v>
      </c>
      <c r="B1308" s="93"/>
    </row>
    <row r="1309">
      <c r="A1309" s="384" t="str">
        <f>IFERROR(__xludf.DUMMYFUNCTION("""COMPUTED_VALUE"""),"Evandro Do Nascimento | Neuropsicopedagogia Institucional,Clínica E Hospitalar | Em análise | Alexsiane: falta sugestões de estratégias de intervenção,síntese de conclusão do caso e avaliação pedagógica, Diagnóstico e Referência e também complementar mais"&amp;" um pouco o trabalho.")</f>
        <v>Evandro Do Nascimento | Neuropsicopedagogia Institucional,Clínica E Hospitalar | Em análise | Alexsiane: falta sugestões de estratégias de intervenção,síntese de conclusão do caso e avaliação pedagógica, Diagnóstico e Referência e também complementar mais um pouco o trabalho.</v>
      </c>
      <c r="B1309" s="93"/>
    </row>
    <row r="1310">
      <c r="A1310" s="384" t="str">
        <f>IFERROR(__xludf.DUMMYFUNCTION("""COMPUTED_VALUE"""),"Evandro Dos Santos Carlos | Letras Espanhol | Aprovado | Alexsiane: corrigir as assinaturas coladas, encaminhar novamente o termo de conclusão e carta de apresentação escaneada e preenchida corretamente. O restante está ok e sem plágio //// Edilaine: Pré-"&amp;"aprovado 17/02/2023// Alexsiane: autenticação conferida e aprovado dia 13/03/2023")</f>
        <v>Evandro Dos Santos Carlos | Letras Espanhol | Aprovado | Alexsiane: corrigir as assinaturas coladas, encaminhar novamente o termo de conclusão e carta de apresentação escaneada e preenchida corretamente. O restante está ok e sem plágio //// Edilaine: Pré-aprovado 17/02/2023// Alexsiane: autenticação conferida e aprovado dia 13/03/2023</v>
      </c>
      <c r="B1310" s="93"/>
    </row>
    <row r="1311">
      <c r="A1311" s="384" t="str">
        <f>IFERROR(__xludf.DUMMYFUNCTION("""COMPUTED_VALUE"""),"Evandro Dos Santos Carlos | Música | Aprovado | Alexsiane:Declaração de experiência aceita// Alexsiane: pré aprovado, autorizado a autenticar //Júnio: aprovado: 25/04")</f>
        <v>Evandro Dos Santos Carlos | Música | Aprovado | Alexsiane:Declaração de experiência aceita// Alexsiane: pré aprovado, autorizado a autenticar //Júnio: aprovado: 25/04</v>
      </c>
      <c r="B1311" s="93"/>
    </row>
    <row r="1312">
      <c r="A1312" s="384" t="str">
        <f>IFERROR(__xludf.DUMMYFUNCTION("""COMPUTED_VALUE"""),"Evandro Dos Santos Carlos | Ciências Biológicas | Aprovado | Júnio: falta carta de apresentação, lançou nas fichas datas anteriores ao início do curso e tem que consertar o total diário. //Júnio: aprovado: 16/08/23")</f>
        <v>Evandro Dos Santos Carlos | Ciências Biológicas | Aprovado | Júnio: falta carta de apresentação, lançou nas fichas datas anteriores ao início do curso e tem que consertar o total diário. //Júnio: aprovado: 16/08/23</v>
      </c>
      <c r="B1312" s="93"/>
    </row>
    <row r="1313">
      <c r="A1313" s="384" t="str">
        <f>IFERROR(__xludf.DUMMYFUNCTION("""COMPUTED_VALUE"""),"Evandro Dos Santos Carlos | Educação Física | Aprovado | Júnio: PP aprovado")</f>
        <v>Evandro Dos Santos Carlos | Educação Física | Aprovado | Júnio: PP aprovado</v>
      </c>
      <c r="B1313" s="93"/>
    </row>
    <row r="1314">
      <c r="A1314" s="384" t="str">
        <f>IFERROR(__xludf.DUMMYFUNCTION("""COMPUTED_VALUE"""),"Evandro Dos Santos Carlos | Educação Especial | Aprovado | Júnio: PP - etapas: ok Inicio: 14/11/2023 Reenvio: 14/05/2023")</f>
        <v>Evandro Dos Santos Carlos | Educação Especial | Aprovado | Júnio: PP - etapas: ok Inicio: 14/11/2023 Reenvio: 14/05/2023</v>
      </c>
      <c r="B1314" s="93"/>
    </row>
    <row r="1315">
      <c r="A1315" s="384" t="str">
        <f>IFERROR(__xludf.DUMMYFUNCTION("""COMPUTED_VALUE"""),"Evandro Stresser De Oliveira | Pedagogia | Aprovado | Bárbara: aprovado nas 3 primeiras etapas do remoto, e apresentou declaração de experiência válida.")</f>
        <v>Evandro Stresser De Oliveira | Pedagogia | Aprovado | Bárbara: aprovado nas 3 primeiras etapas do remoto, e apresentou declaração de experiência válida.</v>
      </c>
      <c r="B1315" s="93"/>
    </row>
    <row r="1316">
      <c r="A1316" s="384" t="str">
        <f>IFERROR(__xludf.DUMMYFUNCTION("""COMPUTED_VALUE"""),"Evanilsa Rosa Da Silva | Pedagogia | Aprovada | Júnio: PP - falta a etapa 2. //Júnio: aprovada: 17/01/24")</f>
        <v>Evanilsa Rosa Da Silva | Pedagogia | Aprovada | Júnio: PP - falta a etapa 2. //Júnio: aprovada: 17/01/24</v>
      </c>
      <c r="B1316" s="93"/>
    </row>
    <row r="1317">
      <c r="A1317" s="384" t="str">
        <f>IFERROR(__xludf.DUMMYFUNCTION("""COMPUTED_VALUE"""),"Evelin Caroline De Paula | Pedagogia | aprovado | Aline Silva: aprovado // Recebido dia 11/02/2020")</f>
        <v>Evelin Caroline De Paula | Pedagogia | aprovado | Aline Silva: aprovado // Recebido dia 11/02/2020</v>
      </c>
      <c r="B1317" s="93"/>
    </row>
    <row r="1318">
      <c r="A1318" s="384" t="str">
        <f>IFERROR(__xludf.DUMMYFUNCTION("""COMPUTED_VALUE"""),"Evely Pinheiro Aguiar | Pedagogia | Aprovado | Aline Silva: falta plano de aula, atividade exec, carta de apresentação, termo de compromisso, referências, e alterar verbos.// Aprovado e recebido dia 19/03/2020")</f>
        <v>Evely Pinheiro Aguiar | Pedagogia | Aprovado | Aline Silva: falta plano de aula, atividade exec, carta de apresentação, termo de compromisso, referências, e alterar verbos.// Aprovado e recebido dia 19/03/2020</v>
      </c>
      <c r="B1318" s="93"/>
    </row>
    <row r="1319">
      <c r="A1319" s="384" t="str">
        <f>IFERROR(__xludf.DUMMYFUNCTION("""COMPUTED_VALUE"""),"Evelyn Correia Bernardo Bacelar | Letras Port Esp. | Aprovada | Bárbara: aprovada etapas 1, 2 e 3, aguardando a 4// Bárbara: apresentou declaração de experiência válida 20/11/2020")</f>
        <v>Evelyn Correia Bernardo Bacelar | Letras Port Esp. | Aprovada | Bárbara: aprovada etapas 1, 2 e 3, aguardando a 4// Bárbara: apresentou declaração de experiência válida 20/11/2020</v>
      </c>
      <c r="B1319" s="93"/>
    </row>
    <row r="1320">
      <c r="A1320" s="384" t="str">
        <f>IFERROR(__xludf.DUMMYFUNCTION("""COMPUTED_VALUE"""),"Evelyn Fernandes Freitas | Pedagogia | Aprovada | Júnio: faltam 80 hs ou declaração válida //Júnio: aprovada 03/10/23")</f>
        <v>Evelyn Fernandes Freitas | Pedagogia | Aprovada | Júnio: faltam 80 hs ou declaração válida //Júnio: aprovada 03/10/23</v>
      </c>
      <c r="B1320" s="93"/>
    </row>
    <row r="1321">
      <c r="A1321" s="384" t="str">
        <f>IFERROR(__xludf.DUMMYFUNCTION("""COMPUTED_VALUE"""),"Evelyn Pinheiro Dos Santos Mendes | Pedagogia | Aprovado | Aline Silva: apresentou declaração de experiência válida. //Bárbara: aprovado 11/01/2021")</f>
        <v>Evelyn Pinheiro Dos Santos Mendes | Pedagogia | Aprovado | Aline Silva: apresentou declaração de experiência válida. //Bárbara: aprovado 11/01/2021</v>
      </c>
      <c r="B1321" s="93"/>
    </row>
    <row r="1322">
      <c r="A1322" s="384" t="str">
        <f>IFERROR(__xludf.DUMMYFUNCTION("""COMPUTED_VALUE"""),"Everaldo Manoel Da Silva | Pedagogia | Aprovado | Júnio: 12% plágio, fazer relatório geral, anexar carta de aceite e termo de conclusão //Júnio: aprovado: 12/01/22")</f>
        <v>Everaldo Manoel Da Silva | Pedagogia | Aprovado | Júnio: 12% plágio, fazer relatório geral, anexar carta de aceite e termo de conclusão //Júnio: aprovado: 12/01/22</v>
      </c>
      <c r="B1322" s="93"/>
    </row>
    <row r="1323">
      <c r="A1323" s="384" t="str">
        <f>IFERROR(__xludf.DUMMYFUNCTION("""COMPUTED_VALUE"""),"Everaldo Moreira De Andrade | Artes Visuais | Aprovado | Bárbara: aprovado e autorizado a realizar o envio físico")</f>
        <v>Everaldo Moreira De Andrade | Artes Visuais | Aprovado | Bárbara: aprovado e autorizado a realizar o envio físico</v>
      </c>
      <c r="B1323" s="93"/>
    </row>
    <row r="1324">
      <c r="A1324" s="384" t="str">
        <f>IFERROR(__xludf.DUMMYFUNCTION("""COMPUTED_VALUE"""),"Everson França Duarte | Filosofia | Aprovado | Júnio: TCE REMOTO ANTIGO- 17% plágio, não fez etapa 2, faltou 6 planos na etapa 3, capa sem informação //Júnio: aprovado 23/09/21")</f>
        <v>Everson França Duarte | Filosofia | Aprovado | Júnio: TCE REMOTO ANTIGO- 17% plágio, não fez etapa 2, faltou 6 planos na etapa 3, capa sem informação //Júnio: aprovado 23/09/21</v>
      </c>
      <c r="B1324" s="93"/>
    </row>
    <row r="1325">
      <c r="A1325" s="384" t="str">
        <f>IFERROR(__xludf.DUMMYFUNCTION("""COMPUTED_VALUE"""),"Everton Luis Gardinal | Pedagogia | Aprovado | Júnio: 14% plágio //Júnio: aprovado: 20/12/23")</f>
        <v>Everton Luis Gardinal | Pedagogia | Aprovado | Júnio: 14% plágio //Júnio: aprovado: 20/12/23</v>
      </c>
      <c r="B1325" s="93"/>
    </row>
    <row r="1326">
      <c r="A1326" s="384" t="str">
        <f>IFERROR(__xludf.DUMMYFUNCTION("""COMPUTED_VALUE"""),"Everton Rogério Gonçalves Da Silva | Ciências Sociais | Aprovado | Alexsiane: encaminhar o trabalho em word editável e especificar nas fichas o tema das aulas acompanhadas. //Alexsiane: Pré- aprovada com lançamento no sponte // Pamela 08/12/2022 Conferido"&amp;" e arquivado. ")</f>
        <v>Everton Rogério Gonçalves Da Silva | Ciências Sociais | Aprovado | Alexsiane: encaminhar o trabalho em word editável e especificar nas fichas o tema das aulas acompanhadas. //Alexsiane: Pré- aprovada com lançamento no sponte // Pamela 08/12/2022 Conferido e arquivado. </v>
      </c>
      <c r="B1326" s="93"/>
    </row>
    <row r="1327">
      <c r="A1327" s="384" t="str">
        <f>IFERROR(__xludf.DUMMYFUNCTION("""COMPUTED_VALUE"""),"Evilin Gabrieli Moraes | Neuropsicopedagogia Institucional,Clínica E Hospitalar | Aprovada | Alexsiane: aprovado no remoto antigo  com lançamento no sponte")</f>
        <v>Evilin Gabrieli Moraes | Neuropsicopedagogia Institucional,Clínica E Hospitalar | Aprovada | Alexsiane: aprovado no remoto antigo  com lançamento no sponte</v>
      </c>
      <c r="B1327" s="93"/>
    </row>
    <row r="1328">
      <c r="A1328" s="384" t="str">
        <f>IFERROR(__xludf.DUMMYFUNCTION("""COMPUTED_VALUE"""),"Ewerton Pimentel Da Silva | Neuropsicopedagogia Instittucional Clínica E Hospitalar | Em análise | Júnio: 10% plágio e autorizado a recolher assinaturas")</f>
        <v>Ewerton Pimentel Da Silva | Neuropsicopedagogia Instittucional Clínica E Hospitalar | Em análise | Júnio: 10% plágio e autorizado a recolher assinaturas</v>
      </c>
      <c r="B1328" s="93"/>
    </row>
    <row r="1329">
      <c r="A1329" s="384" t="str">
        <f>IFERROR(__xludf.DUMMYFUNCTION("""COMPUTED_VALUE"""),"Fabiana Amádio Cardoso | Pedagogia | Em análise | Lucas: Plágio 15,74%, faltaetapas 1 e 2 do remoto antigo, complementar etapa 3, formatação")</f>
        <v>Fabiana Amádio Cardoso | Pedagogia | Em análise | Lucas: Plágio 15,74%, faltaetapas 1 e 2 do remoto antigo, complementar etapa 3, formatação</v>
      </c>
      <c r="B1329" s="93"/>
    </row>
    <row r="1330">
      <c r="A1330" s="384" t="str">
        <f>IFERROR(__xludf.DUMMYFUNCTION("""COMPUTED_VALUE"""),"Fabiana Azevedo Dos Santos | Letras Português Inglês | aprovada | Bianca: aprovada nas 4 etapas do remoto atualizado //Júnio: conferido e arquivado //Júnio: conferido e arquivado 03/11/2021")</f>
        <v>Fabiana Azevedo Dos Santos | Letras Português Inglês | aprovada | Bianca: aprovada nas 4 etapas do remoto atualizado //Júnio: conferido e arquivado //Júnio: conferido e arquivado 03/11/2021</v>
      </c>
      <c r="B1330" s="93"/>
    </row>
    <row r="1331">
      <c r="A1331" s="384" t="str">
        <f>IFERROR(__xludf.DUMMYFUNCTION("""COMPUTED_VALUE"""),"Fabiana Da Silva Costa | Pedagogia | Aprovada | Bárbara: aprovada nas 3 primeiras etapas do remoto, aguardando a última // Bárbara: aprovada 05/01/2021")</f>
        <v>Fabiana Da Silva Costa | Pedagogia | Aprovada | Bárbara: aprovada nas 3 primeiras etapas do remoto, aguardando a última // Bárbara: aprovada 05/01/2021</v>
      </c>
      <c r="B1331" s="93"/>
    </row>
    <row r="1332">
      <c r="A1332" s="384" t="str">
        <f>IFERROR(__xludf.DUMMYFUNCTION("""COMPUTED_VALUE"""),"Fabiana Da Silva Lopes | Pedagogia | Aprovada | Bianca: aprovada nas 3 primeiras etapas do remoto //Júnio: aprovada na aula 17/09/2021")</f>
        <v>Fabiana Da Silva Lopes | Pedagogia | Aprovada | Bianca: aprovada nas 3 primeiras etapas do remoto //Júnio: aprovada na aula 17/09/2021</v>
      </c>
      <c r="B1332" s="93"/>
    </row>
    <row r="1333">
      <c r="A1333" s="384" t="str">
        <f>IFERROR(__xludf.DUMMYFUNCTION("""COMPUTED_VALUE"""),"Fabiana Daniela Mendonça | Pedagogia | Aprovada | //")</f>
        <v>Fabiana Daniela Mendonça | Pedagogia | Aprovada | //</v>
      </c>
      <c r="B1333" s="93"/>
    </row>
    <row r="1334">
      <c r="A1334" s="384" t="str">
        <f>IFERROR(__xludf.DUMMYFUNCTION("""COMPUTED_VALUE"""),"Fabiana Fernanda Monção Santana | Letras Português Inglês | Aprovada | Bianca: apenas declaração de experiência e carta de apresentação, aguardando envio do trabalho //Bianca: aprovada: 02/09/2021")</f>
        <v>Fabiana Fernanda Monção Santana | Letras Português Inglês | Aprovada | Bianca: apenas declaração de experiência e carta de apresentação, aguardando envio do trabalho //Bianca: aprovada: 02/09/2021</v>
      </c>
      <c r="B1334" s="93"/>
    </row>
    <row r="1335">
      <c r="A1335" s="384" t="str">
        <f>IFERROR(__xludf.DUMMYFUNCTION("""COMPUTED_VALUE"""),"Fabiana Ferreira Santos Passoni | Filosofia | Em análise | Bárbara: trabalho ok, faltava referências. // Bárbara: imprimido 09/01/2021")</f>
        <v>Fabiana Ferreira Santos Passoni | Filosofia | Em análise | Bárbara: trabalho ok, faltava referências. // Bárbara: imprimido 09/01/2021</v>
      </c>
      <c r="B1335" s="93"/>
    </row>
    <row r="1336">
      <c r="A1336" s="384" t="str">
        <f>IFERROR(__xludf.DUMMYFUNCTION("""COMPUTED_VALUE"""),"Fabiana Gonçalves De Oliveira Dias | Pedagogia | Aprovada | Alexsiane: encaminha o trabalho em word editável, complementar as fichas de registro com mais 39 horas pois fez somente 81horas, especificar o tipo de acompamhamento e a serie.// Alexsiane: pré a"&amp;"provado com lançamento no sponte //Júnio: aprovada 18/05/23 Samira informou que recebeu o físico dela")</f>
        <v>Fabiana Gonçalves De Oliveira Dias | Pedagogia | Aprovada | Alexsiane: encaminha o trabalho em word editável, complementar as fichas de registro com mais 39 horas pois fez somente 81horas, especificar o tipo de acompamhamento e a serie.// Alexsiane: pré aprovado com lançamento no sponte //Júnio: aprovada 18/05/23 Samira informou que recebeu o físico dela</v>
      </c>
      <c r="B1336" s="93"/>
    </row>
    <row r="1337">
      <c r="A1337" s="384" t="str">
        <f>IFERROR(__xludf.DUMMYFUNCTION("""COMPUTED_VALUE"""),"Fabiana Langner | Letras-Português | Aprovada | Alexsiane: etapa 1,2 ok ,falta 19 planos de aula e etapa 4 ate 30/06 para reenviar segundo Estephany /// Alexsiane: aprovado no remoto antigo com lançamento no sponte																									")</f>
        <v>Fabiana Langner | Letras-Português | Aprovada | Alexsiane: etapa 1,2 ok ,falta 19 planos de aula e etapa 4 ate 30/06 para reenviar segundo Estephany /// Alexsiane: aprovado no remoto antigo com lançamento no sponte																									</v>
      </c>
      <c r="B1337" s="93"/>
    </row>
    <row r="1338">
      <c r="A1338" s="384" t="str">
        <f>IFERROR(__xludf.DUMMYFUNCTION("""COMPUTED_VALUE"""),"Fabiana Macedo Batista Maciel | Artes Visuais | Aprovada | Bianca: Enviou apenas etapas 1 e 2 //Júnio: aprovada 16/02/22 //Júnio: conferido e arquivado 15/03/22 ")</f>
        <v>Fabiana Macedo Batista Maciel | Artes Visuais | Aprovada | Bianca: Enviou apenas etapas 1 e 2 //Júnio: aprovada 16/02/22 //Júnio: conferido e arquivado 15/03/22 </v>
      </c>
      <c r="B1338" s="93"/>
    </row>
    <row r="1339">
      <c r="A1339" s="384" t="str">
        <f>IFERROR(__xludf.DUMMYFUNCTION("""COMPUTED_VALUE"""),"Fabiana Maria Germano | Pedagogia | Aprovado | Aline Silva :aguardando reenvio, trabalho com formatação que não permitiu completa correção;// Aline: aprovada 13/10/2020")</f>
        <v>Fabiana Maria Germano | Pedagogia | Aprovado | Aline Silva :aguardando reenvio, trabalho com formatação que não permitiu completa correção;// Aline: aprovada 13/10/2020</v>
      </c>
      <c r="B1339" s="93"/>
    </row>
    <row r="1340">
      <c r="A1340" s="384" t="str">
        <f>IFERROR(__xludf.DUMMYFUNCTION("""COMPUTED_VALUE"""),"Fabiana Mendes Prates | História | Aprovada | Bárbara: vbisto toda a situação da aluna, da não vontade de fazer o estágio, aceitei declração nos anos iniciais, isenta de 50% de observaçaõ e regência //Alexsiane: com lançamento no sponte// Pâmela 03/11/22 "&amp;"Fisico conferido e arquivado. ")</f>
        <v>Fabiana Mendes Prates | História | Aprovada | Bárbara: vbisto toda a situação da aluna, da não vontade de fazer o estágio, aceitei declração nos anos iniciais, isenta de 50% de observaçaõ e regência //Alexsiane: com lançamento no sponte// Pâmela 03/11/22 Fisico conferido e arquivado. </v>
      </c>
      <c r="B1340" s="93"/>
    </row>
    <row r="1341">
      <c r="A1341" s="384" t="str">
        <f>IFERROR(__xludf.DUMMYFUNCTION("""COMPUTED_VALUE"""),"Fabiana Mendonça Dos Santos | Letras/Português-Inglês | Em análise | Júnio: declaração de experiencia valida")</f>
        <v>Fabiana Mendonça Dos Santos | Letras/Português-Inglês | Em análise | Júnio: declaração de experiencia valida</v>
      </c>
      <c r="B1341" s="93"/>
    </row>
    <row r="1342">
      <c r="A1342" s="384" t="str">
        <f>IFERROR(__xludf.DUMMYFUNCTION("""COMPUTED_VALUE"""),"Fabiana Moura Do Prado | Artes Visuais | Aprovado | Júnio: aprovada no remoto antigo")</f>
        <v>Fabiana Moura Do Prado | Artes Visuais | Aprovado | Júnio: aprovada no remoto antigo</v>
      </c>
      <c r="B1342" s="93"/>
    </row>
    <row r="1343">
      <c r="A1343" s="384" t="str">
        <f>IFERROR(__xludf.DUMMYFUNCTION("""COMPUTED_VALUE"""),"Fabiana Moura Do Prado | Educação Física | Aprovado | Bianca: enviou apenas fichas de registro// Alexsiane: aprovado no remoto atualizado com lançamento no sponte //Júnio: físico conferido e arquivado: 09/08/22")</f>
        <v>Fabiana Moura Do Prado | Educação Física | Aprovado | Bianca: enviou apenas fichas de registro// Alexsiane: aprovado no remoto atualizado com lançamento no sponte //Júnio: físico conferido e arquivado: 09/08/22</v>
      </c>
      <c r="B1343" s="93"/>
    </row>
    <row r="1344">
      <c r="A1344" s="384" t="str">
        <f>IFERROR(__xludf.DUMMYFUNCTION("""COMPUTED_VALUE"""),"Fabiana Nerys De Andrade Dávila | Letras - Português | Aprovada | Bianca: aprovada no Sponte //Júnio: conferido e arquivado: 18/06/21")</f>
        <v>Fabiana Nerys De Andrade Dávila | Letras - Português | Aprovada | Bianca: aprovada no Sponte //Júnio: conferido e arquivado: 18/06/21</v>
      </c>
      <c r="B1344" s="93"/>
    </row>
    <row r="1345">
      <c r="A1345" s="384" t="str">
        <f>IFERROR(__xludf.DUMMYFUNCTION("""COMPUTED_VALUE"""),"Fabiana Paulino Alexandre Retamero | Pedagogia | Aprovado | Alexsiane: encaminhou somente carta de apresentação, termo de conclusão e fichas. Declaração não valida pois está como diretor, especificar nas fichas de registro o tipo de acompanhamento ( OBSER"&amp;"VAÇÃO, REGÊNCIA E GESTÃO). As fichas de registro possui uma similaridade com a da Alex Amilton Costa Retamero do dia 01/09 até 06/10. até dia 25/07/22 para reenviar //Júnio: físico, conferido e arquivado: 01/09/22")</f>
        <v>Fabiana Paulino Alexandre Retamero | Pedagogia | Aprovado | Alexsiane: encaminhou somente carta de apresentação, termo de conclusão e fichas. Declaração não valida pois está como diretor, especificar nas fichas de registro o tipo de acompanhamento ( OBSERVAÇÃO, REGÊNCIA E GESTÃO). As fichas de registro possui uma similaridade com a da Alex Amilton Costa Retamero do dia 01/09 até 06/10. até dia 25/07/22 para reenviar //Júnio: físico, conferido e arquivado: 01/09/22</v>
      </c>
      <c r="B1345" s="93"/>
    </row>
    <row r="1346">
      <c r="A1346" s="384" t="str">
        <f>IFERROR(__xludf.DUMMYFUNCTION("""COMPUTED_VALUE"""),"Fabiana Silva Luz | Letras Port Ingl | Aprovada | Bárbara: etapa 1 e 2 ok, considerei os planos de aula do fundamental e pedi para a aluna fazer os do ensino médio novamente. Planos iguais, sem tema e da disciplina de matemática. // Bárbara: aprovada 22/0"&amp;"1/2021")</f>
        <v>Fabiana Silva Luz | Letras Port Ingl | Aprovada | Bárbara: etapa 1 e 2 ok, considerei os planos de aula do fundamental e pedi para a aluna fazer os do ensino médio novamente. Planos iguais, sem tema e da disciplina de matemática. // Bárbara: aprovada 22/01/2021</v>
      </c>
      <c r="B1346" s="93"/>
    </row>
    <row r="1347">
      <c r="A1347" s="384" t="str">
        <f>IFERROR(__xludf.DUMMYFUNCTION("""COMPUTED_VALUE"""),"Fabiana Tabaldi | Pedagogia | Aprovada | Remoto Antigo: Fez etapa 3, falta todo o resto// Alexsaine;aprovado com lançamento no sponte")</f>
        <v>Fabiana Tabaldi | Pedagogia | Aprovada | Remoto Antigo: Fez etapa 3, falta todo o resto// Alexsaine;aprovado com lançamento no sponte</v>
      </c>
      <c r="B1347" s="93"/>
    </row>
    <row r="1348">
      <c r="A1348" s="384" t="str">
        <f>IFERROR(__xludf.DUMMYFUNCTION("""COMPUTED_VALUE"""),"Fabiane Bastos Freire | Letras - Português Inglês | Aprovada | Júnio: remoto antigo: etapas 1,2 e 3 ok, falta a 4// Bárbara: apresentou declaração de experiência válida, aprovada na 4ª etapa ")</f>
        <v>Fabiane Bastos Freire | Letras - Português Inglês | Aprovada | Júnio: remoto antigo: etapas 1,2 e 3 ok, falta a 4// Bárbara: apresentou declaração de experiência válida, aprovada na 4ª etapa </v>
      </c>
      <c r="B1348" s="93"/>
    </row>
    <row r="1349">
      <c r="A1349" s="384" t="str">
        <f>IFERROR(__xludf.DUMMYFUNCTION("""COMPUTED_VALUE"""),"Fabiane Bastos Freire | Segunda Licenciatura Em Sociologia | Análise | Rayssa Falta carta de apresentação e BNCC// Alexsiane: falta carta de apresentação")</f>
        <v>Fabiane Bastos Freire | Segunda Licenciatura Em Sociologia | Análise | Rayssa Falta carta de apresentação e BNCC// Alexsiane: falta carta de apresentação</v>
      </c>
      <c r="B1349" s="93"/>
    </row>
    <row r="1350">
      <c r="A1350" s="384" t="str">
        <f>IFERROR(__xludf.DUMMYFUNCTION("""COMPUTED_VALUE"""),"Fabiane Dos Santos | Artes Visuais | Aprovado | Estella: trabalho fora do formato, VOLTOU PARA CORREÇÃO (19/10); 30/11: eu mesma reconfigurei. Fez de acordo com o Guia, não conforme o manual da FAMOSP / Thiara recebido dia 19/12/2018.")</f>
        <v>Fabiane Dos Santos | Artes Visuais | Aprovado | Estella: trabalho fora do formato, VOLTOU PARA CORREÇÃO (19/10); 30/11: eu mesma reconfigurei. Fez de acordo com o Guia, não conforme o manual da FAMOSP / Thiara recebido dia 19/12/2018.</v>
      </c>
      <c r="B1350" s="93"/>
    </row>
    <row r="1351">
      <c r="A1351" s="384" t="str">
        <f>IFERROR(__xludf.DUMMYFUNCTION("""COMPUTED_VALUE"""),"Fabiane Dos Santos | Pedagogia | Aprovado | Bárbara: aprovado nas 3 primeiras etapas do remoto// Bárbara: 07/12 aprovado na 4ª etapa do remoto")</f>
        <v>Fabiane Dos Santos | Pedagogia | Aprovado | Bárbara: aprovado nas 3 primeiras etapas do remoto// Bárbara: 07/12 aprovado na 4ª etapa do remoto</v>
      </c>
      <c r="B1351" s="93"/>
    </row>
    <row r="1352">
      <c r="A1352" s="384" t="str">
        <f>IFERROR(__xludf.DUMMYFUNCTION("""COMPUTED_VALUE"""),"Fabiane Reis Armanelli | Psicopedagogia Institucional E Clínica | Aprovado | Lucas: Plágio 13,29%, ocultar identidade do paciênte// Alexsiane: aprovado com lançamento no Sponte")</f>
        <v>Fabiane Reis Armanelli | Psicopedagogia Institucional E Clínica | Aprovado | Lucas: Plágio 13,29%, ocultar identidade do paciênte// Alexsiane: aprovado com lançamento no Sponte</v>
      </c>
      <c r="B1352" s="93"/>
    </row>
    <row r="1353">
      <c r="A1353" s="384" t="str">
        <f>IFERROR(__xludf.DUMMYFUNCTION("""COMPUTED_VALUE"""),"Fabiani Da Costa Cruz | Pedagogia | Aprovado | Alexsiane: Pp falta a carta de apre.// Alexsiane: aprovado pp 24/04/2024")</f>
        <v>Fabiani Da Costa Cruz | Pedagogia | Aprovado | Alexsiane: Pp falta a carta de apre.// Alexsiane: aprovado pp 24/04/2024</v>
      </c>
      <c r="B1353" s="93"/>
    </row>
    <row r="1354">
      <c r="A1354" s="384" t="str">
        <f>IFERROR(__xludf.DUMMYFUNCTION("""COMPUTED_VALUE"""),"Fabiano Alves Veloso | Música | Aprovado | Alexsiane: pp aprovado")</f>
        <v>Fabiano Alves Veloso | Música | Aprovado | Alexsiane: pp aprovado</v>
      </c>
      <c r="B1354" s="93"/>
    </row>
    <row r="1355">
      <c r="A1355" s="384" t="str">
        <f>IFERROR(__xludf.DUMMYFUNCTION("""COMPUTED_VALUE"""),"Fabiano De Andrade Caxito | Pedagogia | Aprovado | Bianca: elaborou apenas 10 planos de aulas e falta etapa 4 do estágio remoto antigo //Júnio: aprovado aula online: 24/02/22")</f>
        <v>Fabiano De Andrade Caxito | Pedagogia | Aprovado | Bianca: elaborou apenas 10 planos de aulas e falta etapa 4 do estágio remoto antigo //Júnio: aprovado aula online: 24/02/22</v>
      </c>
      <c r="B1355" s="93"/>
    </row>
    <row r="1356">
      <c r="A1356" s="384" t="str">
        <f>IFERROR(__xludf.DUMMYFUNCTION("""COMPUTED_VALUE"""),"Fabiano De Moura Rosa | Pedagogia | Em análise | Alexsiane:  corrigir os nomes colados na carta ap. e falta a etapa dois")</f>
        <v>Fabiano De Moura Rosa | Pedagogia | Em análise | Alexsiane:  corrigir os nomes colados na carta ap. e falta a etapa dois</v>
      </c>
      <c r="B1356" s="93"/>
    </row>
    <row r="1357">
      <c r="A1357" s="384" t="str">
        <f>IFERROR(__xludf.DUMMYFUNCTION("""COMPUTED_VALUE"""),"Fabiano De Moura Rosa | Pedagogia Para Bacharéis | Em análise | Cris: Faltam as pastas 1,2,3 e 4.")</f>
        <v>Fabiano De Moura Rosa | Pedagogia Para Bacharéis | Em análise | Cris: Faltam as pastas 1,2,3 e 4.</v>
      </c>
      <c r="B1357" s="93"/>
    </row>
    <row r="1358">
      <c r="A1358" s="384" t="str">
        <f>IFERROR(__xludf.DUMMYFUNCTION("""COMPUTED_VALUE"""),"Fabiano De Moura Rosa | Formação Pedagógica Em Matemática | Aprovado | Rayssa pp aprovado")</f>
        <v>Fabiano De Moura Rosa | Formação Pedagógica Em Matemática | Aprovado | Rayssa pp aprovado</v>
      </c>
      <c r="B1358" s="93"/>
    </row>
    <row r="1359">
      <c r="A1359" s="384" t="str">
        <f>IFERROR(__xludf.DUMMYFUNCTION("""COMPUTED_VALUE"""),"Fabiano Valle De Oliviera | História | Aprovado | Bárbara: aprovado nas 3 primeiras etapas do remoto, faltando a 4ª// Bárbara: aprovado 4ª etapa do remoto 15/12")</f>
        <v>Fabiano Valle De Oliviera | História | Aprovado | Bárbara: aprovado nas 3 primeiras etapas do remoto, faltando a 4ª// Bárbara: aprovado 4ª etapa do remoto 15/12</v>
      </c>
      <c r="B1359" s="93"/>
    </row>
    <row r="1360">
      <c r="A1360" s="384" t="str">
        <f>IFERROR(__xludf.DUMMYFUNCTION("""COMPUTED_VALUE"""),"Fábio Alves Pimenta | Letras Português Inglês | Aprovada | Bianca: aprovado nas 4 etapas do remoto antigo.")</f>
        <v>Fábio Alves Pimenta | Letras Português Inglês | Aprovada | Bianca: aprovado nas 4 etapas do remoto antigo.</v>
      </c>
      <c r="B1360" s="93"/>
    </row>
    <row r="1361">
      <c r="A1361" s="384" t="str">
        <f>IFERROR(__xludf.DUMMYFUNCTION("""COMPUTED_VALUE"""),"Fábio Augusto De Oliveira | Pedagogia | Aprovado | Bárbara: aprovado nas 3 primeiras etapas, aguardando a última// Bárbara: aprovado 19/02/2021")</f>
        <v>Fábio Augusto De Oliveira | Pedagogia | Aprovado | Bárbara: aprovado nas 3 primeiras etapas, aguardando a última// Bárbara: aprovado 19/02/2021</v>
      </c>
      <c r="B1361" s="93"/>
    </row>
    <row r="1362">
      <c r="A1362" s="384" t="str">
        <f>IFERROR(__xludf.DUMMYFUNCTION("""COMPUTED_VALUE"""),"Fábio Augusto Do Rosário | Música | Aprovado | Júnio: PP aprovado")</f>
        <v>Fábio Augusto Do Rosário | Música | Aprovado | Júnio: PP aprovado</v>
      </c>
      <c r="B1362" s="93"/>
    </row>
    <row r="1363">
      <c r="A1363" s="384" t="str">
        <f>IFERROR(__xludf.DUMMYFUNCTION("""COMPUTED_VALUE"""),"Fábio Campos Salmeron | Artes Visuais | Aprovado | Júnio: PP aprovado")</f>
        <v>Fábio Campos Salmeron | Artes Visuais | Aprovado | Júnio: PP aprovado</v>
      </c>
      <c r="B1363" s="93"/>
    </row>
    <row r="1364">
      <c r="A1364" s="384" t="str">
        <f>IFERROR(__xludf.DUMMYFUNCTION("""COMPUTED_VALUE"""),"Fábio Cardoso Oliveira Barbosa | Música | Aprovado | Júnio: práticas pedagógicas - inicio do curso: 09/05/23, reenviar para aprovação 09/11/23 //Júnio: aprovado: 09/11/23")</f>
        <v>Fábio Cardoso Oliveira Barbosa | Música | Aprovado | Júnio: práticas pedagógicas - inicio do curso: 09/05/23, reenviar para aprovação 09/11/23 //Júnio: aprovado: 09/11/23</v>
      </c>
      <c r="B1364" s="93"/>
    </row>
    <row r="1365">
      <c r="A1365" s="384" t="str">
        <f>IFERROR(__xludf.DUMMYFUNCTION("""COMPUTED_VALUE"""),"Fabio Cesar Teixeira De Santana | Segunda Licenciatura Em Música | Aprovado | Rayssa pp aprovado")</f>
        <v>Fabio Cesar Teixeira De Santana | Segunda Licenciatura Em Música | Aprovado | Rayssa pp aprovado</v>
      </c>
      <c r="B1365" s="93"/>
    </row>
    <row r="1366">
      <c r="A1366" s="384" t="str">
        <f>IFERROR(__xludf.DUMMYFUNCTION("""COMPUTED_VALUE"""),"Fábio Dos Santos | Ciências Sociais | Aprovado | Alexsiane: Aprovado com lançamento no Sponte //Júnio: Físico, conferido e arquivado: 26/07/22")</f>
        <v>Fábio Dos Santos | Ciências Sociais | Aprovado | Alexsiane: Aprovado com lançamento no Sponte //Júnio: Físico, conferido e arquivado: 26/07/22</v>
      </c>
      <c r="B1366" s="93"/>
    </row>
    <row r="1367">
      <c r="A1367" s="384" t="str">
        <f>IFERROR(__xludf.DUMMYFUNCTION("""COMPUTED_VALUE"""),"Fábio Dos Santos Sousa | Letras Por | Aprovado | Amélia: aprovado nas 4 etapas do remoto")</f>
        <v>Fábio Dos Santos Sousa | Letras Por | Aprovado | Amélia: aprovado nas 4 etapas do remoto</v>
      </c>
      <c r="B1367" s="93"/>
    </row>
    <row r="1368">
      <c r="A1368" s="384" t="str">
        <f>IFERROR(__xludf.DUMMYFUNCTION("""COMPUTED_VALUE"""),"Fábio Dos Santos Sousa | Letras- Português Inglês | Aprovado | Júnio: aprovado com lançamento no Sponte")</f>
        <v>Fábio Dos Santos Sousa | Letras- Português Inglês | Aprovado | Júnio: aprovado com lançamento no Sponte</v>
      </c>
      <c r="B1368" s="93"/>
    </row>
    <row r="1369">
      <c r="A1369" s="384" t="str">
        <f>IFERROR(__xludf.DUMMYFUNCTION("""COMPUTED_VALUE"""),"Fabio Ferreira De Alencar | Pedagogia | Aprovada | Bianca: falta etapa 4 e 17 planos de aula //Júnio: aprovada 09/02/22 na aula gravada")</f>
        <v>Fabio Ferreira De Alencar | Pedagogia | Aprovada | Bianca: falta etapa 4 e 17 planos de aula //Júnio: aprovada 09/02/22 na aula gravada</v>
      </c>
      <c r="B1369" s="93"/>
    </row>
    <row r="1370">
      <c r="A1370" s="384" t="str">
        <f>IFERROR(__xludf.DUMMYFUNCTION("""COMPUTED_VALUE"""),"Fabio Ferreira De Alencar | Música | Aprovado | Júnio: PP - etapas: ok Inicio: 26/09/23 Reenviar: 26/03/24// Alexsiane pp aprovado 11/06")</f>
        <v>Fabio Ferreira De Alencar | Música | Aprovado | Júnio: PP - etapas: ok Inicio: 26/09/23 Reenviar: 26/03/24// Alexsiane pp aprovado 11/06</v>
      </c>
      <c r="B1370" s="93"/>
    </row>
    <row r="1371">
      <c r="A1371" s="384" t="str">
        <f>IFERROR(__xludf.DUMMYFUNCTION("""COMPUTED_VALUE"""),"Fábio Freitas Silva | Pedagogia Para Bacharéis E Tecnólogos | Aprovado | Pâmela: declaração de experiencia válida //Júnio: aprovado: 12/07/23")</f>
        <v>Fábio Freitas Silva | Pedagogia Para Bacharéis E Tecnólogos | Aprovado | Pâmela: declaração de experiencia válida //Júnio: aprovado: 12/07/23</v>
      </c>
      <c r="B1371" s="93"/>
    </row>
    <row r="1372">
      <c r="A1372" s="384" t="str">
        <f>IFERROR(__xludf.DUMMYFUNCTION("""COMPUTED_VALUE"""),"Fábio Júnior Pinheiro Da Silva | Letras/ Português- Espanhol | Aprovado | Bárbara: trabalho excelente, aluno aprovado etapas 1, 2 e 3 do remoto, aguardando agora a 4ª etapa. // Bárbara: aprovado 4ª etapa 15/10/2020")</f>
        <v>Fábio Júnior Pinheiro Da Silva | Letras/ Português- Espanhol | Aprovado | Bárbara: trabalho excelente, aluno aprovado etapas 1, 2 e 3 do remoto, aguardando agora a 4ª etapa. // Bárbara: aprovado 4ª etapa 15/10/2020</v>
      </c>
      <c r="B1372" s="93"/>
    </row>
    <row r="1373">
      <c r="A1373" s="384" t="str">
        <f>IFERROR(__xludf.DUMMYFUNCTION("""COMPUTED_VALUE"""),"Fabio Maurício Fanini | Música | Aprovado | Júnio: PP aprovado")</f>
        <v>Fabio Maurício Fanini | Música | Aprovado | Júnio: PP aprovado</v>
      </c>
      <c r="B1373" s="93"/>
    </row>
    <row r="1374">
      <c r="A1374" s="384" t="str">
        <f>IFERROR(__xludf.DUMMYFUNCTION("""COMPUTED_VALUE"""),"Fabio Messias Motta Da Silva | Formação Pedagógica Em Artes Visuais | Aprovado | Alexsiane: pp aprovado")</f>
        <v>Fabio Messias Motta Da Silva | Formação Pedagógica Em Artes Visuais | Aprovado | Alexsiane: pp aprovado</v>
      </c>
      <c r="B1374" s="93"/>
    </row>
    <row r="1375">
      <c r="A1375" s="384" t="str">
        <f>IFERROR(__xludf.DUMMYFUNCTION("""COMPUTED_VALUE"""),"Fábio Oscar Lima | Filosofia | Aprovado | Bárbara: aprovada nas 3 primeiras etapas, aguardando a última // Bárbara: aprovado 23/12/2020// Bárbara: impresso, conferido e arquivado 18/02/2021")</f>
        <v>Fábio Oscar Lima | Filosofia | Aprovado | Bárbara: aprovada nas 3 primeiras etapas, aguardando a última // Bárbara: aprovado 23/12/2020// Bárbara: impresso, conferido e arquivado 18/02/2021</v>
      </c>
      <c r="B1375" s="93"/>
    </row>
    <row r="1376">
      <c r="A1376" s="384" t="str">
        <f>IFERROR(__xludf.DUMMYFUNCTION("""COMPUTED_VALUE"""),"Fabio Pereira Da Silva | Letras-Inglês | Aprovado | Alexsiane: aprovado com lançamento no Jacad ( remoto antigo)")</f>
        <v>Fabio Pereira Da Silva | Letras-Inglês | Aprovado | Alexsiane: aprovado com lançamento no Jacad ( remoto antigo)</v>
      </c>
      <c r="B1376" s="93"/>
    </row>
    <row r="1377">
      <c r="A1377" s="384" t="str">
        <f>IFERROR(__xludf.DUMMYFUNCTION("""COMPUTED_VALUE"""),"Fábio Silva De Jesus | Música | Aprovado | Estella: aluno não mandou trabalho completo (parte textual estava bagunçada mas já havia sido impressa), verifiquei os documentos pelo whatsapp. Recebido 13/12/2018.")</f>
        <v>Fábio Silva De Jesus | Música | Aprovado | Estella: aluno não mandou trabalho completo (parte textual estava bagunçada mas já havia sido impressa), verifiquei os documentos pelo whatsapp. Recebido 13/12/2018.</v>
      </c>
      <c r="B1377" s="93"/>
    </row>
    <row r="1378">
      <c r="A1378" s="384" t="str">
        <f>IFERROR(__xludf.DUMMYFUNCTION("""COMPUTED_VALUE"""),"Fábio Turci Pimentel | Matemática | Aprovado | Thiara: Falta ficha de estágio em Gestão e Estrutura. O texto não apresenta erros ortograficos consideraveis. 20/12/2018 A pedido da Ana liberei sem o documento de Gestão. Enviei e-mail solicitando. Recebido "&amp;"09/01/2019.")</f>
        <v>Fábio Turci Pimentel | Matemática | Aprovado | Thiara: Falta ficha de estágio em Gestão e Estrutura. O texto não apresenta erros ortograficos consideraveis. 20/12/2018 A pedido da Ana liberei sem o documento de Gestão. Enviei e-mail solicitando. Recebido 09/01/2019.</v>
      </c>
      <c r="B1378" s="93"/>
    </row>
    <row r="1379">
      <c r="A1379" s="384" t="str">
        <f>IFERROR(__xludf.DUMMYFUNCTION("""COMPUTED_VALUE"""),"Fabíola Inês Porto | Artes Visuais | Aprovada | Bárbara: aprovada nas 4 etapas")</f>
        <v>Fabíola Inês Porto | Artes Visuais | Aprovada | Bárbara: aprovada nas 4 etapas</v>
      </c>
      <c r="B1379" s="93"/>
    </row>
    <row r="1380">
      <c r="A1380" s="384" t="str">
        <f>IFERROR(__xludf.DUMMYFUNCTION("""COMPUTED_VALUE"""),"Fabíola Limeira De Oliveira Leite | Pedagogia | Aprovado | Bárbara: aprovada nas 3 primeiras etapas, aguardando o agendamento da 4 etapa. // Bárbara: aprovada na 4 etapa 03/11/2020")</f>
        <v>Fabíola Limeira De Oliveira Leite | Pedagogia | Aprovado | Bárbara: aprovada nas 3 primeiras etapas, aguardando o agendamento da 4 etapa. // Bárbara: aprovada na 4 etapa 03/11/2020</v>
      </c>
      <c r="B1380" s="93"/>
    </row>
    <row r="1381">
      <c r="A1381" s="384" t="str">
        <f>IFERROR(__xludf.DUMMYFUNCTION("""COMPUTED_VALUE"""),"Fabíola Manoela Simões De Alcantara | Segunda Licenciatura Pedagogia | Em análise | Rayssa PP ! Plágio|Prazo inferior a 6 meses de plataforma")</f>
        <v>Fabíola Manoela Simões De Alcantara | Segunda Licenciatura Pedagogia | Em análise | Rayssa PP ! Plágio|Prazo inferior a 6 meses de plataforma</v>
      </c>
      <c r="B1381" s="93"/>
    </row>
    <row r="1382">
      <c r="A1382" s="384" t="str">
        <f>IFERROR(__xludf.DUMMYFUNCTION("""COMPUTED_VALUE"""),"Fabíola Prado Marques Vieira | Artes Visuais | Aprovado | Júnio: remoto antigo - 13% plágio nos planos de aulas, alguns planos repetidos, passar os planos para o nosso modelo padrão, falta introdução, conclusão, referencias e etapa 4.//Alexsiane: aprovada"&amp;" com lançamento no sponte ")</f>
        <v>Fabíola Prado Marques Vieira | Artes Visuais | Aprovado | Júnio: remoto antigo - 13% plágio nos planos de aulas, alguns planos repetidos, passar os planos para o nosso modelo padrão, falta introdução, conclusão, referencias e etapa 4.//Alexsiane: aprovada com lançamento no sponte </v>
      </c>
      <c r="B1382" s="93"/>
    </row>
    <row r="1383">
      <c r="A1383" s="384" t="str">
        <f>IFERROR(__xludf.DUMMYFUNCTION("""COMPUTED_VALUE"""),"Fabíola Prado Marques Vieira | Pedagogia | Em análise | Ana Flávia: só tem um plano de aula e trabalho sme formatação")</f>
        <v>Fabíola Prado Marques Vieira | Pedagogia | Em análise | Ana Flávia: só tem um plano de aula e trabalho sme formatação</v>
      </c>
      <c r="B1383" s="93"/>
    </row>
    <row r="1384">
      <c r="A1384" s="384" t="str">
        <f>IFERROR(__xludf.DUMMYFUNCTION("""COMPUTED_VALUE"""),"Fabrício Bonfim De Carvalho | Matemática | em análise | Alexsiane: pp tem que complementar etapa 1 com mais 2 laudas completas e etapa 2 ok 10/08 reenviar")</f>
        <v>Fabrício Bonfim De Carvalho | Matemática | em análise | Alexsiane: pp tem que complementar etapa 1 com mais 2 laudas completas e etapa 2 ok 10/08 reenviar</v>
      </c>
      <c r="B1384" s="93"/>
    </row>
    <row r="1385">
      <c r="A1385" s="384" t="str">
        <f>IFERROR(__xludf.DUMMYFUNCTION("""COMPUTED_VALUE"""),"Fabrício Bonfim De Carvalho | Segunda Licenciatura Matemática | Aprovado | Rayssa pp aprovado")</f>
        <v>Fabrício Bonfim De Carvalho | Segunda Licenciatura Matemática | Aprovado | Rayssa pp aprovado</v>
      </c>
      <c r="B1385" s="93"/>
    </row>
    <row r="1386">
      <c r="A1386" s="384" t="str">
        <f>IFERROR(__xludf.DUMMYFUNCTION("""COMPUTED_VALUE"""),"Fabricio Da Silva Miccichelli | Pedagogia | Aprovado | Júnio: PP - falta a etapa 2.// Cristiane: pp aprovado")</f>
        <v>Fabricio Da Silva Miccichelli | Pedagogia | Aprovado | Júnio: PP - falta a etapa 2.// Cristiane: pp aprovado</v>
      </c>
      <c r="B1386" s="93"/>
    </row>
    <row r="1387">
      <c r="A1387" s="384" t="str">
        <f>IFERROR(__xludf.DUMMYFUNCTION("""COMPUTED_VALUE"""),"Fabricio Da Silva Miccichelli | Artes Visuais | Aprovado | Alexsiane: pp aprovado")</f>
        <v>Fabricio Da Silva Miccichelli | Artes Visuais | Aprovado | Alexsiane: pp aprovado</v>
      </c>
      <c r="B1387" s="93"/>
    </row>
    <row r="1388">
      <c r="A1388" s="384" t="str">
        <f>IFERROR(__xludf.DUMMYFUNCTION("""COMPUTED_VALUE"""),"Fabricio Da Silva Miccichelli | Música | Aprovado | Alexsiane: cristiane ja havia aprovado o aluno.")</f>
        <v>Fabricio Da Silva Miccichelli | Música | Aprovado | Alexsiane: cristiane ja havia aprovado o aluno.</v>
      </c>
      <c r="B1388" s="93"/>
    </row>
    <row r="1389">
      <c r="A1389" s="384" t="str">
        <f>IFERROR(__xludf.DUMMYFUNCTION("""COMPUTED_VALUE"""),"Fabrício Dos Santos Pompeu | Música | Aprovado | Júnio: PP - falta a carta de apreentação. //Júnio: aprovado: 21/12/23")</f>
        <v>Fabrício Dos Santos Pompeu | Música | Aprovado | Júnio: PP - falta a carta de apreentação. //Júnio: aprovado: 21/12/23</v>
      </c>
      <c r="B1389" s="93"/>
    </row>
    <row r="1390">
      <c r="A1390" s="384" t="str">
        <f>IFERROR(__xludf.DUMMYFUNCTION("""COMPUTED_VALUE"""),"Fabrício Pereira De Azevedo | Artes Visuais | Aprovado | Aline Silva: conforme conversa pelo whattsapp, solicitei os demais documentos, assim como as horas em obs no ensino fundamental e ensino médio, além de que alterasse as horas diárias permitidas em g"&amp;"estão da estrutura escolar.// Aline Silva: aprovado dia 11/12/2019// Recebido no instituto dia 20/12/2019")</f>
        <v>Fabrício Pereira De Azevedo | Artes Visuais | Aprovado | Aline Silva: conforme conversa pelo whattsapp, solicitei os demais documentos, assim como as horas em obs no ensino fundamental e ensino médio, além de que alterasse as horas diárias permitidas em gestão da estrutura escolar.// Aline Silva: aprovado dia 11/12/2019// Recebido no instituto dia 20/12/2019</v>
      </c>
      <c r="B1390" s="93"/>
    </row>
    <row r="1391">
      <c r="A1391" s="384" t="str">
        <f>IFERROR(__xludf.DUMMYFUNCTION("""COMPUTED_VALUE"""),"Fabrício Ribeiro Da Silva | Segunda Licenciatura Em Pedagogia | Aprovado | Rayssa pp aprovado")</f>
        <v>Fabrício Ribeiro Da Silva | Segunda Licenciatura Em Pedagogia | Aprovado | Rayssa pp aprovado</v>
      </c>
      <c r="B1391" s="93"/>
    </row>
    <row r="1392">
      <c r="A1392" s="384" t="str">
        <f>IFERROR(__xludf.DUMMYFUNCTION("""COMPUTED_VALUE"""),"Fabrício Silva Miccichelli | Artes Visuais | Aprovado | Cristiane: pp aprovado ( Alexsiane - obs: lançando na planilha hoje pois a Cristiane aprovou e não lançou - protocolo 7982)")</f>
        <v>Fabrício Silva Miccichelli | Artes Visuais | Aprovado | Cristiane: pp aprovado ( Alexsiane - obs: lançando na planilha hoje pois a Cristiane aprovou e não lançou - protocolo 7982)</v>
      </c>
      <c r="B1392" s="93"/>
    </row>
    <row r="1393">
      <c r="A1393" s="384" t="str">
        <f>IFERROR(__xludf.DUMMYFUNCTION("""COMPUTED_VALUE"""),"Fagner Amorim Dos Santos | História | Aprovado | Júnio: PP - falta a entrevista e responder o questionario// Alexsiane: PP aprovado")</f>
        <v>Fagner Amorim Dos Santos | História | Aprovado | Júnio: PP - falta a entrevista e responder o questionario// Alexsiane: PP aprovado</v>
      </c>
      <c r="B1393" s="93"/>
    </row>
    <row r="1394">
      <c r="A1394" s="384" t="str">
        <f>IFERROR(__xludf.DUMMYFUNCTION("""COMPUTED_VALUE"""),"Fagner Pessoa Da Silva | Letras - Português | Aprovado | Alexsiane: pp aprovado")</f>
        <v>Fagner Pessoa Da Silva | Letras - Português | Aprovado | Alexsiane: pp aprovado</v>
      </c>
      <c r="B1394" s="93"/>
    </row>
    <row r="1395">
      <c r="A1395" s="384" t="str">
        <f>IFERROR(__xludf.DUMMYFUNCTION("""COMPUTED_VALUE"""),"Fagner Teixeira Silva | Pedagogia | Aprovado | Alexsiane; encaminhou somente a carta de apresentação falta todo o restante //Júnio: pre aprovado: 26/06/23 //Júnio: aprovado: 30/06/23")</f>
        <v>Fagner Teixeira Silva | Pedagogia | Aprovado | Alexsiane; encaminhou somente a carta de apresentação falta todo o restante //Júnio: pre aprovado: 26/06/23 //Júnio: aprovado: 30/06/23</v>
      </c>
      <c r="B1395" s="93"/>
    </row>
    <row r="1396">
      <c r="A1396" s="384" t="str">
        <f>IFERROR(__xludf.DUMMYFUNCTION("""COMPUTED_VALUE"""),"Falta Carta De Apresentação, Fichas De Registro E Termo De Conclusão //Júnio: Conferido E Arquivado 20/07/21 //Júnio: Conferido E Arquivado: 17/12/21 | Pedagogia | Aprovado | Falta carta de apresentação, fichas de registro e termo de conclusão //Júnio: co"&amp;"nferido e arquivado 20/07/21")</f>
        <v>Falta Carta De Apresentação, Fichas De Registro E Termo De Conclusão //Júnio: Conferido E Arquivado 20/07/21 //Júnio: Conferido E Arquivado: 17/12/21 | Pedagogia | Aprovado | Falta carta de apresentação, fichas de registro e termo de conclusão //Júnio: conferido e arquivado 20/07/21</v>
      </c>
      <c r="B1396" s="93"/>
    </row>
    <row r="1397">
      <c r="A1397" s="384" t="str">
        <f>IFERROR(__xludf.DUMMYFUNCTION("""COMPUTED_VALUE"""),"Fantônio Carlos | História | Aprovado | Bárbara: aprovad nas 3 primeiras etapas do remoto, aguardando a última. // Bárbara: aprovada na 4ª etapa 08/01/2021")</f>
        <v>Fantônio Carlos | História | Aprovado | Bárbara: aprovad nas 3 primeiras etapas do remoto, aguardando a última. // Bárbara: aprovada na 4ª etapa 08/01/2021</v>
      </c>
      <c r="B1397" s="93"/>
    </row>
    <row r="1398">
      <c r="A1398" s="384" t="str">
        <f>IFERROR(__xludf.DUMMYFUNCTION("""COMPUTED_VALUE"""),"Felipe Gonçalves Veiga | Educação Física | Aprovado | Bianca: aprovado nas 3 1° etapas do remoto antigo //Júnio: aprovado na aula online: 06/01/22")</f>
        <v>Felipe Gonçalves Veiga | Educação Física | Aprovado | Bianca: aprovado nas 3 1° etapas do remoto antigo //Júnio: aprovado na aula online: 06/01/22</v>
      </c>
      <c r="B1398" s="93"/>
    </row>
    <row r="1399">
      <c r="A1399" s="384" t="str">
        <f>IFERROR(__xludf.DUMMYFUNCTION("""COMPUTED_VALUE"""),"Felipe Lima Monteiro | Matemática | aprovado | Aline Silva: aprovado// Bárbara: Conferido e arquivado em 16/09/2020")</f>
        <v>Felipe Lima Monteiro | Matemática | aprovado | Aline Silva: aprovado// Bárbara: Conferido e arquivado em 16/09/2020</v>
      </c>
      <c r="B1399" s="93"/>
    </row>
    <row r="1400">
      <c r="A1400" s="384" t="str">
        <f>IFERROR(__xludf.DUMMYFUNCTION("""COMPUTED_VALUE"""),"Felipe Rodrigues Borges | Pedagogia | aprovado | Alexsiane: etapa 1,2,4ok, falta 1 plano de aula da 3° etapa.// Alexsiane: Aprovado com lançamento no Sponte")</f>
        <v>Felipe Rodrigues Borges | Pedagogia | aprovado | Alexsiane: etapa 1,2,4ok, falta 1 plano de aula da 3° etapa.// Alexsiane: Aprovado com lançamento no Sponte</v>
      </c>
      <c r="B1400" s="93"/>
    </row>
    <row r="1401">
      <c r="A1401" s="384" t="str">
        <f>IFERROR(__xludf.DUMMYFUNCTION("""COMPUTED_VALUE"""),"Felipe Rodrigues Borges | Artes Visuais | Em analise | Alexsiane: falta 2° etapa do pp")</f>
        <v>Felipe Rodrigues Borges | Artes Visuais | Em analise | Alexsiane: falta 2° etapa do pp</v>
      </c>
      <c r="B1401" s="93"/>
    </row>
    <row r="1402">
      <c r="A1402" s="384" t="str">
        <f>IFERROR(__xludf.DUMMYFUNCTION("""COMPUTED_VALUE"""),"Felisberto De Sousa Costa | Pedagogia | Aprovado | Bianca: plágio 19% //Júnio: aprovado: 24/03/22")</f>
        <v>Felisberto De Sousa Costa | Pedagogia | Aprovado | Bianca: plágio 19% //Júnio: aprovado: 24/03/22</v>
      </c>
      <c r="B1402" s="93"/>
    </row>
    <row r="1403">
      <c r="A1403" s="384" t="str">
        <f>IFERROR(__xludf.DUMMYFUNCTION("""COMPUTED_VALUE"""),"Fernanda Aparecida Calvis Vaz | Pedagogia | Aprovado | Lucas: Aprovada no remoto antigo. (passamos a aluna para o remoto antigo e aceitamos o termo de conclusão ecarta de apresentação assinados como 4 etapa, devido a ser apressamerto e declararmos *por um"&amp;" erro* que ela não precisaria recolher as assinaturas)")</f>
        <v>Fernanda Aparecida Calvis Vaz | Pedagogia | Aprovado | Lucas: Aprovada no remoto antigo. (passamos a aluna para o remoto antigo e aceitamos o termo de conclusão ecarta de apresentação assinados como 4 etapa, devido a ser apressamerto e declararmos *por um erro* que ela não precisaria recolher as assinaturas)</v>
      </c>
      <c r="B1403" s="93"/>
    </row>
    <row r="1404">
      <c r="A1404" s="384" t="str">
        <f>IFERROR(__xludf.DUMMYFUNCTION("""COMPUTED_VALUE"""),"Fernanda Aparecida Evangelista Avelar | Pedagogia | aprovada | Edilaine: 9,94% de plágio. Tem que fazer o relatório geral de duas páginas, tem que especificar nas fichas de registro o tipo de acompanhamento, tema e série. Tem que enviar a carta de apresen"&amp;"tação e termo de conclusão preenchidos e escaneados, tem que cobrir os rotos das crianças nos anexos. Tem até dia 30/12/2022 para reenviar.// Alexsiane: Pré- aprovada, autorizada a autenticar.  // Alexsiane: aprovada com lançamento no sponte 21/03/2023")</f>
        <v>Fernanda Aparecida Evangelista Avelar | Pedagogia | aprovada | Edilaine: 9,94% de plágio. Tem que fazer o relatório geral de duas páginas, tem que especificar nas fichas de registro o tipo de acompanhamento, tema e série. Tem que enviar a carta de apresentação e termo de conclusão preenchidos e escaneados, tem que cobrir os rotos das crianças nos anexos. Tem até dia 30/12/2022 para reenviar.// Alexsiane: Pré- aprovada, autorizada a autenticar.  // Alexsiane: aprovada com lançamento no sponte 21/03/2023</v>
      </c>
      <c r="B1404" s="93"/>
    </row>
    <row r="1405">
      <c r="A1405" s="384" t="str">
        <f>IFERROR(__xludf.DUMMYFUNCTION("""COMPUTED_VALUE"""),"Fernanda Da Silva Adão De Lima | Sociologia | Em análise | Júnio: PP - falta a etapa 2.")</f>
        <v>Fernanda Da Silva Adão De Lima | Sociologia | Em análise | Júnio: PP - falta a etapa 2.</v>
      </c>
      <c r="B1405" s="93"/>
    </row>
    <row r="1406">
      <c r="A1406" s="384" t="str">
        <f>IFERROR(__xludf.DUMMYFUNCTION("""COMPUTED_VALUE"""),"Fernanda Da Silva Damato | Neuropsicopedagogia Institucional,Clínica E Hospitalar | Pré- aprovada | Alexsiane; 8% de plágio, corrigir a carga horaria diaria que ultrapassou 6 hrs e especifcar o tipo de acompanhamento nas fichas 02/04/23 reenciar /// Edila"&amp;"ine: Pré- aprovada 10/04/2023")</f>
        <v>Fernanda Da Silva Damato | Neuropsicopedagogia Institucional,Clínica E Hospitalar | Pré- aprovada | Alexsiane; 8% de plágio, corrigir a carga horaria diaria que ultrapassou 6 hrs e especifcar o tipo de acompanhamento nas fichas 02/04/23 reenciar /// Edilaine: Pré- aprovada 10/04/2023</v>
      </c>
      <c r="B1406" s="93"/>
    </row>
    <row r="1407">
      <c r="A1407" s="384" t="str">
        <f>IFERROR(__xludf.DUMMYFUNCTION("""COMPUTED_VALUE"""),"Fernanda De Freitas Marcos | Letras Português Inglês | Aprovada | Júnio: nas fichas de registro deve preencher as datas, especificar tipo de acompanhamento e série, cada dia deve vir em linha única e corrigir total diário. //Júnio: aprovada: 01/11/2023")</f>
        <v>Fernanda De Freitas Marcos | Letras Português Inglês | Aprovada | Júnio: nas fichas de registro deve preencher as datas, especificar tipo de acompanhamento e série, cada dia deve vir em linha única e corrigir total diário. //Júnio: aprovada: 01/11/2023</v>
      </c>
      <c r="B1407" s="93"/>
    </row>
    <row r="1408">
      <c r="A1408" s="384" t="str">
        <f>IFERROR(__xludf.DUMMYFUNCTION("""COMPUTED_VALUE"""),"Fernanda De Freitas Marcos | Psicopedagogia Institucional, Clínica E Educação Infantil | Aprovada | Júnio: 24% Plágio PRAZO: 27/10/23 //Júnio: aprovada: 01/11/23")</f>
        <v>Fernanda De Freitas Marcos | Psicopedagogia Institucional, Clínica E Educação Infantil | Aprovada | Júnio: 24% Plágio PRAZO: 27/10/23 //Júnio: aprovada: 01/11/23</v>
      </c>
      <c r="B1408" s="93"/>
    </row>
    <row r="1409">
      <c r="A1409" s="384" t="str">
        <f>IFERROR(__xludf.DUMMYFUNCTION("""COMPUTED_VALUE"""),"Fernanda De Oliveira Santos | História | Aprovada | Alexsiane:etapa 1,2,3,4ok")</f>
        <v>Fernanda De Oliveira Santos | História | Aprovada | Alexsiane:etapa 1,2,3,4ok</v>
      </c>
      <c r="B1409" s="93"/>
    </row>
    <row r="1410">
      <c r="A1410" s="384" t="str">
        <f>IFERROR(__xludf.DUMMYFUNCTION("""COMPUTED_VALUE"""),"Fernanda Dias De Souza | Letras Por Ing | Aprovada | Ana Flávia: aprovada nas 3 primeiras etapas, aguardando 4ª etapa // Bárbara: aprovada 07/01/2021")</f>
        <v>Fernanda Dias De Souza | Letras Por Ing | Aprovada | Ana Flávia: aprovada nas 3 primeiras etapas, aguardando 4ª etapa // Bárbara: aprovada 07/01/2021</v>
      </c>
      <c r="B1410" s="93"/>
    </row>
    <row r="1411">
      <c r="A1411" s="384" t="str">
        <f>IFERROR(__xludf.DUMMYFUNCTION("""COMPUTED_VALUE"""),"Fernanda Fernandes |  | Aprovado | Mandei enviar pelo correio.")</f>
        <v>Fernanda Fernandes |  | Aprovado | Mandei enviar pelo correio.</v>
      </c>
      <c r="B1411" s="93"/>
    </row>
    <row r="1412">
      <c r="A1412" s="384" t="str">
        <f>IFERROR(__xludf.DUMMYFUNCTION("""COMPUTED_VALUE"""),"Fernanda Gomes Da Costa E Queiroz | Letras Português | Aprovada | Júnio: estágio padrão - especificar na ficha de registro o tipo de acompanhamento, tema e série e colocar em forma de horas /// Edilaine:Pré- aprovada com lançamento no Sponte // Pamela 02/"&amp;"01/2023 Conferido e arquivado. ")</f>
        <v>Fernanda Gomes Da Costa E Queiroz | Letras Português | Aprovada | Júnio: estágio padrão - especificar na ficha de registro o tipo de acompanhamento, tema e série e colocar em forma de horas /// Edilaine:Pré- aprovada com lançamento no Sponte // Pamela 02/01/2023 Conferido e arquivado. </v>
      </c>
      <c r="B1412" s="93"/>
    </row>
    <row r="1413">
      <c r="A1413" s="384" t="str">
        <f>IFERROR(__xludf.DUMMYFUNCTION("""COMPUTED_VALUE"""),"Fernanda Gonçalves Crispim Dinis | Pedagogia | Aprovado | Alexsiane: pp aprovado")</f>
        <v>Fernanda Gonçalves Crispim Dinis | Pedagogia | Aprovado | Alexsiane: pp aprovado</v>
      </c>
      <c r="B1413" s="93"/>
    </row>
    <row r="1414">
      <c r="A1414" s="384" t="str">
        <f>IFERROR(__xludf.DUMMYFUNCTION("""COMPUTED_VALUE"""),"Fernanda Khalil | Pedagogia | Aprovada | Edilaine: Tem que especificar a data nas fichas de registro, tem que preencher o termo de conclusão com uma cor só de caneta.*// Alexsiane: Pré- aprovada autorizada a autenticar //Júnio: aprovada: 18/07/23")</f>
        <v>Fernanda Khalil | Pedagogia | Aprovada | Edilaine: Tem que especificar a data nas fichas de registro, tem que preencher o termo de conclusão com uma cor só de caneta.*// Alexsiane: Pré- aprovada autorizada a autenticar //Júnio: aprovada: 18/07/23</v>
      </c>
      <c r="B1414" s="93"/>
    </row>
    <row r="1415">
      <c r="A1415" s="384" t="str">
        <f>IFERROR(__xludf.DUMMYFUNCTION("""COMPUTED_VALUE"""),"Fernanda Martins De Andrade Castro | Letras Português | Aprovada | Pamela: Pasta fisica recpciona no polo ( ainda não estava autorizada) //// Edilaine: Aprovada 02/03/2023")</f>
        <v>Fernanda Martins De Andrade Castro | Letras Português | Aprovada | Pamela: Pasta fisica recpciona no polo ( ainda não estava autorizada) //// Edilaine: Aprovada 02/03/2023</v>
      </c>
      <c r="B1415" s="93"/>
    </row>
    <row r="1416">
      <c r="A1416" s="384" t="str">
        <f>IFERROR(__xludf.DUMMYFUNCTION("""COMPUTED_VALUE"""),"Fernanda Oliveira Araújo | Pedagogia | Aprovada | Lucas: Aprovada com declaração de experiência no estágio remoto antigo ")</f>
        <v>Fernanda Oliveira Araújo | Pedagogia | Aprovada | Lucas: Aprovada com declaração de experiência no estágio remoto antigo </v>
      </c>
      <c r="B1416" s="93"/>
    </row>
    <row r="1417">
      <c r="A1417" s="384" t="str">
        <f>IFERROR(__xludf.DUMMYFUNCTION("""COMPUTED_VALUE"""),"Fernanda Paula De Castro Pereira | Matemática | Aprovada | Tais: Conferido a documentação de dispensa e validado, assim recebeu email de aprovação em 11/06/2025")</f>
        <v>Fernanda Paula De Castro Pereira | Matemática | Aprovada | Tais: Conferido a documentação de dispensa e validado, assim recebeu email de aprovação em 11/06/2025</v>
      </c>
      <c r="B1417" s="93"/>
    </row>
    <row r="1418">
      <c r="A1418" s="384" t="str">
        <f>IFERROR(__xludf.DUMMYFUNCTION("""COMPUTED_VALUE"""),"Fernanda Paula De Castro Pereira | Pedagogia | Aprovada | Tais: Conferido a documentação de dispensa e validado, assim recebeu email de aprovação em 11/06/2025")</f>
        <v>Fernanda Paula De Castro Pereira | Pedagogia | Aprovada | Tais: Conferido a documentação de dispensa e validado, assim recebeu email de aprovação em 11/06/2025</v>
      </c>
      <c r="B1418" s="93"/>
    </row>
    <row r="1419">
      <c r="A1419" s="384" t="str">
        <f>IFERROR(__xludf.DUMMYFUNCTION("""COMPUTED_VALUE"""),"Fernanda Paula De Castro Pereira | SEGUNDA LICENCIATURA EM LETRAS PORTUGUÊS - INGLÊS | Aprovada | Tais: Conferido a documentação de dispensa e validado, assim recebeu email de aprovação em 11/06/2025")</f>
        <v>Fernanda Paula De Castro Pereira | SEGUNDA LICENCIATURA EM LETRAS PORTUGUÊS - INGLÊS | Aprovada | Tais: Conferido a documentação de dispensa e validado, assim recebeu email de aprovação em 11/06/2025</v>
      </c>
      <c r="B1419" s="93"/>
    </row>
    <row r="1420">
      <c r="A1420" s="384" t="str">
        <f>IFERROR(__xludf.DUMMYFUNCTION("""COMPUTED_VALUE"""),"Fernanda Rabelo Foro | Formação Pedagógica Pedagogia | Aprovado | Cris:PP aprovado")</f>
        <v>Fernanda Rabelo Foro | Formação Pedagógica Pedagogia | Aprovado | Cris:PP aprovado</v>
      </c>
      <c r="B1420" s="93"/>
    </row>
    <row r="1421">
      <c r="A1421" s="384" t="str">
        <f>IFERROR(__xludf.DUMMYFUNCTION("""COMPUTED_VALUE"""),"Fernanda Reis Soares De Lima | Pedagogia | Aprovada | Edilaine: Tem que colocar o plano de aula em nosso modelo padrão, o total de horas diárias dos dias 05/10 e 08/10 estão erradas, restanet ok.  //Júnio: pré aprovada: 24/05/23 //Júnio: aprovada: 05/06/2"&amp;"3")</f>
        <v>Fernanda Reis Soares De Lima | Pedagogia | Aprovada | Edilaine: Tem que colocar o plano de aula em nosso modelo padrão, o total de horas diárias dos dias 05/10 e 08/10 estão erradas, restanet ok.  //Júnio: pré aprovada: 24/05/23 //Júnio: aprovada: 05/06/23</v>
      </c>
      <c r="B1421" s="93"/>
    </row>
    <row r="1422">
      <c r="A1422" s="384" t="str">
        <f>IFERROR(__xludf.DUMMYFUNCTION("""COMPUTED_VALUE"""),"Fernanda Saldanha De Jesus Da Silva | Geografia | Em análise  | Alexsiane: 12,76% de plágio, encaminhar novamente o termo de conclusão, carta de aceite pois estão ilegiveis e fazer as fichas no nosso modelo padrão até dia 08/10 para reenviar")</f>
        <v>Fernanda Saldanha De Jesus Da Silva | Geografia | Em análise  | Alexsiane: 12,76% de plágio, encaminhar novamente o termo de conclusão, carta de aceite pois estão ilegiveis e fazer as fichas no nosso modelo padrão até dia 08/10 para reenviar</v>
      </c>
      <c r="B1422" s="93"/>
    </row>
    <row r="1423">
      <c r="A1423" s="384" t="str">
        <f>IFERROR(__xludf.DUMMYFUNCTION("""COMPUTED_VALUE"""),"Fernanda Sousa Oliveira | Pedagogia | Aprovada | Bianca: Falta carta de aceite, termo de conclusão e fichas de registro //Bianca: aprovada: 20/05/21 //Júnio: conferido e arquivado: 24/08/21")</f>
        <v>Fernanda Sousa Oliveira | Pedagogia | Aprovada | Bianca: Falta carta de aceite, termo de conclusão e fichas de registro //Bianca: aprovada: 20/05/21 //Júnio: conferido e arquivado: 24/08/21</v>
      </c>
      <c r="B1423" s="93"/>
    </row>
    <row r="1424">
      <c r="A1424" s="384" t="str">
        <f>IFERROR(__xludf.DUMMYFUNCTION("""COMPUTED_VALUE"""),"Fernando Cassiano De Medeiros | Letras - Português Inglês | Aprovada | Bianca: autorizada a recolher assinaturas //Júnio: conferido e arquivado: 04/10/2021")</f>
        <v>Fernando Cassiano De Medeiros | Letras - Português Inglês | Aprovada | Bianca: autorizada a recolher assinaturas //Júnio: conferido e arquivado: 04/10/2021</v>
      </c>
      <c r="B1424" s="93"/>
    </row>
    <row r="1425">
      <c r="A1425" s="384" t="str">
        <f>IFERROR(__xludf.DUMMYFUNCTION("""COMPUTED_VALUE"""),"Fernando Freitas Da Silva | Artes Visuais | Aprovado | Bianca: Falta carta de aceite, termo de conclusão e fichas de registro //Bianca: aprovada: 20/05/21 //Júnio: conferido e arquivado: 24/08/21")</f>
        <v>Fernando Freitas Da Silva | Artes Visuais | Aprovado | Bianca: Falta carta de aceite, termo de conclusão e fichas de registro //Bianca: aprovada: 20/05/21 //Júnio: conferido e arquivado: 24/08/21</v>
      </c>
      <c r="B1425" s="93"/>
    </row>
    <row r="1426">
      <c r="A1426" s="384" t="str">
        <f>IFERROR(__xludf.DUMMYFUNCTION("""COMPUTED_VALUE"""),"Fernando Guedes Passos | Música | Aprovado | Júnio: PP aprovado")</f>
        <v>Fernando Guedes Passos | Música | Aprovado | Júnio: PP aprovado</v>
      </c>
      <c r="B1426" s="93"/>
    </row>
    <row r="1427">
      <c r="A1427" s="384" t="str">
        <f>IFERROR(__xludf.DUMMYFUNCTION("""COMPUTED_VALUE"""),"Fernando Leite Miranda | 2ª Licenciatura Pedagogia | Aprovada | Cris: transcrever a entrevista em Word (entrevista manuscrita)")</f>
        <v>Fernando Leite Miranda | 2ª Licenciatura Pedagogia | Aprovada | Cris: transcrever a entrevista em Word (entrevista manuscrita)</v>
      </c>
      <c r="B1427" s="93"/>
    </row>
    <row r="1428">
      <c r="A1428" s="384" t="str">
        <f>IFERROR(__xludf.DUMMYFUNCTION("""COMPUTED_VALUE"""),"Fernando Luis Da Silva | Música | Aprovado | Alexsiane: pp aprovado")</f>
        <v>Fernando Luis Da Silva | Música | Aprovado | Alexsiane: pp aprovado</v>
      </c>
      <c r="B1428" s="93"/>
    </row>
    <row r="1429">
      <c r="A1429" s="384" t="str">
        <f>IFERROR(__xludf.DUMMYFUNCTION("""COMPUTED_VALUE"""),"Filipe Veloso | Letras Português Inglês | Aprovado | Júnio: pelo guru declaração de experiencia valida  //Júnio: aprovado: 01/09/23")</f>
        <v>Filipe Veloso | Letras Português Inglês | Aprovado | Júnio: pelo guru declaração de experiencia valida  //Júnio: aprovado: 01/09/23</v>
      </c>
      <c r="B1429" s="93"/>
    </row>
    <row r="1430">
      <c r="A1430" s="384" t="str">
        <f>IFERROR(__xludf.DUMMYFUNCTION("""COMPUTED_VALUE"""),"Flávia Alves Panzea | Neuropsicopedagogia Instittucional Clínica E Hospitalar | Aprovada | Júnio: pre aprovada Prazo: 14/05/23 //Júnio: aprovada: 18/03/23")</f>
        <v>Flávia Alves Panzea | Neuropsicopedagogia Instittucional Clínica E Hospitalar | Aprovada | Júnio: pre aprovada Prazo: 14/05/23 //Júnio: aprovada: 18/03/23</v>
      </c>
      <c r="B1430" s="93"/>
    </row>
    <row r="1431">
      <c r="A1431" s="384" t="str">
        <f>IFERROR(__xludf.DUMMYFUNCTION("""COMPUTED_VALUE"""),"Flávia Aparecida R. Silva Ribeiro | Artes Visuais | Aprovada  | Amélia: aprovada nas 3 primeiras etapás do remoto// Bianca: Aprovada nas 4 etapas do remoto antigo em 15/09/2021")</f>
        <v>Flávia Aparecida R. Silva Ribeiro | Artes Visuais | Aprovada  | Amélia: aprovada nas 3 primeiras etapás do remoto// Bianca: Aprovada nas 4 etapas do remoto antigo em 15/09/2021</v>
      </c>
      <c r="B1431" s="93"/>
    </row>
    <row r="1432">
      <c r="A1432" s="384" t="str">
        <f>IFERROR(__xludf.DUMMYFUNCTION("""COMPUTED_VALUE"""),"Flávia Berloti Fularneto | Letras Port Inglês | Aprovada | Bárbara: aprovada etapas 1, 2 e 3, aguardando a última// Bárbara: apresentou 4ª etapa 15/12 APROVADA// Bárbara:conferido e arquivado 17/05/2021")</f>
        <v>Flávia Berloti Fularneto | Letras Port Inglês | Aprovada | Bárbara: aprovada etapas 1, 2 e 3, aguardando a última// Bárbara: apresentou 4ª etapa 15/12 APROVADA// Bárbara:conferido e arquivado 17/05/2021</v>
      </c>
      <c r="B1432" s="93"/>
    </row>
    <row r="1433">
      <c r="A1433" s="384" t="str">
        <f>IFERROR(__xludf.DUMMYFUNCTION("""COMPUTED_VALUE"""),"Flávia Da Hora Silva | Pedagogia | Aprovada  | Edilaine: 10% de plágio. Tem até dia 20/11/2022 para reenviar  trabalho//Pamela: Aprovada com lançamento no sponte. ")</f>
        <v>Flávia Da Hora Silva | Pedagogia | Aprovada  | Edilaine: 10% de plágio. Tem até dia 20/11/2022 para reenviar  trabalho//Pamela: Aprovada com lançamento no sponte. </v>
      </c>
      <c r="B1433" s="93"/>
    </row>
    <row r="1434">
      <c r="A1434" s="384" t="str">
        <f>IFERROR(__xludf.DUMMYFUNCTION("""COMPUTED_VALUE"""),"Flávia Da Silva Araújo | Pedagogia | Aprovada | Júnio: pré aprovada //Júnio: aprovada:21/09/23")</f>
        <v>Flávia Da Silva Araújo | Pedagogia | Aprovada | Júnio: pré aprovada //Júnio: aprovada:21/09/23</v>
      </c>
      <c r="B1434" s="93"/>
    </row>
    <row r="1435">
      <c r="A1435" s="384" t="str">
        <f>IFERROR(__xludf.DUMMYFUNCTION("""COMPUTED_VALUE"""),"Flávia De Oliveira Paula Silva | Pedagogia | Aprovada | Bianca: Aprovada no estágio remoto// Bárbara: conferido e arquivado 20/04/2021")</f>
        <v>Flávia De Oliveira Paula Silva | Pedagogia | Aprovada | Bianca: Aprovada no estágio remoto// Bárbara: conferido e arquivado 20/04/2021</v>
      </c>
      <c r="B1435" s="93"/>
    </row>
    <row r="1436">
      <c r="A1436" s="384" t="str">
        <f>IFERROR(__xludf.DUMMYFUNCTION("""COMPUTED_VALUE"""),"Flávia Elisangela Dos Santos | Pedagogia | Aprovada | Bianca: aprovada nas 3 primeiras etapas do remoto atualizado, aguardadando a ficha de registro // Bárbara: aprovada 05/03/2021")</f>
        <v>Flávia Elisangela Dos Santos | Pedagogia | Aprovada | Bianca: aprovada nas 3 primeiras etapas do remoto atualizado, aguardadando a ficha de registro // Bárbara: aprovada 05/03/2021</v>
      </c>
      <c r="B1436" s="93"/>
    </row>
    <row r="1437">
      <c r="A1437" s="384" t="str">
        <f>IFERROR(__xludf.DUMMYFUNCTION("""COMPUTED_VALUE"""),"Flavia Gisele Mesquita Soares | Pedagogia | Aprovado | Thiara: Aprovado com ressalva. Falta a assinatura da coordenadora. Recebido no Instituto dia 02/05/2019")</f>
        <v>Flavia Gisele Mesquita Soares | Pedagogia | Aprovado | Thiara: Aprovado com ressalva. Falta a assinatura da coordenadora. Recebido no Instituto dia 02/05/2019</v>
      </c>
      <c r="B1437" s="93"/>
    </row>
    <row r="1438">
      <c r="A1438" s="384" t="str">
        <f>IFERROR(__xludf.DUMMYFUNCTION("""COMPUTED_VALUE"""),"Flávia Gomes Xavier | Letras Inglês | Aprovada | Alexsiane: encaminhou somente a documentação, fichas de registro está correta(200h) e falta toda as etapas dissertativas //Alexsiane: pré aprovada: 19/04/23 //Júnio: aprovada: 08/05/23")</f>
        <v>Flávia Gomes Xavier | Letras Inglês | Aprovada | Alexsiane: encaminhou somente a documentação, fichas de registro está correta(200h) e falta toda as etapas dissertativas //Alexsiane: pré aprovada: 19/04/23 //Júnio: aprovada: 08/05/23</v>
      </c>
      <c r="B1438" s="93"/>
    </row>
    <row r="1439">
      <c r="A1439" s="384" t="str">
        <f>IFERROR(__xludf.DUMMYFUNCTION("""COMPUTED_VALUE"""),"Flávia Lúcia Da Silva Marques Campos | Pedagogia C/ Ênf. | Aprovado | APROVADO, 13-08.")</f>
        <v>Flávia Lúcia Da Silva Marques Campos | Pedagogia C/ Ênf. | Aprovado | APROVADO, 13-08.</v>
      </c>
      <c r="B1439" s="93"/>
    </row>
    <row r="1440">
      <c r="A1440" s="384" t="str">
        <f>IFERROR(__xludf.DUMMYFUNCTION("""COMPUTED_VALUE"""),"Flávia Maria De Souza | Artes Visuais | Aprovada | Bárbara: declaração de experiência válida para isenção da 4ª etapa do estágio /// Edilaine: Pré- aprovada com lançamento no Sponte 31/01/2023 // Pamela 02/02/23 Conferido e arquivado ")</f>
        <v>Flávia Maria De Souza | Artes Visuais | Aprovada | Bárbara: declaração de experiência válida para isenção da 4ª etapa do estágio /// Edilaine: Pré- aprovada com lançamento no Sponte 31/01/2023 // Pamela 02/02/23 Conferido e arquivado </v>
      </c>
      <c r="B1440" s="93"/>
    </row>
    <row r="1441">
      <c r="A1441" s="384" t="str">
        <f>IFERROR(__xludf.DUMMYFUNCTION("""COMPUTED_VALUE"""),"Flávia Meireles Xavier | Pedagogia | Aprovada | Bárbara: aprovada nas 3 primeiras etapas do remoto; //Bárbara: aprovada 28/07/2021")</f>
        <v>Flávia Meireles Xavier | Pedagogia | Aprovada | Bárbara: aprovada nas 3 primeiras etapas do remoto; //Bárbara: aprovada 28/07/2021</v>
      </c>
      <c r="B1441" s="93"/>
    </row>
    <row r="1442">
      <c r="A1442" s="384" t="str">
        <f>IFERROR(__xludf.DUMMYFUNCTION("""COMPUTED_VALUE"""),"Flávia Patrícia Rocha Borges | Pedagogia | Aprovada | Júnio: PP aprovada")</f>
        <v>Flávia Patrícia Rocha Borges | Pedagogia | Aprovada | Júnio: PP aprovada</v>
      </c>
      <c r="B1442" s="93"/>
    </row>
    <row r="1443">
      <c r="A1443" s="384" t="str">
        <f>IFERROR(__xludf.DUMMYFUNCTION("""COMPUTED_VALUE"""),"Flávia Rita Dos Santos Lopes | Ciências Sociais | Aprovada | Lucas: Etapas 1, 2 e 3 aprovadas, falta etapa 4 remoto antigo.  //Júnio: aprovada no video da aula.")</f>
        <v>Flávia Rita Dos Santos Lopes | Ciências Sociais | Aprovada | Lucas: Etapas 1, 2 e 3 aprovadas, falta etapa 4 remoto antigo.  //Júnio: aprovada no video da aula.</v>
      </c>
      <c r="B1443" s="93"/>
    </row>
    <row r="1444">
      <c r="A1444" s="384" t="str">
        <f>IFERROR(__xludf.DUMMYFUNCTION("""COMPUTED_VALUE"""),"Flávia Rita Dos Santos Lopes | Formação Pedagógica Em Filosofia | Aprovado | Cris: PP aprovado")</f>
        <v>Flávia Rita Dos Santos Lopes | Formação Pedagógica Em Filosofia | Aprovado | Cris: PP aprovado</v>
      </c>
      <c r="B1444" s="93"/>
    </row>
    <row r="1445">
      <c r="A1445" s="384" t="str">
        <f>IFERROR(__xludf.DUMMYFUNCTION("""COMPUTED_VALUE"""),"Flávia Toledo Sereno | Artes Visuais | Aprovado | Bárbara: aprovada nas 3 primeiras etapas do remoto (sem passar plágio, visto a urgência solicitada pela secretraia) //Júnio: conferido e arquivado: 16/06/2021")</f>
        <v>Flávia Toledo Sereno | Artes Visuais | Aprovado | Bárbara: aprovada nas 3 primeiras etapas do remoto (sem passar plágio, visto a urgência solicitada pela secretraia) //Júnio: conferido e arquivado: 16/06/2021</v>
      </c>
      <c r="B1445" s="93"/>
    </row>
    <row r="1446">
      <c r="A1446" s="384" t="str">
        <f>IFERROR(__xludf.DUMMYFUNCTION("""COMPUTED_VALUE"""),"Flávia Viegas Rosa Gonçalves | Artes Visuais | Aprovado | Estella: Pedi para a aluna preencher o campo ""instituição"" com o nome da escola antes de entregar o Relatório. Entregue dia 18/03/2019")</f>
        <v>Flávia Viegas Rosa Gonçalves | Artes Visuais | Aprovado | Estella: Pedi para a aluna preencher o campo "instituição" com o nome da escola antes de entregar o Relatório. Entregue dia 18/03/2019</v>
      </c>
      <c r="B1446" s="93"/>
    </row>
    <row r="1447">
      <c r="A1447" s="384" t="str">
        <f>IFERROR(__xludf.DUMMYFUNCTION("""COMPUTED_VALUE"""),"Flaviana Maria Germana De Oliveira | Pedagogia | Aprovada | Bianca: autorizada a recolher as assinaturas e falta carta de ap e termo de conclusão //Júnio: conferido e arquivado: 27/09/21")</f>
        <v>Flaviana Maria Germana De Oliveira | Pedagogia | Aprovada | Bianca: autorizada a recolher as assinaturas e falta carta de ap e termo de conclusão //Júnio: conferido e arquivado: 27/09/21</v>
      </c>
      <c r="B1447" s="93"/>
    </row>
    <row r="1448">
      <c r="A1448" s="384" t="str">
        <f>IFERROR(__xludf.DUMMYFUNCTION("""COMPUTED_VALUE"""),"Flávio Fonseca Da Silva | Música | Aprovado | Alexsiane: pp aprovado")</f>
        <v>Flávio Fonseca Da Silva | Música | Aprovado | Alexsiane: pp aprovado</v>
      </c>
      <c r="B1448" s="93"/>
    </row>
    <row r="1449">
      <c r="A1449" s="384" t="str">
        <f>IFERROR(__xludf.DUMMYFUNCTION("""COMPUTED_VALUE"""),"Flávio Lopes Fidélis | Pedagogia | Aprovado | Bárbara: aprovado 3 primeiras etapas// Bárbara: apresentou declaração de experiência válida 19/10 (e-mail Tatiane)// Miryã: conferido e arquivado 10/03/2021")</f>
        <v>Flávio Lopes Fidélis | Pedagogia | Aprovado | Bárbara: aprovado 3 primeiras etapas// Bárbara: apresentou declaração de experiência válida 19/10 (e-mail Tatiane)// Miryã: conferido e arquivado 10/03/2021</v>
      </c>
      <c r="B1449" s="93"/>
    </row>
    <row r="1450">
      <c r="A1450" s="384" t="str">
        <f>IFERROR(__xludf.DUMMYFUNCTION("""COMPUTED_VALUE"""),"Flavio Lopes Gonzalez | Música | Aprovado | Júnio: autorizado a recolher assinaturas //Júnio: aprovado: 18/09/23")</f>
        <v>Flavio Lopes Gonzalez | Música | Aprovado | Júnio: autorizado a recolher assinaturas //Júnio: aprovado: 18/09/23</v>
      </c>
      <c r="B1450" s="93"/>
    </row>
    <row r="1451">
      <c r="A1451" s="384" t="str">
        <f>IFERROR(__xludf.DUMMYFUNCTION("""COMPUTED_VALUE"""),"Flávio Roberto Dutra De Oliveira | Pedagogia | Aprovado | Ana Flávia: falta 10 planos de aula // Bárbara: aprovado na 4ª etapa 15/01/2021")</f>
        <v>Flávio Roberto Dutra De Oliveira | Pedagogia | Aprovado | Ana Flávia: falta 10 planos de aula // Bárbara: aprovado na 4ª etapa 15/01/2021</v>
      </c>
      <c r="B1451" s="93"/>
    </row>
    <row r="1452">
      <c r="A1452" s="384" t="str">
        <f>IFERROR(__xludf.DUMMYFUNCTION("""COMPUTED_VALUE"""),"Flávio Sabino Pinto | Filosofia | Aprovado | Alexsiane: falta etapa 1, 2, capa, contracapa,resumo, introdução e corrigir os planos de aula iguais. ( 4° etapa possui declaração de experiência) // Bárbara: aprovado com lançamento no sponte ")</f>
        <v>Flávio Sabino Pinto | Filosofia | Aprovado | Alexsiane: falta etapa 1, 2, capa, contracapa,resumo, introdução e corrigir os planos de aula iguais. ( 4° etapa possui declaração de experiência) // Bárbara: aprovado com lançamento no sponte </v>
      </c>
      <c r="B1452" s="93"/>
    </row>
    <row r="1453">
      <c r="A1453" s="384" t="str">
        <f>IFERROR(__xludf.DUMMYFUNCTION("""COMPUTED_VALUE"""),"Flávio Zancheta Faccioni | Música | Aprovado | Júnio: aprovado remoto antigo // Bárbara: 23/09/2022 solicitei que imprima ou encaminhe o físico após 06/11 para validação de aprovação já que aprovamos antes dos 5 meses. ")</f>
        <v>Flávio Zancheta Faccioni | Música | Aprovado | Júnio: aprovado remoto antigo // Bárbara: 23/09/2022 solicitei que imprima ou encaminhe o físico após 06/11 para validação de aprovação já que aprovamos antes dos 5 meses. </v>
      </c>
      <c r="B1453" s="93"/>
    </row>
    <row r="1454">
      <c r="A1454" s="384" t="str">
        <f>IFERROR(__xludf.DUMMYFUNCTION("""COMPUTED_VALUE"""),"Franciele Eleuterio De Oliveira | Filosofia | Aprovada | Alexsiane: Falta mandar a declaração de experiência. Até dia 02/05/2022 //Júnio: aprovada na aula online: 06/05/22")</f>
        <v>Franciele Eleuterio De Oliveira | Filosofia | Aprovada | Alexsiane: Falta mandar a declaração de experiência. Até dia 02/05/2022 //Júnio: aprovada na aula online: 06/05/22</v>
      </c>
      <c r="B1454" s="93"/>
    </row>
    <row r="1455">
      <c r="A1455" s="384" t="str">
        <f>IFERROR(__xludf.DUMMYFUNCTION("""COMPUTED_VALUE"""),"Francielee Martins Pereira | Letras Port Inglês | Aprovado | Aline Silva: apresentou declaração de experiência profissional.// Aprovada dia 06/03/2020// Recebido dia 19/03/2020 Júnio: Conferido e arquivado 08/04/2021")</f>
        <v>Francielee Martins Pereira | Letras Port Inglês | Aprovado | Aline Silva: apresentou declaração de experiência profissional.// Aprovada dia 06/03/2020// Recebido dia 19/03/2020 Júnio: Conferido e arquivado 08/04/2021</v>
      </c>
      <c r="B1455" s="93"/>
    </row>
    <row r="1456">
      <c r="A1456" s="384" t="str">
        <f>IFERROR(__xludf.DUMMYFUNCTION("""COMPUTED_VALUE"""),"Francimara Cristina Lopes Silva | Pedagogia C/ Ênf. | Aprovado | Recebido 02/10/18 (postado 26/09). Verifiquei e o número de horas bate. Trabalho está ok, aprovei (pela falta de registro).")</f>
        <v>Francimara Cristina Lopes Silva | Pedagogia C/ Ênf. | Aprovado | Recebido 02/10/18 (postado 26/09). Verifiquei e o número de horas bate. Trabalho está ok, aprovei (pela falta de registro).</v>
      </c>
      <c r="B1456" s="93"/>
    </row>
    <row r="1457">
      <c r="A1457" s="384" t="str">
        <f>IFERROR(__xludf.DUMMYFUNCTION("""COMPUTED_VALUE"""),"Francineide Costa De Oliveira | Pedagogia Para Bachareis E Tecnólogos | Aprovada | Júnio - PP: falta enviar PCC 1: ok PCC 2: ok PCC 3: falta enviar PCC 4: falta enviar //Júnio: aprovada: 26/12/2023")</f>
        <v>Francineide Costa De Oliveira | Pedagogia Para Bachareis E Tecnólogos | Aprovada | Júnio - PP: falta enviar PCC 1: ok PCC 2: ok PCC 3: falta enviar PCC 4: falta enviar //Júnio: aprovada: 26/12/2023</v>
      </c>
      <c r="B1457" s="93"/>
    </row>
    <row r="1458">
      <c r="A1458" s="384" t="str">
        <f>IFERROR(__xludf.DUMMYFUNCTION("""COMPUTED_VALUE"""),"Francisca Das Chagas Pereira Da Silva Santos | Neuropsicopedagogia Instittucional Clínica E Hospitalar | aprovada | Júnio: aprovada no estágio remoto")</f>
        <v>Francisca Das Chagas Pereira Da Silva Santos | Neuropsicopedagogia Instittucional Clínica E Hospitalar | aprovada | Júnio: aprovada no estágio remoto</v>
      </c>
      <c r="B1458" s="93"/>
    </row>
    <row r="1459">
      <c r="A1459" s="384" t="str">
        <f>IFERROR(__xludf.DUMMYFUNCTION("""COMPUTED_VALUE"""),"Francisca Judite Maia Chaves | Neuropsicopedagogia Institucional Clínica E Hospitalar | Aprovada | Júnio: precisa fazer estudo de um caso específico com todos os tópicos exigidos, nas fichas tem que especificar tipo de acompanhamento e ultrapassou mais de"&amp;" 6 hs por dia. PRAZO: 31/06/23 //Júnio: aprovada: 16/01/24")</f>
        <v>Francisca Judite Maia Chaves | Neuropsicopedagogia Institucional Clínica E Hospitalar | Aprovada | Júnio: precisa fazer estudo de um caso específico com todos os tópicos exigidos, nas fichas tem que especificar tipo de acompanhamento e ultrapassou mais de 6 hs por dia. PRAZO: 31/06/23 //Júnio: aprovada: 16/01/24</v>
      </c>
      <c r="B1459" s="93"/>
    </row>
    <row r="1460">
      <c r="A1460" s="384" t="str">
        <f>IFERROR(__xludf.DUMMYFUNCTION("""COMPUTED_VALUE"""),"Francisco Alexandro De Morais | Pedagogia | Aprovado | Alexsiane: pré aprovado com lançamento no sponte")</f>
        <v>Francisco Alexandro De Morais | Pedagogia | Aprovado | Alexsiane: pré aprovado com lançamento no sponte</v>
      </c>
      <c r="B1460" s="93"/>
    </row>
    <row r="1461">
      <c r="A1461" s="384" t="str">
        <f>IFERROR(__xludf.DUMMYFUNCTION("""COMPUTED_VALUE"""),"Francisco Alves Farias | Música | Aprovado | Júnio: aprovado")</f>
        <v>Francisco Alves Farias | Música | Aprovado | Júnio: aprovado</v>
      </c>
      <c r="B1461" s="93"/>
    </row>
    <row r="1462">
      <c r="A1462" s="384" t="str">
        <f>IFERROR(__xludf.DUMMYFUNCTION("""COMPUTED_VALUE"""),"Francisco Charles Verissimo Da Silva | Educação Física | Aprovada | Bianca: Fichas preenchidas de forma incorreta //Júnio: aprovada: 24/01/2022")</f>
        <v>Francisco Charles Verissimo Da Silva | Educação Física | Aprovada | Bianca: Fichas preenchidas de forma incorreta //Júnio: aprovada: 24/01/2022</v>
      </c>
      <c r="B1462" s="93"/>
    </row>
    <row r="1463">
      <c r="A1463" s="384" t="str">
        <f>IFERROR(__xludf.DUMMYFUNCTION("""COMPUTED_VALUE"""),"Francisco Chaves De Lima | Pedagogia | aprovado  | Alexsiane: falta 18 planos de aula e etapa 4 remoto antigo// Bárbara: aprovado 31/05/22")</f>
        <v>Francisco Chaves De Lima | Pedagogia | aprovado  | Alexsiane: falta 18 planos de aula e etapa 4 remoto antigo// Bárbara: aprovado 31/05/22</v>
      </c>
      <c r="B1463" s="93"/>
    </row>
    <row r="1464">
      <c r="A1464" s="384" t="str">
        <f>IFERROR(__xludf.DUMMYFUNCTION("""COMPUTED_VALUE"""),"Francisco De Assis Amorim | Pedagogia | Em análise | Aline Silva: apresentou declaração de experiência.")</f>
        <v>Francisco De Assis Amorim | Pedagogia | Em análise | Aline Silva: apresentou declaração de experiência.</v>
      </c>
      <c r="B1464" s="93"/>
    </row>
    <row r="1465">
      <c r="A1465" s="384" t="str">
        <f>IFERROR(__xludf.DUMMYFUNCTION("""COMPUTED_VALUE"""),"Francisco De Assis Silva Filho | Pedagogia | Aprovada | Júnio: PP - 19% plágio, complementar a etapa 1 com mais páginas e falta a etapa 2.// Alexsiane: Pp aprovado 22/02")</f>
        <v>Francisco De Assis Silva Filho | Pedagogia | Aprovada | Júnio: PP - 19% plágio, complementar a etapa 1 com mais páginas e falta a etapa 2.// Alexsiane: Pp aprovado 22/02</v>
      </c>
      <c r="B1465" s="93"/>
    </row>
    <row r="1466">
      <c r="A1466" s="384" t="str">
        <f>IFERROR(__xludf.DUMMYFUNCTION("""COMPUTED_VALUE"""),"Francisco Evandro Pinheiro Mota | Música | Aprovada | Alexsiane: PP aprovado")</f>
        <v>Francisco Evandro Pinheiro Mota | Música | Aprovada | Alexsiane: PP aprovado</v>
      </c>
      <c r="B1466" s="93"/>
    </row>
    <row r="1467">
      <c r="A1467" s="384" t="str">
        <f>IFERROR(__xludf.DUMMYFUNCTION("""COMPUTED_VALUE"""),"Francisco Faria Dos Santos | Ciências Biologicas | Aprovado | Thiara: aprovado /// Recebido dia 24/07/2019.")</f>
        <v>Francisco Faria Dos Santos | Ciências Biologicas | Aprovado | Thiara: aprovado /// Recebido dia 24/07/2019.</v>
      </c>
      <c r="B1467" s="93"/>
    </row>
    <row r="1468">
      <c r="A1468" s="384" t="str">
        <f>IFERROR(__xludf.DUMMYFUNCTION("""COMPUTED_VALUE"""),"Francisco Geober Sabino De Carvalho | Pedagogia | Aprovado | Alexsiane: pp aprovado")</f>
        <v>Francisco Geober Sabino De Carvalho | Pedagogia | Aprovado | Alexsiane: pp aprovado</v>
      </c>
      <c r="B1468" s="93"/>
    </row>
    <row r="1469">
      <c r="A1469" s="384" t="str">
        <f>IFERROR(__xludf.DUMMYFUNCTION("""COMPUTED_VALUE"""),"Francisco Gerferson Da Costa Brito | Filosofia | Em análise | Bianca: apenas 1 plano de aula, assinaturas das fichas xerocadas, falta carta de aceite")</f>
        <v>Francisco Gerferson Da Costa Brito | Filosofia | Em análise | Bianca: apenas 1 plano de aula, assinaturas das fichas xerocadas, falta carta de aceite</v>
      </c>
      <c r="B1469" s="93"/>
    </row>
    <row r="1470">
      <c r="A1470" s="384" t="str">
        <f>IFERROR(__xludf.DUMMYFUNCTION("""COMPUTED_VALUE"""),"Francisco Ildegan | Pedagogia | aprovado | Bárbara: Aprovado")</f>
        <v>Francisco Ildegan | Pedagogia | aprovado | Bárbara: Aprovado</v>
      </c>
      <c r="B1470" s="93"/>
    </row>
    <row r="1471">
      <c r="A1471" s="384" t="str">
        <f>IFERROR(__xludf.DUMMYFUNCTION("""COMPUTED_VALUE"""),"Francisco Joatan Morais Soares | Matemática | Em análise | Júnio: 12% plágio, especificar nas fichas tema e série e complementar com mais 325 hs.")</f>
        <v>Francisco Joatan Morais Soares | Matemática | Em análise | Júnio: 12% plágio, especificar nas fichas tema e série e complementar com mais 325 hs.</v>
      </c>
      <c r="B1471" s="93"/>
    </row>
    <row r="1472">
      <c r="A1472" s="384" t="str">
        <f>IFERROR(__xludf.DUMMYFUNCTION("""COMPUTED_VALUE"""),"Francisco Marquelino Santana | Letras Português | Aprovado | Júnio: Fez mais horas que precisava, enviar plano de aula e etapas dissertativas digitadas PRAZO: 18/05/23 //Júnio: aprovado: 12/06/23")</f>
        <v>Francisco Marquelino Santana | Letras Português | Aprovado | Júnio: Fez mais horas que precisava, enviar plano de aula e etapas dissertativas digitadas PRAZO: 18/05/23 //Júnio: aprovado: 12/06/23</v>
      </c>
      <c r="B1472" s="93"/>
    </row>
    <row r="1473">
      <c r="A1473" s="384" t="str">
        <f>IFERROR(__xludf.DUMMYFUNCTION("""COMPUTED_VALUE"""),"Francisco Nivaldo Araújo Gomes | Ed. Física | Pré-aprovado | Recebido 31/10/2018. Faltam assinaturas da Ana")</f>
        <v>Francisco Nivaldo Araújo Gomes | Ed. Física | Pré-aprovado | Recebido 31/10/2018. Faltam assinaturas da Ana</v>
      </c>
      <c r="B1473" s="93"/>
    </row>
    <row r="1474">
      <c r="A1474" s="384" t="str">
        <f>IFERROR(__xludf.DUMMYFUNCTION("""COMPUTED_VALUE"""),"Francisco Nivaldo Araújo Gomes | Ciências Sociais | Aprovado | Júnio: pré aprovado //Júnio: aprovado: 27/10/23")</f>
        <v>Francisco Nivaldo Araújo Gomes | Ciências Sociais | Aprovado | Júnio: pré aprovado //Júnio: aprovado: 27/10/23</v>
      </c>
      <c r="B1474" s="93"/>
    </row>
    <row r="1475">
      <c r="A1475" s="384" t="str">
        <f>IFERROR(__xludf.DUMMYFUNCTION("""COMPUTED_VALUE"""),"Francisco Walter De Oliveira Silva | Música | em análise | Alexsiane: pp falta a segunda etapa")</f>
        <v>Francisco Walter De Oliveira Silva | Música | em análise | Alexsiane: pp falta a segunda etapa</v>
      </c>
      <c r="B1475" s="93"/>
    </row>
    <row r="1476">
      <c r="A1476" s="384" t="str">
        <f>IFERROR(__xludf.DUMMYFUNCTION("""COMPUTED_VALUE"""),"Francisco Wildeglan Dos Santos Silva | Artes Visuais | Aprovado | Lucas: Falta 19 planos de aula, enviar em formato word não digitalizado.//Alexsiane: aprovado com lançamento no Sponte")</f>
        <v>Francisco Wildeglan Dos Santos Silva | Artes Visuais | Aprovado | Lucas: Falta 19 planos de aula, enviar em formato word não digitalizado.//Alexsiane: aprovado com lançamento no Sponte</v>
      </c>
      <c r="B1476" s="93"/>
    </row>
    <row r="1477">
      <c r="A1477" s="384" t="str">
        <f>IFERROR(__xludf.DUMMYFUNCTION("""COMPUTED_VALUE"""),"Francisco Wildeglan Dos Santos Silva | Pedagogia | Em análise | Aline silva: falta apresentar 2 hrs de orientação, especificar a modalidade na ficha de adm, e alterar o total de horas na carta de aceite.")</f>
        <v>Francisco Wildeglan Dos Santos Silva | Pedagogia | Em análise | Aline silva: falta apresentar 2 hrs de orientação, especificar a modalidade na ficha de adm, e alterar o total de horas na carta de aceite.</v>
      </c>
      <c r="B1477" s="93"/>
    </row>
    <row r="1478">
      <c r="A1478" s="384" t="str">
        <f>IFERROR(__xludf.DUMMYFUNCTION("""COMPUTED_VALUE"""),"Francyele Silva Ferreira Rocha | Pedagogia | aprovado | Aline Silva : aprovada ( recolher assinaturas e carimbos )")</f>
        <v>Francyele Silva Ferreira Rocha | Pedagogia | aprovado | Aline Silva : aprovada ( recolher assinaturas e carimbos )</v>
      </c>
      <c r="B1478" s="93"/>
    </row>
    <row r="1479">
      <c r="A1479" s="384" t="str">
        <f>IFERROR(__xludf.DUMMYFUNCTION("""COMPUTED_VALUE"""),"Franklin Santos E Souza | Artes Visuais | Aprovado | Aline Silva: 2 cursos, 60 horas e 240 horas")</f>
        <v>Franklin Santos E Souza | Artes Visuais | Aprovado | Aline Silva: 2 cursos, 60 horas e 240 horas</v>
      </c>
      <c r="B1479" s="93"/>
    </row>
    <row r="1480">
      <c r="A1480" s="384" t="str">
        <f>IFERROR(__xludf.DUMMYFUNCTION("""COMPUTED_VALUE"""),"Frederick Joseph Arzberger | Letras Inglês | Aprovado | Júnio: pre aprovado PRAZO: 20/09/23 //Júnio: aprovado: 18/05/23")</f>
        <v>Frederick Joseph Arzberger | Letras Inglês | Aprovado | Júnio: pre aprovado PRAZO: 20/09/23 //Júnio: aprovado: 18/05/23</v>
      </c>
      <c r="B1480" s="93"/>
    </row>
    <row r="1481">
      <c r="A1481" s="384" t="str">
        <f>IFERROR(__xludf.DUMMYFUNCTION("""COMPUTED_VALUE"""),"Fvanessa Val | Matemática | Aprovada | Bianca: aprovada no padrão")</f>
        <v>Fvanessa Val | Matemática | Aprovada | Bianca: aprovada no padrão</v>
      </c>
      <c r="B1481" s="93"/>
    </row>
    <row r="1482">
      <c r="A1482" s="384" t="str">
        <f>IFERROR(__xludf.DUMMYFUNCTION("""COMPUTED_VALUE"""),"Gabriel Do Bomfim Tarantino | Matemática | Aprovado | Alexsiane: pp aprovado")</f>
        <v>Gabriel Do Bomfim Tarantino | Matemática | Aprovado | Alexsiane: pp aprovado</v>
      </c>
      <c r="B1482" s="93"/>
    </row>
    <row r="1483">
      <c r="A1483" s="384" t="str">
        <f>IFERROR(__xludf.DUMMYFUNCTION("""COMPUTED_VALUE"""),"Gabriel Gariba Nunes | Artes Visuais | Aprovado | Júnio: remoto antigo -  Faltam considerações finais e etapa 4  - PRAZO: 18/05/23 //Júnio: aprovado: 14/06/23")</f>
        <v>Gabriel Gariba Nunes | Artes Visuais | Aprovado | Júnio: remoto antigo -  Faltam considerações finais e etapa 4  - PRAZO: 18/05/23 //Júnio: aprovado: 14/06/23</v>
      </c>
      <c r="B1483" s="93"/>
    </row>
    <row r="1484">
      <c r="A1484" s="384" t="str">
        <f>IFERROR(__xludf.DUMMYFUNCTION("""COMPUTED_VALUE"""),"Gabriel Gomes Diniz | História | Pré-aprovado | TGD.")</f>
        <v>Gabriel Gomes Diniz | História | Pré-aprovado | TGD.</v>
      </c>
      <c r="B1484" s="93"/>
    </row>
    <row r="1485">
      <c r="A1485" s="384" t="str">
        <f>IFERROR(__xludf.DUMMYFUNCTION("""COMPUTED_VALUE"""),"Gabriel Gomes Diniz | História | Aprovado | Aline Silva: aprovado")</f>
        <v>Gabriel Gomes Diniz | História | Aprovado | Aline Silva: aprovado</v>
      </c>
      <c r="B1485" s="93"/>
    </row>
    <row r="1486">
      <c r="A1486" s="384" t="str">
        <f>IFERROR(__xludf.DUMMYFUNCTION("""COMPUTED_VALUE"""),"Gabriel Monteiro Vale | Filosofia | Aprovado | Lucas: Plágio 14,86% //Bárbara: aprovado 22/06")</f>
        <v>Gabriel Monteiro Vale | Filosofia | Aprovado | Lucas: Plágio 14,86% //Bárbara: aprovado 22/06</v>
      </c>
      <c r="B1486" s="93"/>
    </row>
    <row r="1487">
      <c r="A1487" s="384" t="str">
        <f>IFERROR(__xludf.DUMMYFUNCTION("""COMPUTED_VALUE"""),"Gabriel Pigosso Ribeiro | Música | Aprovado | Júnio: remoto antigo - pelo guru experiência válida para isenção da 4ª etapa //Júnio: aprovado: 06/09/2023")</f>
        <v>Gabriel Pigosso Ribeiro | Música | Aprovado | Júnio: remoto antigo - pelo guru experiência válida para isenção da 4ª etapa //Júnio: aprovado: 06/09/2023</v>
      </c>
      <c r="B1487" s="93"/>
    </row>
    <row r="1488">
      <c r="A1488" s="384" t="str">
        <f>IFERROR(__xludf.DUMMYFUNCTION("""COMPUTED_VALUE"""),"Gabriel Siqueira Barbosa | Ed Física | Aprovado | Bárbara: aprovada nas tres priemiras etapas do remoto, aguardando a última // Ana Flávia: aprovado na 4ª etapa 07/01/2021")</f>
        <v>Gabriel Siqueira Barbosa | Ed Física | Aprovado | Bárbara: aprovada nas tres priemiras etapas do remoto, aguardando a última // Ana Flávia: aprovado na 4ª etapa 07/01/2021</v>
      </c>
      <c r="B1488" s="93"/>
    </row>
    <row r="1489">
      <c r="A1489" s="384" t="str">
        <f>IFERROR(__xludf.DUMMYFUNCTION("""COMPUTED_VALUE"""),"Gabriel Vernizzi Da Silva | Letras Português Inglês | Aprovado | Júnio: remoto antigo - fez apenas 1 plano de aula, falta todo o resto//Alexsiane: etapa 1,2,3 ok, falta 4° etapa do remoto aintigo// Alexsiane: aprovado com lançamento no sponte 13/10")</f>
        <v>Gabriel Vernizzi Da Silva | Letras Português Inglês | Aprovado | Júnio: remoto antigo - fez apenas 1 plano de aula, falta todo o resto//Alexsiane: etapa 1,2,3 ok, falta 4° etapa do remoto aintigo// Alexsiane: aprovado com lançamento no sponte 13/10</v>
      </c>
      <c r="B1489" s="93"/>
    </row>
    <row r="1490">
      <c r="A1490" s="384" t="str">
        <f>IFERROR(__xludf.DUMMYFUNCTION("""COMPUTED_VALUE"""),"Gabriela Cristina Trindade | Neuropsicologia Clínica | Aprovada  | Lucas//Alexsiane: complementar introdução e realizar a anmnese // Bárbara: aprovada 12/09/2022")</f>
        <v>Gabriela Cristina Trindade | Neuropsicologia Clínica | Aprovada  | Lucas//Alexsiane: complementar introdução e realizar a anmnese // Bárbara: aprovada 12/09/2022</v>
      </c>
      <c r="B1490" s="93"/>
    </row>
    <row r="1491">
      <c r="A1491" s="384" t="str">
        <f>IFERROR(__xludf.DUMMYFUNCTION("""COMPUTED_VALUE"""),"Gabriela De Morais Santos | Matemática | Aprovada | Pâmela: declaração de experiência aceita //Júnio: aprovada: 28/11/23")</f>
        <v>Gabriela De Morais Santos | Matemática | Aprovada | Pâmela: declaração de experiência aceita //Júnio: aprovada: 28/11/23</v>
      </c>
      <c r="B1491" s="93"/>
    </row>
    <row r="1492">
      <c r="A1492" s="384" t="str">
        <f>IFERROR(__xludf.DUMMYFUNCTION("""COMPUTED_VALUE"""),"Gabriela De Souza Garcia Morais | Pedagogia | Aprovada | Edilaine: Tem que fazer o relatório de regência, tem que terminar de preencher as cartas de apresentação. Tem que especificar o tipo de acompanhamento, tema e série em todos os dias nas fichas de re"&amp;"gistro. Faltam 100 horas. /// Edilaine: Pré-aprovada 16/02/2023 //// Edilaine: Aprovada 17/02/2023")</f>
        <v>Gabriela De Souza Garcia Morais | Pedagogia | Aprovada | Edilaine: Tem que fazer o relatório de regência, tem que terminar de preencher as cartas de apresentação. Tem que especificar o tipo de acompanhamento, tema e série em todos os dias nas fichas de registro. Faltam 100 horas. /// Edilaine: Pré-aprovada 16/02/2023 //// Edilaine: Aprovada 17/02/2023</v>
      </c>
      <c r="B1492" s="93"/>
    </row>
    <row r="1493">
      <c r="A1493" s="384" t="str">
        <f>IFERROR(__xludf.DUMMYFUNCTION("""COMPUTED_VALUE"""),"Gabriela Lima Da Silva Fernandes | Ciências Sociais | Aprovada | Alexsiane: encaminhar em word editavel e especificar na declaração de experiência a serie que da aula //// Edilaine: pré-aprovada 01/03/2023// Pamela- autenticação conferida e trabalho arqui"&amp;"vado ")</f>
        <v>Gabriela Lima Da Silva Fernandes | Ciências Sociais | Aprovada | Alexsiane: encaminhar em word editavel e especificar na declaração de experiência a serie que da aula //// Edilaine: pré-aprovada 01/03/2023// Pamela- autenticação conferida e trabalho arquivado </v>
      </c>
      <c r="B1493" s="93"/>
    </row>
    <row r="1494">
      <c r="A1494" s="384" t="str">
        <f>IFERROR(__xludf.DUMMYFUNCTION("""COMPUTED_VALUE"""),"Gabriela Martinez Berdeal Ciannella | Pedagogia | Aprovado | Fez 2 cursos de capacitação. // Recebido no instituto dia 04/12/2019// Miryã: conferido e arquivado 12/03/2021")</f>
        <v>Gabriela Martinez Berdeal Ciannella | Pedagogia | Aprovado | Fez 2 cursos de capacitação. // Recebido no instituto dia 04/12/2019// Miryã: conferido e arquivado 12/03/2021</v>
      </c>
      <c r="B1494" s="93"/>
    </row>
    <row r="1495">
      <c r="A1495" s="384" t="str">
        <f>IFERROR(__xludf.DUMMYFUNCTION("""COMPUTED_VALUE"""),"Gabriela Souza Silva | Formação Pedagógica-Português/Espanhol | Aprovado | Alexsiane: pp aprovado")</f>
        <v>Gabriela Souza Silva | Formação Pedagógica-Português/Espanhol | Aprovado | Alexsiane: pp aprovado</v>
      </c>
      <c r="B1495" s="93"/>
    </row>
    <row r="1496">
      <c r="A1496" s="384" t="str">
        <f>IFERROR(__xludf.DUMMYFUNCTION("""COMPUTED_VALUE"""),"Gabriela Wlliana Diniz Barbosa | Artes Visuais | Aprovada | Júnio: PP aprovada")</f>
        <v>Gabriela Wlliana Diniz Barbosa | Artes Visuais | Aprovada | Júnio: PP aprovada</v>
      </c>
      <c r="B1496" s="93"/>
    </row>
    <row r="1497">
      <c r="A1497" s="384" t="str">
        <f>IFERROR(__xludf.DUMMYFUNCTION("""COMPUTED_VALUE"""),"Gabriela Wlliana Diniz Barbosa | Matematica | Aprovada | Júnio: PP aprovada")</f>
        <v>Gabriela Wlliana Diniz Barbosa | Matematica | Aprovada | Júnio: PP aprovada</v>
      </c>
      <c r="B1497" s="93"/>
    </row>
    <row r="1498">
      <c r="A1498" s="384" t="str">
        <f>IFERROR(__xludf.DUMMYFUNCTION("""COMPUTED_VALUE"""),"Gabriella De Melo Caldas | Pedagogia | Aprovada | Júnio: enviar etapas dissertativas digitadas, preencher campos em branco da carta de apresentação. //Júnio: aprovada: 11/08/23")</f>
        <v>Gabriella De Melo Caldas | Pedagogia | Aprovada | Júnio: enviar etapas dissertativas digitadas, preencher campos em branco da carta de apresentação. //Júnio: aprovada: 11/08/23</v>
      </c>
      <c r="B1498" s="93"/>
    </row>
    <row r="1499">
      <c r="A1499" s="384" t="str">
        <f>IFERROR(__xludf.DUMMYFUNCTION("""COMPUTED_VALUE"""),"Gabrielli Alves Donato | História | Em análise | Júnio: 17% plágio em vários sites, fazer + 19 planos de aula e a etapa 4")</f>
        <v>Gabrielli Alves Donato | História | Em análise | Júnio: 17% plágio em vários sites, fazer + 19 planos de aula e a etapa 4</v>
      </c>
      <c r="B1499" s="93"/>
    </row>
    <row r="1500">
      <c r="A1500" s="384" t="str">
        <f>IFERROR(__xludf.DUMMYFUNCTION("""COMPUTED_VALUE"""),"Gedeílson Ronaldo Cunha Magalhães | Matemática | Aprovado | Aline Silva: apresentou declaração de experiência profissional.// aprovado dia 19/08/2020// Bárbara: conferido e arquivado 02/10/2020")</f>
        <v>Gedeílson Ronaldo Cunha Magalhães | Matemática | Aprovado | Aline Silva: apresentou declaração de experiência profissional.// aprovado dia 19/08/2020// Bárbara: conferido e arquivado 02/10/2020</v>
      </c>
      <c r="B1500" s="93"/>
    </row>
    <row r="1501">
      <c r="A1501" s="384" t="str">
        <f>IFERROR(__xludf.DUMMYFUNCTION("""COMPUTED_VALUE"""),"Geiciane Hafaelly Sampaio Melo | Pedagogia | Aprovada | Edilaine: Falta carta de apresentação, falta termo de conclusão, falta o relatório geral de duas páginas. Tem que especificar o tipo de acompanhamento e série nas fichas, tem que especificar o total "&amp;"de horas por dia, tem que enviar em nosso modelo padrão. Tem até dia 26/01/2023 para reenviar  /// Edilaine: Pré-aprovada, autorizada autenticar 13/02/2023. //// Edilaine: Aprovada 01/03/2023.")</f>
        <v>Geiciane Hafaelly Sampaio Melo | Pedagogia | Aprovada | Edilaine: Falta carta de apresentação, falta termo de conclusão, falta o relatório geral de duas páginas. Tem que especificar o tipo de acompanhamento e série nas fichas, tem que especificar o total de horas por dia, tem que enviar em nosso modelo padrão. Tem até dia 26/01/2023 para reenviar  /// Edilaine: Pré-aprovada, autorizada autenticar 13/02/2023. //// Edilaine: Aprovada 01/03/2023.</v>
      </c>
      <c r="B1501" s="93"/>
    </row>
    <row r="1502">
      <c r="A1502" s="384" t="str">
        <f>IFERROR(__xludf.DUMMYFUNCTION("""COMPUTED_VALUE"""),"Gelta Cristiane De Alencar Souza | Artes Visuais | Aprovada | Bianca: aprovada nas 3 primeiras etapas do remoto // Bárbara: aprovado na 4ª etapa 23/03/2021")</f>
        <v>Gelta Cristiane De Alencar Souza | Artes Visuais | Aprovada | Bianca: aprovada nas 3 primeiras etapas do remoto // Bárbara: aprovado na 4ª etapa 23/03/2021</v>
      </c>
      <c r="B1502" s="93"/>
    </row>
    <row r="1503">
      <c r="A1503" s="384" t="str">
        <f>IFERROR(__xludf.DUMMYFUNCTION("""COMPUTED_VALUE"""),"Geni Ferreira Da Silva | Artes Visuais | Aprovado | Fez curso de capacitação.")</f>
        <v>Geni Ferreira Da Silva | Artes Visuais | Aprovado | Fez curso de capacitação.</v>
      </c>
      <c r="B1503" s="93"/>
    </row>
    <row r="1504">
      <c r="A1504" s="384" t="str">
        <f>IFERROR(__xludf.DUMMYFUNCTION("""COMPUTED_VALUE"""),"Genilson Oliveira Kiry | Pedagogia | Aprovado | Júnio: remoto antigo - faltam só +10 planos de aula //Júnio: aprovado: 25/03/22")</f>
        <v>Genilson Oliveira Kiry | Pedagogia | Aprovado | Júnio: remoto antigo - faltam só +10 planos de aula //Júnio: aprovado: 25/03/22</v>
      </c>
      <c r="B1504" s="93"/>
    </row>
    <row r="1505">
      <c r="A1505" s="384" t="str">
        <f>IFERROR(__xludf.DUMMYFUNCTION("""COMPUTED_VALUE"""),"Genivaldo De Jesus Rei | Educação Física | Aprovado | Alexsiane: encamonhou somente as fichas de registro, declaração de experiência e carta de apresentação. Nas fichas de registro deve corrigir a carga horaria diaria que ultrapassou 6 horas, corrigir o a"&amp;"no que realizou o estágio. Falta todo o restante até di a18/08 para reenviar// Alexsiane: Pré-aprovado com lançamento no sponte // Pamela 14/12/2022 Conferido e arquivado.")</f>
        <v>Genivaldo De Jesus Rei | Educação Física | Aprovado | Alexsiane: encamonhou somente as fichas de registro, declaração de experiência e carta de apresentação. Nas fichas de registro deve corrigir a carga horaria diaria que ultrapassou 6 horas, corrigir o ano que realizou o estágio. Falta todo o restante até di a18/08 para reenviar// Alexsiane: Pré-aprovado com lançamento no sponte // Pamela 14/12/2022 Conferido e arquivado.</v>
      </c>
      <c r="B1505" s="93"/>
    </row>
    <row r="1506">
      <c r="A1506" s="384" t="str">
        <f>IFERROR(__xludf.DUMMYFUNCTION("""COMPUTED_VALUE"""),"Genivan Belo Jesus | Música | Aprovado | Pamela- Declaração valida //Júnio: aprovado 10/01/24")</f>
        <v>Genivan Belo Jesus | Música | Aprovado | Pamela- Declaração valida //Júnio: aprovado 10/01/24</v>
      </c>
      <c r="B1506" s="93"/>
    </row>
    <row r="1507">
      <c r="A1507" s="384" t="str">
        <f>IFERROR(__xludf.DUMMYFUNCTION("""COMPUTED_VALUE"""),"Genoci Fátima Antunes De Chaves | Matemática | Aprovada | Bianca: aprovada nas 3 primeiras etapas do remoto antigo //Bárbara: aprovada 13/05/21")</f>
        <v>Genoci Fátima Antunes De Chaves | Matemática | Aprovada | Bianca: aprovada nas 3 primeiras etapas do remoto antigo //Bárbara: aprovada 13/05/21</v>
      </c>
      <c r="B1507" s="93"/>
    </row>
    <row r="1508">
      <c r="A1508" s="384" t="str">
        <f>IFERROR(__xludf.DUMMYFUNCTION("""COMPUTED_VALUE"""),"Geny Verteiro Dos Anjos | Filosofia | Aprovado | Thiara: aprovado// recebido dia 07/09/2020")</f>
        <v>Geny Verteiro Dos Anjos | Filosofia | Aprovado | Thiara: aprovado// recebido dia 07/09/2020</v>
      </c>
      <c r="B1508" s="93"/>
    </row>
    <row r="1509">
      <c r="A1509" s="384" t="str">
        <f>IFERROR(__xludf.DUMMYFUNCTION("""COMPUTED_VALUE"""),"Georgia Ferreira Da Costa | Neuropsicopedagogia Instittucional Clínica E Hospitalar | aprovada | Júnio: remoto antigo - 6% plágio PRAZO: 19/05/23 //Júnio: aprovada: 02/06/23")</f>
        <v>Georgia Ferreira Da Costa | Neuropsicopedagogia Instittucional Clínica E Hospitalar | aprovada | Júnio: remoto antigo - 6% plágio PRAZO: 19/05/23 //Júnio: aprovada: 02/06/23</v>
      </c>
      <c r="B1509" s="93"/>
    </row>
    <row r="1510">
      <c r="A1510" s="384" t="str">
        <f>IFERROR(__xludf.DUMMYFUNCTION("""COMPUTED_VALUE"""),"Georgianna Silva Dos Santos | Pedagogia | Aprovado | Bianca: aprovada nas 4 etapas do remoto antigo")</f>
        <v>Georgianna Silva Dos Santos | Pedagogia | Aprovado | Bianca: aprovada nas 4 etapas do remoto antigo</v>
      </c>
      <c r="B1510" s="93"/>
    </row>
    <row r="1511">
      <c r="A1511" s="384" t="str">
        <f>IFERROR(__xludf.DUMMYFUNCTION("""COMPUTED_VALUE"""),"Geovana Marchom Marques Da Silva | Letras Portugues Ingles | Aprovada | Júnio: PP - complementar a etapa 1 com mais páginas, falta a carta de apresentação e entrevista na íntegra. //Júnio: aprovada: 28/12/23")</f>
        <v>Geovana Marchom Marques Da Silva | Letras Portugues Ingles | Aprovada | Júnio: PP - complementar a etapa 1 com mais páginas, falta a carta de apresentação e entrevista na íntegra. //Júnio: aprovada: 28/12/23</v>
      </c>
      <c r="B1511" s="93"/>
    </row>
    <row r="1512">
      <c r="A1512" s="384" t="str">
        <f>IFERROR(__xludf.DUMMYFUNCTION("""COMPUTED_VALUE"""),"Geovane De Arruda Barbosa | Música | Aprovado | Alexsiane; especificar nas fichas de registro o tipo de acompanhamento, serie, corrijir o total de horas por dia que ultrapassou 6 horas,assinatiras coladas, encaminhar o termo de conclusão e a declaração de"&amp;" experiência escaneados, encaminhar o plano de aula digitado e no nosso modelo padrão.// Alexsiane: Pré-aprovado com lançamento no jacad // Pamela 07/02/2023 Conferido e arquivado. ")</f>
        <v>Geovane De Arruda Barbosa | Música | Aprovado | Alexsiane; especificar nas fichas de registro o tipo de acompanhamento, serie, corrijir o total de horas por dia que ultrapassou 6 horas,assinatiras coladas, encaminhar o termo de conclusão e a declaração de experiência escaneados, encaminhar o plano de aula digitado e no nosso modelo padrão.// Alexsiane: Pré-aprovado com lançamento no jacad // Pamela 07/02/2023 Conferido e arquivado. </v>
      </c>
      <c r="B1512" s="93"/>
    </row>
    <row r="1513">
      <c r="A1513" s="384" t="str">
        <f>IFERROR(__xludf.DUMMYFUNCTION("""COMPUTED_VALUE"""),"Geovania Alves Toledo | Pedagogia | Aprovada | Júnio: PP aprovada ")</f>
        <v>Geovania Alves Toledo | Pedagogia | Aprovada | Júnio: PP aprovada </v>
      </c>
      <c r="B1513" s="93"/>
    </row>
    <row r="1514">
      <c r="A1514" s="384" t="str">
        <f>IFERROR(__xludf.DUMMYFUNCTION("""COMPUTED_VALUE"""),"Geraldo Carlos Dos Santos | Pedagogia | Em análise | Bianca: apenas 1 plano de aula")</f>
        <v>Geraldo Carlos Dos Santos | Pedagogia | Em análise | Bianca: apenas 1 plano de aula</v>
      </c>
      <c r="B1514" s="93"/>
    </row>
    <row r="1515">
      <c r="A1515" s="384" t="str">
        <f>IFERROR(__xludf.DUMMYFUNCTION("""COMPUTED_VALUE"""),"Geraldo Dornelas De Assis Júnior | Segunda Licenciatura Em Música | Aprovado | Rayssa pp aprovado")</f>
        <v>Geraldo Dornelas De Assis Júnior | Segunda Licenciatura Em Música | Aprovado | Rayssa pp aprovado</v>
      </c>
      <c r="B1515" s="93"/>
    </row>
    <row r="1516">
      <c r="A1516" s="384" t="str">
        <f>IFERROR(__xludf.DUMMYFUNCTION("""COMPUTED_VALUE"""),"Geraldo Gonçalves Costa | Pedagogia | Aprovado | Aline Silva: não enviou horas e documentos obrigatórios, apenas a parte escrita.// Aprovado dia 09/01/2020// Recebido dia 15/01/2020// Bárbara: Conferido e arquivado em 16/09/2020")</f>
        <v>Geraldo Gonçalves Costa | Pedagogia | Aprovado | Aline Silva: não enviou horas e documentos obrigatórios, apenas a parte escrita.// Aprovado dia 09/01/2020// Recebido dia 15/01/2020// Bárbara: Conferido e arquivado em 16/09/2020</v>
      </c>
      <c r="B1516" s="93"/>
    </row>
    <row r="1517">
      <c r="A1517" s="384" t="str">
        <f>IFERROR(__xludf.DUMMYFUNCTION("""COMPUTED_VALUE"""),"Geraldo Júnior Lemos Faria | Letras Inglês | Aprovado | Bárbara: faltou 19 planos de aula Amélia: aprovado: 23/02/2021")</f>
        <v>Geraldo Júnior Lemos Faria | Letras Inglês | Aprovado | Bárbara: faltou 19 planos de aula Amélia: aprovado: 23/02/2021</v>
      </c>
      <c r="B1517" s="93"/>
    </row>
    <row r="1518">
      <c r="A1518" s="384" t="str">
        <f>IFERROR(__xludf.DUMMYFUNCTION("""COMPUTED_VALUE"""),"Geraldo Magela De Lacerda Silva | Artes Visuais | Em análise | Aline Silva: apresentou declaração de experiência profissional.")</f>
        <v>Geraldo Magela De Lacerda Silva | Artes Visuais | Em análise | Aline Silva: apresentou declaração de experiência profissional.</v>
      </c>
      <c r="B1518" s="93"/>
    </row>
    <row r="1519">
      <c r="A1519" s="384" t="str">
        <f>IFERROR(__xludf.DUMMYFUNCTION("""COMPUTED_VALUE"""),"Geraldo Magela De Lacerda Silva | Artes Visuais | aprovado | Aline Silva: aluno aprovado conforme autorização da Ana, apresentando declaração de experiência e cursos complementares. // Bárbara: Conferido e arquivado em 16/09/2020")</f>
        <v>Geraldo Magela De Lacerda Silva | Artes Visuais | aprovado | Aline Silva: aluno aprovado conforme autorização da Ana, apresentando declaração de experiência e cursos complementares. // Bárbara: Conferido e arquivado em 16/09/2020</v>
      </c>
      <c r="B1519" s="93"/>
    </row>
    <row r="1520">
      <c r="A1520" s="384" t="str">
        <f>IFERROR(__xludf.DUMMYFUNCTION("""COMPUTED_VALUE"""),"Germano Da Costa Lemos | Pedagogia | Aprovado | Júnio: PP - falta responder o questionário. //Júnio: aprovado: 09/11/2023")</f>
        <v>Germano Da Costa Lemos | Pedagogia | Aprovado | Júnio: PP - falta responder o questionário. //Júnio: aprovado: 09/11/2023</v>
      </c>
      <c r="B1520" s="93"/>
    </row>
    <row r="1521">
      <c r="A1521" s="384" t="str">
        <f>IFERROR(__xludf.DUMMYFUNCTION("""COMPUTED_VALUE"""),"Gersiane Gama Da Silva | Neuropsicopedagogia Clínica | Em análise | Júnio: 7,4% plágio, fichas de registro cheias de rasuras, tem que especificar também tipo de acompanhamento. PRAZO: 25/08/23")</f>
        <v>Gersiane Gama Da Silva | Neuropsicopedagogia Clínica | Em análise | Júnio: 7,4% plágio, fichas de registro cheias de rasuras, tem que especificar também tipo de acompanhamento. PRAZO: 25/08/23</v>
      </c>
      <c r="B1521" s="93"/>
    </row>
    <row r="1522">
      <c r="A1522" s="384" t="str">
        <f>IFERROR(__xludf.DUMMYFUNCTION("""COMPUTED_VALUE"""),"Gersonita Ramos Da Silva Fernandes | Neuropsicopedagogia Inst Cli E Hos | Em análise  | Bárbara: aluna já encaminhou o trabalho para verificação rápida 2 X, o trabalho apresenta um excelente desenvolvimento, NÃO TEM PLÁGIO, falta toda documentação. Solici"&amp;"tei formatação da ABNT. ")</f>
        <v>Gersonita Ramos Da Silva Fernandes | Neuropsicopedagogia Inst Cli E Hos | Em análise  | Bárbara: aluna já encaminhou o trabalho para verificação rápida 2 X, o trabalho apresenta um excelente desenvolvimento, NÃO TEM PLÁGIO, falta toda documentação. Solicitei formatação da ABNT. </v>
      </c>
      <c r="B1522" s="93"/>
    </row>
    <row r="1523">
      <c r="A1523" s="384" t="str">
        <f>IFERROR(__xludf.DUMMYFUNCTION("""COMPUTED_VALUE"""),"Gésio Filo Júnior | Matemática | Aprovado | Edilaine: Remoto antigo. Tem que fazer o sumário, tem que fazer o perigo da história única, tem que enviar os planos de aula em nosso modelo padrão. Falta a 4ª etapa. Tem até 18/03/2023 para reenviar. //Júnio: a"&amp;"provado: 10/04/23")</f>
        <v>Gésio Filo Júnior | Matemática | Aprovado | Edilaine: Remoto antigo. Tem que fazer o sumário, tem que fazer o perigo da história única, tem que enviar os planos de aula em nosso modelo padrão. Falta a 4ª etapa. Tem até 18/03/2023 para reenviar. //Júnio: aprovado: 10/04/23</v>
      </c>
      <c r="B1523" s="93"/>
    </row>
    <row r="1524">
      <c r="A1524" s="384" t="str">
        <f>IFERROR(__xludf.DUMMYFUNCTION("""COMPUTED_VALUE"""),"Gésio Francisco Dos Reis | Pedagogia | Aprovado | Júnio: aprovado nas 4 etapas do remoto antigo")</f>
        <v>Gésio Francisco Dos Reis | Pedagogia | Aprovado | Júnio: aprovado nas 4 etapas do remoto antigo</v>
      </c>
      <c r="B1524" s="93"/>
    </row>
    <row r="1525">
      <c r="A1525" s="384" t="str">
        <f>IFERROR(__xludf.DUMMYFUNCTION("""COMPUTED_VALUE"""),"Gevânia White Cavalcante Silva | Letras Port Ing. | Em análise | Aline Silva: apresentou horas faltantes, assim como tudo fora do modelo padrão do instituto.")</f>
        <v>Gevânia White Cavalcante Silva | Letras Port Ing. | Em análise | Aline Silva: apresentou horas faltantes, assim como tudo fora do modelo padrão do instituto.</v>
      </c>
      <c r="B1525" s="93"/>
    </row>
    <row r="1526">
      <c r="A1526" s="384" t="str">
        <f>IFERROR(__xludf.DUMMYFUNCTION("""COMPUTED_VALUE"""),"Gilbenes Silva Dos Santos | História | Aprovado | Bárbara: apresentou declração de experiência válida para isenção da 4ª etapa //Júnio: aprovado: 03/05/23")</f>
        <v>Gilbenes Silva Dos Santos | História | Aprovado | Bárbara: apresentou declração de experiência válida para isenção da 4ª etapa //Júnio: aprovado: 03/05/23</v>
      </c>
      <c r="B1526" s="93"/>
    </row>
    <row r="1527">
      <c r="A1527" s="384" t="str">
        <f>IFERROR(__xludf.DUMMYFUNCTION("""COMPUTED_VALUE"""),"Gilberto Da Silva Bernardes | Pedagogia | Pré-aprovado | Estella:")</f>
        <v>Gilberto Da Silva Bernardes | Pedagogia | Pré-aprovado | Estella:</v>
      </c>
      <c r="B1527" s="93"/>
    </row>
    <row r="1528">
      <c r="A1528" s="384" t="str">
        <f>IFERROR(__xludf.DUMMYFUNCTION("""COMPUTED_VALUE"""),"Gilberto Da Silva Gares | Pedagogia | Aprovado | Júnio: PP - falta a etapa 2. //Júnio: aprovado: 27/11/23")</f>
        <v>Gilberto Da Silva Gares | Pedagogia | Aprovado | Júnio: PP - falta a etapa 2. //Júnio: aprovado: 27/11/23</v>
      </c>
      <c r="B1528" s="93"/>
    </row>
    <row r="1529">
      <c r="A1529" s="384" t="str">
        <f>IFERROR(__xludf.DUMMYFUNCTION("""COMPUTED_VALUE"""),"Gilberto Faria | Educação Física | Aprovado | Júnio: remoto antigo - etapa 1,2 e 3 ok, gravar video //Júnio: aprovado no vídeo: 29/04/22")</f>
        <v>Gilberto Faria | Educação Física | Aprovado | Júnio: remoto antigo - etapa 1,2 e 3 ok, gravar video //Júnio: aprovado no vídeo: 29/04/22</v>
      </c>
      <c r="B1529" s="93"/>
    </row>
    <row r="1530">
      <c r="A1530" s="384" t="str">
        <f>IFERROR(__xludf.DUMMYFUNCTION("""COMPUTED_VALUE"""),"Gilberto Queiroz Antonucci | História | Aprovado  | Bianca: Aprovado nas 3 1ªs etapas// Bárbara: apresentu declaração de experiência válida para isenção da 4ª etapa 10/02/2022")</f>
        <v>Gilberto Queiroz Antonucci | História | Aprovado  | Bianca: Aprovado nas 3 1ªs etapas// Bárbara: apresentu declaração de experiência válida para isenção da 4ª etapa 10/02/2022</v>
      </c>
      <c r="B1530" s="93"/>
    </row>
    <row r="1531">
      <c r="A1531" s="384" t="str">
        <f>IFERROR(__xludf.DUMMYFUNCTION("""COMPUTED_VALUE"""),"Gilberto Vieira De Souza | Artes Visuais | Aprovado | Aprovado. Recebido no Instituto dia 28/05/2019")</f>
        <v>Gilberto Vieira De Souza | Artes Visuais | Aprovado | Aprovado. Recebido no Instituto dia 28/05/2019</v>
      </c>
      <c r="B1531" s="93"/>
    </row>
    <row r="1532">
      <c r="A1532" s="384" t="str">
        <f>IFERROR(__xludf.DUMMYFUNCTION("""COMPUTED_VALUE"""),"Gildásio De Jesus Silva | Pedagogia | Aprovado | Aline Silva: Aprovado // Bárbara: conferido e arquivado 02/10/2020")</f>
        <v>Gildásio De Jesus Silva | Pedagogia | Aprovado | Aline Silva: Aprovado // Bárbara: conferido e arquivado 02/10/2020</v>
      </c>
      <c r="B1532" s="93"/>
    </row>
    <row r="1533">
      <c r="A1533" s="384" t="str">
        <f>IFERROR(__xludf.DUMMYFUNCTION("""COMPUTED_VALUE"""),"Gildenes Sobral Seibert | Pedagogia | Aprovada | Edilaine: 25,07% de plágio. Assinaturas coladas, tem que enviar a carta de apresentação e termo de conclusão escaneados, tem que especificar o tema e a série nas fichas, tem que fazer 56 horas. Tem até dia "&amp;"12/02/2023 para reenviar. /// Edilaine: Pré-aprovada 08/03/2023 /// Edilaine: Aprovada 12/04")</f>
        <v>Gildenes Sobral Seibert | Pedagogia | Aprovada | Edilaine: 25,07% de plágio. Assinaturas coladas, tem que enviar a carta de apresentação e termo de conclusão escaneados, tem que especificar o tema e a série nas fichas, tem que fazer 56 horas. Tem até dia 12/02/2023 para reenviar. /// Edilaine: Pré-aprovada 08/03/2023 /// Edilaine: Aprovada 12/04</v>
      </c>
      <c r="B1533" s="93"/>
    </row>
    <row r="1534">
      <c r="A1534" s="384" t="str">
        <f>IFERROR(__xludf.DUMMYFUNCTION("""COMPUTED_VALUE"""),"Gilmar Da Silva Santos De Oliveira | Filosofia | Em análise | Júnio: etapas 1,2 e 3 ok  remoto antigo")</f>
        <v>Gilmar Da Silva Santos De Oliveira | Filosofia | Em análise | Júnio: etapas 1,2 e 3 ok  remoto antigo</v>
      </c>
      <c r="B1534" s="93"/>
    </row>
    <row r="1535">
      <c r="A1535" s="384" t="str">
        <f>IFERROR(__xludf.DUMMYFUNCTION("""COMPUTED_VALUE"""),"Gilmar Da Silva Santos De Oliveira | Pedagogia | Aprovado | Bárbara: aprovada 1, 2 e 3, restando etapa 4// Bárbara: aprovado 05//11/2020")</f>
        <v>Gilmar Da Silva Santos De Oliveira | Pedagogia | Aprovado | Bárbara: aprovada 1, 2 e 3, restando etapa 4// Bárbara: aprovado 05//11/2020</v>
      </c>
      <c r="B1535" s="93"/>
    </row>
    <row r="1536">
      <c r="A1536" s="384" t="str">
        <f>IFERROR(__xludf.DUMMYFUNCTION("""COMPUTED_VALUE"""),"Gilmar Rodrigues | Filosofia | Aprovado | Júnio: remoto antigo - etapas 1,2 e 3 ok //Júnio: aprovado: 11/07/23")</f>
        <v>Gilmar Rodrigues | Filosofia | Aprovado | Júnio: remoto antigo - etapas 1,2 e 3 ok //Júnio: aprovado: 11/07/23</v>
      </c>
      <c r="B1536" s="93"/>
    </row>
    <row r="1537">
      <c r="A1537" s="384" t="str">
        <f>IFERROR(__xludf.DUMMYFUNCTION("""COMPUTED_VALUE"""),"Gilmar Vicente Ribeiro | Ed. Física | Aprovado | Bárbara: faltou sumário, conclusão e as séries que estão destinando os planos. // Bianca: aprovado 12/03")</f>
        <v>Gilmar Vicente Ribeiro | Ed. Física | Aprovado | Bárbara: faltou sumário, conclusão e as séries que estão destinando os planos. // Bianca: aprovado 12/03</v>
      </c>
      <c r="B1537" s="93"/>
    </row>
    <row r="1538">
      <c r="A1538" s="384" t="str">
        <f>IFERROR(__xludf.DUMMYFUNCTION("""COMPUTED_VALUE"""),"Gilmara Aparecida Cunha Oliveir | Pedagogia | Aprovada | Bianca: aprovada nas 4 etapas do remoto atualizado //Júnio: conferido e arquivado: 12/01/2022")</f>
        <v>Gilmara Aparecida Cunha Oliveir | Pedagogia | Aprovada | Bianca: aprovada nas 4 etapas do remoto atualizado //Júnio: conferido e arquivado: 12/01/2022</v>
      </c>
      <c r="B1538" s="93"/>
    </row>
    <row r="1539">
      <c r="A1539" s="384" t="str">
        <f>IFERROR(__xludf.DUMMYFUNCTION("""COMPUTED_VALUE"""),"Gilmara Cristina Resende | Matemática | Aprovado | Fez curso de capacitação no lugar de estágio totalizando 240h.")</f>
        <v>Gilmara Cristina Resende | Matemática | Aprovado | Fez curso de capacitação no lugar de estágio totalizando 240h.</v>
      </c>
      <c r="B1539" s="93"/>
    </row>
    <row r="1540">
      <c r="A1540" s="384" t="str">
        <f>IFERROR(__xludf.DUMMYFUNCTION("""COMPUTED_VALUE"""),"Gilmara Da Silva |  | Aprovado | Mandei enviar pelo correio.")</f>
        <v>Gilmara Da Silva |  | Aprovado | Mandei enviar pelo correio.</v>
      </c>
      <c r="B1540" s="93"/>
    </row>
    <row r="1541">
      <c r="A1541" s="384" t="str">
        <f>IFERROR(__xludf.DUMMYFUNCTION("""COMPUTED_VALUE"""),"Gilmara Dos Santos França | Artes Visuais | Aprovado | Aline Silva: apresentou declaração de experiência // aprovada dia 12/08/2020// Bárbara: conferido e arquivado 13/11/2020")</f>
        <v>Gilmara Dos Santos França | Artes Visuais | Aprovado | Aline Silva: apresentou declaração de experiência // aprovada dia 12/08/2020// Bárbara: conferido e arquivado 13/11/2020</v>
      </c>
      <c r="B1541" s="93"/>
    </row>
    <row r="1542">
      <c r="A1542" s="384" t="str">
        <f>IFERROR(__xludf.DUMMYFUNCTION("""COMPUTED_VALUE"""),"Gilsane Saldanha Dos Santos | Artes Visuais | Aprovada | Lucas: Falta 4 etapa do remoto antigo // Bárbara: aprovada 22/06/2022")</f>
        <v>Gilsane Saldanha Dos Santos | Artes Visuais | Aprovada | Lucas: Falta 4 etapa do remoto antigo // Bárbara: aprovada 22/06/2022</v>
      </c>
      <c r="B1542" s="93"/>
    </row>
    <row r="1543">
      <c r="A1543" s="384" t="str">
        <f>IFERROR(__xludf.DUMMYFUNCTION("""COMPUTED_VALUE"""),"Gilson Amâncio Da Silva | Matemática | Aprovado | Pamela: falta todas as etapas dissertativas, completar 33 horas, tipo de acompanhemento, duplicação. Tem até dia 05/01 para reenviar  ////Edilaine: pré-aprovado 02/03/2023// Alexsiane: aprovado com lançame"&amp;"nto no sponte 16/03/2023")</f>
        <v>Gilson Amâncio Da Silva | Matemática | Aprovado | Pamela: falta todas as etapas dissertativas, completar 33 horas, tipo de acompanhemento, duplicação. Tem até dia 05/01 para reenviar  ////Edilaine: pré-aprovado 02/03/2023// Alexsiane: aprovado com lançamento no sponte 16/03/2023</v>
      </c>
      <c r="B1543" s="93"/>
    </row>
    <row r="1544">
      <c r="A1544" s="384" t="str">
        <f>IFERROR(__xludf.DUMMYFUNCTION("""COMPUTED_VALUE"""),"Gilson Divino Santos | Artes Visuais |  | APROVADO, 24-09.")</f>
        <v>Gilson Divino Santos | Artes Visuais |  | APROVADO, 24-09.</v>
      </c>
      <c r="B1544" s="93"/>
    </row>
    <row r="1545">
      <c r="A1545" s="384" t="str">
        <f>IFERROR(__xludf.DUMMYFUNCTION("""COMPUTED_VALUE"""),"Gilson Fernandes Reis | Pedagogia | Aprovado | Bárbara: aprovado etapas 1, 2 e 3, aguardando 4ª etapa // Bárbara: aluno aprovado na 4ª etapa 27/11/2020")</f>
        <v>Gilson Fernandes Reis | Pedagogia | Aprovado | Bárbara: aprovado etapas 1, 2 e 3, aguardando 4ª etapa // Bárbara: aluno aprovado na 4ª etapa 27/11/2020</v>
      </c>
      <c r="B1545" s="93"/>
    </row>
    <row r="1546">
      <c r="A1546" s="384" t="str">
        <f>IFERROR(__xludf.DUMMYFUNCTION("""COMPUTED_VALUE"""),"Gilson Santos De Oliveira | Ed. Física | Aprovado | Amélia: aprovada nas 3 primeiras etapas do remoto // Bianca: aprovado 23/03/2021")</f>
        <v>Gilson Santos De Oliveira | Ed. Física | Aprovado | Amélia: aprovada nas 3 primeiras etapas do remoto // Bianca: aprovado 23/03/2021</v>
      </c>
      <c r="B1546" s="93"/>
    </row>
    <row r="1547">
      <c r="A1547" s="384" t="str">
        <f>IFERROR(__xludf.DUMMYFUNCTION("""COMPUTED_VALUE"""),"Gilvana Coelho Penedo | 2ª Licenciatura Em Pedagogia | Aprovada | Cris: PP aprovado")</f>
        <v>Gilvana Coelho Penedo | 2ª Licenciatura Em Pedagogia | Aprovada | Cris: PP aprovado</v>
      </c>
      <c r="B1547" s="93"/>
    </row>
    <row r="1548">
      <c r="A1548" s="384" t="str">
        <f>IFERROR(__xludf.DUMMYFUNCTION("""COMPUTED_VALUE"""),"Gilvane Da Silva Assunção Alves | História | aprovada | Bárbara: Aluna estava devendo documentação, informamos da pendencia, solicitamos o contato por parte do setor responsável, mas já env iamos a documentação do estágio, devido ao tamanho das correções "&amp;"necessárias. 18% plágio. Fichas de registro digitalizados e termo de conclusão sem nenhuma nitidez. Declaraçãod e experiência válida para isenção da 3ª etapa. // Alexsiane: Pré-aprovada com lançamento no sponte //Júnio: 19/12/22 - físico conferido e arqui"&amp;"vado")</f>
        <v>Gilvane Da Silva Assunção Alves | História | aprovada | Bárbara: Aluna estava devendo documentação, informamos da pendencia, solicitamos o contato por parte do setor responsável, mas já env iamos a documentação do estágio, devido ao tamanho das correções necessárias. 18% plágio. Fichas de registro digitalizados e termo de conclusão sem nenhuma nitidez. Declaraçãod e experiência válida para isenção da 3ª etapa. // Alexsiane: Pré-aprovada com lançamento no sponte //Júnio: 19/12/22 - físico conferido e arquivado</v>
      </c>
      <c r="B1548" s="93"/>
    </row>
    <row r="1549">
      <c r="A1549" s="384" t="str">
        <f>IFERROR(__xludf.DUMMYFUNCTION("""COMPUTED_VALUE"""),"Gilvânia Areda Vasconcelos | Artes Visuais | Aprovada | Lucas: Aprovada e autorizada aaenviar fisico ou pagar impressão ")</f>
        <v>Gilvânia Areda Vasconcelos | Artes Visuais | Aprovada | Lucas: Aprovada e autorizada aaenviar fisico ou pagar impressão </v>
      </c>
      <c r="B1549" s="93"/>
    </row>
    <row r="1550">
      <c r="A1550" s="384" t="str">
        <f>IFERROR(__xludf.DUMMYFUNCTION("""COMPUTED_VALUE"""),"Gilza Maria Dos Santos | História | Aprovada | Bárbara: declração de experiência válida //Alexsiane; aprovado com lançamento no sponte 20/10")</f>
        <v>Gilza Maria Dos Santos | História | Aprovada | Bárbara: declração de experiência válida //Alexsiane; aprovado com lançamento no sponte 20/10</v>
      </c>
      <c r="B1550" s="93"/>
    </row>
    <row r="1551">
      <c r="A1551" s="384" t="str">
        <f>IFERROR(__xludf.DUMMYFUNCTION("""COMPUTED_VALUE"""),"Gina De Souza Pereira | Música | Aprovada | Júnio: autorizada a recolher assinaturas e enviar plano de aula digitado. //Pré aprovada: 07/11/2023 //Júnio: aprovada: 20/11/23")</f>
        <v>Gina De Souza Pereira | Música | Aprovada | Júnio: autorizada a recolher assinaturas e enviar plano de aula digitado. //Pré aprovada: 07/11/2023 //Júnio: aprovada: 20/11/23</v>
      </c>
      <c r="B1551" s="93"/>
    </row>
    <row r="1552">
      <c r="A1552" s="384" t="str">
        <f>IFERROR(__xludf.DUMMYFUNCTION("""COMPUTED_VALUE"""),"Gionina Santos Gomes | Pedagogia | Aprovado | Alexsiane: pp aprovado")</f>
        <v>Gionina Santos Gomes | Pedagogia | Aprovado | Alexsiane: pp aprovado</v>
      </c>
      <c r="B1552" s="93"/>
    </row>
    <row r="1553">
      <c r="A1553" s="384" t="str">
        <f>IFERROR(__xludf.DUMMYFUNCTION("""COMPUTED_VALUE"""),"Giorgia Lopes De Sousa | Pedagogia | Aprovada | Bianca: aguardando etapa 1, 2 e 3 //Bianca: aprovada: 30/07/2021 //Júnio: conferido e arquivado: 17/08/21")</f>
        <v>Giorgia Lopes De Sousa | Pedagogia | Aprovada | Bianca: aguardando etapa 1, 2 e 3 //Bianca: aprovada: 30/07/2021 //Júnio: conferido e arquivado: 17/08/21</v>
      </c>
      <c r="B1553" s="93"/>
    </row>
    <row r="1554">
      <c r="A1554" s="384" t="str">
        <f>IFERROR(__xludf.DUMMYFUNCTION("""COMPUTED_VALUE"""),"Giovana Cristiane Dos Santos Ferreira | Artes Visuais | Aprovada | Bárbara: aprovada nas 3 priemiras etapas do remoto// Bárbara: aprovada na 4ª etapa 14/01/2021 //Amélia 05/02 Trabalho carimbado e entregue a secretaria.")</f>
        <v>Giovana Cristiane Dos Santos Ferreira | Artes Visuais | Aprovada | Bárbara: aprovada nas 3 priemiras etapas do remoto// Bárbara: aprovada na 4ª etapa 14/01/2021 //Amélia 05/02 Trabalho carimbado e entregue a secretaria.</v>
      </c>
      <c r="B1554" s="93"/>
    </row>
    <row r="1555">
      <c r="A1555" s="384" t="str">
        <f>IFERROR(__xludf.DUMMYFUNCTION("""COMPUTED_VALUE"""),"Giovana Cristiane Dos Santos Ferreira | Geografia | Aprovada | Bárbara: aprovada nas 3 primeiras etapas do remoto e apresentou aula dia 14/01/2021")</f>
        <v>Giovana Cristiane Dos Santos Ferreira | Geografia | Aprovada | Bárbara: aprovada nas 3 primeiras etapas do remoto e apresentou aula dia 14/01/2021</v>
      </c>
      <c r="B1555" s="93"/>
    </row>
    <row r="1556">
      <c r="A1556" s="384" t="str">
        <f>IFERROR(__xludf.DUMMYFUNCTION("""COMPUTED_VALUE"""),"Giovana Cristiane Dos Santos Ferreira | História | Aprovada | Amélia: aprovada em todas as etapas")</f>
        <v>Giovana Cristiane Dos Santos Ferreira | História | Aprovada | Amélia: aprovada em todas as etapas</v>
      </c>
      <c r="B1556" s="93"/>
    </row>
    <row r="1557">
      <c r="A1557" s="384" t="str">
        <f>IFERROR(__xludf.DUMMYFUNCTION("""COMPUTED_VALUE"""),"Giovanna Barbosa Novaes | Neuropsicopedagogia Instittucional Clínica E Hospitalar | Aprovada | Bianca: aprovada no estágio remoto")</f>
        <v>Giovanna Barbosa Novaes | Neuropsicopedagogia Instittucional Clínica E Hospitalar | Aprovada | Bianca: aprovada no estágio remoto</v>
      </c>
      <c r="B1557" s="93"/>
    </row>
    <row r="1558">
      <c r="A1558" s="384" t="str">
        <f>IFERROR(__xludf.DUMMYFUNCTION("""COMPUTED_VALUE"""),"Giovanni Dos Santos Oliveira | Letras Português Inglês | Aprovada  | Bianca: Consertar horas nas fichas.// Bárbara: aprovada em caráter excepcional devido ao erro na primeira correção em 17/06")</f>
        <v>Giovanni Dos Santos Oliveira | Letras Português Inglês | Aprovada  | Bianca: Consertar horas nas fichas.// Bárbara: aprovada em caráter excepcional devido ao erro na primeira correção em 17/06</v>
      </c>
      <c r="B1558" s="93"/>
    </row>
    <row r="1559">
      <c r="A1559" s="384" t="str">
        <f>IFERROR(__xludf.DUMMYFUNCTION("""COMPUTED_VALUE"""),"Giovanni Luiggi Cristofolini | Educação Física | Aprovado | Júnio: PP aprovado")</f>
        <v>Giovanni Luiggi Cristofolini | Educação Física | Aprovado | Júnio: PP aprovado</v>
      </c>
      <c r="B1559" s="93"/>
    </row>
    <row r="1560">
      <c r="A1560" s="384" t="str">
        <f>IFERROR(__xludf.DUMMYFUNCTION("""COMPUTED_VALUE"""),"Giselda Maria Silva De Andrade | Pedagogia | Aprovada | Bianca: fichas de registro, carta de apresentação e declaração de experiência ilegíveis.   //Júnio: aluna encaminhou TCE Físico com assinaturas impressas 25/01/22   //Júnio: 02/02/22: fichas originai"&amp;"s recebidas, conferidas e arquivadas.")</f>
        <v>Giselda Maria Silva De Andrade | Pedagogia | Aprovada | Bianca: fichas de registro, carta de apresentação e declaração de experiência ilegíveis.   //Júnio: aluna encaminhou TCE Físico com assinaturas impressas 25/01/22   //Júnio: 02/02/22: fichas originais recebidas, conferidas e arquivadas.</v>
      </c>
      <c r="B1560" s="93"/>
    </row>
    <row r="1561">
      <c r="A1561" s="384" t="str">
        <f>IFERROR(__xludf.DUMMYFUNCTION("""COMPUTED_VALUE"""),"Gisele Aparecida Da Silva | Artes Visuais | Aprovada  | Júnio: aprovada nas 4 etapas do remoto antigo")</f>
        <v>Gisele Aparecida Da Silva | Artes Visuais | Aprovada  | Júnio: aprovada nas 4 etapas do remoto antigo</v>
      </c>
      <c r="B1561" s="93"/>
    </row>
    <row r="1562">
      <c r="A1562" s="384" t="str">
        <f>IFERROR(__xludf.DUMMYFUNCTION("""COMPUTED_VALUE"""),"Gisele De Souza Hossano Gomes | Pedagogia | Aprovada | Júnio: remoto antigo, etapas 1,2 e 3 ok //Júnio: aprovada na aula: 03/03/22")</f>
        <v>Gisele De Souza Hossano Gomes | Pedagogia | Aprovada | Júnio: remoto antigo, etapas 1,2 e 3 ok //Júnio: aprovada na aula: 03/03/22</v>
      </c>
      <c r="B1562" s="93"/>
    </row>
    <row r="1563">
      <c r="A1563" s="384" t="str">
        <f>IFERROR(__xludf.DUMMYFUNCTION("""COMPUTED_VALUE"""),"Gisele Franzoi | Letras Inglês | Aprovada | Júnio: PP aprovada")</f>
        <v>Gisele Franzoi | Letras Inglês | Aprovada | Júnio: PP aprovada</v>
      </c>
      <c r="B1563" s="93"/>
    </row>
    <row r="1564">
      <c r="A1564" s="384" t="str">
        <f>IFERROR(__xludf.DUMMYFUNCTION("""COMPUTED_VALUE"""),"Gisele Moreira Silva Santos | Pedagogia | Aprovado | Thiara: Aluna enviou para conferencia antes de pedir as assinaturas na escola. //// Aprovado dia 08/08/2019. Recebido no Instituto dia 25/09/2019.")</f>
        <v>Gisele Moreira Silva Santos | Pedagogia | Aprovado | Thiara: Aluna enviou para conferencia antes de pedir as assinaturas na escola. //// Aprovado dia 08/08/2019. Recebido no Instituto dia 25/09/2019.</v>
      </c>
      <c r="B1564" s="93"/>
    </row>
    <row r="1565">
      <c r="A1565" s="384" t="str">
        <f>IFERROR(__xludf.DUMMYFUNCTION("""COMPUTED_VALUE"""),"Gisele Pereira Dutra | Neuropsicologia Clínica | Aprovada | Alexsiane: aprovado com lançamento no sponte")</f>
        <v>Gisele Pereira Dutra | Neuropsicologia Clínica | Aprovada | Alexsiane: aprovado com lançamento no sponte</v>
      </c>
      <c r="B1565" s="93"/>
    </row>
    <row r="1566">
      <c r="A1566" s="384" t="str">
        <f>IFERROR(__xludf.DUMMYFUNCTION("""COMPUTED_VALUE"""),"Giseli Heloisa Rodrigues | Geografia | Aprovada | Ana Flávia: falta formatar planos de aula // Ana Flávia: aprovada 17/12/2020")</f>
        <v>Giseli Heloisa Rodrigues | Geografia | Aprovada | Ana Flávia: falta formatar planos de aula // Ana Flávia: aprovada 17/12/2020</v>
      </c>
      <c r="B1566" s="93"/>
    </row>
    <row r="1567">
      <c r="A1567" s="384" t="str">
        <f>IFERROR(__xludf.DUMMYFUNCTION("""COMPUTED_VALUE"""),"Giseli Heloisa Rodrigues | Psic. Ped. Clínica | Aprovada | Aline: aprovada // Bárbara: conferido e arquivado 04/01/2021")</f>
        <v>Giseli Heloisa Rodrigues | Psic. Ped. Clínica | Aprovada | Aline: aprovada // Bárbara: conferido e arquivado 04/01/2021</v>
      </c>
      <c r="B1567" s="93"/>
    </row>
    <row r="1568">
      <c r="A1568" s="384" t="str">
        <f>IFERROR(__xludf.DUMMYFUNCTION("""COMPUTED_VALUE"""),"Giseli Maria Sales | Pedagogia Para Bachareis E Tecnologos | Aprovada | Júnio: PP: ok PCCs: falta enviar //Júnio: aprovada 15/01/24")</f>
        <v>Giseli Maria Sales | Pedagogia Para Bachareis E Tecnologos | Aprovada | Júnio: PP: ok PCCs: falta enviar //Júnio: aprovada 15/01/24</v>
      </c>
      <c r="B1568" s="93"/>
    </row>
    <row r="1569">
      <c r="A1569" s="384" t="str">
        <f>IFERROR(__xludf.DUMMYFUNCTION("""COMPUTED_VALUE"""),"Giseli Mesquita Abdalla Cerquise | Letras Português | Aprovada | Júnio: PP aprovada")</f>
        <v>Giseli Mesquita Abdalla Cerquise | Letras Português | Aprovada | Júnio: PP aprovada</v>
      </c>
      <c r="B1569" s="93"/>
    </row>
    <row r="1570">
      <c r="A1570" s="384" t="str">
        <f>IFERROR(__xludf.DUMMYFUNCTION("""COMPUTED_VALUE"""),"Giselle Imaculada De Alvarenga Sousa | Pedagogia | Aprovado | Aline Silva: Recolher assinaturas// Aprovada dia 04/09/2020// Bárbara: conferido e arquivado 02/10/2020")</f>
        <v>Giselle Imaculada De Alvarenga Sousa | Pedagogia | Aprovado | Aline Silva: Recolher assinaturas// Aprovada dia 04/09/2020// Bárbara: conferido e arquivado 02/10/2020</v>
      </c>
      <c r="B1570" s="93"/>
    </row>
    <row r="1571">
      <c r="A1571" s="384" t="str">
        <f>IFERROR(__xludf.DUMMYFUNCTION("""COMPUTED_VALUE"""),"Giselly De Souza Almeida | Psicopedagogia Institucional, Clínica E Educação Infantil | Aprovada | Bianca: enviou apenas fichas de registro e encaminhamento do aluno //Júnio: aprovada: 16/07/2021 //Júnio: conferido e arquivado: 28/07/2021")</f>
        <v>Giselly De Souza Almeida | Psicopedagogia Institucional, Clínica E Educação Infantil | Aprovada | Bianca: enviou apenas fichas de registro e encaminhamento do aluno //Júnio: aprovada: 16/07/2021 //Júnio: conferido e arquivado: 28/07/2021</v>
      </c>
      <c r="B1571" s="93"/>
    </row>
    <row r="1572">
      <c r="A1572" s="384" t="str">
        <f>IFERROR(__xludf.DUMMYFUNCTION("""COMPUTED_VALUE"""),"Giselly Guimarães De Faria | Neuropsicologia | Aprovada | Edilaine: Aprovada com lançamento no Sponte")</f>
        <v>Giselly Guimarães De Faria | Neuropsicologia | Aprovada | Edilaine: Aprovada com lançamento no Sponte</v>
      </c>
      <c r="B1572" s="93"/>
    </row>
    <row r="1573">
      <c r="A1573" s="384" t="str">
        <f>IFERROR(__xludf.DUMMYFUNCTION("""COMPUTED_VALUE"""),"Gisely Daniela Dos Santos Leite | Pedagogia | Aprovado | Aline Silva: refazer atividades na ficha de observação, e preencher termo.// aprovada dia 04/01/2020// Miryã: conferido e arquivado 15/03/2021")</f>
        <v>Gisely Daniela Dos Santos Leite | Pedagogia | Aprovado | Aline Silva: refazer atividades na ficha de observação, e preencher termo.// aprovada dia 04/01/2020// Miryã: conferido e arquivado 15/03/2021</v>
      </c>
      <c r="B1573" s="93"/>
    </row>
    <row r="1574">
      <c r="A1574" s="384" t="str">
        <f>IFERROR(__xludf.DUMMYFUNCTION("""COMPUTED_VALUE"""),"Gisiele Freitas Ferreira | Letras Port Espanhol | Em análise  | Bárbara: aprovada nas 3 primeiras etapas, faltando a 4ª etapa do remoto antigo")</f>
        <v>Gisiele Freitas Ferreira | Letras Port Espanhol | Em análise  | Bárbara: aprovada nas 3 primeiras etapas, faltando a 4ª etapa do remoto antigo</v>
      </c>
      <c r="B1574" s="93"/>
    </row>
    <row r="1575">
      <c r="A1575" s="384" t="str">
        <f>IFERROR(__xludf.DUMMYFUNCTION("""COMPUTED_VALUE"""),"Gisiele Freitas Ferreira | Letras Português Espanhol | Em análise | Bianca:elaborou apenas 1 plano de aula na etapa 3")</f>
        <v>Gisiele Freitas Ferreira | Letras Português Espanhol | Em análise | Bianca:elaborou apenas 1 plano de aula na etapa 3</v>
      </c>
      <c r="B1575" s="93"/>
    </row>
    <row r="1576">
      <c r="A1576" s="384" t="str">
        <f>IFERROR(__xludf.DUMMYFUNCTION("""COMPUTED_VALUE"""),"Gisiele Freitas Ferreira | Pedagogia | Aprovada | Aline Silva: apresentou fichas de sp/ or. E adm., falta observação e regência, atividade orientada pelo whats// Aline Silva: aprovada 11/11/2020// Bárbara: conferido e arquivado 30/11/2020")</f>
        <v>Gisiele Freitas Ferreira | Pedagogia | Aprovada | Aline Silva: apresentou fichas de sp/ or. E adm., falta observação e regência, atividade orientada pelo whats// Aline Silva: aprovada 11/11/2020// Bárbara: conferido e arquivado 30/11/2020</v>
      </c>
      <c r="B1576" s="93"/>
    </row>
    <row r="1577">
      <c r="A1577" s="384" t="str">
        <f>IFERROR(__xludf.DUMMYFUNCTION("""COMPUTED_VALUE"""),"Gislaine Beatriz Dos Reis Brazeiro | Letras Português | Aprovada | Bianca: autorizada a recolher assinaturas //Júnio: conferido e arquivado 08/10/21")</f>
        <v>Gislaine Beatriz Dos Reis Brazeiro | Letras Português | Aprovada | Bianca: autorizada a recolher assinaturas //Júnio: conferido e arquivado 08/10/21</v>
      </c>
      <c r="B1577" s="93"/>
    </row>
    <row r="1578">
      <c r="A1578" s="384" t="str">
        <f>IFERROR(__xludf.DUMMYFUNCTION("""COMPUTED_VALUE"""),"Gislaine Côrrea Teixeira Silva | Pedagogia | Aprovada | Bianca: aprovada nas 3 primeiras etapas //Júnio: conferido e arquivado: 26/11/2021")</f>
        <v>Gislaine Côrrea Teixeira Silva | Pedagogia | Aprovada | Bianca: aprovada nas 3 primeiras etapas //Júnio: conferido e arquivado: 26/11/2021</v>
      </c>
      <c r="B1578" s="93"/>
    </row>
    <row r="1579">
      <c r="A1579" s="384" t="str">
        <f>IFERROR(__xludf.DUMMYFUNCTION("""COMPUTED_VALUE"""),"Gislaine Cristina Da Silva Santos | Artes Visuais | Aprovada | Júnio: PP - etapa 1 possui 97% semelhança com o outro curso, falta a etapa 2 //Júnio aprovada 09/11/23")</f>
        <v>Gislaine Cristina Da Silva Santos | Artes Visuais | Aprovada | Júnio: PP - etapa 1 possui 97% semelhança com o outro curso, falta a etapa 2 //Júnio aprovada 09/11/23</v>
      </c>
      <c r="B1579" s="93"/>
    </row>
    <row r="1580">
      <c r="A1580" s="384" t="str">
        <f>IFERROR(__xludf.DUMMYFUNCTION("""COMPUTED_VALUE"""),"Gislaine Cristina Da Silva Santos | Educação Física | Em análise | Júnio: PP - etapa 1 possui 97% similaridade com outro curso, falta a etapa 2")</f>
        <v>Gislaine Cristina Da Silva Santos | Educação Física | Em análise | Júnio: PP - etapa 1 possui 97% similaridade com outro curso, falta a etapa 2</v>
      </c>
      <c r="B1580" s="93"/>
    </row>
    <row r="1581">
      <c r="A1581" s="384" t="str">
        <f>IFERROR(__xludf.DUMMYFUNCTION("""COMPUTED_VALUE"""),"Gislaine Grace Do Nascimento Mello | Pedagogia | Pré-aprovado | Lucas: Complementar ficha de registro, enviar termo de conclusao , carta de apresentação e declaração de experiência// Alexsiane: pré aprovado com lançamento  no sponte// Bárbara: aluna encam"&amp;"ihou o trabalho físico, mas faltou termo de conclusão, aguardando 14/09/2022")</f>
        <v>Gislaine Grace Do Nascimento Mello | Pedagogia | Pré-aprovado | Lucas: Complementar ficha de registro, enviar termo de conclusao , carta de apresentação e declaração de experiência// Alexsiane: pré aprovado com lançamento  no sponte// Bárbara: aluna encamihou o trabalho físico, mas faltou termo de conclusão, aguardando 14/09/2022</v>
      </c>
      <c r="B1581" s="93"/>
    </row>
    <row r="1582">
      <c r="A1582" s="384" t="str">
        <f>IFERROR(__xludf.DUMMYFUNCTION("""COMPUTED_VALUE"""),"Gislaine Inácio Caetano Da Silva | Pedagogia | Em análise | Ana Flávia: trabalho errado e com 60% plágio")</f>
        <v>Gislaine Inácio Caetano Da Silva | Pedagogia | Em análise | Ana Flávia: trabalho errado e com 60% plágio</v>
      </c>
      <c r="B1582" s="93"/>
    </row>
    <row r="1583">
      <c r="A1583" s="384" t="str">
        <f>IFERROR(__xludf.DUMMYFUNCTION("""COMPUTED_VALUE"""),"Gislaine Marques Da Silva Romeira | Pedagogia | Em análise | Alexsiane: etapas disertativas ok e sem plágo, falta ficha, termo e carta 19/02 reenviar")</f>
        <v>Gislaine Marques Da Silva Romeira | Pedagogia | Em análise | Alexsiane: etapas disertativas ok e sem plágo, falta ficha, termo e carta 19/02 reenviar</v>
      </c>
      <c r="B1583" s="93"/>
    </row>
    <row r="1584">
      <c r="A1584" s="384" t="str">
        <f>IFERROR(__xludf.DUMMYFUNCTION("""COMPUTED_VALUE"""),"Gislaine Regina Batista De Souza | Pedagogia | Aprovada | Bárbara: aprovada nas primeiras 1, 2 , 3. Aguardando aa 4ª etapa // Bárbara: aprovada 12/01/2021")</f>
        <v>Gislaine Regina Batista De Souza | Pedagogia | Aprovada | Bárbara: aprovada nas primeiras 1, 2 , 3. Aguardando aa 4ª etapa // Bárbara: aprovada 12/01/2021</v>
      </c>
      <c r="B1584" s="93"/>
    </row>
    <row r="1585">
      <c r="A1585" s="384" t="str">
        <f>IFERROR(__xludf.DUMMYFUNCTION("""COMPUTED_VALUE"""),"Gislaine Regina Batista De Souza | Pedagogia | Em análise | Aline Silva: enviou 304 horas sem identificação no cabeçalho, faltam 30 de orientação, 30 de supervisão, 40 de gestão, falta também: carta de apresentação, termo de compromisso, auto avaliação, p"&amp;"lano de aula, atividade executada, objetivos.")</f>
        <v>Gislaine Regina Batista De Souza | Pedagogia | Em análise | Aline Silva: enviou 304 horas sem identificação no cabeçalho, faltam 30 de orientação, 30 de supervisão, 40 de gestão, falta também: carta de apresentação, termo de compromisso, auto avaliação, plano de aula, atividade executada, objetivos.</v>
      </c>
      <c r="B1585" s="93"/>
    </row>
    <row r="1586">
      <c r="A1586" s="384" t="str">
        <f>IFERROR(__xludf.DUMMYFUNCTION("""COMPUTED_VALUE"""),"Gislaine Santos De Almeida | Aprovado | Aprovado | Rayssa pp aprovado")</f>
        <v>Gislaine Santos De Almeida | Aprovado | Aprovado | Rayssa pp aprovado</v>
      </c>
      <c r="B1586" s="93"/>
    </row>
    <row r="1587">
      <c r="A1587" s="384" t="str">
        <f>IFERROR(__xludf.DUMMYFUNCTION("""COMPUTED_VALUE"""),"Gislene Ferreira De Paula Moura | Pedagogia | Em análise  | Alexsiane: 12° plano de aula deu plágio, restante está ok 1,2 e 4 30/01 reenviar")</f>
        <v>Gislene Ferreira De Paula Moura | Pedagogia | Em análise  | Alexsiane: 12° plano de aula deu plágio, restante está ok 1,2 e 4 30/01 reenviar</v>
      </c>
      <c r="B1587" s="93"/>
    </row>
    <row r="1588">
      <c r="A1588" s="384" t="str">
        <f>IFERROR(__xludf.DUMMYFUNCTION("""COMPUTED_VALUE"""),"Gislene Ferreira Paula Moura | Pedagogia | Aprovado | Júnio: remoto antigo - falta etapa 1, complementar etapa 2, na etapa 3 deve adequar os planos para o nosso modelo, a maioria dos planos enviados são do Fundamental II, deve fazer do nível infantil e Fu"&amp;"ndamental I e falta a etapa 4 PRAZO: 09/07/22// Alexsiane: pré aprovada com lançamento no sponte // Pamela 26/01/2023 Conferido e arquivado. ")</f>
        <v>Gislene Ferreira Paula Moura | Pedagogia | Aprovado | Júnio: remoto antigo - falta etapa 1, complementar etapa 2, na etapa 3 deve adequar os planos para o nosso modelo, a maioria dos planos enviados são do Fundamental II, deve fazer do nível infantil e Fundamental I e falta a etapa 4 PRAZO: 09/07/22// Alexsiane: pré aprovada com lançamento no sponte // Pamela 26/01/2023 Conferido e arquivado. </v>
      </c>
      <c r="B1588" s="93"/>
    </row>
    <row r="1589">
      <c r="A1589" s="384" t="str">
        <f>IFERROR(__xludf.DUMMYFUNCTION("""COMPUTED_VALUE"""),"Gislene Gomes Braga De Oliveira | Pedagogia | Aprovada | Júnio: PP -15% plágio //Júnio: aprovada: 18/01/24")</f>
        <v>Gislene Gomes Braga De Oliveira | Pedagogia | Aprovada | Júnio: PP -15% plágio //Júnio: aprovada: 18/01/24</v>
      </c>
      <c r="B1589" s="93"/>
    </row>
    <row r="1590">
      <c r="A1590" s="384" t="str">
        <f>IFERROR(__xludf.DUMMYFUNCTION("""COMPUTED_VALUE"""),"Gislene Ponciano Almeida Silva | Artes Visuais | aprovado | Thiara: aprovado//Aline Silva: Recebido no instituto encadernado e impresso dia 27/12/2019")</f>
        <v>Gislene Ponciano Almeida Silva | Artes Visuais | aprovado | Thiara: aprovado//Aline Silva: Recebido no instituto encadernado e impresso dia 27/12/2019</v>
      </c>
      <c r="B1590" s="93"/>
    </row>
    <row r="1591">
      <c r="A1591" s="384" t="str">
        <f>IFERROR(__xludf.DUMMYFUNCTION("""COMPUTED_VALUE"""),"Gislene Silva Dutra | Psic. Ped. Clínica | aprovada | Aline Silva: aprovada// Recebido no instituto impresso e encadernado dia 06/03/2020")</f>
        <v>Gislene Silva Dutra | Psic. Ped. Clínica | aprovada | Aline Silva: aprovada// Recebido no instituto impresso e encadernado dia 06/03/2020</v>
      </c>
      <c r="B1591" s="93"/>
    </row>
    <row r="1592">
      <c r="A1592" s="384" t="str">
        <f>IFERROR(__xludf.DUMMYFUNCTION("""COMPUTED_VALUE"""),"Giuliano Rosa Sales | Pedagogia | Aprovado | Júnio - PP - etapas: OK Inicio: 27/07/23 Reenviar: 27/01/24 //26/09/23 - aluno pagou apressamento - aprovado")</f>
        <v>Giuliano Rosa Sales | Pedagogia | Aprovado | Júnio - PP - etapas: OK Inicio: 27/07/23 Reenviar: 27/01/24 //26/09/23 - aluno pagou apressamento - aprovado</v>
      </c>
      <c r="B1592" s="93"/>
    </row>
    <row r="1593">
      <c r="A1593" s="384" t="str">
        <f>IFERROR(__xludf.DUMMYFUNCTION("""COMPUTED_VALUE"""),"Giuliano Rosa Sales | Sociologia | Aprovado | Júnio - PP: precisa refazer a etapa I pois está igual ao curso de pedagogia. //26/09/23 - aluno pagou apressamento - aprovado")</f>
        <v>Giuliano Rosa Sales | Sociologia | Aprovado | Júnio - PP: precisa refazer a etapa I pois está igual ao curso de pedagogia. //26/09/23 - aluno pagou apressamento - aprovado</v>
      </c>
      <c r="B1593" s="93"/>
    </row>
    <row r="1594">
      <c r="A1594" s="384" t="str">
        <f>IFERROR(__xludf.DUMMYFUNCTION("""COMPUTED_VALUE"""),"Givaldo De Jesus Santana | Letras - Português | Aprovado | Alexsiane: feita uma verificação rapida nos documeto no Whatsapp ( qualquer coisa me perguntar) aluno so reclamava do Zayn por isso fiz uma correção rapida e falei tudo o que estava faltando. ////"&amp;" Edilaine: Pré- aprovado 15/03/2023 ///Júnio: aprovado: 30/03/23")</f>
        <v>Givaldo De Jesus Santana | Letras - Português | Aprovado | Alexsiane: feita uma verificação rapida nos documeto no Whatsapp ( qualquer coisa me perguntar) aluno so reclamava do Zayn por isso fiz uma correção rapida e falei tudo o que estava faltando. //// Edilaine: Pré- aprovado 15/03/2023 ///Júnio: aprovado: 30/03/23</v>
      </c>
      <c r="B1594" s="93"/>
    </row>
    <row r="1595">
      <c r="A1595" s="384" t="str">
        <f>IFERROR(__xludf.DUMMYFUNCTION("""COMPUTED_VALUE"""),"Gizele Albino Urnau | Geografia | Aprovada  | Bianca: faltou carta de aceite, termo de conclusão e completar planos de aula// Lucas: aprovada 11/02/2022")</f>
        <v>Gizele Albino Urnau | Geografia | Aprovada  | Bianca: faltou carta de aceite, termo de conclusão e completar planos de aula// Lucas: aprovada 11/02/2022</v>
      </c>
      <c r="B1595" s="93"/>
    </row>
    <row r="1596">
      <c r="A1596" s="384" t="str">
        <f>IFERROR(__xludf.DUMMYFUNCTION("""COMPUTED_VALUE"""),"Gizele Albino Urnau | Psicopedagogia Int Cli | Aprovada | Aline: pedi que encaminhasse o documento completo para correção. // Bárbara: aprovada 16/12/2020")</f>
        <v>Gizele Albino Urnau | Psicopedagogia Int Cli | Aprovada | Aline: pedi que encaminhasse o documento completo para correção. // Bárbara: aprovada 16/12/2020</v>
      </c>
      <c r="B1596" s="93"/>
    </row>
    <row r="1597">
      <c r="A1597" s="384" t="str">
        <f>IFERROR(__xludf.DUMMYFUNCTION("""COMPUTED_VALUE"""),"Glacieny Teixeira Sobrinho | Pedagogia | Aprovada | PP - falta a carta de apresentação //Júnio: aprovada: 22/11/23")</f>
        <v>Glacieny Teixeira Sobrinho | Pedagogia | Aprovada | PP - falta a carta de apresentação //Júnio: aprovada: 22/11/23</v>
      </c>
      <c r="B1597" s="93"/>
    </row>
    <row r="1598">
      <c r="A1598" s="384" t="str">
        <f>IFERROR(__xludf.DUMMYFUNCTION("""COMPUTED_VALUE"""),"Gladis Milene Porto Velho Canal | Pedagogia | Aprovado | Júnio: remoto antigo - consertar etapa 1, fazer capa, resumo, introdução, etapa 2, conslusão e referências. PRAZO 10 DIAS:15/04/22// Aexsiane: aprovada com lançamento no Sponte")</f>
        <v>Gladis Milene Porto Velho Canal | Pedagogia | Aprovado | Júnio: remoto antigo - consertar etapa 1, fazer capa, resumo, introdução, etapa 2, conslusão e referências. PRAZO 10 DIAS:15/04/22// Aexsiane: aprovada com lançamento no Sponte</v>
      </c>
      <c r="B1598" s="93"/>
    </row>
    <row r="1599">
      <c r="A1599" s="384" t="str">
        <f>IFERROR(__xludf.DUMMYFUNCTION("""COMPUTED_VALUE"""),"Gladys Nogueira Cabral | Letras Espanhol | Aprovada | Alexsiane:  etapa 1,2,3ok falta 4° etapa do remoto antigo /// Edilaine: Aprovada 12/01")</f>
        <v>Gladys Nogueira Cabral | Letras Espanhol | Aprovada | Alexsiane:  etapa 1,2,3ok falta 4° etapa do remoto antigo /// Edilaine: Aprovada 12/01</v>
      </c>
      <c r="B1599" s="93"/>
    </row>
    <row r="1600">
      <c r="A1600" s="384" t="str">
        <f>IFERROR(__xludf.DUMMYFUNCTION("""COMPUTED_VALUE"""),"Gladys Nogueira Cabral | Letras Port Ingl. | aprovada | Aline Silva: apresentou 30 planos de aula.")</f>
        <v>Gladys Nogueira Cabral | Letras Port Ingl. | aprovada | Aline Silva: apresentou 30 planos de aula.</v>
      </c>
      <c r="B1600" s="93"/>
    </row>
    <row r="1601">
      <c r="A1601" s="384" t="str">
        <f>IFERROR(__xludf.DUMMYFUNCTION("""COMPUTED_VALUE"""),"Glaice Dias Dos Santos | Pedagogia | Aprovada | Alexsiane: falta apenas 40 horas de gestão para totalizar as 200 horas, restante das etapas dissertativas está certa. //Júnio: pré aprovada: 31/05/23 //Júnio:aprovada: 19/06/23")</f>
        <v>Glaice Dias Dos Santos | Pedagogia | Aprovada | Alexsiane: falta apenas 40 horas de gestão para totalizar as 200 horas, restante das etapas dissertativas está certa. //Júnio: pré aprovada: 31/05/23 //Júnio:aprovada: 19/06/23</v>
      </c>
      <c r="B1601" s="93"/>
    </row>
    <row r="1602">
      <c r="A1602" s="384" t="str">
        <f>IFERROR(__xludf.DUMMYFUNCTION("""COMPUTED_VALUE"""),"Glauber Babosa Guardengui | Pedagogia | Em análise | Alexsiane: falta 2° etapa e corrigir 23% de plágio")</f>
        <v>Glauber Babosa Guardengui | Pedagogia | Em análise | Alexsiane: falta 2° etapa e corrigir 23% de plágio</v>
      </c>
      <c r="B1602" s="93"/>
    </row>
    <row r="1603">
      <c r="A1603" s="384" t="str">
        <f>IFERROR(__xludf.DUMMYFUNCTION("""COMPUTED_VALUE"""),"Glauber Babosa Guardengui | Pedagogia | Em análise | Alexsiane&gt; pp com plágio nas 10 competencias")</f>
        <v>Glauber Babosa Guardengui | Pedagogia | Em análise | Alexsiane&gt; pp com plágio nas 10 competencias</v>
      </c>
      <c r="B1603" s="93"/>
    </row>
    <row r="1604">
      <c r="A1604" s="384" t="str">
        <f>IFERROR(__xludf.DUMMYFUNCTION("""COMPUTED_VALUE"""),"Glauce Ariane Dias Barbara | Ciências Sociais | Aprovada | Júnio: remoto antigo - falta a etapa 4 //Júnio: aprovada: 21/09/2023")</f>
        <v>Glauce Ariane Dias Barbara | Ciências Sociais | Aprovada | Júnio: remoto antigo - falta a etapa 4 //Júnio: aprovada: 21/09/2023</v>
      </c>
      <c r="B1604" s="93"/>
    </row>
    <row r="1605">
      <c r="A1605" s="384" t="str">
        <f>IFERROR(__xludf.DUMMYFUNCTION("""COMPUTED_VALUE"""),"Glauce Ariane Dias Barbara | Pedagogia Para Bachareis E Tecnólogos | Aprovada | Júnio- PP: falta enviar PCC I: ok  PCC II: ok   PCC III: falta enviar  PCC IV: ok //Júnio: aprovada: 21/09/23")</f>
        <v>Glauce Ariane Dias Barbara | Pedagogia Para Bachareis E Tecnólogos | Aprovada | Júnio- PP: falta enviar PCC I: ok  PCC II: ok   PCC III: falta enviar  PCC IV: ok //Júnio: aprovada: 21/09/23</v>
      </c>
      <c r="B1605" s="93"/>
    </row>
    <row r="1606">
      <c r="A1606" s="384" t="str">
        <f>IFERROR(__xludf.DUMMYFUNCTION("""COMPUTED_VALUE"""),"Glavanilson Soares Da Silva | Pedagogia | Aprovada | Júnio: faltam especificar o tipo de acompanhamentos nas fichas e lançar de forma diária os acompanhamentos. //Júnio: aprovada: 31/10/23")</f>
        <v>Glavanilson Soares Da Silva | Pedagogia | Aprovada | Júnio: faltam especificar o tipo de acompanhamentos nas fichas e lançar de forma diária os acompanhamentos. //Júnio: aprovada: 31/10/23</v>
      </c>
      <c r="B1606" s="93"/>
    </row>
    <row r="1607">
      <c r="A1607" s="384" t="str">
        <f>IFERROR(__xludf.DUMMYFUNCTION("""COMPUTED_VALUE"""),"Gleice Adriano Correia Silva | Pedagogia | Aprovada | Bárbara: aprovado etapas 1,2 e 3 do remoto, aguardando a 4// Bárbara: apresentou a 4ª etapa e foi aprovada 27/10/2020. //Júnio:conferido e arquivado: 04/10/2021")</f>
        <v>Gleice Adriano Correia Silva | Pedagogia | Aprovada | Bárbara: aprovado etapas 1,2 e 3 do remoto, aguardando a 4// Bárbara: apresentou a 4ª etapa e foi aprovada 27/10/2020. //Júnio:conferido e arquivado: 04/10/2021</v>
      </c>
      <c r="B1607" s="93"/>
    </row>
    <row r="1608">
      <c r="A1608" s="384" t="str">
        <f>IFERROR(__xludf.DUMMYFUNCTION("""COMPUTED_VALUE"""),"Gleice Cristina Dos Santos | História | Aprovado | APROVADO, 20-08. Recebido dia 15/01/2019")</f>
        <v>Gleice Cristina Dos Santos | História | Aprovado | APROVADO, 20-08. Recebido dia 15/01/2019</v>
      </c>
      <c r="B1608" s="93"/>
    </row>
    <row r="1609">
      <c r="A1609" s="384" t="str">
        <f>IFERROR(__xludf.DUMMYFUNCTION("""COMPUTED_VALUE"""),"Gleice Martins Alves | Artes Visuais | aprovada | Alexsiane: plágio no plano de aula e corrigir a carga horaria diaria das fichas que está errada 07:00 a 12:00: 05( correto é 4horas por dia) restante ok  //// Edilaine: Pré-aprovada 01/03/2023/// Alexsiane"&amp;": aprovado com lançamento no jacad 17/03/2023")</f>
        <v>Gleice Martins Alves | Artes Visuais | aprovada | Alexsiane: plágio no plano de aula e corrigir a carga horaria diaria das fichas que está errada 07:00 a 12:00: 05( correto é 4horas por dia) restante ok  //// Edilaine: Pré-aprovada 01/03/2023/// Alexsiane: aprovado com lançamento no jacad 17/03/2023</v>
      </c>
      <c r="B1609" s="93"/>
    </row>
    <row r="1610">
      <c r="A1610" s="384" t="str">
        <f>IFERROR(__xludf.DUMMYFUNCTION("""COMPUTED_VALUE"""),"Gleicigene Bezerra De Brito | Pedagogia | Aprovado | Júnio: especificar tipo de acompanhamento e série. //Júnio: pré aprovado: 19/06/23 //Júnio: aprovado: 30/06/23")</f>
        <v>Gleicigene Bezerra De Brito | Pedagogia | Aprovado | Júnio: especificar tipo de acompanhamento e série. //Júnio: pré aprovado: 19/06/23 //Júnio: aprovado: 30/06/23</v>
      </c>
      <c r="B1610" s="93"/>
    </row>
    <row r="1611">
      <c r="A1611" s="384" t="str">
        <f>IFERROR(__xludf.DUMMYFUNCTION("""COMPUTED_VALUE"""),"Gleicilene Rosa Da Silva | Pedagogia | Aprovada | Júnio: pre aprovada //Júnio: aprovada: 31/07/2023")</f>
        <v>Gleicilene Rosa Da Silva | Pedagogia | Aprovada | Júnio: pre aprovada //Júnio: aprovada: 31/07/2023</v>
      </c>
      <c r="B1611" s="93"/>
    </row>
    <row r="1612">
      <c r="A1612" s="384" t="str">
        <f>IFERROR(__xludf.DUMMYFUNCTION("""COMPUTED_VALUE"""),"Gleico David De Oliveira | Letras Português Espanhol | Aprovado | Júnio: especificar nas fichas de forma diária o tema e serie PRAZO: 09/09/23 //Júnio: aprovado: 10/11/23")</f>
        <v>Gleico David De Oliveira | Letras Português Espanhol | Aprovado | Júnio: especificar nas fichas de forma diária o tema e serie PRAZO: 09/09/23 //Júnio: aprovado: 10/11/23</v>
      </c>
      <c r="B1612" s="93"/>
    </row>
    <row r="1613">
      <c r="A1613" s="384" t="str">
        <f>IFERROR(__xludf.DUMMYFUNCTION("""COMPUTED_VALUE"""),"Glenda Maíra Silva Melo | Artes Visuais | Aprovada | Aline Silva: apresentou declaração de experiência Válida//Amélia: aprovada 12/02/25021//Bárbara: conferido e arquivado 15/02/2021")</f>
        <v>Glenda Maíra Silva Melo | Artes Visuais | Aprovada | Aline Silva: apresentou declaração de experiência Válida//Amélia: aprovada 12/02/25021//Bárbara: conferido e arquivado 15/02/2021</v>
      </c>
      <c r="B1613" s="93"/>
    </row>
    <row r="1614">
      <c r="A1614" s="384" t="str">
        <f>IFERROR(__xludf.DUMMYFUNCTION("""COMPUTED_VALUE"""),"Glenda Teixeira Sousa | Filosofia | Aprovada  | Alexsiane: aprovada nas 3 primeiras etapas, falta somente o vídeo da 4° etapa. Até dia29/04/2022 para reenviar.// Bárbara: aprovada 25/05/2022")</f>
        <v>Glenda Teixeira Sousa | Filosofia | Aprovada  | Alexsiane: aprovada nas 3 primeiras etapas, falta somente o vídeo da 4° etapa. Até dia29/04/2022 para reenviar.// Bárbara: aprovada 25/05/2022</v>
      </c>
      <c r="B1614" s="93"/>
    </row>
    <row r="1615">
      <c r="A1615" s="384" t="str">
        <f>IFERROR(__xludf.DUMMYFUNCTION("""COMPUTED_VALUE"""),"Glênia Aparecida Souza Santos | História | Em análise | Alexsiane: enviar todo os trabalho em formato word editável e juntar os arquivos ")</f>
        <v>Glênia Aparecida Souza Santos | História | Em análise | Alexsiane: enviar todo os trabalho em formato word editável e juntar os arquivos </v>
      </c>
      <c r="B1615" s="93"/>
    </row>
    <row r="1616">
      <c r="A1616" s="384" t="str">
        <f>IFERROR(__xludf.DUMMYFUNCTION("""COMPUTED_VALUE"""),"Gleyce Raquel Soares De Sousa | Pedagogia | Aprovado | Alexsiane: falta carta de ap e encaminhar a entrevista digitada // Cris: PP aprovado 19/04/24")</f>
        <v>Gleyce Raquel Soares De Sousa | Pedagogia | Aprovado | Alexsiane: falta carta de ap e encaminhar a entrevista digitada // Cris: PP aprovado 19/04/24</v>
      </c>
      <c r="B1616" s="93"/>
    </row>
    <row r="1617">
      <c r="A1617" s="384" t="str">
        <f>IFERROR(__xludf.DUMMYFUNCTION("""COMPUTED_VALUE"""),"Gleyce Timoteo De Melo Araújo | Música | Aprovada | Júnio: PP aprovada")</f>
        <v>Gleyce Timoteo De Melo Araújo | Música | Aprovada | Júnio: PP aprovada</v>
      </c>
      <c r="B1617" s="93"/>
    </row>
    <row r="1618">
      <c r="A1618" s="384" t="str">
        <f>IFERROR(__xludf.DUMMYFUNCTION("""COMPUTED_VALUE"""),"Gleyson Rodrigues Luiza Pereira | Matemática | Aprovado | Bianca: falta planos de aulas e etapa 4 do remoto atualizado //Júnio: aprovado")</f>
        <v>Gleyson Rodrigues Luiza Pereira | Matemática | Aprovado | Bianca: falta planos de aulas e etapa 4 do remoto atualizado //Júnio: aprovado</v>
      </c>
      <c r="B1618" s="93"/>
    </row>
    <row r="1619">
      <c r="A1619" s="384" t="str">
        <f>IFERROR(__xludf.DUMMYFUNCTION("""COMPUTED_VALUE"""),"Grace Kelly Assalin | Pedagogia | Em análise  | Bárbara: remoto ntigo- falta 18 palnos de aula- (trabalho tinha ficado para tras, devido a perca dos e-mails mas falamos com a aluna que já tinha sido corrigido e que isso era o reenvio) TEM ATÉ 31/07/2022 P"&amp;"ARA REENVIAR")</f>
        <v>Grace Kelly Assalin | Pedagogia | Em análise  | Bárbara: remoto ntigo- falta 18 palnos de aula- (trabalho tinha ficado para tras, devido a perca dos e-mails mas falamos com a aluna que já tinha sido corrigido e que isso era o reenvio) TEM ATÉ 31/07/2022 PARA REENVIAR</v>
      </c>
      <c r="B1619" s="93"/>
    </row>
    <row r="1620">
      <c r="A1620" s="384" t="str">
        <f>IFERROR(__xludf.DUMMYFUNCTION("""COMPUTED_VALUE"""),"Graciele De Cássia Gonçalves Da Silva | Artes Visuais | Aprovada | Bárbara: Aline disse que poderia aprovar, pois não sabia as orientações que Thiara passou")</f>
        <v>Graciele De Cássia Gonçalves Da Silva | Artes Visuais | Aprovada | Bárbara: Aline disse que poderia aprovar, pois não sabia as orientações que Thiara passou</v>
      </c>
      <c r="B1620" s="93"/>
    </row>
    <row r="1621">
      <c r="A1621" s="384" t="str">
        <f>IFERROR(__xludf.DUMMYFUNCTION("""COMPUTED_VALUE"""),"Graciele Martins Moreira Lima | Pedagogia | Aprovada | Alexsiane: pré aprovado com lançamento no sponte //Júnio: aprovada: 13/07/23")</f>
        <v>Graciele Martins Moreira Lima | Pedagogia | Aprovada | Alexsiane: pré aprovado com lançamento no sponte //Júnio: aprovada: 13/07/23</v>
      </c>
      <c r="B1621" s="93"/>
    </row>
    <row r="1622">
      <c r="A1622" s="384" t="str">
        <f>IFERROR(__xludf.DUMMYFUNCTION("""COMPUTED_VALUE"""),"Gracielli Martins De Oliveira | Artes Visuais | Aprovado | Alexsiane: pp aprovado")</f>
        <v>Gracielli Martins De Oliveira | Artes Visuais | Aprovado | Alexsiane: pp aprovado</v>
      </c>
      <c r="B1622" s="93"/>
    </row>
    <row r="1623">
      <c r="A1623" s="384" t="str">
        <f>IFERROR(__xludf.DUMMYFUNCTION("""COMPUTED_VALUE"""),"Grasiela Körner De Souza | Segunda Licenciatura Em Educação Especial | Aprovado | Rayssa pp aprovado")</f>
        <v>Grasiela Körner De Souza | Segunda Licenciatura Em Educação Especial | Aprovado | Rayssa pp aprovado</v>
      </c>
      <c r="B1623" s="93"/>
    </row>
    <row r="1624">
      <c r="A1624" s="384" t="str">
        <f>IFERROR(__xludf.DUMMYFUNCTION("""COMPUTED_VALUE"""),"Graziela Porto Trescher | Neuropsicologia Clínica | Aprovado | Lucas: Aprovado e anexado ao Sponte")</f>
        <v>Graziela Porto Trescher | Neuropsicologia Clínica | Aprovado | Lucas: Aprovado e anexado ao Sponte</v>
      </c>
      <c r="B1624" s="93"/>
    </row>
    <row r="1625">
      <c r="A1625" s="384" t="str">
        <f>IFERROR(__xludf.DUMMYFUNCTION("""COMPUTED_VALUE"""),"Graziela Zorzenon | Música | Aprovado | Júnio: PP - Inicio: 09/09/23 Reenviar: 09/03/24// aprovada 11/03/24")</f>
        <v>Graziela Zorzenon | Música | Aprovado | Júnio: PP - Inicio: 09/09/23 Reenviar: 09/03/24// aprovada 11/03/24</v>
      </c>
      <c r="B1625" s="93"/>
    </row>
    <row r="1626">
      <c r="A1626" s="384" t="str">
        <f>IFERROR(__xludf.DUMMYFUNCTION("""COMPUTED_VALUE"""),"Graziele Campos Silva | Pedagogia | Aprovado | Aline Silva: ficha de observação sem especificar a atividade, sem cabeçalho completo, estágio sem formatação.// aprovada dia 07/05/2020// Bárbara: chegou no instituto o físico, vamos cobrar 10 reais de encade"&amp;"rnação pois veio errado. // Bárbara: imprimido e arquivado 30/12/2020")</f>
        <v>Graziele Campos Silva | Pedagogia | Aprovado | Aline Silva: ficha de observação sem especificar a atividade, sem cabeçalho completo, estágio sem formatação.// aprovada dia 07/05/2020// Bárbara: chegou no instituto o físico, vamos cobrar 10 reais de encadernação pois veio errado. // Bárbara: imprimido e arquivado 30/12/2020</v>
      </c>
      <c r="B1626" s="93"/>
    </row>
    <row r="1627">
      <c r="A1627" s="384" t="str">
        <f>IFERROR(__xludf.DUMMYFUNCTION("""COMPUTED_VALUE"""),"Graziele De Souza Carvalho | 2ª Licenciatura Pedagogia | Aprovada | Cris: PP aprovado")</f>
        <v>Graziele De Souza Carvalho | 2ª Licenciatura Pedagogia | Aprovada | Cris: PP aprovado</v>
      </c>
      <c r="B1627" s="93"/>
    </row>
    <row r="1628">
      <c r="A1628" s="384" t="str">
        <f>IFERROR(__xludf.DUMMYFUNCTION("""COMPUTED_VALUE"""),"Grazielli Ferreira Diniz De Oliveira | Ciências Biológicas | aprovada | Aline Silva: aprovada com autorização da Ana, pois fez todas as horas no ensino médio.// Recebido dia 11/02/2020")</f>
        <v>Grazielli Ferreira Diniz De Oliveira | Ciências Biológicas | aprovada | Aline Silva: aprovada com autorização da Ana, pois fez todas as horas no ensino médio.// Recebido dia 11/02/2020</v>
      </c>
      <c r="B1628" s="93"/>
    </row>
    <row r="1629">
      <c r="A1629" s="384" t="str">
        <f>IFERROR(__xludf.DUMMYFUNCTION("""COMPUTED_VALUE"""),"Greiccy Kelly Gomes Da Silva | Pedagogia | Aprovado | Alexsiane: pp aprovado")</f>
        <v>Greiccy Kelly Gomes Da Silva | Pedagogia | Aprovado | Alexsiane: pp aprovado</v>
      </c>
      <c r="B1629" s="93"/>
    </row>
    <row r="1630">
      <c r="A1630" s="384" t="str">
        <f>IFERROR(__xludf.DUMMYFUNCTION("""COMPUTED_VALUE"""),"Greici Mariana Pinheiro Alves | Psicopedagogia Clínica,Institucional E Hospitalar | Em análise  | Alexsiane: enviar novamente todos os documentos pois estão ilegíveis, falta queixa do professir, Relatório de ações,        Sugestão de estrátegias de interv"&amp;"enção,Síntese de conclusão do caso e avaliação pedagogica e Referência 
")</f>
        <v>Greici Mariana Pinheiro Alves | Psicopedagogia Clínica,Institucional E Hospitalar | Em análise  | Alexsiane: enviar novamente todos os documentos pois estão ilegíveis, falta queixa do professir, Relatório de ações,        Sugestão de estrátegias de intervenção,Síntese de conclusão do caso e avaliação pedagogica e Referência 
</v>
      </c>
      <c r="B1630" s="93"/>
    </row>
    <row r="1631">
      <c r="A1631" s="384" t="str">
        <f>IFERROR(__xludf.DUMMYFUNCTION("""COMPUTED_VALUE"""),"Greyce De Sousa Brito | Artes Visuais | Pré aprovada | Alexsiane:corrigir a carga horaria diariab que esta dando 6 horas e ela colocou 01:30,corrigir casuras e dias que estão iguais até dia 28/11 para reenvia //Júnio: pre aprovada: 31/05/23")</f>
        <v>Greyce De Sousa Brito | Artes Visuais | Pré aprovada | Alexsiane:corrigir a carga horaria diariab que esta dando 6 horas e ela colocou 01:30,corrigir casuras e dias que estão iguais até dia 28/11 para reenvia //Júnio: pre aprovada: 31/05/23</v>
      </c>
      <c r="B1631" s="93"/>
    </row>
    <row r="1632">
      <c r="A1632" s="384" t="str">
        <f>IFERROR(__xludf.DUMMYFUNCTION("""COMPUTED_VALUE"""),"Grisiele Silverio Costa | Artes Visuais | Aprovada | Pamela: deve colocar o plano de aula e fichas de registros nosso modelo e também fazer o preenchimento correto. Falta as demais etapas.  //Júnio: aprovada: 25/07/23")</f>
        <v>Grisiele Silverio Costa | Artes Visuais | Aprovada | Pamela: deve colocar o plano de aula e fichas de registros nosso modelo e também fazer o preenchimento correto. Falta as demais etapas.  //Júnio: aprovada: 25/07/23</v>
      </c>
      <c r="B1632" s="93"/>
    </row>
    <row r="1633">
      <c r="A1633" s="384" t="str">
        <f>IFERROR(__xludf.DUMMYFUNCTION("""COMPUTED_VALUE"""),"Gueber Cristina Chagas Macário | Artes Visuais | Aprovada | Barbara: aluna aprovada nas 3 primeiras do remoto, e apresentou declaração de experiência válida")</f>
        <v>Gueber Cristina Chagas Macário | Artes Visuais | Aprovada | Barbara: aluna aprovada nas 3 primeiras do remoto, e apresentou declaração de experiência válida</v>
      </c>
      <c r="B1633" s="93"/>
    </row>
    <row r="1634">
      <c r="A1634" s="384" t="str">
        <f>IFERROR(__xludf.DUMMYFUNCTION("""COMPUTED_VALUE"""),"Guilherme Alves Barbosa | Letras Libras | Aprovado | Júnio: pré aprovado //Júnio: aprovado 05/05/23")</f>
        <v>Guilherme Alves Barbosa | Letras Libras | Aprovado | Júnio: pré aprovado //Júnio: aprovado 05/05/23</v>
      </c>
      <c r="B1634" s="93"/>
    </row>
    <row r="1635">
      <c r="A1635" s="384" t="str">
        <f>IFERROR(__xludf.DUMMYFUNCTION("""COMPUTED_VALUE"""),"Guilherme Dionísio Filho | Letras Português | Aprovado | Bárbara: aprovado no estágio remoto, com declaração de experiência aceita com autorização da Aline. Não foi possível realizar correções de formatação, visto que mandou docuemnto não editavel. // Bár"&amp;"bara: imprimido e arquivado 30/12/2020")</f>
        <v>Guilherme Dionísio Filho | Letras Português | Aprovado | Bárbara: aprovado no estágio remoto, com declaração de experiência aceita com autorização da Aline. Não foi possível realizar correções de formatação, visto que mandou docuemnto não editavel. // Bárbara: imprimido e arquivado 30/12/2020</v>
      </c>
      <c r="B1635" s="93"/>
    </row>
    <row r="1636">
      <c r="A1636" s="384" t="str">
        <f>IFERROR(__xludf.DUMMYFUNCTION("""COMPUTED_VALUE"""),"Guilherme Dionísio Filho | Neuropsicopedagogia Cli Inst Hosp | Aprovado  | Bárbara: aprovado TCE remoto ")</f>
        <v>Guilherme Dionísio Filho | Neuropsicopedagogia Cli Inst Hosp | Aprovado  | Bárbara: aprovado TCE remoto </v>
      </c>
      <c r="B1636" s="93"/>
    </row>
    <row r="1637">
      <c r="A1637" s="384" t="str">
        <f>IFERROR(__xludf.DUMMYFUNCTION("""COMPUTED_VALUE"""),"Guilherme Ferreira De Paula Moura | Pedagogia | Em análise | Bárbara: documentação da 4ª etapa apenas, pedi para realizar as 3 primeiras, fazer relat´[orio da 4ª etapa e completar cabeçalho das fichas com tipo de acompanhamento e turma.")</f>
        <v>Guilherme Ferreira De Paula Moura | Pedagogia | Em análise | Bárbara: documentação da 4ª etapa apenas, pedi para realizar as 3 primeiras, fazer relat´[orio da 4ª etapa e completar cabeçalho das fichas com tipo de acompanhamento e turma.</v>
      </c>
      <c r="B1637" s="93"/>
    </row>
    <row r="1638">
      <c r="A1638" s="384" t="str">
        <f>IFERROR(__xludf.DUMMYFUNCTION("""COMPUTED_VALUE"""),"Guilherme Henrique Silva | Educação Física | Aprovado | Lucas: Fazer mais um plano de aula, etapas 1, 2 e 4. Formatar o trabalho de acordo co o modelo padrão e complementar o restante. (estágio remoto antigo)")</f>
        <v>Guilherme Henrique Silva | Educação Física | Aprovado | Lucas: Fazer mais um plano de aula, etapas 1, 2 e 4. Formatar o trabalho de acordo co o modelo padrão e complementar o restante. (estágio remoto antigo)</v>
      </c>
      <c r="B1638" s="93"/>
    </row>
    <row r="1639">
      <c r="A1639" s="384" t="str">
        <f>IFERROR(__xludf.DUMMYFUNCTION("""COMPUTED_VALUE"""),"Guilherme Lopes | Formação Pedagógica em Educação Física | Aprovado | Rayssa: pp aprovado")</f>
        <v>Guilherme Lopes | Formação Pedagógica em Educação Física | Aprovado | Rayssa: pp aprovado</v>
      </c>
      <c r="B1639" s="93"/>
    </row>
    <row r="1640">
      <c r="A1640" s="384" t="str">
        <f>IFERROR(__xludf.DUMMYFUNCTION("""COMPUTED_VALUE"""),"Guilherme Lorencini | Pedagogia | Aprovado | Bianca e Bárbara: falta horas na gestão, não apresentou horas de regência, nem de observação. Parte teórica ok. Bianca: aprovado:20/05/21")</f>
        <v>Guilherme Lorencini | Pedagogia | Aprovado | Bianca e Bárbara: falta horas na gestão, não apresentou horas de regência, nem de observação. Parte teórica ok. Bianca: aprovado:20/05/21</v>
      </c>
      <c r="B1640" s="93"/>
    </row>
    <row r="1641">
      <c r="A1641" s="384" t="str">
        <f>IFERROR(__xludf.DUMMYFUNCTION("""COMPUTED_VALUE"""),"Guilherme Martinez Freire | Educação Física | Em análise | Alexsiane: PP, falta a etapa 2")</f>
        <v>Guilherme Martinez Freire | Educação Física | Em análise | Alexsiane: PP, falta a etapa 2</v>
      </c>
      <c r="B1641" s="93"/>
    </row>
    <row r="1642">
      <c r="A1642" s="384" t="str">
        <f>IFERROR(__xludf.DUMMYFUNCTION("""COMPUTED_VALUE"""),"Guilherme Neiva Aranha | Pedagogia | Aprovado | Junio: etapa 1,2, e 3 ok remoto antigo // Lucas: Declaração de experiência aprovada, portanto aprovado no estagio remoto antigo e anexado ao Sponte.")</f>
        <v>Guilherme Neiva Aranha | Pedagogia | Aprovado | Junio: etapa 1,2, e 3 ok remoto antigo // Lucas: Declaração de experiência aprovada, portanto aprovado no estagio remoto antigo e anexado ao Sponte.</v>
      </c>
      <c r="B1642" s="93"/>
    </row>
    <row r="1643">
      <c r="A1643" s="384" t="str">
        <f>IFERROR(__xludf.DUMMYFUNCTION("""COMPUTED_VALUE"""),"Guiomar Aparecida Dos Santos Souza | Artes Visuais | Aprovada | Bianca: Aprovada nas 3 etapas, fantando etapa 4. //Bianca: aprovada 08/07/2021")</f>
        <v>Guiomar Aparecida Dos Santos Souza | Artes Visuais | Aprovada | Bianca: Aprovada nas 3 etapas, fantando etapa 4. //Bianca: aprovada 08/07/2021</v>
      </c>
      <c r="B1643" s="93"/>
    </row>
    <row r="1644">
      <c r="A1644" s="384" t="str">
        <f>IFERROR(__xludf.DUMMYFUNCTION("""COMPUTED_VALUE"""),"Gustavo Da Fonseca | Educação Física | Aprovada | Bianca: Aprovado nas 3 1° etapas do remoto antigo// Bárbara: apresentou a aula online 17/09 aprovado ")</f>
        <v>Gustavo Da Fonseca | Educação Física | Aprovada | Bianca: Aprovado nas 3 1° etapas do remoto antigo// Bárbara: apresentou a aula online 17/09 aprovado </v>
      </c>
      <c r="B1644" s="93"/>
    </row>
    <row r="1645">
      <c r="A1645" s="384" t="str">
        <f>IFERROR(__xludf.DUMMYFUNCTION("""COMPUTED_VALUE"""),"Gustavo Pereira Da Costa | Pedagogia | Aprovado | Júnio: remoto antigo - 10% plágio //Júnio: aprovado: 12/08/22")</f>
        <v>Gustavo Pereira Da Costa | Pedagogia | Aprovado | Júnio: remoto antigo - 10% plágio //Júnio: aprovado: 12/08/22</v>
      </c>
      <c r="B1645" s="93"/>
    </row>
    <row r="1646">
      <c r="A1646" s="384" t="str">
        <f>IFERROR(__xludf.DUMMYFUNCTION("""COMPUTED_VALUE"""),"Gustavo Tadeu Campos | História | Aprovado | Bárbara: aprovado etapas 1, 2 e 3, aguardando 4ª etapa // Bárbara: aprovado 4ª etapa 27/10/2020// Bárbara: conferido e arquivado 19/11/2020// Bárbara: impresso e conferido 25/11/2020")</f>
        <v>Gustavo Tadeu Campos | História | Aprovado | Bárbara: aprovado etapas 1, 2 e 3, aguardando 4ª etapa // Bárbara: aprovado 4ª etapa 27/10/2020// Bárbara: conferido e arquivado 19/11/2020// Bárbara: impresso e conferido 25/11/2020</v>
      </c>
      <c r="B1646" s="93"/>
    </row>
    <row r="1647">
      <c r="A1647" s="384" t="str">
        <f>IFERROR(__xludf.DUMMYFUNCTION("""COMPUTED_VALUE"""),"Hailton Brito Da Silva | Matemática | Aprovado | Júnio: PP - etapas: OK Inicio: 04/08/2023 Reenviar: 04/02/2024 ///Júnio: pagou apressamento - aprovado 06/10/23")</f>
        <v>Hailton Brito Da Silva | Matemática | Aprovado | Júnio: PP - etapas: OK Inicio: 04/08/2023 Reenviar: 04/02/2024 ///Júnio: pagou apressamento - aprovado 06/10/23</v>
      </c>
      <c r="B1647" s="93"/>
    </row>
    <row r="1648">
      <c r="A1648" s="384" t="str">
        <f>IFERROR(__xludf.DUMMYFUNCTION("""COMPUTED_VALUE"""),"Hálesi De Carvalho Gomes | Pedagogia | Aprovado | Alexsiane: pp aprovado")</f>
        <v>Hálesi De Carvalho Gomes | Pedagogia | Aprovado | Alexsiane: pp aprovado</v>
      </c>
      <c r="B1648" s="93"/>
    </row>
    <row r="1649">
      <c r="A1649" s="384" t="str">
        <f>IFERROR(__xludf.DUMMYFUNCTION("""COMPUTED_VALUE"""),"Handerson Batista De Castro | Segunda Licenciatura Em Música | Aprovado | Rayssa PP Aprovada")</f>
        <v>Handerson Batista De Castro | Segunda Licenciatura Em Música | Aprovado | Rayssa PP Aprovada</v>
      </c>
      <c r="B1649" s="93"/>
    </row>
    <row r="1650">
      <c r="A1650" s="384" t="str">
        <f>IFERROR(__xludf.DUMMYFUNCTION("""COMPUTED_VALUE"""),"Hanri De Oliveira Pinheiro | Música | Em análise | Júnio: PP - falta a carta de apresentação")</f>
        <v>Hanri De Oliveira Pinheiro | Música | Em análise | Júnio: PP - falta a carta de apresentação</v>
      </c>
      <c r="B1650" s="93"/>
    </row>
    <row r="1651">
      <c r="A1651" s="384" t="str">
        <f>IFERROR(__xludf.DUMMYFUNCTION("""COMPUTED_VALUE"""),"Harrison Erezi Mendonça | Educação Física | Aprovado | Bianca: aprovado nas 4 etapas do remoto antigo //Júnio: conferido e arquivado: 28/01/22")</f>
        <v>Harrison Erezi Mendonça | Educação Física | Aprovado | Bianca: aprovado nas 4 etapas do remoto antigo //Júnio: conferido e arquivado: 28/01/22</v>
      </c>
      <c r="B1651" s="93"/>
    </row>
    <row r="1652">
      <c r="A1652" s="384" t="str">
        <f>IFERROR(__xludf.DUMMYFUNCTION("""COMPUTED_VALUE"""),"Hassan Pereira Jall | Ed Física | Aprovado  | Bárbara: Falta etapas 1 e 2, carta de apresentação e termo de conclusão.  Fichas ok, só especificar a turma e o acompanhamento. Declração de experiência para isenção da 3ª etapa, ok. // Bianca: aprovado em 22/"&amp;"10  //Júnio: conferido e arquivado: 28/01/22")</f>
        <v>Hassan Pereira Jall | Ed Física | Aprovado  | Bárbara: Falta etapas 1 e 2, carta de apresentação e termo de conclusão.  Fichas ok, só especificar a turma e o acompanhamento. Declração de experiência para isenção da 3ª etapa, ok. // Bianca: aprovado em 22/10  //Júnio: conferido e arquivado: 28/01/22</v>
      </c>
      <c r="B1652" s="93"/>
    </row>
    <row r="1653">
      <c r="A1653" s="384" t="str">
        <f>IFERROR(__xludf.DUMMYFUNCTION("""COMPUTED_VALUE"""),"Hebert Luan Lopes Da Silva | Artes Visuais | Aprovado | Júnio: pré aprovado //Júnio: aprovado 07/07//23")</f>
        <v>Hebert Luan Lopes Da Silva | Artes Visuais | Aprovado | Júnio: pré aprovado //Júnio: aprovado 07/07//23</v>
      </c>
      <c r="B1653" s="93"/>
    </row>
    <row r="1654">
      <c r="A1654" s="384" t="str">
        <f>IFERROR(__xludf.DUMMYFUNCTION("""COMPUTED_VALUE"""),"Heder Garcia Martines | Educação Física | Aprovado | Alexsiane: pp aprovado")</f>
        <v>Heder Garcia Martines | Educação Física | Aprovado | Alexsiane: pp aprovado</v>
      </c>
      <c r="B1654" s="93"/>
    </row>
    <row r="1655">
      <c r="A1655" s="384" t="str">
        <f>IFERROR(__xludf.DUMMYFUNCTION("""COMPUTED_VALUE"""),"Helani Tavares Guimarães Da Silva | Pedagogia | Aprovada | Bianca: autorizada a recolher assinaturas //Júnio: Conferido e arquivado: 05/11/2021")</f>
        <v>Helani Tavares Guimarães Da Silva | Pedagogia | Aprovada | Bianca: autorizada a recolher assinaturas //Júnio: Conferido e arquivado: 05/11/2021</v>
      </c>
      <c r="B1655" s="93"/>
    </row>
    <row r="1656">
      <c r="A1656" s="384" t="str">
        <f>IFERROR(__xludf.DUMMYFUNCTION("""COMPUTED_VALUE"""),"Helber Cassu Gomes | História | Aprovado | Declaração de experiência válida //Júnio: aprovado: 14/07/23")</f>
        <v>Helber Cassu Gomes | História | Aprovado | Declaração de experiência válida //Júnio: aprovado: 14/07/23</v>
      </c>
      <c r="B1656" s="93"/>
    </row>
    <row r="1657">
      <c r="A1657" s="384" t="str">
        <f>IFERROR(__xludf.DUMMYFUNCTION("""COMPUTED_VALUE"""),"Helciene Abigail De Andrade Machado | Pedagogia | Aprovada | Lucas: Recolher assinaturas das fichas de registro, assinar termo de conclusão //Júnio: aprovada: 03/06/22 //Júnio: físico, conferido e arquivado: 28/06/22")</f>
        <v>Helciene Abigail De Andrade Machado | Pedagogia | Aprovada | Lucas: Recolher assinaturas das fichas de registro, assinar termo de conclusão //Júnio: aprovada: 03/06/22 //Júnio: físico, conferido e arquivado: 28/06/22</v>
      </c>
      <c r="B1657" s="93"/>
    </row>
    <row r="1658">
      <c r="A1658" s="384" t="str">
        <f>IFERROR(__xludf.DUMMYFUNCTION("""COMPUTED_VALUE"""),"Helder Bezerra Dos Santos | Formação Pedagógica Em Música | Aprovada | Cris: fazer a entrevista em forma de pergunta e resposta//Alexiane: pp aprovado ")</f>
        <v>Helder Bezerra Dos Santos | Formação Pedagógica Em Música | Aprovada | Cris: fazer a entrevista em forma de pergunta e resposta//Alexiane: pp aprovado </v>
      </c>
      <c r="B1658" s="93"/>
    </row>
    <row r="1659">
      <c r="A1659" s="384" t="str">
        <f>IFERROR(__xludf.DUMMYFUNCTION("""COMPUTED_VALUE"""),"Helen Dalva Lima De Brito | Pedagogia | Aprovada  | Lucas: Aprovada nas 3 primeiras etapas do remoto antigo // Bárbara: aprovada na aula online 09/03/2022")</f>
        <v>Helen Dalva Lima De Brito | Pedagogia | Aprovada  | Lucas: Aprovada nas 3 primeiras etapas do remoto antigo // Bárbara: aprovada na aula online 09/03/2022</v>
      </c>
      <c r="B1659" s="93"/>
    </row>
    <row r="1660">
      <c r="A1660" s="384" t="str">
        <f>IFERROR(__xludf.DUMMYFUNCTION("""COMPUTED_VALUE"""),"Helena Da Silva Machado | Neuropsicopedagogia Hospitalar | Aprovada | Júnio: nas fichas de registro precisa especificar de forma diária o tema e corrigir rasuras. ////Júnio: aprovada: 25/10/23")</f>
        <v>Helena Da Silva Machado | Neuropsicopedagogia Hospitalar | Aprovada | Júnio: nas fichas de registro precisa especificar de forma diária o tema e corrigir rasuras. ////Júnio: aprovada: 25/10/23</v>
      </c>
      <c r="B1660" s="93"/>
    </row>
    <row r="1661">
      <c r="A1661" s="384" t="str">
        <f>IFERROR(__xludf.DUMMYFUNCTION("""COMPUTED_VALUE"""),"Helena De Oliveira Andrade | Pedagogia | Aprovada | Alexsiane: pp ok inicio 10/02/24 reenvio 10/08/24 6 meses//alexsiane pp aprovado")</f>
        <v>Helena De Oliveira Andrade | Pedagogia | Aprovada | Alexsiane: pp ok inicio 10/02/24 reenvio 10/08/24 6 meses//alexsiane pp aprovado</v>
      </c>
      <c r="B1661" s="93"/>
    </row>
    <row r="1662">
      <c r="A1662" s="384" t="str">
        <f>IFERROR(__xludf.DUMMYFUNCTION("""COMPUTED_VALUE"""),"Helenice Ferreira Santos Faria | Neuropsicopedagogia Clínica E Hospitalar | Aprovada | Júnio: aprovada no estágio remoto")</f>
        <v>Helenice Ferreira Santos Faria | Neuropsicopedagogia Clínica E Hospitalar | Aprovada | Júnio: aprovada no estágio remoto</v>
      </c>
      <c r="B1662" s="93"/>
    </row>
    <row r="1663">
      <c r="A1663" s="384" t="str">
        <f>IFERROR(__xludf.DUMMYFUNCTION("""COMPUTED_VALUE"""),"Hélio Lúcio Da Silva | Pedagogia | Aprovado | Júnio: enviar o plano de aula digitado, especificar nas fichas o tipo de acompanhamento e série, 98% de semelhança nas etapas dissertativas com o estágio de educação física //Júnio: aprovado: 30/08/23")</f>
        <v>Hélio Lúcio Da Silva | Pedagogia | Aprovado | Júnio: enviar o plano de aula digitado, especificar nas fichas o tipo de acompanhamento e série, 98% de semelhança nas etapas dissertativas com o estágio de educação física //Júnio: aprovado: 30/08/23</v>
      </c>
      <c r="B1663" s="93"/>
    </row>
    <row r="1664">
      <c r="A1664" s="384" t="str">
        <f>IFERROR(__xludf.DUMMYFUNCTION("""COMPUTED_VALUE"""),"Hélio Lúcio Da Silva | Educação Física | Aprovado | Júnio: falta o plano de aula, especificar nas fichas o tipo de acompanhamento e série, complementar com mais 20 horas. Lançamento dos dias 12/04 e 13/04 não serão válidos  pois lançou esses dias no estág"&amp;"io de pedagogia e com isso ultrapassa mais de 6 horas. 98% de similaridade nas etapas dissertativas com o estágio de pedagogia. //Júnio: aprovado: 30/08/23")</f>
        <v>Hélio Lúcio Da Silva | Educação Física | Aprovado | Júnio: falta o plano de aula, especificar nas fichas o tipo de acompanhamento e série, complementar com mais 20 horas. Lançamento dos dias 12/04 e 13/04 não serão válidos  pois lançou esses dias no estágio de pedagogia e com isso ultrapassa mais de 6 horas. 98% de similaridade nas etapas dissertativas com o estágio de pedagogia. //Júnio: aprovado: 30/08/23</v>
      </c>
      <c r="B1664" s="93"/>
    </row>
    <row r="1665">
      <c r="A1665" s="384" t="str">
        <f>IFERROR(__xludf.DUMMYFUNCTION("""COMPUTED_VALUE"""),"Helioana Oliveira Correa | Pedagogia | Aprovada | Bianca: aprovada nas 3 1° etapas do remoto antigo //Júnio: aprovada na aula 15/03/22")</f>
        <v>Helioana Oliveira Correa | Pedagogia | Aprovada | Bianca: aprovada nas 3 1° etapas do remoto antigo //Júnio: aprovada na aula 15/03/22</v>
      </c>
      <c r="B1665" s="93"/>
    </row>
    <row r="1666">
      <c r="A1666" s="384" t="str">
        <f>IFERROR(__xludf.DUMMYFUNCTION("""COMPUTED_VALUE"""),"Helison Salles Silva | Letras-Português | Aprovado | Pâmela: declaração de experiência aceita.// Lucas: Conferido e arquivado dia 01/03/2023")</f>
        <v>Helison Salles Silva | Letras-Português | Aprovado | Pâmela: declaração de experiência aceita.// Lucas: Conferido e arquivado dia 01/03/2023</v>
      </c>
      <c r="B1666" s="93"/>
    </row>
    <row r="1667">
      <c r="A1667" s="384" t="str">
        <f>IFERROR(__xludf.DUMMYFUNCTION("""COMPUTED_VALUE"""),"Helisson Dos Santos Pinheiro | Pedagogia | Aprovado | Bárbara: remoto atualizado, fichas preenchidas incompletas, falta TC, restante ok// Alexsiane: pré aprovado com lançamento no sponte //Júnio: 11/10/22: físico recebido no entanto a maioria das fichas c"&amp;"om assinaturas vieram impressas //Júnio: 28/10/22: físico com assinaturas originais recebidas e arquivadas")</f>
        <v>Helisson Dos Santos Pinheiro | Pedagogia | Aprovado | Bárbara: remoto atualizado, fichas preenchidas incompletas, falta TC, restante ok// Alexsiane: pré aprovado com lançamento no sponte //Júnio: 11/10/22: físico recebido no entanto a maioria das fichas com assinaturas vieram impressas //Júnio: 28/10/22: físico com assinaturas originais recebidas e arquivadas</v>
      </c>
      <c r="B1667" s="93"/>
    </row>
    <row r="1668">
      <c r="A1668" s="384" t="str">
        <f>IFERROR(__xludf.DUMMYFUNCTION("""COMPUTED_VALUE"""),"Heloisa De Fatima Carvalho Moraes | Educação Física | Aprovada | Alexsiane: pré aprovado com lançamento no Jacad// Pamela 03/02/2023")</f>
        <v>Heloisa De Fatima Carvalho Moraes | Educação Física | Aprovada | Alexsiane: pré aprovado com lançamento no Jacad// Pamela 03/02/2023</v>
      </c>
      <c r="B1668" s="93"/>
    </row>
    <row r="1669">
      <c r="A1669" s="384" t="str">
        <f>IFERROR(__xludf.DUMMYFUNCTION("""COMPUTED_VALUE"""),"Heloisa Woelke Dos Reis | Geografia | Aprovada | Júnio: PP - falta a entrevista //Júnio: aprovada: 21/12/23")</f>
        <v>Heloisa Woelke Dos Reis | Geografia | Aprovada | Júnio: PP - falta a entrevista //Júnio: aprovada: 21/12/23</v>
      </c>
      <c r="B1669" s="93"/>
    </row>
    <row r="1670">
      <c r="A1670" s="384" t="str">
        <f>IFERROR(__xludf.DUMMYFUNCTION("""COMPUTED_VALUE"""),"Heloiza Gomes De Lima Santos | Neuropsicopedagogia Institucional. Clínica E Hospitalar | Aprovada | Júnio: pre aprovada //Júnio: físico conferido e arquivado: 20/10/22")</f>
        <v>Heloiza Gomes De Lima Santos | Neuropsicopedagogia Institucional. Clínica E Hospitalar | Aprovada | Júnio: pre aprovada //Júnio: físico conferido e arquivado: 20/10/22</v>
      </c>
      <c r="B1670" s="93"/>
    </row>
    <row r="1671">
      <c r="A1671" s="384" t="str">
        <f>IFERROR(__xludf.DUMMYFUNCTION("""COMPUTED_VALUE"""),"Helton Hermes De Oliveira | História | Aprovado | Júnio: PP - falta a carta e entrevista// Alexsiane: pp aprovado 05/03")</f>
        <v>Helton Hermes De Oliveira | História | Aprovado | Júnio: PP - falta a carta e entrevista// Alexsiane: pp aprovado 05/03</v>
      </c>
      <c r="B1671" s="93"/>
    </row>
    <row r="1672">
      <c r="A1672" s="384" t="str">
        <f>IFERROR(__xludf.DUMMYFUNCTION("""COMPUTED_VALUE"""),"Helvecio Torres Lage Filho | Letras Português Inglês | Aprovado | ")</f>
        <v>Helvecio Torres Lage Filho | Letras Português Inglês | Aprovado | </v>
      </c>
      <c r="B1672" s="93"/>
    </row>
    <row r="1673">
      <c r="A1673" s="384" t="str">
        <f>IFERROR(__xludf.DUMMYFUNCTION("""COMPUTED_VALUE"""),"Hemerson Mendes Vieira | Letras Port/Ing | Em análise | Foi combinado com a Lorraine que o aluno cursaria o equivalente de horas.")</f>
        <v>Hemerson Mendes Vieira | Letras Port/Ing | Em análise | Foi combinado com a Lorraine que o aluno cursaria o equivalente de horas.</v>
      </c>
      <c r="B1673" s="93"/>
    </row>
    <row r="1674">
      <c r="A1674" s="384" t="str">
        <f>IFERROR(__xludf.DUMMYFUNCTION("""COMPUTED_VALUE"""),"Hendie Tavares Teixeira | Pedagogia | Aprovada | Edilaine: Etapa 1,2,3 ok, falta a 4 etapa do remoto antigo. Tem até 12/12/2022 para reenviar // Pamela 04/01/23 pago taxa de encadernação")</f>
        <v>Hendie Tavares Teixeira | Pedagogia | Aprovada | Edilaine: Etapa 1,2,3 ok, falta a 4 etapa do remoto antigo. Tem até 12/12/2022 para reenviar // Pamela 04/01/23 pago taxa de encadernação</v>
      </c>
      <c r="B1674" s="93"/>
    </row>
    <row r="1675">
      <c r="A1675" s="384" t="str">
        <f>IFERROR(__xludf.DUMMYFUNCTION("""COMPUTED_VALUE"""),"Henrique Cabral Pereira | Neuropsicopedagogia Institucional,Clínica E Hospitalar | Aprovado | Júnio: declaração de experiência válida para isenção de 50 hs //Júnio: aprovado")</f>
        <v>Henrique Cabral Pereira | Neuropsicopedagogia Institucional,Clínica E Hospitalar | Aprovado | Júnio: declaração de experiência válida para isenção de 50 hs //Júnio: aprovado</v>
      </c>
      <c r="B1675" s="93"/>
    </row>
    <row r="1676">
      <c r="A1676" s="384" t="str">
        <f>IFERROR(__xludf.DUMMYFUNCTION("""COMPUTED_VALUE"""),"Henrique Cabral Pereira | Neuropsicologia Clínica | Aprovado | Júnio: declaração de experiência válida para isenção de 20 hs //Júnio: aprovado")</f>
        <v>Henrique Cabral Pereira | Neuropsicologia Clínica | Aprovado | Júnio: declaração de experiência válida para isenção de 20 hs //Júnio: aprovado</v>
      </c>
      <c r="B1676" s="93"/>
    </row>
    <row r="1677">
      <c r="A1677" s="384" t="str">
        <f>IFERROR(__xludf.DUMMYFUNCTION("""COMPUTED_VALUE"""),"Henrique Cássio Cândido Cunha | Pedagogia | Aprovado | Júnio: pelo guru declaração de experiência válida //Júnio: PP aprovado 12/09/23")</f>
        <v>Henrique Cássio Cândido Cunha | Pedagogia | Aprovado | Júnio: pelo guru declaração de experiência válida //Júnio: PP aprovado 12/09/23</v>
      </c>
      <c r="B1677" s="93"/>
    </row>
    <row r="1678">
      <c r="A1678" s="384" t="str">
        <f>IFERROR(__xludf.DUMMYFUNCTION("""COMPUTED_VALUE"""),"Henrique Cássio Cândido Cunha | Educação Especial | Aprovado | Júnio: PP - etapas: OK Inicio: 25/09/2023 Enviar: 22/03/24 //Júnio- pagou apressamento - aprovado 16/10/23")</f>
        <v>Henrique Cássio Cândido Cunha | Educação Especial | Aprovado | Júnio: PP - etapas: OK Inicio: 25/09/2023 Enviar: 22/03/24 //Júnio- pagou apressamento - aprovado 16/10/23</v>
      </c>
      <c r="B1678" s="93"/>
    </row>
    <row r="1679">
      <c r="A1679" s="384" t="str">
        <f>IFERROR(__xludf.DUMMYFUNCTION("""COMPUTED_VALUE"""),"Henrique Ezequiel Da Silva | Pedagogia | Aprovado | Júnio: PP aprovado")</f>
        <v>Henrique Ezequiel Da Silva | Pedagogia | Aprovado | Júnio: PP aprovado</v>
      </c>
      <c r="B1679" s="93"/>
    </row>
    <row r="1680">
      <c r="A1680" s="384" t="str">
        <f>IFERROR(__xludf.DUMMYFUNCTION("""COMPUTED_VALUE"""),"Henrique Ezequiel Da Silva | Música | Aprovado | Júnio: PP aprovado")</f>
        <v>Henrique Ezequiel Da Silva | Música | Aprovado | Júnio: PP aprovado</v>
      </c>
      <c r="B1680" s="93"/>
    </row>
    <row r="1681">
      <c r="A1681" s="384" t="str">
        <f>IFERROR(__xludf.DUMMYFUNCTION("""COMPUTED_VALUE"""),"Henrique Souza Pereira | 2ª Licenciatura Música | Aprovada | Cris: refazer a entrevista com perguntas e respostas em Word// Alexsiane: Cristiane aprovou o aluno pelo protocolo de número 6474 dia 24/05/24")</f>
        <v>Henrique Souza Pereira | 2ª Licenciatura Música | Aprovada | Cris: refazer a entrevista com perguntas e respostas em Word// Alexsiane: Cristiane aprovou o aluno pelo protocolo de número 6474 dia 24/05/24</v>
      </c>
      <c r="B1681" s="93"/>
    </row>
    <row r="1682">
      <c r="A1682" s="384" t="str">
        <f>IFERROR(__xludf.DUMMYFUNCTION("""COMPUTED_VALUE"""),"Herádio Clóvis Modesto Coelho | Letras Port | Aprovado | Bianca: Elaborou apenas 7 planos, etapas 1 e 2 ok, falta etapa 4 // Lucas: Aprovado no estagio, autortizado a enviar fisico 15/02/2022 //Júnio: conferido e arquivado: 24/02/22")</f>
        <v>Herádio Clóvis Modesto Coelho | Letras Port | Aprovado | Bianca: Elaborou apenas 7 planos, etapas 1 e 2 ok, falta etapa 4 // Lucas: Aprovado no estagio, autortizado a enviar fisico 15/02/2022 //Júnio: conferido e arquivado: 24/02/22</v>
      </c>
      <c r="B1682" s="93"/>
    </row>
    <row r="1683">
      <c r="A1683" s="384" t="str">
        <f>IFERROR(__xludf.DUMMYFUNCTION("""COMPUTED_VALUE"""),"Herbert Câmara Nick | Matemática | Aprovado | Thiara: Aprovado. Entregue pessoalmente no Instituto dia 26/06/2019.")</f>
        <v>Herbert Câmara Nick | Matemática | Aprovado | Thiara: Aprovado. Entregue pessoalmente no Instituto dia 26/06/2019.</v>
      </c>
      <c r="B1683" s="93"/>
    </row>
    <row r="1684">
      <c r="A1684" s="384" t="str">
        <f>IFERROR(__xludf.DUMMYFUNCTION("""COMPUTED_VALUE"""),"Herbert Luan Lopes Da Silva | Artes Visuais | Aprovado | Júnio: pelo guru declaração de experiencia válida //Júnio: aprovado: 07/07/23")</f>
        <v>Herbert Luan Lopes Da Silva | Artes Visuais | Aprovado | Júnio: pelo guru declaração de experiencia válida //Júnio: aprovado: 07/07/23</v>
      </c>
      <c r="B1684" s="93"/>
    </row>
    <row r="1685">
      <c r="A1685" s="384" t="str">
        <f>IFERROR(__xludf.DUMMYFUNCTION("""COMPUTED_VALUE"""),"Hercules Vicente Ferreira | Filosofia | Aprovado  | Bianca: aprovado nas 3 etapas do remoto antigo// Bárbara: aprovado na 4ª etapa 02/02/2022")</f>
        <v>Hercules Vicente Ferreira | Filosofia | Aprovado  | Bianca: aprovado nas 3 etapas do remoto antigo// Bárbara: aprovado na 4ª etapa 02/02/2022</v>
      </c>
      <c r="B1685" s="93"/>
    </row>
    <row r="1686">
      <c r="A1686" s="384" t="str">
        <f>IFERROR(__xludf.DUMMYFUNCTION("""COMPUTED_VALUE"""),"Hércules Vicente Ferreira | Matemática | Aprovado | Bianca: aprovada nas 4 etapas do remoto atualizado")</f>
        <v>Hércules Vicente Ferreira | Matemática | Aprovado | Bianca: aprovada nas 4 etapas do remoto atualizado</v>
      </c>
      <c r="B1686" s="93"/>
    </row>
    <row r="1687">
      <c r="A1687" s="384" t="str">
        <f>IFERROR(__xludf.DUMMYFUNCTION("""COMPUTED_VALUE"""),"Hércules Vicente Ferreira | Pedagogia | Aprovado | Ana Flávia: aprovado nas etapas 1,2 e 3, aguarando a última // Bárbara: imprimido e arquivado 29/12/2020// Bárbara: aprovado na 4ª etapa aprovado 07/01/2021// Bárbara: imprimido e arquivado 24/02/2021")</f>
        <v>Hércules Vicente Ferreira | Pedagogia | Aprovado | Ana Flávia: aprovado nas etapas 1,2 e 3, aguarando a última // Bárbara: imprimido e arquivado 29/12/2020// Bárbara: aprovado na 4ª etapa aprovado 07/01/2021// Bárbara: imprimido e arquivado 24/02/2021</v>
      </c>
      <c r="B1687" s="93"/>
    </row>
    <row r="1688">
      <c r="A1688" s="384" t="str">
        <f>IFERROR(__xludf.DUMMYFUNCTION("""COMPUTED_VALUE"""),"Hermenegilda Rodrigues Filha Freitas | Pedagogia | Aprovada | Bianca: autorizada a recolher assinaturas //Bianca: aprovada: 17/06/2021 //Júnio: conferido e arquivado: 30/06/2021")</f>
        <v>Hermenegilda Rodrigues Filha Freitas | Pedagogia | Aprovada | Bianca: autorizada a recolher assinaturas //Bianca: aprovada: 17/06/2021 //Júnio: conferido e arquivado: 30/06/2021</v>
      </c>
      <c r="B1688" s="93"/>
    </row>
    <row r="1689">
      <c r="A1689" s="384" t="str">
        <f>IFERROR(__xludf.DUMMYFUNCTION("""COMPUTED_VALUE"""),"Hiago Ruhmke Da Costa | Formação Pedagógica Em Ciências Da Religião | Aprovado | Rayssa pp aprovado")</f>
        <v>Hiago Ruhmke Da Costa | Formação Pedagógica Em Ciências Da Religião | Aprovado | Rayssa pp aprovado</v>
      </c>
      <c r="B1689" s="93"/>
    </row>
    <row r="1690">
      <c r="A1690" s="384" t="str">
        <f>IFERROR(__xludf.DUMMYFUNCTION("""COMPUTED_VALUE"""),"Hildeberto De Andrade Braga | Sociologia | Aprovado | Bianca: plágio 19% //Bianca: aprovado: 01/07/21")</f>
        <v>Hildeberto De Andrade Braga | Sociologia | Aprovado | Bianca: plágio 19% //Bianca: aprovado: 01/07/21</v>
      </c>
      <c r="B1690" s="93"/>
    </row>
    <row r="1691">
      <c r="A1691" s="384" t="str">
        <f>IFERROR(__xludf.DUMMYFUNCTION("""COMPUTED_VALUE"""),"Hildeci De Souza Dantas | Letras Português | Aprovado | Aline Silva: fez os 30 planos de aula corretamente, aguardar envio em maio para correção formal e lançamento de aprovação.// aprovado dia 08/05/2020// Bárbara: Conferido e arquivado 15/09/2020")</f>
        <v>Hildeci De Souza Dantas | Letras Português | Aprovado | Aline Silva: fez os 30 planos de aula corretamente, aguardar envio em maio para correção formal e lançamento de aprovação.// aprovado dia 08/05/2020// Bárbara: Conferido e arquivado 15/09/2020</v>
      </c>
      <c r="B1691" s="93"/>
    </row>
    <row r="1692">
      <c r="A1692" s="384" t="str">
        <f>IFERROR(__xludf.DUMMYFUNCTION("""COMPUTED_VALUE"""),"Hildegard Angel Angelim Pereira | Pedagogia | Aprovado | Edilaine: Tem que fazer o perigo da história única, restante está ok.//Alexsiane: aprovada com lançamento no Jacad(remoto antigo)")</f>
        <v>Hildegard Angel Angelim Pereira | Pedagogia | Aprovado | Edilaine: Tem que fazer o perigo da história única, restante está ok.//Alexsiane: aprovada com lançamento no Jacad(remoto antigo)</v>
      </c>
      <c r="B1692" s="93"/>
    </row>
    <row r="1693">
      <c r="A1693" s="384" t="str">
        <f>IFERROR(__xludf.DUMMYFUNCTION("""COMPUTED_VALUE"""),"Hilka Cristiane Pereira Macieira | Pedagogia | Aprovada | Júnio: TCE - faltam todas as etapas dissertativas. //Júnio: aprovada: 08/12/23")</f>
        <v>Hilka Cristiane Pereira Macieira | Pedagogia | Aprovada | Júnio: TCE - faltam todas as etapas dissertativas. //Júnio: aprovada: 08/12/23</v>
      </c>
      <c r="B1693" s="93"/>
    </row>
    <row r="1694">
      <c r="A1694" s="384" t="str">
        <f>IFERROR(__xludf.DUMMYFUNCTION("""COMPUTED_VALUE"""),"Hipólito Silva Cruz | 2ª Licenciatura Em Pedagogia | Aprovado | Cris: PP aprovado")</f>
        <v>Hipólito Silva Cruz | 2ª Licenciatura Em Pedagogia | Aprovado | Cris: PP aprovado</v>
      </c>
      <c r="B1694" s="93"/>
    </row>
    <row r="1695">
      <c r="A1695" s="384" t="str">
        <f>IFERROR(__xludf.DUMMYFUNCTION("""COMPUTED_VALUE"""),"Hítalo Diego De Morais Gomes | Música | Aprovado | Júnio: especificar na fichas o tema e turma //Júnio: pre aprovado: 22/06/23 //Júnio: aprovado: 03/07/23")</f>
        <v>Hítalo Diego De Morais Gomes | Música | Aprovado | Júnio: especificar na fichas o tema e turma //Júnio: pre aprovado: 22/06/23 //Júnio: aprovado: 03/07/23</v>
      </c>
      <c r="B1695" s="93"/>
    </row>
    <row r="1696">
      <c r="A1696" s="384" t="str">
        <f>IFERROR(__xludf.DUMMYFUNCTION("""COMPUTED_VALUE"""),"Homero Lourenço Gomes | Pedagogia | aprovado | Aline Silva: aprovado.// Bárbara: Conferido e arquivado 15/09/2020")</f>
        <v>Homero Lourenço Gomes | Pedagogia | aprovado | Aline Silva: aprovado.// Bárbara: Conferido e arquivado 15/09/2020</v>
      </c>
      <c r="B1696" s="93"/>
    </row>
    <row r="1697">
      <c r="A1697" s="384" t="str">
        <f>IFERROR(__xludf.DUMMYFUNCTION("""COMPUTED_VALUE"""),"Hulda Cunha Da Silva | Pedagogia | Aprovada | Edilaine: Enviou o nosso modelo padrão e não o TCE. //Júnio: aprovada: 26/04/23")</f>
        <v>Hulda Cunha Da Silva | Pedagogia | Aprovada | Edilaine: Enviou o nosso modelo padrão e não o TCE. //Júnio: aprovada: 26/04/23</v>
      </c>
      <c r="B1697" s="93"/>
    </row>
    <row r="1698">
      <c r="A1698" s="384" t="str">
        <f>IFERROR(__xludf.DUMMYFUNCTION("""COMPUTED_VALUE"""),"Hulda Cunha Da Silva | Psicopedagogia Inst. E Clinica | Aprovada | Júnio: pré aprovada //Júnio: aprovada: 19/07/23")</f>
        <v>Hulda Cunha Da Silva | Psicopedagogia Inst. E Clinica | Aprovada | Júnio: pré aprovada //Júnio: aprovada: 19/07/23</v>
      </c>
      <c r="B1698" s="93"/>
    </row>
    <row r="1699">
      <c r="A1699" s="384" t="str">
        <f>IFERROR(__xludf.DUMMYFUNCTION("""COMPUTED_VALUE"""),"Humberto Aparecido Santos | Pedagogia | Aprovado | Thiara: Aprovado /// Enviou documentação sem encadernar, pagou a taxa./ Encadernado no Instituto dia 23/08/2019.")</f>
        <v>Humberto Aparecido Santos | Pedagogia | Aprovado | Thiara: Aprovado /// Enviou documentação sem encadernar, pagou a taxa./ Encadernado no Instituto dia 23/08/2019.</v>
      </c>
      <c r="B1699" s="93"/>
    </row>
    <row r="1700">
      <c r="A1700" s="384" t="str">
        <f>IFERROR(__xludf.DUMMYFUNCTION("""COMPUTED_VALUE"""),"Iandra Ribeiro Trindade | Neuropsicopedagogia Institucional,Clínica E Hospitalar | Aprovado | Alexsiane: abreviar o nome do paciente e especificar nas fichas o tipo de acompanhamento.// Alexsiane: Pré aprovado com lançamento no sponte// Pamela 02/02/23 Co"&amp;"nferido e arquivado. ")</f>
        <v>Iandra Ribeiro Trindade | Neuropsicopedagogia Institucional,Clínica E Hospitalar | Aprovado | Alexsiane: abreviar o nome do paciente e especificar nas fichas o tipo de acompanhamento.// Alexsiane: Pré aprovado com lançamento no sponte// Pamela 02/02/23 Conferido e arquivado. </v>
      </c>
      <c r="B1700" s="93"/>
    </row>
    <row r="1701">
      <c r="A1701" s="384" t="str">
        <f>IFERROR(__xludf.DUMMYFUNCTION("""COMPUTED_VALUE"""),"Iane Aparecida De Resende | Educação Física | Aprovada | Aline Silva: apresentou apenas parte dissertativa.// Bianca: aprovada 20/05/2021 // Bárbara: conferido e arquivado 28/05/2021")</f>
        <v>Iane Aparecida De Resende | Educação Física | Aprovada | Aline Silva: apresentou apenas parte dissertativa.// Bianca: aprovada 20/05/2021 // Bárbara: conferido e arquivado 28/05/2021</v>
      </c>
      <c r="B1701" s="93"/>
    </row>
    <row r="1702">
      <c r="A1702" s="384" t="str">
        <f>IFERROR(__xludf.DUMMYFUNCTION("""COMPUTED_VALUE"""),"Iane Caroline Carvalho | Artes Visuais | Em análise | Estella: mandei e-mail pedindo correção das ref. mas voltou /// Aprovado dia 30/07/2019.")</f>
        <v>Iane Caroline Carvalho | Artes Visuais | Em análise | Estella: mandei e-mail pedindo correção das ref. mas voltou /// Aprovado dia 30/07/2019.</v>
      </c>
      <c r="B1702" s="93"/>
    </row>
    <row r="1703">
      <c r="A1703" s="384" t="str">
        <f>IFERROR(__xludf.DUMMYFUNCTION("""COMPUTED_VALUE"""),"Iane Caroline Carvalho | Pedagogia | Aprovada | Júnio: aprovada no remoto antigo")</f>
        <v>Iane Caroline Carvalho | Pedagogia | Aprovada | Júnio: aprovada no remoto antigo</v>
      </c>
      <c r="B1703" s="93"/>
    </row>
    <row r="1704">
      <c r="A1704" s="384" t="str">
        <f>IFERROR(__xludf.DUMMYFUNCTION("""COMPUTED_VALUE"""),"Iara Da Silva Lourenço Machado | Pedagogia | Em análise | Bianca: aprovada nas 3 primeiras etapas do Remoto Antigo")</f>
        <v>Iara Da Silva Lourenço Machado | Pedagogia | Em análise | Bianca: aprovada nas 3 primeiras etapas do Remoto Antigo</v>
      </c>
      <c r="B1704" s="93"/>
    </row>
    <row r="1705">
      <c r="A1705" s="384" t="str">
        <f>IFERROR(__xludf.DUMMYFUNCTION("""COMPUTED_VALUE"""),"Iara Jane Maria Silva Da Paixão | Pedagogia | Aprovada | Alexsiane: falta 4° etapa do remoto atualizado.//Júnio: autorizado a fazer o envio físico.// Pamela 01/02/23 Conferido e arquivado")</f>
        <v>Iara Jane Maria Silva Da Paixão | Pedagogia | Aprovada | Alexsiane: falta 4° etapa do remoto atualizado.//Júnio: autorizado a fazer o envio físico.// Pamela 01/02/23 Conferido e arquivado</v>
      </c>
      <c r="B1705" s="93"/>
    </row>
    <row r="1706">
      <c r="A1706" s="384" t="str">
        <f>IFERROR(__xludf.DUMMYFUNCTION("""COMPUTED_VALUE"""),"Iara Maísa Do Nascimento Adão | Pedagogia | Aprovado | Aline Silva: falta carta de apresentação, termo de conclusão, termo de compromisso, plano de aula, atividade executada, e recolher assinaturas // Aprovada dia 13/03/2020// Recebido dia 19/03/2020")</f>
        <v>Iara Maísa Do Nascimento Adão | Pedagogia | Aprovado | Aline Silva: falta carta de apresentação, termo de conclusão, termo de compromisso, plano de aula, atividade executada, e recolher assinaturas // Aprovada dia 13/03/2020// Recebido dia 19/03/2020</v>
      </c>
      <c r="B1706" s="93"/>
    </row>
    <row r="1707">
      <c r="A1707" s="384" t="str">
        <f>IFERROR(__xludf.DUMMYFUNCTION("""COMPUTED_VALUE"""),"Iara Pereira Da Costa | Artes Visuais | Aprovada | Alexsiane: aprovado com lançamento no Sponte")</f>
        <v>Iara Pereira Da Costa | Artes Visuais | Aprovada | Alexsiane: aprovado com lançamento no Sponte</v>
      </c>
      <c r="B1707" s="93"/>
    </row>
    <row r="1708">
      <c r="A1708" s="384" t="str">
        <f>IFERROR(__xludf.DUMMYFUNCTION("""COMPUTED_VALUE"""),"Iberê Coelho Dos Santos | Pedagogia | Aprovado | Bianca: plágio, desformatação, falta capa, contra capa, introdução, sumário, considerações finais// Alexsiane; aprovado com lançamento no sponte 26/08/2022")</f>
        <v>Iberê Coelho Dos Santos | Pedagogia | Aprovado | Bianca: plágio, desformatação, falta capa, contra capa, introdução, sumário, considerações finais// Alexsiane; aprovado com lançamento no sponte 26/08/2022</v>
      </c>
      <c r="B1708" s="93"/>
    </row>
    <row r="1709">
      <c r="A1709" s="384" t="str">
        <f>IFERROR(__xludf.DUMMYFUNCTION("""COMPUTED_VALUE"""),"Idailson Viana Balieiro | Pedagogia | Em análise | Júnio: ficha de registro ilegivel, deve lançar toda a carga horaria exigida PRAZO: 14/05/23")</f>
        <v>Idailson Viana Balieiro | Pedagogia | Em análise | Júnio: ficha de registro ilegivel, deve lançar toda a carga horaria exigida PRAZO: 14/05/23</v>
      </c>
      <c r="B1709" s="93"/>
    </row>
    <row r="1710">
      <c r="A1710" s="384" t="str">
        <f>IFERROR(__xludf.DUMMYFUNCTION("""COMPUTED_VALUE"""),"Igo Fernando Da Silva Viana | Pedagogia | Aprovado | Bianca: aprovado nas 4 etapas do remoto atualizado //Júnio: conferido e arquivado: 04/03/2022")</f>
        <v>Igo Fernando Da Silva Viana | Pedagogia | Aprovado | Bianca: aprovado nas 4 etapas do remoto atualizado //Júnio: conferido e arquivado: 04/03/2022</v>
      </c>
      <c r="B1710" s="93"/>
    </row>
    <row r="1711">
      <c r="A1711" s="384" t="str">
        <f>IFERROR(__xludf.DUMMYFUNCTION("""COMPUTED_VALUE"""),"Igor Barbosa Marques | Letras Espanhol | Aprovado | Júnio: aprovado no remoto antigo")</f>
        <v>Igor Barbosa Marques | Letras Espanhol | Aprovado | Júnio: aprovado no remoto antigo</v>
      </c>
      <c r="B1711" s="93"/>
    </row>
    <row r="1712">
      <c r="A1712" s="384" t="str">
        <f>IFERROR(__xludf.DUMMYFUNCTION("""COMPUTED_VALUE"""),"Igor Costa Jaconi | Matemática | Aprovada | Alexsiane; pp aprovado")</f>
        <v>Igor Costa Jaconi | Matemática | Aprovada | Alexsiane; pp aprovado</v>
      </c>
      <c r="B1712" s="93"/>
    </row>
    <row r="1713">
      <c r="A1713" s="384" t="str">
        <f>IFERROR(__xludf.DUMMYFUNCTION("""COMPUTED_VALUE"""),"Igor Ferrari De Oliveira | Letras - Portugues Ingles | Aprovado | Bianca: aprovado nas 3 etapas do remoto atualizado")</f>
        <v>Igor Ferrari De Oliveira | Letras - Portugues Ingles | Aprovado | Bianca: aprovado nas 3 etapas do remoto atualizado</v>
      </c>
      <c r="B1713" s="93"/>
    </row>
    <row r="1714">
      <c r="A1714" s="384" t="str">
        <f>IFERROR(__xludf.DUMMYFUNCTION("""COMPUTED_VALUE"""),"Igor Gonzaga Lelis | Pedagogia | Aprovada | Alexsiane: PP aprovado")</f>
        <v>Igor Gonzaga Lelis | Pedagogia | Aprovada | Alexsiane: PP aprovado</v>
      </c>
      <c r="B1714" s="93"/>
    </row>
    <row r="1715">
      <c r="A1715" s="384" t="str">
        <f>IFERROR(__xludf.DUMMYFUNCTION("""COMPUTED_VALUE"""),"Igor Jean Ferreira | Matemática | Aprovadp | Bianca: aprovado nas 3 1° etapas do remoto antigo //Júnio: aprovado na aula 12/01/22 //Júnio:conferido e arquivado: 21/01/22")</f>
        <v>Igor Jean Ferreira | Matemática | Aprovadp | Bianca: aprovado nas 3 1° etapas do remoto antigo //Júnio: aprovado na aula 12/01/22 //Júnio:conferido e arquivado: 21/01/22</v>
      </c>
      <c r="B1715" s="93"/>
    </row>
    <row r="1716">
      <c r="A1716" s="384" t="str">
        <f>IFERROR(__xludf.DUMMYFUNCTION("""COMPUTED_VALUE"""),"Igor Tavares Farias Costa | Geografia | Aprovado | Júnio: PP - 24% plágio //Júnio: aprovado 19/12/2023")</f>
        <v>Igor Tavares Farias Costa | Geografia | Aprovado | Júnio: PP - 24% plágio //Júnio: aprovado 19/12/2023</v>
      </c>
      <c r="B1716" s="93"/>
    </row>
    <row r="1717">
      <c r="A1717" s="384" t="str">
        <f>IFERROR(__xludf.DUMMYFUNCTION("""COMPUTED_VALUE"""),"Ilana Ferraz Barbosa Dos Santos | Letras Port Ingles | Aprovada | Bárbara: apresentou declração de experiência válida para isenção da 4ª etapa do estágio remot antigo ")</f>
        <v>Ilana Ferraz Barbosa Dos Santos | Letras Port Ingles | Aprovada | Bárbara: apresentou declração de experiência válida para isenção da 4ª etapa do estágio remot antigo </v>
      </c>
      <c r="B1717" s="93"/>
    </row>
    <row r="1718">
      <c r="A1718" s="384" t="str">
        <f>IFERROR(__xludf.DUMMYFUNCTION("""COMPUTED_VALUE"""),"Ildebrando Correa L. Filho | Ed Física | Aprovado | Amélia: aprovado nas 3 primeiras etapas do remto, e foi dispensado da quarta por ser deficiente auditivo")</f>
        <v>Ildebrando Correa L. Filho | Ed Física | Aprovado | Amélia: aprovado nas 3 primeiras etapas do remto, e foi dispensado da quarta por ser deficiente auditivo</v>
      </c>
      <c r="B1718" s="93"/>
    </row>
    <row r="1719">
      <c r="A1719" s="384" t="str">
        <f>IFERROR(__xludf.DUMMYFUNCTION("""COMPUTED_VALUE"""),"Ildete Santana Teixeira | Pedagogia | Aprovada  | Bianca: aprovada nas 3 1° etapas do remoto antigo// Bárbara: aprovada 06/04/2022 //Júnio:conferido e arquivado: 22/04/22")</f>
        <v>Ildete Santana Teixeira | Pedagogia | Aprovada  | Bianca: aprovada nas 3 1° etapas do remoto antigo// Bárbara: aprovada 06/04/2022 //Júnio:conferido e arquivado: 22/04/22</v>
      </c>
      <c r="B1719" s="93"/>
    </row>
    <row r="1720">
      <c r="A1720" s="384" t="str">
        <f>IFERROR(__xludf.DUMMYFUNCTION("""COMPUTED_VALUE"""),"Ildo Marcos De Souza | Matemática | Aprovado | Júnio: descrever corretamente a 2ª etapa// Bárbara: aprovado 22/06/22")</f>
        <v>Ildo Marcos De Souza | Matemática | Aprovado | Júnio: descrever corretamente a 2ª etapa// Bárbara: aprovado 22/06/22</v>
      </c>
      <c r="B1720" s="93"/>
    </row>
    <row r="1721">
      <c r="A1721" s="384" t="str">
        <f>IFERROR(__xludf.DUMMYFUNCTION("""COMPUTED_VALUE"""),"Ilma Adriana Ferreira Lima | Neuropsicopedagogia Institucional,Clínica E Hospitalar | Aprovada | Alexsiane; etapa 1,2ok, fdalta 19 planos de aula da 3° etapa, falta 4° etpa do remoto antigo até dia 12/09 para reemviar// Alexsiane: Pré aprovado com lançame"&amp;"nto no sponte // Pâmela 21/11/2022 Conferido e arquivado. ")</f>
        <v>Ilma Adriana Ferreira Lima | Neuropsicopedagogia Institucional,Clínica E Hospitalar | Aprovada | Alexsiane; etapa 1,2ok, fdalta 19 planos de aula da 3° etapa, falta 4° etpa do remoto antigo até dia 12/09 para reemviar// Alexsiane: Pré aprovado com lançamento no sponte // Pâmela 21/11/2022 Conferido e arquivado. </v>
      </c>
      <c r="B1721" s="93"/>
    </row>
    <row r="1722">
      <c r="A1722" s="384" t="str">
        <f>IFERROR(__xludf.DUMMYFUNCTION("""COMPUTED_VALUE"""),"Iná Leite Duarte | Música | Aprovada | Júnio: PP- falta a etapa 2 //Júnio: aprovada: 27/11/23")</f>
        <v>Iná Leite Duarte | Música | Aprovada | Júnio: PP- falta a etapa 2 //Júnio: aprovada: 27/11/23</v>
      </c>
      <c r="B1722" s="93"/>
    </row>
    <row r="1723">
      <c r="A1723" s="384" t="str">
        <f>IFERROR(__xludf.DUMMYFUNCTION("""COMPUTED_VALUE"""),"Inaiara Calderaro Foresto | Letras Português Inglês | Aprovada | Júnio: PP - complementar a etapa I com mais páginas, enviar a entrevista na integra em forma de perguntas e respostas e falta a carta de apresentação. //Júnio: 20/11/2023")</f>
        <v>Inaiara Calderaro Foresto | Letras Português Inglês | Aprovada | Júnio: PP - complementar a etapa I com mais páginas, enviar a entrevista na integra em forma de perguntas e respostas e falta a carta de apresentação. //Júnio: 20/11/2023</v>
      </c>
      <c r="B1723" s="93"/>
    </row>
    <row r="1724">
      <c r="A1724" s="384" t="str">
        <f>IFERROR(__xludf.DUMMYFUNCTION("""COMPUTED_VALUE"""),"Inaiara Calderaro Foresto | Artes Visuais | Aprovada | Júnio: PP - 98% similaridade com o outro curso.")</f>
        <v>Inaiara Calderaro Foresto | Artes Visuais | Aprovada | Júnio: PP - 98% similaridade com o outro curso.</v>
      </c>
      <c r="B1724" s="93"/>
    </row>
    <row r="1725">
      <c r="A1725" s="384" t="str">
        <f>IFERROR(__xludf.DUMMYFUNCTION("""COMPUTED_VALUE"""),"Inaiara Calderaro Foresto | 2ª Licenciatura Em Artes Visuais | Aprovada | Cris: PP aprovado")</f>
        <v>Inaiara Calderaro Foresto | 2ª Licenciatura Em Artes Visuais | Aprovada | Cris: PP aprovado</v>
      </c>
      <c r="B1725" s="93"/>
    </row>
    <row r="1726">
      <c r="A1726" s="384" t="str">
        <f>IFERROR(__xludf.DUMMYFUNCTION("""COMPUTED_VALUE"""),"Inara Oliveira Nunes | Letras Português Inglês | Aprovada  | Bianca: aguardando etapa 1, 2 e 4. Enviou apenas declaração de experiência.// Bárbara: conferido e arquivado 19/10/2021")</f>
        <v>Inara Oliveira Nunes | Letras Português Inglês | Aprovada  | Bianca: aguardando etapa 1, 2 e 4. Enviou apenas declaração de experiência.// Bárbara: conferido e arquivado 19/10/2021</v>
      </c>
      <c r="B1726" s="93"/>
    </row>
    <row r="1727">
      <c r="A1727" s="384" t="str">
        <f>IFERROR(__xludf.DUMMYFUNCTION("""COMPUTED_VALUE"""),"Ingrid Louzeiro De Sousa Cruz | Neuropsicopedagogia Institucional,Clínica E Hospitalar | Em análise | Júnio: 9% plágio e especificar o tipo de acompanhamento")</f>
        <v>Ingrid Louzeiro De Sousa Cruz | Neuropsicopedagogia Institucional,Clínica E Hospitalar | Em análise | Júnio: 9% plágio e especificar o tipo de acompanhamento</v>
      </c>
      <c r="B1727" s="93"/>
    </row>
    <row r="1728">
      <c r="A1728" s="384" t="str">
        <f>IFERROR(__xludf.DUMMYFUNCTION("""COMPUTED_VALUE"""),"Ione Kelly Cordeiro De Amorim |  | Aprovado | Mandei enviar pelo correio")</f>
        <v>Ione Kelly Cordeiro De Amorim |  | Aprovado | Mandei enviar pelo correio</v>
      </c>
      <c r="B1728" s="93"/>
    </row>
    <row r="1729">
      <c r="A1729" s="384" t="str">
        <f>IFERROR(__xludf.DUMMYFUNCTION("""COMPUTED_VALUE"""),"Ioneide Maria Piffano Brion De Souza | Pedagogia | aprovada | Aline Silva: aprovada// Bárbara: Conferido e arquivado em 16/09/2020")</f>
        <v>Ioneide Maria Piffano Brion De Souza | Pedagogia | aprovada | Aline Silva: aprovada// Bárbara: Conferido e arquivado em 16/09/2020</v>
      </c>
      <c r="B1729" s="93"/>
    </row>
    <row r="1730">
      <c r="A1730" s="384" t="str">
        <f>IFERROR(__xludf.DUMMYFUNCTION("""COMPUTED_VALUE"""),"Iracilda De Jesus Tavares | Pedagogia | Aprovada | Júnio: PP- falta responder o questionário. //Júnio: aprovada 29/09/23")</f>
        <v>Iracilda De Jesus Tavares | Pedagogia | Aprovada | Júnio: PP- falta responder o questionário. //Júnio: aprovada 29/09/23</v>
      </c>
      <c r="B1730" s="93"/>
    </row>
    <row r="1731">
      <c r="A1731" s="384" t="str">
        <f>IFERROR(__xludf.DUMMYFUNCTION("""COMPUTED_VALUE"""),"Irady Ancelmo Da Silva | Artes Visuais | Aprovada | Bianca: autorizada a recolher assinatura //Bianca: aprovada: 22/07/21 //Júnio: conferido e arquivado: 03/08/2021")</f>
        <v>Irady Ancelmo Da Silva | Artes Visuais | Aprovada | Bianca: autorizada a recolher assinatura //Bianca: aprovada: 22/07/21 //Júnio: conferido e arquivado: 03/08/2021</v>
      </c>
      <c r="B1731" s="93"/>
    </row>
    <row r="1732">
      <c r="A1732" s="384" t="str">
        <f>IFERROR(__xludf.DUMMYFUNCTION("""COMPUTED_VALUE"""),"Iran Carlos Bezerra Do Nascimento | Pedagogia | Em análise | Bárbara: autorizado a recolher assinaturas na 4ª etapa, falta as 3 primeiras etapas + relatório da ultima")</f>
        <v>Iran Carlos Bezerra Do Nascimento | Pedagogia | Em análise | Bárbara: autorizado a recolher assinaturas na 4ª etapa, falta as 3 primeiras etapas + relatório da ultima</v>
      </c>
      <c r="B1732" s="93"/>
    </row>
    <row r="1733">
      <c r="A1733" s="384" t="str">
        <f>IFERROR(__xludf.DUMMYFUNCTION("""COMPUTED_VALUE"""),"Irani Siĺvestre De Souza | Pedagogia | Aprovada | Lucas: Falta Toda a aparte teorica, complementar ficha de registro e enviar a carta de apresentação. Declaração de experiência valida.  //Júnio: aprovada: 27/05/22 estágio padrão // Pâmela 28/12/2022  Conf"&amp;"erido e  arquivado. ")</f>
        <v>Irani Siĺvestre De Souza | Pedagogia | Aprovada | Lucas: Falta Toda a aparte teorica, complementar ficha de registro e enviar a carta de apresentação. Declaração de experiência valida.  //Júnio: aprovada: 27/05/22 estágio padrão // Pâmela 28/12/2022  Conferido e  arquivado. </v>
      </c>
      <c r="B1733" s="93"/>
    </row>
    <row r="1734">
      <c r="A1734" s="384" t="str">
        <f>IFERROR(__xludf.DUMMYFUNCTION("""COMPUTED_VALUE"""),"Irene Veloso Costa | Pedagogia | Em análise | Júnio: falta responder o questionário PRAZO: o mais rápido possível, nao dei 10 dias pois a plataforma vai ter ainda que migra-la para que ela possa responder NOVO PRAZO: 18/11/23")</f>
        <v>Irene Veloso Costa | Pedagogia | Em análise | Júnio: falta responder o questionário PRAZO: o mais rápido possível, nao dei 10 dias pois a plataforma vai ter ainda que migra-la para que ela possa responder NOVO PRAZO: 18/11/23</v>
      </c>
      <c r="B1734" s="93"/>
    </row>
    <row r="1735">
      <c r="A1735" s="384" t="str">
        <f>IFERROR(__xludf.DUMMYFUNCTION("""COMPUTED_VALUE"""),"Ires Nicodemos Ferreira | Artes Visuais | Aprovado | Alexsiane:  corrigir o dia 14/05/22 nas fichas de registro que ultrapassou 6 horas por dia./// Alexsiane:  Pré-aprovado com lançameto no sponte 19/12/2022")</f>
        <v>Ires Nicodemos Ferreira | Artes Visuais | Aprovado | Alexsiane:  corrigir o dia 14/05/22 nas fichas de registro que ultrapassou 6 horas por dia./// Alexsiane:  Pré-aprovado com lançameto no sponte 19/12/2022</v>
      </c>
      <c r="B1735" s="93"/>
    </row>
    <row r="1736">
      <c r="A1736" s="384" t="str">
        <f>IFERROR(__xludf.DUMMYFUNCTION("""COMPUTED_VALUE"""),"Iris de Azevedo Pereira | Segunda Licenciatura em Artes Visuais | Aprovado | Rayssa: pp aprovado")</f>
        <v>Iris de Azevedo Pereira | Segunda Licenciatura em Artes Visuais | Aprovado | Rayssa: pp aprovado</v>
      </c>
      <c r="B1736" s="93"/>
    </row>
    <row r="1737">
      <c r="A1737" s="384" t="str">
        <f>IFERROR(__xludf.DUMMYFUNCTION("""COMPUTED_VALUE"""),"Irislene Maria De Souza | Matemática | Aprovado | Thiara: veio pessoalmente entregar, analisei mas faltava as folhas originais do cronograma. Entregou as páginas originais.")</f>
        <v>Irislene Maria De Souza | Matemática | Aprovado | Thiara: veio pessoalmente entregar, analisei mas faltava as folhas originais do cronograma. Entregou as páginas originais.</v>
      </c>
      <c r="B1737" s="93"/>
    </row>
    <row r="1738">
      <c r="A1738" s="384" t="str">
        <f>IFERROR(__xludf.DUMMYFUNCTION("""COMPUTED_VALUE"""),"Isabel Cristina Amorim Correa | Pedagogia | Aprovado | Thiara: enviou somente a documentação. Falta parte escrita do relatório. /// Enviou relatório completo. Recebido no Instituto dia 10/09/2019.")</f>
        <v>Isabel Cristina Amorim Correa | Pedagogia | Aprovado | Thiara: enviou somente a documentação. Falta parte escrita do relatório. /// Enviou relatório completo. Recebido no Instituto dia 10/09/2019.</v>
      </c>
      <c r="B1738" s="93"/>
    </row>
    <row r="1739">
      <c r="A1739" s="384" t="str">
        <f>IFERROR(__xludf.DUMMYFUNCTION("""COMPUTED_VALUE"""),"Isabel Cristina De Paula Siqueira | Artes | aprovada | Bianca: autorizada a recolher assinatura //Bianca: aprovada: 29/04/21// Bárbara: conferido e arquivado 10/05/2021")</f>
        <v>Isabel Cristina De Paula Siqueira | Artes | aprovada | Bianca: autorizada a recolher assinatura //Bianca: aprovada: 29/04/21// Bárbara: conferido e arquivado 10/05/2021</v>
      </c>
      <c r="B1739" s="93"/>
    </row>
    <row r="1740">
      <c r="A1740" s="384" t="str">
        <f>IFERROR(__xludf.DUMMYFUNCTION("""COMPUTED_VALUE"""),"Isabel Cristina Ferreira | Artes Visuais | aprovada | Alexsiane: Etapa 1,2,3 ok, 4° etapa a declaração de experiência não foi aceita pois não especifica o cargo(professora) e o ano. 04/12 para reenviar// Alexsiane: declaração de experiência aceita 08/04 a"&amp;"provada")</f>
        <v>Isabel Cristina Ferreira | Artes Visuais | aprovada | Alexsiane: Etapa 1,2,3 ok, 4° etapa a declaração de experiência não foi aceita pois não especifica o cargo(professora) e o ano. 04/12 para reenviar// Alexsiane: declaração de experiência aceita 08/04 aprovada</v>
      </c>
      <c r="B1740" s="93"/>
    </row>
    <row r="1741">
      <c r="A1741" s="384" t="str">
        <f>IFERROR(__xludf.DUMMYFUNCTION("""COMPUTED_VALUE"""),"Isabel Cristina Lima Da Silva | Matemática | Aprovada | Bárbara: aprovada nas 3 primeiras etapas do remoto // Bárbara: aprovada na quarta etapa 19/02/2021")</f>
        <v>Isabel Cristina Lima Da Silva | Matemática | Aprovada | Bárbara: aprovada nas 3 primeiras etapas do remoto // Bárbara: aprovada na quarta etapa 19/02/2021</v>
      </c>
      <c r="B1741" s="93"/>
    </row>
    <row r="1742">
      <c r="A1742" s="384" t="str">
        <f>IFERROR(__xludf.DUMMYFUNCTION("""COMPUTED_VALUE"""),"Isabel Cristina Nunes Lacau Conte | Segunda Licenciatura Em Geografia | Em análise | Rayssa PP Falta etapa 2")</f>
        <v>Isabel Cristina Nunes Lacau Conte | Segunda Licenciatura Em Geografia | Em análise | Rayssa PP Falta etapa 2</v>
      </c>
      <c r="B1742" s="93"/>
    </row>
    <row r="1743">
      <c r="A1743" s="384" t="str">
        <f>IFERROR(__xludf.DUMMYFUNCTION("""COMPUTED_VALUE"""),"Isabel Cristina Silva Oliveira | Pedagogia | Aprovada | Júnio: PP - enviar as etapas dissertativas digitadas //Aprovada: 21/02/24")</f>
        <v>Isabel Cristina Silva Oliveira | Pedagogia | Aprovada | Júnio: PP - enviar as etapas dissertativas digitadas //Aprovada: 21/02/24</v>
      </c>
      <c r="B1743" s="93"/>
    </row>
    <row r="1744">
      <c r="A1744" s="384" t="str">
        <f>IFERROR(__xludf.DUMMYFUNCTION("""COMPUTED_VALUE"""),"Isabel Hortencia Garnica Perez Barros | Artes Visuais | Aprovada | Lucas: Aprovada no remoto antigo")</f>
        <v>Isabel Hortencia Garnica Perez Barros | Artes Visuais | Aprovada | Lucas: Aprovada no remoto antigo</v>
      </c>
      <c r="B1744" s="93"/>
    </row>
    <row r="1745">
      <c r="A1745" s="384" t="str">
        <f>IFERROR(__xludf.DUMMYFUNCTION("""COMPUTED_VALUE"""),"Isabel Maria Lopes | Pedagogia |  | ")</f>
        <v>Isabel Maria Lopes | Pedagogia |  | </v>
      </c>
      <c r="B1745" s="93"/>
    </row>
    <row r="1746">
      <c r="A1746" s="384" t="str">
        <f>IFERROR(__xludf.DUMMYFUNCTION("""COMPUTED_VALUE"""),"Isabel Zaparoli Rosa | Pedagogia | Em análise | Bianca: apresentou apenas a 3ª etapa do romoto antigo")</f>
        <v>Isabel Zaparoli Rosa | Pedagogia | Em análise | Bianca: apresentou apenas a 3ª etapa do romoto antigo</v>
      </c>
      <c r="B1746" s="93"/>
    </row>
    <row r="1747">
      <c r="A1747" s="384" t="str">
        <f>IFERROR(__xludf.DUMMYFUNCTION("""COMPUTED_VALUE"""),"Isabelle De Araújo Pires | Neuropsicopedagoogia Clínica, Institucional E Hospitalar | Aprovada | Júnio: Aprovada no estágio antigo e autorizada a enviar o físico //Júnio: conferida e arquivada: 08/03/22")</f>
        <v>Isabelle De Araújo Pires | Neuropsicopedagoogia Clínica, Institucional E Hospitalar | Aprovada | Júnio: Aprovada no estágio antigo e autorizada a enviar o físico //Júnio: conferida e arquivada: 08/03/22</v>
      </c>
      <c r="B1747" s="93"/>
    </row>
    <row r="1748">
      <c r="A1748" s="384" t="str">
        <f>IFERROR(__xludf.DUMMYFUNCTION("""COMPUTED_VALUE"""),"Isac Santos Mota | Pedagogia | Aprovado | Aline Silva: não apresentou documentação, fichas e horas faltando. // Recebido e aprovado dia 15/01/2020// Bárbara: Conferido e arquivado em 16/09/2020")</f>
        <v>Isac Santos Mota | Pedagogia | Aprovado | Aline Silva: não apresentou documentação, fichas e horas faltando. // Recebido e aprovado dia 15/01/2020// Bárbara: Conferido e arquivado em 16/09/2020</v>
      </c>
      <c r="B1748" s="93"/>
    </row>
    <row r="1749">
      <c r="A1749" s="384" t="str">
        <f>IFERROR(__xludf.DUMMYFUNCTION("""COMPUTED_VALUE"""),"Isadora De Lara | Letras - Português/ Inglês | Aprovada | Bianca: Enviou apenas etapas 1,2 e 3, pedi para reenviar o trabalho completo //Bianca: aprovada: 07/07/21 //Júnio: conferido e arquivado: 19/08/2021")</f>
        <v>Isadora De Lara | Letras - Português/ Inglês | Aprovada | Bianca: Enviou apenas etapas 1,2 e 3, pedi para reenviar o trabalho completo //Bianca: aprovada: 07/07/21 //Júnio: conferido e arquivado: 19/08/2021</v>
      </c>
      <c r="B1749" s="93"/>
    </row>
    <row r="1750">
      <c r="A1750" s="384" t="str">
        <f>IFERROR(__xludf.DUMMYFUNCTION("""COMPUTED_VALUE"""),"Isaelma Soares Silva | Psicopedagogia Institucional E Clínica | Aprovada | Alexsiane: 47,54% de plágio //Júnio: aprovada")</f>
        <v>Isaelma Soares Silva | Psicopedagogia Institucional E Clínica | Aprovada | Alexsiane: 47,54% de plágio //Júnio: aprovada</v>
      </c>
      <c r="B1750" s="93"/>
    </row>
    <row r="1751">
      <c r="A1751" s="384" t="str">
        <f>IFERROR(__xludf.DUMMYFUNCTION("""COMPUTED_VALUE"""),"Isaías Lima Dias | Letras – Português E Inglês | Aprovado | Alexsiane: pp aprovado")</f>
        <v>Isaías Lima Dias | Letras – Português E Inglês | Aprovado | Alexsiane: pp aprovado</v>
      </c>
      <c r="B1751" s="93"/>
    </row>
    <row r="1752">
      <c r="A1752" s="384" t="str">
        <f>IFERROR(__xludf.DUMMYFUNCTION("""COMPUTED_VALUE"""),"Isleidi De Sousa Costa | Matemática | Aprovada | Lucas: aprovada no remoto antigo")</f>
        <v>Isleidi De Sousa Costa | Matemática | Aprovada | Lucas: aprovada no remoto antigo</v>
      </c>
      <c r="B1752" s="93"/>
    </row>
    <row r="1753">
      <c r="A1753" s="384" t="str">
        <f>IFERROR(__xludf.DUMMYFUNCTION("""COMPUTED_VALUE"""),"Ismael Cortese | Segunda Licenciatura Em Música | Aprovado | Rayssa pp aprovado")</f>
        <v>Ismael Cortese | Segunda Licenciatura Em Música | Aprovado | Rayssa pp aprovado</v>
      </c>
      <c r="B1753" s="93"/>
    </row>
    <row r="1754">
      <c r="A1754" s="384" t="str">
        <f>IFERROR(__xludf.DUMMYFUNCTION("""COMPUTED_VALUE"""),"Ismael Lopes Gonçalves | Filosofia | Aprovado | Bárbara: apenas um plano de aula e etapa 1 imcompleta // Bianca: aprovado 01/03/2021// Bárbara: conferido e arquivado 22/03/2021")</f>
        <v>Ismael Lopes Gonçalves | Filosofia | Aprovado | Bárbara: apenas um plano de aula e etapa 1 imcompleta // Bianca: aprovado 01/03/2021// Bárbara: conferido e arquivado 22/03/2021</v>
      </c>
      <c r="B1754" s="93"/>
    </row>
    <row r="1755">
      <c r="A1755" s="384" t="str">
        <f>IFERROR(__xludf.DUMMYFUNCTION("""COMPUTED_VALUE"""),"Ismenia Rodrigues Silverio Mota | Letras Português Inglês | Aprovada | Júnio - PP - Etapas: ok  Inicio: 27/07/23 Reenviar: 27/01/24 //Aprovada: 30/01/24")</f>
        <v>Ismenia Rodrigues Silverio Mota | Letras Português Inglês | Aprovada | Júnio - PP - Etapas: ok  Inicio: 27/07/23 Reenviar: 27/01/24 //Aprovada: 30/01/24</v>
      </c>
      <c r="B1755" s="93"/>
    </row>
    <row r="1756">
      <c r="A1756" s="384" t="str">
        <f>IFERROR(__xludf.DUMMYFUNCTION("""COMPUTED_VALUE"""),"Isnaya Lícia Da Silva Martins Souza Pereira | Pedagogia | Aprovada  | Bianca: Aprovasa nas 3 1° etapas do remoto antigo- Bárbara: aprovada na 4ª etapa do estágio, aula online ")</f>
        <v>Isnaya Lícia Da Silva Martins Souza Pereira | Pedagogia | Aprovada  | Bianca: Aprovasa nas 3 1° etapas do remoto antigo- Bárbara: aprovada na 4ª etapa do estágio, aula online </v>
      </c>
      <c r="B1756" s="93"/>
    </row>
    <row r="1757">
      <c r="A1757" s="384" t="str">
        <f>IFERROR(__xludf.DUMMYFUNCTION("""COMPUTED_VALUE"""),"Israel Mascarenhas | Música | Aprovado | Júnio: PP etapas: OK Inicio: 06/03/23, reenviar 06/09/23 //Júnio: aprovado: 02/10/23")</f>
        <v>Israel Mascarenhas | Música | Aprovado | Júnio: PP etapas: OK Inicio: 06/03/23, reenviar 06/09/23 //Júnio: aprovado: 02/10/23</v>
      </c>
      <c r="B1757" s="93"/>
    </row>
    <row r="1758">
      <c r="A1758" s="384" t="str">
        <f>IFERROR(__xludf.DUMMYFUNCTION("""COMPUTED_VALUE"""),"Israel Quiroga Botelho | 2ª Licenciatura Em Geografia | Aprovado | Cris PP aprovado")</f>
        <v>Israel Quiroga Botelho | 2ª Licenciatura Em Geografia | Aprovado | Cris PP aprovado</v>
      </c>
      <c r="B1758" s="93"/>
    </row>
    <row r="1759">
      <c r="A1759" s="384" t="str">
        <f>IFERROR(__xludf.DUMMYFUNCTION("""COMPUTED_VALUE"""),"Israel Serafim Da Silva | Geografia | Em análise | Bianca: aprovado nas 4 etapas do remoto antigo")</f>
        <v>Israel Serafim Da Silva | Geografia | Em análise | Bianca: aprovado nas 4 etapas do remoto antigo</v>
      </c>
      <c r="B1759" s="93"/>
    </row>
    <row r="1760">
      <c r="A1760" s="384" t="str">
        <f>IFERROR(__xludf.DUMMYFUNCTION("""COMPUTED_VALUE"""),"Italo Cardoso De Lima | Formação Ped. Artes Visuais | Aprovado | Cris: PP aprovado")</f>
        <v>Italo Cardoso De Lima | Formação Ped. Artes Visuais | Aprovado | Cris: PP aprovado</v>
      </c>
      <c r="B1760" s="93"/>
    </row>
    <row r="1761">
      <c r="A1761" s="384" t="str">
        <f>IFERROR(__xludf.DUMMYFUNCTION("""COMPUTED_VALUE"""),"Iuri Sousa Do Ó | Pedagogia | Aprovado | Alexsiane: tem que complementar a primeira etapa e enviar a 2 etapa digitada.// Rayssa: pp aprovado 19/09/2024")</f>
        <v>Iuri Sousa Do Ó | Pedagogia | Aprovado | Alexsiane: tem que complementar a primeira etapa e enviar a 2 etapa digitada.// Rayssa: pp aprovado 19/09/2024</v>
      </c>
      <c r="B1761" s="93"/>
    </row>
    <row r="1762">
      <c r="A1762" s="384" t="str">
        <f>IFERROR(__xludf.DUMMYFUNCTION("""COMPUTED_VALUE"""),"Iury De Oliveira Amorim | Formação Pedagógica Letras - Português | Aprovado | Alexsiane: pp aprovado ( ALUNA DE TURMA RETROATIVA, APROVAÇÃO ENVIADA COM AUTORIZAÇÃO DA ANA LÚCIA) ")</f>
        <v>Iury De Oliveira Amorim | Formação Pedagógica Letras - Português | Aprovado | Alexsiane: pp aprovado ( ALUNA DE TURMA RETROATIVA, APROVAÇÃO ENVIADA COM AUTORIZAÇÃO DA ANA LÚCIA) </v>
      </c>
      <c r="B1762" s="93"/>
    </row>
    <row r="1763">
      <c r="A1763" s="384" t="str">
        <f>IFERROR(__xludf.DUMMYFUNCTION("""COMPUTED_VALUE"""),"Ivaí Cavalcante Da Silva | Educação Física | Aprovada  | Lucas: Pode recolher as assinaturas//Alexsiane; Aprovada com lançamento no Sponte")</f>
        <v>Ivaí Cavalcante Da Silva | Educação Física | Aprovada  | Lucas: Pode recolher as assinaturas//Alexsiane; Aprovada com lançamento no Sponte</v>
      </c>
      <c r="B1763" s="93"/>
    </row>
    <row r="1764">
      <c r="A1764" s="384" t="str">
        <f>IFERROR(__xludf.DUMMYFUNCTION("""COMPUTED_VALUE"""),"Ivaldo Gadelha de Lara  Filho | Segunda Licenciatura em Música | Aprovado | Rayssa: pp aprovado")</f>
        <v>Ivaldo Gadelha de Lara  Filho | Segunda Licenciatura em Música | Aprovado | Rayssa: pp aprovado</v>
      </c>
      <c r="B1764" s="93"/>
    </row>
    <row r="1765">
      <c r="A1765" s="384" t="str">
        <f>IFERROR(__xludf.DUMMYFUNCTION("""COMPUTED_VALUE"""),"Ivan Alan Soares | Música | Aprovado | Thiara: Aprovado. Recebido dia 09/05/2019.")</f>
        <v>Ivan Alan Soares | Música | Aprovado | Thiara: Aprovado. Recebido dia 09/05/2019.</v>
      </c>
      <c r="B1765" s="93"/>
    </row>
    <row r="1766">
      <c r="A1766" s="384" t="str">
        <f>IFERROR(__xludf.DUMMYFUNCTION("""COMPUTED_VALUE"""),"Ivan De Souza Dias | Ciências Socias | Aprovado | Ana Flávia: aprovado em todas as etapas // Bárbara: imprimido 08/01/2021// Bárbara: conferido e arquivado 28/01/2021")</f>
        <v>Ivan De Souza Dias | Ciências Socias | Aprovado | Ana Flávia: aprovado em todas as etapas // Bárbara: imprimido 08/01/2021// Bárbara: conferido e arquivado 28/01/2021</v>
      </c>
      <c r="B1766" s="93"/>
    </row>
    <row r="1767">
      <c r="A1767" s="384" t="str">
        <f>IFERROR(__xludf.DUMMYFUNCTION("""COMPUTED_VALUE"""),"Ivaneidh Cirilo Dos Santos | Artes Visuais | Em análise | Alexsiane: fez somente etapa 1 e 3 falta todo restante e 7% de plágio 30/01 reenviar")</f>
        <v>Ivaneidh Cirilo Dos Santos | Artes Visuais | Em análise | Alexsiane: fez somente etapa 1 e 3 falta todo restante e 7% de plágio 30/01 reenviar</v>
      </c>
      <c r="B1767" s="93"/>
    </row>
    <row r="1768">
      <c r="A1768" s="384" t="str">
        <f>IFERROR(__xludf.DUMMYFUNCTION("""COMPUTED_VALUE"""),"Ivanete De Souza Santos | Letras Português | Aprovada | Bárbara: apresentou declaração de experiência válida para isenção de 50% //Júnio: aprovada: 08/01/24")</f>
        <v>Ivanete De Souza Santos | Letras Português | Aprovada | Bárbara: apresentou declaração de experiência válida para isenção de 50% //Júnio: aprovada: 08/01/24</v>
      </c>
      <c r="B1768" s="93"/>
    </row>
    <row r="1769">
      <c r="A1769" s="384" t="str">
        <f>IFERROR(__xludf.DUMMYFUNCTION("""COMPUTED_VALUE"""),"Ivanete Monteiro Soares Pereira | Pedagogia | Aprovada | Júnio: remoto antigo 12% plágio, fazer planos de aulas// Júnio: aprovada  25/11/2021")</f>
        <v>Ivanete Monteiro Soares Pereira | Pedagogia | Aprovada | Júnio: remoto antigo 12% plágio, fazer planos de aulas// Júnio: aprovada  25/11/2021</v>
      </c>
      <c r="B1769" s="93"/>
    </row>
    <row r="1770">
      <c r="A1770" s="384" t="str">
        <f>IFERROR(__xludf.DUMMYFUNCTION("""COMPUTED_VALUE"""),"Ivani Mendes Soares Da Silva | 2ª Licenciatura Educação Especial | Em análise | Cris: refazer etapa 2 do PP: entrevista em forma de pergunta e resposta")</f>
        <v>Ivani Mendes Soares Da Silva | 2ª Licenciatura Educação Especial | Em análise | Cris: refazer etapa 2 do PP: entrevista em forma de pergunta e resposta</v>
      </c>
      <c r="B1770" s="93"/>
    </row>
    <row r="1771">
      <c r="A1771" s="384" t="str">
        <f>IFERROR(__xludf.DUMMYFUNCTION("""COMPUTED_VALUE"""),"Ivanice Silva De Arruda Rocha | História | Aprovada | Júnio: PP aprovada")</f>
        <v>Ivanice Silva De Arruda Rocha | História | Aprovada | Júnio: PP aprovada</v>
      </c>
      <c r="B1771" s="93"/>
    </row>
    <row r="1772">
      <c r="A1772" s="384" t="str">
        <f>IFERROR(__xludf.DUMMYFUNCTION("""COMPUTED_VALUE"""),"Ivanil Fernandes Da Silva | Pedagogia | Aprovada | Bárbara: etapas 1, 2 e 3 do remoto atualizado ok, na etapa 4 falta apenas descrever as fichas // Lucas aprovada em 22/02")</f>
        <v>Ivanil Fernandes Da Silva | Pedagogia | Aprovada | Bárbara: etapas 1, 2 e 3 do remoto atualizado ok, na etapa 4 falta apenas descrever as fichas // Lucas aprovada em 22/02</v>
      </c>
      <c r="B1772" s="93"/>
    </row>
    <row r="1773">
      <c r="A1773" s="384" t="str">
        <f>IFERROR(__xludf.DUMMYFUNCTION("""COMPUTED_VALUE"""),"Ivanilde Conceição Ferreira | Pedagogia Para Bacharéis | Em análise | Cris: faltam 4 etapas do estágio// pp aprovado")</f>
        <v>Ivanilde Conceição Ferreira | Pedagogia Para Bacharéis | Em análise | Cris: faltam 4 etapas do estágio// pp aprovado</v>
      </c>
      <c r="B1773" s="93"/>
    </row>
    <row r="1774">
      <c r="A1774" s="384" t="str">
        <f>IFERROR(__xludf.DUMMYFUNCTION("""COMPUTED_VALUE"""),"Ivanilde Helena Braga | Matemática | Aprovada | Bianca: aprovada nas 3 1° etapas do remoto antigo //Júnio: aprovada: 14/04/22")</f>
        <v>Ivanilde Helena Braga | Matemática | Aprovada | Bianca: aprovada nas 3 1° etapas do remoto antigo //Júnio: aprovada: 14/04/22</v>
      </c>
      <c r="B1774" s="93"/>
    </row>
    <row r="1775">
      <c r="A1775" s="384" t="str">
        <f>IFERROR(__xludf.DUMMYFUNCTION("""COMPUTED_VALUE"""),"Ivanilde Helena Braga | Segunda Licenciatura Em Educação Física | em análise | Alexsiane, 56% de plágio e esta faltando a entrevista")</f>
        <v>Ivanilde Helena Braga | Segunda Licenciatura Em Educação Física | em análise | Alexsiane, 56% de plágio e esta faltando a entrevista</v>
      </c>
      <c r="B1775" s="93"/>
    </row>
    <row r="1776">
      <c r="A1776" s="384" t="str">
        <f>IFERROR(__xludf.DUMMYFUNCTION("""COMPUTED_VALUE"""),"Ivanildo Batista Correia Junior | História | Aprovado | Júnio: PP etapas: ok Inicio: 24/08/23 Reenviar: 24/02/24 //Júnio: aprovado: 27/02/24")</f>
        <v>Ivanildo Batista Correia Junior | História | Aprovado | Júnio: PP etapas: ok Inicio: 24/08/23 Reenviar: 24/02/24 //Júnio: aprovado: 27/02/24</v>
      </c>
      <c r="B1776" s="93"/>
    </row>
    <row r="1777">
      <c r="A1777" s="384" t="str">
        <f>IFERROR(__xludf.DUMMYFUNCTION("""COMPUTED_VALUE"""),"Ivanúsia Palmeira De Melo F. Silva | Letras Português | Aprovada | Ana Flávia: trabalho errado// Amélia: aprovada 08/02/2021")</f>
        <v>Ivanúsia Palmeira De Melo F. Silva | Letras Português | Aprovada | Ana Flávia: trabalho errado// Amélia: aprovada 08/02/2021</v>
      </c>
      <c r="B1777" s="93"/>
    </row>
    <row r="1778">
      <c r="A1778" s="384" t="str">
        <f>IFERROR(__xludf.DUMMYFUNCTION("""COMPUTED_VALUE"""),"Ivete Alves Da Silva | Geografia | Aprovado | Alexsiane: falta carta de apresentação, etapa 1 ok e entrevista ok// Alexsiane: pp aprovado")</f>
        <v>Ivete Alves Da Silva | Geografia | Aprovado | Alexsiane: falta carta de apresentação, etapa 1 ok e entrevista ok// Alexsiane: pp aprovado</v>
      </c>
      <c r="B1778" s="93"/>
    </row>
    <row r="1779">
      <c r="A1779" s="384" t="str">
        <f>IFERROR(__xludf.DUMMYFUNCTION("""COMPUTED_VALUE"""),"Ivete Roseli Mandelli | Pedagogia | Aprovado | Bárbara: misturou TCC e estágio, dalta etapa 1 e 2, 3, e termo de conclusão e carta de apresentação - relatório 4ª etapa ok. // Bárbara 25/08 autorizada a enviar o físico  //Júnio: físico, conferido e arquiva"&amp;"do 06/10/22")</f>
        <v>Ivete Roseli Mandelli | Pedagogia | Aprovado | Bárbara: misturou TCC e estágio, dalta etapa 1 e 2, 3, e termo de conclusão e carta de apresentação - relatório 4ª etapa ok. // Bárbara 25/08 autorizada a enviar o físico  //Júnio: físico, conferido e arquivado 06/10/22</v>
      </c>
      <c r="B1779" s="93"/>
    </row>
    <row r="1780">
      <c r="A1780" s="384" t="str">
        <f>IFERROR(__xludf.DUMMYFUNCTION("""COMPUTED_VALUE"""),"Ivo Emannuel Arrais Silva | Neuropsicopedagogia Institucional,Clínica E Hospitalar | Aprovado | Alexsiane: corrigir as assinaturas coldas, especificar nas fichas de registro o tipo de acompanhamento ( 07/03 à 25/04), encaminhar o termo e a carta escaneada"&amp;"s e com as devidas assinaturas 03/02 reenviar //Pré aprovado: 13/02 //// Edilaine: Aprovado 27/02/2023.")</f>
        <v>Ivo Emannuel Arrais Silva | Neuropsicopedagogia Institucional,Clínica E Hospitalar | Aprovado | Alexsiane: corrigir as assinaturas coldas, especificar nas fichas de registro o tipo de acompanhamento ( 07/03 à 25/04), encaminhar o termo e a carta escaneadas e com as devidas assinaturas 03/02 reenviar //Pré aprovado: 13/02 //// Edilaine: Aprovado 27/02/2023.</v>
      </c>
      <c r="B1780" s="93"/>
    </row>
    <row r="1781">
      <c r="A1781" s="384" t="str">
        <f>IFERROR(__xludf.DUMMYFUNCTION("""COMPUTED_VALUE"""),"Ivone Ferreira Dionísio Borges | Artes Visuais | Aprovada | Júnio: precisa refazer as fichas, lançou só 75 hs precisa complementar até dar 200 horas., vários dias estão com totais diários errados e alguns quadrados em branco sem os dados. PRAZO: 12/10/23 "&amp;"//Júnio: aprovada: 21/12/23")</f>
        <v>Ivone Ferreira Dionísio Borges | Artes Visuais | Aprovada | Júnio: precisa refazer as fichas, lançou só 75 hs precisa complementar até dar 200 horas., vários dias estão com totais diários errados e alguns quadrados em branco sem os dados. PRAZO: 12/10/23 //Júnio: aprovada: 21/12/23</v>
      </c>
      <c r="B1781" s="93"/>
    </row>
    <row r="1782">
      <c r="A1782" s="384" t="str">
        <f>IFERROR(__xludf.DUMMYFUNCTION("""COMPUTED_VALUE"""),"Ivone Rodrigues Da Silva | Pedagogia | Aprovada | Bárbara: aprovadas nas 3 primeiras do remoto e apresentou declaração de experiência.")</f>
        <v>Ivone Rodrigues Da Silva | Pedagogia | Aprovada | Bárbara: aprovadas nas 3 primeiras do remoto e apresentou declaração de experiência.</v>
      </c>
      <c r="B1782" s="93"/>
    </row>
    <row r="1783">
      <c r="A1783" s="384" t="str">
        <f>IFERROR(__xludf.DUMMYFUNCTION("""COMPUTED_VALUE"""),"Ivone Rodrigues De Araújo | Geografia | Em análise | Aline Silva: apresentou declaração como prof no fun. II e como vice diretora.")</f>
        <v>Ivone Rodrigues De Araújo | Geografia | Em análise | Aline Silva: apresentou declaração como prof no fun. II e como vice diretora.</v>
      </c>
      <c r="B1783" s="93"/>
    </row>
    <row r="1784">
      <c r="A1784" s="384" t="str">
        <f>IFERROR(__xludf.DUMMYFUNCTION("""COMPUTED_VALUE"""),"Ivone Santos Haefliger | Artes Visuais | Aprovado | Estella: faltariam 2h e 10min para o EM, mas contei os 50min como hora/aula (além disso, aluna mandou certificado de curso pedagógico de 60h). Recebido 04/12/2018.")</f>
        <v>Ivone Santos Haefliger | Artes Visuais | Aprovado | Estella: faltariam 2h e 10min para o EM, mas contei os 50min como hora/aula (além disso, aluna mandou certificado de curso pedagógico de 60h). Recebido 04/12/2018.</v>
      </c>
      <c r="B1784" s="93"/>
    </row>
    <row r="1785">
      <c r="A1785" s="384" t="str">
        <f>IFERROR(__xludf.DUMMYFUNCTION("""COMPUTED_VALUE"""),"Ivone Santos Haefliger | Neuropsicopedagogia Institucional, Clínica E Hospitalar | Aprovada | Júnio: desenvolver um estudo de caso específico com tópicos: apresentação doc aso, anamnse, queixa do professor e estratégias desenvolvidas// Alexsiane: aprovada"&amp;" no padrão remoto com lançamento no Sponte")</f>
        <v>Ivone Santos Haefliger | Neuropsicopedagogia Institucional, Clínica E Hospitalar | Aprovada | Júnio: desenvolver um estudo de caso específico com tópicos: apresentação doc aso, anamnse, queixa do professor e estratégias desenvolvidas// Alexsiane: aprovada no padrão remoto com lançamento no Sponte</v>
      </c>
      <c r="B1785" s="93"/>
    </row>
    <row r="1786">
      <c r="A1786" s="384" t="str">
        <f>IFERROR(__xludf.DUMMYFUNCTION("""COMPUTED_VALUE"""),"Izabel Cristina Ribeiro Mendes | Letras Português Espanhol | Aprovada  | Júnio: remoto antigo -  declaração de experiência válida, falta enviar os planos de aula em nosso modelo e todo o resto// Bárbara: aprovada 16/09/2022")</f>
        <v>Izabel Cristina Ribeiro Mendes | Letras Português Espanhol | Aprovada  | Júnio: remoto antigo -  declaração de experiência válida, falta enviar os planos de aula em nosso modelo e todo o resto// Bárbara: aprovada 16/09/2022</v>
      </c>
      <c r="B1786" s="93"/>
    </row>
    <row r="1787">
      <c r="A1787" s="384" t="str">
        <f>IFERROR(__xludf.DUMMYFUNCTION("""COMPUTED_VALUE"""),"Izabel Cristina Ribeiro Mendes | Pedagogia | Aprovada | Júnio: remoto antigo - 11% plágio, fazer conclusão, referencias, passar os planos de aula para nosso modelo, declaração de experiencia inválida// Bárbara: aprovada 05/10/2022")</f>
        <v>Izabel Cristina Ribeiro Mendes | Pedagogia | Aprovada | Júnio: remoto antigo - 11% plágio, fazer conclusão, referencias, passar os planos de aula para nosso modelo, declaração de experiencia inválida// Bárbara: aprovada 05/10/2022</v>
      </c>
      <c r="B1787" s="93"/>
    </row>
    <row r="1788">
      <c r="A1788" s="384" t="str">
        <f>IFERROR(__xludf.DUMMYFUNCTION("""COMPUTED_VALUE"""),"Izabel Cristina Soares De Faria | Pedagogia | Aprovada | Júnio: remoto antigo- falta o video da 4ª etapa// Bárbara: aprovada no vídeo 22/4/2022")</f>
        <v>Izabel Cristina Soares De Faria | Pedagogia | Aprovada | Júnio: remoto antigo- falta o video da 4ª etapa// Bárbara: aprovada no vídeo 22/4/2022</v>
      </c>
      <c r="B1788" s="93"/>
    </row>
    <row r="1789">
      <c r="A1789" s="384" t="str">
        <f>IFERROR(__xludf.DUMMYFUNCTION("""COMPUTED_VALUE"""),"Izabel Dos Reis Silva Pereira | Pedagogia | Aprovada | Alexsiane: 9,35% de plágio em 3 links diferente, restante ok 13/02/2023 reenviar// Alexsiane: pre- aprovada autoeizada a autenticar 02/03 enviar  //Júnio: aprovada: 12/04/23")</f>
        <v>Izabel Dos Reis Silva Pereira | Pedagogia | Aprovada | Alexsiane: 9,35% de plágio em 3 links diferente, restante ok 13/02/2023 reenviar// Alexsiane: pre- aprovada autoeizada a autenticar 02/03 enviar  //Júnio: aprovada: 12/04/23</v>
      </c>
      <c r="B1789" s="93"/>
    </row>
    <row r="1790">
      <c r="A1790" s="384" t="str">
        <f>IFERROR(__xludf.DUMMYFUNCTION("""COMPUTED_VALUE"""),"Izabel Luiz Garcia | Ciências Biológicas | Aprovada | Júnio: PP - aprovada")</f>
        <v>Izabel Luiz Garcia | Ciências Biológicas | Aprovada | Júnio: PP - aprovada</v>
      </c>
      <c r="B1790" s="93"/>
    </row>
    <row r="1791">
      <c r="A1791" s="384" t="str">
        <f>IFERROR(__xludf.DUMMYFUNCTION("""COMPUTED_VALUE"""),"Izabel Maria Magalhães Da Costa | Pedagogia Para Bachareis E Tecnólogos | Aprovada | Júnio: PP- falta responder o questionário. PCCs: falta enviar //Júnio: aprovada: 01/12/23")</f>
        <v>Izabel Maria Magalhães Da Costa | Pedagogia Para Bachareis E Tecnólogos | Aprovada | Júnio: PP- falta responder o questionário. PCCs: falta enviar //Júnio: aprovada: 01/12/23</v>
      </c>
      <c r="B1791" s="93"/>
    </row>
    <row r="1792">
      <c r="A1792" s="384" t="str">
        <f>IFERROR(__xludf.DUMMYFUNCTION("""COMPUTED_VALUE"""),"Izabel Pires Dos Santos | Pedagogia | Aprovada  | Bianca: Faltam fichas de registro// Bianca: aprovada nas 4 etapas do remoto atualizado 20/10/2021 //Júnio: assinaturas impressas - conferido 29/03/22")</f>
        <v>Izabel Pires Dos Santos | Pedagogia | Aprovada  | Bianca: Faltam fichas de registro// Bianca: aprovada nas 4 etapas do remoto atualizado 20/10/2021 //Júnio: assinaturas impressas - conferido 29/03/22</v>
      </c>
      <c r="B1792" s="93"/>
    </row>
    <row r="1793">
      <c r="A1793" s="384" t="str">
        <f>IFERROR(__xludf.DUMMYFUNCTION("""COMPUTED_VALUE"""),"Izabel Pires Dos Santos | Psicopepedagogia Inst | Aprovada  | Aprovada //Júnio: conferido 29/03/22 - assinaturas impressas")</f>
        <v>Izabel Pires Dos Santos | Psicopepedagogia Inst | Aprovada  | Aprovada //Júnio: conferido 29/03/22 - assinaturas impressas</v>
      </c>
      <c r="B1793" s="93"/>
    </row>
    <row r="1794">
      <c r="A1794" s="384" t="str">
        <f>IFERROR(__xludf.DUMMYFUNCTION("""COMPUTED_VALUE"""),"Izabela Alves Teixeira |  | Em análise | Está para Ana dar uma resposta, muito incompleta.")</f>
        <v>Izabela Alves Teixeira |  | Em análise | Está para Ana dar uma resposta, muito incompleta.</v>
      </c>
      <c r="B1794" s="93"/>
    </row>
    <row r="1795">
      <c r="A1795" s="384" t="str">
        <f>IFERROR(__xludf.DUMMYFUNCTION("""COMPUTED_VALUE"""),"Izabelle De Castro Tavares | Psicopedagogia Institucional, Clínica E Hospitalar | Aprovada | Júnio: pre aprovada //Júnio: aprovada: 12/06/23")</f>
        <v>Izabelle De Castro Tavares | Psicopedagogia Institucional, Clínica E Hospitalar | Aprovada | Júnio: pre aprovada //Júnio: aprovada: 12/06/23</v>
      </c>
      <c r="B1795" s="93"/>
    </row>
    <row r="1796">
      <c r="A1796" s="384" t="str">
        <f>IFERROR(__xludf.DUMMYFUNCTION("""COMPUTED_VALUE"""),"Izailda Cândida Alves | Pedagogia | Aprovada | Pamela: Documetação, relatório de gestão e observação e ficha de registro. //Júnio: aprovada: 24/01/24")</f>
        <v>Izailda Cândida Alves | Pedagogia | Aprovada | Pamela: Documetação, relatório de gestão e observação e ficha de registro. //Júnio: aprovada: 24/01/24</v>
      </c>
      <c r="B1796" s="93"/>
    </row>
    <row r="1797">
      <c r="A1797" s="384" t="str">
        <f>IFERROR(__xludf.DUMMYFUNCTION("""COMPUTED_VALUE"""),"Izaildes Neves De Farias Silva | Artes Visuais | Aprovada  | Bianca: Desformatação, número de aulas insuficientes// Bárbara: aprovada 22/01/22")</f>
        <v>Izaildes Neves De Farias Silva | Artes Visuais | Aprovada  | Bianca: Desformatação, número de aulas insuficientes// Bárbara: aprovada 22/01/22</v>
      </c>
      <c r="B1797" s="93"/>
    </row>
    <row r="1798">
      <c r="A1798" s="384" t="str">
        <f>IFERROR(__xludf.DUMMYFUNCTION("""COMPUTED_VALUE"""),"Jaci Teresinha Blum Da Silva | Educação Física | Aprovada | Alexsiane: Corrigir nas fichas:o horário das parte de observação, regência e gestão, o tema, a turma  e o total de horas que passou de 6 horas por dia. Falar sobre o objetivo especifico. Estágio "&amp;"Padrão //Júnio: físico conferido e arquivado: 02/08/22")</f>
        <v>Jaci Teresinha Blum Da Silva | Educação Física | Aprovada | Alexsiane: Corrigir nas fichas:o horário das parte de observação, regência e gestão, o tema, a turma  e o total de horas que passou de 6 horas por dia. Falar sobre o objetivo especifico. Estágio Padrão //Júnio: físico conferido e arquivado: 02/08/22</v>
      </c>
      <c r="B1798" s="93"/>
    </row>
    <row r="1799">
      <c r="A1799" s="384" t="str">
        <f>IFERROR(__xludf.DUMMYFUNCTION("""COMPUTED_VALUE"""),"Jaci Teresinha Blum Da Silva | Letras Espanhol | Aprovada | Alexsiane:Corrigir nas fichas:o horário das parte de observação, regência e gestão, o tema, a turma  e o total de horas que passou de 6 horas por dia. Falar sobre o objetivo especifico. Estágio P"&amp;"adrão// Alexsiane: pré aprovado com lançamento no sponte dia 25/07 //Júnio: físico conferido e arquivado: 02/08/22")</f>
        <v>Jaci Teresinha Blum Da Silva | Letras Espanhol | Aprovada | Alexsiane:Corrigir nas fichas:o horário das parte de observação, regência e gestão, o tema, a turma  e o total de horas que passou de 6 horas por dia. Falar sobre o objetivo especifico. Estágio Padrão// Alexsiane: pré aprovado com lançamento no sponte dia 25/07 //Júnio: físico conferido e arquivado: 02/08/22</v>
      </c>
      <c r="B1799" s="93"/>
    </row>
    <row r="1800">
      <c r="A1800" s="384" t="str">
        <f>IFERROR(__xludf.DUMMYFUNCTION("""COMPUTED_VALUE"""),"Jaciel Da Silva Laranjeiras | Música | Aprovado | Júnio: PP - etapas ok, início: 26/04/23 reenviar: 26/10/23 //18/09/23 - entrou como apressamento - Júnio PP aprovado")</f>
        <v>Jaciel Da Silva Laranjeiras | Música | Aprovado | Júnio: PP - etapas ok, início: 26/04/23 reenviar: 26/10/23 //18/09/23 - entrou como apressamento - Júnio PP aprovado</v>
      </c>
      <c r="B1800" s="93"/>
    </row>
    <row r="1801">
      <c r="A1801" s="384" t="str">
        <f>IFERROR(__xludf.DUMMYFUNCTION("""COMPUTED_VALUE"""),"Jackeline Dos Santos Monteiro | Pedagogia | Aprovada | Alexsiane: enviou a declaração de experiência para analisar foi aceita Padrão antigo de 300 horas //Júnio: 20/10/22: encaminhou o estágio físico com as fichas impressas. // Pâmela 02/12/2022 Conferido"&amp;" e arquivado. ")</f>
        <v>Jackeline Dos Santos Monteiro | Pedagogia | Aprovada | Alexsiane: enviou a declaração de experiência para analisar foi aceita Padrão antigo de 300 horas //Júnio: 20/10/22: encaminhou o estágio físico com as fichas impressas. // Pâmela 02/12/2022 Conferido e arquivado. </v>
      </c>
      <c r="B1801" s="93"/>
    </row>
    <row r="1802">
      <c r="A1802" s="384" t="str">
        <f>IFERROR(__xludf.DUMMYFUNCTION("""COMPUTED_VALUE"""),"Jackson Neroni De Melo | História | Aprovado | Júnio: PP aprovado")</f>
        <v>Jackson Neroni De Melo | História | Aprovado | Júnio: PP aprovado</v>
      </c>
      <c r="B1802" s="93"/>
    </row>
    <row r="1803">
      <c r="A1803" s="384" t="str">
        <f>IFERROR(__xludf.DUMMYFUNCTION("""COMPUTED_VALUE"""),"Jacqueline Júlia Dos Guimarães Miranda | Pedagogia | Aprovado | Júnio: estágio padrão - carta de apresentação ok, falta todo o resto//  Alexsiane: aprovado no estágio.12/03/24")</f>
        <v>Jacqueline Júlia Dos Guimarães Miranda | Pedagogia | Aprovado | Júnio: estágio padrão - carta de apresentação ok, falta todo o resto//  Alexsiane: aprovado no estágio.12/03/24</v>
      </c>
      <c r="B1803" s="93"/>
    </row>
    <row r="1804">
      <c r="A1804" s="384" t="str">
        <f>IFERROR(__xludf.DUMMYFUNCTION("""COMPUTED_VALUE"""),"Jady Mirtis De Abreu Gomes Silva | Letras Espanhol | Aprovada | Pâmela: declaração válida //Júnio: pré aprovada: 20/07/23 //Júnio: aprovada: 04/08/23")</f>
        <v>Jady Mirtis De Abreu Gomes Silva | Letras Espanhol | Aprovada | Pâmela: declaração válida //Júnio: pré aprovada: 20/07/23 //Júnio: aprovada: 04/08/23</v>
      </c>
      <c r="B1804" s="93"/>
    </row>
    <row r="1805">
      <c r="A1805" s="384" t="str">
        <f>IFERROR(__xludf.DUMMYFUNCTION("""COMPUTED_VALUE"""),"Jaime Augusto De Lima | Pedagogia | Pre aprovado | Bárbara: conforme orientação da Ana, validei 50% da gestão. // Alexsiane; pré aprovado com lançamento no Sponte 07/10")</f>
        <v>Jaime Augusto De Lima | Pedagogia | Pre aprovado | Bárbara: conforme orientação da Ana, validei 50% da gestão. // Alexsiane; pré aprovado com lançamento no Sponte 07/10</v>
      </c>
      <c r="B1805" s="93"/>
    </row>
    <row r="1806">
      <c r="A1806" s="384" t="str">
        <f>IFERROR(__xludf.DUMMYFUNCTION("""COMPUTED_VALUE"""),"Jaime Rodrigues Dos Santos | Pedagogia | Aprovado | Bianca: aperesentou apenas declaração de experiência, carta de apresentação e termo de conclusão. //Júnio: aprovado: 28/03/22")</f>
        <v>Jaime Rodrigues Dos Santos | Pedagogia | Aprovado | Bianca: aperesentou apenas declaração de experiência, carta de apresentação e termo de conclusão. //Júnio: aprovado: 28/03/22</v>
      </c>
      <c r="B1806" s="93"/>
    </row>
    <row r="1807">
      <c r="A1807" s="384" t="str">
        <f>IFERROR(__xludf.DUMMYFUNCTION("""COMPUTED_VALUE"""),"Jair Francisco De Paula Júnior | Matemática | Aprovado | Bárbara: aprovado nas 3 primeiras etapas do remoto, aguardando a última. // Bárbara: aprovado 4ª etapa 21/12/2020")</f>
        <v>Jair Francisco De Paula Júnior | Matemática | Aprovado | Bárbara: aprovado nas 3 primeiras etapas do remoto, aguardando a última. // Bárbara: aprovado 4ª etapa 21/12/2020</v>
      </c>
      <c r="B1807" s="93"/>
    </row>
    <row r="1808">
      <c r="A1808" s="384" t="str">
        <f>IFERROR(__xludf.DUMMYFUNCTION("""COMPUTED_VALUE"""),"Jairo Aparecido Leonel | Geografia | Aprovado | Bárbara: aprovado etapas um, dois e três do remoto, aguardando a última// Bárbara: aprovado 21/12/2020")</f>
        <v>Jairo Aparecido Leonel | Geografia | Aprovado | Bárbara: aprovado etapas um, dois e três do remoto, aguardando a última// Bárbara: aprovado 21/12/2020</v>
      </c>
      <c r="B1808" s="93"/>
    </row>
    <row r="1809">
      <c r="A1809" s="384" t="str">
        <f>IFERROR(__xludf.DUMMYFUNCTION("""COMPUTED_VALUE"""),"Jairo Dos Santos Castro | Educação Física | Aprovado  | Bianca: autorizado a recolher assinaturas// Bárbara: aprovado e autorizado enviar físico 09/12/2021 /Júnio: conferido e  arquivado: 23/12/2021")</f>
        <v>Jairo Dos Santos Castro | Educação Física | Aprovado  | Bianca: autorizado a recolher assinaturas// Bárbara: aprovado e autorizado enviar físico 09/12/2021 /Júnio: conferido e  arquivado: 23/12/2021</v>
      </c>
      <c r="B1809" s="93"/>
    </row>
    <row r="1810">
      <c r="A1810" s="384" t="str">
        <f>IFERROR(__xludf.DUMMYFUNCTION("""COMPUTED_VALUE"""),"Jairo Edivanil Rocha Queiroz | Pedagogia | Aprovado | Lucas: Falta etapa 4 inteira e 19 planos de aula (remoto atualizado) //Júnio: físico conferido e arquivado: 25/08/22")</f>
        <v>Jairo Edivanil Rocha Queiroz | Pedagogia | Aprovado | Lucas: Falta etapa 4 inteira e 19 planos de aula (remoto atualizado) //Júnio: físico conferido e arquivado: 25/08/22</v>
      </c>
      <c r="B1810" s="93"/>
    </row>
    <row r="1811">
      <c r="A1811" s="384" t="str">
        <f>IFERROR(__xludf.DUMMYFUNCTION("""COMPUTED_VALUE"""),"Jakson Silva Santos | Pedagogia | Aprovado | Alexsiane: pp aprovado")</f>
        <v>Jakson Silva Santos | Pedagogia | Aprovado | Alexsiane: pp aprovado</v>
      </c>
      <c r="B1811" s="93"/>
    </row>
    <row r="1812">
      <c r="A1812" s="384" t="str">
        <f>IFERROR(__xludf.DUMMYFUNCTION("""COMPUTED_VALUE"""),"Jamill Narcísio Dos Reis Bezerra | Ciências Sociais | Aprovado | Bianca: Pedi para enviar arquivo no word Bianca: aprovada 16/05 //Bárbara: aprovada: 04/01/2021")</f>
        <v>Jamill Narcísio Dos Reis Bezerra | Ciências Sociais | Aprovado | Bianca: Pedi para enviar arquivo no word Bianca: aprovada 16/05 //Bárbara: aprovada: 04/01/2021</v>
      </c>
      <c r="B1812" s="93"/>
    </row>
    <row r="1813">
      <c r="A1813" s="384" t="str">
        <f>IFERROR(__xludf.DUMMYFUNCTION("""COMPUTED_VALUE"""),"Jamilson Gentil Silva Pereira | Artes Visuais | Aprovado | Bianca: falta introdução, sumário e capa //Bárbara: aprovado 16/06/2021")</f>
        <v>Jamilson Gentil Silva Pereira | Artes Visuais | Aprovado | Bianca: falta introdução, sumário e capa //Bárbara: aprovado 16/06/2021</v>
      </c>
      <c r="B1813" s="93"/>
    </row>
    <row r="1814">
      <c r="A1814" s="384" t="str">
        <f>IFERROR(__xludf.DUMMYFUNCTION("""COMPUTED_VALUE"""),"Janaína Da Silva De São Pedro | Letras - Inglês | Aprovado | Alexsiane: pp aprovado")</f>
        <v>Janaína Da Silva De São Pedro | Letras - Inglês | Aprovado | Alexsiane: pp aprovado</v>
      </c>
      <c r="B1814" s="93"/>
    </row>
    <row r="1815">
      <c r="A1815" s="384" t="str">
        <f>IFERROR(__xludf.DUMMYFUNCTION("""COMPUTED_VALUE"""),"Janaína Da Silva Sampaio | Pedagogia | aprovado | Aline Silva: aprovada // Recebido dia 11/02/2020")</f>
        <v>Janaína Da Silva Sampaio | Pedagogia | aprovado | Aline Silva: aprovada // Recebido dia 11/02/2020</v>
      </c>
      <c r="B1815" s="93"/>
    </row>
    <row r="1816">
      <c r="A1816" s="384" t="str">
        <f>IFERROR(__xludf.DUMMYFUNCTION("""COMPUTED_VALUE"""),"Janaína Debora Davi | Letras Português | Aprovada | Bárbara: aprovada com autorização da Aline")</f>
        <v>Janaína Debora Davi | Letras Português | Aprovada | Bárbara: aprovada com autorização da Aline</v>
      </c>
      <c r="B1816" s="93"/>
    </row>
    <row r="1817">
      <c r="A1817" s="384" t="str">
        <f>IFERROR(__xludf.DUMMYFUNCTION("""COMPUTED_VALUE"""),"Janaína Debora David | História | Em análise | Bárbara: a aluna copiou o trabalho de Rosangela Zibermann")</f>
        <v>Janaína Debora David | História | Em análise | Bárbara: a aluna copiou o trabalho de Rosangela Zibermann</v>
      </c>
      <c r="B1817" s="93"/>
    </row>
    <row r="1818">
      <c r="A1818" s="384" t="str">
        <f>IFERROR(__xludf.DUMMYFUNCTION("""COMPUTED_VALUE"""),"Janaina Dos Santos Ribeiro De Carvalho | Pedagogia | Aprovada | Bianca: aprovada nas 4 etapas do remoto antigo //Júnio:conferido e arquivada: 12/11/2021")</f>
        <v>Janaina Dos Santos Ribeiro De Carvalho | Pedagogia | Aprovada | Bianca: aprovada nas 4 etapas do remoto antigo //Júnio:conferido e arquivada: 12/11/2021</v>
      </c>
      <c r="B1818" s="93"/>
    </row>
    <row r="1819">
      <c r="A1819" s="384" t="str">
        <f>IFERROR(__xludf.DUMMYFUNCTION("""COMPUTED_VALUE"""),"Janaína Fernandes Alves | Pedagogia | Aprovada | Aline Silva: declaração de experiência foi aceita. //Júnio: conferido e arquivado: 14/07/21")</f>
        <v>Janaína Fernandes Alves | Pedagogia | Aprovada | Aline Silva: declaração de experiência foi aceita. //Júnio: conferido e arquivado: 14/07/21</v>
      </c>
      <c r="B1819" s="93"/>
    </row>
    <row r="1820">
      <c r="A1820" s="384" t="str">
        <f>IFERROR(__xludf.DUMMYFUNCTION("""COMPUTED_VALUE"""),"Janaína Fernandes De Oliveira | Historia | Aprovada | Bianca: Aprovada nas 3 primeiras etapas //Bianca: aprovada: 09/07/21")</f>
        <v>Janaína Fernandes De Oliveira | Historia | Aprovada | Bianca: Aprovada nas 3 primeiras etapas //Bianca: aprovada: 09/07/21</v>
      </c>
      <c r="B1820" s="93"/>
    </row>
    <row r="1821">
      <c r="A1821" s="384" t="str">
        <f>IFERROR(__xludf.DUMMYFUNCTION("""COMPUTED_VALUE"""),"Janaina Ferreira Ribeiro Pedro | Pedagogia | Aprovada | Alexsiane: Estágio Padrão300h, Falta Termode Conclusão, Carta De Aceite, Relatório De Observação, Relatório De Gestão e 226 Horas Nas Fichas De Registro. /// Edilaine: Pré- aprovada 24/01/2023 // Pam"&amp;"ela 31/01/2023 Conferido e arquivado. ")</f>
        <v>Janaina Ferreira Ribeiro Pedro | Pedagogia | Aprovada | Alexsiane: Estágio Padrão300h, Falta Termode Conclusão, Carta De Aceite, Relatório De Observação, Relatório De Gestão e 226 Horas Nas Fichas De Registro. /// Edilaine: Pré- aprovada 24/01/2023 // Pamela 31/01/2023 Conferido e arquivado. </v>
      </c>
      <c r="B1821" s="93"/>
    </row>
    <row r="1822">
      <c r="A1822" s="384" t="str">
        <f>IFERROR(__xludf.DUMMYFUNCTION("""COMPUTED_VALUE"""),"Janaína Márcia Correia | Letras Port | Aprovada | Bárbara: aluna aprovada etapas 1, 2 e 3, aguardando o agendamento da 4ª etapa.// Bárbara: aluna apresentou declaração de experiência válida no dia 28/10/2020 no e-mail do estágio. // Bárbara: conferido e a"&amp;"rquivado 03/03/2021")</f>
        <v>Janaína Márcia Correia | Letras Port | Aprovada | Bárbara: aluna aprovada etapas 1, 2 e 3, aguardando o agendamento da 4ª etapa.// Bárbara: aluna apresentou declaração de experiência válida no dia 28/10/2020 no e-mail do estágio. // Bárbara: conferido e arquivado 03/03/2021</v>
      </c>
      <c r="B1822" s="93"/>
    </row>
    <row r="1823">
      <c r="A1823" s="384" t="str">
        <f>IFERROR(__xludf.DUMMYFUNCTION("""COMPUTED_VALUE"""),"Janaína Oliveira Lacerda | Pedagogia | Aprovada | Júnio: etapas 1, 2 e 3 aprovadas do remoto antigo //Bárbara: aprovada: 01/07/2021")</f>
        <v>Janaína Oliveira Lacerda | Pedagogia | Aprovada | Júnio: etapas 1, 2 e 3 aprovadas do remoto antigo //Bárbara: aprovada: 01/07/2021</v>
      </c>
      <c r="B1823" s="93"/>
    </row>
    <row r="1824">
      <c r="A1824" s="384" t="str">
        <f>IFERROR(__xludf.DUMMYFUNCTION("""COMPUTED_VALUE"""),"Janaina Ribeiro Dos Santos | Pedagogia | Aprovada | Júnio: PP - complementar a etapa I com mais páginas e falta a carta// Alexsiane: pp aprovado 18/04/24")</f>
        <v>Janaina Ribeiro Dos Santos | Pedagogia | Aprovada | Júnio: PP - complementar a etapa I com mais páginas e falta a carta// Alexsiane: pp aprovado 18/04/24</v>
      </c>
      <c r="B1824" s="93"/>
    </row>
    <row r="1825">
      <c r="A1825" s="384" t="str">
        <f>IFERROR(__xludf.DUMMYFUNCTION("""COMPUTED_VALUE"""),"Janaína Rotta | Pedagogia | Aprovado | Thiara: Apesar de erros na escrita (má digitação), aprovado. // Estella: Recebido 20/11/2018 via Correios, ainda não havia sido aprovado.// Bárbara: Conferido e arquivado em 16/09/2020")</f>
        <v>Janaína Rotta | Pedagogia | Aprovado | Thiara: Apesar de erros na escrita (má digitação), aprovado. // Estella: Recebido 20/11/2018 via Correios, ainda não havia sido aprovado.// Bárbara: Conferido e arquivado em 16/09/2020</v>
      </c>
      <c r="B1825" s="93"/>
    </row>
    <row r="1826">
      <c r="A1826" s="384" t="str">
        <f>IFERROR(__xludf.DUMMYFUNCTION("""COMPUTED_VALUE"""),"Janaína Silveria Vieira França | Pedagogia | Em análise | Júnio: autorizada a recolher assinaturas, anexar termo de conclusão")</f>
        <v>Janaína Silveria Vieira França | Pedagogia | Em análise | Júnio: autorizada a recolher assinaturas, anexar termo de conclusão</v>
      </c>
      <c r="B1826" s="93"/>
    </row>
    <row r="1827">
      <c r="A1827" s="384" t="str">
        <f>IFERROR(__xludf.DUMMYFUNCTION("""COMPUTED_VALUE"""),"Jandi De Souza Santos | Pedagogia | Aprovado | Júnio: PP: enviar a entrevista digitada //Júnio: aprovado: 11/10/2023")</f>
        <v>Jandi De Souza Santos | Pedagogia | Aprovado | Júnio: PP: enviar a entrevista digitada //Júnio: aprovado: 11/10/2023</v>
      </c>
      <c r="B1827" s="93"/>
    </row>
    <row r="1828">
      <c r="A1828" s="384" t="str">
        <f>IFERROR(__xludf.DUMMYFUNCTION("""COMPUTED_VALUE"""),"Jane Maria Schmeling | Pedagogia | pré-aprovado | Bárbara: Estágio padrão - Faltando documentos, fichas partes dissertativas, consertar fichas.//Alexsiane:pré-aprovado com lanaçamento no sponte")</f>
        <v>Jane Maria Schmeling | Pedagogia | pré-aprovado | Bárbara: Estágio padrão - Faltando documentos, fichas partes dissertativas, consertar fichas.//Alexsiane:pré-aprovado com lanaçamento no sponte</v>
      </c>
      <c r="B1828" s="93"/>
    </row>
    <row r="1829">
      <c r="A1829" s="384" t="str">
        <f>IFERROR(__xludf.DUMMYFUNCTION("""COMPUTED_VALUE"""),"Janete Alves | Pedagogia | EM análise | Bianca: Aprovada nas 4 etapas do remoto antigo 19/10/2021")</f>
        <v>Janete Alves | Pedagogia | EM análise | Bianca: Aprovada nas 4 etapas do remoto antigo 19/10/2021</v>
      </c>
      <c r="B1829" s="93"/>
    </row>
    <row r="1830">
      <c r="A1830" s="384" t="str">
        <f>IFERROR(__xludf.DUMMYFUNCTION("""COMPUTED_VALUE"""),"Janete Aparecida Bezerra | Pedagogia | Aprovada | Júnio: padrão - especificar os temas e turmas na ficha de registro //Bárbara: 28/09/22- conferido e arquivado")</f>
        <v>Janete Aparecida Bezerra | Pedagogia | Aprovada | Júnio: padrão - especificar os temas e turmas na ficha de registro //Bárbara: 28/09/22- conferido e arquivado</v>
      </c>
      <c r="B1830" s="93"/>
    </row>
    <row r="1831">
      <c r="A1831" s="384" t="str">
        <f>IFERROR(__xludf.DUMMYFUNCTION("""COMPUTED_VALUE"""),"Janete Aparecida Dos Santos | Artes Visuais | Aprovada | Alexsiane: tem que encaminhar o trabalho todo digitado //Júnio: aprovada: 08/11/23")</f>
        <v>Janete Aparecida Dos Santos | Artes Visuais | Aprovada | Alexsiane: tem que encaminhar o trabalho todo digitado //Júnio: aprovada: 08/11/23</v>
      </c>
      <c r="B1831" s="93"/>
    </row>
    <row r="1832">
      <c r="A1832" s="384" t="str">
        <f>IFERROR(__xludf.DUMMYFUNCTION("""COMPUTED_VALUE"""),"Janete Aparecida Dos Santos | Pedagogia | Em análise | Bárbara: aprovada nas etapas 1, 2,3 do remoto.")</f>
        <v>Janete Aparecida Dos Santos | Pedagogia | Em análise | Bárbara: aprovada nas etapas 1, 2,3 do remoto.</v>
      </c>
      <c r="B1832" s="93"/>
    </row>
    <row r="1833">
      <c r="A1833" s="384" t="str">
        <f>IFERROR(__xludf.DUMMYFUNCTION("""COMPUTED_VALUE"""),"Janete Silveira Duarte | Pedagogia | Aprovada | Bianca: autorizada a recolher assinatura //Bianca: aprovada 21/06/21 //Júnio: conferido e arquivado: 06/07/2021")</f>
        <v>Janete Silveira Duarte | Pedagogia | Aprovada | Bianca: autorizada a recolher assinatura //Bianca: aprovada 21/06/21 //Júnio: conferido e arquivado: 06/07/2021</v>
      </c>
      <c r="B1833" s="93"/>
    </row>
    <row r="1834">
      <c r="A1834" s="384" t="str">
        <f>IFERROR(__xludf.DUMMYFUNCTION("""COMPUTED_VALUE"""),"Janete Stringhini | Pedagogia | Aprovada | Bárbara: aprovada nas 3 primeiras etapas e apresentou declaração de experiência válida.// Miryã: conferido e arquivado 10/03/2021")</f>
        <v>Janete Stringhini | Pedagogia | Aprovada | Bárbara: aprovada nas 3 primeiras etapas e apresentou declaração de experiência válida.// Miryã: conferido e arquivado 10/03/2021</v>
      </c>
      <c r="B1834" s="93"/>
    </row>
    <row r="1835">
      <c r="A1835" s="384" t="str">
        <f>IFERROR(__xludf.DUMMYFUNCTION("""COMPUTED_VALUE"""),"Janete Tavares Nascimento | Pedagogia Form. Pedagógica | Aprovado | Edilaine: Declaração de experiência não é válida.")</f>
        <v>Janete Tavares Nascimento | Pedagogia Form. Pedagógica | Aprovado | Edilaine: Declaração de experiência não é válida.</v>
      </c>
      <c r="B1835" s="93"/>
    </row>
    <row r="1836">
      <c r="A1836" s="384" t="str">
        <f>IFERROR(__xludf.DUMMYFUNCTION("""COMPUTED_VALUE"""),"Janete Tavares Nascimento | 2ª Licenciatura Em Pedagogia | Aprovado | Cris: PP aprovado")</f>
        <v>Janete Tavares Nascimento | 2ª Licenciatura Em Pedagogia | Aprovado | Cris: PP aprovado</v>
      </c>
      <c r="B1836" s="93"/>
    </row>
    <row r="1837">
      <c r="A1837" s="384" t="str">
        <f>IFERROR(__xludf.DUMMYFUNCTION("""COMPUTED_VALUE"""),"Jania Cristina Alves | Artes Visuais | Aprovado | Thiara: aprovado /// Recebido no Instituto dia 21/08/2019.")</f>
        <v>Jania Cristina Alves | Artes Visuais | Aprovado | Thiara: aprovado /// Recebido no Instituto dia 21/08/2019.</v>
      </c>
      <c r="B1837" s="93"/>
    </row>
    <row r="1838">
      <c r="A1838" s="384" t="str">
        <f>IFERROR(__xludf.DUMMYFUNCTION("""COMPUTED_VALUE"""),"Janice Barbosa De Oliveira | Geografia | Aprovada | Lucas: Aprovada e anexado ao Sponte")</f>
        <v>Janice Barbosa De Oliveira | Geografia | Aprovada | Lucas: Aprovada e anexado ao Sponte</v>
      </c>
      <c r="B1838" s="93"/>
    </row>
    <row r="1839">
      <c r="A1839" s="384" t="str">
        <f>IFERROR(__xludf.DUMMYFUNCTION("""COMPUTED_VALUE"""),"Janice Cristina Ribeiro | Pedagogia | Aprovada | Bianca: falta etapa 4 do remoto atualizado// Bianca: aprovada no segundo envio  //Júnio:conferido e arquivado: 10/12/2021")</f>
        <v>Janice Cristina Ribeiro | Pedagogia | Aprovada | Bianca: falta etapa 4 do remoto atualizado// Bianca: aprovada no segundo envio  //Júnio:conferido e arquivado: 10/12/2021</v>
      </c>
      <c r="B1839" s="93"/>
    </row>
    <row r="1840">
      <c r="A1840" s="384" t="str">
        <f>IFERROR(__xludf.DUMMYFUNCTION("""COMPUTED_VALUE"""),"Janice Ferreira Chagas Nogueira | Pedagogia | aprovada | Aline Silva: aprovada// Miryã: conferido e arquivado 12/03/2021")</f>
        <v>Janice Ferreira Chagas Nogueira | Pedagogia | aprovada | Aline Silva: aprovada// Miryã: conferido e arquivado 12/03/2021</v>
      </c>
      <c r="B1840" s="93"/>
    </row>
    <row r="1841">
      <c r="A1841" s="384" t="str">
        <f>IFERROR(__xludf.DUMMYFUNCTION("""COMPUTED_VALUE"""),"Janildes De Oliveira Souza | Letras Português | Aprovada | Júnio: PP - falta a etapa 2. //Júnio:  aprovada 21/11/23")</f>
        <v>Janildes De Oliveira Souza | Letras Português | Aprovada | Júnio: PP - falta a etapa 2. //Júnio:  aprovada 21/11/23</v>
      </c>
      <c r="B1841" s="93"/>
    </row>
    <row r="1842">
      <c r="A1842" s="384" t="str">
        <f>IFERROR(__xludf.DUMMYFUNCTION("""COMPUTED_VALUE"""),"Janína Deborah Davi | Letras Por | Aprovada | Bárbara: aprovada estágio remoto com a autorização da Aline, e apresentou declarção de experiência válida para isenção da 4ª etapa.")</f>
        <v>Janína Deborah Davi | Letras Por | Aprovada | Bárbara: aprovada estágio remoto com a autorização da Aline, e apresentou declarção de experiência válida para isenção da 4ª etapa.</v>
      </c>
      <c r="B1842" s="93"/>
    </row>
    <row r="1843">
      <c r="A1843" s="384" t="str">
        <f>IFERROR(__xludf.DUMMYFUNCTION("""COMPUTED_VALUE"""),"Janine Lacerda Moreira | Pedagogia | Em análise | Júnio: PP - falta a carta de apresentação")</f>
        <v>Janine Lacerda Moreira | Pedagogia | Em análise | Júnio: PP - falta a carta de apresentação</v>
      </c>
      <c r="B1843" s="93"/>
    </row>
    <row r="1844">
      <c r="A1844" s="384" t="str">
        <f>IFERROR(__xludf.DUMMYFUNCTION("""COMPUTED_VALUE"""),"Jaqueline Aparecida Dos Santos Alves |  | Aprovado | Mandei enviar pelo correio (09/01). Aguardando envio na ordem correta das etapas do estágio. Aguardando envio em arquivo único (18/12).")</f>
        <v>Jaqueline Aparecida Dos Santos Alves |  | Aprovado | Mandei enviar pelo correio (09/01). Aguardando envio na ordem correta das etapas do estágio. Aguardando envio em arquivo único (18/12).</v>
      </c>
      <c r="B1844" s="93"/>
    </row>
    <row r="1845">
      <c r="A1845" s="384" t="str">
        <f>IFERROR(__xludf.DUMMYFUNCTION("""COMPUTED_VALUE"""),"Jaqueline Aparecida Silva | Ciências Sociais | Aprovada | Amélia: aprovada nas 3 primeiras etapas do remoto //Bárbara: aprovada na quarta etapa 05/05/21")</f>
        <v>Jaqueline Aparecida Silva | Ciências Sociais | Aprovada | Amélia: aprovada nas 3 primeiras etapas do remoto //Bárbara: aprovada na quarta etapa 05/05/21</v>
      </c>
      <c r="B1845" s="93"/>
    </row>
    <row r="1846">
      <c r="A1846" s="384" t="str">
        <f>IFERROR(__xludf.DUMMYFUNCTION("""COMPUTED_VALUE"""),"Jaqueline Cassemira Paz | Artes Visuais | Aprovada | Alexsiane: 5,44% de plágio em seus planos de aula, etapa 1,2,ok e falta video da 4° etapa 22/04/2023 reenviar  Júnio: aprovada 31/05/23")</f>
        <v>Jaqueline Cassemira Paz | Artes Visuais | Aprovada | Alexsiane: 5,44% de plágio em seus planos de aula, etapa 1,2,ok e falta video da 4° etapa 22/04/2023 reenviar  Júnio: aprovada 31/05/23</v>
      </c>
      <c r="B1846" s="93"/>
    </row>
    <row r="1847">
      <c r="A1847" s="384" t="str">
        <f>IFERROR(__xludf.DUMMYFUNCTION("""COMPUTED_VALUE"""),"Jaqueline De Jesus Lançone | Psicopedagogia Clínica, Institucional E Hospitalar | Aprovada | Mariana: estágio plágio em Anamnese// Cristiane: aprovada 28/05/2024")</f>
        <v>Jaqueline De Jesus Lançone | Psicopedagogia Clínica, Institucional E Hospitalar | Aprovada | Mariana: estágio plágio em Anamnese// Cristiane: aprovada 28/05/2024</v>
      </c>
      <c r="B1847" s="93"/>
    </row>
    <row r="1848">
      <c r="A1848" s="384" t="str">
        <f>IFERROR(__xludf.DUMMYFUNCTION("""COMPUTED_VALUE"""),"Jaqueline De Oliveira Fernandes | Letras Português | Aprovada | Aline Silva: declaração de experiência foi aceita.// Bárbara: aprovada nas 3 etapas do remoto no dia 29/10/2020// Miryã: conferido e arquivado 10/03/2021")</f>
        <v>Jaqueline De Oliveira Fernandes | Letras Português | Aprovada | Aline Silva: declaração de experiência foi aceita.// Bárbara: aprovada nas 3 etapas do remoto no dia 29/10/2020// Miryã: conferido e arquivado 10/03/2021</v>
      </c>
      <c r="B1848" s="93"/>
    </row>
    <row r="1849">
      <c r="A1849" s="384" t="str">
        <f>IFERROR(__xludf.DUMMYFUNCTION("""COMPUTED_VALUE"""),"Jaqueline Eloise Gonçalves | Pedagogia | Aprovada | Júnio: PP - etapas: ok Inicio: 12/08/23 Reenviar: 12/02/24// Alexsiane: PP APROVADO")</f>
        <v>Jaqueline Eloise Gonçalves | Pedagogia | Aprovada | Júnio: PP - etapas: ok Inicio: 12/08/23 Reenviar: 12/02/24// Alexsiane: PP APROVADO</v>
      </c>
      <c r="B1849" s="93"/>
    </row>
    <row r="1850">
      <c r="A1850" s="384" t="str">
        <f>IFERROR(__xludf.DUMMYFUNCTION("""COMPUTED_VALUE"""),"Jaqueline Furlan Lourenço Jardim | Ginecologia E Obstetrícia | Pré aprovado | Alexsiane: pré aprovado com lançamento no sponte")</f>
        <v>Jaqueline Furlan Lourenço Jardim | Ginecologia E Obstetrícia | Pré aprovado | Alexsiane: pré aprovado com lançamento no sponte</v>
      </c>
      <c r="B1850" s="93"/>
    </row>
    <row r="1851">
      <c r="A1851" s="384" t="str">
        <f>IFERROR(__xludf.DUMMYFUNCTION("""COMPUTED_VALUE"""),"Jaqueline Gonçalves Da Costa | Segunda Licenciatura Em Educação Especial | Aprovado | Rayssa pp aprovado")</f>
        <v>Jaqueline Gonçalves Da Costa | Segunda Licenciatura Em Educação Especial | Aprovado | Rayssa pp aprovado</v>
      </c>
      <c r="B1851" s="93"/>
    </row>
    <row r="1852">
      <c r="A1852" s="384" t="str">
        <f>IFERROR(__xludf.DUMMYFUNCTION("""COMPUTED_VALUE"""),"Jaqueline Gonçalves Da Costa | Segunda Licenciatura Em Educação Especial | Aprovado | Rayssa pp aprovado")</f>
        <v>Jaqueline Gonçalves Da Costa | Segunda Licenciatura Em Educação Especial | Aprovado | Rayssa pp aprovado</v>
      </c>
      <c r="B1852" s="93"/>
    </row>
    <row r="1853">
      <c r="A1853" s="384" t="str">
        <f>IFERROR(__xludf.DUMMYFUNCTION("""COMPUTED_VALUE"""),"Jaqueline Medeiros Gadelha | História | Aprovada  | Solicitado correções // Bárbara: aprovada no dia 09/11")</f>
        <v>Jaqueline Medeiros Gadelha | História | Aprovada  | Solicitado correções // Bárbara: aprovada no dia 09/11</v>
      </c>
      <c r="B1853" s="93"/>
    </row>
    <row r="1854">
      <c r="A1854" s="384" t="str">
        <f>IFERROR(__xludf.DUMMYFUNCTION("""COMPUTED_VALUE"""),"Jaqueline Regina De Melo Silva | Educação Física | Aprovada | Júnio: PP - falta responder o questionário. //Júnio: aprovada: 02/01/24")</f>
        <v>Jaqueline Regina De Melo Silva | Educação Física | Aprovada | Júnio: PP - falta responder o questionário. //Júnio: aprovada: 02/01/24</v>
      </c>
      <c r="B1854" s="93"/>
    </row>
    <row r="1855">
      <c r="A1855" s="384" t="str">
        <f>IFERROR(__xludf.DUMMYFUNCTION("""COMPUTED_VALUE"""),"Jaqueline Rocha Machado Do Couto Silva | Geografia | Aprovada | Júnio: só 11 horas nas fichas da 4ª etapa, resto ok// Alexsiane: Pré-Aprovado no remoto atualizado com lanaçameno no sponte //Júnio: físico conferido e arquivado: 15/08/22")</f>
        <v>Jaqueline Rocha Machado Do Couto Silva | Geografia | Aprovada | Júnio: só 11 horas nas fichas da 4ª etapa, resto ok// Alexsiane: Pré-Aprovado no remoto atualizado com lanaçameno no sponte //Júnio: físico conferido e arquivado: 15/08/22</v>
      </c>
      <c r="B1855" s="93"/>
    </row>
    <row r="1856">
      <c r="A1856" s="384" t="str">
        <f>IFERROR(__xludf.DUMMYFUNCTION("""COMPUTED_VALUE"""),"Jaqueline Rosa Miranda | Pedagogia | Aprovada | Bárbara: trabalho com erros de formatação que impediam a correção // Bárbara: aprovada 26/02/2021")</f>
        <v>Jaqueline Rosa Miranda | Pedagogia | Aprovada | Bárbara: trabalho com erros de formatação que impediam a correção // Bárbara: aprovada 26/02/2021</v>
      </c>
      <c r="B1856" s="93"/>
    </row>
    <row r="1857">
      <c r="A1857" s="384" t="str">
        <f>IFERROR(__xludf.DUMMYFUNCTION("""COMPUTED_VALUE"""),"Jaqueline Schitini Donizete | Pedagogia | Aprovada | Bárbara: apresentou declração de experiência válida pelo guru, salvo no meu computador //Alexsiane pré aprovada com lançamento no // Alexsiane-conferido e arquivado 08/03/2023-")</f>
        <v>Jaqueline Schitini Donizete | Pedagogia | Aprovada | Bárbara: apresentou declração de experiência válida pelo guru, salvo no meu computador //Alexsiane pré aprovada com lançamento no // Alexsiane-conferido e arquivado 08/03/2023-</v>
      </c>
      <c r="B1857" s="93"/>
    </row>
    <row r="1858">
      <c r="A1858" s="384" t="str">
        <f>IFERROR(__xludf.DUMMYFUNCTION("""COMPUTED_VALUE"""),"Jaqueline Stella Machado | Pedagogia | Aprovada  | Lucas: Falta docuemntação da 4 etapa.// Bárbara: Aprovada 06/04/2022 //Júnio: conferida e arquivado: 27/04/22")</f>
        <v>Jaqueline Stella Machado | Pedagogia | Aprovada  | Lucas: Falta docuemntação da 4 etapa.// Bárbara: Aprovada 06/04/2022 //Júnio: conferida e arquivado: 27/04/22</v>
      </c>
      <c r="B1858" s="93"/>
    </row>
    <row r="1859">
      <c r="A1859" s="384" t="str">
        <f>IFERROR(__xludf.DUMMYFUNCTION("""COMPUTED_VALUE"""),"Jaqueline Vitorino Carnacchioni Delci | Artes Visuais | Aprovada | Bianca: Falta etapa 1,2 e 3 do remoto atualizado// aprovado em 22/09/2021 //Júnio:conferido e arquivado:15/10/21")</f>
        <v>Jaqueline Vitorino Carnacchioni Delci | Artes Visuais | Aprovada | Bianca: Falta etapa 1,2 e 3 do remoto atualizado// aprovado em 22/09/2021 //Júnio:conferido e arquivado:15/10/21</v>
      </c>
      <c r="B1859" s="93"/>
    </row>
    <row r="1860">
      <c r="A1860" s="384" t="str">
        <f>IFERROR(__xludf.DUMMYFUNCTION("""COMPUTED_VALUE"""),"Jarleyde Andressa Santos Sales | Letras Por Ing | Aprovada | Bárbara: aprovada nas 3 primeiras etapas do remoto // Amélia: aprovada 19/02/2021")</f>
        <v>Jarleyde Andressa Santos Sales | Letras Por Ing | Aprovada | Bárbara: aprovada nas 3 primeiras etapas do remoto // Amélia: aprovada 19/02/2021</v>
      </c>
      <c r="B1860" s="93"/>
    </row>
    <row r="1861">
      <c r="A1861" s="384" t="str">
        <f>IFERROR(__xludf.DUMMYFUNCTION("""COMPUTED_VALUE"""),"Jassonia Costa de Oliveira | Segunda Licenciatura Em História | Aprovado | Rayssa: pp aprovado")</f>
        <v>Jassonia Costa de Oliveira | Segunda Licenciatura Em História | Aprovado | Rayssa: pp aprovado</v>
      </c>
      <c r="B1861" s="93"/>
    </row>
    <row r="1862">
      <c r="A1862" s="384" t="str">
        <f>IFERROR(__xludf.DUMMYFUNCTION("""COMPUTED_VALUE"""),"Jean Philippe Abreu Molinari | Música | Em análise | Júnio: aluno enviou 30 documentos de experiencia,  será válido")</f>
        <v>Jean Philippe Abreu Molinari | Música | Em análise | Júnio: aluno enviou 30 documentos de experiencia,  será válido</v>
      </c>
      <c r="B1862" s="93"/>
    </row>
    <row r="1863">
      <c r="A1863" s="384" t="str">
        <f>IFERROR(__xludf.DUMMYFUNCTION("""COMPUTED_VALUE"""),"Jeane Carvalho Dos Santos | Neuropsicopedagogia Instittucional Clínica E Hospitalar | Aprovada | Júnio: 7% plágio, complementar etapas,  corrigir nas fichas horas lançadas erradas em alguns dias e ultrapassando 6 hs. //Júnio: aprovada: 14/12/23")</f>
        <v>Jeane Carvalho Dos Santos | Neuropsicopedagogia Instittucional Clínica E Hospitalar | Aprovada | Júnio: 7% plágio, complementar etapas,  corrigir nas fichas horas lançadas erradas em alguns dias e ultrapassando 6 hs. //Júnio: aprovada: 14/12/23</v>
      </c>
      <c r="B1863" s="93"/>
    </row>
    <row r="1864">
      <c r="A1864" s="384" t="str">
        <f>IFERROR(__xludf.DUMMYFUNCTION("""COMPUTED_VALUE"""),"Jeane Da Silva Santana | Psicopedagogia Institucional, Clínica,E Hospitalar | Aprovada | Júnio: pré aprovada PRAZO: 02/12/23 //Júnio: aprovada: 05/12/23")</f>
        <v>Jeane Da Silva Santana | Psicopedagogia Institucional, Clínica,E Hospitalar | Aprovada | Júnio: pré aprovada PRAZO: 02/12/23 //Júnio: aprovada: 05/12/23</v>
      </c>
      <c r="B1864" s="93"/>
    </row>
    <row r="1865">
      <c r="A1865" s="384" t="str">
        <f>IFERROR(__xludf.DUMMYFUNCTION("""COMPUTED_VALUE"""),"Jeaneide Vitorio Mendes Silva | Neuropsicopedagogia Institucional E Clínica | Aprovada | Bianca: Falta carta de encaminhamento e fichas de registros. //Júnio: aprovada: 07/12/21")</f>
        <v>Jeaneide Vitorio Mendes Silva | Neuropsicopedagogia Institucional E Clínica | Aprovada | Bianca: Falta carta de encaminhamento e fichas de registros. //Júnio: aprovada: 07/12/21</v>
      </c>
      <c r="B1865" s="93"/>
    </row>
    <row r="1866">
      <c r="A1866" s="384" t="str">
        <f>IFERROR(__xludf.DUMMYFUNCTION("""COMPUTED_VALUE"""),"Jeaneide Vitório Mendes Silva | Pedagogia | Aprovada | Ana Flávia: aprovada em todas as etapas")</f>
        <v>Jeaneide Vitório Mendes Silva | Pedagogia | Aprovada | Ana Flávia: aprovada em todas as etapas</v>
      </c>
      <c r="B1866" s="93"/>
    </row>
    <row r="1867">
      <c r="A1867" s="384" t="str">
        <f>IFERROR(__xludf.DUMMYFUNCTION("""COMPUTED_VALUE"""),"Jediael Ferreira Da Costa | Filosofia | Pré aprovado | Edilaine: Falta 82 horas, carta de aceite, termo de conclusão, especificar o tipo de acompanhamento e a série nas fichas. Tem até dia 05/12/2022 para reenviar o trabalho.// Lucas: Conferido e arquivad"&amp;"o dia 13/03/2023")</f>
        <v>Jediael Ferreira Da Costa | Filosofia | Pré aprovado | Edilaine: Falta 82 horas, carta de aceite, termo de conclusão, especificar o tipo de acompanhamento e a série nas fichas. Tem até dia 05/12/2022 para reenviar o trabalho.// Lucas: Conferido e arquivado dia 13/03/2023</v>
      </c>
      <c r="B1867" s="93"/>
    </row>
    <row r="1868">
      <c r="A1868" s="384" t="str">
        <f>IFERROR(__xludf.DUMMYFUNCTION("""COMPUTED_VALUE"""),"Jeferson De Oliveira Pessoa | Ciências Biológicas | Aprovado | Cris: carimbo na carta de apresentação//Alexsiane: pp aprovado")</f>
        <v>Jeferson De Oliveira Pessoa | Ciências Biológicas | Aprovado | Cris: carimbo na carta de apresentação//Alexsiane: pp aprovado</v>
      </c>
      <c r="B1868" s="93"/>
    </row>
    <row r="1869">
      <c r="A1869" s="384" t="str">
        <f>IFERROR(__xludf.DUMMYFUNCTION("""COMPUTED_VALUE"""),"Jeferson Ferreira De Freitas | Artes Visuais | aprovado | Aline Silva: número de horas com 05, sem descrição das atividades, e incompleto// aprovado dia 08/07/2020// Bárbara: Conferido e arquivado em 16/09/2020")</f>
        <v>Jeferson Ferreira De Freitas | Artes Visuais | aprovado | Aline Silva: número de horas com 05, sem descrição das atividades, e incompleto// aprovado dia 08/07/2020// Bárbara: Conferido e arquivado em 16/09/2020</v>
      </c>
      <c r="B1869" s="93"/>
    </row>
    <row r="1870">
      <c r="A1870" s="384" t="str">
        <f>IFERROR(__xludf.DUMMYFUNCTION("""COMPUTED_VALUE"""),"Jeferson Meireles Nogueira | Matemática | Aprovado | Júnio:especificar tipo de acompanhamento e série, complementar fichas com mais 196 hs, falta carta de apresentação e todas as etapas dissertativas PRAZO: 07/08/23 //Júnio: aprovado: 18/09/2023")</f>
        <v>Jeferson Meireles Nogueira | Matemática | Aprovado | Júnio:especificar tipo de acompanhamento e série, complementar fichas com mais 196 hs, falta carta de apresentação e todas as etapas dissertativas PRAZO: 07/08/23 //Júnio: aprovado: 18/09/2023</v>
      </c>
      <c r="B1870" s="93"/>
    </row>
    <row r="1871">
      <c r="A1871" s="384" t="str">
        <f>IFERROR(__xludf.DUMMYFUNCTION("""COMPUTED_VALUE"""),"Jéferson Sousa Brito Ramires |  |  | Aluno isento pela Camila até dia 30/08/24")</f>
        <v>Jéferson Sousa Brito Ramires |  |  | Aluno isento pela Camila até dia 30/08/24</v>
      </c>
      <c r="B1871" s="93"/>
    </row>
    <row r="1872">
      <c r="A1872" s="384" t="str">
        <f>IFERROR(__xludf.DUMMYFUNCTION("""COMPUTED_VALUE"""),"Jéferson Sousa Brito Ramires | Artes Visuais | Aprovado | Alexsiane: pp tem que complementar, restante ok(aluna de turma retroativa)// Alexsiane: pp aprovado 30/08")</f>
        <v>Jéferson Sousa Brito Ramires | Artes Visuais | Aprovado | Alexsiane: pp tem que complementar, restante ok(aluna de turma retroativa)// Alexsiane: pp aprovado 30/08</v>
      </c>
      <c r="B1872" s="93"/>
    </row>
    <row r="1873">
      <c r="A1873" s="384" t="str">
        <f>IFERROR(__xludf.DUMMYFUNCTION("""COMPUTED_VALUE"""),"Jefferson Aristiano Vargas | Formação Ped. Educ.Física | Aprovado | Cris: PP  aprovado")</f>
        <v>Jefferson Aristiano Vargas | Formação Ped. Educ.Física | Aprovado | Cris: PP  aprovado</v>
      </c>
      <c r="B1873" s="93"/>
    </row>
    <row r="1874">
      <c r="A1874" s="384" t="str">
        <f>IFERROR(__xludf.DUMMYFUNCTION("""COMPUTED_VALUE"""),"Jefferson Back Paiva | Neuropsicopedagogia Instittucional Clínica E Hospitalar | Em análise | Júnio: 16% plágio em vários sites")</f>
        <v>Jefferson Back Paiva | Neuropsicopedagogia Instittucional Clínica E Hospitalar | Em análise | Júnio: 16% plágio em vários sites</v>
      </c>
      <c r="B1874" s="93"/>
    </row>
    <row r="1875">
      <c r="A1875" s="384" t="str">
        <f>IFERROR(__xludf.DUMMYFUNCTION("""COMPUTED_VALUE"""),"Jefferson Back Paiva | Neuropsicopedagogia Instittucional Clínica E Hospitalar | Aprovado | Júnio: aprovado com lançamento no Sponte //Júnio: conferido e arquivado: 21/01/22")</f>
        <v>Jefferson Back Paiva | Neuropsicopedagogia Instittucional Clínica E Hospitalar | Aprovado | Júnio: aprovado com lançamento no Sponte //Júnio: conferido e arquivado: 21/01/22</v>
      </c>
      <c r="B1875" s="93"/>
    </row>
    <row r="1876">
      <c r="A1876" s="384" t="str">
        <f>IFERROR(__xludf.DUMMYFUNCTION("""COMPUTED_VALUE"""),"Jefferson Back Paiva | Pedagogia | Aprovado | Júnio: 63% plágio //Júnio: aprovado 10/01/2022   //Júnio: conferido e arquivado: 21/01/22")</f>
        <v>Jefferson Back Paiva | Pedagogia | Aprovado | Júnio: 63% plágio //Júnio: aprovado 10/01/2022   //Júnio: conferido e arquivado: 21/01/22</v>
      </c>
      <c r="B1876" s="93"/>
    </row>
    <row r="1877">
      <c r="A1877" s="384" t="str">
        <f>IFERROR(__xludf.DUMMYFUNCTION("""COMPUTED_VALUE"""),"Jefferson Back Paiva | Psicopedagogia Inst, Clínica E Educação Infantil | Em análise | Júnio: 18% plágio em vários sites")</f>
        <v>Jefferson Back Paiva | Psicopedagogia Inst, Clínica E Educação Infantil | Em análise | Júnio: 18% plágio em vários sites</v>
      </c>
      <c r="B1877" s="93"/>
    </row>
    <row r="1878">
      <c r="A1878" s="384" t="str">
        <f>IFERROR(__xludf.DUMMYFUNCTION("""COMPUTED_VALUE"""),"Jefferson Back Paiva | Psicopedagogia Inst. Clínica E Hospitalar | Aprovado | Júnio: aprovado com lançamento no Sponte //Júnio: conferido e arquivado: 21/01/22")</f>
        <v>Jefferson Back Paiva | Psicopedagogia Inst. Clínica E Hospitalar | Aprovado | Júnio: aprovado com lançamento no Sponte //Júnio: conferido e arquivado: 21/01/22</v>
      </c>
      <c r="B1878" s="93"/>
    </row>
    <row r="1879">
      <c r="A1879" s="384" t="str">
        <f>IFERROR(__xludf.DUMMYFUNCTION("""COMPUTED_VALUE"""),"Jefferson Bonifácio Albuquerque De Menezes | Pedagogia | Aprovado | Ana Flávia: aprovado em todas as etapas // Bárbara: imprimido e arquivado 08/01/2021")</f>
        <v>Jefferson Bonifácio Albuquerque De Menezes | Pedagogia | Aprovado | Ana Flávia: aprovado em todas as etapas // Bárbara: imprimido e arquivado 08/01/2021</v>
      </c>
      <c r="B1879" s="93"/>
    </row>
    <row r="1880">
      <c r="A1880" s="384" t="str">
        <f>IFERROR(__xludf.DUMMYFUNCTION("""COMPUTED_VALUE"""),"Jefferson Costa Da Silva Moreira | Formação Pedagógica Em Música | Aprovado | Cris: PP aprovado")</f>
        <v>Jefferson Costa Da Silva Moreira | Formação Pedagógica Em Música | Aprovado | Cris: PP aprovado</v>
      </c>
      <c r="B1880" s="93"/>
    </row>
    <row r="1881">
      <c r="A1881" s="384" t="str">
        <f>IFERROR(__xludf.DUMMYFUNCTION("""COMPUTED_VALUE"""),"Jefferson De Castro Da Silva | Música | Aprovado | Júnio: PP aprovado")</f>
        <v>Jefferson De Castro Da Silva | Música | Aprovado | Júnio: PP aprovado</v>
      </c>
      <c r="B1881" s="93"/>
    </row>
    <row r="1882">
      <c r="A1882" s="384" t="str">
        <f>IFERROR(__xludf.DUMMYFUNCTION("""COMPUTED_VALUE"""),"Jefferson Viana Da Silva | Letras Português | Em análise | Júnio: pelo guru declaração de experiencia válida")</f>
        <v>Jefferson Viana Da Silva | Letras Português | Em análise | Júnio: pelo guru declaração de experiencia válida</v>
      </c>
      <c r="B1882" s="93"/>
    </row>
    <row r="1883">
      <c r="A1883" s="384" t="str">
        <f>IFERROR(__xludf.DUMMYFUNCTION("""COMPUTED_VALUE"""),"Jeicimilena Da Silva Campos | Neuropsicopedagogia Institucional, Clínica E Hospitalar | Pré- aprovada | Alexsiane: falta especificar o tema nas fichas de registro e cobrir o rosto das crianças. /// Edilaine: Pré- aprovada 16/01")</f>
        <v>Jeicimilena Da Silva Campos | Neuropsicopedagogia Institucional, Clínica E Hospitalar | Pré- aprovada | Alexsiane: falta especificar o tema nas fichas de registro e cobrir o rosto das crianças. /// Edilaine: Pré- aprovada 16/01</v>
      </c>
      <c r="B1883" s="93"/>
    </row>
    <row r="1884">
      <c r="A1884" s="384" t="str">
        <f>IFERROR(__xludf.DUMMYFUNCTION("""COMPUTED_VALUE"""),"Jemima De Oliveira Silva | Pedagogia | Aprovada | Bárbara: aprovada nas 3 primeiras etapas do remoto // Amélia: aprovada 03/03/2021")</f>
        <v>Jemima De Oliveira Silva | Pedagogia | Aprovada | Bárbara: aprovada nas 3 primeiras etapas do remoto // Amélia: aprovada 03/03/2021</v>
      </c>
      <c r="B1884" s="93"/>
    </row>
    <row r="1885">
      <c r="A1885" s="384" t="str">
        <f>IFERROR(__xludf.DUMMYFUNCTION("""COMPUTED_VALUE"""),"Jeneffer Vilela De Souza | Pedagogia | Em análise | Alexsiane: 17,97% de plágio")</f>
        <v>Jeneffer Vilela De Souza | Pedagogia | Em análise | Alexsiane: 17,97% de plágio</v>
      </c>
      <c r="B1885" s="93"/>
    </row>
    <row r="1886">
      <c r="A1886" s="384" t="str">
        <f>IFERROR(__xludf.DUMMYFUNCTION("""COMPUTED_VALUE"""),"Jenyffer Nicodemos Fraga | Música | Aprovado | Alexsiane: pp aprovado")</f>
        <v>Jenyffer Nicodemos Fraga | Música | Aprovado | Alexsiane: pp aprovado</v>
      </c>
      <c r="B1886" s="93"/>
    </row>
    <row r="1887">
      <c r="A1887" s="384" t="str">
        <f>IFERROR(__xludf.DUMMYFUNCTION("""COMPUTED_VALUE"""),"Jerusa Aparecida Vargas De Oliveira | Pedagogia | Aprovada | Edilaine: Tem que especificar o total de horas cumpridas na ficha de registro do dia 03/11/2022, tem que especificar o tipo de acompanhamento e série na ficha de registro do dia 23/11/2022, tem "&amp;"que fazer mais 19 horas de gestão. Tem até dia 11/03/2023 para reenviar.  //// Edilaine: Pré-aprovada 12/04  /// Edilaine: Aprovada 20/04")</f>
        <v>Jerusa Aparecida Vargas De Oliveira | Pedagogia | Aprovada | Edilaine: Tem que especificar o total de horas cumpridas na ficha de registro do dia 03/11/2022, tem que especificar o tipo de acompanhamento e série na ficha de registro do dia 23/11/2022, tem que fazer mais 19 horas de gestão. Tem até dia 11/03/2023 para reenviar.  //// Edilaine: Pré-aprovada 12/04  /// Edilaine: Aprovada 20/04</v>
      </c>
      <c r="B1887" s="93"/>
    </row>
    <row r="1888">
      <c r="A1888" s="384" t="str">
        <f>IFERROR(__xludf.DUMMYFUNCTION("""COMPUTED_VALUE"""),"Jeruza Campos Araújo | Pedagogia | Aprovada | Amélia: aprovado nas 3 primerias etapas do remoto // Bárbara: aprovada na 4ª etapa 10/03/2021")</f>
        <v>Jeruza Campos Araújo | Pedagogia | Aprovada | Amélia: aprovado nas 3 primerias etapas do remoto // Bárbara: aprovada na 4ª etapa 10/03/2021</v>
      </c>
      <c r="B1888" s="93"/>
    </row>
    <row r="1889">
      <c r="A1889" s="384" t="str">
        <f>IFERROR(__xludf.DUMMYFUNCTION("""COMPUTED_VALUE"""),"Jesiane Alaise Cardoso | Pedagogia | Aprovada | Júnio: alguns totais diários errado e falta o termo de conclusão. //Júnio: aprovada: 29/11/23")</f>
        <v>Jesiane Alaise Cardoso | Pedagogia | Aprovada | Júnio: alguns totais diários errado e falta o termo de conclusão. //Júnio: aprovada: 29/11/23</v>
      </c>
      <c r="B1889" s="93"/>
    </row>
    <row r="1890">
      <c r="A1890" s="384" t="str">
        <f>IFERROR(__xludf.DUMMYFUNCTION("""COMPUTED_VALUE"""),"Jessé Dos Santos Silva | Educação Física | Aprovado | Alexsiane: falta 19 planos de aula e 16,24% de plágio  // Edilaine: Aprovado na 4° etapa 12/01")</f>
        <v>Jessé Dos Santos Silva | Educação Física | Aprovado | Alexsiane: falta 19 planos de aula e 16,24% de plágio  // Edilaine: Aprovado na 4° etapa 12/01</v>
      </c>
      <c r="B1890" s="93"/>
    </row>
    <row r="1891">
      <c r="A1891" s="384" t="str">
        <f>IFERROR(__xludf.DUMMYFUNCTION("""COMPUTED_VALUE"""),"Jéssica Adriane De Castro Cruz | Pedagogia | Em análise | Júnio: declaração de experiência válida")</f>
        <v>Jéssica Adriane De Castro Cruz | Pedagogia | Em análise | Júnio: declaração de experiência válida</v>
      </c>
      <c r="B1891" s="93"/>
    </row>
    <row r="1892">
      <c r="A1892" s="384" t="str">
        <f>IFERROR(__xludf.DUMMYFUNCTION("""COMPUTED_VALUE"""),"Jéssica Adriane De Castro Cruz | Pedagogia | Aprovada | Júnio: PP aprovada")</f>
        <v>Jéssica Adriane De Castro Cruz | Pedagogia | Aprovada | Júnio: PP aprovada</v>
      </c>
      <c r="B1892" s="93"/>
    </row>
    <row r="1893">
      <c r="A1893" s="384" t="str">
        <f>IFERROR(__xludf.DUMMYFUNCTION("""COMPUTED_VALUE"""),"Jessica Aparecida De Carvalho Oliveira | Pedagogia | Aprovada | Júnio: pelo guru declaração de experiência válida //Júnio: pre aprovada: 09/05/23 //Júnio: aprovada: 18/05/23")</f>
        <v>Jessica Aparecida De Carvalho Oliveira | Pedagogia | Aprovada | Júnio: pelo guru declaração de experiência válida //Júnio: pre aprovada: 09/05/23 //Júnio: aprovada: 18/05/23</v>
      </c>
      <c r="B1893" s="93"/>
    </row>
    <row r="1894">
      <c r="A1894" s="384" t="str">
        <f>IFERROR(__xludf.DUMMYFUNCTION("""COMPUTED_VALUE"""),"Jéssica Aparecida Euzébio | Letras Português | Aprovada | Alexsiane: falta 50 horas de gestão, especificar o tema das aulas nas fichas de registro( jacad)//Alexsiane: Pré-aprovado (jacad, não anexei). // Pâmela 18/11/22 Conferido e arquivado. ")</f>
        <v>Jéssica Aparecida Euzébio | Letras Português | Aprovada | Alexsiane: falta 50 horas de gestão, especificar o tema das aulas nas fichas de registro( jacad)//Alexsiane: Pré-aprovado (jacad, não anexei). // Pâmela 18/11/22 Conferido e arquivado. </v>
      </c>
      <c r="B1894" s="93"/>
    </row>
    <row r="1895">
      <c r="A1895" s="384" t="str">
        <f>IFERROR(__xludf.DUMMYFUNCTION("""COMPUTED_VALUE"""),"Jéssica De Aguiar Da Silva | Psicopedagogia Institucional E Clínica | Aprovada | Júnio: nas fichas precisa especificar tipo de acompanhamento, corrigir carga horária diária errada e fez mais de 6 por dia. //Júnio: pré aprovada: 08/11/23 //Júnio: aprovada:"&amp;" 17/11/2023")</f>
        <v>Jéssica De Aguiar Da Silva | Psicopedagogia Institucional E Clínica | Aprovada | Júnio: nas fichas precisa especificar tipo de acompanhamento, corrigir carga horária diária errada e fez mais de 6 por dia. //Júnio: pré aprovada: 08/11/23 //Júnio: aprovada: 17/11/2023</v>
      </c>
      <c r="B1895" s="93"/>
    </row>
    <row r="1896">
      <c r="A1896" s="384" t="str">
        <f>IFERROR(__xludf.DUMMYFUNCTION("""COMPUTED_VALUE"""),"Jéssica De Barros Vaz | Artes Visuais | Em análise | Bianca: Enviou apenas planos de aulas remotos antigo ")</f>
        <v>Jéssica De Barros Vaz | Artes Visuais | Em análise | Bianca: Enviou apenas planos de aulas remotos antigo </v>
      </c>
      <c r="B1896" s="93"/>
    </row>
    <row r="1897">
      <c r="A1897" s="384" t="str">
        <f>IFERROR(__xludf.DUMMYFUNCTION("""COMPUTED_VALUE"""),"Jessica Gomes De Almeida Prata | Filosofia | Aprovada | Pamela: aluna enviou a declaração de experiência e que não foi válida. //Júnio: pre aprovada: 19/06/23 //Júnio: aprovada: 23/06/23")</f>
        <v>Jessica Gomes De Almeida Prata | Filosofia | Aprovada | Pamela: aluna enviou a declaração de experiência e que não foi válida. //Júnio: pre aprovada: 19/06/23 //Júnio: aprovada: 23/06/23</v>
      </c>
      <c r="B1897" s="93"/>
    </row>
    <row r="1898">
      <c r="A1898" s="384" t="str">
        <f>IFERROR(__xludf.DUMMYFUNCTION("""COMPUTED_VALUE"""),"Jéssica Hellen De Melo Ferreira | Letras Inglês | Aprovada | Júnio: PP aprovada")</f>
        <v>Jéssica Hellen De Melo Ferreira | Letras Inglês | Aprovada | Júnio: PP aprovada</v>
      </c>
      <c r="B1898" s="93"/>
    </row>
    <row r="1899">
      <c r="A1899" s="384" t="str">
        <f>IFERROR(__xludf.DUMMYFUNCTION("""COMPUTED_VALUE"""),"Jessica Kaelinne Maia De Melo Gusmão | Geografia | Aprovado | Alexsiane: pp aprovado")</f>
        <v>Jessica Kaelinne Maia De Melo Gusmão | Geografia | Aprovado | Alexsiane: pp aprovado</v>
      </c>
      <c r="B1899" s="93"/>
    </row>
    <row r="1900">
      <c r="A1900" s="384" t="str">
        <f>IFERROR(__xludf.DUMMYFUNCTION("""COMPUTED_VALUE"""),"Jéssica Mara Da Fonseca | Matemática | Aprovada | Júnio: declaração de experiencia não foi válida, especificar na ficha de registro tipo de acompanhamento, tema e série, faltam todas etapas dissertativas. //Júnio: pré aprovada: 05/07/23 //Júnio: aprovada:"&amp;" 12/07/23")</f>
        <v>Jéssica Mara Da Fonseca | Matemática | Aprovada | Júnio: declaração de experiencia não foi válida, especificar na ficha de registro tipo de acompanhamento, tema e série, faltam todas etapas dissertativas. //Júnio: pré aprovada: 05/07/23 //Júnio: aprovada: 12/07/23</v>
      </c>
      <c r="B1900" s="93"/>
    </row>
    <row r="1901">
      <c r="A1901" s="384" t="str">
        <f>IFERROR(__xludf.DUMMYFUNCTION("""COMPUTED_VALUE"""),"Jéssica Milanez Tosin Lima | Pedagogia | Aprovada | Júnio: PP - carta de apresentação com assinatura colada //Júnio: aprovada 11/01/24")</f>
        <v>Jéssica Milanez Tosin Lima | Pedagogia | Aprovada | Júnio: PP - carta de apresentação com assinatura colada //Júnio: aprovada 11/01/24</v>
      </c>
      <c r="B1901" s="93"/>
    </row>
    <row r="1902">
      <c r="A1902" s="384" t="str">
        <f>IFERROR(__xludf.DUMMYFUNCTION("""COMPUTED_VALUE"""),"Jéssica Moreno De Mendonça | Pedagogia | Aprovada | Júnio: PP aprovada")</f>
        <v>Jéssica Moreno De Mendonça | Pedagogia | Aprovada | Júnio: PP aprovada</v>
      </c>
      <c r="B1902" s="93"/>
    </row>
    <row r="1903">
      <c r="A1903" s="384" t="str">
        <f>IFERROR(__xludf.DUMMYFUNCTION("""COMPUTED_VALUE"""),"Jéssica Raquel Goularte Fernandes | Artes Visuais | Aprovada | Bárbara: etapas 1 2 e 3 que precisam de correção  //Júnio: físico recebido e conferido: 30/08/22")</f>
        <v>Jéssica Raquel Goularte Fernandes | Artes Visuais | Aprovada | Bárbara: etapas 1 2 e 3 que precisam de correção  //Júnio: físico recebido e conferido: 30/08/22</v>
      </c>
      <c r="B1903" s="93"/>
    </row>
    <row r="1904">
      <c r="A1904" s="384" t="str">
        <f>IFERROR(__xludf.DUMMYFUNCTION("""COMPUTED_VALUE"""),"Jéssica Rocha Pires Da Silva | Letras Inglês | Aprovada | Júnio: pré aprovada no estágio padrão // Pâmela 17/01/2023 Conferido e arquivado. ")</f>
        <v>Jéssica Rocha Pires Da Silva | Letras Inglês | Aprovada | Júnio: pré aprovada no estágio padrão // Pâmela 17/01/2023 Conferido e arquivado. </v>
      </c>
      <c r="B1904" s="93"/>
    </row>
    <row r="1905">
      <c r="A1905" s="384" t="str">
        <f>IFERROR(__xludf.DUMMYFUNCTION("""COMPUTED_VALUE"""),"Jéssica Saldanha Batistela | Educação Física | Aprovada | Júnio: PP aprovada")</f>
        <v>Jéssica Saldanha Batistela | Educação Física | Aprovada | Júnio: PP aprovada</v>
      </c>
      <c r="B1905" s="93"/>
    </row>
    <row r="1906">
      <c r="A1906" s="384" t="str">
        <f>IFERROR(__xludf.DUMMYFUNCTION("""COMPUTED_VALUE"""),"Jessilane Alves De Souza | Pedagogia | Aprovada | Pamela: Plágio 4,46; Refazer as fichas Educação Infantil e Especial, PPP. //Júnio: pré aprovada //Júnio: aprovada: 18/07/23")</f>
        <v>Jessilane Alves De Souza | Pedagogia | Aprovada | Pamela: Plágio 4,46; Refazer as fichas Educação Infantil e Especial, PPP. //Júnio: pré aprovada //Júnio: aprovada: 18/07/23</v>
      </c>
      <c r="B1906" s="93"/>
    </row>
    <row r="1907">
      <c r="A1907" s="384" t="str">
        <f>IFERROR(__xludf.DUMMYFUNCTION("""COMPUTED_VALUE"""),"Jéssyca Dauany Da Silva | Geografia | Aprovado | Estella: horas insuficientes. Aprovado dia 15/01/2019. Recebido no Instituto dia 04/06/2019.")</f>
        <v>Jéssyca Dauany Da Silva | Geografia | Aprovado | Estella: horas insuficientes. Aprovado dia 15/01/2019. Recebido no Instituto dia 04/06/2019.</v>
      </c>
      <c r="B1907" s="93"/>
    </row>
    <row r="1908">
      <c r="A1908" s="384" t="str">
        <f>IFERROR(__xludf.DUMMYFUNCTION("""COMPUTED_VALUE"""),"Jesué Alves Moreira | História | Aprovado | Bianca: aprovado nas 4 etapas do remoto antigo")</f>
        <v>Jesué Alves Moreira | História | Aprovado | Bianca: aprovado nas 4 etapas do remoto antigo</v>
      </c>
      <c r="B1908" s="93"/>
    </row>
    <row r="1909">
      <c r="A1909" s="384" t="str">
        <f>IFERROR(__xludf.DUMMYFUNCTION("""COMPUTED_VALUE"""),"Jeuzimar Alves Porto Bragança | Artes Visuais | Aprovado | Júnio: aprovado no remoto antigo")</f>
        <v>Jeuzimar Alves Porto Bragança | Artes Visuais | Aprovado | Júnio: aprovado no remoto antigo</v>
      </c>
      <c r="B1909" s="93"/>
    </row>
    <row r="1910">
      <c r="A1910" s="384" t="str">
        <f>IFERROR(__xludf.DUMMYFUNCTION("""COMPUTED_VALUE"""),"Jhaimes Souza Teixeira | Letras/Português-Inglês | Aprovado | Alexsiane: complementar as fichas de registro com maisb 66 horas, restante ok// Alexsiane: Pré- aprovado, autorizado a autenticar.// Pamela29/03/2023 Conferido e arquivado autenticação ")</f>
        <v>Jhaimes Souza Teixeira | Letras/Português-Inglês | Aprovado | Alexsiane: complementar as fichas de registro com maisb 66 horas, restante ok// Alexsiane: Pré- aprovado, autorizado a autenticar.// Pamela29/03/2023 Conferido e arquivado autenticação </v>
      </c>
      <c r="B1910" s="93"/>
    </row>
    <row r="1911">
      <c r="A1911" s="384" t="str">
        <f>IFERROR(__xludf.DUMMYFUNCTION("""COMPUTED_VALUE"""),"Jhonata Francisco De Oliveira | Artes Visuais | Aprovado | Bárbara: vários planos iguais //Bianca: aprovado: 28/07/21")</f>
        <v>Jhonata Francisco De Oliveira | Artes Visuais | Aprovado | Bárbara: vários planos iguais //Bianca: aprovado: 28/07/21</v>
      </c>
      <c r="B1911" s="93"/>
    </row>
    <row r="1912">
      <c r="A1912" s="384" t="str">
        <f>IFERROR(__xludf.DUMMYFUNCTION("""COMPUTED_VALUE"""),"Jhonatan Francisco De Oliveira | Artes Visuais | Aprovada | Bianca: aprovada nas 3 1ªs etapas do remoto antigo")</f>
        <v>Jhonatan Francisco De Oliveira | Artes Visuais | Aprovada | Bianca: aprovada nas 3 1ªs etapas do remoto antigo</v>
      </c>
      <c r="B1912" s="93"/>
    </row>
    <row r="1913">
      <c r="A1913" s="384" t="str">
        <f>IFERROR(__xludf.DUMMYFUNCTION("""COMPUTED_VALUE"""),"Jhonatan Wilson Maciel Quaresma | Artes Visuais | Aprovado | Bárbara: aprovado nas 3 primeiras etapas do remoto, e apresentou declaração de experiência válida. //Júnio:conferido e arquivado: 20/07/21")</f>
        <v>Jhonatan Wilson Maciel Quaresma | Artes Visuais | Aprovado | Bárbara: aprovado nas 3 primeiras etapas do remoto, e apresentou declaração de experiência válida. //Júnio:conferido e arquivado: 20/07/21</v>
      </c>
      <c r="B1913" s="93"/>
    </row>
    <row r="1914">
      <c r="A1914" s="384" t="str">
        <f>IFERROR(__xludf.DUMMYFUNCTION("""COMPUTED_VALUE"""),"Jhoyciany Viana Pereira | Pedagogia | Aprovada | Bárbara: apresentou declração de experiência válida para isenção da 4ª etapa do remoto antigo  //Júnio: aprovada: 14/04/22")</f>
        <v>Jhoyciany Viana Pereira | Pedagogia | Aprovada | Bárbara: apresentou declração de experiência válida para isenção da 4ª etapa do remoto antigo  //Júnio: aprovada: 14/04/22</v>
      </c>
      <c r="B1914" s="93"/>
    </row>
    <row r="1915">
      <c r="A1915" s="384" t="str">
        <f>IFERROR(__xludf.DUMMYFUNCTION("""COMPUTED_VALUE"""),"Joabe Pereira De Moraes | Letras Português Inglês | Aprovada | Bianca: 30% de plágio// Alexsiane: aprovado com lançamento no Sponte")</f>
        <v>Joabe Pereira De Moraes | Letras Português Inglês | Aprovada | Bianca: 30% de plágio// Alexsiane: aprovado com lançamento no Sponte</v>
      </c>
      <c r="B1915" s="93"/>
    </row>
    <row r="1916">
      <c r="A1916" s="384" t="str">
        <f>IFERROR(__xludf.DUMMYFUNCTION("""COMPUTED_VALUE"""),"Joana Darc Julio Do Nascimento | Neuropsicologia Clínica | Aprovada | Alexsiane: estágio aprovado")</f>
        <v>Joana Darc Julio Do Nascimento | Neuropsicologia Clínica | Aprovada | Alexsiane: estágio aprovado</v>
      </c>
      <c r="B1916" s="93"/>
    </row>
    <row r="1917">
      <c r="A1917" s="384" t="str">
        <f>IFERROR(__xludf.DUMMYFUNCTION("""COMPUTED_VALUE"""),"Joanita Natali Rosendo Pereira Silva | Neuropsicopedagogia Institucional, Clínica E Hospitalar | Em análise | Lucas: Completar Anamnese ")</f>
        <v>Joanita Natali Rosendo Pereira Silva | Neuropsicopedagogia Institucional, Clínica E Hospitalar | Em análise | Lucas: Completar Anamnese </v>
      </c>
      <c r="B1917" s="93"/>
    </row>
    <row r="1918">
      <c r="A1918" s="384" t="str">
        <f>IFERROR(__xludf.DUMMYFUNCTION("""COMPUTED_VALUE"""),"João Acelino Barbosa Filho | Música | Aprovado | Júnio: PP aprovado")</f>
        <v>João Acelino Barbosa Filho | Música | Aprovado | Júnio: PP aprovado</v>
      </c>
      <c r="B1918" s="93"/>
    </row>
    <row r="1919">
      <c r="A1919" s="384" t="str">
        <f>IFERROR(__xludf.DUMMYFUNCTION("""COMPUTED_VALUE"""),"João Alberto Ponte Mendonça | Letras Port. | aprovado | Aline Silva: aprovado// Bárbara: Conferido e arquivado 10/09/2020")</f>
        <v>João Alberto Ponte Mendonça | Letras Port. | aprovado | Aline Silva: aprovado// Bárbara: Conferido e arquivado 10/09/2020</v>
      </c>
      <c r="B1919" s="93"/>
    </row>
    <row r="1920">
      <c r="A1920" s="384" t="str">
        <f>IFERROR(__xludf.DUMMYFUNCTION("""COMPUTED_VALUE"""),"João Amauri Barbeto Vieira | Filosofia | Aprovado | Júnio: Etapas 1,2 e 3 corretas do Remoto Antigo //Bárbara: aprovado 22/06/2021")</f>
        <v>João Amauri Barbeto Vieira | Filosofia | Aprovado | Júnio: Etapas 1,2 e 3 corretas do Remoto Antigo //Bárbara: aprovado 22/06/2021</v>
      </c>
      <c r="B1920" s="93"/>
    </row>
    <row r="1921">
      <c r="A1921" s="384" t="str">
        <f>IFERROR(__xludf.DUMMYFUNCTION("""COMPUTED_VALUE"""),"João Batista De Souza Maia | História | Aprovado | Alexsiane: falta a ficha de registro e a carta de apresentação escaneada. //Júnio:aprovado: 10/06/22 //Júnio: conferido e arquivado: 08/07/22")</f>
        <v>João Batista De Souza Maia | História | Aprovado | Alexsiane: falta a ficha de registro e a carta de apresentação escaneada. //Júnio:aprovado: 10/06/22 //Júnio: conferido e arquivado: 08/07/22</v>
      </c>
      <c r="B1921" s="93"/>
    </row>
    <row r="1922">
      <c r="A1922" s="384" t="str">
        <f>IFERROR(__xludf.DUMMYFUNCTION("""COMPUTED_VALUE"""),"João Bosco Alves | Artes Visuais | Aprovado | Bianca: etapas 1, 2 e 4 ok, etapa 3 apenas 1 planos //Bianca: aprovado: 06/07/2021")</f>
        <v>João Bosco Alves | Artes Visuais | Aprovado | Bianca: etapas 1, 2 e 4 ok, etapa 3 apenas 1 planos //Bianca: aprovado: 06/07/2021</v>
      </c>
      <c r="B1922" s="93"/>
    </row>
    <row r="1923">
      <c r="A1923" s="384" t="str">
        <f>IFERROR(__xludf.DUMMYFUNCTION("""COMPUTED_VALUE"""),"João Claudio De Santana Guerra | Letras Português | Aprovado | Alexsiane: etapa 1,2,3 ok, falta 4° etapa do remoto antigo //Júnio: aprovado no video: 07/07/22")</f>
        <v>João Claudio De Santana Guerra | Letras Português | Aprovado | Alexsiane: etapa 1,2,3 ok, falta 4° etapa do remoto antigo //Júnio: aprovado no video: 07/07/22</v>
      </c>
      <c r="B1923" s="93"/>
    </row>
    <row r="1924">
      <c r="A1924" s="384" t="str">
        <f>IFERROR(__xludf.DUMMYFUNCTION("""COMPUTED_VALUE"""),"João Dias De Almeida | Musica | Aprovado | Pamela: declaração de experiência valida/ Alexsiane pp aprovado")</f>
        <v>João Dias De Almeida | Musica | Aprovado | Pamela: declaração de experiência valida/ Alexsiane pp aprovado</v>
      </c>
      <c r="B1924" s="93"/>
    </row>
    <row r="1925">
      <c r="A1925" s="384" t="str">
        <f>IFERROR(__xludf.DUMMYFUNCTION("""COMPUTED_VALUE"""),"João Eduardo Marques Salles | Educação Física | Em análise | Júnio: PP - etapas: ok Inicio: 09/08/23 Reenviar: 09/02/2024")</f>
        <v>João Eduardo Marques Salles | Educação Física | Em análise | Júnio: PP - etapas: ok Inicio: 09/08/23 Reenviar: 09/02/2024</v>
      </c>
      <c r="B1925" s="93"/>
    </row>
    <row r="1926">
      <c r="A1926" s="384" t="str">
        <f>IFERROR(__xludf.DUMMYFUNCTION("""COMPUTED_VALUE"""),"João Jatoba Azize | Segunda Licenciatura Pedagogia | Aprovado | Rayssa pcc aprovado")</f>
        <v>João Jatoba Azize | Segunda Licenciatura Pedagogia | Aprovado | Rayssa pcc aprovado</v>
      </c>
      <c r="B1926" s="93"/>
    </row>
    <row r="1927">
      <c r="A1927" s="384" t="str">
        <f>IFERROR(__xludf.DUMMYFUNCTION("""COMPUTED_VALUE"""),"João Marcelo Dos Santos De Oliveira | Artes Visuais | Aprovado | Pamela: declaração de experiencia válida //Júnio:aprovado: 18/10/23")</f>
        <v>João Marcelo Dos Santos De Oliveira | Artes Visuais | Aprovado | Pamela: declaração de experiencia válida //Júnio:aprovado: 18/10/23</v>
      </c>
      <c r="B1927" s="93"/>
    </row>
    <row r="1928">
      <c r="A1928" s="384" t="str">
        <f>IFERROR(__xludf.DUMMYFUNCTION("""COMPUTED_VALUE"""),"João Marcos Brandet | Música | Aprovado | Júnio: PP - inicio: 21/07/2023 Reenviar: 21/01/24 //Júnio: aprovado: 24/01/24")</f>
        <v>João Marcos Brandet | Música | Aprovado | Júnio: PP - inicio: 21/07/2023 Reenviar: 21/01/24 //Júnio: aprovado: 24/01/24</v>
      </c>
      <c r="B1928" s="93"/>
    </row>
    <row r="1929">
      <c r="A1929" s="384" t="str">
        <f>IFERROR(__xludf.DUMMYFUNCTION("""COMPUTED_VALUE"""),"João Marcos Feliciano Cella | História | Pré aprovado | Alexsiane: especificar nas fichas a turma e a serie, corrigir as assinaturas coladas e colocar todos o acompanhamento em dias diferentes.// Alexsiane: pré aprovado com lançamento no sponte")</f>
        <v>João Marcos Feliciano Cella | História | Pré aprovado | Alexsiane: especificar nas fichas a turma e a serie, corrigir as assinaturas coladas e colocar todos o acompanhamento em dias diferentes.// Alexsiane: pré aprovado com lançamento no sponte</v>
      </c>
      <c r="B1929" s="93"/>
    </row>
    <row r="1930">
      <c r="A1930" s="384" t="str">
        <f>IFERROR(__xludf.DUMMYFUNCTION("""COMPUTED_VALUE"""),"João Mateus Issa Felipe | Música | Aprovado | Alexsiane: pp aprovado")</f>
        <v>João Mateus Issa Felipe | Música | Aprovado | Alexsiane: pp aprovado</v>
      </c>
      <c r="B1930" s="93"/>
    </row>
    <row r="1931">
      <c r="A1931" s="384" t="str">
        <f>IFERROR(__xludf.DUMMYFUNCTION("""COMPUTED_VALUE"""),"João Nicolau Neto | Pedagogia | Aprovado | Bárbara: aprovado nas 3 primeiras etapas do remoto, aguardando a 4ª. // Bárbara: aprovado 4ª etapa 20/11/2020// Miryã: conferido e arquivado 10/03/2021")</f>
        <v>João Nicolau Neto | Pedagogia | Aprovado | Bárbara: aprovado nas 3 primeiras etapas do remoto, aguardando a 4ª. // Bárbara: aprovado 4ª etapa 20/11/2020// Miryã: conferido e arquivado 10/03/2021</v>
      </c>
      <c r="B1931" s="93"/>
    </row>
    <row r="1932">
      <c r="A1932" s="384" t="str">
        <f>IFERROR(__xludf.DUMMYFUNCTION("""COMPUTED_VALUE"""),"João Paulo Ferreira Fonseca | Pedagogia | Aprovado | Júnio: 7,1% plágio //Júnio: aprovado: 08/12/2023")</f>
        <v>João Paulo Ferreira Fonseca | Pedagogia | Aprovado | Júnio: 7,1% plágio //Júnio: aprovado: 08/12/2023</v>
      </c>
      <c r="B1932" s="93"/>
    </row>
    <row r="1933">
      <c r="A1933" s="384" t="str">
        <f>IFERROR(__xludf.DUMMYFUNCTION("""COMPUTED_VALUE"""),"João Pedro Batista Da Silva | História | Aprovado | Bianca: elaborou apenas 4 planos de aulas, remoto atualizado// Alexsiane: pré aprovado. Confome bianca não cobrou nada também não cobrei // Pamela 26/01/2023 Conferido e arquivado. ")</f>
        <v>João Pedro Batista Da Silva | História | Aprovado | Bianca: elaborou apenas 4 planos de aulas, remoto atualizado// Alexsiane: pré aprovado. Confome bianca não cobrou nada também não cobrei // Pamela 26/01/2023 Conferido e arquivado. </v>
      </c>
      <c r="B1933" s="93"/>
    </row>
    <row r="1934">
      <c r="A1934" s="384" t="str">
        <f>IFERROR(__xludf.DUMMYFUNCTION("""COMPUTED_VALUE"""),"João Pereira Dos Santos | Matemática | Aprovado | Bianca: apenas carta de apresentação e declaração de experiência //Júnio: aprovado: 26/12/23")</f>
        <v>João Pereira Dos Santos | Matemática | Aprovado | Bianca: apenas carta de apresentação e declaração de experiência //Júnio: aprovado: 26/12/23</v>
      </c>
      <c r="B1934" s="93"/>
    </row>
    <row r="1935">
      <c r="A1935" s="384" t="str">
        <f>IFERROR(__xludf.DUMMYFUNCTION("""COMPUTED_VALUE"""),"João Victor Da Rocha Barros | Pedagogia | Aprovado | Júnio: PP - falta a carta de apresentação// Alexsiane: PP aprovado 05/02/24")</f>
        <v>João Victor Da Rocha Barros | Pedagogia | Aprovado | Júnio: PP - falta a carta de apresentação// Alexsiane: PP aprovado 05/02/24</v>
      </c>
      <c r="B1935" s="93"/>
    </row>
    <row r="1936">
      <c r="A1936" s="384" t="str">
        <f>IFERROR(__xludf.DUMMYFUNCTION("""COMPUTED_VALUE"""),"João Vieira Silva | Segunda Licenciatura Em Música | Aprovado | Rayssa PP Falta etapa 2// Alexsiane: aprovado no pp 01/11/2024")</f>
        <v>João Vieira Silva | Segunda Licenciatura Em Música | Aprovado | Rayssa PP Falta etapa 2// Alexsiane: aprovado no pp 01/11/2024</v>
      </c>
      <c r="B1936" s="93"/>
    </row>
    <row r="1937">
      <c r="A1937" s="384" t="str">
        <f>IFERROR(__xludf.DUMMYFUNCTION("""COMPUTED_VALUE"""),"Jobson Melo Batista | Música | Aprovado | Edilaine: enviar em formato word //Júnio: pre aprovado: 09/05/23 //Júnio: aprovado: 22/06/23")</f>
        <v>Jobson Melo Batista | Música | Aprovado | Edilaine: enviar em formato word //Júnio: pre aprovado: 09/05/23 //Júnio: aprovado: 22/06/23</v>
      </c>
      <c r="B1937" s="93"/>
    </row>
    <row r="1938">
      <c r="A1938" s="384" t="str">
        <f>IFERROR(__xludf.DUMMYFUNCTION("""COMPUTED_VALUE"""),"Joceleia Aparecida De Oliveira | Artes Visuais | Aprovada | Bárbara: aprovada nas 3 primeiras etapas do remoto// Bárbara: aprovada 19/02/2021")</f>
        <v>Joceleia Aparecida De Oliveira | Artes Visuais | Aprovada | Bárbara: aprovada nas 3 primeiras etapas do remoto// Bárbara: aprovada 19/02/2021</v>
      </c>
      <c r="B1938" s="93"/>
    </row>
    <row r="1939">
      <c r="A1939" s="384" t="str">
        <f>IFERROR(__xludf.DUMMYFUNCTION("""COMPUTED_VALUE"""),"Joceli Sturm | História | Aprovada | Júnio: remoto antigo, 11% Plágio, faltam 15 planos de aulas e etapa 4 //Júnio:aprovada na aula online: 13/06/22")</f>
        <v>Joceli Sturm | História | Aprovada | Júnio: remoto antigo, 11% Plágio, faltam 15 planos de aulas e etapa 4 //Júnio:aprovada na aula online: 13/06/22</v>
      </c>
      <c r="B1939" s="93"/>
    </row>
    <row r="1940">
      <c r="A1940" s="384" t="str">
        <f>IFERROR(__xludf.DUMMYFUNCTION("""COMPUTED_VALUE"""),"Jocélia Conceição Almeida | Neuropsicopedagogia Institucional,Clínica E Hospitalar | Pré aprovada | Júnio:pré aprovada PRAZO: 29/01/24")</f>
        <v>Jocélia Conceição Almeida | Neuropsicopedagogia Institucional,Clínica E Hospitalar | Pré aprovada | Júnio:pré aprovada PRAZO: 29/01/24</v>
      </c>
      <c r="B1940" s="93"/>
    </row>
    <row r="1941">
      <c r="A1941" s="384" t="str">
        <f>IFERROR(__xludf.DUMMYFUNCTION("""COMPUTED_VALUE"""),"Jocerlando Araújo De Souza | Música | Aprovado | Júnio - PP: falta a etapa 2 //Júnio: aprovado: 06/09/23")</f>
        <v>Jocerlando Araújo De Souza | Música | Aprovado | Júnio - PP: falta a etapa 2 //Júnio: aprovado: 06/09/23</v>
      </c>
      <c r="B1941" s="93"/>
    </row>
    <row r="1942">
      <c r="A1942" s="384" t="str">
        <f>IFERROR(__xludf.DUMMYFUNCTION("""COMPUTED_VALUE"""),"Jociel Ferreira Costa | Pedagogia | Aprovado | Júnio: aprovado no remoto atualizado //Júnio: conferido e arquivado: 10/02/2022")</f>
        <v>Jociel Ferreira Costa | Pedagogia | Aprovado | Júnio: aprovado no remoto atualizado //Júnio: conferido e arquivado: 10/02/2022</v>
      </c>
      <c r="B1942" s="93"/>
    </row>
    <row r="1943">
      <c r="A1943" s="384" t="str">
        <f>IFERROR(__xludf.DUMMYFUNCTION("""COMPUTED_VALUE"""),"Jocineia Ferreira Da Costa Morais | Educação Física | Aprovada | Alexsiane: enviar o trabalho em formato word editável 04/09/222 para reenviar //Alexsiane: pré aprovado com lançamento no sponte 27/10/2022 // Pâmela 16/11/2022 Conferido e arquivado.")</f>
        <v>Jocineia Ferreira Da Costa Morais | Educação Física | Aprovada | Alexsiane: enviar o trabalho em formato word editável 04/09/222 para reenviar //Alexsiane: pré aprovado com lançamento no sponte 27/10/2022 // Pâmela 16/11/2022 Conferido e arquivado.</v>
      </c>
      <c r="B1943" s="93"/>
    </row>
    <row r="1944">
      <c r="A1944" s="384" t="str">
        <f>IFERROR(__xludf.DUMMYFUNCTION("""COMPUTED_VALUE"""),"Joel Cordeiro De Souza | Música | Aprovado | Júnio: PP- falta a etapa 2 //Júnio: aprovado: 27/11/23")</f>
        <v>Joel Cordeiro De Souza | Música | Aprovado | Júnio: PP- falta a etapa 2 //Júnio: aprovado: 27/11/23</v>
      </c>
      <c r="B1944" s="93"/>
    </row>
    <row r="1945">
      <c r="A1945" s="384" t="str">
        <f>IFERROR(__xludf.DUMMYFUNCTION("""COMPUTED_VALUE"""),"Joel Júlio Salomé Da Costa | Sociologia | Aprovado | Alexsiane: pp aprovado")</f>
        <v>Joel Júlio Salomé Da Costa | Sociologia | Aprovado | Alexsiane: pp aprovado</v>
      </c>
      <c r="B1945" s="93"/>
    </row>
    <row r="1946">
      <c r="A1946" s="384" t="str">
        <f>IFERROR(__xludf.DUMMYFUNCTION("""COMPUTED_VALUE"""),"Joel Nogueira Da Cruz | Matemática | Aprovado | Bárbara: etapa 1 e 2 estão muito boas, contudo aluno apresentou os planos de forma incompleta e apresentu dificuldades na seleçã dos conteúdos do ensino médio. // Ana Flávia: aprovado na 4ª etapa 07/12/2020/"&amp;"/ Bárbara: imprimido, conferido e arquivado 18/02/2021")</f>
        <v>Joel Nogueira Da Cruz | Matemática | Aprovado | Bárbara: etapa 1 e 2 estão muito boas, contudo aluno apresentou os planos de forma incompleta e apresentu dificuldades na seleçã dos conteúdos do ensino médio. // Ana Flávia: aprovado na 4ª etapa 07/12/2020// Bárbara: imprimido, conferido e arquivado 18/02/2021</v>
      </c>
      <c r="B1946" s="93"/>
    </row>
    <row r="1947">
      <c r="A1947" s="384" t="str">
        <f>IFERROR(__xludf.DUMMYFUNCTION("""COMPUTED_VALUE"""),"Joelia Souza Andrade | Artes Visuais |  | APROVADO, 17-09.")</f>
        <v>Joelia Souza Andrade | Artes Visuais |  | APROVADO, 17-09.</v>
      </c>
      <c r="B1947" s="93"/>
    </row>
    <row r="1948">
      <c r="A1948" s="384" t="str">
        <f>IFERROR(__xludf.DUMMYFUNCTION("""COMPUTED_VALUE"""),"Joelma De Pinho Moura Batista | Pedagogia | Aprovada | Bárbara: 1, 2 e 3 aprovado, aguardando agendamento da 4ª etapa. // Bárbara: aprovada 09/11/2020")</f>
        <v>Joelma De Pinho Moura Batista | Pedagogia | Aprovada | Bárbara: 1, 2 e 3 aprovado, aguardando agendamento da 4ª etapa. // Bárbara: aprovada 09/11/2020</v>
      </c>
      <c r="B1948" s="93"/>
    </row>
    <row r="1949">
      <c r="A1949" s="384" t="str">
        <f>IFERROR(__xludf.DUMMYFUNCTION("""COMPUTED_VALUE"""),"Joelson Silva De Sousa | Educação Física | Aprovado | Júnio: aprovado com lançemento no Sponte //Júnio:conferido e arquivado: 10/06/22")</f>
        <v>Joelson Silva De Sousa | Educação Física | Aprovado | Júnio: aprovado com lançemento no Sponte //Júnio:conferido e arquivado: 10/06/22</v>
      </c>
      <c r="B1949" s="93"/>
    </row>
    <row r="1950">
      <c r="A1950" s="384" t="str">
        <f>IFERROR(__xludf.DUMMYFUNCTION("""COMPUTED_VALUE"""),"John Herclésio Rodrigues | Matemática | aprovado | Bianca: Aguardando restante do trabalho remoto //Bianca: aprovado: 07/07/2021")</f>
        <v>John Herclésio Rodrigues | Matemática | aprovado | Bianca: Aguardando restante do trabalho remoto //Bianca: aprovado: 07/07/2021</v>
      </c>
      <c r="B1950" s="93"/>
    </row>
    <row r="1951">
      <c r="A1951" s="384" t="str">
        <f>IFERROR(__xludf.DUMMYFUNCTION("""COMPUTED_VALUE"""),"Joicy Da Conceição Gutian | Artes Visuais | Aprovada | Bianca: falta capa, contra capa e sumário //Júnio: aprovada: 07/12/2021")</f>
        <v>Joicy Da Conceição Gutian | Artes Visuais | Aprovada | Bianca: falta capa, contra capa e sumário //Júnio: aprovada: 07/12/2021</v>
      </c>
      <c r="B1951" s="93"/>
    </row>
    <row r="1952">
      <c r="A1952" s="384" t="str">
        <f>IFERROR(__xludf.DUMMYFUNCTION("""COMPUTED_VALUE"""),"Jonas Bettero Pereira Machado | Matemática | Aprovado | Estella: tudo ok. Recebido via Correios 19/11/2018.")</f>
        <v>Jonas Bettero Pereira Machado | Matemática | Aprovado | Estella: tudo ok. Recebido via Correios 19/11/2018.</v>
      </c>
      <c r="B1952" s="93"/>
    </row>
    <row r="1953">
      <c r="A1953" s="384" t="str">
        <f>IFERROR(__xludf.DUMMYFUNCTION("""COMPUTED_VALUE"""),"Jonas De Oliveira | Matemática | aprovado | Júnio: remoto atingo - 26% plágio e falta a etapa 4// Alexsiane: aprovado com lançamento no jacad( remoto antiogo)")</f>
        <v>Jonas De Oliveira | Matemática | aprovado | Júnio: remoto atingo - 26% plágio e falta a etapa 4// Alexsiane: aprovado com lançamento no jacad( remoto antiogo)</v>
      </c>
      <c r="B1953" s="93"/>
    </row>
    <row r="1954">
      <c r="A1954" s="384" t="str">
        <f>IFERROR(__xludf.DUMMYFUNCTION("""COMPUTED_VALUE"""),"Jônatas Silva | História | Aprovado | Júnio: PP 5 ETAPAS - falta a etapa 5 //Júnio: aprovado: 25/01/24")</f>
        <v>Jônatas Silva | História | Aprovado | Júnio: PP 5 ETAPAS - falta a etapa 5 //Júnio: aprovado: 25/01/24</v>
      </c>
      <c r="B1954" s="93"/>
    </row>
    <row r="1955">
      <c r="A1955" s="384" t="str">
        <f>IFERROR(__xludf.DUMMYFUNCTION("""COMPUTED_VALUE"""),"Jonathan Felipe Bressan | Pedagogia | Aprovado | Alexsiane: 14% de plágio até dia 23/10 para reenviar (REMOTO ANTIGO)")</f>
        <v>Jonathan Felipe Bressan | Pedagogia | Aprovado | Alexsiane: 14% de plágio até dia 23/10 para reenviar (REMOTO ANTIGO)</v>
      </c>
      <c r="B1955" s="93"/>
    </row>
    <row r="1956">
      <c r="A1956" s="384" t="str">
        <f>IFERROR(__xludf.DUMMYFUNCTION("""COMPUTED_VALUE"""),"Jonathan Rosário Da Silva | Letras Inglês | Aprovado | Júnio: pelo guru declaração de experiência válida //Júnio: pre aprovado: 09/05/23 //Júnio: aprovado: 16/05/23")</f>
        <v>Jonathan Rosário Da Silva | Letras Inglês | Aprovado | Júnio: pelo guru declaração de experiência válida //Júnio: pre aprovado: 09/05/23 //Júnio: aprovado: 16/05/23</v>
      </c>
      <c r="B1956" s="93"/>
    </row>
    <row r="1957">
      <c r="A1957" s="384" t="str">
        <f>IFERROR(__xludf.DUMMYFUNCTION("""COMPUTED_VALUE"""),"Jonathan Valério Lopes Da Silva | Pedagogia | Aprovado | Júnio: autorizado a recolher assinatura// Júnio aprovado// Bárbara: conferido e arquivado 01/06/2021")</f>
        <v>Jonathan Valério Lopes Da Silva | Pedagogia | Aprovado | Júnio: autorizado a recolher assinatura// Júnio aprovado// Bárbara: conferido e arquivado 01/06/2021</v>
      </c>
      <c r="B1957" s="93"/>
    </row>
    <row r="1958">
      <c r="A1958" s="384" t="str">
        <f>IFERROR(__xludf.DUMMYFUNCTION("""COMPUTED_VALUE"""),"Jonathas Reis De Moraes | Música | Aprovado | Júnio: PP aprovado")</f>
        <v>Jonathas Reis De Moraes | Música | Aprovado | Júnio: PP aprovado</v>
      </c>
      <c r="B1958" s="93"/>
    </row>
    <row r="1959">
      <c r="A1959" s="384" t="str">
        <f>IFERROR(__xludf.DUMMYFUNCTION("""COMPUTED_VALUE"""),"Jonathas Reis De Moraes | Música | Aprovado | Alexsiane: pp com 18% de plágio//Alexsiane: pp aprovado 30/07")</f>
        <v>Jonathas Reis De Moraes | Música | Aprovado | Alexsiane: pp com 18% de plágio//Alexsiane: pp aprovado 30/07</v>
      </c>
      <c r="B1959" s="93"/>
    </row>
    <row r="1960">
      <c r="A1960" s="384" t="str">
        <f>IFERROR(__xludf.DUMMYFUNCTION("""COMPUTED_VALUE"""),"Jordande Torquato De Queiroz |  | Aprovado | Mandei enviar pelo correio (20/12) - ZAYN vai assinar.")</f>
        <v>Jordande Torquato De Queiroz |  | Aprovado | Mandei enviar pelo correio (20/12) - ZAYN vai assinar.</v>
      </c>
      <c r="B1960" s="93"/>
    </row>
    <row r="1961">
      <c r="A1961" s="384" t="str">
        <f>IFERROR(__xludf.DUMMYFUNCTION("""COMPUTED_VALUE"""),"Jordania Aparecida Carvalho Dos Santos | Pedagogia | Aprovado | Thiara: Aprovado")</f>
        <v>Jordania Aparecida Carvalho Dos Santos | Pedagogia | Aprovado | Thiara: Aprovado</v>
      </c>
      <c r="B1961" s="93"/>
    </row>
    <row r="1962">
      <c r="A1962" s="384" t="str">
        <f>IFERROR(__xludf.DUMMYFUNCTION("""COMPUTED_VALUE"""),"Jorge Dantas De Souza Araújo | História | Aprovado | Júnio: Autorizado recolher assinaturas, colocar total geral na ficha de registro //Júnio: pre aprovado: 17/05/23 //Júnio: aprovado: 30/05/2023")</f>
        <v>Jorge Dantas De Souza Araújo | História | Aprovado | Júnio: Autorizado recolher assinaturas, colocar total geral na ficha de registro //Júnio: pre aprovado: 17/05/23 //Júnio: aprovado: 30/05/2023</v>
      </c>
      <c r="B1962" s="93"/>
    </row>
    <row r="1963">
      <c r="A1963" s="384" t="str">
        <f>IFERROR(__xludf.DUMMYFUNCTION("""COMPUTED_VALUE"""),"Jorge Miguel Lima Oliveira | Letras Português Espanhol | Aprovado |  Bianca: aprovado no estágio padrão //Júnio: conferido e arquivado 12/01/22")</f>
        <v>Jorge Miguel Lima Oliveira | Letras Português Espanhol | Aprovado |  Bianca: aprovado no estágio padrão //Júnio: conferido e arquivado 12/01/22</v>
      </c>
      <c r="B1963" s="93"/>
    </row>
    <row r="1964">
      <c r="A1964" s="384" t="str">
        <f>IFERROR(__xludf.DUMMYFUNCTION("""COMPUTED_VALUE"""),"Jorge Miguel Moura De Araújo | Ciências Biológicas | Aprovada | Alexsiane; pp aprovado")</f>
        <v>Jorge Miguel Moura De Araújo | Ciências Biológicas | Aprovada | Alexsiane; pp aprovado</v>
      </c>
      <c r="B1964" s="93"/>
    </row>
    <row r="1965">
      <c r="A1965" s="384" t="str">
        <f>IFERROR(__xludf.DUMMYFUNCTION("""COMPUTED_VALUE"""),"Jorge Souza Da Silva Junior | Pedagogia | Aprovado | Lucas: Falta 18 planos de aula // Lucas: Aprovada no estagio remoto antigo com declaração de experiência.")</f>
        <v>Jorge Souza Da Silva Junior | Pedagogia | Aprovado | Lucas: Falta 18 planos de aula // Lucas: Aprovada no estagio remoto antigo com declaração de experiência.</v>
      </c>
      <c r="B1965" s="93"/>
    </row>
    <row r="1966">
      <c r="A1966" s="384" t="str">
        <f>IFERROR(__xludf.DUMMYFUNCTION("""COMPUTED_VALUE"""),"Josaele Moreira Dourado | Pedagogia | Aprovada | Ana Flávia: aprovada nas 4 etapas")</f>
        <v>Josaele Moreira Dourado | Pedagogia | Aprovada | Ana Flávia: aprovada nas 4 etapas</v>
      </c>
      <c r="B1966" s="93"/>
    </row>
    <row r="1967">
      <c r="A1967" s="384" t="str">
        <f>IFERROR(__xludf.DUMMYFUNCTION("""COMPUTED_VALUE"""),"José Alair Da Silva Junior | Pedagogia | Aprovado | Bárbara: aprovado nas 3 primeiras etapas do remoto. // Bárbara: aprovado 19/01/2021")</f>
        <v>José Alair Da Silva Junior | Pedagogia | Aprovado | Bárbara: aprovado nas 3 primeiras etapas do remoto. // Bárbara: aprovado 19/01/2021</v>
      </c>
      <c r="B1967" s="93"/>
    </row>
    <row r="1968">
      <c r="A1968" s="384" t="str">
        <f>IFERROR(__xludf.DUMMYFUNCTION("""COMPUTED_VALUE"""),"José Alves De Oliveira | Pedagogia | Aprovado | Bárbara: etapa 1 e 2 ok, faltaram 18 planos de aula. //Bárbara: aprovado: 10/06/21")</f>
        <v>José Alves De Oliveira | Pedagogia | Aprovado | Bárbara: etapa 1 e 2 ok, faltaram 18 planos de aula. //Bárbara: aprovado: 10/06/21</v>
      </c>
      <c r="B1968" s="93"/>
    </row>
    <row r="1969">
      <c r="A1969" s="384" t="str">
        <f>IFERROR(__xludf.DUMMYFUNCTION("""COMPUTED_VALUE"""),"José Antônio Barroso Guimarães | Letras Português Espanhol | Aprovado | Júnio: aprovada nas 3 primeiras etapas do remoto antigo //Júnio: aprovado: 09/12/2021")</f>
        <v>José Antônio Barroso Guimarães | Letras Português Espanhol | Aprovado | Júnio: aprovada nas 3 primeiras etapas do remoto antigo //Júnio: aprovado: 09/12/2021</v>
      </c>
      <c r="B1969" s="93"/>
    </row>
    <row r="1970">
      <c r="A1970" s="384" t="str">
        <f>IFERROR(__xludf.DUMMYFUNCTION("""COMPUTED_VALUE"""),"José Antônio Dos Santos Silva | Música | Aprovado | Alexsiane: tem que enviar a segunda etapa digitada// Alexsiane: pp aprovado")</f>
        <v>José Antônio Dos Santos Silva | Música | Aprovado | Alexsiane: tem que enviar a segunda etapa digitada// Alexsiane: pp aprovado</v>
      </c>
      <c r="B1970" s="93"/>
    </row>
    <row r="1971">
      <c r="A1971" s="384" t="str">
        <f>IFERROR(__xludf.DUMMYFUNCTION("""COMPUTED_VALUE"""),"José Aparecido Mendes | Matemática | Aprovada | Bárbara: aprovado 1, 2 e 3, aguardando a última. //Bianca: aprovada 03/08/21")</f>
        <v>José Aparecido Mendes | Matemática | Aprovada | Bárbara: aprovado 1, 2 e 3, aguardando a última. //Bianca: aprovada 03/08/21</v>
      </c>
      <c r="B1971" s="93"/>
    </row>
    <row r="1972">
      <c r="A1972" s="384" t="str">
        <f>IFERROR(__xludf.DUMMYFUNCTION("""COMPUTED_VALUE"""),"José Arnaud Damasceno Vieira | Segunda Licenciatura Em Educação Física | Em análise | Alexsiane: falta etapa 1 e enviar a entrevista digitada")</f>
        <v>José Arnaud Damasceno Vieira | Segunda Licenciatura Em Educação Física | Em análise | Alexsiane: falta etapa 1 e enviar a entrevista digitada</v>
      </c>
      <c r="B1972" s="93"/>
    </row>
    <row r="1973">
      <c r="A1973" s="384" t="str">
        <f>IFERROR(__xludf.DUMMYFUNCTION("""COMPUTED_VALUE"""),"José Augusto Neto | Pedagogia | Em análise | Júnio: enviar no modelo word com as partes dissertativas digitadas, declaração de experiência não foi válida, precisa especificar tema e série, total diário de vários dias errados, falta 80 hs.")</f>
        <v>José Augusto Neto | Pedagogia | Em análise | Júnio: enviar no modelo word com as partes dissertativas digitadas, declaração de experiência não foi válida, precisa especificar tema e série, total diário de vários dias errados, falta 80 hs.</v>
      </c>
      <c r="B1973" s="93"/>
    </row>
    <row r="1974">
      <c r="A1974" s="384" t="str">
        <f>IFERROR(__xludf.DUMMYFUNCTION("""COMPUTED_VALUE"""),"José Carlos Da Costa Santos | Ciências Sociais | Aprovado | Júnio: PP aprovado")</f>
        <v>José Carlos Da Costa Santos | Ciências Sociais | Aprovado | Júnio: PP aprovado</v>
      </c>
      <c r="B1974" s="93"/>
    </row>
    <row r="1975">
      <c r="A1975" s="384" t="str">
        <f>IFERROR(__xludf.DUMMYFUNCTION("""COMPUTED_VALUE"""),"José Carlos Molinari | Letras - Português | Aprovada | Bianca: aprovada nas 4 etapas do remoto antigo")</f>
        <v>José Carlos Molinari | Letras - Português | Aprovada | Bianca: aprovada nas 4 etapas do remoto antigo</v>
      </c>
      <c r="B1975" s="93"/>
    </row>
    <row r="1976">
      <c r="A1976" s="384" t="str">
        <f>IFERROR(__xludf.DUMMYFUNCTION("""COMPUTED_VALUE"""),"José Carlos Molinari | Pedagogia | Aprovado | Bianca: aprovada nas 3 primeiras etapas do remoto // Bárbara: aprovado na 4ª etapa")</f>
        <v>José Carlos Molinari | Pedagogia | Aprovado | Bianca: aprovada nas 3 primeiras etapas do remoto // Bárbara: aprovado na 4ª etapa</v>
      </c>
      <c r="B1976" s="93"/>
    </row>
    <row r="1977">
      <c r="A1977" s="384" t="str">
        <f>IFERROR(__xludf.DUMMYFUNCTION("""COMPUTED_VALUE"""),"José Carlos Rodrigues Patrocínio | Educação Física | Aprovado | Bianca: considerações finais com 2 parágrafos// Bianca aprovado nas 4 etapas do remoto atualizado em 20/10/2021  //Júnio:conferido e arquivado: 10/12/2021")</f>
        <v>José Carlos Rodrigues Patrocínio | Educação Física | Aprovado | Bianca: considerações finais com 2 parágrafos// Bianca aprovado nas 4 etapas do remoto atualizado em 20/10/2021  //Júnio:conferido e arquivado: 10/12/2021</v>
      </c>
      <c r="B1977" s="93"/>
    </row>
    <row r="1978">
      <c r="A1978" s="384" t="str">
        <f>IFERROR(__xludf.DUMMYFUNCTION("""COMPUTED_VALUE"""),"José Carlos Rodrigues Patrocínio | Pedagogia | Aprovado | Bianca: 2ª etapa apenas 4 paragrafos// Bianca aprovado nas 4 etapas do remoto atualizado em 20/10/2021  //Júnio:conferido e arquivado: 10/12/2021")</f>
        <v>José Carlos Rodrigues Patrocínio | Pedagogia | Aprovado | Bianca: 2ª etapa apenas 4 paragrafos// Bianca aprovado nas 4 etapas do remoto atualizado em 20/10/2021  //Júnio:conferido e arquivado: 10/12/2021</v>
      </c>
      <c r="B1978" s="93"/>
    </row>
    <row r="1979">
      <c r="A1979" s="384" t="str">
        <f>IFERROR(__xludf.DUMMYFUNCTION("""COMPUTED_VALUE"""),"José Cavalcante Mineiro | Música | Aprovado | Alexsiane: pp aprovado")</f>
        <v>José Cavalcante Mineiro | Música | Aprovado | Alexsiane: pp aprovado</v>
      </c>
      <c r="B1979" s="93"/>
    </row>
    <row r="1980">
      <c r="A1980" s="384" t="str">
        <f>IFERROR(__xludf.DUMMYFUNCTION("""COMPUTED_VALUE"""),"José Cirilo Bento | Artes Visuais | Aprovado | Júnio: PP aprovado")</f>
        <v>José Cirilo Bento | Artes Visuais | Aprovado | Júnio: PP aprovado</v>
      </c>
      <c r="B1980" s="93"/>
    </row>
    <row r="1981">
      <c r="A1981" s="384" t="str">
        <f>IFERROR(__xludf.DUMMYFUNCTION("""COMPUTED_VALUE"""),"José Cirilo Bento | Letras Português Inglês | Aprovado | Júnio: PP aprovado")</f>
        <v>José Cirilo Bento | Letras Português Inglês | Aprovado | Júnio: PP aprovado</v>
      </c>
      <c r="B1981" s="93"/>
    </row>
    <row r="1982">
      <c r="A1982" s="384" t="str">
        <f>IFERROR(__xludf.DUMMYFUNCTION("""COMPUTED_VALUE"""),"José Costa De Sousa | Letras Português Espanhol | Aprovado | Bianca:falta carta de apresentação, etapa 1 e 2// Bárbara: aprovado em 05/04/2021")</f>
        <v>José Costa De Sousa | Letras Português Espanhol | Aprovado | Bianca:falta carta de apresentação, etapa 1 e 2// Bárbara: aprovado em 05/04/2021</v>
      </c>
      <c r="B1982" s="93"/>
    </row>
    <row r="1983">
      <c r="A1983" s="384" t="str">
        <f>IFERROR(__xludf.DUMMYFUNCTION("""COMPUTED_VALUE"""),"José Crishwelber Silva Menezes | Pedagogia | Aprovado | Júnio: pré aprovado //Júnio: aprovado 28/06/23")</f>
        <v>José Crishwelber Silva Menezes | Pedagogia | Aprovado | Júnio: pré aprovado //Júnio: aprovado 28/06/23</v>
      </c>
      <c r="B1983" s="93"/>
    </row>
    <row r="1984">
      <c r="A1984" s="384" t="str">
        <f>IFERROR(__xludf.DUMMYFUNCTION("""COMPUTED_VALUE"""),"José Divino De Freitas Júnior | Matemática | Aprovado | Júnio: PP - Etapas: Ok Inicio: 11/10/23 Reenviar: 11/04/24// Alexsiane: aprovado 16/04/24")</f>
        <v>José Divino De Freitas Júnior | Matemática | Aprovado | Júnio: PP - Etapas: Ok Inicio: 11/10/23 Reenviar: 11/04/24// Alexsiane: aprovado 16/04/24</v>
      </c>
      <c r="B1984" s="93"/>
    </row>
    <row r="1985">
      <c r="A1985" s="384" t="str">
        <f>IFERROR(__xludf.DUMMYFUNCTION("""COMPUTED_VALUE"""),"José Edson Menezes De Jesus | Educação Física | Aprovado  | Bianca: falta a etapa 4 do remoto antigo// Bianca: aprovado nas 4 etapas em 03/11/2021")</f>
        <v>José Edson Menezes De Jesus | Educação Física | Aprovado  | Bianca: falta a etapa 4 do remoto antigo// Bianca: aprovado nas 4 etapas em 03/11/2021</v>
      </c>
      <c r="B1985" s="93"/>
    </row>
    <row r="1986">
      <c r="A1986" s="384" t="str">
        <f>IFERROR(__xludf.DUMMYFUNCTION("""COMPUTED_VALUE"""),"José Edson Pinto Dos Santos | Pedagogia | Aprovado | Júnio: PP aprovado")</f>
        <v>José Edson Pinto Dos Santos | Pedagogia | Aprovado | Júnio: PP aprovado</v>
      </c>
      <c r="B1986" s="93"/>
    </row>
    <row r="1987">
      <c r="A1987" s="384" t="str">
        <f>IFERROR(__xludf.DUMMYFUNCTION("""COMPUTED_VALUE"""),"José Eduardo Alves Da Silva | Música | Em análise | Alexsiane: declaração de experiência aceita no guru")</f>
        <v>José Eduardo Alves Da Silva | Música | Em análise | Alexsiane: declaração de experiência aceita no guru</v>
      </c>
      <c r="B1987" s="93"/>
    </row>
    <row r="1988">
      <c r="A1988" s="384" t="str">
        <f>IFERROR(__xludf.DUMMYFUNCTION("""COMPUTED_VALUE"""),"José Eduardo Silvério | Letras – Língua Portuguesa E Libras | Aprovado | Alexsiane: pp aprovado")</f>
        <v>José Eduardo Silvério | Letras – Língua Portuguesa E Libras | Aprovado | Alexsiane: pp aprovado</v>
      </c>
      <c r="B1988" s="93"/>
    </row>
    <row r="1989">
      <c r="A1989" s="384" t="str">
        <f>IFERROR(__xludf.DUMMYFUNCTION("""COMPUTED_VALUE"""),"José Fabio Ramos Marinho | Pedagogia | Aprovado | Júnio: remoto atualizado, consertar ficha de registro, inserir carta de aceite e termo de conclusão")</f>
        <v>José Fabio Ramos Marinho | Pedagogia | Aprovado | Júnio: remoto atualizado, consertar ficha de registro, inserir carta de aceite e termo de conclusão</v>
      </c>
      <c r="B1989" s="93"/>
    </row>
    <row r="1990">
      <c r="A1990" s="384" t="str">
        <f>IFERROR(__xludf.DUMMYFUNCTION("""COMPUTED_VALUE"""),"José Fidelissimo De Lima | Letras - Espanhol | Aprovada | Alexsiane: pp aprovado")</f>
        <v>José Fidelissimo De Lima | Letras - Espanhol | Aprovada | Alexsiane: pp aprovado</v>
      </c>
      <c r="B1990" s="93"/>
    </row>
    <row r="1991">
      <c r="A1991" s="384" t="str">
        <f>IFERROR(__xludf.DUMMYFUNCTION("""COMPUTED_VALUE"""),"José Francisco Aguiar | Matemática |  | Bárbara: Conferido e arquivado em 16/09/2020")</f>
        <v>José Francisco Aguiar | Matemática |  | Bárbara: Conferido e arquivado em 16/09/2020</v>
      </c>
      <c r="B1991" s="93"/>
    </row>
    <row r="1992">
      <c r="A1992" s="384" t="str">
        <f>IFERROR(__xludf.DUMMYFUNCTION("""COMPUTED_VALUE"""),"José Francisco Oliveira De Morais | Pedagogia | Em análise | Thiara: enviou apenas uma página de cronograma contento as 300 horas de estágio e realizou mais de quatro horas de estágio no dia.")</f>
        <v>José Francisco Oliveira De Morais | Pedagogia | Em análise | Thiara: enviou apenas uma página de cronograma contento as 300 horas de estágio e realizou mais de quatro horas de estágio no dia.</v>
      </c>
      <c r="B1992" s="93"/>
    </row>
    <row r="1993">
      <c r="A1993" s="384" t="str">
        <f>IFERROR(__xludf.DUMMYFUNCTION("""COMPUTED_VALUE"""),"José Genildo Araújo Silva Júnior | Ed. Física | pré aprovado | Bárbara: fichas de registro com mais de 6 horas por dia, e termo de conclusão com carga horária errada// Alexsiane: pré aprovado com lançamento no Sponte")</f>
        <v>José Genildo Araújo Silva Júnior | Ed. Física | pré aprovado | Bárbara: fichas de registro com mais de 6 horas por dia, e termo de conclusão com carga horária errada// Alexsiane: pré aprovado com lançamento no Sponte</v>
      </c>
      <c r="B1993" s="93"/>
    </row>
    <row r="1994">
      <c r="A1994" s="384" t="str">
        <f>IFERROR(__xludf.DUMMYFUNCTION("""COMPUTED_VALUE"""),"José Gilberto De Souza Filho | Música | Aprovado | Júnio: falta 100 horas nas fichas e especificar o tema e série de forma diária //Júnio: aprovado: 17/11/23")</f>
        <v>José Gilberto De Souza Filho | Música | Aprovado | Júnio: falta 100 horas nas fichas e especificar o tema e série de forma diária //Júnio: aprovado: 17/11/23</v>
      </c>
      <c r="B1994" s="93"/>
    </row>
    <row r="1995">
      <c r="A1995" s="384" t="str">
        <f>IFERROR(__xludf.DUMMYFUNCTION("""COMPUTED_VALUE"""),"José Henrique Rosa Da Silva | Geografia | Aprovado | Bianca: plágio 18% e alguns erros de formatação //Júnio: aprovado: 23/06/2021")</f>
        <v>José Henrique Rosa Da Silva | Geografia | Aprovado | Bianca: plágio 18% e alguns erros de formatação //Júnio: aprovado: 23/06/2021</v>
      </c>
      <c r="B1995" s="93"/>
    </row>
    <row r="1996">
      <c r="A1996" s="384" t="str">
        <f>IFERROR(__xludf.DUMMYFUNCTION("""COMPUTED_VALUE"""),"José Josélio Da Conceição Da Silva | Educação Especial | Aprovado | Júnio: assinaturas todas coladas, consertar fichas de registro, colocar total de horas nos campos específicos, especificar o tipo de acompanhemento e série, fez mais de 6 hs por dia e faz"&amp;"er de forma diária o preenchimento até dar o total geral. //Júnio: 11/08/23- PP: etapas OK, mas inicio: 29/05/23, reenviar 29/11/23 //Júnio: aprovado: 29/11/2023")</f>
        <v>José Josélio Da Conceição Da Silva | Educação Especial | Aprovado | Júnio: assinaturas todas coladas, consertar fichas de registro, colocar total de horas nos campos específicos, especificar o tipo de acompanhemento e série, fez mais de 6 hs por dia e fazer de forma diária o preenchimento até dar o total geral. //Júnio: 11/08/23- PP: etapas OK, mas inicio: 29/05/23, reenviar 29/11/23 //Júnio: aprovado: 29/11/2023</v>
      </c>
      <c r="B1996" s="93"/>
    </row>
    <row r="1997">
      <c r="A1997" s="384" t="str">
        <f>IFERROR(__xludf.DUMMYFUNCTION("""COMPUTED_VALUE"""),"José Josélio Da Conceição Da Silva | Pedagogia | Aprovado | Júnio: PP- etapas OK, mas inicio: 29/05/23, reenviar 29/11/23 //Júnio: aprovado: 29/11/23")</f>
        <v>José Josélio Da Conceição Da Silva | Pedagogia | Aprovado | Júnio: PP- etapas OK, mas inicio: 29/05/23, reenviar 29/11/23 //Júnio: aprovado: 29/11/23</v>
      </c>
      <c r="B1997" s="93"/>
    </row>
    <row r="1998">
      <c r="A1998" s="384" t="str">
        <f>IFERROR(__xludf.DUMMYFUNCTION("""COMPUTED_VALUE"""),"José Lindomar Alves Bezerra | Pedagogia | Aprovado | Edilaine: Tem rasuras nas fichas, carga horária diária errada, não foi possível somar o total de horas cumpridas, tem que especificar o temma e a série. 7,04% de plágio nos anexos. Tem que cobrir o rost"&amp;"o das crianças.  //// Edilaine: Pré-aprovado 14/02/2023 //// Edilaine: Aprovado 28/02/2023")</f>
        <v>José Lindomar Alves Bezerra | Pedagogia | Aprovado | Edilaine: Tem rasuras nas fichas, carga horária diária errada, não foi possível somar o total de horas cumpridas, tem que especificar o temma e a série. 7,04% de plágio nos anexos. Tem que cobrir o rosto das crianças.  //// Edilaine: Pré-aprovado 14/02/2023 //// Edilaine: Aprovado 28/02/2023</v>
      </c>
      <c r="B1998" s="93"/>
    </row>
    <row r="1999">
      <c r="A1999" s="384" t="str">
        <f>IFERROR(__xludf.DUMMYFUNCTION("""COMPUTED_VALUE"""),"José Lucas Dos Santos Ferreira | Pedagogia | Aprovado | Alexsiane: tudo ok, aluno terá que reenviar dia 26/05/24 quando terá 6 meses// Alexsiane: pp aprovado")</f>
        <v>José Lucas Dos Santos Ferreira | Pedagogia | Aprovado | Alexsiane: tudo ok, aluno terá que reenviar dia 26/05/24 quando terá 6 meses// Alexsiane: pp aprovado</v>
      </c>
      <c r="B1999" s="93"/>
    </row>
    <row r="2000">
      <c r="A2000" s="384" t="str">
        <f>IFERROR(__xludf.DUMMYFUNCTION("""COMPUTED_VALUE"""),"José Luis Chagas Do Carmo | Pedagogia | Aprovado | Bianca: Aprovado nas 4 etapas do remoto atualizado, autorizado a enviar físico.")</f>
        <v>José Luis Chagas Do Carmo | Pedagogia | Aprovado | Bianca: Aprovado nas 4 etapas do remoto atualizado, autorizado a enviar físico.</v>
      </c>
      <c r="B2000" s="93"/>
    </row>
    <row r="2001">
      <c r="A2001" s="384" t="str">
        <f>IFERROR(__xludf.DUMMYFUNCTION("""COMPUTED_VALUE"""),"José Luis Chagas Do Carmo | Psicopedagogia Institucional, Clínica E Ludopedagogia | Aprovado | Júnio: 5,8% plágio, fichas de registro com total diário errado, falta carta de apresentação , termo de conclusão e ficha do coordenador com colagens. //Júnio: a"&amp;"provado: 31/10/2023")</f>
        <v>José Luis Chagas Do Carmo | Psicopedagogia Institucional, Clínica E Ludopedagogia | Aprovado | Júnio: 5,8% plágio, fichas de registro com total diário errado, falta carta de apresentação , termo de conclusão e ficha do coordenador com colagens. //Júnio: aprovado: 31/10/2023</v>
      </c>
      <c r="B2001" s="93"/>
    </row>
    <row r="2002">
      <c r="A2002" s="384" t="str">
        <f>IFERROR(__xludf.DUMMYFUNCTION("""COMPUTED_VALUE"""),"José Luiz De Oliveira Machado | Letras Inglês | Aprovado | Júnio: falta carta de apresentação, termo de conclusão e fichas de registro. Preencheu acompanhamento diário sem ser dentro da ficha. //Júnio: pré aprovado: 06/09/23 //Júnio: aprovado: 13/09/2023")</f>
        <v>José Luiz De Oliveira Machado | Letras Inglês | Aprovado | Júnio: falta carta de apresentação, termo de conclusão e fichas de registro. Preencheu acompanhamento diário sem ser dentro da ficha. //Júnio: pré aprovado: 06/09/23 //Júnio: aprovado: 13/09/2023</v>
      </c>
      <c r="B2002" s="93"/>
    </row>
    <row r="2003">
      <c r="A2003" s="384" t="str">
        <f>IFERROR(__xludf.DUMMYFUNCTION("""COMPUTED_VALUE"""),"José Manoel Da Silva | Letras-Inglês | Aprovado | Alexsiane: encaminhou somente o termo de conclusão, as fichas de registro. O relátorio de gestão que ele encaminhou está escaneado (solicitei em word editavel), deverá que especificar as 40 hoas de gestão/"&amp;"PPP nas fichas para completar as 200 horas. Falta toda a parte dissertativa. //Júnio: pre aprovado: 06/01/23 // Pamela conferido e arquivado.")</f>
        <v>José Manoel Da Silva | Letras-Inglês | Aprovado | Alexsiane: encaminhou somente o termo de conclusão, as fichas de registro. O relátorio de gestão que ele encaminhou está escaneado (solicitei em word editavel), deverá que especificar as 40 hoas de gestão/PPP nas fichas para completar as 200 horas. Falta toda a parte dissertativa. //Júnio: pre aprovado: 06/01/23 // Pamela conferido e arquivado.</v>
      </c>
      <c r="B2003" s="93"/>
    </row>
    <row r="2004">
      <c r="A2004" s="384" t="str">
        <f>IFERROR(__xludf.DUMMYFUNCTION("""COMPUTED_VALUE"""),"José Marcos Da Silva | Filosofia | Aprovado | Júnio:  declaração de experiência válida  //Júnio: PP aprovado: 31/10/23")</f>
        <v>José Marcos Da Silva | Filosofia | Aprovado | Júnio:  declaração de experiência válida  //Júnio: PP aprovado: 31/10/23</v>
      </c>
      <c r="B2004" s="93"/>
    </row>
    <row r="2005">
      <c r="A2005" s="384" t="str">
        <f>IFERROR(__xludf.DUMMYFUNCTION("""COMPUTED_VALUE"""),"José Marcos Da Silva | Letras Português Inglês | Aprovado | Júnio:  declaração de experiência válida  //Júnio: PP aprovado: 31/10/23")</f>
        <v>José Marcos Da Silva | Letras Português Inglês | Aprovado | Júnio:  declaração de experiência válida  //Júnio: PP aprovado: 31/10/23</v>
      </c>
      <c r="B2005" s="93"/>
    </row>
    <row r="2006">
      <c r="A2006" s="384" t="str">
        <f>IFERROR(__xludf.DUMMYFUNCTION("""COMPUTED_VALUE"""),"José Mário Francisco De Azevedo | Pedagogia | Aprovado | Bianca: aprovado nas 4 etapas do remoto atualizado")</f>
        <v>José Mário Francisco De Azevedo | Pedagogia | Aprovado | Bianca: aprovado nas 4 etapas do remoto atualizado</v>
      </c>
      <c r="B2006" s="93"/>
    </row>
    <row r="2007">
      <c r="A2007" s="384" t="str">
        <f>IFERROR(__xludf.DUMMYFUNCTION("""COMPUTED_VALUE"""),"José Olimpio Ferreira Neto | Pedagogia | Aprovado | Bianca: autorizado a recolher assinaturas// Bianca: aprovado nas 4 etapas do remoto atualizado em 25/11/2021 /Júnio: conferido e arquivado: 10/12/2021")</f>
        <v>José Olimpio Ferreira Neto | Pedagogia | Aprovado | Bianca: autorizado a recolher assinaturas// Bianca: aprovado nas 4 etapas do remoto atualizado em 25/11/2021 /Júnio: conferido e arquivado: 10/12/2021</v>
      </c>
      <c r="B2007" s="93"/>
    </row>
    <row r="2008">
      <c r="A2008" s="384" t="str">
        <f>IFERROR(__xludf.DUMMYFUNCTION("""COMPUTED_VALUE"""),"José Olimpio Ferreira Neto | Pedagogia | Aprovado | Bárbara: aluno foi aprovado nas 3 primeiras etapas do remoto. // Bárbara: aluno aprovado na 4ª etapa 14/10/2020")</f>
        <v>José Olimpio Ferreira Neto | Pedagogia | Aprovado | Bárbara: aluno foi aprovado nas 3 primeiras etapas do remoto. // Bárbara: aluno aprovado na 4ª etapa 14/10/2020</v>
      </c>
      <c r="B2008" s="93"/>
    </row>
    <row r="2009">
      <c r="A2009" s="384" t="str">
        <f>IFERROR(__xludf.DUMMYFUNCTION("""COMPUTED_VALUE"""),"José Paulo Dutra | Música | Aprovado | Edilaine: A carga horária diária ultrapassou 6 horas. Tem que especificar o tipo de acompanhamneto nas fichas. Declaração de experiência válida. Tem que colocar o plano de aula em nosso modelo padrão. //Júnio: pré ap"&amp;"rovado: 18/05/23 //Júnio: aprovado: 23/05/23")</f>
        <v>José Paulo Dutra | Música | Aprovado | Edilaine: A carga horária diária ultrapassou 6 horas. Tem que especificar o tipo de acompanhamneto nas fichas. Declaração de experiência válida. Tem que colocar o plano de aula em nosso modelo padrão. //Júnio: pré aprovado: 18/05/23 //Júnio: aprovado: 23/05/23</v>
      </c>
      <c r="B2009" s="93"/>
    </row>
    <row r="2010">
      <c r="A2010" s="384" t="str">
        <f>IFERROR(__xludf.DUMMYFUNCTION("""COMPUTED_VALUE"""),"José Paulo Lopes | Pedagogia | Aprovado | Mariana: pp aprovado")</f>
        <v>José Paulo Lopes | Pedagogia | Aprovado | Mariana: pp aprovado</v>
      </c>
      <c r="B2010" s="93"/>
    </row>
    <row r="2011">
      <c r="A2011" s="384" t="str">
        <f>IFERROR(__xludf.DUMMYFUNCTION("""COMPUTED_VALUE"""),"José Ricardo Cariry Dos Santos | Pedagogia | Aprovado | Júnio: PP aprovado")</f>
        <v>José Ricardo Cariry Dos Santos | Pedagogia | Aprovado | Júnio: PP aprovado</v>
      </c>
      <c r="B2011" s="93"/>
    </row>
    <row r="2012">
      <c r="A2012" s="384" t="str">
        <f>IFERROR(__xludf.DUMMYFUNCTION("""COMPUTED_VALUE"""),"José Sérgio Dos Santos Costa | Letras Português | Aprovado | Bianca: aprovado nas 4 etapas do remoto antigo")</f>
        <v>José Sérgio Dos Santos Costa | Letras Português | Aprovado | Bianca: aprovado nas 4 etapas do remoto antigo</v>
      </c>
      <c r="B2012" s="93"/>
    </row>
    <row r="2013">
      <c r="A2013" s="384" t="str">
        <f>IFERROR(__xludf.DUMMYFUNCTION("""COMPUTED_VALUE"""),"Jose Silva Ribeiro | Artes Visuais | Aprovado |  Cristiane PP aprovado")</f>
        <v>Jose Silva Ribeiro | Artes Visuais | Aprovado |  Cristiane PP aprovado</v>
      </c>
      <c r="B2013" s="93"/>
    </row>
    <row r="2014">
      <c r="A2014" s="384" t="str">
        <f>IFERROR(__xludf.DUMMYFUNCTION("""COMPUTED_VALUE"""),"José Thiago Lopes Maritimo | Música | Aprovado | Júnio: PP aprovado")</f>
        <v>José Thiago Lopes Maritimo | Música | Aprovado | Júnio: PP aprovado</v>
      </c>
      <c r="B2014" s="93"/>
    </row>
    <row r="2015">
      <c r="A2015" s="384" t="str">
        <f>IFERROR(__xludf.DUMMYFUNCTION("""COMPUTED_VALUE"""),"José Valmir Guimarães De Oliveira | Pedagogia | Aprovado | Alexsiane: autorizado a recolher assinaturas 24/01/2023 reenviar //Júnio: aprovado: 30/06/23")</f>
        <v>José Valmir Guimarães De Oliveira | Pedagogia | Aprovado | Alexsiane: autorizado a recolher assinaturas 24/01/2023 reenviar //Júnio: aprovado: 30/06/23</v>
      </c>
      <c r="B2015" s="93"/>
    </row>
    <row r="2016">
      <c r="A2016" s="384" t="str">
        <f>IFERROR(__xludf.DUMMYFUNCTION("""COMPUTED_VALUE"""),"José Wendel Duarte Muniz | Pedagogia | Aprovado | Júnio: pré aprovado //Júnio: aprovado: 06/10/23")</f>
        <v>José Wendel Duarte Muniz | Pedagogia | Aprovado | Júnio: pré aprovado //Júnio: aprovado: 06/10/23</v>
      </c>
      <c r="B2016" s="93"/>
    </row>
    <row r="2017">
      <c r="A2017" s="384" t="str">
        <f>IFERROR(__xludf.DUMMYFUNCTION("""COMPUTED_VALUE"""),"José Willany Vidal Moura | Letras - Português/Espanhol | Aprovado | Bianca: aprovado nas 4 etapas")</f>
        <v>José Willany Vidal Moura | Letras - Português/Espanhol | Aprovado | Bianca: aprovado nas 4 etapas</v>
      </c>
      <c r="B2017" s="93"/>
    </row>
    <row r="2018">
      <c r="A2018" s="384" t="str">
        <f>IFERROR(__xludf.DUMMYFUNCTION("""COMPUTED_VALUE"""),"Joseane Silva Ferreira | Letras Português | Aprovada | Júnio: PP aprovada")</f>
        <v>Joseane Silva Ferreira | Letras Português | Aprovada | Júnio: PP aprovada</v>
      </c>
      <c r="B2018" s="93"/>
    </row>
    <row r="2019">
      <c r="A2019" s="384" t="str">
        <f>IFERROR(__xludf.DUMMYFUNCTION("""COMPUTED_VALUE"""),"Josefa De Cássia Monteiro Barbosa | Letras Português | Aprovado | Júnio: remoto antigo - faltam 19 planos de aula// Alexsiane aprovado com lanaçamento no sponte dia 25/07/2022")</f>
        <v>Josefa De Cássia Monteiro Barbosa | Letras Português | Aprovado | Júnio: remoto antigo - faltam 19 planos de aula// Alexsiane aprovado com lanaçamento no sponte dia 25/07/2022</v>
      </c>
      <c r="B2019" s="93"/>
    </row>
    <row r="2020">
      <c r="A2020" s="384" t="str">
        <f>IFERROR(__xludf.DUMMYFUNCTION("""COMPUTED_VALUE"""),"Joseilton Castro Do Carmo | Neuropsicopedagogia Instittucional Clínica E Hospitalar | aprovado | Júnio: falta 8 horas na ficha de registro, especificar o tipo de acompanhemento e corrigir as horas pois ultrapassou mais de 6 horas /// Edilaine: Pré-aprovad"&amp;"o com lançamento na Jacad.// Alexsiane: aprovado no envio físico 16/02")</f>
        <v>Joseilton Castro Do Carmo | Neuropsicopedagogia Instittucional Clínica E Hospitalar | aprovado | Júnio: falta 8 horas na ficha de registro, especificar o tipo de acompanhemento e corrigir as horas pois ultrapassou mais de 6 horas /// Edilaine: Pré-aprovado com lançamento na Jacad.// Alexsiane: aprovado no envio físico 16/02</v>
      </c>
      <c r="B2020" s="93"/>
    </row>
    <row r="2021">
      <c r="A2021" s="384" t="str">
        <f>IFERROR(__xludf.DUMMYFUNCTION("""COMPUTED_VALUE"""),"Joseilton Castro Do Carmo | Psicopedagogia | Aprovado | Bianca: aprovado enviar o física //Júnio: conferido e arquivado: 31/08/21")</f>
        <v>Joseilton Castro Do Carmo | Psicopedagogia | Aprovado | Bianca: aprovado enviar o física //Júnio: conferido e arquivado: 31/08/21</v>
      </c>
      <c r="B2021" s="93"/>
    </row>
    <row r="2022">
      <c r="A2022" s="384" t="str">
        <f>IFERROR(__xludf.DUMMYFUNCTION("""COMPUTED_VALUE"""),"Joselaine Lopes De Sousa Barbosa | Neuropsicopedagogia Instittucional Clínica E Hospitalar | Aprovada | Júnio: falta a queixa, especificar tipo de acompanhamento nas fichas PRAZO: 11/06/23 //Júnio: aprovada: 15/08/23")</f>
        <v>Joselaine Lopes De Sousa Barbosa | Neuropsicopedagogia Instittucional Clínica E Hospitalar | Aprovada | Júnio: falta a queixa, especificar tipo de acompanhamento nas fichas PRAZO: 11/06/23 //Júnio: aprovada: 15/08/23</v>
      </c>
      <c r="B2022" s="93"/>
    </row>
    <row r="2023">
      <c r="A2023" s="384" t="str">
        <f>IFERROR(__xludf.DUMMYFUNCTION("""COMPUTED_VALUE"""),"Joselia André De Oliveira Morais | Pedagogia | Em análise | Alexsiane: falta o vídeo da 4° etapa.")</f>
        <v>Joselia André De Oliveira Morais | Pedagogia | Em análise | Alexsiane: falta o vídeo da 4° etapa.</v>
      </c>
      <c r="B2023" s="93"/>
    </row>
    <row r="2024">
      <c r="A2024" s="384" t="str">
        <f>IFERROR(__xludf.DUMMYFUNCTION("""COMPUTED_VALUE"""),"Josemi Senhorinho Dalaneze Nery | Ciências Da Religião | Em análise | Júnio: PP - falta a etapa I e responde rquestionário")</f>
        <v>Josemi Senhorinho Dalaneze Nery | Ciências Da Religião | Em análise | Júnio: PP - falta a etapa I e responde rquestionário</v>
      </c>
      <c r="B2024" s="93"/>
    </row>
    <row r="2025">
      <c r="A2025" s="384" t="str">
        <f>IFERROR(__xludf.DUMMYFUNCTION("""COMPUTED_VALUE"""),"Joseneide De Oliveira Santana | História | Em análise | Júnio: carta de apresentação com colagem na assinatura e carimbo CASO NA EXTENSAO")</f>
        <v>Joseneide De Oliveira Santana | História | Em análise | Júnio: carta de apresentação com colagem na assinatura e carimbo CASO NA EXTENSAO</v>
      </c>
      <c r="B2025" s="93"/>
    </row>
    <row r="2026">
      <c r="A2026" s="384" t="str">
        <f>IFERROR(__xludf.DUMMYFUNCTION("""COMPUTED_VALUE"""),"Josenira Paula Da Silva | Pedagogia | Aprovado | Alexsiane:Faltando capa, contracapa,sumario, resumo, introdução etapa 2,referência, conclusão. Enviou 10 planos de aulas porém estão iguais. Quarta etapa ela ja encaminhou o video //Alexsiane: aprovada com "&amp;"lançamento no Sponte")</f>
        <v>Josenira Paula Da Silva | Pedagogia | Aprovado | Alexsiane:Faltando capa, contracapa,sumario, resumo, introdução etapa 2,referência, conclusão. Enviou 10 planos de aulas porém estão iguais. Quarta etapa ela ja encaminhou o video //Alexsiane: aprovada com lançamento no Sponte</v>
      </c>
      <c r="B2026" s="93"/>
    </row>
    <row r="2027">
      <c r="A2027" s="384" t="str">
        <f>IFERROR(__xludf.DUMMYFUNCTION("""COMPUTED_VALUE"""),"Josi Domingues Da Silva | Segunda Licenciatura Em Pedagogia | Aprovado | Rayssa pp aprovado")</f>
        <v>Josi Domingues Da Silva | Segunda Licenciatura Em Pedagogia | Aprovado | Rayssa pp aprovado</v>
      </c>
      <c r="B2027" s="93"/>
    </row>
    <row r="2028">
      <c r="A2028" s="384" t="str">
        <f>IFERROR(__xludf.DUMMYFUNCTION("""COMPUTED_VALUE"""),"Josiane Borges Dos Santos | Neuropsicopedagogia Institucional,Clínica E Hospitalar | Aprovado | Lucas: Falta ocultar dados do paciente// Alexsiane: aprovado com lançamento no Sponte")</f>
        <v>Josiane Borges Dos Santos | Neuropsicopedagogia Institucional,Clínica E Hospitalar | Aprovado | Lucas: Falta ocultar dados do paciente// Alexsiane: aprovado com lançamento no Sponte</v>
      </c>
      <c r="B2028" s="93"/>
    </row>
    <row r="2029">
      <c r="A2029" s="384" t="str">
        <f>IFERROR(__xludf.DUMMYFUNCTION("""COMPUTED_VALUE"""),"Josiane De Cassia Figueiredo Bastos | Letras Port. | Aprovado | Thiara: Aprovado. //Recebido no instituto dia 11/12/2019// Bárbara: Conferido e arquivado 15/09/2020")</f>
        <v>Josiane De Cassia Figueiredo Bastos | Letras Port. | Aprovado | Thiara: Aprovado. //Recebido no instituto dia 11/12/2019// Bárbara: Conferido e arquivado 15/09/2020</v>
      </c>
      <c r="B2029" s="93"/>
    </row>
    <row r="2030">
      <c r="A2030" s="384" t="str">
        <f>IFERROR(__xludf.DUMMYFUNCTION("""COMPUTED_VALUE"""),"Josiane Rodrigues Custódio | Artes Visuais | Aprovada | Aline Silva: 03 etapas do remoto ok, aguardando agendamento da etapa 04// Bárbara: Aprovada 4 etapa 11/09/2020")</f>
        <v>Josiane Rodrigues Custódio | Artes Visuais | Aprovada | Aline Silva: 03 etapas do remoto ok, aguardando agendamento da etapa 04// Bárbara: Aprovada 4 etapa 11/09/2020</v>
      </c>
      <c r="B2030" s="93"/>
    </row>
    <row r="2031">
      <c r="A2031" s="384" t="str">
        <f>IFERROR(__xludf.DUMMYFUNCTION("""COMPUTED_VALUE"""),"Josiane Silva Ribeiro | Pedagogia | Aprovado | Thiara: Texto não apresenta plágio. Faltando horas de Gestão Escolar, as horas de Regência e Observação não estão completas, fotos mostrando o rosto dos alunos. Recebido dia 17/01/2019")</f>
        <v>Josiane Silva Ribeiro | Pedagogia | Aprovado | Thiara: Texto não apresenta plágio. Faltando horas de Gestão Escolar, as horas de Regência e Observação não estão completas, fotos mostrando o rosto dos alunos. Recebido dia 17/01/2019</v>
      </c>
      <c r="B2031" s="93"/>
    </row>
    <row r="2032">
      <c r="A2032" s="384" t="str">
        <f>IFERROR(__xludf.DUMMYFUNCTION("""COMPUTED_VALUE"""),"Josianne Oliveira Miranda | 2ª Licenciatura Pedagogia | Aprovada | Cris: PP aprovado")</f>
        <v>Josianne Oliveira Miranda | 2ª Licenciatura Pedagogia | Aprovada | Cris: PP aprovado</v>
      </c>
      <c r="B2032" s="93"/>
    </row>
    <row r="2033">
      <c r="A2033" s="384" t="str">
        <f>IFERROR(__xludf.DUMMYFUNCTION("""COMPUTED_VALUE"""),"Josicleide Alves De Oliveira | Pós Graduação Neuropsicologia | Em análise | Cris: Faltam as fichas de estágio preenchidas")</f>
        <v>Josicleide Alves De Oliveira | Pós Graduação Neuropsicologia | Em análise | Cris: Faltam as fichas de estágio preenchidas</v>
      </c>
      <c r="B2033" s="93"/>
    </row>
    <row r="2034">
      <c r="A2034" s="384" t="str">
        <f>IFERROR(__xludf.DUMMYFUNCTION("""COMPUTED_VALUE"""),"Josicleide Da Silva Santiago | Neuropsicopedagogia Institucional,Clínica E Hospitalar | Aprovada | Lucas, Aprovado com lançamento no Sponte //Júnio: conferido e arquivado: 21/02/22")</f>
        <v>Josicleide Da Silva Santiago | Neuropsicopedagogia Institucional,Clínica E Hospitalar | Aprovada | Lucas, Aprovado com lançamento no Sponte //Júnio: conferido e arquivado: 21/02/22</v>
      </c>
      <c r="B2034" s="93"/>
    </row>
    <row r="2035">
      <c r="A2035" s="384" t="str">
        <f>IFERROR(__xludf.DUMMYFUNCTION("""COMPUTED_VALUE"""),"Josicleide Da Silva Santiago | Psicopedagogia | Aprovada | Lucas, Aprovado com lançamento no Sponte  //Júnio: conferido e arquivado: 21/02/22")</f>
        <v>Josicleide Da Silva Santiago | Psicopedagogia | Aprovada | Lucas, Aprovado com lançamento no Sponte  //Júnio: conferido e arquivado: 21/02/22</v>
      </c>
      <c r="B2035" s="93"/>
    </row>
    <row r="2036">
      <c r="A2036" s="384" t="str">
        <f>IFERROR(__xludf.DUMMYFUNCTION("""COMPUTED_VALUE"""),"Josie Lana Dantas Silva | Terapia Em Aba Clínica | Aprovada | Júnio: rasuras nas fichas de caneta, vários dias ultrapassando o limite de 6 horas e especificar o tema trabalhado. //Júnio: aprovada: 22/01/24")</f>
        <v>Josie Lana Dantas Silva | Terapia Em Aba Clínica | Aprovada | Júnio: rasuras nas fichas de caneta, vários dias ultrapassando o limite de 6 horas e especificar o tema trabalhado. //Júnio: aprovada: 22/01/24</v>
      </c>
      <c r="B2036" s="93"/>
    </row>
    <row r="2037">
      <c r="A2037" s="384" t="str">
        <f>IFERROR(__xludf.DUMMYFUNCTION("""COMPUTED_VALUE"""),"Josiellen Aparecida Pires | Pedagogia | Aprovada | Júnio: fazer acompanhamento de gestão de forma diária na ficha de registro PRAZO: 29/06/23 //Júnio: aprovada: 19/06/23")</f>
        <v>Josiellen Aparecida Pires | Pedagogia | Aprovada | Júnio: fazer acompanhamento de gestão de forma diária na ficha de registro PRAZO: 29/06/23 //Júnio: aprovada: 19/06/23</v>
      </c>
      <c r="B2037" s="93"/>
    </row>
    <row r="2038">
      <c r="A2038" s="384" t="str">
        <f>IFERROR(__xludf.DUMMYFUNCTION("""COMPUTED_VALUE"""),"Josilaine Bramer Candido | Artes Visuais | Aprovada | Alexsiane: etapa 1,2,4 ok, falta 3 planos de aula da 3° etapa //Júnio: aprovada: 03/01/23")</f>
        <v>Josilaine Bramer Candido | Artes Visuais | Aprovada | Alexsiane: etapa 1,2,4 ok, falta 3 planos de aula da 3° etapa //Júnio: aprovada: 03/01/23</v>
      </c>
      <c r="B2038" s="93"/>
    </row>
    <row r="2039">
      <c r="A2039" s="384" t="str">
        <f>IFERROR(__xludf.DUMMYFUNCTION("""COMPUTED_VALUE"""),"Josilene Pereira Lima Nunes | Letras Português | Em análise | Júnio: Padrão - 14% plágio, falta carta de apresentação, horas referentes a observação e regência, declaração de experiência não é válida")</f>
        <v>Josilene Pereira Lima Nunes | Letras Português | Em análise | Júnio: Padrão - 14% plágio, falta carta de apresentação, horas referentes a observação e regência, declaração de experiência não é válida</v>
      </c>
      <c r="B2039" s="93"/>
    </row>
    <row r="2040">
      <c r="A2040" s="384" t="str">
        <f>IFERROR(__xludf.DUMMYFUNCTION("""COMPUTED_VALUE"""),"Josimara De Jesus Lopes | Pedagogia | Aprovada | Júnio: PP aprovada")</f>
        <v>Josimara De Jesus Lopes | Pedagogia | Aprovada | Júnio: PP aprovada</v>
      </c>
      <c r="B2040" s="93"/>
    </row>
    <row r="2041">
      <c r="A2041" s="384" t="str">
        <f>IFERROR(__xludf.DUMMYFUNCTION("""COMPUTED_VALUE"""),"Josinaldo Paulo De Souza | Letras Português Inglês | aprovado | Júnio: estágio padrão - falta complementar mais 100 horas, carta de apresentação e termo de conclusão e 7% plágio em vários trechos. PRAZO: 07/01/23 /// Edilaine:Pré- aprovado 30/01/2023// Al"&amp;"exsiane: conferido e arquivado dia 15/02/2023")</f>
        <v>Josinaldo Paulo De Souza | Letras Português Inglês | aprovado | Júnio: estágio padrão - falta complementar mais 100 horas, carta de apresentação e termo de conclusão e 7% plágio em vários trechos. PRAZO: 07/01/23 /// Edilaine:Pré- aprovado 30/01/2023// Alexsiane: conferido e arquivado dia 15/02/2023</v>
      </c>
      <c r="B2041" s="93"/>
    </row>
    <row r="2042">
      <c r="A2042" s="384" t="str">
        <f>IFERROR(__xludf.DUMMYFUNCTION("""COMPUTED_VALUE"""),"Josineide Miranda De Freitas | Pedagogia | aprovada | Bianca: Aprovada nas 4 etapas do remoto antigo")</f>
        <v>Josineide Miranda De Freitas | Pedagogia | aprovada | Bianca: Aprovada nas 4 etapas do remoto antigo</v>
      </c>
      <c r="B2042" s="93"/>
    </row>
    <row r="2043">
      <c r="A2043" s="384" t="str">
        <f>IFERROR(__xludf.DUMMYFUNCTION("""COMPUTED_VALUE"""),"Josinete Dos Santos Santana | Música | Aprovada | Júnio: PP aprovada")</f>
        <v>Josinete Dos Santos Santana | Música | Aprovada | Júnio: PP aprovada</v>
      </c>
      <c r="B2043" s="93"/>
    </row>
    <row r="2044">
      <c r="A2044" s="384" t="str">
        <f>IFERROR(__xludf.DUMMYFUNCTION("""COMPUTED_VALUE"""),"Josinete Silva Da Silva | Terapia Em Aba- Análise Do Comportamento Aplicada Clínica | em análise | Alexsiane: trabalho de estágio todo fora do nosso modelo padrão (a mesma fez tcc) tem deu plágio total. Cobrei que ela refizesse no nosso modelo padrão.")</f>
        <v>Josinete Silva Da Silva | Terapia Em Aba- Análise Do Comportamento Aplicada Clínica | em análise | Alexsiane: trabalho de estágio todo fora do nosso modelo padrão (a mesma fez tcc) tem deu plágio total. Cobrei que ela refizesse no nosso modelo padrão.</v>
      </c>
      <c r="B2044" s="93"/>
    </row>
    <row r="2045">
      <c r="A2045" s="384" t="str">
        <f>IFERROR(__xludf.DUMMYFUNCTION("""COMPUTED_VALUE"""),"Josirene Reis Cunha | Pedagogia Para Bacharéis E Tecnólogos | Aprovada | Cris: Enviou apenas pasta do PP; Faltam quatro etapas do estágio.// Rayssa aprovada 25/09/2024")</f>
        <v>Josirene Reis Cunha | Pedagogia Para Bacharéis E Tecnólogos | Aprovada | Cris: Enviou apenas pasta do PP; Faltam quatro etapas do estágio.// Rayssa aprovada 25/09/2024</v>
      </c>
      <c r="B2045" s="93"/>
    </row>
    <row r="2046">
      <c r="A2046" s="384" t="str">
        <f>IFERROR(__xludf.DUMMYFUNCTION("""COMPUTED_VALUE"""),"Josival Bezerra | Letras Portugues | Em análise | Bianca: apenas etapa 1 do remoto atualizado")</f>
        <v>Josival Bezerra | Letras Portugues | Em análise | Bianca: apenas etapa 1 do remoto atualizado</v>
      </c>
      <c r="B2046" s="93"/>
    </row>
    <row r="2047">
      <c r="A2047" s="384" t="str">
        <f>IFERROR(__xludf.DUMMYFUNCTION("""COMPUTED_VALUE"""),"Josoé Francisco Aguiar | Matemática | Aprovado | Aline Silva: aprovado dia 09/06/2020// Bárbara: conferido e arquivado 16/09/2020")</f>
        <v>Josoé Francisco Aguiar | Matemática | Aprovado | Aline Silva: aprovado dia 09/06/2020// Bárbara: conferido e arquivado 16/09/2020</v>
      </c>
      <c r="B2047" s="93"/>
    </row>
    <row r="2048">
      <c r="A2048" s="384" t="str">
        <f>IFERROR(__xludf.DUMMYFUNCTION("""COMPUTED_VALUE"""),"Josué De Oliveira Melo | Pedagogia | Aprovado  | Bianca: aprovado nas 3 primeiras etapas do remoto antigo// Bárbara: aprovado na 4ª etapa, apresentou aula online ")</f>
        <v>Josué De Oliveira Melo | Pedagogia | Aprovado  | Bianca: aprovado nas 3 primeiras etapas do remoto antigo// Bárbara: aprovado na 4ª etapa, apresentou aula online </v>
      </c>
      <c r="B2048" s="93"/>
    </row>
    <row r="2049">
      <c r="A2049" s="384" t="str">
        <f>IFERROR(__xludf.DUMMYFUNCTION("""COMPUTED_VALUE"""),"Josy Matias | Artes Visuais | Aprovada | Lucas: Aprovada no estágio remoto antigo com declaração de experiência ")</f>
        <v>Josy Matias | Artes Visuais | Aprovada | Lucas: Aprovada no estágio remoto antigo com declaração de experiência </v>
      </c>
      <c r="B2049" s="93"/>
    </row>
    <row r="2050">
      <c r="A2050" s="384" t="str">
        <f>IFERROR(__xludf.DUMMYFUNCTION("""COMPUTED_VALUE"""),"Josy Matias | Ciências Sociais | Aprovada | Lucas: Aprovada no estágio remoto antigo com declaração de experiência ")</f>
        <v>Josy Matias | Ciências Sociais | Aprovada | Lucas: Aprovada no estágio remoto antigo com declaração de experiência </v>
      </c>
      <c r="B2050" s="93"/>
    </row>
    <row r="2051">
      <c r="A2051" s="384" t="str">
        <f>IFERROR(__xludf.DUMMYFUNCTION("""COMPUTED_VALUE"""),"Jovana Abrahão Moreira | Pedagogia Para Bachareis E Tecnologos | Aprovada | Alexsiane; Pcc I-Educação Infantil:  está sem plágio; Pcc II- Jogo Ensino: APROVADO; Pcc IV Mapa Mentalestá sem plágio; falta enviar o Pcc III- tabela // Alexsiane: aprovada 22/03"&amp;"/24")</f>
        <v>Jovana Abrahão Moreira | Pedagogia Para Bachareis E Tecnologos | Aprovada | Alexsiane; Pcc I-Educação Infantil:  está sem plágio; Pcc II- Jogo Ensino: APROVADO; Pcc IV Mapa Mentalestá sem plágio; falta enviar o Pcc III- tabela // Alexsiane: aprovada 22/03/24</v>
      </c>
      <c r="B2051" s="93"/>
    </row>
    <row r="2052">
      <c r="A2052" s="384" t="str">
        <f>IFERROR(__xludf.DUMMYFUNCTION("""COMPUTED_VALUE"""),"Jovani Durães De Almeida Moraes | Matemática | Aprovado | Aline Silva: falta apresentar 30 horas de observação no ensino médio, 60 horas de observação da getão e estrutura escolar. // Aprovado dia 07/02/2020// Recebido no instituto dia 06/03/2020")</f>
        <v>Jovani Durães De Almeida Moraes | Matemática | Aprovado | Aline Silva: falta apresentar 30 horas de observação no ensino médio, 60 horas de observação da getão e estrutura escolar. // Aprovado dia 07/02/2020// Recebido no instituto dia 06/03/2020</v>
      </c>
      <c r="B2052" s="93"/>
    </row>
    <row r="2053">
      <c r="A2053" s="384" t="str">
        <f>IFERROR(__xludf.DUMMYFUNCTION("""COMPUTED_VALUE"""),"Jovanil Da Silva Campos | Letras Portugues | Pre aprovada | Júnio: pre aprovada PRAZO: 07/07/23")</f>
        <v>Jovanil Da Silva Campos | Letras Portugues | Pre aprovada | Júnio: pre aprovada PRAZO: 07/07/23</v>
      </c>
      <c r="B2053" s="93"/>
    </row>
    <row r="2054">
      <c r="A2054" s="384" t="str">
        <f>IFERROR(__xludf.DUMMYFUNCTION("""COMPUTED_VALUE"""),"Jovilson Santos Tavares Ramos | Segunda Licenciatura Música | Aprovado | Rayssa pp aprovado")</f>
        <v>Jovilson Santos Tavares Ramos | Segunda Licenciatura Música | Aprovado | Rayssa pp aprovado</v>
      </c>
      <c r="B2054" s="93"/>
    </row>
    <row r="2055">
      <c r="A2055" s="384" t="str">
        <f>IFERROR(__xludf.DUMMYFUNCTION("""COMPUTED_VALUE"""),"Joyce De Melo Faustino |  | Aprovado | Mandei enviar pelo correio (13/12). Falta carta de apresentação e formatação na seguencia. Enviei para correções em 07/12. alguns dias excederam 4 horas, mas já que está assinado, pode considerar.")</f>
        <v>Joyce De Melo Faustino |  | Aprovado | Mandei enviar pelo correio (13/12). Falta carta de apresentação e formatação na seguencia. Enviei para correções em 07/12. alguns dias excederam 4 horas, mas já que está assinado, pode considerar.</v>
      </c>
      <c r="B2055" s="93"/>
    </row>
    <row r="2056">
      <c r="A2056" s="384" t="str">
        <f>IFERROR(__xludf.DUMMYFUNCTION("""COMPUTED_VALUE"""),"Joyce Lorena Mendonça Ferreira | Pedagogia | Em análise | Remoto antigo, enviou anexos escolares, tem que fazer todas as etapas do  estágio")</f>
        <v>Joyce Lorena Mendonça Ferreira | Pedagogia | Em análise | Remoto antigo, enviou anexos escolares, tem que fazer todas as etapas do  estágio</v>
      </c>
      <c r="B2056" s="93"/>
    </row>
    <row r="2057">
      <c r="A2057" s="384" t="str">
        <f>IFERROR(__xludf.DUMMYFUNCTION("""COMPUTED_VALUE"""),"Joyce Zanateli Olimpio Cordeiro | História | Aprovada | Bianca: falta carta de apresentação, termo de conclusão e fichas de registro //Júnio: aprovada: 04/08/21 //Júnio: conferido e arquivado: 09/08/21")</f>
        <v>Joyce Zanateli Olimpio Cordeiro | História | Aprovada | Bianca: falta carta de apresentação, termo de conclusão e fichas de registro //Júnio: aprovada: 04/08/21 //Júnio: conferido e arquivado: 09/08/21</v>
      </c>
      <c r="B2057" s="93"/>
    </row>
    <row r="2058">
      <c r="A2058" s="384" t="str">
        <f>IFERROR(__xludf.DUMMYFUNCTION("""COMPUTED_VALUE"""),"Jpicy Da Conceição Gutian | Artes Visuais | Em análise | Bianca: desformatação, resumo em 1ª pessoa")</f>
        <v>Jpicy Da Conceição Gutian | Artes Visuais | Em análise | Bianca: desformatação, resumo em 1ª pessoa</v>
      </c>
      <c r="B2058" s="93"/>
    </row>
    <row r="2059">
      <c r="A2059" s="384" t="str">
        <f>IFERROR(__xludf.DUMMYFUNCTION("""COMPUTED_VALUE"""),"Juciara Maciel | Filosofia | Aprovada | Bárbara: aprovada nas 3 priemeiras etapas do remoto, aguarando a última // Bárbara: aprovada 28/12/2020// Miryã: conferido e arquivado 10/03/2021")</f>
        <v>Juciara Maciel | Filosofia | Aprovada | Bárbara: aprovada nas 3 priemeiras etapas do remoto, aguarando a última // Bárbara: aprovada 28/12/2020// Miryã: conferido e arquivado 10/03/2021</v>
      </c>
      <c r="B2059" s="93"/>
    </row>
    <row r="2060">
      <c r="A2060" s="384" t="str">
        <f>IFERROR(__xludf.DUMMYFUNCTION("""COMPUTED_VALUE"""),"Juciara Martins De Moraes | Pedagogia | Aprovada | Júnio: corrigir horas diarias nas fichas que lançou errado, faltam ainda 80 hs. //Júnio: aprovada: 16/11/2023")</f>
        <v>Juciara Martins De Moraes | Pedagogia | Aprovada | Júnio: corrigir horas diarias nas fichas que lançou errado, faltam ainda 80 hs. //Júnio: aprovada: 16/11/2023</v>
      </c>
      <c r="B2060" s="93"/>
    </row>
    <row r="2061">
      <c r="A2061" s="384" t="str">
        <f>IFERROR(__xludf.DUMMYFUNCTION("""COMPUTED_VALUE"""),"Jucileia Paula Coelho | Ciências Biológicas | em análise | Alexsiane: falta etapa 2 e etapa 1 ok 30/06 enviar")</f>
        <v>Jucileia Paula Coelho | Ciências Biológicas | em análise | Alexsiane: falta etapa 2 e etapa 1 ok 30/06 enviar</v>
      </c>
      <c r="B2061" s="93"/>
    </row>
    <row r="2062">
      <c r="A2062" s="384" t="str">
        <f>IFERROR(__xludf.DUMMYFUNCTION("""COMPUTED_VALUE"""),"Jucimara De Oliveira | Pedagogia | Pré-aprovada | Alexsiane: falta 100 horas de gestão e corrigir o total de horas por dia deu diferença de 15 minutos até dia 18/08 para reenviar")</f>
        <v>Jucimara De Oliveira | Pedagogia | Pré-aprovada | Alexsiane: falta 100 horas de gestão e corrigir o total de horas por dia deu diferença de 15 minutos até dia 18/08 para reenviar</v>
      </c>
      <c r="B2062" s="93"/>
    </row>
    <row r="2063">
      <c r="A2063" s="384" t="str">
        <f>IFERROR(__xludf.DUMMYFUNCTION("""COMPUTED_VALUE"""),"Judite Gomes Dos Santos | Letras/Português-Inglês | Aprovada | Júnio: PP aprovada")</f>
        <v>Judite Gomes Dos Santos | Letras/Português-Inglês | Aprovada | Júnio: PP aprovada</v>
      </c>
      <c r="B2063" s="93"/>
    </row>
    <row r="2064">
      <c r="A2064" s="384" t="str">
        <f>IFERROR(__xludf.DUMMYFUNCTION("""COMPUTED_VALUE"""),"Julhiane Paula De Oliveira Guerra | Pedagogia | Aprovada | Lucas: Aprovada no estagio remoto antigo")</f>
        <v>Julhiane Paula De Oliveira Guerra | Pedagogia | Aprovada | Lucas: Aprovada no estagio remoto antigo</v>
      </c>
      <c r="B2064" s="93"/>
    </row>
    <row r="2065">
      <c r="A2065" s="384" t="str">
        <f>IFERROR(__xludf.DUMMYFUNCTION("""COMPUTED_VALUE"""),"Julia José Pinto | Sociologia | Aprovada | Ana Flávia: apresentou apenas 1 plano de aula // Ana Flávia: aprovada 17/11/2020// Bárbara: conferido e arquivado 20/04/2021")</f>
        <v>Julia José Pinto | Sociologia | Aprovada | Ana Flávia: apresentou apenas 1 plano de aula // Ana Flávia: aprovada 17/11/2020// Bárbara: conferido e arquivado 20/04/2021</v>
      </c>
      <c r="B2065" s="93"/>
    </row>
    <row r="2066">
      <c r="A2066" s="384" t="str">
        <f>IFERROR(__xludf.DUMMYFUNCTION("""COMPUTED_VALUE"""),"Júlia José Pinto | Filosofia | Aprovada | Bárbara: aprovada nas 3 primeiras etapas do remoto e apresentou declaração de experiência válida //Amélia 05/02 Trabalho carimbado e entregue a secretaria.")</f>
        <v>Júlia José Pinto | Filosofia | Aprovada | Bárbara: aprovada nas 3 primeiras etapas do remoto e apresentou declaração de experiência válida //Amélia 05/02 Trabalho carimbado e entregue a secretaria.</v>
      </c>
      <c r="B2066" s="93"/>
    </row>
    <row r="2067">
      <c r="A2067" s="384" t="str">
        <f>IFERROR(__xludf.DUMMYFUNCTION("""COMPUTED_VALUE"""),"Juliana Alves De Araújo |  | Aprovado | Enviou arquivo em branco.")</f>
        <v>Juliana Alves De Araújo |  | Aprovado | Enviou arquivo em branco.</v>
      </c>
      <c r="B2067" s="93"/>
    </row>
    <row r="2068">
      <c r="A2068" s="384" t="str">
        <f>IFERROR(__xludf.DUMMYFUNCTION("""COMPUTED_VALUE"""),"Juliana Andrigo Piquetti Santos | Segunda Licenciatura Em Artes Visuais | Aprovado | Rayssa: pp aprovado")</f>
        <v>Juliana Andrigo Piquetti Santos | Segunda Licenciatura Em Artes Visuais | Aprovado | Rayssa: pp aprovado</v>
      </c>
      <c r="B2068" s="93"/>
    </row>
    <row r="2069">
      <c r="A2069" s="384" t="str">
        <f>IFERROR(__xludf.DUMMYFUNCTION("""COMPUTED_VALUE"""),"Juliana Aparecida Guimarães |  | Aprovado | Mandei enviar pelo correio (08/02). Aguardando envio definitivo com assinaturas e carimbos (30/01).// Bárbara: Conferido e arquivado 15/09/2020")</f>
        <v>Juliana Aparecida Guimarães |  | Aprovado | Mandei enviar pelo correio (08/02). Aguardando envio definitivo com assinaturas e carimbos (30/01).// Bárbara: Conferido e arquivado 15/09/2020</v>
      </c>
      <c r="B2069" s="93"/>
    </row>
    <row r="2070">
      <c r="A2070" s="384" t="str">
        <f>IFERROR(__xludf.DUMMYFUNCTION("""COMPUTED_VALUE"""),"Juliana Aparecida Ribeiro | História | Aprovada | Júnio: PP 5 ETAPAS - aprovada")</f>
        <v>Juliana Aparecida Ribeiro | História | Aprovada | Júnio: PP 5 ETAPAS - aprovada</v>
      </c>
      <c r="B2070" s="93"/>
    </row>
    <row r="2071">
      <c r="A2071" s="384" t="str">
        <f>IFERROR(__xludf.DUMMYFUNCTION("""COMPUTED_VALUE"""),"Juliana Balta Ferreira | Letras Port/Esp | Aprovado | Thiara: Falta horas. /// Enviou horas faltantes e declaração de experiência. Recebido no Instituto dia 31/09/2019.// Bárbara: Conferido e arquivado em 16/09/2020")</f>
        <v>Juliana Balta Ferreira | Letras Port/Esp | Aprovado | Thiara: Falta horas. /// Enviou horas faltantes e declaração de experiência. Recebido no Instituto dia 31/09/2019.// Bárbara: Conferido e arquivado em 16/09/2020</v>
      </c>
      <c r="B2071" s="93"/>
    </row>
    <row r="2072">
      <c r="A2072" s="384" t="str">
        <f>IFERROR(__xludf.DUMMYFUNCTION("""COMPUTED_VALUE"""),"Juliana Balta Ferreira | Psicopedagogia Clínica E Institucional | Aprovada | Alexsiane: todas etapas ok falta somente preencher o termo de conclusão, a carta de apresentação e as fichas de registro. Pamela: autorizada autenticar o termo (até o dia 08/04/2"&amp;"023 para reenviar) //Júnio: aprovada: 12/05/23")</f>
        <v>Juliana Balta Ferreira | Psicopedagogia Clínica E Institucional | Aprovada | Alexsiane: todas etapas ok falta somente preencher o termo de conclusão, a carta de apresentação e as fichas de registro. Pamela: autorizada autenticar o termo (até o dia 08/04/2023 para reenviar) //Júnio: aprovada: 12/05/23</v>
      </c>
      <c r="B2072" s="93"/>
    </row>
    <row r="2073">
      <c r="A2073" s="384" t="str">
        <f>IFERROR(__xludf.DUMMYFUNCTION("""COMPUTED_VALUE"""),"Juliana Barboza De Meira Nogueira | Pedagogia | aprovada | Aline Silva: falta carta de ap, termo de conc, termo de comp., colocar data na capa, e enviar digitalizado// aprovada dia 03/06/2020// Bárbara: Conferido e arquivado em 16/09/2020")</f>
        <v>Juliana Barboza De Meira Nogueira | Pedagogia | aprovada | Aline Silva: falta carta de ap, termo de conc, termo de comp., colocar data na capa, e enviar digitalizado// aprovada dia 03/06/2020// Bárbara: Conferido e arquivado em 16/09/2020</v>
      </c>
      <c r="B2073" s="93"/>
    </row>
    <row r="2074">
      <c r="A2074" s="384" t="str">
        <f>IFERROR(__xludf.DUMMYFUNCTION("""COMPUTED_VALUE"""),"Juliana Bessa De Souza | Letras Português | Aprovada | Júnio: conforme combinado nas vendas o curso de capacitação vai valer para o estágio, certificado enviado válido")</f>
        <v>Juliana Bessa De Souza | Letras Português | Aprovada | Júnio: conforme combinado nas vendas o curso de capacitação vai valer para o estágio, certificado enviado válido</v>
      </c>
      <c r="B2074" s="93"/>
    </row>
    <row r="2075">
      <c r="A2075" s="384" t="str">
        <f>IFERROR(__xludf.DUMMYFUNCTION("""COMPUTED_VALUE"""),"Juliana Borges De Souza Silva | Ed. Física | Aprovado | 01/10, Mateus.")</f>
        <v>Juliana Borges De Souza Silva | Ed. Física | Aprovado | 01/10, Mateus.</v>
      </c>
      <c r="B2075" s="93"/>
    </row>
    <row r="2076">
      <c r="A2076" s="384" t="str">
        <f>IFERROR(__xludf.DUMMYFUNCTION("""COMPUTED_VALUE"""),"Juliana Carvalho Alcantara De Jesus | Artes Visuais | Aprovada | Júnio: PP - falta a carta de apresentação PRAZO: 14/10/23 //Júnio: aprovada: 01/11/2023")</f>
        <v>Juliana Carvalho Alcantara De Jesus | Artes Visuais | Aprovada | Júnio: PP - falta a carta de apresentação PRAZO: 14/10/23 //Júnio: aprovada: 01/11/2023</v>
      </c>
      <c r="B2076" s="93"/>
    </row>
    <row r="2077">
      <c r="A2077" s="384" t="str">
        <f>IFERROR(__xludf.DUMMYFUNCTION("""COMPUTED_VALUE"""),"Juliana Da Gama Gilio | Artes Visuais | Aprovado | Alexsiane: pp aprovado")</f>
        <v>Juliana Da Gama Gilio | Artes Visuais | Aprovado | Alexsiane: pp aprovado</v>
      </c>
      <c r="B2077" s="93"/>
    </row>
    <row r="2078">
      <c r="A2078" s="384" t="str">
        <f>IFERROR(__xludf.DUMMYFUNCTION("""COMPUTED_VALUE"""),"Juliana De Fátima Faria | Letras Port | Aprovada | Aline Silva: apresentou fora do modelo padrão, sem as horas dos anos finais. // Bárbara: aprovada 06/01/2021// Bárbara: conferido e arquivado 03/03/2021")</f>
        <v>Juliana De Fátima Faria | Letras Port | Aprovada | Aline Silva: apresentou fora do modelo padrão, sem as horas dos anos finais. // Bárbara: aprovada 06/01/2021// Bárbara: conferido e arquivado 03/03/2021</v>
      </c>
      <c r="B2078" s="93"/>
    </row>
    <row r="2079">
      <c r="A2079" s="384" t="str">
        <f>IFERROR(__xludf.DUMMYFUNCTION("""COMPUTED_VALUE"""),"Juliana De Fátima Goulart Ribeiro | Ciências Sociais | Aprovada | Júnio: aprovada no Remoto Antigo")</f>
        <v>Juliana De Fátima Goulart Ribeiro | Ciências Sociais | Aprovada | Júnio: aprovada no Remoto Antigo</v>
      </c>
      <c r="B2079" s="93"/>
    </row>
    <row r="2080">
      <c r="A2080" s="384" t="str">
        <f>IFERROR(__xludf.DUMMYFUNCTION("""COMPUTED_VALUE"""),"Juliana De Oliveira Cremasco | História | Aprovada | Alexsiane: complementar os objetivos gerais e especificos, preencher a carta de apresentação, encaminhar o termo de conclusão escanmeado e preenchido, complementar as fichas de reghistro com 40 horas de"&amp;" gestãpo e fazer as referências// Alexsiane: Pré aprovada 16/02/2024//Alexsiane: Estágio aprovado 12/03")</f>
        <v>Juliana De Oliveira Cremasco | História | Aprovada | Alexsiane: complementar os objetivos gerais e especificos, preencher a carta de apresentação, encaminhar o termo de conclusão escanmeado e preenchido, complementar as fichas de reghistro com 40 horas de gestãpo e fazer as referências// Alexsiane: Pré aprovada 16/02/2024//Alexsiane: Estágio aprovado 12/03</v>
      </c>
      <c r="B2080" s="93"/>
    </row>
    <row r="2081">
      <c r="A2081" s="384" t="str">
        <f>IFERROR(__xludf.DUMMYFUNCTION("""COMPUTED_VALUE"""),"Juliana De Oliveira Ozores | Historia | Aprovada | Mariana: Falta etapa 2//Cris: PP aprovado")</f>
        <v>Juliana De Oliveira Ozores | Historia | Aprovada | Mariana: Falta etapa 2//Cris: PP aprovado</v>
      </c>
      <c r="B2081" s="93"/>
    </row>
    <row r="2082">
      <c r="A2082" s="384" t="str">
        <f>IFERROR(__xludf.DUMMYFUNCTION("""COMPUTED_VALUE"""),"Juliana De Oliveira Ozores | 2ª Licenciatura Em História | Aprovado | Cris: PP aprovado")</f>
        <v>Juliana De Oliveira Ozores | 2ª Licenciatura Em História | Aprovado | Cris: PP aprovado</v>
      </c>
      <c r="B2082" s="93"/>
    </row>
    <row r="2083">
      <c r="A2083" s="384" t="str">
        <f>IFERROR(__xludf.DUMMYFUNCTION("""COMPUTED_VALUE"""),"Juliana Farias Pereira Santos | Pedagogia | Aprovada | Bárbara: autorizada a recolher as assinaturas // Bárbara: aprovada 25/01/2020// Miryã: conferido e arquivado 10/03/2021")</f>
        <v>Juliana Farias Pereira Santos | Pedagogia | Aprovada | Bárbara: autorizada a recolher as assinaturas // Bárbara: aprovada 25/01/2020// Miryã: conferido e arquivado 10/03/2021</v>
      </c>
      <c r="B2083" s="93"/>
    </row>
    <row r="2084">
      <c r="A2084" s="384" t="str">
        <f>IFERROR(__xludf.DUMMYFUNCTION("""COMPUTED_VALUE"""),"Juliana Freire Pinheiro Badaro | Artes Visuais | Aprovada | Bárbara: 9% plágio (resumo e conlusão de forma integra), e apenas 1 plano de aula // Bárbara: aprovada na 4ª etapa 12/02/2021")</f>
        <v>Juliana Freire Pinheiro Badaro | Artes Visuais | Aprovada | Bárbara: 9% plágio (resumo e conlusão de forma integra), e apenas 1 plano de aula // Bárbara: aprovada na 4ª etapa 12/02/2021</v>
      </c>
      <c r="B2084" s="93"/>
    </row>
    <row r="2085">
      <c r="A2085" s="384" t="str">
        <f>IFERROR(__xludf.DUMMYFUNCTION("""COMPUTED_VALUE"""),"Juliana Gabriel Felzke | Letras - Português Inglês | Aprovada | Júnio: remoto antigo - etapas 1,2 e 3 ok //Júnio: aprovada: 26/05/22")</f>
        <v>Juliana Gabriel Felzke | Letras - Português Inglês | Aprovada | Júnio: remoto antigo - etapas 1,2 e 3 ok //Júnio: aprovada: 26/05/22</v>
      </c>
      <c r="B2085" s="93"/>
    </row>
    <row r="2086">
      <c r="A2086" s="384" t="str">
        <f>IFERROR(__xludf.DUMMYFUNCTION("""COMPUTED_VALUE"""),"Juliana Galvão Lopes | Psicopedagogia Clínica, Institucional E Hospitalar | Aprovado | Alexsiane; estágio aprovado")</f>
        <v>Juliana Galvão Lopes | Psicopedagogia Clínica, Institucional E Hospitalar | Aprovado | Alexsiane; estágio aprovado</v>
      </c>
      <c r="B2086" s="93"/>
    </row>
    <row r="2087">
      <c r="A2087" s="384" t="str">
        <f>IFERROR(__xludf.DUMMYFUNCTION("""COMPUTED_VALUE"""),"Juliana Gonçalves De Camargo | Letras Português | Aprovada | Júnio: PP aprovada")</f>
        <v>Juliana Gonçalves De Camargo | Letras Português | Aprovada | Júnio: PP aprovada</v>
      </c>
      <c r="B2087" s="93"/>
    </row>
    <row r="2088">
      <c r="A2088" s="384" t="str">
        <f>IFERROR(__xludf.DUMMYFUNCTION("""COMPUTED_VALUE"""),"Juliana Gonçalves Santos Oliveira | Pedagogia | Aprovada | Bárbara: faltou 1 plano de aula, e faltou formatação nas referências;// Bárbara: aprovada 07/12/2020// Bárbara: imprimido e arquivado 08/01/2021// Bárbara: conferido e arquivado 03/03/2021")</f>
        <v>Juliana Gonçalves Santos Oliveira | Pedagogia | Aprovada | Bárbara: faltou 1 plano de aula, e faltou formatação nas referências;// Bárbara: aprovada 07/12/2020// Bárbara: imprimido e arquivado 08/01/2021// Bárbara: conferido e arquivado 03/03/2021</v>
      </c>
      <c r="B2088" s="93"/>
    </row>
    <row r="2089">
      <c r="A2089" s="384" t="str">
        <f>IFERROR(__xludf.DUMMYFUNCTION("""COMPUTED_VALUE"""),"Juliana Isabel Da Silva | Pedagogia | Aprovada | Alexsiane: PPfalta etapa 1, está 2 ok// Rayssa:pp aprovado 26/09/2024")</f>
        <v>Juliana Isabel Da Silva | Pedagogia | Aprovada | Alexsiane: PPfalta etapa 1, está 2 ok// Rayssa:pp aprovado 26/09/2024</v>
      </c>
      <c r="B2089" s="93"/>
    </row>
    <row r="2090">
      <c r="A2090" s="384" t="str">
        <f>IFERROR(__xludf.DUMMYFUNCTION("""COMPUTED_VALUE"""),"Juliana Machado | Música | Aprovada | Júnio: PP aprovada")</f>
        <v>Juliana Machado | Música | Aprovada | Júnio: PP aprovada</v>
      </c>
      <c r="B2090" s="93"/>
    </row>
    <row r="2091">
      <c r="A2091" s="384" t="str">
        <f>IFERROR(__xludf.DUMMYFUNCTION("""COMPUTED_VALUE"""),"Juliana Maria Corallo Quinan | História | Aprovada | Júnio: aprovada no Remoto Antigo")</f>
        <v>Juliana Maria Corallo Quinan | História | Aprovada | Júnio: aprovada no Remoto Antigo</v>
      </c>
      <c r="B2091" s="93"/>
    </row>
    <row r="2092">
      <c r="A2092" s="384" t="str">
        <f>IFERROR(__xludf.DUMMYFUNCTION("""COMPUTED_VALUE"""),"Juliana Maria De Miranda Silva | Letras Português | Aprovada | Bianca: aprovada nas 3 primeiras etapas do remoto atualizado //Bianca: aprovada: 01/07/2021")</f>
        <v>Juliana Maria De Miranda Silva | Letras Português | Aprovada | Bianca: aprovada nas 3 primeiras etapas do remoto atualizado //Bianca: aprovada: 01/07/2021</v>
      </c>
      <c r="B2092" s="93"/>
    </row>
    <row r="2093">
      <c r="A2093" s="384" t="str">
        <f>IFERROR(__xludf.DUMMYFUNCTION("""COMPUTED_VALUE"""),"Juliana Martins De Oliveira | Pedagogia | Aprovada | Lucas: Aprovada nas 3 primeiras etapas do estagio remoto antigo, agendar a 4 etapa //Júnio: aprovada na aula online 03/02/22")</f>
        <v>Juliana Martins De Oliveira | Pedagogia | Aprovada | Lucas: Aprovada nas 3 primeiras etapas do estagio remoto antigo, agendar a 4 etapa //Júnio: aprovada na aula online 03/02/22</v>
      </c>
      <c r="B2093" s="93"/>
    </row>
    <row r="2094">
      <c r="A2094" s="384" t="str">
        <f>IFERROR(__xludf.DUMMYFUNCTION("""COMPUTED_VALUE"""),"Juliana Moreira Campos | Música | Aprovada | Júnio: pelo guru declaração de experiencia válida //Júnio: aprovada: 23/08/23")</f>
        <v>Juliana Moreira Campos | Música | Aprovada | Júnio: pelo guru declaração de experiencia válida //Júnio: aprovada: 23/08/23</v>
      </c>
      <c r="B2094" s="93"/>
    </row>
    <row r="2095">
      <c r="A2095" s="384" t="str">
        <f>IFERROR(__xludf.DUMMYFUNCTION("""COMPUTED_VALUE"""),"Juliana Myrtes Balbino Dos Santos Lima | Pedagogia | Aprovada | Júnio: PP - precisa digitar a entrevista //Júnio: aprovada: 13/11/2023")</f>
        <v>Juliana Myrtes Balbino Dos Santos Lima | Pedagogia | Aprovada | Júnio: PP - precisa digitar a entrevista //Júnio: aprovada: 13/11/2023</v>
      </c>
      <c r="B2095" s="93"/>
    </row>
    <row r="2096">
      <c r="A2096" s="384" t="str">
        <f>IFERROR(__xludf.DUMMYFUNCTION("""COMPUTED_VALUE"""),"Juliana Paula Do Nascimento | Pedagogia Para Bacharéis | Aprovado | Alexsiane: pp ok, falta todas as etapas das práticas de componentes curriculares. // pccs ok, aprovada 14/06/24")</f>
        <v>Juliana Paula Do Nascimento | Pedagogia Para Bacharéis | Aprovado | Alexsiane: pp ok, falta todas as etapas das práticas de componentes curriculares. // pccs ok, aprovada 14/06/24</v>
      </c>
      <c r="B2096" s="93"/>
    </row>
    <row r="2097">
      <c r="A2097" s="384" t="str">
        <f>IFERROR(__xludf.DUMMYFUNCTION("""COMPUTED_VALUE"""),"Juliana Ribeiro | Artes Visuais | Aprovada | Bianca: presença de plágio parafraseado. Falta fichas de registro.//Alexsiane:Aprovado passou para o remoto antigo")</f>
        <v>Juliana Ribeiro | Artes Visuais | Aprovada | Bianca: presença de plágio parafraseado. Falta fichas de registro.//Alexsiane:Aprovado passou para o remoto antigo</v>
      </c>
      <c r="B2097" s="93"/>
    </row>
    <row r="2098">
      <c r="A2098" s="384" t="str">
        <f>IFERROR(__xludf.DUMMYFUNCTION("""COMPUTED_VALUE"""),"Juliana Roberta Dos Santos | Matematica | Aprovada | Alexsiane: encaminhar o trabalho em word editavel e refazer as fichas de registro, está toda errada 14/04 reenviar //Júnio: pre aprovada 27/04/23 //Júnio: aprovada: 18/05/23")</f>
        <v>Juliana Roberta Dos Santos | Matematica | Aprovada | Alexsiane: encaminhar o trabalho em word editavel e refazer as fichas de registro, está toda errada 14/04 reenviar //Júnio: pre aprovada 27/04/23 //Júnio: aprovada: 18/05/23</v>
      </c>
      <c r="B2098" s="93"/>
    </row>
    <row r="2099">
      <c r="A2099" s="384" t="str">
        <f>IFERROR(__xludf.DUMMYFUNCTION("""COMPUTED_VALUE"""),"Juliana Rosa | Letras Ingles | Aprovada | Júnio: PP aprovada")</f>
        <v>Juliana Rosa | Letras Ingles | Aprovada | Júnio: PP aprovada</v>
      </c>
      <c r="B2099" s="93"/>
    </row>
    <row r="2100">
      <c r="A2100" s="384" t="str">
        <f>IFERROR(__xludf.DUMMYFUNCTION("""COMPUTED_VALUE"""),"Juliane Belchansk Sobral | Letras Português | Aprovada | Bárbara: apresentou declaração de experiência válida")</f>
        <v>Juliane Belchansk Sobral | Letras Português | Aprovada | Bárbara: apresentou declaração de experiência válida</v>
      </c>
      <c r="B2100" s="93"/>
    </row>
    <row r="2101">
      <c r="A2101" s="384" t="str">
        <f>IFERROR(__xludf.DUMMYFUNCTION("""COMPUTED_VALUE"""),"Juliane De Cássia Franco | Pedagogia | Aprovada | Júnio: PP- 37% plágio e falta a etapa 2 //Júnio: aprovada: 22/11/23")</f>
        <v>Juliane De Cássia Franco | Pedagogia | Aprovada | Júnio: PP- 37% plágio e falta a etapa 2 //Júnio: aprovada: 22/11/23</v>
      </c>
      <c r="B2101" s="93"/>
    </row>
    <row r="2102">
      <c r="A2102" s="384" t="str">
        <f>IFERROR(__xludf.DUMMYFUNCTION("""COMPUTED_VALUE"""),"Juliane Ferreira Fogaça | História | Aprovada | Bárbara: trabalho da aluna está excelente, contudo ela se esqueceu das considerações finais.// Bárbara: aprovada 23/11/2020 //Júnio: conferido e arquivado: 16/06/2021")</f>
        <v>Juliane Ferreira Fogaça | História | Aprovada | Bárbara: trabalho da aluna está excelente, contudo ela se esqueceu das considerações finais.// Bárbara: aprovada 23/11/2020 //Júnio: conferido e arquivado: 16/06/2021</v>
      </c>
      <c r="B2102" s="93"/>
    </row>
    <row r="2103">
      <c r="A2103" s="384" t="str">
        <f>IFERROR(__xludf.DUMMYFUNCTION("""COMPUTED_VALUE"""),"Juliane Maria Siqueira | Neuropsicologia Clínica | Aprovada | Júnio: 5% plágio em vários trechos LEMBRETE: AVISAR ALUNA POR WHATSAPP /// Edilaine: Pré-aprovada 31/01/2023 // Pamela 13/02/2023 Conferido e arquivado. ")</f>
        <v>Juliane Maria Siqueira | Neuropsicologia Clínica | Aprovada | Júnio: 5% plágio em vários trechos LEMBRETE: AVISAR ALUNA POR WHATSAPP /// Edilaine: Pré-aprovada 31/01/2023 // Pamela 13/02/2023 Conferido e arquivado. </v>
      </c>
      <c r="B2103" s="93"/>
    </row>
    <row r="2104">
      <c r="A2104" s="384" t="str">
        <f>IFERROR(__xludf.DUMMYFUNCTION("""COMPUTED_VALUE"""),"Juliane Quitéria De Oliveira | Música | Aprovada | Júnio: remoto antigo - falta etapa 4  //Júnio: aprovada: 11/08/23")</f>
        <v>Juliane Quitéria De Oliveira | Música | Aprovada | Júnio: remoto antigo - falta etapa 4  //Júnio: aprovada: 11/08/23</v>
      </c>
      <c r="B2104" s="93"/>
    </row>
    <row r="2105">
      <c r="A2105" s="384" t="str">
        <f>IFERROR(__xludf.DUMMYFUNCTION("""COMPUTED_VALUE"""),"Juliano De Moraes | Pedagogia | Aprovado | Júnio: PP - etapas: ok Inicio: 09/08/2023 C: 09/02/24 //Aprovado: 14/02/24")</f>
        <v>Juliano De Moraes | Pedagogia | Aprovado | Júnio: PP - etapas: ok Inicio: 09/08/2023 C: 09/02/24 //Aprovado: 14/02/24</v>
      </c>
      <c r="B2105" s="93"/>
    </row>
    <row r="2106">
      <c r="A2106" s="384" t="str">
        <f>IFERROR(__xludf.DUMMYFUNCTION("""COMPUTED_VALUE"""),"Juliano Dos Santos Ferreira | Letras Inglês | Aprovado | Alexsiane: pp aprovado")</f>
        <v>Juliano Dos Santos Ferreira | Letras Inglês | Aprovado | Alexsiane: pp aprovado</v>
      </c>
      <c r="B2106" s="93"/>
    </row>
    <row r="2107">
      <c r="A2107" s="384" t="str">
        <f>IFERROR(__xludf.DUMMYFUNCTION("""COMPUTED_VALUE"""),"Juliano Henrique Soares | Pedagogia | Aprovado | Curso de capacitação ofertado no lugar")</f>
        <v>Juliano Henrique Soares | Pedagogia | Aprovado | Curso de capacitação ofertado no lugar</v>
      </c>
      <c r="B2107" s="93"/>
    </row>
    <row r="2108">
      <c r="A2108" s="384" t="str">
        <f>IFERROR(__xludf.DUMMYFUNCTION("""COMPUTED_VALUE"""),"Juliene Francisca Alves Teotônio | Pedagogia | Aprovada | Bárbara: aprovado 1, 2 e 3 e apresentou declaração de experiência válida.")</f>
        <v>Juliene Francisca Alves Teotônio | Pedagogia | Aprovada | Bárbara: aprovado 1, 2 e 3 e apresentou declaração de experiência válida.</v>
      </c>
      <c r="B2108" s="93"/>
    </row>
    <row r="2109">
      <c r="A2109" s="384" t="str">
        <f>IFERROR(__xludf.DUMMYFUNCTION("""COMPUTED_VALUE"""),"Juliete Aparecida Vieira Duarte | Pedagogia | aprovada | Amélia: aprovada nas 3 primeiras etapas //Bárbara: aprovada na 4ª etapa 28/04/21")</f>
        <v>Juliete Aparecida Vieira Duarte | Pedagogia | aprovada | Amélia: aprovada nas 3 primeiras etapas //Bárbara: aprovada na 4ª etapa 28/04/21</v>
      </c>
      <c r="B2109" s="93"/>
    </row>
    <row r="2110">
      <c r="A2110" s="384" t="str">
        <f>IFERROR(__xludf.DUMMYFUNCTION("""COMPUTED_VALUE"""),"Júlio César Da Silva | Letras Port. Ingl. | Aprovado | Thiara: Falta 15 horas de observação/regência do Ensino Médio e horas de Gestão e Estrutura Escolar. // Aline silva: aprovado dia 06/01/2020 com consulta a ana // Recebido no instituto dia 06/03/2020")</f>
        <v>Júlio César Da Silva | Letras Port. Ingl. | Aprovado | Thiara: Falta 15 horas de observação/regência do Ensino Médio e horas de Gestão e Estrutura Escolar. // Aline silva: aprovado dia 06/01/2020 com consulta a ana // Recebido no instituto dia 06/03/2020</v>
      </c>
      <c r="B2110" s="93"/>
    </row>
    <row r="2111">
      <c r="A2111" s="384" t="str">
        <f>IFERROR(__xludf.DUMMYFUNCTION("""COMPUTED_VALUE"""),"Júlio César De Melo | Artes Visuais | Aprovado | Alexsiane: pre aprovado //Júnio: aprovado: 06/06/23")</f>
        <v>Júlio César De Melo | Artes Visuais | Aprovado | Alexsiane: pre aprovado //Júnio: aprovado: 06/06/23</v>
      </c>
      <c r="B2111" s="93"/>
    </row>
    <row r="2112">
      <c r="A2112" s="384" t="str">
        <f>IFERROR(__xludf.DUMMYFUNCTION("""COMPUTED_VALUE"""),"Júlio César Torres Junior | Pedagogia | Aprovado | Júnio: especificar nas fichas de registro o tema e série. PRAZO: 13/01/24// Alexsiane: Tce aprovado 19/02, termo do conclusão já autenticado")</f>
        <v>Júlio César Torres Junior | Pedagogia | Aprovado | Júnio: especificar nas fichas de registro o tema e série. PRAZO: 13/01/24// Alexsiane: Tce aprovado 19/02, termo do conclusão já autenticado</v>
      </c>
      <c r="B2112" s="93"/>
    </row>
    <row r="2113">
      <c r="A2113" s="384" t="str">
        <f>IFERROR(__xludf.DUMMYFUNCTION("""COMPUTED_VALUE"""),"Julio Eymard Magalhães Rabello Miranda | Matemática | Aprovado | Edilaine: 9,61% de plágio, tem que complementar a introdução, tem que fazer as considerações finais, tem que fazer o perigo da história única, tem planos de aulas iguais.// Alexsiane: aprova"&amp;"do no video da 4° etapa também 17/04/2023")</f>
        <v>Julio Eymard Magalhães Rabello Miranda | Matemática | Aprovado | Edilaine: 9,61% de plágio, tem que complementar a introdução, tem que fazer as considerações finais, tem que fazer o perigo da história única, tem planos de aulas iguais.// Alexsiane: aprovado no video da 4° etapa também 17/04/2023</v>
      </c>
      <c r="B2113" s="93"/>
    </row>
    <row r="2114">
      <c r="A2114" s="384" t="str">
        <f>IFERROR(__xludf.DUMMYFUNCTION("""COMPUTED_VALUE"""),"Júlio Marinho De Assis | Música | Aprovado | Júnio: PP aprovado")</f>
        <v>Júlio Marinho De Assis | Música | Aprovado | Júnio: PP aprovado</v>
      </c>
      <c r="B2114" s="93"/>
    </row>
    <row r="2115">
      <c r="A2115" s="384" t="str">
        <f>IFERROR(__xludf.DUMMYFUNCTION("""COMPUTED_VALUE"""),"Júnia Mara De Campos Bento | Filosofia | aprovada | Júnio: remoto antigo, falta 19 planos de aula //Júnio: aprovada na aula online: 05/01/22")</f>
        <v>Júnia Mara De Campos Bento | Filosofia | aprovada | Júnio: remoto antigo, falta 19 planos de aula //Júnio: aprovada na aula online: 05/01/22</v>
      </c>
      <c r="B2115" s="93"/>
    </row>
    <row r="2116">
      <c r="A2116" s="384" t="str">
        <f>IFERROR(__xludf.DUMMYFUNCTION("""COMPUTED_VALUE"""),"Júnia Marise César Dos Santos | Pedagogia | Aprovada | Aline Silva: 5h relatadas, inconsistência de informações, falta carta de ap, plano de aula, atv executada, mesma assinatura em todas as fichas.// Bárbara: aprovada TCE remoto 27/11/2020// Miryã: confe"&amp;"rido e arquivado 10/03/2021")</f>
        <v>Júnia Marise César Dos Santos | Pedagogia | Aprovada | Aline Silva: 5h relatadas, inconsistência de informações, falta carta de ap, plano de aula, atv executada, mesma assinatura em todas as fichas.// Bárbara: aprovada TCE remoto 27/11/2020// Miryã: conferido e arquivado 10/03/2021</v>
      </c>
      <c r="B2116" s="93"/>
    </row>
    <row r="2117">
      <c r="A2117" s="384" t="str">
        <f>IFERROR(__xludf.DUMMYFUNCTION("""COMPUTED_VALUE"""),"Júnia Soares De Souza | Pedagogia | Aprovada | Júnio: pelo guru declaração de experiencia valida //Júnio: aprovada: 15/05/23")</f>
        <v>Júnia Soares De Souza | Pedagogia | Aprovada | Júnio: pelo guru declaração de experiencia valida //Júnio: aprovada: 15/05/23</v>
      </c>
      <c r="B2117" s="93"/>
    </row>
    <row r="2118">
      <c r="A2118" s="384" t="str">
        <f>IFERROR(__xludf.DUMMYFUNCTION("""COMPUTED_VALUE"""),"Júnia Soares De Souza | Pedagogia | Em análise | Júnio: remoto antigo - 16% plágio")</f>
        <v>Júnia Soares De Souza | Pedagogia | Em análise | Júnio: remoto antigo - 16% plágio</v>
      </c>
      <c r="B2118" s="93"/>
    </row>
    <row r="2119">
      <c r="A2119" s="384" t="str">
        <f>IFERROR(__xludf.DUMMYFUNCTION("""COMPUTED_VALUE"""),"Junio César Oliveira Martins | Filosofia | Aprovado | APROVADO, 27-08, está no e-mail do TCC.")</f>
        <v>Junio César Oliveira Martins | Filosofia | Aprovado | APROVADO, 27-08, está no e-mail do TCC.</v>
      </c>
      <c r="B2119" s="93"/>
    </row>
    <row r="2120">
      <c r="A2120" s="384" t="str">
        <f>IFERROR(__xludf.DUMMYFUNCTION("""COMPUTED_VALUE"""),"Juracy Gonçalves De Borba | Letras Português | Aprovada  | Alexsiane: Plágio em toda a Introdução // Pamela 14/12/2022 Conferido e arquivado. ")</f>
        <v>Juracy Gonçalves De Borba | Letras Português | Aprovada  | Alexsiane: Plágio em toda a Introdução // Pamela 14/12/2022 Conferido e arquivado. </v>
      </c>
      <c r="B2120" s="93"/>
    </row>
    <row r="2121">
      <c r="A2121" s="384" t="str">
        <f>IFERROR(__xludf.DUMMYFUNCTION("""COMPUTED_VALUE"""),"Jusciléia Miranda De Souza Xavier | Matemática | Aprovada | Alexsiane: Conforme orientações no estágio, é necessário que a senhora realize  as seguintes pastas: •Estágio I- Educação Infantil- 120 Horas,•Estágio II- Fundamental I- 120 Horas,•Prática de Com"&amp;"ponentes Curriculares I – 100 Horas- Portifólio Educação Infantil• Prática de Componentes Curriculares II – 100 Horas- Jogos Ensinando Fundamental I,•Prática de Componentes Curriculares III – 100 Horas- Entrevista Gestão Educacional• Prática de Componente"&amp;"s Curriculares IV- 100 Horas- Mapa Mental Educação Inclusiva. Além dos seguintes tópicos a senhora deverá realizar as seguintes correções: Estágio III- Falta 1 plano de aula, Carta de Apresentação, Termo de Conclusão, Relatório de Gestão e Especificar as "&amp;"datas nas Fichas de Registro.Estágio IV- Falta 1 plano de aula, Carta de Apresentação, Termo de Conclusão, Relatório de Observação, Relatório de Regência e Complementar as Fichas de Registro com 6 horas de Observação")</f>
        <v>Jusciléia Miranda De Souza Xavier | Matemática | Aprovada | Alexsiane: Conforme orientações no estágio, é necessário que a senhora realize  as seguintes pastas: •Estágio I- Educação Infantil- 120 Horas,•Estágio II- Fundamental I- 120 Horas,•Prática de Componentes Curriculares I – 100 Horas- Portifólio Educação Infantil• Prática de Componentes Curriculares II – 100 Horas- Jogos Ensinando Fundamental I,•Prática de Componentes Curriculares III – 100 Horas- Entrevista Gestão Educacional• Prática de Componentes Curriculares IV- 100 Horas- Mapa Mental Educação Inclusiva. Além dos seguintes tópicos a senhora deverá realizar as seguintes correções: Estágio III- Falta 1 plano de aula, Carta de Apresentação, Termo de Conclusão, Relatório de Gestão e Especificar as datas nas Fichas de Registro.Estágio IV- Falta 1 plano de aula, Carta de Apresentação, Termo de Conclusão, Relatório de Observação, Relatório de Regência e Complementar as Fichas de Registro com 6 horas de Observação</v>
      </c>
      <c r="B2121" s="93"/>
    </row>
    <row r="2122">
      <c r="A2122" s="384" t="str">
        <f>IFERROR(__xludf.DUMMYFUNCTION("""COMPUTED_VALUE"""),"Juscilene Da Silva | Pedagogia | aprovada | Bianca: aprovada nas 4 etapas do remoto atualizado //Júnio: conferido e arquivado 03/11/2021")</f>
        <v>Juscilene Da Silva | Pedagogia | aprovada | Bianca: aprovada nas 4 etapas do remoto atualizado //Júnio: conferido e arquivado 03/11/2021</v>
      </c>
      <c r="B2122" s="93"/>
    </row>
    <row r="2123">
      <c r="A2123" s="384" t="str">
        <f>IFERROR(__xludf.DUMMYFUNCTION("""COMPUTED_VALUE"""),"Juscilene Da Silva | Psicopedagogia Institucional, Clínica E Educação Infantil | Aprovada | Júnio: 18% plágio// Bianca aprovada em 13/12/2021 ")</f>
        <v>Juscilene Da Silva | Psicopedagogia Institucional, Clínica E Educação Infantil | Aprovada | Júnio: 18% plágio// Bianca aprovada em 13/12/2021 </v>
      </c>
      <c r="B2123" s="93"/>
    </row>
    <row r="2124">
      <c r="A2124" s="384" t="str">
        <f>IFERROR(__xludf.DUMMYFUNCTION("""COMPUTED_VALUE"""),"Jusley Caroliny Santos Rocha | Letras Português-Inglês | Aprovado | Alexsiane: 20% de plágio// alexsiane pp aprovado 14/05")</f>
        <v>Jusley Caroliny Santos Rocha | Letras Português-Inglês | Aprovado | Alexsiane: 20% de plágio// alexsiane pp aprovado 14/05</v>
      </c>
      <c r="B2124" s="93"/>
    </row>
    <row r="2125">
      <c r="A2125" s="384" t="str">
        <f>IFERROR(__xludf.DUMMYFUNCTION("""COMPUTED_VALUE"""),"Jussandra Márcia De Souza | Pós Graduação Neuropsicopedagogia | Aprovado | Cris: falta parte teórica do TCC")</f>
        <v>Jussandra Márcia De Souza | Pós Graduação Neuropsicopedagogia | Aprovado | Cris: falta parte teórica do TCC</v>
      </c>
      <c r="B2125" s="93"/>
    </row>
    <row r="2126">
      <c r="A2126" s="384" t="str">
        <f>IFERROR(__xludf.DUMMYFUNCTION("""COMPUTED_VALUE"""),"Jussandra Márcia De Souza | Neuropsicopedagogia Institucional, Clínica E Hospitalar | Aprovado | Alexsiane: tce falta encaminhar todas as etapas dissertativas, nas fichas de registro tem que especificar os atividades realizadas.// Rayssa: aprovado 11/10/2"&amp;"024")</f>
        <v>Jussandra Márcia De Souza | Neuropsicopedagogia Institucional, Clínica E Hospitalar | Aprovado | Alexsiane: tce falta encaminhar todas as etapas dissertativas, nas fichas de registro tem que especificar os atividades realizadas.// Rayssa: aprovado 11/10/2024</v>
      </c>
      <c r="B2126" s="93"/>
    </row>
    <row r="2127">
      <c r="A2127" s="384" t="str">
        <f>IFERROR(__xludf.DUMMYFUNCTION("""COMPUTED_VALUE"""),"Jussara Bezerra Mergulhão | Artes Visuais | Aprovada | Júnio: análise do guru declaração de experiência válida//Alexsiane: pré aprovado com lançamento no sponte // Pamela 020/01/2023 Conferido e arquivado. ")</f>
        <v>Jussara Bezerra Mergulhão | Artes Visuais | Aprovada | Júnio: análise do guru declaração de experiência válida//Alexsiane: pré aprovado com lançamento no sponte // Pamela 020/01/2023 Conferido e arquivado. </v>
      </c>
      <c r="B2127" s="93"/>
    </row>
    <row r="2128">
      <c r="A2128" s="384" t="str">
        <f>IFERROR(__xludf.DUMMYFUNCTION("""COMPUTED_VALUE"""),"Juvenal Delfino De Oliveira Neto | História | Aprovado | Aline Silva: Estágio fora do padrão, + de 8 horas por dia, sem discussao das atividades e fichas obrigatórias // Bianca: aprovado 18/03/2021")</f>
        <v>Juvenal Delfino De Oliveira Neto | História | Aprovado | Aline Silva: Estágio fora do padrão, + de 8 horas por dia, sem discussao das atividades e fichas obrigatórias // Bianca: aprovado 18/03/2021</v>
      </c>
      <c r="B2128" s="93"/>
    </row>
    <row r="2129">
      <c r="A2129" s="384" t="str">
        <f>IFERROR(__xludf.DUMMYFUNCTION("""COMPUTED_VALUE"""),"Kaina Weiber Wasbeck | Artes Visuais | Em análise | Alexsiane:15% de plágio, declaração de experiência não aceita ( pois não é nos anos que pleiteiam o estágio), alguns planos de aula escaneado solicitei em word editável e corrigir planos iguais. 05/12 pa"&amp;"ra reenvia")</f>
        <v>Kaina Weiber Wasbeck | Artes Visuais | Em análise | Alexsiane:15% de plágio, declaração de experiência não aceita ( pois não é nos anos que pleiteiam o estágio), alguns planos de aula escaneado solicitei em word editável e corrigir planos iguais. 05/12 para reenvia</v>
      </c>
      <c r="B2129" s="93"/>
    </row>
    <row r="2130">
      <c r="A2130" s="384" t="str">
        <f>IFERROR(__xludf.DUMMYFUNCTION("""COMPUTED_VALUE"""),"Kalina Da Silva Rodrigues | Pedagogia-800 Horas | Aprovada | Alexsiane: Conforme orientações no estágio, é necessário que a senhora realize  as seguintes pastas: •Estágio I- Educação Infantil- 120 Horas,•Estágio II- Fundamental I- 120 Horas,•Prática de Co"&amp;"mponentes Curriculares I – 100 Horas- Portifólio Educação Infantil• Prática de Componentes Curriculares II – 100 Horas- Jogos Ensinando Fundamental I,•Prática de Componentes Curriculares III – 100 Horas- Entrevista Gestão Educacional• Prática de Component"&amp;"es Curriculares IV- 100 Horas- Mapa Mental Educação Inclusiva. Além dos seguintes tópicos a senhora deverá realizar as seguintes correções: Estágio III- Falta 1 plano de aula, Carta de Apresentação, Termo de Conclusão, Relatório de Gestão e Especificar as"&amp;" datas nas Fichas de Registro.Estágio IV- Falta 1 plano de aula, Carta de Apresentação, Termo de Conclusão, Relatório de Observação, Relatório de Regência e Complementar as Fichas de Registro com 6 horas de Observação  //Júnio: pré aprovada: 03/07/23 //Jú"&amp;"nio: aprovada: 13/07/23")</f>
        <v>Kalina Da Silva Rodrigues | Pedagogia-800 Horas | Aprovada | Alexsiane: Conforme orientações no estágio, é necessário que a senhora realize  as seguintes pastas: •Estágio I- Educação Infantil- 120 Horas,•Estágio II- Fundamental I- 120 Horas,•Prática de Componentes Curriculares I – 100 Horas- Portifólio Educação Infantil• Prática de Componentes Curriculares II – 100 Horas- Jogos Ensinando Fundamental I,•Prática de Componentes Curriculares III – 100 Horas- Entrevista Gestão Educacional• Prática de Componentes Curriculares IV- 100 Horas- Mapa Mental Educação Inclusiva. Além dos seguintes tópicos a senhora deverá realizar as seguintes correções: Estágio III- Falta 1 plano de aula, Carta de Apresentação, Termo de Conclusão, Relatório de Gestão e Especificar as datas nas Fichas de Registro.Estágio IV- Falta 1 plano de aula, Carta de Apresentação, Termo de Conclusão, Relatório de Observação, Relatório de Regência e Complementar as Fichas de Registro com 6 horas de Observação  //Júnio: pré aprovada: 03/07/23 //Júnio: aprovada: 13/07/23</v>
      </c>
      <c r="B2130" s="93"/>
    </row>
    <row r="2131">
      <c r="A2131" s="384" t="str">
        <f>IFERROR(__xludf.DUMMYFUNCTION("""COMPUTED_VALUE"""),"Kalyza Silva Severino | Pedagogia Para Bacharéis E Tecnólogos | Aprovada | Júnio: PP: ok PCC: falta enviar //Júnio: aprovada: 19/12/23")</f>
        <v>Kalyza Silva Severino | Pedagogia Para Bacharéis E Tecnólogos | Aprovada | Júnio: PP: ok PCC: falta enviar //Júnio: aprovada: 19/12/23</v>
      </c>
      <c r="B2131" s="93"/>
    </row>
    <row r="2132">
      <c r="A2132" s="384" t="str">
        <f>IFERROR(__xludf.DUMMYFUNCTION("""COMPUTED_VALUE"""),"Kamila Lopes De Lacerda Costa | Artes Visuais | Em análise | Thiara: Falta 30 horas de Gestão e Estrutura Escolar e a parte escrita.// Recebido dia 04/12/2019")</f>
        <v>Kamila Lopes De Lacerda Costa | Artes Visuais | Em análise | Thiara: Falta 30 horas de Gestão e Estrutura Escolar e a parte escrita.// Recebido dia 04/12/2019</v>
      </c>
      <c r="B2132" s="93"/>
    </row>
    <row r="2133">
      <c r="A2133" s="384" t="str">
        <f>IFERROR(__xludf.DUMMYFUNCTION("""COMPUTED_VALUE"""),"Kamila Pimenta Valadares | Pedagogia | Aprovada | Aline Silva: autorizada a recolher assinaturas // Aline: aprovada 07/12/2020")</f>
        <v>Kamila Pimenta Valadares | Pedagogia | Aprovada | Aline Silva: autorizada a recolher assinaturas // Aline: aprovada 07/12/2020</v>
      </c>
      <c r="B2133" s="93"/>
    </row>
    <row r="2134">
      <c r="A2134" s="384" t="str">
        <f>IFERROR(__xludf.DUMMYFUNCTION("""COMPUTED_VALUE"""),"Kamila Santos De Araújo | Formação Pedagógica Em Sociologia | Aprovado | Cris: PP aprovado")</f>
        <v>Kamila Santos De Araújo | Formação Pedagógica Em Sociologia | Aprovado | Cris: PP aprovado</v>
      </c>
      <c r="B2134" s="93"/>
    </row>
    <row r="2135">
      <c r="A2135" s="384" t="str">
        <f>IFERROR(__xludf.DUMMYFUNCTION("""COMPUTED_VALUE"""),"Kamila Valéria Cavalcante De Medeiros | Pedagogia | Aprovada | Edilaine: Tem que colocar o plano de aula em nosso modelo padrão, tem que corrigir o total de horas cumpridas em uma das fichas. //Júnio: pré aprovada: 09/05/23 //Júnio: aprovada: 18/05/23")</f>
        <v>Kamila Valéria Cavalcante De Medeiros | Pedagogia | Aprovada | Edilaine: Tem que colocar o plano de aula em nosso modelo padrão, tem que corrigir o total de horas cumpridas em uma das fichas. //Júnio: pré aprovada: 09/05/23 //Júnio: aprovada: 18/05/23</v>
      </c>
      <c r="B2135" s="93"/>
    </row>
    <row r="2136">
      <c r="A2136" s="384" t="str">
        <f>IFERROR(__xludf.DUMMYFUNCTION("""COMPUTED_VALUE"""),"Kamilla Aparecida De Oliveira | Letras - Português Inglês | Aprovada | Júnio: fichas preenchidas incorretamente //Bianca: aprovada 07/07/21 //Júnio: físico, conferido e arquivado: 15/07/2022")</f>
        <v>Kamilla Aparecida De Oliveira | Letras - Português Inglês | Aprovada | Júnio: fichas preenchidas incorretamente //Bianca: aprovada 07/07/21 //Júnio: físico, conferido e arquivado: 15/07/2022</v>
      </c>
      <c r="B2136" s="93"/>
    </row>
    <row r="2137">
      <c r="A2137" s="384" t="str">
        <f>IFERROR(__xludf.DUMMYFUNCTION("""COMPUTED_VALUE"""),"Karen Bruna Silva Chaves | Pedagogia | em análise | Alexsiane: 29% de plágio e tem que enviar a entrevista digitada. até 06/09 reenviar")</f>
        <v>Karen Bruna Silva Chaves | Pedagogia | em análise | Alexsiane: 29% de plágio e tem que enviar a entrevista digitada. até 06/09 reenviar</v>
      </c>
      <c r="B2137" s="93"/>
    </row>
    <row r="2138">
      <c r="A2138" s="384" t="str">
        <f>IFERROR(__xludf.DUMMYFUNCTION("""COMPUTED_VALUE"""),"Karen Cristina Souza Dos Reis | Neuropsicopedagogia | Aprovada | Júnio: 14% plágio consertar margem //Júnio: aprovada 15/02/22")</f>
        <v>Karen Cristina Souza Dos Reis | Neuropsicopedagogia | Aprovada | Júnio: 14% plágio consertar margem //Júnio: aprovada 15/02/22</v>
      </c>
      <c r="B2138" s="93"/>
    </row>
    <row r="2139">
      <c r="A2139" s="384" t="str">
        <f>IFERROR(__xludf.DUMMYFUNCTION("""COMPUTED_VALUE"""),"Karen Fernanda Sana Deny | Matemática | Aprovada | Júnio: pre aprovada //Júnio: aprovada 27/11/23")</f>
        <v>Karen Fernanda Sana Deny | Matemática | Aprovada | Júnio: pre aprovada //Júnio: aprovada 27/11/23</v>
      </c>
      <c r="B2139" s="93"/>
    </row>
    <row r="2140">
      <c r="A2140" s="384" t="str">
        <f>IFERROR(__xludf.DUMMYFUNCTION("""COMPUTED_VALUE"""),"Karili Silveira Mota | Pedagogia | Aprovada | Bianca: aprovado autorizada a enviar físico //Júnio: conferido e anexado: 29/07/21")</f>
        <v>Karili Silveira Mota | Pedagogia | Aprovada | Bianca: aprovado autorizada a enviar físico //Júnio: conferido e anexado: 29/07/21</v>
      </c>
      <c r="B2140" s="93"/>
    </row>
    <row r="2141">
      <c r="A2141" s="384" t="str">
        <f>IFERROR(__xludf.DUMMYFUNCTION("""COMPUTED_VALUE"""),"Karin Eisenbraun Rigon Martins Da Silva | Pedagogia | Em análise | Bianca: aprovada nas 3 primeiras etapas do remoto antigo")</f>
        <v>Karin Eisenbraun Rigon Martins Da Silva | Pedagogia | Em análise | Bianca: aprovada nas 3 primeiras etapas do remoto antigo</v>
      </c>
      <c r="B2141" s="93"/>
    </row>
    <row r="2142">
      <c r="A2142" s="384" t="str">
        <f>IFERROR(__xludf.DUMMYFUNCTION("""COMPUTED_VALUE"""),"Karina Cassia Rocha Brandão | Neuropsicopedagogia Institucional,Clínica E Hospitalar | Aprovada | Alexsiane: Falta especificar o tipo de acompanhamento nas fichas de registro, Restante ok e sem plágio 02/04 reenviar //Júnio: pre aprovada: 09/05/23 //Júnio"&amp;": aprovada: 16/06/23")</f>
        <v>Karina Cassia Rocha Brandão | Neuropsicopedagogia Institucional,Clínica E Hospitalar | Aprovada | Alexsiane: Falta especificar o tipo de acompanhamento nas fichas de registro, Restante ok e sem plágio 02/04 reenviar //Júnio: pre aprovada: 09/05/23 //Júnio: aprovada: 16/06/23</v>
      </c>
      <c r="B2142" s="93"/>
    </row>
    <row r="2143">
      <c r="A2143" s="384" t="str">
        <f>IFERROR(__xludf.DUMMYFUNCTION("""COMPUTED_VALUE"""),"Karina De Cássia Lopes | Artes Visuais | Aprovado | Thiara: aprovado /// Recebido dia 06/08/2019.")</f>
        <v>Karina De Cássia Lopes | Artes Visuais | Aprovado | Thiara: aprovado /// Recebido dia 06/08/2019.</v>
      </c>
      <c r="B2143" s="93"/>
    </row>
    <row r="2144">
      <c r="A2144" s="384" t="str">
        <f>IFERROR(__xludf.DUMMYFUNCTION("""COMPUTED_VALUE"""),"Karina Maria Prado Macieira | Pedagogia | aprovado | Aline Silva: aprovado// Miryã: conferido e arquivado 15/03/2021")</f>
        <v>Karina Maria Prado Macieira | Pedagogia | aprovado | Aline Silva: aprovado// Miryã: conferido e arquivado 15/03/2021</v>
      </c>
      <c r="B2144" s="93"/>
    </row>
    <row r="2145">
      <c r="A2145" s="384" t="str">
        <f>IFERROR(__xludf.DUMMYFUNCTION("""COMPUTED_VALUE"""),"Karina Michele Casamassimo | Neuropsicopedagogia | Em análise | Júnio: aprovada com lançamento no Sponte")</f>
        <v>Karina Michele Casamassimo | Neuropsicopedagogia | Em análise | Júnio: aprovada com lançamento no Sponte</v>
      </c>
      <c r="B2145" s="93"/>
    </row>
    <row r="2146">
      <c r="A2146" s="384" t="str">
        <f>IFERROR(__xludf.DUMMYFUNCTION("""COMPUTED_VALUE"""),"Karine Kraysller De Moura Murta | Matematica | Em análise | Lucas: enviar em .Word editável ")</f>
        <v>Karine Kraysller De Moura Murta | Matematica | Em análise | Lucas: enviar em .Word editável </v>
      </c>
      <c r="B2146" s="93"/>
    </row>
    <row r="2147">
      <c r="A2147" s="384" t="str">
        <f>IFERROR(__xludf.DUMMYFUNCTION("""COMPUTED_VALUE"""),"Karine Miguel Garcia | Pedagogia | - | Alexsiane: ATENÇÃO, quando for encaminhar o parecer da correção da aluna é para pedir o setor responsavel (suporte) para liberar o aceso para ela visualizar o parecer da correção. Orientações da Camila Financeiro, vi"&amp;"sto que a aluna está com tudo ok")</f>
        <v>Karine Miguel Garcia | Pedagogia | - | Alexsiane: ATENÇÃO, quando for encaminhar o parecer da correção da aluna é para pedir o setor responsavel (suporte) para liberar o aceso para ela visualizar o parecer da correção. Orientações da Camila Financeiro, visto que a aluna está com tudo ok</v>
      </c>
      <c r="B2147" s="93"/>
    </row>
    <row r="2148">
      <c r="A2148" s="384" t="str">
        <f>IFERROR(__xludf.DUMMYFUNCTION("""COMPUTED_VALUE"""),"Karine Miguel Garcia | Segunda Licenciatura em Pedagogia | Aprovado | Rayssa: pp aprovado")</f>
        <v>Karine Miguel Garcia | Segunda Licenciatura em Pedagogia | Aprovado | Rayssa: pp aprovado</v>
      </c>
      <c r="B2148" s="93"/>
    </row>
    <row r="2149">
      <c r="A2149" s="384" t="str">
        <f>IFERROR(__xludf.DUMMYFUNCTION("""COMPUTED_VALUE"""),"Karine Stefany Camilo Silva | Pedagogia | Aprovada | Bárbara: falta sumário e resumo, faltando página parte BNCC, e com erros de formatação. //Júnio: aprovada: 27/11/23")</f>
        <v>Karine Stefany Camilo Silva | Pedagogia | Aprovada | Bárbara: falta sumário e resumo, faltando página parte BNCC, e com erros de formatação. //Júnio: aprovada: 27/11/23</v>
      </c>
      <c r="B2149" s="93"/>
    </row>
    <row r="2150">
      <c r="A2150" s="384" t="str">
        <f>IFERROR(__xludf.DUMMYFUNCTION("""COMPUTED_VALUE"""),"Kariny Silva | Pedagogia | Aprovada | Júnio: especificar o tipo de acompanhemento e série //Júnio: pre aprovada: 05/06/23 //Júnio: aprovada: 22/06/23")</f>
        <v>Kariny Silva | Pedagogia | Aprovada | Júnio: especificar o tipo de acompanhemento e série //Júnio: pre aprovada: 05/06/23 //Júnio: aprovada: 22/06/23</v>
      </c>
      <c r="B2150" s="93"/>
    </row>
    <row r="2151">
      <c r="A2151" s="384" t="str">
        <f>IFERROR(__xludf.DUMMYFUNCTION("""COMPUTED_VALUE"""),"Karla Alves Ribeiro | Pedagogia | aprovado | Bianca: aprovado nas 4 etapas do remoto antigo")</f>
        <v>Karla Alves Ribeiro | Pedagogia | aprovado | Bianca: aprovado nas 4 etapas do remoto antigo</v>
      </c>
      <c r="B2151" s="93"/>
    </row>
    <row r="2152">
      <c r="A2152" s="384" t="str">
        <f>IFERROR(__xludf.DUMMYFUNCTION("""COMPUTED_VALUE"""),"Karla Cristina Dos Santos Klotz | Segunda Licenciatura Em Letras – Português E Inglês | Em análise | Matheus: PP tem que enviar a carta de apresentação.")</f>
        <v>Karla Cristina Dos Santos Klotz | Segunda Licenciatura Em Letras – Português E Inglês | Em análise | Matheus: PP tem que enviar a carta de apresentação.</v>
      </c>
      <c r="B2152" s="93"/>
    </row>
    <row r="2153">
      <c r="A2153" s="384" t="str">
        <f>IFERROR(__xludf.DUMMYFUNCTION("""COMPUTED_VALUE"""),"Karla Daniele Leite Matos Ribeiro | Artes Visuais | Aprovada | Alexsiane: pp aprovado")</f>
        <v>Karla Daniele Leite Matos Ribeiro | Artes Visuais | Aprovada | Alexsiane: pp aprovado</v>
      </c>
      <c r="B2153" s="93"/>
    </row>
    <row r="2154">
      <c r="A2154" s="384" t="str">
        <f>IFERROR(__xludf.DUMMYFUNCTION("""COMPUTED_VALUE"""),"Karla Daniele Leite Matos Ribeiro | Letras Portugues | aprovado | Bárbara: relatório de estágio NÃO corrigido, verificado apenas a documentação, visto a urgência no recolhimento de assinaturas pela greve. Autorizada a recolher das fichas, incluir TC E CA "&amp;" que não constava, RELATÓRIO CONTINUA NA FILA DE CORREÇÃO. ///Alexsiane: aluna encaminhou envio físico antes de ser aprovado.// Alexsiane: aprovado no remoto atualizado fez o envio físico 23/08/2022")</f>
        <v>Karla Daniele Leite Matos Ribeiro | Letras Portugues | aprovado | Bárbara: relatório de estágio NÃO corrigido, verificado apenas a documentação, visto a urgência no recolhimento de assinaturas pela greve. Autorizada a recolher das fichas, incluir TC E CA  que não constava, RELATÓRIO CONTINUA NA FILA DE CORREÇÃO. ///Alexsiane: aluna encaminhou envio físico antes de ser aprovado.// Alexsiane: aprovado no remoto atualizado fez o envio físico 23/08/2022</v>
      </c>
      <c r="B2154" s="93"/>
    </row>
    <row r="2155">
      <c r="A2155" s="384" t="str">
        <f>IFERROR(__xludf.DUMMYFUNCTION("""COMPUTED_VALUE"""),"Karla Machado Rosa | Geografia | Em análise  | Alexsiane: especificar nas fichas de registro a turma e o tipo de acompanhamento e corrigir o total de horas por dia até dia 13/07 para reenviar")</f>
        <v>Karla Machado Rosa | Geografia | Em análise  | Alexsiane: especificar nas fichas de registro a turma e o tipo de acompanhamento e corrigir o total de horas por dia até dia 13/07 para reenviar</v>
      </c>
      <c r="B2155" s="93"/>
    </row>
    <row r="2156">
      <c r="A2156" s="384" t="str">
        <f>IFERROR(__xludf.DUMMYFUNCTION("""COMPUTED_VALUE"""),"Karla Silva Saldanha | Letras Espanhol | Aprovada | Júnio: PP aprovada")</f>
        <v>Karla Silva Saldanha | Letras Espanhol | Aprovada | Júnio: PP aprovada</v>
      </c>
      <c r="B2156" s="93"/>
    </row>
    <row r="2157">
      <c r="A2157" s="384" t="str">
        <f>IFERROR(__xludf.DUMMYFUNCTION("""COMPUTED_VALUE"""),"Karllos Manoel Soares Do Santos | Música | Aprovado | Júnio: aprovado")</f>
        <v>Karllos Manoel Soares Do Santos | Música | Aprovado | Júnio: aprovado</v>
      </c>
      <c r="B2157" s="93"/>
    </row>
    <row r="2158">
      <c r="A2158" s="384" t="str">
        <f>IFERROR(__xludf.DUMMYFUNCTION("""COMPUTED_VALUE"""),"Karolaine Silva Dutra Alves | Pedagogia | Aprovada | Júnio: PP - etapas: ok Inicio: 28/07/23 Reenviar: 28/01/24 //Aprovada: 30/01/24")</f>
        <v>Karolaine Silva Dutra Alves | Pedagogia | Aprovada | Júnio: PP - etapas: ok Inicio: 28/07/23 Reenviar: 28/01/24 //Aprovada: 30/01/24</v>
      </c>
      <c r="B2158" s="93"/>
    </row>
    <row r="2159">
      <c r="A2159" s="384" t="str">
        <f>IFERROR(__xludf.DUMMYFUNCTION("""COMPUTED_VALUE"""),"Karoline Meleiro Do Nascimento | Letras Português | Aprovada | Júnio: PP - 20% plágio, complementar a etapa 1 com mais três páginas e responder o questionário da etapa 2. PRAZO: 29/07/23 //Júnio: aprovada: 16/08/23")</f>
        <v>Karoline Meleiro Do Nascimento | Letras Português | Aprovada | Júnio: PP - 20% plágio, complementar a etapa 1 com mais três páginas e responder o questionário da etapa 2. PRAZO: 29/07/23 //Júnio: aprovada: 16/08/23</v>
      </c>
      <c r="B2159" s="93"/>
    </row>
    <row r="2160">
      <c r="A2160" s="384" t="str">
        <f>IFERROR(__xludf.DUMMYFUNCTION("""COMPUTED_VALUE"""),"Kássia Kimberlly Cirilo Gonçalves | Pedagogia | Aprovada | Júnio: remoto antigo - faltam as 4 etapas  e resumo //Júnio: aprovada: 05/07/22")</f>
        <v>Kássia Kimberlly Cirilo Gonçalves | Pedagogia | Aprovada | Júnio: remoto antigo - faltam as 4 etapas  e resumo //Júnio: aprovada: 05/07/22</v>
      </c>
      <c r="B2160" s="93"/>
    </row>
    <row r="2161">
      <c r="A2161" s="384" t="str">
        <f>IFERROR(__xludf.DUMMYFUNCTION("""COMPUTED_VALUE"""),"Katia Almeida Da Silva | Letras Português | Aprovada | Júnio: pelo guru declaração de experiencia valida//Alexsiane: Pp aprovado")</f>
        <v>Katia Almeida Da Silva | Letras Português | Aprovada | Júnio: pelo guru declaração de experiencia valida//Alexsiane: Pp aprovado</v>
      </c>
      <c r="B2161" s="93"/>
    </row>
    <row r="2162">
      <c r="A2162" s="384" t="str">
        <f>IFERROR(__xludf.DUMMYFUNCTION("""COMPUTED_VALUE"""),"Katia Almeida Da Silva | Pedagogia | Em análise | Alexsiane: declaração de experiência aceita")</f>
        <v>Katia Almeida Da Silva | Pedagogia | Em análise | Alexsiane: declaração de experiência aceita</v>
      </c>
      <c r="B2162" s="93"/>
    </row>
    <row r="2163">
      <c r="A2163" s="384" t="str">
        <f>IFERROR(__xludf.DUMMYFUNCTION("""COMPUTED_VALUE"""),"Kátia Aparecida Cardoso Da Rocha | Filosofia | Aprovada | Júnio: remoto antigo - faltam 18 planos de aula e etapa 4//Alexsiane: pp aprovado")</f>
        <v>Kátia Aparecida Cardoso Da Rocha | Filosofia | Aprovada | Júnio: remoto antigo - faltam 18 planos de aula e etapa 4//Alexsiane: pp aprovado</v>
      </c>
      <c r="B2163" s="93"/>
    </row>
    <row r="2164">
      <c r="A2164" s="384" t="str">
        <f>IFERROR(__xludf.DUMMYFUNCTION("""COMPUTED_VALUE"""),"Kátia De Oliveira Lopes | Artes Visuais | Aprovada | Júnio: aprovada no remoto atualizado //Júnio: conferido e arquivado: 11/07/22")</f>
        <v>Kátia De Oliveira Lopes | Artes Visuais | Aprovada | Júnio: aprovada no remoto atualizado //Júnio: conferido e arquivado: 11/07/22</v>
      </c>
      <c r="B2164" s="93"/>
    </row>
    <row r="2165">
      <c r="A2165" s="384" t="str">
        <f>IFERROR(__xludf.DUMMYFUNCTION("""COMPUTED_VALUE"""),"Kátia Jennifer De Paula Leite | Pedagogia | APROVADA | Júnio: falta ficha de registro //Júnio: aprovada: 04/05/22// Pamela conferido e arquivado. ")</f>
        <v>Kátia Jennifer De Paula Leite | Pedagogia | APROVADA | Júnio: falta ficha de registro //Júnio: aprovada: 04/05/22// Pamela conferido e arquivado. </v>
      </c>
      <c r="B2165" s="93"/>
    </row>
    <row r="2166">
      <c r="A2166" s="384" t="str">
        <f>IFERROR(__xludf.DUMMYFUNCTION("""COMPUTED_VALUE"""),"Kátia Regina Aquino De Souza | Pedagogia | Aprovada | Bianca: enviou as etapas 3 e 4, pedi para enviar todas as etapas em ordem. Autorizada arecolher assinaturas da etapa 4. //Júnio: conferido e anexado: 16/06/21 //Bianca: aprovada: 17/06/21")</f>
        <v>Kátia Regina Aquino De Souza | Pedagogia | Aprovada | Bianca: enviou as etapas 3 e 4, pedi para enviar todas as etapas em ordem. Autorizada arecolher assinaturas da etapa 4. //Júnio: conferido e anexado: 16/06/21 //Bianca: aprovada: 17/06/21</v>
      </c>
      <c r="B2166" s="93"/>
    </row>
    <row r="2167">
      <c r="A2167" s="384" t="str">
        <f>IFERROR(__xludf.DUMMYFUNCTION("""COMPUTED_VALUE"""),"Kátia Regina Generoso Cotta | Educação Física | Em análise | Alexsiane: falta etapa 1 e encaminhar etapa 2 digitada")</f>
        <v>Kátia Regina Generoso Cotta | Educação Física | Em análise | Alexsiane: falta etapa 1 e encaminhar etapa 2 digitada</v>
      </c>
      <c r="B2167" s="93"/>
    </row>
    <row r="2168">
      <c r="A2168" s="384" t="str">
        <f>IFERROR(__xludf.DUMMYFUNCTION("""COMPUTED_VALUE"""),"Kátia Regina Generoso Cotta | Geografia | Em análise | Alexsiane: falta etapa 1 e encaminhar etapa 2 digitada")</f>
        <v>Kátia Regina Generoso Cotta | Geografia | Em análise | Alexsiane: falta etapa 1 e encaminhar etapa 2 digitada</v>
      </c>
      <c r="B2168" s="93"/>
    </row>
    <row r="2169">
      <c r="A2169" s="384" t="str">
        <f>IFERROR(__xludf.DUMMYFUNCTION("""COMPUTED_VALUE"""),"Kátia Regina Generoso Cotta | Pedagogia | Aprovado | Alexsiane: falta etapa 1 e encaminhar etapa 2 digitada - Alana: Já foi sinalizado a aprovação e está em processo de certificação (Alinhado em call com Miguel e Jade dia 13/06/25)")</f>
        <v>Kátia Regina Generoso Cotta | Pedagogia | Aprovado | Alexsiane: falta etapa 1 e encaminhar etapa 2 digitada - Alana: Já foi sinalizado a aprovação e está em processo de certificação (Alinhado em call com Miguel e Jade dia 13/06/25)</v>
      </c>
      <c r="B2169" s="93"/>
    </row>
    <row r="2170">
      <c r="A2170" s="384" t="str">
        <f>IFERROR(__xludf.DUMMYFUNCTION("""COMPUTED_VALUE"""),"Kátia Regina Meneghel | Pedagogia |  | APROVADO, para colher assinaturas.// Estágio foi recebido sem assinaturas, sem aprovação. Bárbara: Conferido e arquivado em 16/09/2020")</f>
        <v>Kátia Regina Meneghel | Pedagogia |  | APROVADO, para colher assinaturas.// Estágio foi recebido sem assinaturas, sem aprovação. Bárbara: Conferido e arquivado em 16/09/2020</v>
      </c>
      <c r="B2170" s="93"/>
    </row>
    <row r="2171">
      <c r="A2171" s="384" t="str">
        <f>IFERROR(__xludf.DUMMYFUNCTION("""COMPUTED_VALUE"""),"Katiciliane Aparecida Ferreira Dos Santos | Letras Por Ing | Aprovada | Bárbara: trabalho ok, falta apenas especificar as fichas de registro  //Júnio: aprovada: 07/02/2022  //Júnio:conferido e arquivado: 25/02/22")</f>
        <v>Katiciliane Aparecida Ferreira Dos Santos | Letras Por Ing | Aprovada | Bárbara: trabalho ok, falta apenas especificar as fichas de registro  //Júnio: aprovada: 07/02/2022  //Júnio:conferido e arquivado: 25/02/22</v>
      </c>
      <c r="B2171" s="93"/>
    </row>
    <row r="2172">
      <c r="A2172" s="384" t="str">
        <f>IFERROR(__xludf.DUMMYFUNCTION("""COMPUTED_VALUE"""),"Katiúcia Carvalho Silva Mendes | Pedagogia | Em análise | Edilaine: Falta 16 planos de aula e a 4ª etapa do remoto antigo. Tem até dia 06/01/2023 para reenviar.")</f>
        <v>Katiúcia Carvalho Silva Mendes | Pedagogia | Em análise | Edilaine: Falta 16 planos de aula e a 4ª etapa do remoto antigo. Tem até dia 06/01/2023 para reenviar.</v>
      </c>
      <c r="B2172" s="93"/>
    </row>
    <row r="2173">
      <c r="A2173" s="384" t="str">
        <f>IFERROR(__xludf.DUMMYFUNCTION("""COMPUTED_VALUE"""),"Katiuscia Gonçalves Guimarães Da Nóbrega | Neuropsicologia Clinica | Aprovada | Júnio: aprovada")</f>
        <v>Katiuscia Gonçalves Guimarães Da Nóbrega | Neuropsicologia Clinica | Aprovada | Júnio: aprovada</v>
      </c>
      <c r="B2173" s="93"/>
    </row>
    <row r="2174">
      <c r="A2174" s="384" t="str">
        <f>IFERROR(__xludf.DUMMYFUNCTION("""COMPUTED_VALUE"""),"Kayck Richard Da Cruz Rodrigues | Português/Inglês | Em análise | Cris: Falta etapa 2 e carta de apresentação.")</f>
        <v>Kayck Richard Da Cruz Rodrigues | Português/Inglês | Em análise | Cris: Falta etapa 2 e carta de apresentação.</v>
      </c>
      <c r="B2174" s="93"/>
    </row>
    <row r="2175">
      <c r="A2175" s="384" t="str">
        <f>IFERROR(__xludf.DUMMYFUNCTION("""COMPUTED_VALUE"""),"Keeyne Rodrigues Borges | Matemática | aprovada | Bárbara: utilizou de linguagem coloquial no decorrer do trabalho, forma marcante. Alguns conceitos dos planos estão errados. Falta de parágrafo. E não tem conclusão. // Bárbara: aprovada 12/04/2021")</f>
        <v>Keeyne Rodrigues Borges | Matemática | aprovada | Bárbara: utilizou de linguagem coloquial no decorrer do trabalho, forma marcante. Alguns conceitos dos planos estão errados. Falta de parágrafo. E não tem conclusão. // Bárbara: aprovada 12/04/2021</v>
      </c>
      <c r="B2175" s="93"/>
    </row>
    <row r="2176">
      <c r="A2176" s="384" t="str">
        <f>IFERROR(__xludf.DUMMYFUNCTION("""COMPUTED_VALUE"""),"Keila Alcântara De Souza Oliveira Martins | Matemática | Aprovada | Alexsiane: Aprovado com lançamento no Sponte. //Júnio: físico conferido e arquivado: 01/07/22")</f>
        <v>Keila Alcântara De Souza Oliveira Martins | Matemática | Aprovada | Alexsiane: Aprovado com lançamento no Sponte. //Júnio: físico conferido e arquivado: 01/07/22</v>
      </c>
      <c r="B2176" s="93"/>
    </row>
    <row r="2177">
      <c r="A2177" s="384" t="str">
        <f>IFERROR(__xludf.DUMMYFUNCTION("""COMPUTED_VALUE"""),"Keila Aparecida De Souza Oliveira | Pedagogia | Aprovada | Ana Flávia: aprovada nas 3 primeiras etapas do remoto, e apresentou declaração nde experiência válida")</f>
        <v>Keila Aparecida De Souza Oliveira | Pedagogia | Aprovada | Ana Flávia: aprovada nas 3 primeiras etapas do remoto, e apresentou declaração nde experiência válida</v>
      </c>
      <c r="B2177" s="93"/>
    </row>
    <row r="2178">
      <c r="A2178" s="384" t="str">
        <f>IFERROR(__xludf.DUMMYFUNCTION("""COMPUTED_VALUE"""),"Keila Lázaro Brandão De Araújo | Pedagogia | Aprovada | Alexsiane: declaração de experiência aceita no email //Júnio: pré aprovada: 29/06/23 //Júnio: aprovada 18/07/23")</f>
        <v>Keila Lázaro Brandão De Araújo | Pedagogia | Aprovada | Alexsiane: declaração de experiência aceita no email //Júnio: pré aprovada: 29/06/23 //Júnio: aprovada 18/07/23</v>
      </c>
      <c r="B2178" s="93"/>
    </row>
    <row r="2179">
      <c r="A2179" s="384" t="str">
        <f>IFERROR(__xludf.DUMMYFUNCTION("""COMPUTED_VALUE"""),"Keila Márcia Ferreira | Pedagogia | Aprovada | Bianca: Falta etapa 1,2 e 3 do remoto atualizado// Bárbara: aprovada na 4ª etapa 30/09  //Júnio:conferido e arquivada: 12/11/2021")</f>
        <v>Keila Márcia Ferreira | Pedagogia | Aprovada | Bianca: Falta etapa 1,2 e 3 do remoto atualizado// Bárbara: aprovada na 4ª etapa 30/09  //Júnio:conferido e arquivada: 12/11/2021</v>
      </c>
      <c r="B2179" s="93"/>
    </row>
    <row r="2180">
      <c r="A2180" s="384" t="str">
        <f>IFERROR(__xludf.DUMMYFUNCTION("""COMPUTED_VALUE"""),"Keila Maria Borges Melo | Pedagogia | aprovada  | Bianca: elaborou apenas 10 planos de aulas, pedi para completar// Bárbara: aprovado nas 4 etapas do remoto antigo dia 30/09")</f>
        <v>Keila Maria Borges Melo | Pedagogia | aprovada  | Bianca: elaborou apenas 10 planos de aulas, pedi para completar// Bárbara: aprovado nas 4 etapas do remoto antigo dia 30/09</v>
      </c>
      <c r="B2180" s="93"/>
    </row>
    <row r="2181">
      <c r="A2181" s="384" t="str">
        <f>IFERROR(__xludf.DUMMYFUNCTION("""COMPUTED_VALUE"""),"Keila Maria Ferreira | Pedagogia | Em análise | Bianca: falta declaração de experiência, carta de apresentação, fichas de registro e termo de conclusão")</f>
        <v>Keila Maria Ferreira | Pedagogia | Em análise | Bianca: falta declaração de experiência, carta de apresentação, fichas de registro e termo de conclusão</v>
      </c>
      <c r="B2181" s="93"/>
    </row>
    <row r="2182">
      <c r="A2182" s="384" t="str">
        <f>IFERROR(__xludf.DUMMYFUNCTION("""COMPUTED_VALUE"""),"Keila Menezes Lins Correia | Artes Visuais | Aprovada | Júnio: pré aprovada PRAZO: 05/08/23 //Júnio: aprovada: 04/08/23")</f>
        <v>Keila Menezes Lins Correia | Artes Visuais | Aprovada | Júnio: pré aprovada PRAZO: 05/08/23 //Júnio: aprovada: 04/08/23</v>
      </c>
      <c r="B2182" s="93"/>
    </row>
    <row r="2183">
      <c r="A2183" s="384" t="str">
        <f>IFERROR(__xludf.DUMMYFUNCTION("""COMPUTED_VALUE"""),"Keila Nafiali De Oliveira | Pedagogia Para Bachareis E Tecnologos | Em anállise | Júnio - Estágio I: falta enviar Estágio II: falta carta de apresentação, ficha de registro e termo de conclusão Estágio III: falta carta de apresentação, ficha de registro e"&amp;" termo de conclusão Estágio IV: falta carta de apresentação, ficha de registro e termo de conclusão PCC I: ok PCC II: falta preencher a tabela PCC III: falta enviar PCC IV: falta preencher a tabela")</f>
        <v>Keila Nafiali De Oliveira | Pedagogia Para Bachareis E Tecnologos | Em anállise | Júnio - Estágio I: falta enviar Estágio II: falta carta de apresentação, ficha de registro e termo de conclusão Estágio III: falta carta de apresentação, ficha de registro e termo de conclusão Estágio IV: falta carta de apresentação, ficha de registro e termo de conclusão PCC I: ok PCC II: falta preencher a tabela PCC III: falta enviar PCC IV: falta preencher a tabela</v>
      </c>
      <c r="B2183" s="93"/>
    </row>
    <row r="2184">
      <c r="A2184" s="384" t="str">
        <f>IFERROR(__xludf.DUMMYFUNCTION("""COMPUTED_VALUE"""),"Keila Nafiali De Oliveira | Letras/Português | aprovado | Alexsiane: etapa 1,2 ok 3° etapa de plágio em alguns planos de aula, declaração pa isenção da 4/ etapa não foi válida pois não especifica o carga e a serie)// Alexsiane: aprovado com lançamento no "&amp;"jacad")</f>
        <v>Keila Nafiali De Oliveira | Letras/Português | aprovado | Alexsiane: etapa 1,2 ok 3° etapa de plágio em alguns planos de aula, declaração pa isenção da 4/ etapa não foi válida pois não especifica o carga e a serie)// Alexsiane: aprovado com lançamento no jacad</v>
      </c>
      <c r="B2184" s="93"/>
    </row>
    <row r="2185">
      <c r="A2185" s="384" t="str">
        <f>IFERROR(__xludf.DUMMYFUNCTION("""COMPUTED_VALUE"""),"Keila Paniago Azevedo | Neuropsicopedagogia Institucional,Clínica E Hospitalar | Em análise | Edilaine: Enviou o mesmo trabalho para os dois cursos que ela faz.")</f>
        <v>Keila Paniago Azevedo | Neuropsicopedagogia Institucional,Clínica E Hospitalar | Em análise | Edilaine: Enviou o mesmo trabalho para os dois cursos que ela faz.</v>
      </c>
      <c r="B2185" s="93"/>
    </row>
    <row r="2186">
      <c r="A2186" s="384" t="str">
        <f>IFERROR(__xludf.DUMMYFUNCTION("""COMPUTED_VALUE"""),"Keila Paniago Azevedo | Psicopedagogia Institucional,Clínica E Ludopedagogia | Em análise | Edilaine: Enviou o mesmo trabalho para os dois cursos que ela faz.")</f>
        <v>Keila Paniago Azevedo | Psicopedagogia Institucional,Clínica E Ludopedagogia | Em análise | Edilaine: Enviou o mesmo trabalho para os dois cursos que ela faz.</v>
      </c>
      <c r="B2186" s="93"/>
    </row>
    <row r="2187">
      <c r="A2187" s="384" t="str">
        <f>IFERROR(__xludf.DUMMYFUNCTION("""COMPUTED_VALUE"""),"Keli José Dos Santos De Abreu | Pedagogia | Aprovada | Júnio - PP - etapas: OK Inicio: 09/08/23 Reenviar: 09/02/24 -// 28/09/23- pagou apressamento - aprovada")</f>
        <v>Keli José Dos Santos De Abreu | Pedagogia | Aprovada | Júnio - PP - etapas: OK Inicio: 09/08/23 Reenviar: 09/02/24 -// 28/09/23- pagou apressamento - aprovada</v>
      </c>
      <c r="B2187" s="93"/>
    </row>
    <row r="2188">
      <c r="A2188" s="384" t="str">
        <f>IFERROR(__xludf.DUMMYFUNCTION("""COMPUTED_VALUE"""),"Keli Paim Corrêa | Artes Visuais | Aprovada | Alexsiane; pp aprovado")</f>
        <v>Keli Paim Corrêa | Artes Visuais | Aprovada | Alexsiane; pp aprovado</v>
      </c>
      <c r="B2188" s="93"/>
    </row>
    <row r="2189">
      <c r="A2189" s="384" t="str">
        <f>IFERROR(__xludf.DUMMYFUNCTION("""COMPUTED_VALUE"""),"Keliane Leandro Nascimento Sales | Letras/ Português- Inglês | Aprovada | Edilaine: Tem que complementar as fichas de registro com 155 horas, falta especificar o tipo de acompanhamento gestão e falta as etapas dissertativas. //Alexsiane: pre aprovado, aut"&amp;"orizado a autenticar //Júnio: aprovada: 04/05/23")</f>
        <v>Keliane Leandro Nascimento Sales | Letras/ Português- Inglês | Aprovada | Edilaine: Tem que complementar as fichas de registro com 155 horas, falta especificar o tipo de acompanhamento gestão e falta as etapas dissertativas. //Alexsiane: pre aprovado, autorizado a autenticar //Júnio: aprovada: 04/05/23</v>
      </c>
      <c r="B2189" s="93"/>
    </row>
    <row r="2190">
      <c r="A2190" s="384" t="str">
        <f>IFERROR(__xludf.DUMMYFUNCTION("""COMPUTED_VALUE"""),"Keliane Leandro Nascimento Sales | Neuropsicopedagogia Institucional,Clínica E Hospitalar | Aprovada | Júnio: 7% plágio //Júnio: pré aprovada: 18/10/23 //Júnio: aprovada: 09/11/23")</f>
        <v>Keliane Leandro Nascimento Sales | Neuropsicopedagogia Institucional,Clínica E Hospitalar | Aprovada | Júnio: 7% plágio //Júnio: pré aprovada: 18/10/23 //Júnio: aprovada: 09/11/23</v>
      </c>
      <c r="B2190" s="93"/>
    </row>
    <row r="2191">
      <c r="A2191" s="384" t="str">
        <f>IFERROR(__xludf.DUMMYFUNCTION("""COMPUTED_VALUE"""),"Keliany Souza De Lima | Letras Português | Pré aprovada | Júnio: nas fichas de registro assinaturas coladas, precisa preencher os acompanhamentos de forma diária por linha e faltam 40 hs de gestão. //Júnio: pré aprovada: 21/09/23")</f>
        <v>Keliany Souza De Lima | Letras Português | Pré aprovada | Júnio: nas fichas de registro assinaturas coladas, precisa preencher os acompanhamentos de forma diária por linha e faltam 40 hs de gestão. //Júnio: pré aprovada: 21/09/23</v>
      </c>
      <c r="B2191" s="93"/>
    </row>
    <row r="2192">
      <c r="A2192" s="384" t="str">
        <f>IFERROR(__xludf.DUMMYFUNCTION("""COMPUTED_VALUE"""),"Kelin Albani Scwaat | Pedagogia | Aprovada | Bianca: aprovada nas 4 etapas do remoto antigo")</f>
        <v>Kelin Albani Scwaat | Pedagogia | Aprovada | Bianca: aprovada nas 4 etapas do remoto antigo</v>
      </c>
      <c r="B2192" s="93"/>
    </row>
    <row r="2193">
      <c r="A2193" s="384" t="str">
        <f>IFERROR(__xludf.DUMMYFUNCTION("""COMPUTED_VALUE"""),"Kelis Mar Caminha Cunha Pires | Geografia | Aprovada | Bianca: Aprovada nas 4 etapas do remoto atualizado  //Júnio:conferido e arquivada: 12/11/2021")</f>
        <v>Kelis Mar Caminha Cunha Pires | Geografia | Aprovada | Bianca: Aprovada nas 4 etapas do remoto atualizado  //Júnio:conferido e arquivada: 12/11/2021</v>
      </c>
      <c r="B2193" s="93"/>
    </row>
    <row r="2194">
      <c r="A2194" s="384" t="str">
        <f>IFERROR(__xludf.DUMMYFUNCTION("""COMPUTED_VALUE"""),"Kellen Benetolo | Pedagogia Para Bachareis E Tecnologos | Aprovada | Júnio: PP 5 ETAPAS: aprovada")</f>
        <v>Kellen Benetolo | Pedagogia Para Bachareis E Tecnologos | Aprovada | Júnio: PP 5 ETAPAS: aprovada</v>
      </c>
      <c r="B2194" s="93"/>
    </row>
    <row r="2195">
      <c r="A2195" s="384" t="str">
        <f>IFERROR(__xludf.DUMMYFUNCTION("""COMPUTED_VALUE"""),"Kelly Aparecida Almeida Da Silva Sant'ana | Artes Visuais | Aprovado | Thiara: Aprovado a aluna apresentou declaração de experiência profissional.// Recebido dia 13/01/2020// Bárbara: Conferido e arquivado em 16/09/2020")</f>
        <v>Kelly Aparecida Almeida Da Silva Sant'ana | Artes Visuais | Aprovado | Thiara: Aprovado a aluna apresentou declaração de experiência profissional.// Recebido dia 13/01/2020// Bárbara: Conferido e arquivado em 16/09/2020</v>
      </c>
      <c r="B2195" s="93"/>
    </row>
    <row r="2196">
      <c r="A2196" s="384" t="str">
        <f>IFERROR(__xludf.DUMMYFUNCTION("""COMPUTED_VALUE"""),"Kelly Caroline Luiz Santos | Artes Visuais | Aprovada | Júnio: PP aprovado")</f>
        <v>Kelly Caroline Luiz Santos | Artes Visuais | Aprovada | Júnio: PP aprovado</v>
      </c>
      <c r="B2196" s="93"/>
    </row>
    <row r="2197">
      <c r="A2197" s="384" t="str">
        <f>IFERROR(__xludf.DUMMYFUNCTION("""COMPUTED_VALUE"""),"Kelly Christina Damasceno Silva | Educação Física | Aprovada | Júnio: remoto atualizado: especificar o tema e se foi Obsrvação, participação ou rgencia na ficha de registro - PRAZO 10 DIAS - contando a partir de 07/04, pois por problemas tecnicos aluna nã"&amp;"o conseguiu visualizar o arquivo //Júnio: aprovada: 05/05/22 //Júnio:conferido e arquivado: 26/05/22")</f>
        <v>Kelly Christina Damasceno Silva | Educação Física | Aprovada | Júnio: remoto atualizado: especificar o tema e se foi Obsrvação, participação ou rgencia na ficha de registro - PRAZO 10 DIAS - contando a partir de 07/04, pois por problemas tecnicos aluna não conseguiu visualizar o arquivo //Júnio: aprovada: 05/05/22 //Júnio:conferido e arquivado: 26/05/22</v>
      </c>
      <c r="B2197" s="93"/>
    </row>
    <row r="2198">
      <c r="A2198" s="384" t="str">
        <f>IFERROR(__xludf.DUMMYFUNCTION("""COMPUTED_VALUE"""),"Kelly Cristina De Matos Mendonça | Artes Visuais | Aprovada | Júnio: PP - falta carta de apresentação. //Júnio: aprovada: 22/08/23")</f>
        <v>Kelly Cristina De Matos Mendonça | Artes Visuais | Aprovada | Júnio: PP - falta carta de apresentação. //Júnio: aprovada: 22/08/23</v>
      </c>
      <c r="B2198" s="93"/>
    </row>
    <row r="2199">
      <c r="A2199" s="384" t="str">
        <f>IFERROR(__xludf.DUMMYFUNCTION("""COMPUTED_VALUE"""),"Kelly Cristina Ferreira Dos Santos | Formação Pedagógica Em Pedagogia | Em análise | Rayssa PP Falta etapa 2")</f>
        <v>Kelly Cristina Ferreira Dos Santos | Formação Pedagógica Em Pedagogia | Em análise | Rayssa PP Falta etapa 2</v>
      </c>
      <c r="B2199" s="93"/>
    </row>
    <row r="2200">
      <c r="A2200" s="384" t="str">
        <f>IFERROR(__xludf.DUMMYFUNCTION("""COMPUTED_VALUE"""),"Kelly Cristina Rodrigues Da Silva | Pedagogia | Aprovada | Tais: PPs aprovadas")</f>
        <v>Kelly Cristina Rodrigues Da Silva | Pedagogia | Aprovada | Tais: PPs aprovadas</v>
      </c>
      <c r="B2200" s="93"/>
    </row>
    <row r="2201">
      <c r="A2201" s="384" t="str">
        <f>IFERROR(__xludf.DUMMYFUNCTION("""COMPUTED_VALUE"""),"Kelly Daiane Da Conceição Silva | Artes Visuais | em análise | Júnio: enviou somente declaração de experiencia válida, carta de apresentação e termo de conclusão, falta todo o resto.")</f>
        <v>Kelly Daiane Da Conceição Silva | Artes Visuais | em análise | Júnio: enviou somente declaração de experiencia válida, carta de apresentação e termo de conclusão, falta todo o resto.</v>
      </c>
      <c r="B2201" s="93"/>
    </row>
    <row r="2202">
      <c r="A2202" s="384" t="str">
        <f>IFERROR(__xludf.DUMMYFUNCTION("""COMPUTED_VALUE"""),"Kelly De Castro Ursulo | Pedagogia | informação | Alexsiane, em caráter excepcional, foi aceito o TCC que a aluna encaminhou para substituir a primeira etapa das práticas pedagógicas. Autorizado pela Ana e Carla.")</f>
        <v>Kelly De Castro Ursulo | Pedagogia | informação | Alexsiane, em caráter excepcional, foi aceito o TCC que a aluna encaminhou para substituir a primeira etapa das práticas pedagógicas. Autorizado pela Ana e Carla.</v>
      </c>
      <c r="B2202" s="93"/>
    </row>
    <row r="2203">
      <c r="A2203" s="384" t="str">
        <f>IFERROR(__xludf.DUMMYFUNCTION("""COMPUTED_VALUE"""),"Kelly De Paula Viana | Pedagogia | Aprovada | Júnio: pré aprovada //Júnio: aprovada: 30/06/23")</f>
        <v>Kelly De Paula Viana | Pedagogia | Aprovada | Júnio: pré aprovada //Júnio: aprovada: 30/06/23</v>
      </c>
      <c r="B2203" s="93"/>
    </row>
    <row r="2204">
      <c r="A2204" s="384" t="str">
        <f>IFERROR(__xludf.DUMMYFUNCTION("""COMPUTED_VALUE"""),"Kelly Leal Fonseca | Música | Aprovada | Júnio: pelo guru declaração de experiência válida //Júnio: aprovada: 14/08/23")</f>
        <v>Kelly Leal Fonseca | Música | Aprovada | Júnio: pelo guru declaração de experiência válida //Júnio: aprovada: 14/08/23</v>
      </c>
      <c r="B2204" s="93"/>
    </row>
    <row r="2205">
      <c r="A2205" s="384" t="str">
        <f>IFERROR(__xludf.DUMMYFUNCTION("""COMPUTED_VALUE"""),"Kelyene Dos Santos Silva | Música | Aprovada | Júnio: PP - falta a etapa 2. //Júnio: aprovada 10/23")</f>
        <v>Kelyene Dos Santos Silva | Música | Aprovada | Júnio: PP - falta a etapa 2. //Júnio: aprovada 10/23</v>
      </c>
      <c r="B2205" s="93"/>
    </row>
    <row r="2206">
      <c r="A2206" s="384" t="str">
        <f>IFERROR(__xludf.DUMMYFUNCTION("""COMPUTED_VALUE"""),"Kênia Denise Malaquias | Matemática | Aprovada | Alexsiane; Falta fazer o relatório de gestão, fazer as 40 horas de gestão nas fichas e corrigir a carga horaria diária pois está dando divergência// Alexsiane: Pré aprovado com lançamento no sponte// Pâmela"&amp;" 17/11/2022 Conferido e arquivado.")</f>
        <v>Kênia Denise Malaquias | Matemática | Aprovada | Alexsiane; Falta fazer o relatório de gestão, fazer as 40 horas de gestão nas fichas e corrigir a carga horaria diária pois está dando divergência// Alexsiane: Pré aprovado com lançamento no sponte// Pâmela 17/11/2022 Conferido e arquivado.</v>
      </c>
      <c r="B2206" s="93"/>
    </row>
    <row r="2207">
      <c r="A2207" s="384" t="str">
        <f>IFERROR(__xludf.DUMMYFUNCTION("""COMPUTED_VALUE"""),"Kerli Tatiane Grisa Simonetti | Letras/ Português | Aprovada | Edilaine: Tem que enviar o termo de conclusão assinado e escaneado, as assinaturas da ficha estão coladas. Tem que colocar um dia em cada linha, tem que especificar o tema e a série na ficha. "&amp;"Não foi possível somar a carga horária. Tem que fazer o relatório de regência.//Alexsiane:pré-aprovado, autorizada a autenticar  /// Edilaine: Aprovada 12/04")</f>
        <v>Kerli Tatiane Grisa Simonetti | Letras/ Português | Aprovada | Edilaine: Tem que enviar o termo de conclusão assinado e escaneado, as assinaturas da ficha estão coladas. Tem que colocar um dia em cada linha, tem que especificar o tema e a série na ficha. Não foi possível somar a carga horária. Tem que fazer o relatório de regência.//Alexsiane:pré-aprovado, autorizada a autenticar  /// Edilaine: Aprovada 12/04</v>
      </c>
      <c r="B2207" s="93"/>
    </row>
    <row r="2208">
      <c r="A2208" s="384" t="str">
        <f>IFERROR(__xludf.DUMMYFUNCTION("""COMPUTED_VALUE"""),"Kerly Priscila Jesus De Oliveira | Ed Física | Aprovada | Bárbara: aprovada nas 3 primeiras etapas do remoto, aguardando a 4// Bárbara: aprovada 4ª etapa 10/12/2020")</f>
        <v>Kerly Priscila Jesus De Oliveira | Ed Física | Aprovada | Bárbara: aprovada nas 3 primeiras etapas do remoto, aguardando a 4// Bárbara: aprovada 4ª etapa 10/12/2020</v>
      </c>
      <c r="B2208" s="93"/>
    </row>
    <row r="2209">
      <c r="A2209" s="384" t="str">
        <f>IFERROR(__xludf.DUMMYFUNCTION("""COMPUTED_VALUE"""),"Kermme Jorge Moreira Rebouças | Letras Português Espanhol | Aprovado | Lucas: tce padrão, 15% plágio e colocar carga horária nas fichas //Lucas: aprovado //Júnio:conferida e arquivada: 18/04/22")</f>
        <v>Kermme Jorge Moreira Rebouças | Letras Português Espanhol | Aprovado | Lucas: tce padrão, 15% plágio e colocar carga horária nas fichas //Lucas: aprovado //Júnio:conferida e arquivada: 18/04/22</v>
      </c>
      <c r="B2209" s="93"/>
    </row>
    <row r="2210">
      <c r="A2210" s="384" t="str">
        <f>IFERROR(__xludf.DUMMYFUNCTION("""COMPUTED_VALUE"""),"Kesiley Patricia Ferreira Alves | Neuropsicopedagogia Instittucional Clínica E Hospitalar | Aprovada | Bianca: Aprovada no estágio remoto")</f>
        <v>Kesiley Patricia Ferreira Alves | Neuropsicopedagogia Instittucional Clínica E Hospitalar | Aprovada | Bianca: Aprovada no estágio remoto</v>
      </c>
      <c r="B2210" s="93"/>
    </row>
    <row r="2211">
      <c r="A2211" s="384" t="str">
        <f>IFERROR(__xludf.DUMMYFUNCTION("""COMPUTED_VALUE"""),"Kesiley Patricia Ferreira Alves | Pedagogia |  | Lucas: Plagio 8,77%, falta 9 planos de aula.")</f>
        <v>Kesiley Patricia Ferreira Alves | Pedagogia |  | Lucas: Plagio 8,77%, falta 9 planos de aula.</v>
      </c>
      <c r="B2211" s="93"/>
    </row>
    <row r="2212">
      <c r="A2212" s="384" t="str">
        <f>IFERROR(__xludf.DUMMYFUNCTION("""COMPUTED_VALUE"""),"Ketlyn Aparecida Da Silva Mendes | Pedagogia | Aprovada | Júnio: PP falta a carta de apresentação e entrevista //Júnio: PP aprovada")</f>
        <v>Ketlyn Aparecida Da Silva Mendes | Pedagogia | Aprovada | Júnio: PP falta a carta de apresentação e entrevista //Júnio: PP aprovada</v>
      </c>
      <c r="B2212" s="93"/>
    </row>
    <row r="2213">
      <c r="A2213" s="384" t="str">
        <f>IFERROR(__xludf.DUMMYFUNCTION("""COMPUTED_VALUE"""),"Kety Adriana Bichet | Educação Especial | Aprovada | Júnio: PP - falta a entrevista na íntegra.// Alexsiane: aprovada 09/04/24")</f>
        <v>Kety Adriana Bichet | Educação Especial | Aprovada | Júnio: PP - falta a entrevista na íntegra.// Alexsiane: aprovada 09/04/24</v>
      </c>
      <c r="B2213" s="93"/>
    </row>
    <row r="2214">
      <c r="A2214" s="384" t="str">
        <f>IFERROR(__xludf.DUMMYFUNCTION("""COMPUTED_VALUE"""),"Kety Adriana Bichet | Música | Aprovada | Júnio: PP - falta a entrevista na íntegra.// Alexsiane: aprovada 09/04/24")</f>
        <v>Kety Adriana Bichet | Música | Aprovada | Júnio: PP - falta a entrevista na íntegra.// Alexsiane: aprovada 09/04/24</v>
      </c>
      <c r="B2214" s="93"/>
    </row>
    <row r="2215">
      <c r="A2215" s="384" t="str">
        <f>IFERROR(__xludf.DUMMYFUNCTION("""COMPUTED_VALUE"""),"Keylla Andrade Peixoto Lara | Geografia | Aprovado | Thiara: Aprovado")</f>
        <v>Keylla Andrade Peixoto Lara | Geografia | Aprovado | Thiara: Aprovado</v>
      </c>
      <c r="B2215" s="93"/>
    </row>
    <row r="2216">
      <c r="A2216" s="384" t="str">
        <f>IFERROR(__xludf.DUMMYFUNCTION("""COMPUTED_VALUE"""),"Keylla Andrade Peixoto Lara | Matemática |  | RECEBIDO")</f>
        <v>Keylla Andrade Peixoto Lara | Matemática |  | RECEBIDO</v>
      </c>
      <c r="B2216" s="93"/>
    </row>
    <row r="2217">
      <c r="A2217" s="384" t="str">
        <f>IFERROR(__xludf.DUMMYFUNCTION("""COMPUTED_VALUE"""),"Kilza Da Silva Sousa | História | Aprovada | Júnio: autorizada a recolher assinaturas// Bárbara: aprovada em 21/12/2021 //Júnio:conferido e arquivado: 14/01/22")</f>
        <v>Kilza Da Silva Sousa | História | Aprovada | Júnio: autorizada a recolher assinaturas// Bárbara: aprovada em 21/12/2021 //Júnio:conferido e arquivado: 14/01/22</v>
      </c>
      <c r="B2217" s="93"/>
    </row>
    <row r="2218">
      <c r="A2218" s="384" t="str">
        <f>IFERROR(__xludf.DUMMYFUNCTION("""COMPUTED_VALUE"""),"Kione Dos Santos Almeida | Música | Aprovada | Alexsiane: pp falta etapa 1 (não tem 6 meses de curso)// Rayssa: pp aprovado dia 19/09/2024")</f>
        <v>Kione Dos Santos Almeida | Música | Aprovada | Alexsiane: pp falta etapa 1 (não tem 6 meses de curso)// Rayssa: pp aprovado dia 19/09/2024</v>
      </c>
      <c r="B2218" s="93"/>
    </row>
    <row r="2219">
      <c r="A2219" s="384" t="str">
        <f>IFERROR(__xludf.DUMMYFUNCTION("""COMPUTED_VALUE"""),"Kissila Rejane Da Silva Siqueira Santos | Matemática | Aprovada | Bianca: apenas fichas de registro//Alexsiane: mudou para o remoto antigo, por tanto falta somente a 4°etapa //Júnio: aprovada: 13/05/22 //Júnio: físico conferido e arquivado: 08/06/22")</f>
        <v>Kissila Rejane Da Silva Siqueira Santos | Matemática | Aprovada | Bianca: apenas fichas de registro//Alexsiane: mudou para o remoto antigo, por tanto falta somente a 4°etapa //Júnio: aprovada: 13/05/22 //Júnio: físico conferido e arquivado: 08/06/22</v>
      </c>
      <c r="B2219" s="93"/>
    </row>
    <row r="2220">
      <c r="A2220" s="384" t="str">
        <f>IFERROR(__xludf.DUMMYFUNCTION("""COMPUTED_VALUE"""),"Kivia Cristina De Menezes De Medeiros | Pedagogia | Aprovado | Alexsiane: 18,83% de plágio e possui planos de aula iguais 04/12 para reenviar// Alexsiane: aprovado com lançamento no Sponte")</f>
        <v>Kivia Cristina De Menezes De Medeiros | Pedagogia | Aprovado | Alexsiane: 18,83% de plágio e possui planos de aula iguais 04/12 para reenviar// Alexsiane: aprovado com lançamento no Sponte</v>
      </c>
      <c r="B2220" s="93"/>
    </row>
    <row r="2221">
      <c r="A2221" s="384" t="str">
        <f>IFERROR(__xludf.DUMMYFUNCTION("""COMPUTED_VALUE"""),"Kivia Cristina De Menezes De Medeiros | Ciências Da Religião | Aprovado | Mariana: falta carta e corrigir plágio ) respondida email , aberto protocolo// Cristiane pp aprovado 22/05/24")</f>
        <v>Kivia Cristina De Menezes De Medeiros | Ciências Da Religião | Aprovado | Mariana: falta carta e corrigir plágio ) respondida email , aberto protocolo// Cristiane pp aprovado 22/05/24</v>
      </c>
      <c r="B2221" s="93"/>
    </row>
    <row r="2222">
      <c r="A2222" s="384" t="str">
        <f>IFERROR(__xludf.DUMMYFUNCTION("""COMPUTED_VALUE"""),"Kivia Mara Augusto | Pedagogia | Aprovada | Alexsiane: tem que reenviar a declaração de experiências pois estava cortada.// Bárbara: aprovada 4ª etapa vídeo 29/06/22")</f>
        <v>Kivia Mara Augusto | Pedagogia | Aprovada | Alexsiane: tem que reenviar a declaração de experiências pois estava cortada.// Bárbara: aprovada 4ª etapa vídeo 29/06/22</v>
      </c>
      <c r="B2222" s="93"/>
    </row>
    <row r="2223">
      <c r="A2223" s="384" t="str">
        <f>IFERROR(__xludf.DUMMYFUNCTION("""COMPUTED_VALUE"""),"Klaézia De Sousa Viana | Neuropsicopedagogia Institucional,Clínica E Hospitalar | Aprovada | Júnio: precisa refazer todas as etapas dissertativas, pois escreveu de forma geral e não fez estudo de caso especifico de um paciente, tem também que especificar "&amp;"tipo de acompanhamento  nas fichas. PRAZO: 05/06/23// Alexsiane: aprovado 06//05/24")</f>
        <v>Klaézia De Sousa Viana | Neuropsicopedagogia Institucional,Clínica E Hospitalar | Aprovada | Júnio: precisa refazer todas as etapas dissertativas, pois escreveu de forma geral e não fez estudo de caso especifico de um paciente, tem também que especificar tipo de acompanhamento  nas fichas. PRAZO: 05/06/23// Alexsiane: aprovado 06//05/24</v>
      </c>
      <c r="B2223" s="93"/>
    </row>
    <row r="2224">
      <c r="A2224" s="384" t="str">
        <f>IFERROR(__xludf.DUMMYFUNCTION("""COMPUTED_VALUE"""),"Klawdyson César Barros Lima | Matematica | Aprovado | Pamela: declaração de experiência valida //Júnio: aprovado: 15/06/23")</f>
        <v>Klawdyson César Barros Lima | Matematica | Aprovado | Pamela: declaração de experiência valida //Júnio: aprovado: 15/06/23</v>
      </c>
      <c r="B2224" s="93"/>
    </row>
    <row r="2225">
      <c r="A2225" s="384" t="str">
        <f>IFERROR(__xludf.DUMMYFUNCTION("""COMPUTED_VALUE"""),"Kleanny Oliveira Silva | Letras/Português | Aprovada | Edilaine: Enviou as fichas de registro, autorizada a recolher assinatuiras. Falta as partes dissertativas. // Edilaine: Pré- aprovada 23/01/2023. Pamela: fisico 01/02/23")</f>
        <v>Kleanny Oliveira Silva | Letras/Português | Aprovada | Edilaine: Enviou as fichas de registro, autorizada a recolher assinatuiras. Falta as partes dissertativas. // Edilaine: Pré- aprovada 23/01/2023. Pamela: fisico 01/02/23</v>
      </c>
      <c r="B2225" s="93"/>
    </row>
    <row r="2226">
      <c r="A2226" s="384" t="str">
        <f>IFERROR(__xludf.DUMMYFUNCTION("""COMPUTED_VALUE"""),"Kleber Tellini De Andrade | Pedagogia | Aprovado | Júnio: PP aprovado")</f>
        <v>Kleber Tellini De Andrade | Pedagogia | Aprovado | Júnio: PP aprovado</v>
      </c>
      <c r="B2226" s="93"/>
    </row>
    <row r="2227">
      <c r="A2227" s="384" t="str">
        <f>IFERROR(__xludf.DUMMYFUNCTION("""COMPUTED_VALUE"""),"Kleberprofhist@Gmail.Com | Psicopedagogia Clínica, Institucional E Hospitalar | Aprovada | Bianca: Autorizada a recolher assinaturas, remoto atualizado //Júnio: conferido e arquivado: 28/07/21")</f>
        <v>Kleberprofhist@Gmail.Com | Psicopedagogia Clínica, Institucional E Hospitalar | Aprovada | Bianca: Autorizada a recolher assinaturas, remoto atualizado //Júnio: conferido e arquivado: 28/07/21</v>
      </c>
      <c r="B2227" s="93"/>
    </row>
    <row r="2228">
      <c r="A2228" s="384" t="str">
        <f>IFERROR(__xludf.DUMMYFUNCTION("""COMPUTED_VALUE"""),"Ladson Ferreira De Matos | Música | Aprovado | Júnio: PP - enviar a entrevista em forma de perguntas e respostas e responder o questionário //Júnio: PP aprovado: 18/12/23")</f>
        <v>Ladson Ferreira De Matos | Música | Aprovado | Júnio: PP - enviar a entrevista em forma de perguntas e respostas e responder o questionário //Júnio: PP aprovado: 18/12/23</v>
      </c>
      <c r="B2228" s="93"/>
    </row>
    <row r="2229">
      <c r="A2229" s="384" t="str">
        <f>IFERROR(__xludf.DUMMYFUNCTION("""COMPUTED_VALUE"""),"Laércio Hernane Amorim Gonçalves | Segunda Licenciatura Em Música | em análise | Alexsiane: pp tem que enviar a carta de apresentação correta( assinaturas estão coladad)")</f>
        <v>Laércio Hernane Amorim Gonçalves | Segunda Licenciatura Em Música | em análise | Alexsiane: pp tem que enviar a carta de apresentação correta( assinaturas estão coladad)</v>
      </c>
      <c r="B2229" s="93"/>
    </row>
    <row r="2230">
      <c r="A2230" s="384" t="str">
        <f>IFERROR(__xludf.DUMMYFUNCTION("""COMPUTED_VALUE"""),"Laiane Almeida Teles | Artes Visuais | Aprovada  | Lucas: Aprovada no estagio remoto antigo, liberada a enviar físico.")</f>
        <v>Laiane Almeida Teles | Artes Visuais | Aprovada  | Lucas: Aprovada no estagio remoto antigo, liberada a enviar físico.</v>
      </c>
      <c r="B2230" s="93"/>
    </row>
    <row r="2231">
      <c r="A2231" s="384" t="str">
        <f>IFERROR(__xludf.DUMMYFUNCTION("""COMPUTED_VALUE"""),"Lainir Albarello | Ciências Sociais | Aprovada  | Bianca: Consertar margens e enviar introdução, sumário e conclusão// Bárbara: aprovada 29/12")</f>
        <v>Lainir Albarello | Ciências Sociais | Aprovada  | Bianca: Consertar margens e enviar introdução, sumário e conclusão// Bárbara: aprovada 29/12</v>
      </c>
      <c r="B2231" s="93"/>
    </row>
    <row r="2232">
      <c r="A2232" s="384" t="str">
        <f>IFERROR(__xludf.DUMMYFUNCTION("""COMPUTED_VALUE"""),"Lais Cristina De Moura | Matemática | Aprovada | Bianca: aprovada nas 4 etapas do remoto atualizado, autorizada a enviar físico")</f>
        <v>Lais Cristina De Moura | Matemática | Aprovada | Bianca: aprovada nas 4 etapas do remoto atualizado, autorizada a enviar físico</v>
      </c>
      <c r="B2232" s="93"/>
    </row>
    <row r="2233">
      <c r="A2233" s="384" t="str">
        <f>IFERROR(__xludf.DUMMYFUNCTION("""COMPUTED_VALUE"""),"Laís Pereira Gomes | Pedagogia | Aprovada | Bianca: aprovada nas 3 1° etapas do remoto antigo //Júnio: aprovada na aula online: 15/12/2021")</f>
        <v>Laís Pereira Gomes | Pedagogia | Aprovada | Bianca: aprovada nas 3 1° etapas do remoto antigo //Júnio: aprovada na aula online: 15/12/2021</v>
      </c>
      <c r="B2233" s="93"/>
    </row>
    <row r="2234">
      <c r="A2234" s="384" t="str">
        <f>IFERROR(__xludf.DUMMYFUNCTION("""COMPUTED_VALUE"""),"Laísa Maria Scapaticci | Pedagogia | Aprovada | Bárbara: aprovad nas 3 primeiras, aguardando a última// Bárbara: aprovada na 4ª etapa 18/11/2020// Miryã: conferido e arquivado 10/03/2021")</f>
        <v>Laísa Maria Scapaticci | Pedagogia | Aprovada | Bárbara: aprovad nas 3 primeiras, aguardando a última// Bárbara: aprovada na 4ª etapa 18/11/2020// Miryã: conferido e arquivado 10/03/2021</v>
      </c>
      <c r="B2234" s="93"/>
    </row>
    <row r="2235">
      <c r="A2235" s="384" t="str">
        <f>IFERROR(__xludf.DUMMYFUNCTION("""COMPUTED_VALUE"""),"Lana Siqueira Da Silva | Matemática | Aprovada | Júnio: PP aprovada")</f>
        <v>Lana Siqueira Da Silva | Matemática | Aprovada | Júnio: PP aprovada</v>
      </c>
      <c r="B2235" s="93"/>
    </row>
    <row r="2236">
      <c r="A2236" s="384" t="str">
        <f>IFERROR(__xludf.DUMMYFUNCTION("""COMPUTED_VALUE"""),"Lara De Freitas Ferreira | Matemática | Em análise | Bianca: plágio 29%")</f>
        <v>Lara De Freitas Ferreira | Matemática | Em análise | Bianca: plágio 29%</v>
      </c>
      <c r="B2236" s="93"/>
    </row>
    <row r="2237">
      <c r="A2237" s="384" t="str">
        <f>IFERROR(__xludf.DUMMYFUNCTION("""COMPUTED_VALUE"""),"Lara Ozaniqui Colar | Artes Visuais | Aprovado | Aline Silva: apresentou declaração de experiência válida. // Bárbara: conferido earquivado 23/11/2020")</f>
        <v>Lara Ozaniqui Colar | Artes Visuais | Aprovado | Aline Silva: apresentou declaração de experiência válida. // Bárbara: conferido earquivado 23/11/2020</v>
      </c>
      <c r="B2237" s="93"/>
    </row>
    <row r="2238">
      <c r="A2238" s="384" t="str">
        <f>IFERROR(__xludf.DUMMYFUNCTION("""COMPUTED_VALUE"""),"Lara Patrícia De Freitas | Pedagogia | Aprovada  | Aline Silva: não apresentou a parte dissertativa.// Bárbara: Conferido e arquivado 15/09/2020")</f>
        <v>Lara Patrícia De Freitas | Pedagogia | Aprovada  | Aline Silva: não apresentou a parte dissertativa.// Bárbara: Conferido e arquivado 15/09/2020</v>
      </c>
      <c r="B2238" s="93"/>
    </row>
    <row r="2239">
      <c r="A2239" s="384" t="str">
        <f>IFERROR(__xludf.DUMMYFUNCTION("""COMPUTED_VALUE"""),"Larissa Aires Vicente | Pedagogia | Aprovada | Lucas: Autorizada a recolher as assinaturas (estagio padrão) //Júnio: físico conferido e arquivado: 16/08/22")</f>
        <v>Larissa Aires Vicente | Pedagogia | Aprovada | Lucas: Autorizada a recolher as assinaturas (estagio padrão) //Júnio: físico conferido e arquivado: 16/08/22</v>
      </c>
      <c r="B2239" s="93"/>
    </row>
    <row r="2240">
      <c r="A2240" s="384" t="str">
        <f>IFERROR(__xludf.DUMMYFUNCTION("""COMPUTED_VALUE"""),"Larissa Aparecida De Lima | Pedagogia | Aprovada | Júnio: Pré aprovada //Júnio: aprovada: 30/11/23")</f>
        <v>Larissa Aparecida De Lima | Pedagogia | Aprovada | Júnio: Pré aprovada //Júnio: aprovada: 30/11/23</v>
      </c>
      <c r="B2240" s="93"/>
    </row>
    <row r="2241">
      <c r="A2241" s="384" t="str">
        <f>IFERROR(__xludf.DUMMYFUNCTION("""COMPUTED_VALUE"""),"Larissa Maria Costa | Geografia | Aprovada | Júnio: falta termo de conclusão e ficha de registro //Alexsiane: pré aprovado com lançamento no sponte.// Pâmela 18/11/2022 Conferido e arquivado. ")</f>
        <v>Larissa Maria Costa | Geografia | Aprovada | Júnio: falta termo de conclusão e ficha de registro //Alexsiane: pré aprovado com lançamento no sponte.// Pâmela 18/11/2022 Conferido e arquivado. </v>
      </c>
      <c r="B2241" s="93"/>
    </row>
    <row r="2242">
      <c r="A2242" s="384" t="str">
        <f>IFERROR(__xludf.DUMMYFUNCTION("""COMPUTED_VALUE"""),"Larissa Maria Costa | Pedagogia | Aprovada | Júnio: 14% de semelhança com o estágio de geografia, colocar tema e turmas na ficha de registro e completar o termo de conclusão.// Alexsiane: Pré aprovado com lançamento no sponte // Pâmela 18/11/2022 Conferid"&amp;"o e arquivado. ")</f>
        <v>Larissa Maria Costa | Pedagogia | Aprovada | Júnio: 14% de semelhança com o estágio de geografia, colocar tema e turmas na ficha de registro e completar o termo de conclusão.// Alexsiane: Pré aprovado com lançamento no sponte // Pâmela 18/11/2022 Conferido e arquivado. </v>
      </c>
      <c r="B2242" s="93"/>
    </row>
    <row r="2243">
      <c r="A2243" s="384" t="str">
        <f>IFERROR(__xludf.DUMMYFUNCTION("""COMPUTED_VALUE"""),"Larissa Paloma Basseti De Souza | Pedagogia | Aprovada | Bárbara: aluna inclusa no remoto atualizado- fichas pedi pra completar, falta termo de conclusão e carta de apresentação, e solicitei realização das 3 primeiras etapas. ")</f>
        <v>Larissa Paloma Basseti De Souza | Pedagogia | Aprovada | Bárbara: aluna inclusa no remoto atualizado- fichas pedi pra completar, falta termo de conclusão e carta de apresentação, e solicitei realização das 3 primeiras etapas. </v>
      </c>
      <c r="B2243" s="93"/>
    </row>
    <row r="2244">
      <c r="A2244" s="384" t="str">
        <f>IFERROR(__xludf.DUMMYFUNCTION("""COMPUTED_VALUE"""),"Larissa Rodrigues Da Silva Ueda | Psicopedagogia Institucional, Clínica E Hospitalar | Aprovada | Júnio: pre aprovada// Alexsiane: aprovada 05/02/2024")</f>
        <v>Larissa Rodrigues Da Silva Ueda | Psicopedagogia Institucional, Clínica E Hospitalar | Aprovada | Júnio: pre aprovada// Alexsiane: aprovada 05/02/2024</v>
      </c>
      <c r="B2244" s="93"/>
    </row>
    <row r="2245">
      <c r="A2245" s="384" t="str">
        <f>IFERROR(__xludf.DUMMYFUNCTION("""COMPUTED_VALUE"""),"Larissa Shimizo Marchi Braga | 2ª Licenciatura Em Pedagogia | Aprovada | Cris: PP aprovado")</f>
        <v>Larissa Shimizo Marchi Braga | 2ª Licenciatura Em Pedagogia | Aprovada | Cris: PP aprovado</v>
      </c>
      <c r="B2245" s="93"/>
    </row>
    <row r="2246">
      <c r="A2246" s="384" t="str">
        <f>IFERROR(__xludf.DUMMYFUNCTION("""COMPUTED_VALUE"""),"Larissa Talia Da Silva | Pedagogia | Aprovada | Júnio: PP aprovado")</f>
        <v>Larissa Talia Da Silva | Pedagogia | Aprovada | Júnio: PP aprovado</v>
      </c>
      <c r="B2246" s="93"/>
    </row>
    <row r="2247">
      <c r="A2247" s="384" t="str">
        <f>IFERROR(__xludf.DUMMYFUNCTION("""COMPUTED_VALUE"""),"Laudicéia Xavier Souza | Artes Visuais | Aprovada | Bárbara: trabalho completamente errado em todas as etapas e sem formatação.// Bárbara: aprovada na 4ª etapa 28/01/2021")</f>
        <v>Laudicéia Xavier Souza | Artes Visuais | Aprovada | Bárbara: trabalho completamente errado em todas as etapas e sem formatação.// Bárbara: aprovada na 4ª etapa 28/01/2021</v>
      </c>
      <c r="B2247" s="93"/>
    </row>
    <row r="2248">
      <c r="A2248" s="384" t="str">
        <f>IFERROR(__xludf.DUMMYFUNCTION("""COMPUTED_VALUE"""),"Laudiene Conceição Caixeta Ferreira | Geografia | Em análise | Júnio: PP - falta a carta preenchida e assinada")</f>
        <v>Laudiene Conceição Caixeta Ferreira | Geografia | Em análise | Júnio: PP - falta a carta preenchida e assinada</v>
      </c>
      <c r="B2248" s="93"/>
    </row>
    <row r="2249">
      <c r="A2249" s="384" t="str">
        <f>IFERROR(__xludf.DUMMYFUNCTION("""COMPUTED_VALUE"""),"Laura Barros Mazzulli | Pedagogia | Aprovada | Bárbara: apresentou declaração de experiência válida para a isenção da 3ª etapa do estágio remoto  //Júnio: aprovada: 11/02/2022 //Júnio: conferido e arquivado: 15/03/22")</f>
        <v>Laura Barros Mazzulli | Pedagogia | Aprovada | Bárbara: apresentou declaração de experiência válida para a isenção da 3ª etapa do estágio remoto  //Júnio: aprovada: 11/02/2022 //Júnio: conferido e arquivado: 15/03/22</v>
      </c>
      <c r="B2249" s="93"/>
    </row>
    <row r="2250">
      <c r="A2250" s="384" t="str">
        <f>IFERROR(__xludf.DUMMYFUNCTION("""COMPUTED_VALUE"""),"Laura Dayanne Justa Sousa Tinoco Freire | Pedagogia | Aprovada | Júnio: fez somente 10 planos de aulas, falta todo o resto //Júnio: aprovada: 05/11/2021 //Júnio: conferido e arquivado 03/11/2021")</f>
        <v>Laura Dayanne Justa Sousa Tinoco Freire | Pedagogia | Aprovada | Júnio: fez somente 10 planos de aulas, falta todo o resto //Júnio: aprovada: 05/11/2021 //Júnio: conferido e arquivado 03/11/2021</v>
      </c>
      <c r="B2250" s="93"/>
    </row>
    <row r="2251">
      <c r="A2251" s="384" t="str">
        <f>IFERROR(__xludf.DUMMYFUNCTION("""COMPUTED_VALUE"""),"Laura Maria De Carvalho Silva | Música | Aprovado | Alexsiane: pp aprovado")</f>
        <v>Laura Maria De Carvalho Silva | Música | Aprovado | Alexsiane: pp aprovado</v>
      </c>
      <c r="B2251" s="93"/>
    </row>
    <row r="2252">
      <c r="A2252" s="384" t="str">
        <f>IFERROR(__xludf.DUMMYFUNCTION("""COMPUTED_VALUE"""),"Laura Virgiane Narcisa De Sousa Nunes | Artes Visuais | Em análise | Alexsiane: falta termo de conclusão, carta de apresentação e as fichas de registro, 14% de plágio. Estágio padrão 200h")</f>
        <v>Laura Virgiane Narcisa De Sousa Nunes | Artes Visuais | Em análise | Alexsiane: falta termo de conclusão, carta de apresentação e as fichas de registro, 14% de plágio. Estágio padrão 200h</v>
      </c>
      <c r="B2252" s="93"/>
    </row>
    <row r="2253">
      <c r="A2253" s="384" t="str">
        <f>IFERROR(__xludf.DUMMYFUNCTION("""COMPUTED_VALUE"""),"Lauri Eduardo Rosler | Matemática | Aprovado | Bárbara: aprovado nas 3 priemiras etapas do remoto, e apresentou declaração de experiência válida // Bárbara: imprimido e arquivado 30/12/2020")</f>
        <v>Lauri Eduardo Rosler | Matemática | Aprovado | Bárbara: aprovado nas 3 priemiras etapas do remoto, e apresentou declaração de experiência válida // Bárbara: imprimido e arquivado 30/12/2020</v>
      </c>
      <c r="B2253" s="93"/>
    </row>
    <row r="2254">
      <c r="A2254" s="384" t="str">
        <f>IFERROR(__xludf.DUMMYFUNCTION("""COMPUTED_VALUE"""),"Lavinia Rodrigues | Pedagogia | Aprovada | Júnio: PP aprovada")</f>
        <v>Lavinia Rodrigues | Pedagogia | Aprovada | Júnio: PP aprovada</v>
      </c>
      <c r="B2254" s="93"/>
    </row>
    <row r="2255">
      <c r="A2255" s="384" t="str">
        <f>IFERROR(__xludf.DUMMYFUNCTION("""COMPUTED_VALUE"""),"Layana Mendonça Pereira Cunha | Letras/Português | Aprovada | Alexsaine: 14% de plágio, falta sumário, enviar 19 planos de aula ( em formato word e nosso modelo). Até dia 14/05/2022 para reenviar  //Alexsiane: aprovado com lançamento no Sponte")</f>
        <v>Layana Mendonça Pereira Cunha | Letras/Português | Aprovada | Alexsaine: 14% de plágio, falta sumário, enviar 19 planos de aula ( em formato word e nosso modelo). Até dia 14/05/2022 para reenviar  //Alexsiane: aprovado com lançamento no Sponte</v>
      </c>
      <c r="B2255" s="93"/>
    </row>
    <row r="2256">
      <c r="A2256" s="384" t="str">
        <f>IFERROR(__xludf.DUMMYFUNCTION("""COMPUTED_VALUE"""),"Lazara Aparecida Rodrigues E Silva | Letras Port Ingl | Aprovada | Bárbara: aprovada nas 3 etapas do remoto //Bianca: aprovada 26/04/21")</f>
        <v>Lazara Aparecida Rodrigues E Silva | Letras Port Ingl | Aprovada | Bárbara: aprovada nas 3 etapas do remoto //Bianca: aprovada 26/04/21</v>
      </c>
      <c r="B2256" s="93"/>
    </row>
    <row r="2257">
      <c r="A2257" s="384" t="str">
        <f>IFERROR(__xludf.DUMMYFUNCTION("""COMPUTED_VALUE"""),"Lázaro Fialho Da Cruz Ribeiro | Pedagogia | Aprovado | Bianca: Autorizada a recolher assinaturas, remoto atualizado //Júnio: conferido e arquivado: 12/07/21")</f>
        <v>Lázaro Fialho Da Cruz Ribeiro | Pedagogia | Aprovado | Bianca: Autorizada a recolher assinaturas, remoto atualizado //Júnio: conferido e arquivado: 12/07/21</v>
      </c>
      <c r="B2257" s="93"/>
    </row>
    <row r="2258">
      <c r="A2258" s="384" t="str">
        <f>IFERROR(__xludf.DUMMYFUNCTION("""COMPUTED_VALUE"""),"Leanderson Sodré Freitas | Pedagogia | Aprovado | Júnio:PP aprovado")</f>
        <v>Leanderson Sodré Freitas | Pedagogia | Aprovado | Júnio:PP aprovado</v>
      </c>
      <c r="B2258" s="93"/>
    </row>
    <row r="2259">
      <c r="A2259" s="384" t="str">
        <f>IFERROR(__xludf.DUMMYFUNCTION("""COMPUTED_VALUE"""),"Leandra Ribeiro De Almeida Nogueira | Artes Visuais | Aprovada | Alexsiane: corrigir carga horaria total de cada fichas de registro que está dando 39 não 42 horas, encaminha o termo de conclusão, carta de apresentação e complementar com mais 2 horas para "&amp;"dac 200 horas.// Alexsiane: Pré aprovado com lançamento // Pamela 13/01/2023 Conferido e arquivado. ")</f>
        <v>Leandra Ribeiro De Almeida Nogueira | Artes Visuais | Aprovada | Alexsiane: corrigir carga horaria total de cada fichas de registro que está dando 39 não 42 horas, encaminha o termo de conclusão, carta de apresentação e complementar com mais 2 horas para dac 200 horas.// Alexsiane: Pré aprovado com lançamento // Pamela 13/01/2023 Conferido e arquivado. </v>
      </c>
      <c r="B2259" s="93"/>
    </row>
    <row r="2260">
      <c r="A2260" s="384" t="str">
        <f>IFERROR(__xludf.DUMMYFUNCTION("""COMPUTED_VALUE"""),"Leandro Antonio Knebel | História | Aprovada | Lucas: Aprovado no estagio remoto antigo")</f>
        <v>Leandro Antonio Knebel | História | Aprovada | Lucas: Aprovado no estagio remoto antigo</v>
      </c>
      <c r="B2260" s="93"/>
    </row>
    <row r="2261">
      <c r="A2261" s="384" t="str">
        <f>IFERROR(__xludf.DUMMYFUNCTION("""COMPUTED_VALUE"""),"Leandro Antonio Knebel | Pedagogia | Aprovada | Bárbara: apresentou declração de ecperiência válida para  aisenção da 4ª etapa do estágio //Júnio: aprovada: 27/01/22")</f>
        <v>Leandro Antonio Knebel | Pedagogia | Aprovada | Bárbara: apresentou declração de ecperiência válida para  aisenção da 4ª etapa do estágio //Júnio: aprovada: 27/01/22</v>
      </c>
      <c r="B2261" s="93"/>
    </row>
    <row r="2262">
      <c r="A2262" s="384" t="str">
        <f>IFERROR(__xludf.DUMMYFUNCTION("""COMPUTED_VALUE"""),"Leandro Araújo Ferreira | Pedagogia | Aprovado | Alexsiane: Estágio de 800horas. ESTÁGIO 1° parte: falta somente especificar nas fichas de registro a serie(sem plágio); 2°: parte:falta somente especificar nas fichas de registro a serie(sem plágio); 3°: pa"&amp;"rte: aprovada(sem plágio); 4° parte: aprovada(sem plágio). Componentes Curriculares: todas as 4 etapas aprovados //Júnio: pré aprovado 02/01/23 // Pamela 17/01/2023 Conferido e arquivado. ")</f>
        <v>Leandro Araújo Ferreira | Pedagogia | Aprovado | Alexsiane: Estágio de 800horas. ESTÁGIO 1° parte: falta somente especificar nas fichas de registro a serie(sem plágio); 2°: parte:falta somente especificar nas fichas de registro a serie(sem plágio); 3°: parte: aprovada(sem plágio); 4° parte: aprovada(sem plágio). Componentes Curriculares: todas as 4 etapas aprovados //Júnio: pré aprovado 02/01/23 // Pamela 17/01/2023 Conferido e arquivado. </v>
      </c>
      <c r="B2262" s="93"/>
    </row>
    <row r="2263">
      <c r="A2263" s="384" t="str">
        <f>IFERROR(__xludf.DUMMYFUNCTION("""COMPUTED_VALUE"""),"Leandro Carlos Oliveira Fonseca | Letras Port | Aprovado | Bárbara: trabalho todo incompleto, apenas 1 plano, etapas 1 e 2 sem o que foi solicitado. //Bianca: aprovado 08/06/21")</f>
        <v>Leandro Carlos Oliveira Fonseca | Letras Port | Aprovado | Bárbara: trabalho todo incompleto, apenas 1 plano, etapas 1 e 2 sem o que foi solicitado. //Bianca: aprovado 08/06/21</v>
      </c>
      <c r="B2263" s="93"/>
    </row>
    <row r="2264">
      <c r="A2264" s="384" t="str">
        <f>IFERROR(__xludf.DUMMYFUNCTION("""COMPUTED_VALUE"""),"Leandro De Ávila | Pedagogia | Aprovado | Júnio: PP - falta a carta de apresentação //Aprovado: 06/02/24")</f>
        <v>Leandro De Ávila | Pedagogia | Aprovado | Júnio: PP - falta a carta de apresentação //Aprovado: 06/02/24</v>
      </c>
      <c r="B2264" s="93"/>
    </row>
    <row r="2265">
      <c r="A2265" s="384" t="str">
        <f>IFERROR(__xludf.DUMMYFUNCTION("""COMPUTED_VALUE"""),"Leandro De Sousa Moscatelli Oliveira | Música | Aprovado | Júnio: PP- falta carta de apresentação. //Júnio: aprovado: 17/08/23")</f>
        <v>Leandro De Sousa Moscatelli Oliveira | Música | Aprovado | Júnio: PP- falta carta de apresentação. //Júnio: aprovado: 17/08/23</v>
      </c>
      <c r="B2265" s="93"/>
    </row>
    <row r="2266">
      <c r="A2266" s="384" t="str">
        <f>IFERROR(__xludf.DUMMYFUNCTION("""COMPUTED_VALUE"""),"Leandro Dos Santos Martins | Filosofia | Aprovado | Fez curso de capacitação.")</f>
        <v>Leandro Dos Santos Martins | Filosofia | Aprovado | Fez curso de capacitação.</v>
      </c>
      <c r="B2266" s="93"/>
    </row>
    <row r="2267">
      <c r="A2267" s="384" t="str">
        <f>IFERROR(__xludf.DUMMYFUNCTION("""COMPUTED_VALUE"""),"Leandro Dos Santos Martins | Letras Port. Ingl | Aprovado | Fez capacitação e planos de aula.")</f>
        <v>Leandro Dos Santos Martins | Letras Port. Ingl | Aprovado | Fez capacitação e planos de aula.</v>
      </c>
      <c r="B2267" s="93"/>
    </row>
    <row r="2268">
      <c r="A2268" s="384" t="str">
        <f>IFERROR(__xludf.DUMMYFUNCTION("""COMPUTED_VALUE"""),"Leandro Dos Santos Martins | Pedagogia | Aprovado | Júnio: remoto antigo, aprovado")</f>
        <v>Leandro Dos Santos Martins | Pedagogia | Aprovado | Júnio: remoto antigo, aprovado</v>
      </c>
      <c r="B2268" s="93"/>
    </row>
    <row r="2269">
      <c r="A2269" s="384" t="str">
        <f>IFERROR(__xludf.DUMMYFUNCTION("""COMPUTED_VALUE"""),"Leandro Figueiredo Pereira | Música | Aprovado | Júnio: PP- etapas : OK Inicio: 01/08/23 Reenviar: /Alexsiane: Pp aprovado")</f>
        <v>Leandro Figueiredo Pereira | Música | Aprovado | Júnio: PP- etapas : OK Inicio: 01/08/23 Reenviar: /Alexsiane: Pp aprovado</v>
      </c>
      <c r="B2269" s="93"/>
    </row>
    <row r="2270">
      <c r="A2270" s="384" t="str">
        <f>IFERROR(__xludf.DUMMYFUNCTION("""COMPUTED_VALUE"""),"Leandro Freitas Dos Santos | Música | Aprovado | Júnio: PP aprovado")</f>
        <v>Leandro Freitas Dos Santos | Música | Aprovado | Júnio: PP aprovado</v>
      </c>
      <c r="B2270" s="93"/>
    </row>
    <row r="2271">
      <c r="A2271" s="384" t="str">
        <f>IFERROR(__xludf.DUMMYFUNCTION("""COMPUTED_VALUE"""),"Leandro Marcos Weizenmann | Pedagogia | Aprovado  | Bianca: autorizado a recolher assinaturas// Bianca: aprovado nas 4 etapas do remoto atualizado em 03/11/2021 com lançamento no sponte // Bárbara: conferido e arquivado 17/11")</f>
        <v>Leandro Marcos Weizenmann | Pedagogia | Aprovado  | Bianca: autorizado a recolher assinaturas// Bianca: aprovado nas 4 etapas do remoto atualizado em 03/11/2021 com lançamento no sponte // Bárbara: conferido e arquivado 17/11</v>
      </c>
      <c r="B2271" s="93"/>
    </row>
    <row r="2272">
      <c r="A2272" s="384" t="str">
        <f>IFERROR(__xludf.DUMMYFUNCTION("""COMPUTED_VALUE"""),"Leandro Roberto De Morais | Formação Pedagógica Artes Visuais |  | ")</f>
        <v>Leandro Roberto De Morais | Formação Pedagógica Artes Visuais |  | </v>
      </c>
      <c r="B2272" s="93"/>
    </row>
    <row r="2273">
      <c r="A2273" s="384" t="str">
        <f>IFERROR(__xludf.DUMMYFUNCTION("""COMPUTED_VALUE"""),"Leandro Rodolfo Prado Lessa | Matemática | Aprovado | Júnio: aprovado no remoto antigo")</f>
        <v>Leandro Rodolfo Prado Lessa | Matemática | Aprovado | Júnio: aprovado no remoto antigo</v>
      </c>
      <c r="B2273" s="93"/>
    </row>
    <row r="2274">
      <c r="A2274" s="384" t="str">
        <f>IFERROR(__xludf.DUMMYFUNCTION("""COMPUTED_VALUE"""),"Leandro Silva Almeida | Artes Visuais | Aprovado | Júnio: enviar digitado, faltam 19 planos de aula. PRAZO 10 DIAS -até 08/04/22// Alexsiane: aprovado com lançamento no Sponte")</f>
        <v>Leandro Silva Almeida | Artes Visuais | Aprovado | Júnio: enviar digitado, faltam 19 planos de aula. PRAZO 10 DIAS -até 08/04/22// Alexsiane: aprovado com lançamento no Sponte</v>
      </c>
      <c r="B2274" s="93"/>
    </row>
    <row r="2275">
      <c r="A2275" s="384" t="str">
        <f>IFERROR(__xludf.DUMMYFUNCTION("""COMPUTED_VALUE"""),"Leandro Silva De Almeida | História | Aprovado | Aline Silva: apresentou declaração de experiência válida, e será reduzido também na gestão.// Bárbara: aprovado 11/03/2021")</f>
        <v>Leandro Silva De Almeida | História | Aprovado | Aline Silva: apresentou declaração de experiência válida, e será reduzido também na gestão.// Bárbara: aprovado 11/03/2021</v>
      </c>
      <c r="B2275" s="93"/>
    </row>
    <row r="2276">
      <c r="A2276" s="384" t="str">
        <f>IFERROR(__xludf.DUMMYFUNCTION("""COMPUTED_VALUE"""),"Leandro Soares De Sousa | Formação Pedagógica Em Música | Em análise | Cris: PP falta etapa 2 e carta de apresentação")</f>
        <v>Leandro Soares De Sousa | Formação Pedagógica Em Música | Em análise | Cris: PP falta etapa 2 e carta de apresentação</v>
      </c>
      <c r="B2276" s="93"/>
    </row>
    <row r="2277">
      <c r="A2277" s="384" t="str">
        <f>IFERROR(__xludf.DUMMYFUNCTION("""COMPUTED_VALUE"""),"Leda Maria Costa Rego | Pedagogia | Aprovada | Alexsiane; falta fazer as referências,preencher os dados com a declaração de experiência, preencher tudo nas fichas de restro( só recolheu as assinaturas) preencher termo de conclusão até dia 27/10/22 para re"&amp;"enviar Edilane: pre aprovado 07/02 - Júnio: 21/03/23- físico conferido e arquivado")</f>
        <v>Leda Maria Costa Rego | Pedagogia | Aprovada | Alexsiane; falta fazer as referências,preencher os dados com a declaração de experiência, preencher tudo nas fichas de restro( só recolheu as assinaturas) preencher termo de conclusão até dia 27/10/22 para reenviar Edilane: pre aprovado 07/02 - Júnio: 21/03/23- físico conferido e arquivado</v>
      </c>
      <c r="B2277" s="93"/>
    </row>
    <row r="2278">
      <c r="A2278" s="384" t="str">
        <f>IFERROR(__xludf.DUMMYFUNCTION("""COMPUTED_VALUE"""),"Leide Dayanne Silva De Sousa | Neuropsicopedagogia Institucional, Clínica E Hospitalar | Pré aprovada | Alexsiane: falta autenticar o termo de conclusão.")</f>
        <v>Leide Dayanne Silva De Sousa | Neuropsicopedagogia Institucional, Clínica E Hospitalar | Pré aprovada | Alexsiane: falta autenticar o termo de conclusão.</v>
      </c>
      <c r="B2278" s="93"/>
    </row>
    <row r="2279">
      <c r="A2279" s="384" t="str">
        <f>IFERROR(__xludf.DUMMYFUNCTION("""COMPUTED_VALUE"""),"Leide Souza Dias Corôa | Neuropsicopedagogia Institucional,Clínica E Hospitalar | Aprovado |  Alexsiane: falta especificar o tipo de acompanhamento nas fichas até dia 22/08 para reenviar //Júnio: 02/09/22 - físico recebido, fichas vieram impressas")</f>
        <v>Leide Souza Dias Corôa | Neuropsicopedagogia Institucional,Clínica E Hospitalar | Aprovado |  Alexsiane: falta especificar o tipo de acompanhamento nas fichas até dia 22/08 para reenviar //Júnio: 02/09/22 - físico recebido, fichas vieram impressas</v>
      </c>
      <c r="B2279" s="93"/>
    </row>
    <row r="2280">
      <c r="A2280" s="384" t="str">
        <f>IFERROR(__xludf.DUMMYFUNCTION("""COMPUTED_VALUE"""),"Leidi Laura Breguedo | Pedagogia | Aprovada | Alexsiane: falta considerações finais, especificar nas fichas de registro o tipo de acompanhamento e a serie e plágio nos planos de aula 15/12 para reenviar //Júnio: aprovada: 23/08/23")</f>
        <v>Leidi Laura Breguedo | Pedagogia | Aprovada | Alexsiane: falta considerações finais, especificar nas fichas de registro o tipo de acompanhamento e a serie e plágio nos planos de aula 15/12 para reenviar //Júnio: aprovada: 23/08/23</v>
      </c>
      <c r="B2280" s="93"/>
    </row>
    <row r="2281">
      <c r="A2281" s="384" t="str">
        <f>IFERROR(__xludf.DUMMYFUNCTION("""COMPUTED_VALUE"""),"Leidiane Nogueira Pires | Pedagogia | Aprovado | Júnio: remoto atualizado, etapas 3 e 4 ok, falta todo o resto. // Lucas: Aprovado e anexado ao Sponte //Júnio:físico conferido e arquivado: 17/06/22")</f>
        <v>Leidiane Nogueira Pires | Pedagogia | Aprovado | Júnio: remoto atualizado, etapas 3 e 4 ok, falta todo o resto. // Lucas: Aprovado e anexado ao Sponte //Júnio:físico conferido e arquivado: 17/06/22</v>
      </c>
      <c r="B2281" s="93"/>
    </row>
    <row r="2282">
      <c r="A2282" s="384" t="str">
        <f>IFERROR(__xludf.DUMMYFUNCTION("""COMPUTED_VALUE"""),"Leidimara Sales Da Silva | Pedagogia | Aprovada | Lucas: aprovada")</f>
        <v>Leidimara Sales Da Silva | Pedagogia | Aprovada | Lucas: aprovada</v>
      </c>
      <c r="B2282" s="93"/>
    </row>
    <row r="2283">
      <c r="A2283" s="384" t="str">
        <f>IFERROR(__xludf.DUMMYFUNCTION("""COMPUTED_VALUE"""),"Leidy Margot Oliveira Ritt | Pedagogia | Aprovada | Júnio: pré aprovada //Júnio: aprovada: 24/07/23")</f>
        <v>Leidy Margot Oliveira Ritt | Pedagogia | Aprovada | Júnio: pré aprovada //Júnio: aprovada: 24/07/23</v>
      </c>
      <c r="B2283" s="93"/>
    </row>
    <row r="2284">
      <c r="A2284" s="384" t="str">
        <f>IFERROR(__xludf.DUMMYFUNCTION("""COMPUTED_VALUE"""),"Leila Aparecida Souza E Silva | Pedagogia | Aprovada | Aline Silva: declaração de experiência foi aceita. //Júnio: aprovada 01/06/21")</f>
        <v>Leila Aparecida Souza E Silva | Pedagogia | Aprovada | Aline Silva: declaração de experiência foi aceita. //Júnio: aprovada 01/06/21</v>
      </c>
      <c r="B2284" s="93"/>
    </row>
    <row r="2285">
      <c r="A2285" s="384" t="str">
        <f>IFERROR(__xludf.DUMMYFUNCTION("""COMPUTED_VALUE"""),"Leila Cristine Rambo | Pedagogia | Aprovado | Alexsiane: pp aprovado")</f>
        <v>Leila Cristine Rambo | Pedagogia | Aprovado | Alexsiane: pp aprovado</v>
      </c>
      <c r="B2285" s="93"/>
    </row>
    <row r="2286">
      <c r="A2286" s="384" t="str">
        <f>IFERROR(__xludf.DUMMYFUNCTION("""COMPUTED_VALUE"""),"Leila De Lima Silva Garcia | Pedagogia | Em análise | Bárbara: falta 4ª etapa remoto atualizado, organizar algumas partes, fazer revisão e leitura pars estabelecer corerencia, coesão, e norma culta. Falta conclusão e referência. ")</f>
        <v>Leila De Lima Silva Garcia | Pedagogia | Em análise | Bárbara: falta 4ª etapa remoto atualizado, organizar algumas partes, fazer revisão e leitura pars estabelecer corerencia, coesão, e norma culta. Falta conclusão e referência. </v>
      </c>
      <c r="B2286" s="93"/>
    </row>
    <row r="2287">
      <c r="A2287" s="384" t="str">
        <f>IFERROR(__xludf.DUMMYFUNCTION("""COMPUTED_VALUE"""),"Leila De Oliveira Santos | Matemática | Aprovada | Júnio: remoto antigo, fazer mais 18 planos de aula e falar sobre o perigo da histótia única PRAZO: 28/07/22")</f>
        <v>Leila De Oliveira Santos | Matemática | Aprovada | Júnio: remoto antigo, fazer mais 18 planos de aula e falar sobre o perigo da histótia única PRAZO: 28/07/22</v>
      </c>
      <c r="B2287" s="93"/>
    </row>
    <row r="2288">
      <c r="A2288" s="384" t="str">
        <f>IFERROR(__xludf.DUMMYFUNCTION("""COMPUTED_VALUE"""),"Leila Pereira Da Silva | Pedagogia | Aprovada | Júnio: PP - falta a carta de apresentação //Júnio: aprovada: 01/12/23")</f>
        <v>Leila Pereira Da Silva | Pedagogia | Aprovada | Júnio: PP - falta a carta de apresentação //Júnio: aprovada: 01/12/23</v>
      </c>
      <c r="B2288" s="93"/>
    </row>
    <row r="2289">
      <c r="A2289" s="384" t="str">
        <f>IFERROR(__xludf.DUMMYFUNCTION("""COMPUTED_VALUE"""),"Leilane Vieira Queiros | Artes Visuais | Aprovada | Bianca: aprovada nas 4 etapas do remoto antigo")</f>
        <v>Leilane Vieira Queiros | Artes Visuais | Aprovada | Bianca: aprovada nas 4 etapas do remoto antigo</v>
      </c>
      <c r="B2289" s="93"/>
    </row>
    <row r="2290">
      <c r="A2290" s="384" t="str">
        <f>IFERROR(__xludf.DUMMYFUNCTION("""COMPUTED_VALUE"""),"Leiliane Barbosa Dos Santos | Pedagogia | Aprovada | Edilaine: Tem que especificar nas fichas de registro o tipo de acompanhamento e série. Declaração de experiência válida, tem que fazer 120 horas.// Alexsiane: Pré- aprovado com lançamento no Sponte// Pa"&amp;"mela 23/01/2023 Conferido e arquivado. ")</f>
        <v>Leiliane Barbosa Dos Santos | Pedagogia | Aprovada | Edilaine: Tem que especificar nas fichas de registro o tipo de acompanhamento e série. Declaração de experiência válida, tem que fazer 120 horas.// Alexsiane: Pré- aprovado com lançamento no Sponte// Pamela 23/01/2023 Conferido e arquivado. </v>
      </c>
      <c r="B2290" s="93"/>
    </row>
    <row r="2291">
      <c r="A2291" s="384" t="str">
        <f>IFERROR(__xludf.DUMMYFUNCTION("""COMPUTED_VALUE"""),"Lélia De Jesus Rabelo Ferreira | Letras Português | Aprovada | Bárbara: aprovado nas 3 priemiras etapas, aguardando última// Bárbara: aprovada 11/01/2021")</f>
        <v>Lélia De Jesus Rabelo Ferreira | Letras Português | Aprovada | Bárbara: aprovado nas 3 priemiras etapas, aguardando última// Bárbara: aprovada 11/01/2021</v>
      </c>
      <c r="B2291" s="93"/>
    </row>
    <row r="2292">
      <c r="A2292" s="384" t="str">
        <f>IFERROR(__xludf.DUMMYFUNCTION("""COMPUTED_VALUE"""),"Lelícia De Figueiredo Fernandes Simões | Pedagogia | aprovada | Aline Silva:aprovada// Bárbara: Conferido e arquivado em 16/09/2020")</f>
        <v>Lelícia De Figueiredo Fernandes Simões | Pedagogia | aprovada | Aline Silva:aprovada// Bárbara: Conferido e arquivado em 16/09/2020</v>
      </c>
      <c r="B2292" s="93"/>
    </row>
    <row r="2293">
      <c r="A2293" s="384" t="str">
        <f>IFERROR(__xludf.DUMMYFUNCTION("""COMPUTED_VALUE"""),"Lélio Favacho Braga | Ed. Física | Em análise | Aline Silva: declaração não pode ser usada, faltam horas no ensino médio, e demais detalhes informados por email.// Aprovado dia 26/12/2019 e recebido dia 13/01/2020// Bárbara: conferido e arquivado 09/09/20"&amp;"20")</f>
        <v>Lélio Favacho Braga | Ed. Física | Em análise | Aline Silva: declaração não pode ser usada, faltam horas no ensino médio, e demais detalhes informados por email.// Aprovado dia 26/12/2019 e recebido dia 13/01/2020// Bárbara: conferido e arquivado 09/09/2020</v>
      </c>
      <c r="B2293" s="93"/>
    </row>
    <row r="2294">
      <c r="A2294" s="384" t="str">
        <f>IFERROR(__xludf.DUMMYFUNCTION("""COMPUTED_VALUE"""),"Lena Marcione Borges Morais Penha | Pedagogia | aprovada | Júnio: 11% plágio, fez etapa 1,2 e 1 plano de aula, fazer todo o resto - remoto antigo//Alexsiane: aprovado no remoto antigo")</f>
        <v>Lena Marcione Borges Morais Penha | Pedagogia | aprovada | Júnio: 11% plágio, fez etapa 1,2 e 1 plano de aula, fazer todo o resto - remoto antigo//Alexsiane: aprovado no remoto antigo</v>
      </c>
      <c r="B2294" s="93"/>
    </row>
    <row r="2295">
      <c r="A2295" s="384" t="str">
        <f>IFERROR(__xludf.DUMMYFUNCTION("""COMPUTED_VALUE"""),"Lenice Lopes De Almeida | Ed. Física | aprovada | Aline Silva: aprovada nos moldes de correção da tutora Thiara// Recebido impresso e encadernado dia 19/03/2020")</f>
        <v>Lenice Lopes De Almeida | Ed. Física | aprovada | Aline Silva: aprovada nos moldes de correção da tutora Thiara// Recebido impresso e encadernado dia 19/03/2020</v>
      </c>
      <c r="B2295" s="93"/>
    </row>
    <row r="2296">
      <c r="A2296" s="384" t="str">
        <f>IFERROR(__xludf.DUMMYFUNCTION("""COMPUTED_VALUE"""),"Lenilson Soares Machado | Letras/Inglês | Aprovado | Edilaine: 4,36% de plágio, a carga horária diária ultrapassou 6 horas.//Alexsiane: Pré-aprovado com lançamento no sponte // Pamela 09/02/2023 Conferido e arquivado. ")</f>
        <v>Lenilson Soares Machado | Letras/Inglês | Aprovado | Edilaine: 4,36% de plágio, a carga horária diária ultrapassou 6 horas.//Alexsiane: Pré-aprovado com lançamento no sponte // Pamela 09/02/2023 Conferido e arquivado. </v>
      </c>
      <c r="B2296" s="93"/>
    </row>
    <row r="2297">
      <c r="A2297" s="384" t="str">
        <f>IFERROR(__xludf.DUMMYFUNCTION("""COMPUTED_VALUE"""),"Leocádia Garcia Froez | Letras Português Ing | Aprovada | Bianca: aprovada nas 4 etapas do remoto atualizado, com ressalva para enviar carta de apresentação //Júnio: conferido e arquivado: 23/12/21")</f>
        <v>Leocádia Garcia Froez | Letras Português Ing | Aprovada | Bianca: aprovada nas 4 etapas do remoto atualizado, com ressalva para enviar carta de apresentação //Júnio: conferido e arquivado: 23/12/21</v>
      </c>
      <c r="B2297" s="93"/>
    </row>
    <row r="2298">
      <c r="A2298" s="384" t="str">
        <f>IFERROR(__xludf.DUMMYFUNCTION("""COMPUTED_VALUE"""),"Leonardo Da Silva Oliveira Dos Santos | Educação Física | Aprovado | Júnio: PP - etapas: OK Inicio: 04/10/2023 Reenviar: 04/04/24 //Aprovado: 16/01/24 visto que a data de inicio certa do curso é 23/06/23.")</f>
        <v>Leonardo Da Silva Oliveira Dos Santos | Educação Física | Aprovado | Júnio: PP - etapas: OK Inicio: 04/10/2023 Reenviar: 04/04/24 //Aprovado: 16/01/24 visto que a data de inicio certa do curso é 23/06/23.</v>
      </c>
      <c r="B2298" s="93"/>
    </row>
    <row r="2299">
      <c r="A2299" s="384" t="str">
        <f>IFERROR(__xludf.DUMMYFUNCTION("""COMPUTED_VALUE"""),"Leonardo Da Silva Oliveira Dos Santos | Pedagógica | Em análise | Alexsiane: trabalho igual ao de educação física")</f>
        <v>Leonardo Da Silva Oliveira Dos Santos | Pedagógica | Em análise | Alexsiane: trabalho igual ao de educação física</v>
      </c>
      <c r="B2299" s="93"/>
    </row>
    <row r="2300">
      <c r="A2300" s="384" t="str">
        <f>IFERROR(__xludf.DUMMYFUNCTION("""COMPUTED_VALUE"""),"Leonardo De Freitas | Letras Português Inglês | Em análise | Júnio: estágio padrão, declaração de experiencia ok, falta todo o resto")</f>
        <v>Leonardo De Freitas | Letras Português Inglês | Em análise | Júnio: estágio padrão, declaração de experiencia ok, falta todo o resto</v>
      </c>
      <c r="B2300" s="93"/>
    </row>
    <row r="2301">
      <c r="A2301" s="384" t="str">
        <f>IFERROR(__xludf.DUMMYFUNCTION("""COMPUTED_VALUE"""),"Leonardo De Melo Coelho | História | Aprovado | Edilaine: Falta termo de conclusão, tem que completar as fichas com 37h30min e tem que fazer o tipo de acompanhamento gestão. // Edilaine: Aprovado 12/01 // Pamela 19/01/2023 Conferido e arquivado. ")</f>
        <v>Leonardo De Melo Coelho | História | Aprovado | Edilaine: Falta termo de conclusão, tem que completar as fichas com 37h30min e tem que fazer o tipo de acompanhamento gestão. // Edilaine: Aprovado 12/01 // Pamela 19/01/2023 Conferido e arquivado. </v>
      </c>
      <c r="B2301" s="93"/>
    </row>
    <row r="2302">
      <c r="A2302" s="384" t="str">
        <f>IFERROR(__xludf.DUMMYFUNCTION("""COMPUTED_VALUE"""),"Leonardo Inácio Pereira | Sociologia | Aprovado | Júnio: PP - falta a entrevista e carta de apresentação. //Júnio: aprovado: 07/12/23")</f>
        <v>Leonardo Inácio Pereira | Sociologia | Aprovado | Júnio: PP - falta a entrevista e carta de apresentação. //Júnio: aprovado: 07/12/23</v>
      </c>
      <c r="B2302" s="93"/>
    </row>
    <row r="2303">
      <c r="A2303" s="384" t="str">
        <f>IFERROR(__xludf.DUMMYFUNCTION("""COMPUTED_VALUE"""),"Leonardo Moreira Da Silva | Educação Física | Aprovado | Alexsiane: etapa 1 ok, etapa 2 tem que enviar a entrevista em formato de pergunta e resposta e enviar a carta de apresentação sem amassado// alexsiane; pp aprovado")</f>
        <v>Leonardo Moreira Da Silva | Educação Física | Aprovado | Alexsiane: etapa 1 ok, etapa 2 tem que enviar a entrevista em formato de pergunta e resposta e enviar a carta de apresentação sem amassado// alexsiane; pp aprovado</v>
      </c>
      <c r="B2303" s="93"/>
    </row>
    <row r="2304">
      <c r="A2304" s="384" t="str">
        <f>IFERROR(__xludf.DUMMYFUNCTION("""COMPUTED_VALUE"""),"Leonardo Nogueira Rocha | História | Aprovado | Alexsiane: corrigir as datas iguais nas fichas de registro e especificar em alguns dias que ficou sem o tipo de acompanhamento  e a série até dia 21/08 para reenviar// Bárbara: 24/08: autorizado a enviar a e"&amp;"nviar físico //Júnio: 20/10/2022- físico conferidoe arquivado")</f>
        <v>Leonardo Nogueira Rocha | História | Aprovado | Alexsiane: corrigir as datas iguais nas fichas de registro e especificar em alguns dias que ficou sem o tipo de acompanhamento  e a série até dia 21/08 para reenviar// Bárbara: 24/08: autorizado a enviar a enviar físico //Júnio: 20/10/2022- físico conferidoe arquivado</v>
      </c>
      <c r="B2304" s="93"/>
    </row>
    <row r="2305">
      <c r="A2305" s="384" t="str">
        <f>IFERROR(__xludf.DUMMYFUNCTION("""COMPUTED_VALUE"""),"Leonete Zair Mattos Da Silveira | Neuropsicopedagogia Instittucional Clínica E Hospitalar | Aprovada  | Bianca: falta etapa 4 com dissertação do caso. // Ver anotação no guru//Bianca: Aprovada em 17/11/2021")</f>
        <v>Leonete Zair Mattos Da Silveira | Neuropsicopedagogia Instittucional Clínica E Hospitalar | Aprovada  | Bianca: falta etapa 4 com dissertação do caso. // Ver anotação no guru//Bianca: Aprovada em 17/11/2021</v>
      </c>
      <c r="B2305" s="93"/>
    </row>
    <row r="2306">
      <c r="A2306" s="384" t="str">
        <f>IFERROR(__xludf.DUMMYFUNCTION("""COMPUTED_VALUE"""),"Leonice Aparecida De Fatima Alves Pereira Mourad | Segunda Licenciatura Em Educação Especial | - | ")</f>
        <v>Leonice Aparecida De Fatima Alves Pereira Mourad | Segunda Licenciatura Em Educação Especial | - | </v>
      </c>
      <c r="B2306" s="93"/>
    </row>
    <row r="2307">
      <c r="A2307" s="384" t="str">
        <f>IFERROR(__xludf.DUMMYFUNCTION("""COMPUTED_VALUE"""),"Leonice Aparecida Dos Santos | Pedagogia Para Bachareis E Tecnologos | Aprovada* | Júnio - ESTÁGIO I: está autorizada a recolher as assinaturas e carimbos de todos as fichas. ESTÁGIO II: está autorizada a recolher as assinaturas e carimbos de todos as fic"&amp;"has. ESTÁGIO III: data lançada (28/06) na ficha de registro é inválida, pois a mesma foi lançada no estágio II e juntas ultrapassam o limite diário de 6 horas permitido conforme lei nº 11.788. ESTÁGIO IV: está autorizada a recolher as assinaturas e carimb"&amp;"os de todos as fichas.  PCC I: 13% plágio PCC II: 10% plágio PCC III: ok  PCC IV: ok //Aprovada 16/01/2024  por autorização superior da Ana em caráter excepcional devido ao erro ocorrido na plataforma, mesmo havendo muitas etapas a serem corrigidas.")</f>
        <v>Leonice Aparecida Dos Santos | Pedagogia Para Bachareis E Tecnologos | Aprovada* | Júnio - ESTÁGIO I: está autorizada a recolher as assinaturas e carimbos de todos as fichas. ESTÁGIO II: está autorizada a recolher as assinaturas e carimbos de todos as fichas. ESTÁGIO III: data lançada (28/06) na ficha de registro é inválida, pois a mesma foi lançada no estágio II e juntas ultrapassam o limite diário de 6 horas permitido conforme lei nº 11.788. ESTÁGIO IV: está autorizada a recolher as assinaturas e carimbos de todos as fichas.  PCC I: 13% plágio PCC II: 10% plágio PCC III: ok  PCC IV: ok //Aprovada 16/01/2024  por autorização superior da Ana em caráter excepcional devido ao erro ocorrido na plataforma, mesmo havendo muitas etapas a serem corrigidas.</v>
      </c>
      <c r="B2307" s="93"/>
    </row>
    <row r="2308">
      <c r="A2308" s="384" t="str">
        <f>IFERROR(__xludf.DUMMYFUNCTION("""COMPUTED_VALUE"""),"Leonildo José Figueira | Educação Física | Aprovado | Alexsiane: Pré aprovado com lançamento no sponte // Pâmela 13/11/2022 Conferido e arquivado. ")</f>
        <v>Leonildo José Figueira | Educação Física | Aprovado | Alexsiane: Pré aprovado com lançamento no sponte // Pâmela 13/11/2022 Conferido e arquivado. </v>
      </c>
      <c r="B2308" s="93"/>
    </row>
    <row r="2309">
      <c r="A2309" s="384" t="str">
        <f>IFERROR(__xludf.DUMMYFUNCTION("""COMPUTED_VALUE"""),"Leopoldo Magalhães Rabello Miranda | Matemática | Aprovado | APROVADO, 28/08.")</f>
        <v>Leopoldo Magalhães Rabello Miranda | Matemática | Aprovado | APROVADO, 28/08.</v>
      </c>
      <c r="B2309" s="93"/>
    </row>
    <row r="2310">
      <c r="A2310" s="384" t="str">
        <f>IFERROR(__xludf.DUMMYFUNCTION("""COMPUTED_VALUE"""),"Letícia Abadia Prata Teodoro | Matemática | Aprovada | Júnio: PP aprovada")</f>
        <v>Letícia Abadia Prata Teodoro | Matemática | Aprovada | Júnio: PP aprovada</v>
      </c>
      <c r="B2310" s="93"/>
    </row>
    <row r="2311">
      <c r="A2311" s="384" t="str">
        <f>IFERROR(__xludf.DUMMYFUNCTION("""COMPUTED_VALUE"""),"Letícia Cabral Silva | Pedagogia | Aprovada | Júnio: completar ficha de registro com mais 49 horas e especificar série. falta todo o resto. //Júnio: aprovada: 14/07/23")</f>
        <v>Letícia Cabral Silva | Pedagogia | Aprovada | Júnio: completar ficha de registro com mais 49 horas e especificar série. falta todo o resto. //Júnio: aprovada: 14/07/23</v>
      </c>
      <c r="B2311" s="93"/>
    </row>
    <row r="2312">
      <c r="A2312" s="384" t="str">
        <f>IFERROR(__xludf.DUMMYFUNCTION("""COMPUTED_VALUE"""),"Letícia Cristina Parreiras | Ed. Física | Aprovado | Alexsiane:especificar nas  fichas o tipo de acompanhamento e o tema e corrigir a carga horaria diaria// Alexsiane: aprovada com lançamento no Jacad // Pamela ")</f>
        <v>Letícia Cristina Parreiras | Ed. Física | Aprovado | Alexsiane:especificar nas  fichas o tipo de acompanhamento e o tema e corrigir a carga horaria diaria// Alexsiane: aprovada com lançamento no Jacad // Pamela </v>
      </c>
      <c r="B2312" s="93"/>
    </row>
    <row r="2313">
      <c r="A2313" s="384" t="str">
        <f>IFERROR(__xludf.DUMMYFUNCTION("""COMPUTED_VALUE"""),"Letícia Da Silva Lemes | Segunda Licenciatura Em Música | Aprovado | Rayssa pp aprovado")</f>
        <v>Letícia Da Silva Lemes | Segunda Licenciatura Em Música | Aprovado | Rayssa pp aprovado</v>
      </c>
      <c r="B2313" s="93"/>
    </row>
    <row r="2314">
      <c r="A2314" s="384" t="str">
        <f>IFERROR(__xludf.DUMMYFUNCTION("""COMPUTED_VALUE"""),"Letícia De Fátima Viana | Pedagogia | Aprovada  | Amélia: aprovada nas 3 etapas// Bárbara: aprosentou a 4ª etapa, aprovada 14/09/2021")</f>
        <v>Letícia De Fátima Viana | Pedagogia | Aprovada  | Amélia: aprovada nas 3 etapas// Bárbara: aprosentou a 4ª etapa, aprovada 14/09/2021</v>
      </c>
      <c r="B2314" s="93"/>
    </row>
    <row r="2315">
      <c r="A2315" s="384" t="str">
        <f>IFERROR(__xludf.DUMMYFUNCTION("""COMPUTED_VALUE"""),"Letícia Franco De Oliveira | Pedagogia | aprovado | Aline Silva: aprovado// Recebido dia 15/01/2020// Bárbara: Conferido e arquivado em 16/09/2020")</f>
        <v>Letícia Franco De Oliveira | Pedagogia | aprovado | Aline Silva: aprovado// Recebido dia 15/01/2020// Bárbara: Conferido e arquivado em 16/09/2020</v>
      </c>
      <c r="B2315" s="93"/>
    </row>
    <row r="2316">
      <c r="A2316" s="384" t="str">
        <f>IFERROR(__xludf.DUMMYFUNCTION("""COMPUTED_VALUE"""),"Letícia Frutuosa Mariano | Artes Visuais | Aprovada | Júnio: estágio padrão - em análise no guru declaração de experiência válida //Júnio: pre aprovada: 03/01/23 // Pâmela 09/01/2023 Conferido e arquivado. ")</f>
        <v>Letícia Frutuosa Mariano | Artes Visuais | Aprovada | Júnio: estágio padrão - em análise no guru declaração de experiência válida //Júnio: pre aprovada: 03/01/23 // Pâmela 09/01/2023 Conferido e arquivado. </v>
      </c>
      <c r="B2316" s="93"/>
    </row>
    <row r="2317">
      <c r="A2317" s="384" t="str">
        <f>IFERROR(__xludf.DUMMYFUNCTION("""COMPUTED_VALUE"""),"Letícia Gomes D' Agostin | Pedagogia Para Bachareis E Tecnologos | Aprovada | Júnio - PP: ok PCC I: 17% plágio e falta a tabela PCC II: 10% plágio e falta a tabela PCC III: 26% plágio e falta a entrevista PCC IV: falta a tabela //Júnio: aprovada: 04/01/24")</f>
        <v>Letícia Gomes D' Agostin | Pedagogia Para Bachareis E Tecnologos | Aprovada | Júnio - PP: ok PCC I: 17% plágio e falta a tabela PCC II: 10% plágio e falta a tabela PCC III: 26% plágio e falta a entrevista PCC IV: falta a tabela //Júnio: aprovada: 04/01/24</v>
      </c>
      <c r="B2317" s="93"/>
    </row>
    <row r="2318">
      <c r="A2318" s="384" t="str">
        <f>IFERROR(__xludf.DUMMYFUNCTION("""COMPUTED_VALUE"""),"Letícia Luzia Mendes | Letras Inglês | Aprovada  | Alexsiane:especificar nas  fichas o tipo de acompanhamento e o tema e corrigir a carga horaria diaria// Alexsiane: aprovada com lançamento no Jacad // Pamela 23/12/22 Conferido e arquivado. ")</f>
        <v>Letícia Luzia Mendes | Letras Inglês | Aprovada  | Alexsiane:especificar nas  fichas o tipo de acompanhamento e o tema e corrigir a carga horaria diaria// Alexsiane: aprovada com lançamento no Jacad // Pamela 23/12/22 Conferido e arquivado. </v>
      </c>
      <c r="B2318" s="93"/>
    </row>
    <row r="2319">
      <c r="A2319" s="384" t="str">
        <f>IFERROR(__xludf.DUMMYFUNCTION("""COMPUTED_VALUE"""),"Letícia Mary Barros Da Silva | Artes Visuais | aprovada | Bianca: aprovada nas 4 etapas")</f>
        <v>Letícia Mary Barros Da Silva | Artes Visuais | aprovada | Bianca: aprovada nas 4 etapas</v>
      </c>
      <c r="B2319" s="93"/>
    </row>
    <row r="2320">
      <c r="A2320" s="384" t="str">
        <f>IFERROR(__xludf.DUMMYFUNCTION("""COMPUTED_VALUE"""),"Letícia Rodrigues De Souza | Letras Português Espanhol | Aprovada | Júnio: Remoto atualizado -  falta carta de apresentação e termo de conclusão, autorizada a recolher assinaturas das fichas de registro //Júnio: aprovada: 14/11/2023")</f>
        <v>Letícia Rodrigues De Souza | Letras Português Espanhol | Aprovada | Júnio: Remoto atualizado -  falta carta de apresentação e termo de conclusão, autorizada a recolher assinaturas das fichas de registro //Júnio: aprovada: 14/11/2023</v>
      </c>
      <c r="B2320" s="93"/>
    </row>
    <row r="2321">
      <c r="A2321" s="384" t="str">
        <f>IFERROR(__xludf.DUMMYFUNCTION("""COMPUTED_VALUE"""),"Letícia Rodrigues Teixeira Aguiar De Sá | Pedagogia | Aprovada | Bianca: Autorizada a recolher assinaturas //Júnio: conferido e arquivado: 26/11//21")</f>
        <v>Letícia Rodrigues Teixeira Aguiar De Sá | Pedagogia | Aprovada | Bianca: Autorizada a recolher assinaturas //Júnio: conferido e arquivado: 26/11//21</v>
      </c>
      <c r="B2321" s="93"/>
    </row>
    <row r="2322">
      <c r="A2322" s="384" t="str">
        <f>IFERROR(__xludf.DUMMYFUNCTION("""COMPUTED_VALUE"""),"Leticia Santos Da Fontoura | Pedagogia | Aprovada | Alexsiane: Pré-aprovada no padrão com lançamento no Sponte  //Júnio: físico, conferido e arquivado: 27/07/22")</f>
        <v>Leticia Santos Da Fontoura | Pedagogia | Aprovada | Alexsiane: Pré-aprovada no padrão com lançamento no Sponte  //Júnio: físico, conferido e arquivado: 27/07/22</v>
      </c>
      <c r="B2322" s="93"/>
    </row>
    <row r="2323">
      <c r="A2323" s="384" t="str">
        <f>IFERROR(__xludf.DUMMYFUNCTION("""COMPUTED_VALUE"""),"Letícia Silveira | Ed. Física | Em análise | Bárbara: 17% de plágio nos planos, apresentou planos com várias metodologias, pedi que dividisse para totalizar a quantidade pedida.")</f>
        <v>Letícia Silveira | Ed. Física | Em análise | Bárbara: 17% de plágio nos planos, apresentou planos com várias metodologias, pedi que dividisse para totalizar a quantidade pedida.</v>
      </c>
      <c r="B2323" s="93"/>
    </row>
    <row r="2324">
      <c r="A2324" s="384" t="str">
        <f>IFERROR(__xludf.DUMMYFUNCTION("""COMPUTED_VALUE"""),"Letícia Souza Silva Teixeira | Artes Visuais | Aprovada | Alexsiane: falta somente um plano de aula, restante ok /// Edilaine: Pré-aprovada 07/02/2023 //// Edilaine: Aprovada 27/02/2023")</f>
        <v>Letícia Souza Silva Teixeira | Artes Visuais | Aprovada | Alexsiane: falta somente um plano de aula, restante ok /// Edilaine: Pré-aprovada 07/02/2023 //// Edilaine: Aprovada 27/02/2023</v>
      </c>
      <c r="B2324" s="93"/>
    </row>
    <row r="2325">
      <c r="A2325" s="384" t="str">
        <f>IFERROR(__xludf.DUMMYFUNCTION("""COMPUTED_VALUE"""),"Letícia Trambini Corrêa | Psicopedagogia Institucional, Clínica E Educação Infantil | Aprovado | Júnio: aluna encaminhou trabalho com orientações referente ao remoto antigo de licenciatura, não encontramos orientações referentes ao remoto antigo encaminha"&amp;"das a ela, desse modo conforme análise da tutoria as etapas dela já feitas serão mantidas. Ela fez 3 primeiras etapas, desse modo para a 4ª etapa dela será cobrado a descrição de um estudo de caso.// Alexsiane: aprovado com lançamento no sponte")</f>
        <v>Letícia Trambini Corrêa | Psicopedagogia Institucional, Clínica E Educação Infantil | Aprovado | Júnio: aluna encaminhou trabalho com orientações referente ao remoto antigo de licenciatura, não encontramos orientações referentes ao remoto antigo encaminhadas a ela, desse modo conforme análise da tutoria as etapas dela já feitas serão mantidas. Ela fez 3 primeiras etapas, desse modo para a 4ª etapa dela será cobrado a descrição de um estudo de caso.// Alexsiane: aprovado com lançamento no sponte</v>
      </c>
      <c r="B2325" s="93"/>
    </row>
    <row r="2326">
      <c r="A2326" s="384" t="str">
        <f>IFERROR(__xludf.DUMMYFUNCTION("""COMPUTED_VALUE"""),"Letícia Vilaça Rocha |  | Aprovado | Mandei enviar pelo correio (10/12). Faltam assinaturas para o envio digital definitivo.")</f>
        <v>Letícia Vilaça Rocha |  | Aprovado | Mandei enviar pelo correio (10/12). Faltam assinaturas para o envio digital definitivo.</v>
      </c>
      <c r="B2326" s="93"/>
    </row>
    <row r="2327">
      <c r="A2327" s="384" t="str">
        <f>IFERROR(__xludf.DUMMYFUNCTION("""COMPUTED_VALUE"""),"Letícia Von Stein Gonçalves | Pedagogia | Aprovado | Bianca: enviou apenas 1 plano de aula , realizando TCE Remoto Atualizado  //Júnio: aprovada: 12/05/22")</f>
        <v>Letícia Von Stein Gonçalves | Pedagogia | Aprovado | Bianca: enviou apenas 1 plano de aula , realizando TCE Remoto Atualizado  //Júnio: aprovada: 12/05/22</v>
      </c>
      <c r="B2327" s="93"/>
    </row>
    <row r="2328">
      <c r="A2328" s="384" t="str">
        <f>IFERROR(__xludf.DUMMYFUNCTION("""COMPUTED_VALUE"""),"Leticy Araújo Andrade | Artes Visuais | Aprovada | Júnio: PP - 22% plágio e falta responder questionário PRAZO: 28/08/23 //Júnio: aprovada: 21/11/23")</f>
        <v>Leticy Araújo Andrade | Artes Visuais | Aprovada | Júnio: PP - 22% plágio e falta responder questionário PRAZO: 28/08/23 //Júnio: aprovada: 21/11/23</v>
      </c>
      <c r="B2328" s="93"/>
    </row>
    <row r="2329">
      <c r="A2329" s="384" t="str">
        <f>IFERROR(__xludf.DUMMYFUNCTION("""COMPUTED_VALUE"""),"Leusia Flávia Pires Romano | Pedagogia | Aprovada | Aline Silva: tapar o rosto das crianças, inserir capa e contracapa, e recolher as assinaturas.// Aline: aprovado 05/10/2020// Bárbara: conferido e arquivado 03/11/2020")</f>
        <v>Leusia Flávia Pires Romano | Pedagogia | Aprovada | Aline Silva: tapar o rosto das crianças, inserir capa e contracapa, e recolher as assinaturas.// Aline: aprovado 05/10/2020// Bárbara: conferido e arquivado 03/11/2020</v>
      </c>
      <c r="B2329" s="93"/>
    </row>
    <row r="2330">
      <c r="A2330" s="384" t="str">
        <f>IFERROR(__xludf.DUMMYFUNCTION("""COMPUTED_VALUE"""),"Leverton Moreira De Menezes | Pedagogia | Aprovado | Aline Silva: aprovado, falta recolher assinaturas// Bárbara: conferido e arquivado")</f>
        <v>Leverton Moreira De Menezes | Pedagogia | Aprovado | Aline Silva: aprovado, falta recolher assinaturas// Bárbara: conferido e arquivado</v>
      </c>
      <c r="B2330" s="93"/>
    </row>
    <row r="2331">
      <c r="A2331" s="384" t="str">
        <f>IFERROR(__xludf.DUMMYFUNCTION("""COMPUTED_VALUE"""),"Lia Beatriz Mesquita Costa | Neuropsicologia Clínica | Aprovada | Júnio: pré aprovada  //Júnio: físico, conferido e arquivado: 06/10/22")</f>
        <v>Lia Beatriz Mesquita Costa | Neuropsicologia Clínica | Aprovada | Júnio: pré aprovada  //Júnio: físico, conferido e arquivado: 06/10/22</v>
      </c>
      <c r="B2331" s="93"/>
    </row>
    <row r="2332">
      <c r="A2332" s="384" t="str">
        <f>IFERROR(__xludf.DUMMYFUNCTION("""COMPUTED_VALUE"""),"Liana Lemos De Oliveira | Neuropsicopedagogia Institucional, Clínica E Hospitalar | aprovada | Alexsiane: falta encaminhar o termo de conclusão, carta de apresentação e as fichas de registro 14/11/2022 para reenviar // Edilaine: Pré aprovada 21/12/2022//A"&amp;"lexsiane: aprovada com lançamento no sponte")</f>
        <v>Liana Lemos De Oliveira | Neuropsicopedagogia Institucional, Clínica E Hospitalar | aprovada | Alexsiane: falta encaminhar o termo de conclusão, carta de apresentação e as fichas de registro 14/11/2022 para reenviar // Edilaine: Pré aprovada 21/12/2022//Alexsiane: aprovada com lançamento no sponte</v>
      </c>
      <c r="B2332" s="93"/>
    </row>
    <row r="2333">
      <c r="A2333" s="384" t="str">
        <f>IFERROR(__xludf.DUMMYFUNCTION("""COMPUTED_VALUE"""),"Libiane Cristine Barroso | Artes Visuais | Em análise | Júnio: algumas fichas com corretivo precisará refazer e após poderá recolher assinaturas de todas as fichas.")</f>
        <v>Libiane Cristine Barroso | Artes Visuais | Em análise | Júnio: algumas fichas com corretivo precisará refazer e após poderá recolher assinaturas de todas as fichas.</v>
      </c>
      <c r="B2333" s="93"/>
    </row>
    <row r="2334">
      <c r="A2334" s="384" t="str">
        <f>IFERROR(__xludf.DUMMYFUNCTION("""COMPUTED_VALUE"""),"Liciane Aparecida Luiza Anjos Da Rosa | Neuropsicologia Clínica | Aprovada | Júnio: pré aprovada PRAZO: 11/09/23 //Júnio: aprovada: 26/09/23")</f>
        <v>Liciane Aparecida Luiza Anjos Da Rosa | Neuropsicologia Clínica | Aprovada | Júnio: pré aprovada PRAZO: 11/09/23 //Júnio: aprovada: 26/09/23</v>
      </c>
      <c r="B2334" s="93"/>
    </row>
    <row r="2335">
      <c r="A2335" s="384" t="str">
        <f>IFERROR(__xludf.DUMMYFUNCTION("""COMPUTED_VALUE"""),"Lídia Costa | Pedagogia Sl | Aprovada | Alexsiane: pré aprovado com lançamento no aponte // Pamela 01/02/2023 Conferido e arquivado")</f>
        <v>Lídia Costa | Pedagogia Sl | Aprovada | Alexsiane: pré aprovado com lançamento no aponte // Pamela 01/02/2023 Conferido e arquivado</v>
      </c>
      <c r="B2335" s="93"/>
    </row>
    <row r="2336">
      <c r="A2336" s="384" t="str">
        <f>IFERROR(__xludf.DUMMYFUNCTION("""COMPUTED_VALUE"""),"Lidia Cristina Dornelas Braga | Pedagogia | Em análise | Aline: fichas sem descrição de atividades")</f>
        <v>Lidia Cristina Dornelas Braga | Pedagogia | Em análise | Aline: fichas sem descrição de atividades</v>
      </c>
      <c r="B2336" s="93"/>
    </row>
    <row r="2337">
      <c r="A2337" s="384" t="str">
        <f>IFERROR(__xludf.DUMMYFUNCTION("""COMPUTED_VALUE"""),"Lídia Cristina Dornelas Braga | Pedagogia | Aprovada | Bárbara: aprovada, solicitei o envio físico // Bárbara: conferido e arquivado 20/04/2021")</f>
        <v>Lídia Cristina Dornelas Braga | Pedagogia | Aprovada | Bárbara: aprovada, solicitei o envio físico // Bárbara: conferido e arquivado 20/04/2021</v>
      </c>
      <c r="B2337" s="93"/>
    </row>
    <row r="2338">
      <c r="A2338" s="384" t="str">
        <f>IFERROR(__xludf.DUMMYFUNCTION("""COMPUTED_VALUE"""),"Lidia Santos Pereira | Pedagogia | Aprovada | Alexsiane: tem que enviar o trabalho digitado//Alexsiane: pp aprovado 09/08")</f>
        <v>Lidia Santos Pereira | Pedagogia | Aprovada | Alexsiane: tem que enviar o trabalho digitado//Alexsiane: pp aprovado 09/08</v>
      </c>
      <c r="B2338" s="93"/>
    </row>
    <row r="2339">
      <c r="A2339" s="384" t="str">
        <f>IFERROR(__xludf.DUMMYFUNCTION("""COMPUTED_VALUE"""),"Lidiana Aparecida Lopes Costa | Pedagogia | Aprovada | Aline Silva: justificar texto entre as linhas, refazer referencias bibliográficas e inserir carta de apresentação e depois recolher as assinturas // Aline: aprovada 30/10/2020// Bárbara: conferido e a"&amp;"rquivado 30/11/2020")</f>
        <v>Lidiana Aparecida Lopes Costa | Pedagogia | Aprovada | Aline Silva: justificar texto entre as linhas, refazer referencias bibliográficas e inserir carta de apresentação e depois recolher as assinturas // Aline: aprovada 30/10/2020// Bárbara: conferido e arquivado 30/11/2020</v>
      </c>
      <c r="B2339" s="93"/>
    </row>
    <row r="2340">
      <c r="A2340" s="384" t="str">
        <f>IFERROR(__xludf.DUMMYFUNCTION("""COMPUTED_VALUE"""),"Lidiane Da Silva Justino Cerqueira | Pedagogia | Aprovada | Bárbara: aprovada nas 3 primeiras etapas do remoto // Bárbara: aprovada na 4ª etapa do remoto")</f>
        <v>Lidiane Da Silva Justino Cerqueira | Pedagogia | Aprovada | Bárbara: aprovada nas 3 primeiras etapas do remoto // Bárbara: aprovada na 4ª etapa do remoto</v>
      </c>
      <c r="B2340" s="93"/>
    </row>
    <row r="2341">
      <c r="A2341" s="384" t="str">
        <f>IFERROR(__xludf.DUMMYFUNCTION("""COMPUTED_VALUE"""),"Lidiane Efigenia Venâncio Garcia | Pedagogia | Aprovada | Bárbara: aprovada 1, 2 e 3, completar as fichas de registros e autorizada a recolher as assinaturas //Alexsiane: aprovado com lançamento no Sponte  //Júnio: físico recebido e arquivado: 20/06/22")</f>
        <v>Lidiane Efigenia Venâncio Garcia | Pedagogia | Aprovada | Bárbara: aprovada 1, 2 e 3, completar as fichas de registros e autorizada a recolher as assinaturas //Alexsiane: aprovado com lançamento no Sponte  //Júnio: físico recebido e arquivado: 20/06/22</v>
      </c>
      <c r="B2341" s="93"/>
    </row>
    <row r="2342">
      <c r="A2342" s="384" t="str">
        <f>IFERROR(__xludf.DUMMYFUNCTION("""COMPUTED_VALUE"""),"Lidiane Elizabeth Soares | Ciências Biologicas | Aprovado | Aprovado//Recebido no instituto dia 18/11/2019")</f>
        <v>Lidiane Elizabeth Soares | Ciências Biologicas | Aprovado | Aprovado//Recebido no instituto dia 18/11/2019</v>
      </c>
      <c r="B2342" s="93"/>
    </row>
    <row r="2343">
      <c r="A2343" s="384" t="str">
        <f>IFERROR(__xludf.DUMMYFUNCTION("""COMPUTED_VALUE"""),"Lidiane Menezes De Carvalho Pinto | Artes Visuais | Aprovada | Bárbara: apresentou declaração de experiência válida, redução de 50% da carga horária de observação e regência /// A lexsiane: Pre- aprovada com lançamento sponte// Pâmela 02/01/2023 Conferido"&amp;" e arquivado ")</f>
        <v>Lidiane Menezes De Carvalho Pinto | Artes Visuais | Aprovada | Bárbara: apresentou declaração de experiência válida, redução de 50% da carga horária de observação e regência /// A lexsiane: Pre- aprovada com lançamento sponte// Pâmela 02/01/2023 Conferido e arquivado </v>
      </c>
      <c r="B2343" s="93"/>
    </row>
    <row r="2344">
      <c r="A2344" s="384" t="str">
        <f>IFERROR(__xludf.DUMMYFUNCTION("""COMPUTED_VALUE"""),"Lidyane Vanessa Rodrigues De Lira | Pedagogia | Aprovada | Edilaine: Tem que enviar o plano de aula em word editável. Carga horária diária errada, não foi possível somar. Rasura na carta de apresentação. Tem até dia 23/03 para reenviar. //Júnio: pre aprov"&amp;"ada: 24/04/23 Júnio: aprovada: 26/04/23")</f>
        <v>Lidyane Vanessa Rodrigues De Lira | Pedagogia | Aprovada | Edilaine: Tem que enviar o plano de aula em word editável. Carga horária diária errada, não foi possível somar. Rasura na carta de apresentação. Tem até dia 23/03 para reenviar. //Júnio: pre aprovada: 24/04/23 Júnio: aprovada: 26/04/23</v>
      </c>
      <c r="B2344" s="93"/>
    </row>
    <row r="2345">
      <c r="A2345" s="384" t="str">
        <f>IFERROR(__xludf.DUMMYFUNCTION("""COMPUTED_VALUE"""),"Liene Sueli Araujo Marques | Pedagogia | Aprovado | Thiara: falta somente assinaturas e carimbos// Recebido dia 11/12/2019// Miryã: conferido e arquivado 10/03/2021")</f>
        <v>Liene Sueli Araujo Marques | Pedagogia | Aprovado | Thiara: falta somente assinaturas e carimbos// Recebido dia 11/12/2019// Miryã: conferido e arquivado 10/03/2021</v>
      </c>
      <c r="B2345" s="93"/>
    </row>
    <row r="2346">
      <c r="A2346" s="384" t="str">
        <f>IFERROR(__xludf.DUMMYFUNCTION("""COMPUTED_VALUE"""),"Ligia Dos Santos Rezende | Pedagogia | em análise | alexsiane: pp falta segunda etapa")</f>
        <v>Ligia Dos Santos Rezende | Pedagogia | em análise | alexsiane: pp falta segunda etapa</v>
      </c>
      <c r="B2346" s="93"/>
    </row>
    <row r="2347">
      <c r="A2347" s="384" t="str">
        <f>IFERROR(__xludf.DUMMYFUNCTION("""COMPUTED_VALUE"""),"Lígia Rejane Dos Santos Cunha | Neuropsicopedagogia Institucional,Clínica E Hospitalar | Aprovado | Júnio: falta anamnese, estrátegias de intervenção, nas fichas deve corrigir o total diário errado e especificar o tipo de acompanhamento. PRAZO: 16/12/23/ "&amp;"Alexsiane: aprovada no tce")</f>
        <v>Lígia Rejane Dos Santos Cunha | Neuropsicopedagogia Institucional,Clínica E Hospitalar | Aprovado | Júnio: falta anamnese, estrátegias de intervenção, nas fichas deve corrigir o total diário errado e especificar o tipo de acompanhamento. PRAZO: 16/12/23/ Alexsiane: aprovada no tce</v>
      </c>
      <c r="B2347" s="93"/>
    </row>
    <row r="2348">
      <c r="A2348" s="384" t="str">
        <f>IFERROR(__xludf.DUMMYFUNCTION("""COMPUTED_VALUE"""),"Lígia Ricci Martins Olivete | Música | Aprovada | Júnio: PP - falta carta de apresentação //Júnio: aprovada: 20/10/23")</f>
        <v>Lígia Ricci Martins Olivete | Música | Aprovada | Júnio: PP - falta carta de apresentação //Júnio: aprovada: 20/10/23</v>
      </c>
      <c r="B2348" s="93"/>
    </row>
    <row r="2349">
      <c r="A2349" s="384" t="str">
        <f>IFERROR(__xludf.DUMMYFUNCTION("""COMPUTED_VALUE"""),"Lília Aparecida Pereira Da Silva | Pedagogia | Aprovado | Estella: Enviou encadernado, número de horas decente, aprovei.")</f>
        <v>Lília Aparecida Pereira Da Silva | Pedagogia | Aprovado | Estella: Enviou encadernado, número de horas decente, aprovei.</v>
      </c>
      <c r="B2349" s="93"/>
    </row>
    <row r="2350">
      <c r="A2350" s="384" t="str">
        <f>IFERROR(__xludf.DUMMYFUNCTION("""COMPUTED_VALUE"""),"Lilian Alves De Almeida | Neuropsicopedagogia Institucional, Clínica E Hospitalar |  aprovada | Júnio: assinaturas das fichas de registro coladas//Mariana: falta autenticar o termo de oconclusão. // Alexsiane: tce aprovado 10/06/24")</f>
        <v>Lilian Alves De Almeida | Neuropsicopedagogia Institucional, Clínica E Hospitalar |  aprovada | Júnio: assinaturas das fichas de registro coladas//Mariana: falta autenticar o termo de oconclusão. // Alexsiane: tce aprovado 10/06/24</v>
      </c>
      <c r="B2350" s="93"/>
    </row>
    <row r="2351">
      <c r="A2351" s="384" t="str">
        <f>IFERROR(__xludf.DUMMYFUNCTION("""COMPUTED_VALUE"""),"Lílian Augusta Da Silva Rocha | Pedagogia | Aprovado | Aline Silva: falta ref. No plano de aula, alterar a carta de ap. para 310 hrs, falta uma atividade executada, considerações finais e ref. Do trabalho como um todo.// Refez as correções, aprovada dia 1"&amp;"3/12/2019//Aline Silva: Recebido no instituto encadernado e impresso dia 27/12/2019// Miryã: conferido e arquivado 15/03/2021")</f>
        <v>Lílian Augusta Da Silva Rocha | Pedagogia | Aprovado | Aline Silva: falta ref. No plano de aula, alterar a carta de ap. para 310 hrs, falta uma atividade executada, considerações finais e ref. Do trabalho como um todo.// Refez as correções, aprovada dia 13/12/2019//Aline Silva: Recebido no instituto encadernado e impresso dia 27/12/2019// Miryã: conferido e arquivado 15/03/2021</v>
      </c>
      <c r="B2351" s="93"/>
    </row>
    <row r="2352">
      <c r="A2352" s="384" t="str">
        <f>IFERROR(__xludf.DUMMYFUNCTION("""COMPUTED_VALUE"""),"Lilian Cristina De Oliveira Loli | Artes Visuais | Aprovado | Alexsiane: Aprovado nas etapas 1,2 e3 falta etapa 4 do remoto antigo//Aprovada na quarta etapa do remoto antigo(vídeo)")</f>
        <v>Lilian Cristina De Oliveira Loli | Artes Visuais | Aprovado | Alexsiane: Aprovado nas etapas 1,2 e3 falta etapa 4 do remoto antigo//Aprovada na quarta etapa do remoto antigo(vídeo)</v>
      </c>
      <c r="B2352" s="93"/>
    </row>
    <row r="2353">
      <c r="A2353" s="384" t="str">
        <f>IFERROR(__xludf.DUMMYFUNCTION("""COMPUTED_VALUE"""),"Lilian Cristina Santa Rosa | Geografia | Aprovada | Alexsiane: plágio em varios links, falta especificar nas fichas de registro o tema e a serie e complementar com mais 5 horas total as fichas 29/10 para reenviar //Júnio: aprovada: 25/09/23")</f>
        <v>Lilian Cristina Santa Rosa | Geografia | Aprovada | Alexsiane: plágio em varios links, falta especificar nas fichas de registro o tema e a serie e complementar com mais 5 horas total as fichas 29/10 para reenviar //Júnio: aprovada: 25/09/23</v>
      </c>
      <c r="B2353" s="93"/>
    </row>
    <row r="2354">
      <c r="A2354" s="384" t="str">
        <f>IFERROR(__xludf.DUMMYFUNCTION("""COMPUTED_VALUE"""),"Lílian Gomes Santos Evangelista | Geografia | Aprovada | Ana Flávia: planos de aula incompletos // Bárbara: aprovada 18/01/2021// Bárbara:conferido e arquivado 17/05/2021")</f>
        <v>Lílian Gomes Santos Evangelista | Geografia | Aprovada | Ana Flávia: planos de aula incompletos // Bárbara: aprovada 18/01/2021// Bárbara:conferido e arquivado 17/05/2021</v>
      </c>
      <c r="B2354" s="93"/>
    </row>
    <row r="2355">
      <c r="A2355" s="384" t="str">
        <f>IFERROR(__xludf.DUMMYFUNCTION("""COMPUTED_VALUE"""),"Lilian Graciela Moreira | Educação Física | Aprovada | Júnio: PP - falta responder o questionário. //Júnio: PP aprovada 09/11/23")</f>
        <v>Lilian Graciela Moreira | Educação Física | Aprovada | Júnio: PP - falta responder o questionário. //Júnio: PP aprovada 09/11/23</v>
      </c>
      <c r="B2355" s="93"/>
    </row>
    <row r="2356">
      <c r="A2356" s="384" t="str">
        <f>IFERROR(__xludf.DUMMYFUNCTION("""COMPUTED_VALUE"""),"Lilian Keller Silva De Oliveira | Psicopedagogia Clínica, Ins, E Hos | Aprovada | Bianca: autorizada a recolher assinatura// Bárbara: conferido e arquivado 01/06/2021")</f>
        <v>Lilian Keller Silva De Oliveira | Psicopedagogia Clínica, Ins, E Hos | Aprovada | Bianca: autorizada a recolher assinatura// Bárbara: conferido e arquivado 01/06/2021</v>
      </c>
      <c r="B2356" s="93"/>
    </row>
    <row r="2357">
      <c r="A2357" s="384" t="str">
        <f>IFERROR(__xludf.DUMMYFUNCTION("""COMPUTED_VALUE"""),"Lílian Melo Carneiro | Pedagogia | Aprovada | Bárbara: 10 planos de aula completos em plágio. //Bárbara: aprovada 4ª etapa 14/04/21")</f>
        <v>Lílian Melo Carneiro | Pedagogia | Aprovada | Bárbara: 10 planos de aula completos em plágio. //Bárbara: aprovada 4ª etapa 14/04/21</v>
      </c>
      <c r="B2357" s="93"/>
    </row>
    <row r="2358">
      <c r="A2358" s="384" t="str">
        <f>IFERROR(__xludf.DUMMYFUNCTION("""COMPUTED_VALUE"""),"Lilian Nunes De Oliveira | Pedagogia | Aprovada | Alexsiane: aprovado com lançamento no sponte")</f>
        <v>Lilian Nunes De Oliveira | Pedagogia | Aprovada | Alexsiane: aprovado com lançamento no sponte</v>
      </c>
      <c r="B2358" s="93"/>
    </row>
    <row r="2359">
      <c r="A2359" s="384" t="str">
        <f>IFERROR(__xludf.DUMMYFUNCTION("""COMPUTED_VALUE"""),"Lilian Pereira Hussar | Música | Aprovada | Júnio: pré aprovada //Júnio: aprovada: 16/08/23")</f>
        <v>Lilian Pereira Hussar | Música | Aprovada | Júnio: pré aprovada //Júnio: aprovada: 16/08/23</v>
      </c>
      <c r="B2359" s="93"/>
    </row>
    <row r="2360">
      <c r="A2360" s="384" t="str">
        <f>IFERROR(__xludf.DUMMYFUNCTION("""COMPUTED_VALUE"""),"Lílian Ribeiro Paulino De Oliveira | Pedagogia | Em análise | Alexsiane: ficha do dia 14/03-05/04 tem que colocar o tema e a serie e corrigir as rasuras; ficha do dia 06/04-27/04 especificar o acompanhamento e serie; ficha do dis 28/04-10/05 corrigir as r"&amp;"asuras e colocar o tema e fazer p relatório de observação e regência separados. encaminhar também a carta de apesentação e o termo")</f>
        <v>Lílian Ribeiro Paulino De Oliveira | Pedagogia | Em análise | Alexsiane: ficha do dia 14/03-05/04 tem que colocar o tema e a serie e corrigir as rasuras; ficha do dia 06/04-27/04 especificar o acompanhamento e serie; ficha do dis 28/04-10/05 corrigir as rasuras e colocar o tema e fazer p relatório de observação e regência separados. encaminhar também a carta de apesentação e o termo</v>
      </c>
      <c r="B2360" s="93"/>
    </row>
    <row r="2361">
      <c r="A2361" s="384" t="str">
        <f>IFERROR(__xludf.DUMMYFUNCTION("""COMPUTED_VALUE"""),"Liliane Cordeiro Dos Reis | Letras Port | Aprovada | Bárbara: aprovada nas 3 primeiras etapas, aguardando o agendamento da 4 etapa. // Bárbara: aprovada 4etapa 25/11/2020// Bárbara: conferido e arquivado 22/12/2020")</f>
        <v>Liliane Cordeiro Dos Reis | Letras Port | Aprovada | Bárbara: aprovada nas 3 primeiras etapas, aguardando o agendamento da 4 etapa. // Bárbara: aprovada 4etapa 25/11/2020// Bárbara: conferido e arquivado 22/12/2020</v>
      </c>
      <c r="B2361" s="93"/>
    </row>
    <row r="2362">
      <c r="A2362" s="384" t="str">
        <f>IFERROR(__xludf.DUMMYFUNCTION("""COMPUTED_VALUE"""),"Liliane De Paula Sérgio Santos | Neuropsicopedagogia Inst. Clínica E Hospitalar | Aprovada | Júnio: vários dias nas fichas de registro inválidos, precisa lançar de forma diária por linhas separadas sem ultrapassar o limite de 6 horas diárias PRAZO: 15/01/"&amp;"24// Alexsiane: estágio aprovado 09/02")</f>
        <v>Liliane De Paula Sérgio Santos | Neuropsicopedagogia Inst. Clínica E Hospitalar | Aprovada | Júnio: vários dias nas fichas de registro inválidos, precisa lançar de forma diária por linhas separadas sem ultrapassar o limite de 6 horas diárias PRAZO: 15/01/24// Alexsiane: estágio aprovado 09/02</v>
      </c>
      <c r="B2362" s="93"/>
    </row>
    <row r="2363">
      <c r="A2363" s="384" t="str">
        <f>IFERROR(__xludf.DUMMYFUNCTION("""COMPUTED_VALUE"""),"Liliane Freitas Nunes | Artes Visuais | Aprovada | Bárbara: aprovada nas 3 primeiras etapa //Amélia: apresentou declaração de experiência válida, aprovada 12/02/2021// Bárbara: conferido e arquivado 11/02/2021")</f>
        <v>Liliane Freitas Nunes | Artes Visuais | Aprovada | Bárbara: aprovada nas 3 primeiras etapa //Amélia: apresentou declaração de experiência válida, aprovada 12/02/2021// Bárbara: conferido e arquivado 11/02/2021</v>
      </c>
      <c r="B2363" s="93"/>
    </row>
    <row r="2364">
      <c r="A2364" s="384" t="str">
        <f>IFERROR(__xludf.DUMMYFUNCTION("""COMPUTED_VALUE"""),"Liliane Monteiro De Rosa | Formação Pedagógica Em Pedagogia | Aprovado | Rayssa PP Pesquisa sem resposta//Alexsiane: pp aprovado")</f>
        <v>Liliane Monteiro De Rosa | Formação Pedagógica Em Pedagogia | Aprovado | Rayssa PP Pesquisa sem resposta//Alexsiane: pp aprovado</v>
      </c>
      <c r="B2364" s="93"/>
    </row>
    <row r="2365">
      <c r="A2365" s="384" t="str">
        <f>IFERROR(__xludf.DUMMYFUNCTION("""COMPUTED_VALUE"""),"Liliany Maria Leite De Silva | Artes Visuais |  | APROVADO, 23/07.//")</f>
        <v>Liliany Maria Leite De Silva | Artes Visuais |  | APROVADO, 23/07.//</v>
      </c>
      <c r="B2365" s="93"/>
    </row>
    <row r="2366">
      <c r="A2366" s="384" t="str">
        <f>IFERROR(__xludf.DUMMYFUNCTION("""COMPUTED_VALUE"""),"Liliany Ursulo | Pedagogia | Aprovada | Júnio: PP - falta responder o questionário. //Júnio: aprovada: 06/11/23")</f>
        <v>Liliany Ursulo | Pedagogia | Aprovada | Júnio: PP - falta responder o questionário. //Júnio: aprovada: 06/11/23</v>
      </c>
      <c r="B2366" s="93"/>
    </row>
    <row r="2367">
      <c r="A2367" s="384" t="str">
        <f>IFERROR(__xludf.DUMMYFUNCTION("""COMPUTED_VALUE"""),"Líncio Júnior Assunção Nogueira | Educação Especial | Aprovado | Júnio: inicio do curso em 29/04/23,reenviar em 29/10/23 //Júnio: PP aprovado 31/10/23")</f>
        <v>Líncio Júnior Assunção Nogueira | Educação Especial | Aprovado | Júnio: inicio do curso em 29/04/23,reenviar em 29/10/23 //Júnio: PP aprovado 31/10/23</v>
      </c>
      <c r="B2367" s="93"/>
    </row>
    <row r="2368">
      <c r="A2368" s="384" t="str">
        <f>IFERROR(__xludf.DUMMYFUNCTION("""COMPUTED_VALUE"""),"Lincoln Luiz Martins | Geografia | aprovado | Alexsiane: encaminhar o plano de aula em word digitado, termo de conclusão no nosso modelo e encaminhar a carta de apresentação 20/02 reenviar LEMBRETE: aluno explicou do recesso de carnaval que vai ter no Rio"&amp;" e as escolas vao fechar, e talvez não vai conseguir a tempo recolher assinatura,  com isso se ele encaminhar até a quarta feira de cinzas pode aceitar //// Edilaine: Pré- aprovado, autorizado a autenticar 24/02/2023// Açexsiane: aprovado com lançamento n"&amp;"o sponte 27/03/2023")</f>
        <v>Lincoln Luiz Martins | Geografia | aprovado | Alexsiane: encaminhar o plano de aula em word digitado, termo de conclusão no nosso modelo e encaminhar a carta de apresentação 20/02 reenviar LEMBRETE: aluno explicou do recesso de carnaval que vai ter no Rio e as escolas vao fechar, e talvez não vai conseguir a tempo recolher assinatura,  com isso se ele encaminhar até a quarta feira de cinzas pode aceitar //// Edilaine: Pré- aprovado, autorizado a autenticar 24/02/2023// Açexsiane: aprovado com lançamento no sponte 27/03/2023</v>
      </c>
      <c r="B2368" s="93"/>
    </row>
    <row r="2369">
      <c r="A2369" s="384" t="str">
        <f>IFERROR(__xludf.DUMMYFUNCTION("""COMPUTED_VALUE"""),"Lindaura Macedo Da Silva | Pedagogia | Aprovada | Aline Silva: declaração de experiência foi aceita.// Bárbara: aprovada 10/11/2020")</f>
        <v>Lindaura Macedo Da Silva | Pedagogia | Aprovada | Aline Silva: declaração de experiência foi aceita.// Bárbara: aprovada 10/11/2020</v>
      </c>
      <c r="B2369" s="93"/>
    </row>
    <row r="2370">
      <c r="A2370" s="384" t="str">
        <f>IFERROR(__xludf.DUMMYFUNCTION("""COMPUTED_VALUE"""),"Lindaura Oliveira Souza | Letras - Português-Inglês | Aprovada | Bianca: Aprovada nas 3 primeiras etapas Bianca: aprovada 15/04/21")</f>
        <v>Lindaura Oliveira Souza | Letras - Português-Inglês | Aprovada | Bianca: Aprovada nas 3 primeiras etapas Bianca: aprovada 15/04/21</v>
      </c>
      <c r="B2370" s="93"/>
    </row>
    <row r="2371">
      <c r="A2371" s="384" t="str">
        <f>IFERROR(__xludf.DUMMYFUNCTION("""COMPUTED_VALUE"""),"Lindendorf Gréggio Neto | Letras Português | Aprovado | Júnio: estágio aprovado")</f>
        <v>Lindendorf Gréggio Neto | Letras Português | Aprovado | Júnio: estágio aprovado</v>
      </c>
      <c r="B2371" s="93"/>
    </row>
    <row r="2372">
      <c r="A2372" s="384" t="str">
        <f>IFERROR(__xludf.DUMMYFUNCTION("""COMPUTED_VALUE"""),"Lindonjonhson Romualdo De França Lima | Música | Aprovado | Júnio: falta a carta de apresentação. //Júnio: aprovado: 09/11/2023")</f>
        <v>Lindonjonhson Romualdo De França Lima | Música | Aprovado | Júnio: falta a carta de apresentação. //Júnio: aprovado: 09/11/2023</v>
      </c>
      <c r="B2372" s="93"/>
    </row>
    <row r="2373">
      <c r="A2373" s="384" t="str">
        <f>IFERROR(__xludf.DUMMYFUNCTION("""COMPUTED_VALUE"""),"Lisandra Assunção Jorge | 2ª Licenciatura Em Educação Física | Aprovado | Cris: PP aprovado")</f>
        <v>Lisandra Assunção Jorge | 2ª Licenciatura Em Educação Física | Aprovado | Cris: PP aprovado</v>
      </c>
      <c r="B2373" s="93"/>
    </row>
    <row r="2374">
      <c r="A2374" s="384" t="str">
        <f>IFERROR(__xludf.DUMMYFUNCTION("""COMPUTED_VALUE"""),"Lisiane Dias Dos Santos | Pedagogia | Em análise | Sandra : Falta carta de apresentação termo de conclusão, ficha de registro de atividade prazo ate 20/10/2022")</f>
        <v>Lisiane Dias Dos Santos | Pedagogia | Em análise | Sandra : Falta carta de apresentação termo de conclusão, ficha de registro de atividade prazo ate 20/10/2022</v>
      </c>
      <c r="B2374" s="93"/>
    </row>
    <row r="2375">
      <c r="A2375" s="384" t="str">
        <f>IFERROR(__xludf.DUMMYFUNCTION("""COMPUTED_VALUE"""),"Lisione De Oliveira Lima | Pedagogia | Aprovada  | Lucas: Aprovada nas 3 primeiras etapas do remoto antigo // Bárbara: Aprovada com lançamento no sponte 17/06/22")</f>
        <v>Lisione De Oliveira Lima | Pedagogia | Aprovada  | Lucas: Aprovada nas 3 primeiras etapas do remoto antigo // Bárbara: Aprovada com lançamento no sponte 17/06/22</v>
      </c>
      <c r="B2375" s="93"/>
    </row>
    <row r="2376">
      <c r="A2376" s="384" t="str">
        <f>IFERROR(__xludf.DUMMYFUNCTION("""COMPUTED_VALUE"""),"Lisly Handrea Rodrigues | História | F | Alexsiane:falta resumo,etapa  3 e etapa 4 falta carta de apresentação até dia 16/07/2022 para REENVIAR/// Alexsiane: pré aprovado com lançamento no sponte // Pâmela 16/11/2022 Conferido e arquivado. ")</f>
        <v>Lisly Handrea Rodrigues | História | F | Alexsiane:falta resumo,etapa  3 e etapa 4 falta carta de apresentação até dia 16/07/2022 para REENVIAR/// Alexsiane: pré aprovado com lançamento no sponte // Pâmela 16/11/2022 Conferido e arquivado. </v>
      </c>
      <c r="B2376" s="93"/>
    </row>
    <row r="2377">
      <c r="A2377" s="384" t="str">
        <f>IFERROR(__xludf.DUMMYFUNCTION("""COMPUTED_VALUE"""),"Lisly Handrea Rodrigues | Pedagogia | Em análise | Aline Silva: Falta recolher assinaturas e carimbos e especificar o cargo de quem assina nas fichas do estágio.")</f>
        <v>Lisly Handrea Rodrigues | Pedagogia | Em análise | Aline Silva: Falta recolher assinaturas e carimbos e especificar o cargo de quem assina nas fichas do estágio.</v>
      </c>
      <c r="B2377" s="93"/>
    </row>
    <row r="2378">
      <c r="A2378" s="384" t="str">
        <f>IFERROR(__xludf.DUMMYFUNCTION("""COMPUTED_VALUE"""),"Lívia Morais Figuereido | Pedagogia | Aprovada | Bianca: apenas declaração de experiência //Júnio: aprovada:20/12/21 //Júnio: conferida e arquivada: 18/04/22")</f>
        <v>Lívia Morais Figuereido | Pedagogia | Aprovada | Bianca: apenas declaração de experiência //Júnio: aprovada:20/12/21 //Júnio: conferida e arquivada: 18/04/22</v>
      </c>
      <c r="B2378" s="93"/>
    </row>
    <row r="2379">
      <c r="A2379" s="384" t="str">
        <f>IFERROR(__xludf.DUMMYFUNCTION("""COMPUTED_VALUE"""),"Lívia Parreira Borges Da Silva | Pedagogia | Aprovada | Bianca: aprovada nas 4 etapas do antigo")</f>
        <v>Lívia Parreira Borges Da Silva | Pedagogia | Aprovada | Bianca: aprovada nas 4 etapas do antigo</v>
      </c>
      <c r="B2379" s="93"/>
    </row>
    <row r="2380">
      <c r="A2380" s="384" t="str">
        <f>IFERROR(__xludf.DUMMYFUNCTION("""COMPUTED_VALUE"""),"Livia Poliana Veloso | Letras Port/Ing | Aprovado | Plágio, número insuficiente de horas e documento incompleto. (Estella, 26/10/2018) Recebido 21/11")</f>
        <v>Livia Poliana Veloso | Letras Port/Ing | Aprovado | Plágio, número insuficiente de horas e documento incompleto. (Estella, 26/10/2018) Recebido 21/11</v>
      </c>
      <c r="B2380" s="93"/>
    </row>
    <row r="2381">
      <c r="A2381" s="384" t="str">
        <f>IFERROR(__xludf.DUMMYFUNCTION("""COMPUTED_VALUE"""),"Liziane Borges Fagundes | Pedagogia | aprovada | Júnio: padrão - pré-aprovada //Júnio: físico conferido e arquivado: 30/09/22")</f>
        <v>Liziane Borges Fagundes | Pedagogia | aprovada | Júnio: padrão - pré-aprovada //Júnio: físico conferido e arquivado: 30/09/22</v>
      </c>
      <c r="B2381" s="93"/>
    </row>
    <row r="2382">
      <c r="A2382" s="384" t="str">
        <f>IFERROR(__xludf.DUMMYFUNCTION("""COMPUTED_VALUE"""),"Liziane Kartabil Schubert | Neuropsicopedagogia Instittucional Clínica E Hospitalar | Aprovada | Júnio: aprovada ")</f>
        <v>Liziane Kartabil Schubert | Neuropsicopedagogia Instittucional Clínica E Hospitalar | Aprovada | Júnio: aprovada </v>
      </c>
      <c r="B2382" s="93"/>
    </row>
    <row r="2383">
      <c r="A2383" s="384" t="str">
        <f>IFERROR(__xludf.DUMMYFUNCTION("""COMPUTED_VALUE"""),"Liziane Kartabil Schubert | Letras – Português E Espanhol | Aprovada | Alexsiane: tem que encaminhar o trabalgo digitado. //Alexsiane: pp aprovado 12/08")</f>
        <v>Liziane Kartabil Schubert | Letras – Português E Espanhol | Aprovada | Alexsiane: tem que encaminhar o trabalgo digitado. //Alexsiane: pp aprovado 12/08</v>
      </c>
      <c r="B2383" s="93"/>
    </row>
    <row r="2384">
      <c r="A2384" s="384" t="str">
        <f>IFERROR(__xludf.DUMMYFUNCTION("""COMPUTED_VALUE"""),"Loren Alessandra Silva | Pedagogia | Aprovada | Alexsiane: corrigir os planos de aula iguais, falta 152 horas na fichas, especificar o tipo de acompanhamento em todods os campos, a serie e preencher o termo de conclusão e carta de apresentação.// Alexsian"&amp;"e: pre aprovado, autorizado a autenticar //Júnio: aprovada: 18/05/23")</f>
        <v>Loren Alessandra Silva | Pedagogia | Aprovada | Alexsiane: corrigir os planos de aula iguais, falta 152 horas na fichas, especificar o tipo de acompanhamento em todods os campos, a serie e preencher o termo de conclusão e carta de apresentação.// Alexsiane: pre aprovado, autorizado a autenticar //Júnio: aprovada: 18/05/23</v>
      </c>
      <c r="B2384" s="93"/>
    </row>
    <row r="2385">
      <c r="A2385" s="384" t="str">
        <f>IFERROR(__xludf.DUMMYFUNCTION("""COMPUTED_VALUE"""),"Lorena De Paula Campos | Letras Português | Aprovada | Bárbara: aprovada nas etapas 1, 2 e 3. Aguardando o agendamento da 4ª etapa. // Bárbara: aprovada 4ª etapa 30/10/2020")</f>
        <v>Lorena De Paula Campos | Letras Português | Aprovada | Bárbara: aprovada nas etapas 1, 2 e 3. Aguardando o agendamento da 4ª etapa. // Bárbara: aprovada 4ª etapa 30/10/2020</v>
      </c>
      <c r="B2385" s="93"/>
    </row>
    <row r="2386">
      <c r="A2386" s="384" t="str">
        <f>IFERROR(__xludf.DUMMYFUNCTION("""COMPUTED_VALUE"""),"Lorraine Assis Brandão Pinho | Artes Visuais | Aprovada | Bianca: aprovada nas 4 etapas do remoto")</f>
        <v>Lorraine Assis Brandão Pinho | Artes Visuais | Aprovada | Bianca: aprovada nas 4 etapas do remoto</v>
      </c>
      <c r="B2386" s="93"/>
    </row>
    <row r="2387">
      <c r="A2387" s="384" t="str">
        <f>IFERROR(__xludf.DUMMYFUNCTION("""COMPUTED_VALUE"""),"Lorraine Assis Brandão Pinho | Letras/Português-Inglês | Aprovada | Júnio: falta responder o questionário PRAZO: o mais rápido possível, nao dei 10 dias pois a plataforma vai ter ainda que migra-la para que ela possa responder //Júnio: aprovada: 13/11/23")</f>
        <v>Lorraine Assis Brandão Pinho | Letras/Português-Inglês | Aprovada | Júnio: falta responder o questionário PRAZO: o mais rápido possível, nao dei 10 dias pois a plataforma vai ter ainda que migra-la para que ela possa responder //Júnio: aprovada: 13/11/23</v>
      </c>
      <c r="B2387" s="93"/>
    </row>
    <row r="2388">
      <c r="A2388" s="384" t="str">
        <f>IFERROR(__xludf.DUMMYFUNCTION("""COMPUTED_VALUE"""),"Lorrane Peres Oliveira | Letras Português | Aprovada | Aline Silva: Enviou planejamento+ atividade executada. Material não cabe iserção na nova proposta, solicitei enviar modelo remoto integralmente. // Ana Flávia; aprovada 17/11/2020")</f>
        <v>Lorrane Peres Oliveira | Letras Português | Aprovada | Aline Silva: Enviou planejamento+ atividade executada. Material não cabe iserção na nova proposta, solicitei enviar modelo remoto integralmente. // Ana Flávia; aprovada 17/11/2020</v>
      </c>
      <c r="B2388" s="93"/>
    </row>
    <row r="2389">
      <c r="A2389" s="384" t="str">
        <f>IFERROR(__xludf.DUMMYFUNCTION("""COMPUTED_VALUE"""),"Lorrany Pimenta Ferreira | Neuropsicopedagogia Institucional,Clínica E Hospitalar | Aprovada | Alexsiane: aprovado no remoto (sponte não está funcionando)")</f>
        <v>Lorrany Pimenta Ferreira | Neuropsicopedagogia Institucional,Clínica E Hospitalar | Aprovada | Alexsiane: aprovado no remoto (sponte não está funcionando)</v>
      </c>
      <c r="B2389" s="93"/>
    </row>
    <row r="2390">
      <c r="A2390" s="384" t="str">
        <f>IFERROR(__xludf.DUMMYFUNCTION("""COMPUTED_VALUE"""),"Lorrayne Raika Oliveira Marques De Figueiredo | História | Em análise | Júnio: PP - 32% plágio")</f>
        <v>Lorrayne Raika Oliveira Marques De Figueiredo | História | Em análise | Júnio: PP - 32% plágio</v>
      </c>
      <c r="B2390" s="93"/>
    </row>
    <row r="2391">
      <c r="A2391" s="384" t="str">
        <f>IFERROR(__xludf.DUMMYFUNCTION("""COMPUTED_VALUE"""),"Louise Helena De Sousa Albuquerque | Artes Visuais | Aprovada | Júnio: analise do guru declaração de experiencia valida para isenção da 4ª etapa - remoto antigo//Alexsiane: aprovada com lançamento no Jacad")</f>
        <v>Louise Helena De Sousa Albuquerque | Artes Visuais | Aprovada | Júnio: analise do guru declaração de experiencia valida para isenção da 4ª etapa - remoto antigo//Alexsiane: aprovada com lançamento no Jacad</v>
      </c>
      <c r="B2391" s="93"/>
    </row>
    <row r="2392">
      <c r="A2392" s="384" t="str">
        <f>IFERROR(__xludf.DUMMYFUNCTION("""COMPUTED_VALUE"""),"Lourdes Coêlho De Oliveira | Pedagogia | Aprovada | Alexsiane: enviou um trabalho que não é estágio, cobrei todas as etapas do remoto antigo que foi a orientação que ela recebeu //Júnio: aprovada 03/01/23")</f>
        <v>Lourdes Coêlho De Oliveira | Pedagogia | Aprovada | Alexsiane: enviou um trabalho que não é estágio, cobrei todas as etapas do remoto antigo que foi a orientação que ela recebeu //Júnio: aprovada 03/01/23</v>
      </c>
      <c r="B2392" s="93"/>
    </row>
    <row r="2393">
      <c r="A2393" s="384" t="str">
        <f>IFERROR(__xludf.DUMMYFUNCTION("""COMPUTED_VALUE"""),"Lourdes Cristina Santoro Fernandez | Matemática | Aprovada | Júnio: PP - falta a carta e entrevista//lexsiane: pp aprovado 11/06/24")</f>
        <v>Lourdes Cristina Santoro Fernandez | Matemática | Aprovada | Júnio: PP - falta a carta e entrevista//lexsiane: pp aprovado 11/06/24</v>
      </c>
      <c r="B2393" s="93"/>
    </row>
    <row r="2394">
      <c r="A2394" s="384" t="str">
        <f>IFERROR(__xludf.DUMMYFUNCTION("""COMPUTED_VALUE"""),"Lourdes Cristina Santoro Fernandez | Matemática | Aprovada | Alexsiane: PP falta etapa 1, e entrevista digitada")</f>
        <v>Lourdes Cristina Santoro Fernandez | Matemática | Aprovada | Alexsiane: PP falta etapa 1, e entrevista digitada</v>
      </c>
      <c r="B2394" s="93"/>
    </row>
    <row r="2395">
      <c r="A2395" s="384" t="str">
        <f>IFERROR(__xludf.DUMMYFUNCTION("""COMPUTED_VALUE"""),"Lourdes Cristina Santoro Fernandez | Formação Pedagógica Em Matemática | Em análise | Cris: PP falta etapa 1")</f>
        <v>Lourdes Cristina Santoro Fernandez | Formação Pedagógica Em Matemática | Em análise | Cris: PP falta etapa 1</v>
      </c>
      <c r="B2395" s="93"/>
    </row>
    <row r="2396">
      <c r="A2396" s="384" t="str">
        <f>IFERROR(__xludf.DUMMYFUNCTION("""COMPUTED_VALUE"""),"Lourdes Pereira Da Silva | Pedagogia | Aprovado | Aline silva: falta descrever as atividades nas fichas de gestão, completar dados gerais, e apresentar as demais fichas.// aprovada dia 08/01/2020// Bárbara: conferido e arquivado 09/09/2020")</f>
        <v>Lourdes Pereira Da Silva | Pedagogia | Aprovado | Aline silva: falta descrever as atividades nas fichas de gestão, completar dados gerais, e apresentar as demais fichas.// aprovada dia 08/01/2020// Bárbara: conferido e arquivado 09/09/2020</v>
      </c>
      <c r="B2396" s="93"/>
    </row>
    <row r="2397">
      <c r="A2397" s="384" t="str">
        <f>IFERROR(__xludf.DUMMYFUNCTION("""COMPUTED_VALUE"""),"Lourenço Mauricio Da Luz Neto | Música | Aprovado | Júnio: PP aprovado")</f>
        <v>Lourenço Mauricio Da Luz Neto | Música | Aprovado | Júnio: PP aprovado</v>
      </c>
      <c r="B2397" s="93"/>
    </row>
    <row r="2398">
      <c r="A2398" s="384" t="str">
        <f>IFERROR(__xludf.DUMMYFUNCTION("""COMPUTED_VALUE"""),"Luan Henrique Dos Santos Kaihatu De Moraes | Pedagogia | Aprovado | Bianca: autorizado a recolher assinaturas //Júnio: aprovado: 09/08/2021 //Júnio: conferido e arquivado: 18/08/21")</f>
        <v>Luan Henrique Dos Santos Kaihatu De Moraes | Pedagogia | Aprovado | Bianca: autorizado a recolher assinaturas //Júnio: aprovado: 09/08/2021 //Júnio: conferido e arquivado: 18/08/21</v>
      </c>
      <c r="B2398" s="93"/>
    </row>
    <row r="2399">
      <c r="A2399" s="384" t="str">
        <f>IFERROR(__xludf.DUMMYFUNCTION("""COMPUTED_VALUE"""),"Luan Henrique Dos Santos Kaihatu De Moraes | Artes Visuais | Aprovado | Edilaine:  6,13% de plágio. Tem que especificar o tipo de acompanhamento na ficha que foi enviada. Tem que fazer 160 horas. Restante ok.  //Júnio: aprovado: 16/11/23")</f>
        <v>Luan Henrique Dos Santos Kaihatu De Moraes | Artes Visuais | Aprovado | Edilaine:  6,13% de plágio. Tem que especificar o tipo de acompanhamento na ficha que foi enviada. Tem que fazer 160 horas. Restante ok.  //Júnio: aprovado: 16/11/23</v>
      </c>
      <c r="B2399" s="93"/>
    </row>
    <row r="2400">
      <c r="A2400" s="384" t="str">
        <f>IFERROR(__xludf.DUMMYFUNCTION("""COMPUTED_VALUE"""),"Luana Alves Nunes Alvarenga | Letras Português Inglês | Aprovada | Bianca: falta especificar nas fichas temas e anos,  falta sumário, introdução e 17 planos de aulas  //Júnio: aprovada: 07/12/2021 // Júnio: pasta de estágio física chegou 13/12/21, foi con"&amp;"ferida 14/12/2021, assinaturas vieram rasuradas, uma em cima da outra.      //Júnio: conferida e anexada 21/12/21, fichas vieram corretas.                                                                                                                     "&amp;"                             ")</f>
        <v>Luana Alves Nunes Alvarenga | Letras Português Inglês | Aprovada | Bianca: falta especificar nas fichas temas e anos,  falta sumário, introdução e 17 planos de aulas  //Júnio: aprovada: 07/12/2021 // Júnio: pasta de estágio física chegou 13/12/21, foi conferida 14/12/2021, assinaturas vieram rasuradas, uma em cima da outra.      //Júnio: conferida e anexada 21/12/21, fichas vieram corretas.                                                                                                                                                  </v>
      </c>
      <c r="B2400" s="93"/>
    </row>
    <row r="2401">
      <c r="A2401" s="384" t="str">
        <f>IFERROR(__xludf.DUMMYFUNCTION("""COMPUTED_VALUE"""),"Luana Alves Soares Teixeira | Pedagogia | Aprovada | Alexsiane: tem que encaminhar o trabalho em word editável, fez somente as fichas de gestão( tem que corrigir a carga horaria diária que está com corretivo e especificar o tema da análise do PPP), falta "&amp;"fazer todas as fichas de observação e regência e fazer o plano de aula digitado. contrato da aluna expira dia 13/01 dei os 10 dias a partir dessa data então terá até dia 23/01 para reenviar //Júnio: pré aprovada: 27/07/23 //Júnio: aprovada: 07/08/2023")</f>
        <v>Luana Alves Soares Teixeira | Pedagogia | Aprovada | Alexsiane: tem que encaminhar o trabalho em word editável, fez somente as fichas de gestão( tem que corrigir a carga horaria diária que está com corretivo e especificar o tema da análise do PPP), falta fazer todas as fichas de observação e regência e fazer o plano de aula digitado. contrato da aluna expira dia 13/01 dei os 10 dias a partir dessa data então terá até dia 23/01 para reenviar //Júnio: pré aprovada: 27/07/23 //Júnio: aprovada: 07/08/2023</v>
      </c>
      <c r="B2401" s="93"/>
    </row>
    <row r="2402">
      <c r="A2402" s="384" t="str">
        <f>IFERROR(__xludf.DUMMYFUNCTION("""COMPUTED_VALUE"""),"Luana Carolina Alexandre Dantas | Formação Pedagógica Educação Física | Aprovada | Cris: PP aprovada")</f>
        <v>Luana Carolina Alexandre Dantas | Formação Pedagógica Educação Física | Aprovada | Cris: PP aprovada</v>
      </c>
      <c r="B2402" s="93"/>
    </row>
    <row r="2403">
      <c r="A2403" s="384" t="str">
        <f>IFERROR(__xludf.DUMMYFUNCTION("""COMPUTED_VALUE"""),"Luana Cristina Cunha Ferreira | Pedagogia | Aprovada | Bianca: autorizada a recolher assinaturas //Júnio: aprovada: 02/09/21")</f>
        <v>Luana Cristina Cunha Ferreira | Pedagogia | Aprovada | Bianca: autorizada a recolher assinaturas //Júnio: aprovada: 02/09/21</v>
      </c>
      <c r="B2403" s="93"/>
    </row>
    <row r="2404">
      <c r="A2404" s="384" t="str">
        <f>IFERROR(__xludf.DUMMYFUNCTION("""COMPUTED_VALUE"""),"Luana Lima Santos Sobreira | Psicopedagogia Int Cli | Aprovada | Aline Silva: dissertativo ok, encaminhar ficha de carga horário digitalizada e completa // Aline: aprovada 20/11/2020// Bárbara: conferido e arquivado 22/12/2020")</f>
        <v>Luana Lima Santos Sobreira | Psicopedagogia Int Cli | Aprovada | Aline Silva: dissertativo ok, encaminhar ficha de carga horário digitalizada e completa // Aline: aprovada 20/11/2020// Bárbara: conferido e arquivado 22/12/2020</v>
      </c>
      <c r="B2404" s="93"/>
    </row>
    <row r="2405">
      <c r="A2405" s="384" t="str">
        <f>IFERROR(__xludf.DUMMYFUNCTION("""COMPUTED_VALUE"""),"Luana Ribeiro Mattos Rosa | Geografia | Aprovada | Júnio: remoto atualizado - falta carta de apresentação, termo de conclusão e plano de aula. //Júnio: aprovada: 15/09/23")</f>
        <v>Luana Ribeiro Mattos Rosa | Geografia | Aprovada | Júnio: remoto atualizado - falta carta de apresentação, termo de conclusão e plano de aula. //Júnio: aprovada: 15/09/23</v>
      </c>
      <c r="B2405" s="93"/>
    </row>
    <row r="2406">
      <c r="A2406" s="384" t="str">
        <f>IFERROR(__xludf.DUMMYFUNCTION("""COMPUTED_VALUE"""),"Luana Vanessa Borges De Oliveira | Educação Física | Aprovado | Estella: aprovada. Única coisa é que só haviam 14 linhas de 4h/aula e assinalava 60h (ficha gestão). Recebido dia 01/03/2019. // Bárbara: Conferido e arquivado em 16/09/2020")</f>
        <v>Luana Vanessa Borges De Oliveira | Educação Física | Aprovado | Estella: aprovada. Única coisa é que só haviam 14 linhas de 4h/aula e assinalava 60h (ficha gestão). Recebido dia 01/03/2019. // Bárbara: Conferido e arquivado em 16/09/2020</v>
      </c>
      <c r="B2406" s="93"/>
    </row>
    <row r="2407">
      <c r="A2407" s="384" t="str">
        <f>IFERROR(__xludf.DUMMYFUNCTION("""COMPUTED_VALUE"""),"Luanda De Fátima Silva Barroso | Educação Física | Aprovado | Fez TGD 240h")</f>
        <v>Luanda De Fátima Silva Barroso | Educação Física | Aprovado | Fez TGD 240h</v>
      </c>
      <c r="B2407" s="93"/>
    </row>
    <row r="2408">
      <c r="A2408" s="384" t="str">
        <f>IFERROR(__xludf.DUMMYFUNCTION("""COMPUTED_VALUE"""),"Lucas Antônio Alvarenga Coelho | Geografia | Aprovado | Thiara: Aprovado. Entregue dia 26/04/2019")</f>
        <v>Lucas Antônio Alvarenga Coelho | Geografia | Aprovado | Thiara: Aprovado. Entregue dia 26/04/2019</v>
      </c>
      <c r="B2408" s="93"/>
    </row>
    <row r="2409">
      <c r="A2409" s="384" t="str">
        <f>IFERROR(__xludf.DUMMYFUNCTION("""COMPUTED_VALUE"""),"Lucas Barbosa Silva | Música | Aprovado | Júnio: PP - falta a etapa 1, carta de apresentação e responder questionário. //Júnio: PP aprovado 25/10/23")</f>
        <v>Lucas Barbosa Silva | Música | Aprovado | Júnio: PP - falta a etapa 1, carta de apresentação e responder questionário. //Júnio: PP aprovado 25/10/23</v>
      </c>
      <c r="B2409" s="93"/>
    </row>
    <row r="2410">
      <c r="A2410" s="384" t="str">
        <f>IFERROR(__xludf.DUMMYFUNCTION("""COMPUTED_VALUE"""),"Lucas Cardoso Batista | Pedagogia | Aprovado | Bárbara: aprovado nas 3 priemiras etapas do remoto, aguardando a ultima // Bárbara: aprovada na 4ª etapa 05/02/2021 // Bárbara: conferido e arquivado 20/04/202143")</f>
        <v>Lucas Cardoso Batista | Pedagogia | Aprovado | Bárbara: aprovado nas 3 priemiras etapas do remoto, aguardando a ultima // Bárbara: aprovada na 4ª etapa 05/02/2021 // Bárbara: conferido e arquivado 20/04/202143</v>
      </c>
      <c r="B2410" s="93"/>
    </row>
    <row r="2411">
      <c r="A2411" s="384" t="str">
        <f>IFERROR(__xludf.DUMMYFUNCTION("""COMPUTED_VALUE"""),"Lucas De Castro Cardinelli | Música | Em análise | Júnio: pelo guru declaração de experiência válida")</f>
        <v>Lucas De Castro Cardinelli | Música | Em análise | Júnio: pelo guru declaração de experiência válida</v>
      </c>
      <c r="B2411" s="93"/>
    </row>
    <row r="2412">
      <c r="A2412" s="384" t="str">
        <f>IFERROR(__xludf.DUMMYFUNCTION("""COMPUTED_VALUE"""),"Lucas De Godoy Bueno | Artes Visuais | Em análise | Alexsiane: falta encaminhar o pp por inteiro em nosso modelo padrão, aluno encaminhou um estágio que NÃO é do nosso modelo")</f>
        <v>Lucas De Godoy Bueno | Artes Visuais | Em análise | Alexsiane: falta encaminhar o pp por inteiro em nosso modelo padrão, aluno encaminhou um estágio que NÃO é do nosso modelo</v>
      </c>
      <c r="B2412" s="93"/>
    </row>
    <row r="2413">
      <c r="A2413" s="384" t="str">
        <f>IFERROR(__xludf.DUMMYFUNCTION("""COMPUTED_VALUE"""),"Lucas De Godoy Bueno | Segunda Licenciatura Em Artes Visuais | Aprovado | Rayssa pp aprovado")</f>
        <v>Lucas De Godoy Bueno | Segunda Licenciatura Em Artes Visuais | Aprovado | Rayssa pp aprovado</v>
      </c>
      <c r="B2413" s="93"/>
    </row>
    <row r="2414">
      <c r="A2414" s="384" t="str">
        <f>IFERROR(__xludf.DUMMYFUNCTION("""COMPUTED_VALUE"""),"Lucas Emidio Nascimento | Letras Português Inglês | em análise | Bianca: enviou apenas declaração de experiência")</f>
        <v>Lucas Emidio Nascimento | Letras Português Inglês | em análise | Bianca: enviou apenas declaração de experiência</v>
      </c>
      <c r="B2414" s="93"/>
    </row>
    <row r="2415">
      <c r="A2415" s="384" t="str">
        <f>IFERROR(__xludf.DUMMYFUNCTION("""COMPUTED_VALUE"""),"Lucas Emídio Nascimento | Letras Português Inglês | Aprovada | Júnio: aprovada com lançamento no Sponte")</f>
        <v>Lucas Emídio Nascimento | Letras Português Inglês | Aprovada | Júnio: aprovada com lançamento no Sponte</v>
      </c>
      <c r="B2415" s="93"/>
    </row>
    <row r="2416">
      <c r="A2416" s="384" t="str">
        <f>IFERROR(__xludf.DUMMYFUNCTION("""COMPUTED_VALUE"""),"Lucas Guilherme Tetzlaff De Gerone | Pedagogia | Aprovado | Thiara: Falta horas de Gestão, Administração e Supervisão Escolar, falta assinaturas e carimbos. //Bárbará: aprovado pelo processo de estar sendo inciado 09/04/2021")</f>
        <v>Lucas Guilherme Tetzlaff De Gerone | Pedagogia | Aprovado | Thiara: Falta horas de Gestão, Administração e Supervisão Escolar, falta assinaturas e carimbos. //Bárbará: aprovado pelo processo de estar sendo inciado 09/04/2021</v>
      </c>
      <c r="B2416" s="93"/>
    </row>
    <row r="2417">
      <c r="A2417" s="384" t="str">
        <f>IFERROR(__xludf.DUMMYFUNCTION("""COMPUTED_VALUE"""),"Lucas Henrique De Lima | Pedagogia | Aprovado | Júnio: aprovado com lançamento no Sponte")</f>
        <v>Lucas Henrique De Lima | Pedagogia | Aprovado | Júnio: aprovado com lançamento no Sponte</v>
      </c>
      <c r="B2417" s="93"/>
    </row>
    <row r="2418">
      <c r="A2418" s="384" t="str">
        <f>IFERROR(__xludf.DUMMYFUNCTION("""COMPUTED_VALUE"""),"Lucas Henrique De Lima Marques | Pedagogia | Aprovada | Bárbara: aprovado nas 3 priemiras etapas do remoto, aguardando a ultima // Bárbara: aprovada na 4ª etapa 22/12/2020")</f>
        <v>Lucas Henrique De Lima Marques | Pedagogia | Aprovada | Bárbara: aprovado nas 3 priemiras etapas do remoto, aguardando a ultima // Bárbara: aprovada na 4ª etapa 22/12/2020</v>
      </c>
      <c r="B2418" s="93"/>
    </row>
    <row r="2419">
      <c r="A2419" s="384" t="str">
        <f>IFERROR(__xludf.DUMMYFUNCTION("""COMPUTED_VALUE"""),"Lucas Henrique De Lima Marques | Pedagogia | Aprovado | Aline Silva: apresentou a declaração de experiência no ensino fundamental I //Júnio:conferido e arquivado: 26/10/21")</f>
        <v>Lucas Henrique De Lima Marques | Pedagogia | Aprovado | Aline Silva: apresentou a declaração de experiência no ensino fundamental I //Júnio:conferido e arquivado: 26/10/21</v>
      </c>
      <c r="B2419" s="93"/>
    </row>
    <row r="2420">
      <c r="A2420" s="384" t="str">
        <f>IFERROR(__xludf.DUMMYFUNCTION("""COMPUTED_VALUE"""),"Lucas Oliveira | Ciências Sociais | Aprovado | Alexsiane; falta o vídeo da 4° etapa //Júnio: aprovado: 12/05/22")</f>
        <v>Lucas Oliveira | Ciências Sociais | Aprovado | Alexsiane; falta o vídeo da 4° etapa //Júnio: aprovado: 12/05/22</v>
      </c>
      <c r="B2420" s="93"/>
    </row>
    <row r="2421">
      <c r="A2421" s="384" t="str">
        <f>IFERROR(__xludf.DUMMYFUNCTION("""COMPUTED_VALUE"""),"Lucas Ribas | História | Aprovado | Júnio: PP aprovado")</f>
        <v>Lucas Ribas | História | Aprovado | Júnio: PP aprovado</v>
      </c>
      <c r="B2421" s="93"/>
    </row>
    <row r="2422">
      <c r="A2422" s="384" t="str">
        <f>IFERROR(__xludf.DUMMYFUNCTION("""COMPUTED_VALUE"""),"Lucas Ribeiro Mello | Música | Aprovado | Júnio: PP - falta a carta de apresentação PRAZO: 16/12/23 //Júnio: aprovado: 28/12/23")</f>
        <v>Lucas Ribeiro Mello | Música | Aprovado | Júnio: PP - falta a carta de apresentação PRAZO: 16/12/23 //Júnio: aprovado: 28/12/23</v>
      </c>
      <c r="B2422" s="93"/>
    </row>
    <row r="2423">
      <c r="A2423" s="384" t="str">
        <f>IFERROR(__xludf.DUMMYFUNCTION("""COMPUTED_VALUE"""),"Lucas Roberto Uliam | Pedagogia | Aprovado | Bianca: aprovado nas 4 etapas do remoto antigo.")</f>
        <v>Lucas Roberto Uliam | Pedagogia | Aprovado | Bianca: aprovado nas 4 etapas do remoto antigo.</v>
      </c>
      <c r="B2423" s="93"/>
    </row>
    <row r="2424">
      <c r="A2424" s="384" t="str">
        <f>IFERROR(__xludf.DUMMYFUNCTION("""COMPUTED_VALUE"""),"Lucas Rodrigues Lopes | Pedagogia | Aprovado | Júnio: remoto antigo - etapas 1,2 e 3 //Júnio: aprovado: 31/01/22")</f>
        <v>Lucas Rodrigues Lopes | Pedagogia | Aprovado | Júnio: remoto antigo - etapas 1,2 e 3 //Júnio: aprovado: 31/01/22</v>
      </c>
      <c r="B2424" s="93"/>
    </row>
    <row r="2425">
      <c r="A2425" s="384" t="str">
        <f>IFERROR(__xludf.DUMMYFUNCTION("""COMPUTED_VALUE"""),"Lucas Yan Dias | História | Em análise | Lucas: apresentou somente fichas de registro já assinadas, que precisam de correção. Pedi para encaminhar o restante do trabalho e as fichas")</f>
        <v>Lucas Yan Dias | História | Em análise | Lucas: apresentou somente fichas de registro já assinadas, que precisam de correção. Pedi para encaminhar o restante do trabalho e as fichas</v>
      </c>
      <c r="B2425" s="93"/>
    </row>
    <row r="2426">
      <c r="A2426" s="384" t="str">
        <f>IFERROR(__xludf.DUMMYFUNCTION("""COMPUTED_VALUE"""),"Lucas: Falta 19 Planos De Aula E 4 Etapa Inteira (Remoto Atualizado) | Pedagogia | Em análise | Lucas: Etapas 1, 2, 3 aprovadas, falta 4 etapa do remoto antigo.")</f>
        <v>Lucas: Falta 19 Planos De Aula E 4 Etapa Inteira (Remoto Atualizado) | Pedagogia | Em análise | Lucas: Etapas 1, 2, 3 aprovadas, falta 4 etapa do remoto antigo.</v>
      </c>
      <c r="B2426" s="93"/>
    </row>
    <row r="2427">
      <c r="A2427" s="384" t="str">
        <f>IFERROR(__xludf.DUMMYFUNCTION("""COMPUTED_VALUE"""),"Lucele Alves Da Silva | Neuropsicopedagogia Institucional,Clínica E Hospitalar | Em análise | Pâmela: Enviou declaração de experiência válida.")</f>
        <v>Lucele Alves Da Silva | Neuropsicopedagogia Institucional,Clínica E Hospitalar | Em análise | Pâmela: Enviou declaração de experiência válida.</v>
      </c>
      <c r="B2427" s="93"/>
    </row>
    <row r="2428">
      <c r="A2428" s="384" t="str">
        <f>IFERROR(__xludf.DUMMYFUNCTION("""COMPUTED_VALUE"""),"Lucele Alves Da Silva | Letras Português | Aprovada | Júnio: faltam 40 hs de gestão e vários dias nas fichas de registro estão com total errado. Prazo :21/09/23 //Júnio: aprovada: 16/10/2023")</f>
        <v>Lucele Alves Da Silva | Letras Português | Aprovada | Júnio: faltam 40 hs de gestão e vários dias nas fichas de registro estão com total errado. Prazo :21/09/23 //Júnio: aprovada: 16/10/2023</v>
      </c>
      <c r="B2428" s="93"/>
    </row>
    <row r="2429">
      <c r="A2429" s="384" t="str">
        <f>IFERROR(__xludf.DUMMYFUNCTION("""COMPUTED_VALUE"""),"Lucelia Mara Oliveira Gonçalves De Sousa | Pedagogia | Aprovada | Júnio: aprovada no Remoto Antigo")</f>
        <v>Lucelia Mara Oliveira Gonçalves De Sousa | Pedagogia | Aprovada | Júnio: aprovada no Remoto Antigo</v>
      </c>
      <c r="B2429" s="93"/>
    </row>
    <row r="2430">
      <c r="A2430" s="384" t="str">
        <f>IFERROR(__xludf.DUMMYFUNCTION("""COMPUTED_VALUE"""),"Lucelma Aparecida Nascimento | Pedagogia | Aprovada | Júnio: remoto padrão, especificar tema das aulas e turma na ficha de registro//Lucas: Aprovada no estagio padrão //Júnio: físico conferido e arquivado: 22/06/22")</f>
        <v>Lucelma Aparecida Nascimento | Pedagogia | Aprovada | Júnio: remoto padrão, especificar tema das aulas e turma na ficha de registro//Lucas: Aprovada no estagio padrão //Júnio: físico conferido e arquivado: 22/06/22</v>
      </c>
      <c r="B2430" s="93"/>
    </row>
    <row r="2431">
      <c r="A2431" s="384" t="str">
        <f>IFERROR(__xludf.DUMMYFUNCTION("""COMPUTED_VALUE"""),"Lúcia Aparecida Rabelo Gontijo | Biblioteconomia | Aprovada | Júnio: aprovada com lançamento no Sponte")</f>
        <v>Lúcia Aparecida Rabelo Gontijo | Biblioteconomia | Aprovada | Júnio: aprovada com lançamento no Sponte</v>
      </c>
      <c r="B2431" s="93"/>
    </row>
    <row r="2432">
      <c r="A2432" s="384" t="str">
        <f>IFERROR(__xludf.DUMMYFUNCTION("""COMPUTED_VALUE"""),"Lúcia Aparecida Rabelo Gontijo | Pedagogia | Aprovada | Bianca: consertar fichas de registros, falta carta de apresentação e termo de conclusão //Júnio; aprovada: 21/03/22 //Júnio: conferida e arquivada: 18/04/22")</f>
        <v>Lúcia Aparecida Rabelo Gontijo | Pedagogia | Aprovada | Bianca: consertar fichas de registros, falta carta de apresentação e termo de conclusão //Júnio; aprovada: 21/03/22 //Júnio: conferida e arquivada: 18/04/22</v>
      </c>
      <c r="B2432" s="93"/>
    </row>
    <row r="2433">
      <c r="A2433" s="384" t="str">
        <f>IFERROR(__xludf.DUMMYFUNCTION("""COMPUTED_VALUE"""),"Lúcia Aparecida Simôes Márcio | História | Aprovado | Bianca: Encaminhou declaraçaõ de experiência válida e fichas de registro respectivas a 4ª etapa. //Júnio: aprovado: 25/08/21 //Júnio: conferido e arquivado: 02/09/2021")</f>
        <v>Lúcia Aparecida Simôes Márcio | História | Aprovado | Bianca: Encaminhou declaraçaõ de experiência válida e fichas de registro respectivas a 4ª etapa. //Júnio: aprovado: 25/08/21 //Júnio: conferido e arquivado: 02/09/2021</v>
      </c>
      <c r="B2433" s="93"/>
    </row>
    <row r="2434">
      <c r="A2434" s="384" t="str">
        <f>IFERROR(__xludf.DUMMYFUNCTION("""COMPUTED_VALUE"""),"Lúcia Aparecida Simôes Márcio | Pedagogia | aprovada | Bianca: aprovada nas 4 etapas do remoto antigo")</f>
        <v>Lúcia Aparecida Simôes Márcio | Pedagogia | aprovada | Bianca: aprovada nas 4 etapas do remoto antigo</v>
      </c>
      <c r="B2434" s="93"/>
    </row>
    <row r="2435">
      <c r="A2435" s="384" t="str">
        <f>IFERROR(__xludf.DUMMYFUNCTION("""COMPUTED_VALUE"""),"Lucia Cristina Lodi | Pedagogia | Aprovado | Estella: Ok! Aprovada. Recebido no dia 18/03/2019// Bárbara: Conferido e arquivado 15/09/2020")</f>
        <v>Lucia Cristina Lodi | Pedagogia | Aprovado | Estella: Ok! Aprovada. Recebido no dia 18/03/2019// Bárbara: Conferido e arquivado 15/09/2020</v>
      </c>
      <c r="B2435" s="93"/>
    </row>
    <row r="2436">
      <c r="A2436" s="384" t="str">
        <f>IFERROR(__xludf.DUMMYFUNCTION("""COMPUTED_VALUE"""),"Lúcia De Fátima Alexandre Silva | Pedagogia | Aprovada | Bárbara: solicitei correção de citação e referência, descrição de mod e turma na ficha de registro e junção do TC e CA //Júnio: aprovada: 07/10/21 //Júnio: conferido e arquivado: 15/10/21")</f>
        <v>Lúcia De Fátima Alexandre Silva | Pedagogia | Aprovada | Bárbara: solicitei correção de citação e referência, descrição de mod e turma na ficha de registro e junção do TC e CA //Júnio: aprovada: 07/10/21 //Júnio: conferido e arquivado: 15/10/21</v>
      </c>
      <c r="B2436" s="93"/>
    </row>
    <row r="2437">
      <c r="A2437" s="384" t="str">
        <f>IFERROR(__xludf.DUMMYFUNCTION("""COMPUTED_VALUE"""),"Lucia De Fatima Borges Pinheiro | Pedagogia | Aprovada | Edilaine: Pré- aprovada com lançamento no Sponte // Pamela 09/12/2022 Conferido e arquivado. ")</f>
        <v>Lucia De Fatima Borges Pinheiro | Pedagogia | Aprovada | Edilaine: Pré- aprovada com lançamento no Sponte // Pamela 09/12/2022 Conferido e arquivado. </v>
      </c>
      <c r="B2437" s="93"/>
    </row>
    <row r="2438">
      <c r="A2438" s="384" t="str">
        <f>IFERROR(__xludf.DUMMYFUNCTION("""COMPUTED_VALUE"""),"Lúcia De Fátima Meirelles | Psicopedagogia Clínica E Hospitalar | Aprovada | Alexsiane:falta objetivo do estágio,queixa do professor, anamnnese, relatório de ações, sintese de conclusão e tem que complementar as fichas de registro com mais 46 horas, espec"&amp;"ificar o tipo de acompanhamento e colocar o total de horas nos dias 17,18,21,22 e 23/11 //Júnio: pré aprovada: 09/05/23 //Júnio: aprovada: 29/05/2023")</f>
        <v>Lúcia De Fátima Meirelles | Psicopedagogia Clínica E Hospitalar | Aprovada | Alexsiane:falta objetivo do estágio,queixa do professor, anamnnese, relatório de ações, sintese de conclusão e tem que complementar as fichas de registro com mais 46 horas, especificar o tipo de acompanhamento e colocar o total de horas nos dias 17,18,21,22 e 23/11 //Júnio: pré aprovada: 09/05/23 //Júnio: aprovada: 29/05/2023</v>
      </c>
      <c r="B2438" s="93"/>
    </row>
    <row r="2439">
      <c r="A2439" s="384" t="str">
        <f>IFERROR(__xludf.DUMMYFUNCTION("""COMPUTED_VALUE"""),"Lúcia De Fátima Nunes Da Silva | Artes Visuais | Aprovada | Aline Silva: aluna apresentou o mesmo estágio da aluna Erineide Queiroz, enviei e-mail solicitando esclarecimento Bianca: aprovada 19/04/21 //Júnio:conferido e arquivado: 27/04/21")</f>
        <v>Lúcia De Fátima Nunes Da Silva | Artes Visuais | Aprovada | Aline Silva: aluna apresentou o mesmo estágio da aluna Erineide Queiroz, enviei e-mail solicitando esclarecimento Bianca: aprovada 19/04/21 //Júnio:conferido e arquivado: 27/04/21</v>
      </c>
      <c r="B2439" s="93"/>
    </row>
    <row r="2440">
      <c r="A2440" s="384" t="str">
        <f>IFERROR(__xludf.DUMMYFUNCTION("""COMPUTED_VALUE"""),"Lucia De Fátima Oliveira | Letras Português Inglês | Aprovada | Alexsiane; aprovado no remoto antigo com lançemento no Sponte")</f>
        <v>Lucia De Fátima Oliveira | Letras Português Inglês | Aprovada | Alexsiane; aprovado no remoto antigo com lançemento no Sponte</v>
      </c>
      <c r="B2440" s="93"/>
    </row>
    <row r="2441">
      <c r="A2441" s="384" t="str">
        <f>IFERROR(__xludf.DUMMYFUNCTION("""COMPUTED_VALUE"""),"Lúcia Dias De Souza | Letras Espanhol | Aprovada | Júnio: autorizada a recolher assinaturas, falta declaração de experiência, carta de apresentação, termo de conclusão e todas as etapas dissertativas. //Júnio: aprovada: 21/12/23")</f>
        <v>Lúcia Dias De Souza | Letras Espanhol | Aprovada | Júnio: autorizada a recolher assinaturas, falta declaração de experiência, carta de apresentação, termo de conclusão e todas as etapas dissertativas. //Júnio: aprovada: 21/12/23</v>
      </c>
      <c r="B2441" s="93"/>
    </row>
    <row r="2442">
      <c r="A2442" s="384" t="str">
        <f>IFERROR(__xludf.DUMMYFUNCTION("""COMPUTED_VALUE"""),"Lúcia Fátima Oliveira | Matemática | Aprovada | Bianca: aprovada nas 3 etapas do remoto // Bárbara: pedi para Myriã validar declaração de experiência que constava no mesmo e-mail 10/03/2021")</f>
        <v>Lúcia Fátima Oliveira | Matemática | Aprovada | Bianca: aprovada nas 3 etapas do remoto // Bárbara: pedi para Myriã validar declaração de experiência que constava no mesmo e-mail 10/03/2021</v>
      </c>
      <c r="B2442" s="93"/>
    </row>
    <row r="2443">
      <c r="A2443" s="384" t="str">
        <f>IFERROR(__xludf.DUMMYFUNCTION("""COMPUTED_VALUE"""),"Lucia Grande Conrado | Pedagogia | Aprovada | Bárbara: aluna aprovada nas 3 primeiras etapas do remoto, aguardando a última.// Bárbara: aprovada 4ª etapa 28/10/2020")</f>
        <v>Lucia Grande Conrado | Pedagogia | Aprovada | Bárbara: aluna aprovada nas 3 primeiras etapas do remoto, aguardando a última.// Bárbara: aprovada 4ª etapa 28/10/2020</v>
      </c>
      <c r="B2443" s="93"/>
    </row>
    <row r="2444">
      <c r="A2444" s="384" t="str">
        <f>IFERROR(__xludf.DUMMYFUNCTION("""COMPUTED_VALUE"""),"Lúcia Helena Aniceto Rattigueri | Neuropsicologia Clínica | Pré aprovada | Júnio: pré aprovada")</f>
        <v>Lúcia Helena Aniceto Rattigueri | Neuropsicologia Clínica | Pré aprovada | Júnio: pré aprovada</v>
      </c>
      <c r="B2444" s="93"/>
    </row>
    <row r="2445">
      <c r="A2445" s="384" t="str">
        <f>IFERROR(__xludf.DUMMYFUNCTION("""COMPUTED_VALUE"""),"Lúcia Helena Braghini | Pedagogia | Aprovada | Bianca: Falta carta de aceite, relatório de 2 páginas e termo de conclusão //Bianca:aprovada 17/05 Júnio: conferido e arquivado: 17/06/2021")</f>
        <v>Lúcia Helena Braghini | Pedagogia | Aprovada | Bianca: Falta carta de aceite, relatório de 2 páginas e termo de conclusão //Bianca:aprovada 17/05 Júnio: conferido e arquivado: 17/06/2021</v>
      </c>
      <c r="B2445" s="93"/>
    </row>
    <row r="2446">
      <c r="A2446" s="384" t="str">
        <f>IFERROR(__xludf.DUMMYFUNCTION("""COMPUTED_VALUE"""),"Lucia Maria Da Silveira | Pedagogia |  | Bárbara: Conferido e arquivado em 16/09/2020")</f>
        <v>Lucia Maria Da Silveira | Pedagogia |  | Bárbara: Conferido e arquivado em 16/09/2020</v>
      </c>
      <c r="B2446" s="93"/>
    </row>
    <row r="2447">
      <c r="A2447" s="384" t="str">
        <f>IFERROR(__xludf.DUMMYFUNCTION("""COMPUTED_VALUE"""),"Lucia Regina Baptista Costa | Artes Visuais | Aprovada | Júnio:  REMOTO ANTIGO -Aluna fez somente 10 planos de aula e 4ª etapa do video DETALHE IMPORTANTE: informei que o sumário não era obrigatorio, se caso ela não conseguir fazer, não precisa cobrar iss"&amp;"o ela //// Edilaine: Aprovada 08/02/2023")</f>
        <v>Lucia Regina Baptista Costa | Artes Visuais | Aprovada | Júnio:  REMOTO ANTIGO -Aluna fez somente 10 planos de aula e 4ª etapa do video DETALHE IMPORTANTE: informei que o sumário não era obrigatorio, se caso ela não conseguir fazer, não precisa cobrar isso ela //// Edilaine: Aprovada 08/02/2023</v>
      </c>
      <c r="B2447" s="93"/>
    </row>
    <row r="2448">
      <c r="A2448" s="384" t="str">
        <f>IFERROR(__xludf.DUMMYFUNCTION("""COMPUTED_VALUE"""),"Luciana Alves (Jacad) | Pedagogia | Aprovada | Alexsiane: pré-aprovado com lançamento no jacad //Júnio: físico, conferido e arquivado: 09/09")</f>
        <v>Luciana Alves (Jacad) | Pedagogia | Aprovada | Alexsiane: pré-aprovado com lançamento no jacad //Júnio: físico, conferido e arquivado: 09/09</v>
      </c>
      <c r="B2448" s="93"/>
    </row>
    <row r="2449">
      <c r="A2449" s="384" t="str">
        <f>IFERROR(__xludf.DUMMYFUNCTION("""COMPUTED_VALUE"""),"Luciana Alves De Andrade | Pedagogia | Aprovada | Bianca: aprovada nas 4 etapas do remoto atualizado. //Júnio: conferido e arquivado 03/12/21")</f>
        <v>Luciana Alves De Andrade | Pedagogia | Aprovada | Bianca: aprovada nas 4 etapas do remoto atualizado. //Júnio: conferido e arquivado 03/12/21</v>
      </c>
      <c r="B2449" s="93"/>
    </row>
    <row r="2450">
      <c r="A2450" s="384" t="str">
        <f>IFERROR(__xludf.DUMMYFUNCTION("""COMPUTED_VALUE"""),"Luciana Aparecida Cassiano Reimberg De Siqueira | Letras – Português E Inglês | Aprovado | Alexsiane: pp aprovado")</f>
        <v>Luciana Aparecida Cassiano Reimberg De Siqueira | Letras – Português E Inglês | Aprovado | Alexsiane: pp aprovado</v>
      </c>
      <c r="B2450" s="93"/>
    </row>
    <row r="2451">
      <c r="A2451" s="384" t="str">
        <f>IFERROR(__xludf.DUMMYFUNCTION("""COMPUTED_VALUE"""),"Luciana Aparecida Raymundo Dos Santos | Neuropsicopedagogia Institucional, Clínica E Hospitalar | Pré aprovada | Júnio: especificar na ficha o tipo de acompanhamento, preencher a carta de apresentação e termo de conclusão e poderá recolher assinaturas //J"&amp;"únio: pré aprovada")</f>
        <v>Luciana Aparecida Raymundo Dos Santos | Neuropsicopedagogia Institucional, Clínica E Hospitalar | Pré aprovada | Júnio: especificar na ficha o tipo de acompanhamento, preencher a carta de apresentação e termo de conclusão e poderá recolher assinaturas //Júnio: pré aprovada</v>
      </c>
      <c r="B2451" s="93"/>
    </row>
    <row r="2452">
      <c r="A2452" s="384" t="str">
        <f>IFERROR(__xludf.DUMMYFUNCTION("""COMPUTED_VALUE"""),"Luciana Borges Da Silva | Pedagogia | Aprovada | /Júnio: autorizada a recolher assinaturas //Júnio:aprovada: 11/01/2022 //JÚNIO;CONFERIDA E ARQUIVADA: 18/01/22")</f>
        <v>Luciana Borges Da Silva | Pedagogia | Aprovada | /Júnio: autorizada a recolher assinaturas //Júnio:aprovada: 11/01/2022 //JÚNIO;CONFERIDA E ARQUIVADA: 18/01/22</v>
      </c>
      <c r="B2452" s="93"/>
    </row>
    <row r="2453">
      <c r="A2453" s="384" t="str">
        <f>IFERROR(__xludf.DUMMYFUNCTION("""COMPUTED_VALUE"""),"Luciana Campanhola Cereta | Psic. Ped. Clínica | Aprovado | Thiara: documentação ok documento com relatório corrompido. Reenviou o relatório e foi aprovado. Recebido dia 28/08/2019.")</f>
        <v>Luciana Campanhola Cereta | Psic. Ped. Clínica | Aprovado | Thiara: documentação ok documento com relatório corrompido. Reenviou o relatório e foi aprovado. Recebido dia 28/08/2019.</v>
      </c>
      <c r="B2453" s="93"/>
    </row>
    <row r="2454">
      <c r="A2454" s="384" t="str">
        <f>IFERROR(__xludf.DUMMYFUNCTION("""COMPUTED_VALUE"""),"Luciana Campos Araújo | Neuropsicopedagogia Institucional,Clínica E Hospitalar | Aprovada | Lucas: Aprovada e anexada ao Sponte ")</f>
        <v>Luciana Campos Araújo | Neuropsicopedagogia Institucional,Clínica E Hospitalar | Aprovada | Lucas: Aprovada e anexada ao Sponte </v>
      </c>
      <c r="B2454" s="93"/>
    </row>
    <row r="2455">
      <c r="A2455" s="384" t="str">
        <f>IFERROR(__xludf.DUMMYFUNCTION("""COMPUTED_VALUE"""),"Luciana Campos Araújo | Letras Inglês | Aprovada | Júnio: PP aprovada")</f>
        <v>Luciana Campos Araújo | Letras Inglês | Aprovada | Júnio: PP aprovada</v>
      </c>
      <c r="B2455" s="93"/>
    </row>
    <row r="2456">
      <c r="A2456" s="384" t="str">
        <f>IFERROR(__xludf.DUMMYFUNCTION("""COMPUTED_VALUE"""),"Luciana Campos Sales | História | Em análise | Bianca: pedi para anexar na pasta padrão e enviar carta de apresentação e termo de conclusão, faltou etapa 3 introdução, sumário e conclusão")</f>
        <v>Luciana Campos Sales | História | Em análise | Bianca: pedi para anexar na pasta padrão e enviar carta de apresentação e termo de conclusão, faltou etapa 3 introdução, sumário e conclusão</v>
      </c>
      <c r="B2456" s="93"/>
    </row>
    <row r="2457">
      <c r="A2457" s="384" t="str">
        <f>IFERROR(__xludf.DUMMYFUNCTION("""COMPUTED_VALUE"""),"Luciana Da Silva Nascimento Fernandes | Letras Português Inglês | Aprovada | Júnio: aprovada no remoto antigo")</f>
        <v>Luciana Da Silva Nascimento Fernandes | Letras Português Inglês | Aprovada | Júnio: aprovada no remoto antigo</v>
      </c>
      <c r="B2457" s="93"/>
    </row>
    <row r="2458">
      <c r="A2458" s="384" t="str">
        <f>IFERROR(__xludf.DUMMYFUNCTION("""COMPUTED_VALUE"""),"Luciana Da Silva Nunes | Pedagogia | Aprovada | Bárbara: aprovada nas 3 primeiras etapas do remoto// Bárbara: aprovada 19/01/2021")</f>
        <v>Luciana Da Silva Nunes | Pedagogia | Aprovada | Bárbara: aprovada nas 3 primeiras etapas do remoto// Bárbara: aprovada 19/01/2021</v>
      </c>
      <c r="B2458" s="93"/>
    </row>
    <row r="2459">
      <c r="A2459" s="384" t="str">
        <f>IFERROR(__xludf.DUMMYFUNCTION("""COMPUTED_VALUE"""),"Luciana Domingos | Pedagogia | Aprovada | Júnio: remoto atualizado - somente fichas da 4ª etapa e declaração de experiência, fazer todo o resto e consertar ficha de registro PRAZO: 25/06/22 //Júnio: aprovada: 29/06/22 //Júnio: físico: conferido e arquivad"&amp;"o: 26/07/22")</f>
        <v>Luciana Domingos | Pedagogia | Aprovada | Júnio: remoto atualizado - somente fichas da 4ª etapa e declaração de experiência, fazer todo o resto e consertar ficha de registro PRAZO: 25/06/22 //Júnio: aprovada: 29/06/22 //Júnio: físico: conferido e arquivado: 26/07/22</v>
      </c>
      <c r="B2459" s="93"/>
    </row>
    <row r="2460">
      <c r="A2460" s="384" t="str">
        <f>IFERROR(__xludf.DUMMYFUNCTION("""COMPUTED_VALUE"""),"Luciana Dornas Celestino |  | Aprovado | Mandei enviar pelo correio (28/11).")</f>
        <v>Luciana Dornas Celestino |  | Aprovado | Mandei enviar pelo correio (28/11).</v>
      </c>
      <c r="B2460" s="93"/>
    </row>
    <row r="2461">
      <c r="A2461" s="384" t="str">
        <f>IFERROR(__xludf.DUMMYFUNCTION("""COMPUTED_VALUE"""),"Luciana Dos Santos | Pedagogia | Aprovado | Lucas Falta: Declaração de experiencia, documentação da etapa 4.  //Júnio: aprovada 03/06/2022 //Júnio: físico, conferido e arquivado: 15/07/22")</f>
        <v>Luciana Dos Santos | Pedagogia | Aprovado | Lucas Falta: Declaração de experiencia, documentação da etapa 4.  //Júnio: aprovada 03/06/2022 //Júnio: físico, conferido e arquivado: 15/07/22</v>
      </c>
      <c r="B2461" s="93"/>
    </row>
    <row r="2462">
      <c r="A2462" s="384" t="str">
        <f>IFERROR(__xludf.DUMMYFUNCTION("""COMPUTED_VALUE"""),"Luciana Dos Santos Alves Porto | Letras Português Inglês | Aprovada | Júnio: 5,5% plágio, faltam objetivos gerais e específicos, análise do PPP e gestão, relatório de regência, autoavaliação, especificar na ficha o tipo de acompanhamento e série. Enviar p"&amp;"lano de aula digitado, consertar total de horas na carta de apresentação e termo de conclusão, fez somente 40 hs nas fichas de registros tem que completar até 200 horas. //Júnio: aprovada: 20/10/23")</f>
        <v>Luciana Dos Santos Alves Porto | Letras Português Inglês | Aprovada | Júnio: 5,5% plágio, faltam objetivos gerais e específicos, análise do PPP e gestão, relatório de regência, autoavaliação, especificar na ficha o tipo de acompanhamento e série. Enviar plano de aula digitado, consertar total de horas na carta de apresentação e termo de conclusão, fez somente 40 hs nas fichas de registros tem que completar até 200 horas. //Júnio: aprovada: 20/10/23</v>
      </c>
      <c r="B2462" s="93"/>
    </row>
    <row r="2463">
      <c r="A2463" s="384" t="str">
        <f>IFERROR(__xludf.DUMMYFUNCTION("""COMPUTED_VALUE"""),"Luciana Morais Moreira | Artes Visuais | Aprovada | Aline Silva: fez 8 h por dia, não descreveu atividades, falta plano de aula, atividade executada, termo de conclusão, termo de compromisso, carta de apresentação.//Alexsiane: pré aprovado com lançamento "&amp;"no sponte //Júnio: físico recebido 08/23, Samira recepcionou e conferiu.")</f>
        <v>Luciana Morais Moreira | Artes Visuais | Aprovada | Aline Silva: fez 8 h por dia, não descreveu atividades, falta plano de aula, atividade executada, termo de conclusão, termo de compromisso, carta de apresentação.//Alexsiane: pré aprovado com lançamento no sponte //Júnio: físico recebido 08/23, Samira recepcionou e conferiu.</v>
      </c>
      <c r="B2463" s="93"/>
    </row>
    <row r="2464">
      <c r="A2464" s="384" t="str">
        <f>IFERROR(__xludf.DUMMYFUNCTION("""COMPUTED_VALUE"""),"Luciana Muniz Lomba Modolo | Música | Aprovada | Júnio: PP - falta etapa 1 e a carta de apresentação. //Júnio: aprovada: 20/10/23")</f>
        <v>Luciana Muniz Lomba Modolo | Música | Aprovada | Júnio: PP - falta etapa 1 e a carta de apresentação. //Júnio: aprovada: 20/10/23</v>
      </c>
      <c r="B2464" s="93"/>
    </row>
    <row r="2465">
      <c r="A2465" s="384" t="str">
        <f>IFERROR(__xludf.DUMMYFUNCTION("""COMPUTED_VALUE"""),"Luciana Onety Da Gama Sobral | Pedagogia | Aprovada | Alexsiane: aprovado no remoto antigo com lanaçemnto no Sponte")</f>
        <v>Luciana Onety Da Gama Sobral | Pedagogia | Aprovada | Alexsiane: aprovado no remoto antigo com lanaçemnto no Sponte</v>
      </c>
      <c r="B2465" s="93"/>
    </row>
    <row r="2466">
      <c r="A2466" s="384" t="str">
        <f>IFERROR(__xludf.DUMMYFUNCTION("""COMPUTED_VALUE"""),"Luciana Pacheco Pereira | Artes Visuais | aprovado | Aline Silva: aprovada // Recebido dia 11/02/2020")</f>
        <v>Luciana Pacheco Pereira | Artes Visuais | aprovado | Aline Silva: aprovada // Recebido dia 11/02/2020</v>
      </c>
      <c r="B2466" s="93"/>
    </row>
    <row r="2467">
      <c r="A2467" s="384" t="str">
        <f>IFERROR(__xludf.DUMMYFUNCTION("""COMPUTED_VALUE"""),"Luciana Perácio Finelli | Filosofia | Aprovada | Bianca: aprovada no Remoto Antigo")</f>
        <v>Luciana Perácio Finelli | Filosofia | Aprovada | Bianca: aprovada no Remoto Antigo</v>
      </c>
      <c r="B2467" s="93"/>
    </row>
    <row r="2468">
      <c r="A2468" s="384" t="str">
        <f>IFERROR(__xludf.DUMMYFUNCTION("""COMPUTED_VALUE"""),"Luciana Pereira Fernandes | Pedagogia | Aprovada | Bianca: aprovado nas 3 primeiras etapas do remoto antigo //Bárbara: aprovada na 4ª etapa 02/06/21")</f>
        <v>Luciana Pereira Fernandes | Pedagogia | Aprovada | Bianca: aprovado nas 3 primeiras etapas do remoto antigo //Bárbara: aprovada na 4ª etapa 02/06/21</v>
      </c>
      <c r="B2468" s="93"/>
    </row>
    <row r="2469">
      <c r="A2469" s="384" t="str">
        <f>IFERROR(__xludf.DUMMYFUNCTION("""COMPUTED_VALUE"""),"Luciana Ribeiro Castro Silva | Pedagogia | Aprovada | Júnio: conferido físico e aprovada")</f>
        <v>Luciana Ribeiro Castro Silva | Pedagogia | Aprovada | Júnio: conferido físico e aprovada</v>
      </c>
      <c r="B2469" s="93"/>
    </row>
    <row r="2470">
      <c r="A2470" s="384" t="str">
        <f>IFERROR(__xludf.DUMMYFUNCTION("""COMPUTED_VALUE"""),"Luciana Ribeiro Cavalcante | Pedagogia | Em análise | Bárbara: terminar preencher carta de apresentação, completar fichas e autotizado a recolher assinaturas/ Declaração de experiência de estágio não válida para isenção da 3ª etapa, e não envieou nenhum r"&amp;"elatório ")</f>
        <v>Luciana Ribeiro Cavalcante | Pedagogia | Em análise | Bárbara: terminar preencher carta de apresentação, completar fichas e autotizado a recolher assinaturas/ Declaração de experiência de estágio não válida para isenção da 3ª etapa, e não envieou nenhum relatório </v>
      </c>
      <c r="B2470" s="93"/>
    </row>
    <row r="2471">
      <c r="A2471" s="384" t="str">
        <f>IFERROR(__xludf.DUMMYFUNCTION("""COMPUTED_VALUE"""),"Luciana Ricardo Farina | Pedagogia | Em análise | Bárbara: faltou sumário, e erros de formatação")</f>
        <v>Luciana Ricardo Farina | Pedagogia | Em análise | Bárbara: faltou sumário, e erros de formatação</v>
      </c>
      <c r="B2471" s="93"/>
    </row>
    <row r="2472">
      <c r="A2472" s="384" t="str">
        <f>IFERROR(__xludf.DUMMYFUNCTION("""COMPUTED_VALUE"""),"Luciana Rodrigues Da Conceição | Matemática | Aprovada | Alexsiane: falta relatórios de regência e gestão, especificar nas fichas de registro o tipo de acompanhameto e serie 16/02 reenvia // Alexsiane: pré aprovada, autorizada a autenticar 12/04 reenviaer"&amp;" //Júnio: aprovada:19/05/23")</f>
        <v>Luciana Rodrigues Da Conceição | Matemática | Aprovada | Alexsiane: falta relatórios de regência e gestão, especificar nas fichas de registro o tipo de acompanhameto e serie 16/02 reenvia // Alexsiane: pré aprovada, autorizada a autenticar 12/04 reenviaer //Júnio: aprovada:19/05/23</v>
      </c>
      <c r="B2472" s="93"/>
    </row>
    <row r="2473">
      <c r="A2473" s="384" t="str">
        <f>IFERROR(__xludf.DUMMYFUNCTION("""COMPUTED_VALUE"""),"Luciana Rodrigues Monteiro Silva | Pedagogia | Aprovada | Júnio: PP aprovada")</f>
        <v>Luciana Rodrigues Monteiro Silva | Pedagogia | Aprovada | Júnio: PP aprovada</v>
      </c>
      <c r="B2473" s="93"/>
    </row>
    <row r="2474">
      <c r="A2474" s="384" t="str">
        <f>IFERROR(__xludf.DUMMYFUNCTION("""COMPUTED_VALUE"""),"Luciana Rossi Moita | Neuropsicopedagogia Institucional,Clínica E Hospitalar | Aprovada | Alexsiane:  aprovada no remoto com lançamento no sponte")</f>
        <v>Luciana Rossi Moita | Neuropsicopedagogia Institucional,Clínica E Hospitalar | Aprovada | Alexsiane:  aprovada no remoto com lançamento no sponte</v>
      </c>
      <c r="B2474" s="93"/>
    </row>
    <row r="2475">
      <c r="A2475" s="384" t="str">
        <f>IFERROR(__xludf.DUMMYFUNCTION("""COMPUTED_VALUE"""),"Luciana Santos De Oliveira Lopes | Neuropsicologia Clínica | Aprovada | Lucas: Aprovada no estágio remoto pós ")</f>
        <v>Luciana Santos De Oliveira Lopes | Neuropsicologia Clínica | Aprovada | Lucas: Aprovada no estágio remoto pós </v>
      </c>
      <c r="B2475" s="93"/>
    </row>
    <row r="2476">
      <c r="A2476" s="384" t="str">
        <f>IFERROR(__xludf.DUMMYFUNCTION("""COMPUTED_VALUE"""),"Luciana Schmidt | Letras Espanhol | Aprovado | Júnio: fez 80 hs nas fichas, falta todo o resto//PP Aprovado 09/04")</f>
        <v>Luciana Schmidt | Letras Espanhol | Aprovado | Júnio: fez 80 hs nas fichas, falta todo o resto//PP Aprovado 09/04</v>
      </c>
      <c r="B2476" s="93"/>
    </row>
    <row r="2477">
      <c r="A2477" s="384" t="str">
        <f>IFERROR(__xludf.DUMMYFUNCTION("""COMPUTED_VALUE"""),"Luciana Schmidt | Pedagogia | Aprovado | Alexsiane: pp aprovado")</f>
        <v>Luciana Schmidt | Pedagogia | Aprovado | Alexsiane: pp aprovado</v>
      </c>
      <c r="B2477" s="93"/>
    </row>
    <row r="2478">
      <c r="A2478" s="384" t="str">
        <f>IFERROR(__xludf.DUMMYFUNCTION("""COMPUTED_VALUE"""),"Luciana Suzart Santana | Pedagogia | Aprovada  | Bianca: autorizado a recolher assinaturas// Bárbara: aprovada 09/11/2021 //Júnio:conferido e arquivado: 26/11/21")</f>
        <v>Luciana Suzart Santana | Pedagogia | Aprovada  | Bianca: autorizado a recolher assinaturas// Bárbara: aprovada 09/11/2021 //Júnio:conferido e arquivado: 26/11/21</v>
      </c>
      <c r="B2478" s="93"/>
    </row>
    <row r="2479">
      <c r="A2479" s="384" t="str">
        <f>IFERROR(__xludf.DUMMYFUNCTION("""COMPUTED_VALUE"""),"Luciana Tintori | Pedagogia | Aprovada | Júnio: falta complementar a ficha de registro e preencher a carta de apresentação. /PRAZO 10 DIAS: 16/04/2022 //Júnio: físico recebido pela Samira em 11/05/23")</f>
        <v>Luciana Tintori | Pedagogia | Aprovada | Júnio: falta complementar a ficha de registro e preencher a carta de apresentação. /PRAZO 10 DIAS: 16/04/2022 //Júnio: físico recebido pela Samira em 11/05/23</v>
      </c>
      <c r="B2479" s="93"/>
    </row>
    <row r="2480">
      <c r="A2480" s="384" t="str">
        <f>IFERROR(__xludf.DUMMYFUNCTION("""COMPUTED_VALUE"""),"Luciane Aparecida Baldaia | Pedagogia | Aprovada | Aline Silva: enviou todas as horas, falta a parte dissertativa do trabalho.// Bárbara: aprovada 14/04, conferido e arquivado 14/04/2021")</f>
        <v>Luciane Aparecida Baldaia | Pedagogia | Aprovada | Aline Silva: enviou todas as horas, falta a parte dissertativa do trabalho.// Bárbara: aprovada 14/04, conferido e arquivado 14/04/2021</v>
      </c>
      <c r="B2480" s="93"/>
    </row>
    <row r="2481">
      <c r="A2481" s="384" t="str">
        <f>IFERROR(__xludf.DUMMYFUNCTION("""COMPUTED_VALUE"""),"Luciane De Jesus Velasquez | Neuropsicopedagogia Institucional Clínica E Hospitalar | aprovado | Júnio: 25% plágio, consertar dados, margens. Criar introdução, falar da família, escola, dificuldades, objetivos. Consertar fichas de registro e anexar carta "&amp;"de encaminhamento.// Alexsiane: pré aprovado com lançamento no sponte (possui fichas) //Júnio: físico conferido e arquivado: 30/08/2022")</f>
        <v>Luciane De Jesus Velasquez | Neuropsicopedagogia Institucional Clínica E Hospitalar | aprovado | Júnio: 25% plágio, consertar dados, margens. Criar introdução, falar da família, escola, dificuldades, objetivos. Consertar fichas de registro e anexar carta de encaminhamento.// Alexsiane: pré aprovado com lançamento no sponte (possui fichas) //Júnio: físico conferido e arquivado: 30/08/2022</v>
      </c>
      <c r="B2481" s="93"/>
    </row>
    <row r="2482">
      <c r="A2482" s="384" t="str">
        <f>IFERROR(__xludf.DUMMYFUNCTION("""COMPUTED_VALUE"""),"Luciane Nunes Pinto | Pedagogia Bt | Em análise | Alexsiane: Pcc III: está faltando •Epígrafe;•Tabela de registro das atividades;•Sumário;•Desenvolvimento;
•  Consideraçõs finais; •Referências. 
PCC I, II e IV APROVADOS. Está faltando o PP ")</f>
        <v>Luciane Nunes Pinto | Pedagogia Bt | Em análise | Alexsiane: Pcc III: está faltando •Epígrafe;•Tabela de registro das atividades;•Sumário;•Desenvolvimento;
•  Consideraçõs finais; •Referências. 
PCC I, II e IV APROVADOS. Está faltando o PP </v>
      </c>
      <c r="B2482" s="93"/>
    </row>
    <row r="2483">
      <c r="A2483" s="384" t="str">
        <f>IFERROR(__xludf.DUMMYFUNCTION("""COMPUTED_VALUE"""),"Luciane Nunes Pinto | Pedagogia | Em analise | Mariana: bncc corrigir plagio ")</f>
        <v>Luciane Nunes Pinto | Pedagogia | Em analise | Mariana: bncc corrigir plagio </v>
      </c>
      <c r="B2483" s="93"/>
    </row>
    <row r="2484">
      <c r="A2484" s="384" t="str">
        <f>IFERROR(__xludf.DUMMYFUNCTION("""COMPUTED_VALUE"""),"Luciane Ramos Dos Santos Galvão | Pedagogia Para Bacharéis E Tecnólogos | aprovado | Júnio: PP: 45% plágio PCCs: falta enviar//Alexsiane- aprovado no pcc e pp 05/08")</f>
        <v>Luciane Ramos Dos Santos Galvão | Pedagogia Para Bacharéis E Tecnólogos | aprovado | Júnio: PP: 45% plágio PCCs: falta enviar//Alexsiane- aprovado no pcc e pp 05/08</v>
      </c>
      <c r="B2484" s="93"/>
    </row>
    <row r="2485">
      <c r="A2485" s="384" t="str">
        <f>IFERROR(__xludf.DUMMYFUNCTION("""COMPUTED_VALUE"""),"Luciane Ramos Dos Santos Galvão | Pedagogia Bt | aprovado | Alexsiane, pp deu 30% de plágio, pcc I tem que complementar com mais 1 página e faltta pcc II,III e IV")</f>
        <v>Luciane Ramos Dos Santos Galvão | Pedagogia Bt | aprovado | Alexsiane, pp deu 30% de plágio, pcc I tem que complementar com mais 1 página e faltta pcc II,III e IV</v>
      </c>
      <c r="B2485" s="93"/>
    </row>
    <row r="2486">
      <c r="A2486" s="384" t="str">
        <f>IFERROR(__xludf.DUMMYFUNCTION("""COMPUTED_VALUE"""),"Luciani Maria Carbinatti | Artes Visuais | Aprovada | Júnio: PP-8% plágio //Júnio: aprovada: 16/08/23")</f>
        <v>Luciani Maria Carbinatti | Artes Visuais | Aprovada | Júnio: PP-8% plágio //Júnio: aprovada: 16/08/23</v>
      </c>
      <c r="B2486" s="93"/>
    </row>
    <row r="2487">
      <c r="A2487" s="384" t="str">
        <f>IFERROR(__xludf.DUMMYFUNCTION("""COMPUTED_VALUE"""),"Luciano Adversi | Pedagogia | Aprovado | Júnio: PP aprovado")</f>
        <v>Luciano Adversi | Pedagogia | Aprovado | Júnio: PP aprovado</v>
      </c>
      <c r="B2487" s="93"/>
    </row>
    <row r="2488">
      <c r="A2488" s="384" t="str">
        <f>IFERROR(__xludf.DUMMYFUNCTION("""COMPUTED_VALUE"""),"Luciano De Oliveira | Educação Física | em análise | Alexsiane:14% de plágio e tem qu eenviar a entrevista em formato de pergunta e respostas")</f>
        <v>Luciano De Oliveira | Educação Física | em análise | Alexsiane:14% de plágio e tem qu eenviar a entrevista em formato de pergunta e respostas</v>
      </c>
      <c r="B2488" s="93"/>
    </row>
    <row r="2489">
      <c r="A2489" s="384" t="str">
        <f>IFERROR(__xludf.DUMMYFUNCTION("""COMPUTED_VALUE"""),"Luciano Ferreira Dos Santos | Matemática | Aprovado | Júnio: fichas todas erradas, precisa especificar tipo de acompanhamento, corrigir os dias que estão com total errado, alguns dias estão ultrapassando 6 hs, excluir os dias que não tem aula e complement"&amp;"ar com mais 80 hs de gestão. //Júnio: aprovado: 12/09/23")</f>
        <v>Luciano Ferreira Dos Santos | Matemática | Aprovado | Júnio: fichas todas erradas, precisa especificar tipo de acompanhamento, corrigir os dias que estão com total errado, alguns dias estão ultrapassando 6 hs, excluir os dias que não tem aula e complementar com mais 80 hs de gestão. //Júnio: aprovado: 12/09/23</v>
      </c>
      <c r="B2489" s="93"/>
    </row>
    <row r="2490">
      <c r="A2490" s="384" t="str">
        <f>IFERROR(__xludf.DUMMYFUNCTION("""COMPUTED_VALUE"""),"Luciano Ferreira Dos Santos | Matemática | Em análise | Júnio: PP - 21% plágio, falta a etapa 2")</f>
        <v>Luciano Ferreira Dos Santos | Matemática | Em análise | Júnio: PP - 21% plágio, falta a etapa 2</v>
      </c>
      <c r="B2490" s="93"/>
    </row>
    <row r="2491">
      <c r="A2491" s="384" t="str">
        <f>IFERROR(__xludf.DUMMYFUNCTION("""COMPUTED_VALUE"""),"Luciano Geraldo Parreiras | Matemática | Aprovado | Estella: estágio aprovado")</f>
        <v>Luciano Geraldo Parreiras | Matemática | Aprovado | Estella: estágio aprovado</v>
      </c>
      <c r="B2491" s="93"/>
    </row>
    <row r="2492">
      <c r="A2492" s="384" t="str">
        <f>IFERROR(__xludf.DUMMYFUNCTION("""COMPUTED_VALUE"""),"Luciano Geraldo Parreiras | :Segunda Licenciatura Em Educação Física | Análsie | Rayssa Falta PP completa")</f>
        <v>Luciano Geraldo Parreiras | :Segunda Licenciatura Em Educação Física | Análsie | Rayssa Falta PP completa</v>
      </c>
      <c r="B2492" s="93"/>
    </row>
    <row r="2493">
      <c r="A2493" s="384" t="str">
        <f>IFERROR(__xludf.DUMMYFUNCTION("""COMPUTED_VALUE"""),"Luciano Henrique Silva Rodrigues | Ed Física | Aprovado | Ana Flávia: aprovado nas 3 etapas do remoto //Júnio: aprovado na aula gravada: 04/04/22")</f>
        <v>Luciano Henrique Silva Rodrigues | Ed Física | Aprovado | Ana Flávia: aprovado nas 3 etapas do remoto //Júnio: aprovado na aula gravada: 04/04/22</v>
      </c>
      <c r="B2493" s="93"/>
    </row>
    <row r="2494">
      <c r="A2494" s="384" t="str">
        <f>IFERROR(__xludf.DUMMYFUNCTION("""COMPUTED_VALUE"""),"Luciano Machado Da Silva | 2ª Licenciatura Em Música | Em análise | Cris: não enviou documentação")</f>
        <v>Luciano Machado Da Silva | 2ª Licenciatura Em Música | Em análise | Cris: não enviou documentação</v>
      </c>
      <c r="B2494" s="93"/>
    </row>
    <row r="2495">
      <c r="A2495" s="384" t="str">
        <f>IFERROR(__xludf.DUMMYFUNCTION("""COMPUTED_VALUE"""),"Luciano Rodrigues Santos | Ciências Sociais | Aprovado | Bárbara: autorizado a recolher as assinaturas //Júnio: 03/08/22- físico conferido, carta de apresentação e termo de conclusão vieram com assinaturas impressas. //Júnio: 24/08/22 - físico conferido e"&amp;" arquivado, fichas vieram certas")</f>
        <v>Luciano Rodrigues Santos | Ciências Sociais | Aprovado | Bárbara: autorizado a recolher as assinaturas //Júnio: 03/08/22- físico conferido, carta de apresentação e termo de conclusão vieram com assinaturas impressas. //Júnio: 24/08/22 - físico conferido e arquivado, fichas vieram certas</v>
      </c>
      <c r="B2495" s="93"/>
    </row>
    <row r="2496">
      <c r="A2496" s="384" t="str">
        <f>IFERROR(__xludf.DUMMYFUNCTION("""COMPUTED_VALUE"""),"Luciara Palacios Escobar | Música | Aprovada | Júnio: falta a carta de apresentação //Júnio: aprovada 18/12/23")</f>
        <v>Luciara Palacios Escobar | Música | Aprovada | Júnio: falta a carta de apresentação //Júnio: aprovada 18/12/23</v>
      </c>
      <c r="B2496" s="93"/>
    </row>
    <row r="2497">
      <c r="A2497" s="384" t="str">
        <f>IFERROR(__xludf.DUMMYFUNCTION("""COMPUTED_VALUE"""),"Lucicleide Paz Da Silva | Pedagogia | Aprovada | Júnio: PP - complementar a etapa I com mais páginas //Júnio: aprovada: 22/12/23")</f>
        <v>Lucicleide Paz Da Silva | Pedagogia | Aprovada | Júnio: PP - complementar a etapa I com mais páginas //Júnio: aprovada: 22/12/23</v>
      </c>
      <c r="B2497" s="93"/>
    </row>
    <row r="2498">
      <c r="A2498" s="384" t="str">
        <f>IFERROR(__xludf.DUMMYFUNCTION("""COMPUTED_VALUE"""),"Lucicleide Paz Da Silva | Educação Especial | Aprovada | Júnio: PP - complementar a etapa I com mais páginas //Júnio: aprovada: 22/12/23")</f>
        <v>Lucicleide Paz Da Silva | Educação Especial | Aprovada | Júnio: PP - complementar a etapa I com mais páginas //Júnio: aprovada: 22/12/23</v>
      </c>
      <c r="B2498" s="93"/>
    </row>
    <row r="2499">
      <c r="A2499" s="384" t="str">
        <f>IFERROR(__xludf.DUMMYFUNCTION("""COMPUTED_VALUE"""),"Luciédina Rocha Da Silva Leonel | Pedagogia | Aprovado | Edilaine: Enviou somente as fichas de registro. Tem que corrigir o total de horas da ficha do ensino fundamental I. //// Edilaine: Pré- aprovada 10/03/2023// Alexsiane: aprovado com lançamento no ja"&amp;"cad 14/03/2023")</f>
        <v>Luciédina Rocha Da Silva Leonel | Pedagogia | Aprovado | Edilaine: Enviou somente as fichas de registro. Tem que corrigir o total de horas da ficha do ensino fundamental I. //// Edilaine: Pré- aprovada 10/03/2023// Alexsiane: aprovado com lançamento no jacad 14/03/2023</v>
      </c>
      <c r="B2499" s="93"/>
    </row>
    <row r="2500">
      <c r="A2500" s="384" t="str">
        <f>IFERROR(__xludf.DUMMYFUNCTION("""COMPUTED_VALUE"""),"Luciene Balieiro | Pedagogia | Aprovada | Bárbara: aprovada nas 3 primeiras etapas do remoto e apresentou declaração de experiência válida// Bárbara: conferido e arquivado 17/05/2021")</f>
        <v>Luciene Balieiro | Pedagogia | Aprovada | Bárbara: aprovada nas 3 primeiras etapas do remoto e apresentou declaração de experiência válida// Bárbara: conferido e arquivado 17/05/2021</v>
      </c>
      <c r="B2500" s="93"/>
    </row>
    <row r="2501">
      <c r="A2501" s="384" t="str">
        <f>IFERROR(__xludf.DUMMYFUNCTION("""COMPUTED_VALUE"""),"Luciene Batista Vieira |  | Aprovado | Mandei enviar pelo correio (07/12).")</f>
        <v>Luciene Batista Vieira |  | Aprovado | Mandei enviar pelo correio (07/12).</v>
      </c>
      <c r="B2501" s="93"/>
    </row>
    <row r="2502">
      <c r="A2502" s="384" t="str">
        <f>IFERROR(__xludf.DUMMYFUNCTION("""COMPUTED_VALUE"""),"Luciene Camargo Do Carmo Farias | Pedagogia | Aprovado | Thiara: Falta horas de Gestão e a declaração de trabalho não se aplica para recução de carga horária, pois não corresponde a mesma disciplina. Entregue no Instituto 25/04/2019.")</f>
        <v>Luciene Camargo Do Carmo Farias | Pedagogia | Aprovado | Thiara: Falta horas de Gestão e a declaração de trabalho não se aplica para recução de carga horária, pois não corresponde a mesma disciplina. Entregue no Instituto 25/04/2019.</v>
      </c>
      <c r="B2502" s="93"/>
    </row>
    <row r="2503">
      <c r="A2503" s="384" t="str">
        <f>IFERROR(__xludf.DUMMYFUNCTION("""COMPUTED_VALUE"""),"Luciene Da Silva Borba Da Fonseca | Neuropsicopedagogia Institucional, Clínica E Hospitalar | Em análise | Alexsiane: Estágio está faltando a carta de apresentação, fichas de registro e termo de conclusão.")</f>
        <v>Luciene Da Silva Borba Da Fonseca | Neuropsicopedagogia Institucional, Clínica E Hospitalar | Em análise | Alexsiane: Estágio está faltando a carta de apresentação, fichas de registro e termo de conclusão.</v>
      </c>
      <c r="B2503" s="93"/>
    </row>
    <row r="2504">
      <c r="A2504" s="384" t="str">
        <f>IFERROR(__xludf.DUMMYFUNCTION("""COMPUTED_VALUE"""),"Luciene Da Silva Borba Da Fonseca | Neuropsicopedagogia Institucional, Clínica E Hospitalar | Aprovado | Alexsiane: pp aprovado")</f>
        <v>Luciene Da Silva Borba Da Fonseca | Neuropsicopedagogia Institucional, Clínica E Hospitalar | Aprovado | Alexsiane: pp aprovado</v>
      </c>
      <c r="B2504" s="93"/>
    </row>
    <row r="2505">
      <c r="A2505" s="384" t="str">
        <f>IFERROR(__xludf.DUMMYFUNCTION("""COMPUTED_VALUE"""),"Luciene De Cássia Prado Pereira | História | Aprovado | Alexsiane: etapa 1,2,3 ok, falta 4° etapa do remoto antigo até dia 16/10 para reenviar// Alexsiane: aprovado no video da 4° etapa com lançamento no sponte")</f>
        <v>Luciene De Cássia Prado Pereira | História | Aprovado | Alexsiane: etapa 1,2,3 ok, falta 4° etapa do remoto antigo até dia 16/10 para reenviar// Alexsiane: aprovado no video da 4° etapa com lançamento no sponte</v>
      </c>
      <c r="B2505" s="93"/>
    </row>
    <row r="2506">
      <c r="A2506" s="384" t="str">
        <f>IFERROR(__xludf.DUMMYFUNCTION("""COMPUTED_VALUE"""),"Luciene Do Nascimento Da Cruz | Pedagogia | Aprovado | Alexsiane: Reenviar dia 14/05/2024 é quando completa 6 meses// Alexsiane: aprovada 15/05")</f>
        <v>Luciene Do Nascimento Da Cruz | Pedagogia | Aprovado | Alexsiane: Reenviar dia 14/05/2024 é quando completa 6 meses// Alexsiane: aprovada 15/05</v>
      </c>
      <c r="B2506" s="93"/>
    </row>
    <row r="2507">
      <c r="A2507" s="384" t="str">
        <f>IFERROR(__xludf.DUMMYFUNCTION("""COMPUTED_VALUE"""),"Luciene Maria Dos Santos Lara | Historia | Aprovada | Alexsiane: falta encaminhar as fichas de registro e o termo de conclusão //Júnio: pré aprovada: 27/06/23 //Júnio: aprovada: 12/07/23")</f>
        <v>Luciene Maria Dos Santos Lara | Historia | Aprovada | Alexsiane: falta encaminhar as fichas de registro e o termo de conclusão //Júnio: pré aprovada: 27/06/23 //Júnio: aprovada: 12/07/23</v>
      </c>
      <c r="B2507" s="93"/>
    </row>
    <row r="2508">
      <c r="A2508" s="384" t="str">
        <f>IFERROR(__xludf.DUMMYFUNCTION("""COMPUTED_VALUE"""),"Luciene Santos Almeida Janiques | Pedagogia | Aprovada | Júnio: etapas 1,2 e 3 ok //Bianca: aprovada na aula online 30/12")</f>
        <v>Luciene Santos Almeida Janiques | Pedagogia | Aprovada | Júnio: etapas 1,2 e 3 ok //Bianca: aprovada na aula online 30/12</v>
      </c>
      <c r="B2508" s="93"/>
    </row>
    <row r="2509">
      <c r="A2509" s="384" t="str">
        <f>IFERROR(__xludf.DUMMYFUNCTION("""COMPUTED_VALUE"""),"Luciene Vieira Santos | Pedagogia | Aprovada | Júnio: remoto antigo - falta apenas etapa 4 //Júnio: aprovada no vídeo: 18/07/22")</f>
        <v>Luciene Vieira Santos | Pedagogia | Aprovada | Júnio: remoto antigo - falta apenas etapa 4 //Júnio: aprovada no vídeo: 18/07/22</v>
      </c>
      <c r="B2509" s="93"/>
    </row>
    <row r="2510">
      <c r="A2510" s="384" t="str">
        <f>IFERROR(__xludf.DUMMYFUNCTION("""COMPUTED_VALUE"""),"Lucilaine Euzébio Da Silva Souza | Pedagogia | Aprovado | Aline Silva: aprovada após autorização da ana, visto que as fichas possuem mais de 04h diárias permitidas.// Recebido dia 11/02/2020")</f>
        <v>Lucilaine Euzébio Da Silva Souza | Pedagogia | Aprovado | Aline Silva: aprovada após autorização da ana, visto que as fichas possuem mais de 04h diárias permitidas.// Recebido dia 11/02/2020</v>
      </c>
      <c r="B2510" s="93"/>
    </row>
    <row r="2511">
      <c r="A2511" s="384" t="str">
        <f>IFERROR(__xludf.DUMMYFUNCTION("""COMPUTED_VALUE"""),"Lucilene Alem Cardoso | Artes Visuais | Aprovada | Júnio: PP aprovada")</f>
        <v>Lucilene Alem Cardoso | Artes Visuais | Aprovada | Júnio: PP aprovada</v>
      </c>
      <c r="B2511" s="93"/>
    </row>
    <row r="2512">
      <c r="A2512" s="384" t="str">
        <f>IFERROR(__xludf.DUMMYFUNCTION("""COMPUTED_VALUE"""),"Lucilene Alves Do Nascimento | Letras/Português | Aprovado | Alexsiane: 15% de plágio(aceitei a declaração de experiência) Até dia 15/05/2022 para reenviar  // Alexsiane: aprovado com lançamento no sponte 19/08/2022")</f>
        <v>Lucilene Alves Do Nascimento | Letras/Português | Aprovado | Alexsiane: 15% de plágio(aceitei a declaração de experiência) Até dia 15/05/2022 para reenviar  // Alexsiane: aprovado com lançamento no sponte 19/08/2022</v>
      </c>
      <c r="B2512" s="93"/>
    </row>
    <row r="2513">
      <c r="A2513" s="384" t="str">
        <f>IFERROR(__xludf.DUMMYFUNCTION("""COMPUTED_VALUE"""),"Lucilene Cardoso De Souza | Ciências Biologicas | Aprovado | Thiara: Fez TDG.")</f>
        <v>Lucilene Cardoso De Souza | Ciências Biologicas | Aprovado | Thiara: Fez TDG.</v>
      </c>
      <c r="B2513" s="93"/>
    </row>
    <row r="2514">
      <c r="A2514" s="384" t="str">
        <f>IFERROR(__xludf.DUMMYFUNCTION("""COMPUTED_VALUE"""),"Lucilene Felix Luiz Rodrigues | Geografia | Aprovada  | Bianca: aprovada nas 3 1° etapas do remoto atualizado// Bárbara: aprovada na quarta etapa dia 20/01/22 na apresentação da aula. ")</f>
        <v>Lucilene Felix Luiz Rodrigues | Geografia | Aprovada  | Bianca: aprovada nas 3 1° etapas do remoto atualizado// Bárbara: aprovada na quarta etapa dia 20/01/22 na apresentação da aula. </v>
      </c>
      <c r="B2514" s="93"/>
    </row>
    <row r="2515">
      <c r="A2515" s="384" t="str">
        <f>IFERROR(__xludf.DUMMYFUNCTION("""COMPUTED_VALUE"""),"Lucilene Garcia Da Silva Boaventura Lemes | Artes Visuais | Aprovada | Júnio: PP - falta responder o questionário //Júnio: aprovada: 06/11/2023")</f>
        <v>Lucilene Garcia Da Silva Boaventura Lemes | Artes Visuais | Aprovada | Júnio: PP - falta responder o questionário //Júnio: aprovada: 06/11/2023</v>
      </c>
      <c r="B2515" s="93"/>
    </row>
    <row r="2516">
      <c r="A2516" s="384" t="str">
        <f>IFERROR(__xludf.DUMMYFUNCTION("""COMPUTED_VALUE"""),"Lucimar Antônio De Lima | Letras/Português | Aprovado | Bárbara: Declaração de experiência aceita //Júnio: aprovado: 02/10/23")</f>
        <v>Lucimar Antônio De Lima | Letras/Português | Aprovado | Bárbara: Declaração de experiência aceita //Júnio: aprovado: 02/10/23</v>
      </c>
      <c r="B2516" s="93"/>
    </row>
    <row r="2517">
      <c r="A2517" s="384" t="str">
        <f>IFERROR(__xludf.DUMMYFUNCTION("""COMPUTED_VALUE"""),"Lucimar Antônio De Lima | Pedagogia | aprovado | Edilaine: Tem que enviar o trabalho em word editável, falta termo de conclusão. Nas fichas de registro falta  especificar a série, tema e o tipo de acompanhamento. Falta 60 horas//Alexsiane: pré aprovada, a"&amp;"utorizada a autenticar //Alexsiane: aprovado com lançamento no jacad 05/04/2023")</f>
        <v>Lucimar Antônio De Lima | Pedagogia | aprovado | Edilaine: Tem que enviar o trabalho em word editável, falta termo de conclusão. Nas fichas de registro falta  especificar a série, tema e o tipo de acompanhamento. Falta 60 horas//Alexsiane: pré aprovada, autorizada a autenticar //Alexsiane: aprovado com lançamento no jacad 05/04/2023</v>
      </c>
      <c r="B2517" s="93"/>
    </row>
    <row r="2518">
      <c r="A2518" s="384" t="str">
        <f>IFERROR(__xludf.DUMMYFUNCTION("""COMPUTED_VALUE"""),"Lucimar Geralda Da Silva | Pedagogia | aprovado | Aline Silva: Aprovada")</f>
        <v>Lucimar Geralda Da Silva | Pedagogia | aprovado | Aline Silva: Aprovada</v>
      </c>
      <c r="B2518" s="93"/>
    </row>
    <row r="2519">
      <c r="A2519" s="384" t="str">
        <f>IFERROR(__xludf.DUMMYFUNCTION("""COMPUTED_VALUE"""),"Lucimar Geralda Da Silva | Pedagogia | Aprovada | Bianca: autorizada a recolher assinaturas //Bianca: aprovada:06/07/21 //Júnio: conferido e arquivado: 06/08/2021")</f>
        <v>Lucimar Geralda Da Silva | Pedagogia | Aprovada | Bianca: autorizada a recolher assinaturas //Bianca: aprovada:06/07/21 //Júnio: conferido e arquivado: 06/08/2021</v>
      </c>
      <c r="B2519" s="93"/>
    </row>
    <row r="2520">
      <c r="A2520" s="384" t="str">
        <f>IFERROR(__xludf.DUMMYFUNCTION("""COMPUTED_VALUE"""),"Lucimar Geralda Da Silva | Pedagogia | aprovado | Aline Silva: pedi para que numerasse os planos de aula, e completasse mais ricamente a descrição das atividades.// Aline: Aprovada dia 29/01/2020// Recebido dia 11/02/2020")</f>
        <v>Lucimar Geralda Da Silva | Pedagogia | aprovado | Aline Silva: pedi para que numerasse os planos de aula, e completasse mais ricamente a descrição das atividades.// Aline: Aprovada dia 29/01/2020// Recebido dia 11/02/2020</v>
      </c>
      <c r="B2520" s="93"/>
    </row>
    <row r="2521">
      <c r="A2521" s="384" t="str">
        <f>IFERROR(__xludf.DUMMYFUNCTION("""COMPUTED_VALUE"""),"Lucimara Aparecida Amorim | Pedagogia | Aprovada | Bárbara: aprovada nas etapas 1, 2 e 3. Aguardando o agendamento da 4ª etapa. // Bárbara: aprovada 4ª etapa 03/11/2020// Bárbara: imprimido, conferiod e arquivado 18/02/2021")</f>
        <v>Lucimara Aparecida Amorim | Pedagogia | Aprovada | Bárbara: aprovada nas etapas 1, 2 e 3. Aguardando o agendamento da 4ª etapa. // Bárbara: aprovada 4ª etapa 03/11/2020// Bárbara: imprimido, conferiod e arquivado 18/02/2021</v>
      </c>
      <c r="B2521" s="93"/>
    </row>
    <row r="2522">
      <c r="A2522" s="384" t="str">
        <f>IFERROR(__xludf.DUMMYFUNCTION("""COMPUTED_VALUE"""),"Lucimaria Pereira Dos Santos | Neuropsicopedagogia Institucional,Clínica E Hospitalar | Em análise | Alexsiane: enviou somente a declaração de experiência (não foi aceita pois está como professora) Falta todo o restante, estágio de 150H")</f>
        <v>Lucimaria Pereira Dos Santos | Neuropsicopedagogia Institucional,Clínica E Hospitalar | Em análise | Alexsiane: enviou somente a declaração de experiência (não foi aceita pois está como professora) Falta todo o restante, estágio de 150H</v>
      </c>
      <c r="B2522" s="93"/>
    </row>
    <row r="2523">
      <c r="A2523" s="384" t="str">
        <f>IFERROR(__xludf.DUMMYFUNCTION("""COMPUTED_VALUE"""),"Lucimeire Aparecida Silva Rosa | Letras/Português-Inglês | Aprovada | Alexsiane: Enviar novamente os 20 planos de aula, termo de conclusão e ficha de registro, pois estva em ícone e carta de apresentação ilegível. //Júnio: físico, conferido e arquivado: 1"&amp;"5/08/22")</f>
        <v>Lucimeire Aparecida Silva Rosa | Letras/Português-Inglês | Aprovada | Alexsiane: Enviar novamente os 20 planos de aula, termo de conclusão e ficha de registro, pois estva em ícone e carta de apresentação ilegível. //Júnio: físico, conferido e arquivado: 15/08/22</v>
      </c>
      <c r="B2523" s="93"/>
    </row>
    <row r="2524">
      <c r="A2524" s="384" t="str">
        <f>IFERROR(__xludf.DUMMYFUNCTION("""COMPUTED_VALUE"""),"Lucinéa Cordelli Lorenço | Pedagogia C/ Enf. | Aprovado | Thiara: aprovado após consultar a Ana Lúcia que pediu para avisar no e-mail que o trabalho pode não ser aceito devido não está separado por grupos. Recebido no Instituto dia 21/08/2019.")</f>
        <v>Lucinéa Cordelli Lorenço | Pedagogia C/ Enf. | Aprovado | Thiara: aprovado após consultar a Ana Lúcia que pediu para avisar no e-mail que o trabalho pode não ser aceito devido não está separado por grupos. Recebido no Instituto dia 21/08/2019.</v>
      </c>
      <c r="B2524" s="93"/>
    </row>
    <row r="2525">
      <c r="A2525" s="384" t="str">
        <f>IFERROR(__xludf.DUMMYFUNCTION("""COMPUTED_VALUE"""),"Lucinea De Oliveira Bastos Ramos | Geografia | Aprovada  | Bárbara: aprovada com lançamento no sponte")</f>
        <v>Lucinea De Oliveira Bastos Ramos | Geografia | Aprovada  | Bárbara: aprovada com lançamento no sponte</v>
      </c>
      <c r="B2525" s="93"/>
    </row>
    <row r="2526">
      <c r="A2526" s="384" t="str">
        <f>IFERROR(__xludf.DUMMYFUNCTION("""COMPUTED_VALUE"""),"Lucinéia De Araújo Reghin | Pedagogia | Aprovada | Júnio: remoto atualizado - consertar ficha de registro. Inserir carta de aceite, termo de conclusão// Alexsiane: Pré-Aprovada com lançamento no sponte//  Pamela 27/12/2022 Conferido e arquivado. ")</f>
        <v>Lucinéia De Araújo Reghin | Pedagogia | Aprovada | Júnio: remoto atualizado - consertar ficha de registro. Inserir carta de aceite, termo de conclusão// Alexsiane: Pré-Aprovada com lançamento no sponte//  Pamela 27/12/2022 Conferido e arquivado. </v>
      </c>
      <c r="B2526" s="93"/>
    </row>
    <row r="2527">
      <c r="A2527" s="384" t="str">
        <f>IFERROR(__xludf.DUMMYFUNCTION("""COMPUTED_VALUE"""),"Lucinéia Dornas Celestino |  | Aprovado | Mandei enviar pelo correio (07/12).")</f>
        <v>Lucinéia Dornas Celestino |  | Aprovado | Mandei enviar pelo correio (07/12).</v>
      </c>
      <c r="B2527" s="93"/>
    </row>
    <row r="2528">
      <c r="A2528" s="384" t="str">
        <f>IFERROR(__xludf.DUMMYFUNCTION("""COMPUTED_VALUE"""),"Lucineia Imaculada De Morais | Matemática | Aprovado | Estella: Aprovado. Recebido dia 18/06/2019.")</f>
        <v>Lucineia Imaculada De Morais | Matemática | Aprovado | Estella: Aprovado. Recebido dia 18/06/2019.</v>
      </c>
      <c r="B2528" s="93"/>
    </row>
    <row r="2529">
      <c r="A2529" s="384" t="str">
        <f>IFERROR(__xludf.DUMMYFUNCTION("""COMPUTED_VALUE"""),"Lucineia Oliveira Amorim Dos Santos | Geografia | Aprovada | Júnio: PP - 14% plágio e falta a etapa 2.// Aprovada: 01/02/24, entrou como aluna retroativa.")</f>
        <v>Lucineia Oliveira Amorim Dos Santos | Geografia | Aprovada | Júnio: PP - 14% plágio e falta a etapa 2.// Aprovada: 01/02/24, entrou como aluna retroativa.</v>
      </c>
      <c r="B2529" s="93"/>
    </row>
    <row r="2530">
      <c r="A2530" s="384" t="str">
        <f>IFERROR(__xludf.DUMMYFUNCTION("""COMPUTED_VALUE"""),"Lucineia Pereira De Oliveira | Letras/Português-Espanhol | Em análise | Alexsiane: Falta 60horas de gestão, encaminhar novamente os documentos escaneados e com as devidas assinaturas e falar sobre mais sobre o objetivo geral e específico //// Edilaine: Cu"&amp;"rso cancelado")</f>
        <v>Lucineia Pereira De Oliveira | Letras/Português-Espanhol | Em análise | Alexsiane: Falta 60horas de gestão, encaminhar novamente os documentos escaneados e com as devidas assinaturas e falar sobre mais sobre o objetivo geral e específico //// Edilaine: Curso cancelado</v>
      </c>
      <c r="B2530" s="93"/>
    </row>
    <row r="2531">
      <c r="A2531" s="384" t="str">
        <f>IFERROR(__xludf.DUMMYFUNCTION("""COMPUTED_VALUE"""),"Lucinéia Ramos De Jesus | História | Aprovada | Bárbara: aluna aprovada etapas 1, 2 e 3, aguardando o agendamento da 4ª etapa.// Bárbara: aprovada 4ª etapa 06/11/2020// Bárbara: conferido e arquivado 19/11/2020")</f>
        <v>Lucinéia Ramos De Jesus | História | Aprovada | Bárbara: aluna aprovada etapas 1, 2 e 3, aguardando o agendamento da 4ª etapa.// Bárbara: aprovada 4ª etapa 06/11/2020// Bárbara: conferido e arquivado 19/11/2020</v>
      </c>
      <c r="B2531" s="93"/>
    </row>
    <row r="2532">
      <c r="A2532" s="384" t="str">
        <f>IFERROR(__xludf.DUMMYFUNCTION("""COMPUTED_VALUE"""),"Lucio Flavio Moreira Dos Santos | Música | Aprovado | Alexsiane: corrigir rasuras, especificar o tipo de acompanhamento e serie, e corrigir a ficha de gestão que esrá preenchida errada. IMPORTANTE: em conversa por ligação aluno explicou as dificuldades de"&amp;" recolher assinaturas de novo e explicou sobre a rasura que foi apenas um numero e que foi porque a caneta estorou, desse modo ele foi solicitado apenas a complementaçao das fichas// Pamela: Conferido e arquivado.")</f>
        <v>Lucio Flavio Moreira Dos Santos | Música | Aprovado | Alexsiane: corrigir rasuras, especificar o tipo de acompanhamento e serie, e corrigir a ficha de gestão que esrá preenchida errada. IMPORTANTE: em conversa por ligação aluno explicou as dificuldades de recolher assinaturas de novo e explicou sobre a rasura que foi apenas um numero e que foi porque a caneta estorou, desse modo ele foi solicitado apenas a complementaçao das fichas// Pamela: Conferido e arquivado.</v>
      </c>
      <c r="B2532" s="93"/>
    </row>
    <row r="2533">
      <c r="A2533" s="384" t="str">
        <f>IFERROR(__xludf.DUMMYFUNCTION("""COMPUTED_VALUE"""),"Lúcio Marcelino Ribeiro | Geografia | Aprovado | Bárbara: etapas 1, 2 e 3 ok. Pedi para completar ficha de registro, e fazer carta de apresentação e termo de conclusão que ficaram faltante s //Júnio: aprovado: 29/06/22 //Júnio: físico recebido e arquivado"&amp;": 11/07/22")</f>
        <v>Lúcio Marcelino Ribeiro | Geografia | Aprovado | Bárbara: etapas 1, 2 e 3 ok. Pedi para completar ficha de registro, e fazer carta de apresentação e termo de conclusão que ficaram faltante s //Júnio: aprovado: 29/06/22 //Júnio: físico recebido e arquivado: 11/07/22</v>
      </c>
      <c r="B2533" s="93"/>
    </row>
    <row r="2534">
      <c r="A2534" s="384" t="str">
        <f>IFERROR(__xludf.DUMMYFUNCTION("""COMPUTED_VALUE"""),"Lúcio Marcelino Ribeiro | História | Aprovado | Júnio: faltam todas as etapas dissertativas e nas fichas de registro especificar tipo de acompanhamento, tema e série.// Alexsiane: Pp aprovado 16/02")</f>
        <v>Lúcio Marcelino Ribeiro | História | Aprovado | Júnio: faltam todas as etapas dissertativas e nas fichas de registro especificar tipo de acompanhamento, tema e série.// Alexsiane: Pp aprovado 16/02</v>
      </c>
      <c r="B2534" s="93"/>
    </row>
    <row r="2535">
      <c r="A2535" s="384" t="str">
        <f>IFERROR(__xludf.DUMMYFUNCTION("""COMPUTED_VALUE"""),"Lucy Aparecida Pimenta Neves | Artes Visuais | Aprovada | Júnio: 17% plágio, faltam 19 planos //Júnio: aprovada: 17/07/23")</f>
        <v>Lucy Aparecida Pimenta Neves | Artes Visuais | Aprovada | Júnio: 17% plágio, faltam 19 planos //Júnio: aprovada: 17/07/23</v>
      </c>
      <c r="B2535" s="93"/>
    </row>
    <row r="2536">
      <c r="A2536" s="384" t="str">
        <f>IFERROR(__xludf.DUMMYFUNCTION("""COMPUTED_VALUE"""),"Ludiana De Queiroz | Pedagogia | em análise | Aline Silva: plágio, uso de imagens")</f>
        <v>Ludiana De Queiroz | Pedagogia | em análise | Aline Silva: plágio, uso de imagens</v>
      </c>
      <c r="B2536" s="93"/>
    </row>
    <row r="2537">
      <c r="A2537" s="384" t="str">
        <f>IFERROR(__xludf.DUMMYFUNCTION("""COMPUTED_VALUE"""),"Ludiane Augusto Andrade | Letras Português Inglês | Em análise | Bianca: aprovada nas 3 1° etapas do remoto antigo")</f>
        <v>Ludiane Augusto Andrade | Letras Português Inglês | Em análise | Bianca: aprovada nas 3 1° etapas do remoto antigo</v>
      </c>
      <c r="B2537" s="93"/>
    </row>
    <row r="2538">
      <c r="A2538" s="384" t="str">
        <f>IFERROR(__xludf.DUMMYFUNCTION("""COMPUTED_VALUE"""),"Ludiane Barbosa Freitas | Letras Português Inglês | Aprovada  | Bianca: aprovada nas 3 primeiras etapas do remoto antigo// Bárbara: apresentou comprovante de experiencia válido 07/12/2021")</f>
        <v>Ludiane Barbosa Freitas | Letras Português Inglês | Aprovada  | Bianca: aprovada nas 3 primeiras etapas do remoto antigo// Bárbara: apresentou comprovante de experiencia válido 07/12/2021</v>
      </c>
      <c r="B2538" s="93"/>
    </row>
    <row r="2539">
      <c r="A2539" s="384" t="str">
        <f>IFERROR(__xludf.DUMMYFUNCTION("""COMPUTED_VALUE"""),"Ludmilla Alves De Paula | Artes Visuais | Aprovada | Júnio: aprovada com lançamento no Sponte")</f>
        <v>Ludmilla Alves De Paula | Artes Visuais | Aprovada | Júnio: aprovada com lançamento no Sponte</v>
      </c>
      <c r="B2539" s="93"/>
    </row>
    <row r="2540">
      <c r="A2540" s="384" t="str">
        <f>IFERROR(__xludf.DUMMYFUNCTION("""COMPUTED_VALUE"""),"Luedir Da Silva Jesus | Letras Port/Ing | Aprovado | Estella: Aprovado. Recebido dia 23/01/2019.Bárbara: Conferido e arquivado 15/09/2020")</f>
        <v>Luedir Da Silva Jesus | Letras Port/Ing | Aprovado | Estella: Aprovado. Recebido dia 23/01/2019.Bárbara: Conferido e arquivado 15/09/2020</v>
      </c>
      <c r="B2540" s="93"/>
    </row>
    <row r="2541">
      <c r="A2541" s="384" t="str">
        <f>IFERROR(__xludf.DUMMYFUNCTION("""COMPUTED_VALUE"""),"Luís Antonio D'agosto | Formação Pedagógica Em Pedagogia | Aprovado | Cris: PP aprovado")</f>
        <v>Luís Antonio D'agosto | Formação Pedagógica Em Pedagogia | Aprovado | Cris: PP aprovado</v>
      </c>
      <c r="B2541" s="93"/>
    </row>
    <row r="2542">
      <c r="A2542" s="384" t="str">
        <f>IFERROR(__xludf.DUMMYFUNCTION("""COMPUTED_VALUE"""),"Luis Carlos Carneiro | Música | Aprovado | Júnio: PP - enviar a carta de apresentação e entrevista digitada// Alexsiane: pp aprovado 14/05")</f>
        <v>Luis Carlos Carneiro | Música | Aprovado | Júnio: PP - enviar a carta de apresentação e entrevista digitada// Alexsiane: pp aprovado 14/05</v>
      </c>
      <c r="B2542" s="93"/>
    </row>
    <row r="2543">
      <c r="A2543" s="384" t="str">
        <f>IFERROR(__xludf.DUMMYFUNCTION("""COMPUTED_VALUE"""),"Luis Carlos Da Fonseca | Matemática | Aprovado | Thiara: mandou 250 horas de estágio não enviou horas de Gestão e Estrutura Escolar e nem enviou parte escrita do relatório.// Bárbara: conferido e arquivado 09/09/2020")</f>
        <v>Luis Carlos Da Fonseca | Matemática | Aprovado | Thiara: mandou 250 horas de estágio não enviou horas de Gestão e Estrutura Escolar e nem enviou parte escrita do relatório.// Bárbara: conferido e arquivado 09/09/2020</v>
      </c>
      <c r="B2543" s="93"/>
    </row>
    <row r="2544">
      <c r="A2544" s="384" t="str">
        <f>IFERROR(__xludf.DUMMYFUNCTION("""COMPUTED_VALUE"""),"Luis Carlos Da Fonseca | Letras Inglês | Aprovado | Júnio: PP - falta a etapa 1. //Júnio: aprovado: 16/10/2023")</f>
        <v>Luis Carlos Da Fonseca | Letras Inglês | Aprovado | Júnio: PP - falta a etapa 1. //Júnio: aprovado: 16/10/2023</v>
      </c>
      <c r="B2544" s="93"/>
    </row>
    <row r="2545">
      <c r="A2545" s="384" t="str">
        <f>IFERROR(__xludf.DUMMYFUNCTION("""COMPUTED_VALUE"""),"Luis Eduardo Lima Rêgo | Matemática | Aprovado | Alexsiane: corrigir os planos de aula,contra cheque não especifica para qual nível ele da aula. //Alexsiane: aprovado no remoto antigo com lançamento no sponte")</f>
        <v>Luis Eduardo Lima Rêgo | Matemática | Aprovado | Alexsiane: corrigir os planos de aula,contra cheque não especifica para qual nível ele da aula. //Alexsiane: aprovado no remoto antigo com lançamento no sponte</v>
      </c>
      <c r="B2545" s="93"/>
    </row>
    <row r="2546">
      <c r="A2546" s="384" t="str">
        <f>IFERROR(__xludf.DUMMYFUNCTION("""COMPUTED_VALUE"""),"Luis Fernando De Assis | Letras Port Inglês | Aprovado | Bárbara: declração de experiência válida para isenção da 3 etapa- Fichas da 4ª etapa incompletas. Falta carta de apresnetação, termo de conclusão com apenas 20 horas. Nenhuma parte teórica // Lucas:"&amp;" Aprovado, autorizado a enviar físico //Júnio: conferido e arquivado: 20/04/22")</f>
        <v>Luis Fernando De Assis | Letras Port Inglês | Aprovado | Bárbara: declração de experiência válida para isenção da 3 etapa- Fichas da 4ª etapa incompletas. Falta carta de apresnetação, termo de conclusão com apenas 20 horas. Nenhuma parte teórica // Lucas: Aprovado, autorizado a enviar físico //Júnio: conferido e arquivado: 20/04/22</v>
      </c>
      <c r="B2546" s="93"/>
    </row>
    <row r="2547">
      <c r="A2547" s="384" t="str">
        <f>IFERROR(__xludf.DUMMYFUNCTION("""COMPUTED_VALUE"""),"Luis Fernando Ferreira Torres | Ciências Sociais | Aprovado | Amélia: apenas um plano de aula, 1 e 2 etapa apenas com uma página // Bianca: aprovado 17/03/2021")</f>
        <v>Luis Fernando Ferreira Torres | Ciências Sociais | Aprovado | Amélia: apenas um plano de aula, 1 e 2 etapa apenas com uma página // Bianca: aprovado 17/03/2021</v>
      </c>
      <c r="B2547" s="93"/>
    </row>
    <row r="2548">
      <c r="A2548" s="384" t="str">
        <f>IFERROR(__xludf.DUMMYFUNCTION("""COMPUTED_VALUE"""),"Luis Omar Ferreira Da Silva | Pedagogia | Aprovado | Bárbara: Aluno enviou para análise prévia, diante disso o trabalho todo incompleto, falta resumo, sumário, introdução, conclusão, referencia, só tem 10 planos, com erros de formatação. // Ana Flávia: ap"&amp;"rovado 11/12/2020")</f>
        <v>Luis Omar Ferreira Da Silva | Pedagogia | Aprovado | Bárbara: Aluno enviou para análise prévia, diante disso o trabalho todo incompleto, falta resumo, sumário, introdução, conclusão, referencia, só tem 10 planos, com erros de formatação. // Ana Flávia: aprovado 11/12/2020</v>
      </c>
      <c r="B2548" s="93"/>
    </row>
    <row r="2549">
      <c r="A2549" s="384" t="str">
        <f>IFERROR(__xludf.DUMMYFUNCTION("""COMPUTED_VALUE"""),"Luísa Cesar Casagran | Psic. Ped. Clínica | Em análise | Thiara: enviou relatório com somente 30 horas de estágio sem assinaturas e carimbos e não enviou ficha de encaminhamento de estágio. // Recebido dia 11/12/2019")</f>
        <v>Luísa Cesar Casagran | Psic. Ped. Clínica | Em análise | Thiara: enviou relatório com somente 30 horas de estágio sem assinaturas e carimbos e não enviou ficha de encaminhamento de estágio. // Recebido dia 11/12/2019</v>
      </c>
      <c r="B2549" s="93"/>
    </row>
    <row r="2550">
      <c r="A2550" s="384" t="str">
        <f>IFERROR(__xludf.DUMMYFUNCTION("""COMPUTED_VALUE"""),"Luisa Cesar Casagrande | Pegagogia | Aprovado | Thiara: Falta as horas de gestão. Enviei e-mail cobrando. Aprovado dia 03/01/2019. Recebido dia 07/01/2019.")</f>
        <v>Luisa Cesar Casagrande | Pegagogia | Aprovado | Thiara: Falta as horas de gestão. Enviei e-mail cobrando. Aprovado dia 03/01/2019. Recebido dia 07/01/2019.</v>
      </c>
      <c r="B2550" s="93"/>
    </row>
    <row r="2551">
      <c r="A2551" s="384" t="str">
        <f>IFERROR(__xludf.DUMMYFUNCTION("""COMPUTED_VALUE"""),"Luiz Adalberto Xavier Cardoso | Pedagogia | Aprovado | Júnio: Pré aprovado //Júnio: aprovado: 22/11/23")</f>
        <v>Luiz Adalberto Xavier Cardoso | Pedagogia | Aprovado | Júnio: Pré aprovado //Júnio: aprovado: 22/11/23</v>
      </c>
      <c r="B2551" s="93"/>
    </row>
    <row r="2552">
      <c r="A2552" s="384" t="str">
        <f>IFERROR(__xludf.DUMMYFUNCTION("""COMPUTED_VALUE"""),"Luiz Alberto Batista De Jesus | Pedagogia | Aprovado | Alexsiane: falta somente especificar o tema da gestão, restante está tudo certo.// Alexsiane: Pré- aprovado com lançamento// Pamela 13/02/2023 Conferido e arquivado.")</f>
        <v>Luiz Alberto Batista De Jesus | Pedagogia | Aprovado | Alexsiane: falta somente especificar o tema da gestão, restante está tudo certo.// Alexsiane: Pré- aprovado com lançamento// Pamela 13/02/2023 Conferido e arquivado.</v>
      </c>
      <c r="B2552" s="93"/>
    </row>
    <row r="2553">
      <c r="A2553" s="384" t="str">
        <f>IFERROR(__xludf.DUMMYFUNCTION("""COMPUTED_VALUE"""),"Luiz Alberto De Freitas Vigneron | Pedagogia | Aprovado | Lucas: falta elementos Pré e Pós textuais, autorizado a recolher assinaturas. //Aprovado: 16/05/23, físico chegou  Samira  informou.")</f>
        <v>Luiz Alberto De Freitas Vigneron | Pedagogia | Aprovado | Lucas: falta elementos Pré e Pós textuais, autorizado a recolher assinaturas. //Aprovado: 16/05/23, físico chegou  Samira  informou.</v>
      </c>
      <c r="B2553" s="93"/>
    </row>
    <row r="2554">
      <c r="A2554" s="384" t="str">
        <f>IFERROR(__xludf.DUMMYFUNCTION("""COMPUTED_VALUE"""),"Luiz Alberto De Freitas Vigneron | Psicopedagogia Institucional E Clínica | Aprovado | Alexsiane: falta especificar o tipo de acompanhamento nas fichas de registro( observação, participação/regência) até dia 28/08/22 para reenviar// Alexsiane: pré aprovad"&amp;"o com lançamento no sponte  //Aprovado: 23/05/23, físico chegou  Samira  informou.")</f>
        <v>Luiz Alberto De Freitas Vigneron | Psicopedagogia Institucional E Clínica | Aprovado | Alexsiane: falta especificar o tipo de acompanhamento nas fichas de registro( observação, participação/regência) até dia 28/08/22 para reenviar// Alexsiane: pré aprovado com lançamento no sponte  //Aprovado: 23/05/23, físico chegou  Samira  informou.</v>
      </c>
      <c r="B2554" s="93"/>
    </row>
    <row r="2555">
      <c r="A2555" s="384" t="str">
        <f>IFERROR(__xludf.DUMMYFUNCTION("""COMPUTED_VALUE"""),"Luiz Antônio Soares Viana |  | Aprovado | Mandei enviar pelo correio (31/02). Voltou para correção, cronograma de gestão inadequado, primeira pessoa, dois arquivos corrompidos (23/01).")</f>
        <v>Luiz Antônio Soares Viana |  | Aprovado | Mandei enviar pelo correio (31/02). Voltou para correção, cronograma de gestão inadequado, primeira pessoa, dois arquivos corrompidos (23/01).</v>
      </c>
      <c r="B2555" s="93"/>
    </row>
    <row r="2556">
      <c r="A2556" s="384" t="str">
        <f>IFERROR(__xludf.DUMMYFUNCTION("""COMPUTED_VALUE"""),"Luiz Augusto Da Silva Machado | Pedagogia | Aprovado | Júnio: 18/04/22: conferido e arquivado, aluno encaminhou físico sem enviar por e-mail")</f>
        <v>Luiz Augusto Da Silva Machado | Pedagogia | Aprovado | Júnio: 18/04/22: conferido e arquivado, aluno encaminhou físico sem enviar por e-mail</v>
      </c>
      <c r="B2556" s="93"/>
    </row>
    <row r="2557">
      <c r="A2557" s="384" t="str">
        <f>IFERROR(__xludf.DUMMYFUNCTION("""COMPUTED_VALUE"""),"Luiz Carlos Clementino | Ed. Física | Aprovado | Aline Silva: aprovado // Recebido dia 11/02/2020")</f>
        <v>Luiz Carlos Clementino | Ed. Física | Aprovado | Aline Silva: aprovado // Recebido dia 11/02/2020</v>
      </c>
      <c r="B2557" s="93"/>
    </row>
    <row r="2558">
      <c r="A2558" s="384" t="str">
        <f>IFERROR(__xludf.DUMMYFUNCTION("""COMPUTED_VALUE"""),"Luiz Carlos Colevati | Artes Visuais | Aprovado | Edilaine: Enviou declaração de experiência válida, enviou a carta de apresentação. Falta as partes dissertativas e as fichas de registro. Tem até 01/01/2023 para reenviar.// Alexsiane: Pré-aprovado com lan"&amp;"çamento no sponte // Pamela 13/02/2023 Conferido e arquivado. ")</f>
        <v>Luiz Carlos Colevati | Artes Visuais | Aprovado | Edilaine: Enviou declaração de experiência válida, enviou a carta de apresentação. Falta as partes dissertativas e as fichas de registro. Tem até 01/01/2023 para reenviar.// Alexsiane: Pré-aprovado com lançamento no sponte // Pamela 13/02/2023 Conferido e arquivado. </v>
      </c>
      <c r="B2558" s="93"/>
    </row>
    <row r="2559">
      <c r="A2559" s="384" t="str">
        <f>IFERROR(__xludf.DUMMYFUNCTION("""COMPUTED_VALUE"""),"Luiz Carlos Da Silva | Letras Port. | aprovado | Aline Silva: estágio fora do padrão, não apresentou a descrição das atividades, sem formatação e incompleto.// aprovado dia 31/03/2020")</f>
        <v>Luiz Carlos Da Silva | Letras Port. | aprovado | Aline Silva: estágio fora do padrão, não apresentou a descrição das atividades, sem formatação e incompleto.// aprovado dia 31/03/2020</v>
      </c>
      <c r="B2559" s="93"/>
    </row>
    <row r="2560">
      <c r="A2560" s="384" t="str">
        <f>IFERROR(__xludf.DUMMYFUNCTION("""COMPUTED_VALUE"""),"Luiz Carlos Pereira De Brito | Pedagógia | Aprovada | Alexsiane: 11,22% de plágio, estapas estavam ok// Rayssa: pp aprovado 19/09/2024")</f>
        <v>Luiz Carlos Pereira De Brito | Pedagógia | Aprovada | Alexsiane: 11,22% de plágio, estapas estavam ok// Rayssa: pp aprovado 19/09/2024</v>
      </c>
      <c r="B2560" s="93"/>
    </row>
    <row r="2561">
      <c r="A2561" s="384" t="str">
        <f>IFERROR(__xludf.DUMMYFUNCTION("""COMPUTED_VALUE"""),"Luiz Dos Santos | Filosofia | Aprovado | Júnio: PP - enviar as etapas dissertativas digitado //Júnio: aprovado: 14/12/2023")</f>
        <v>Luiz Dos Santos | Filosofia | Aprovado | Júnio: PP - enviar as etapas dissertativas digitado //Júnio: aprovado: 14/12/2023</v>
      </c>
      <c r="B2561" s="93"/>
    </row>
    <row r="2562">
      <c r="A2562" s="384" t="str">
        <f>IFERROR(__xludf.DUMMYFUNCTION("""COMPUTED_VALUE"""),"Luiz Felipe Garcia De Senna | Letras Inglês | Aprovada | Alexsiane: Aprovado com lançamento no Sponte ")</f>
        <v>Luiz Felipe Garcia De Senna | Letras Inglês | Aprovada | Alexsiane: Aprovado com lançamento no Sponte </v>
      </c>
      <c r="B2562" s="93"/>
    </row>
    <row r="2563">
      <c r="A2563" s="384" t="str">
        <f>IFERROR(__xludf.DUMMYFUNCTION("""COMPUTED_VALUE"""),"Luiz Fernando Razzotto | Pedagogia | Aprovada | Júnio: PP - complementar a etapa 1 com mais páginas e falta a etapa 2// aprovado 29/02")</f>
        <v>Luiz Fernando Razzotto | Pedagogia | Aprovada | Júnio: PP - complementar a etapa 1 com mais páginas e falta a etapa 2// aprovado 29/02</v>
      </c>
      <c r="B2563" s="93"/>
    </row>
    <row r="2564">
      <c r="A2564" s="384" t="str">
        <f>IFERROR(__xludf.DUMMYFUNCTION("""COMPUTED_VALUE"""),"Luiz Henrique Da Silva Evangelista | Música | Em análise | Cris: Falta etapa 2 e carta de apresentação.")</f>
        <v>Luiz Henrique Da Silva Evangelista | Música | Em análise | Cris: Falta etapa 2 e carta de apresentação.</v>
      </c>
      <c r="B2564" s="93"/>
    </row>
    <row r="2565">
      <c r="A2565" s="384" t="str">
        <f>IFERROR(__xludf.DUMMYFUNCTION("""COMPUTED_VALUE"""),"Luiz Henrique De Medeiros | Letras Português | Aprovado | Alexsiane: falta fazer as fichas na parte de gestão. Restante está tudo certo.// Alexsiane: pré aprovada com lançamento no sponte //Júnio: conferido e arquivado, aluno encaminhou fichas de gestão i"&amp;"mpressa, no entanto devido as fichas de observação e regência comtempletarem as 400 horas necessárias e estarem com assinaturas corretas, aceitamos em cárater excepcional")</f>
        <v>Luiz Henrique De Medeiros | Letras Português | Aprovado | Alexsiane: falta fazer as fichas na parte de gestão. Restante está tudo certo.// Alexsiane: pré aprovada com lançamento no sponte //Júnio: conferido e arquivado, aluno encaminhou fichas de gestão impressa, no entanto devido as fichas de observação e regência comtempletarem as 400 horas necessárias e estarem com assinaturas corretas, aceitamos em cárater excepcional</v>
      </c>
      <c r="B2565" s="93"/>
    </row>
    <row r="2566">
      <c r="A2566" s="384" t="str">
        <f>IFERROR(__xludf.DUMMYFUNCTION("""COMPUTED_VALUE"""),"Luiz Henrique De Medeiros | Pedagogia Para Bachareis E Tecnologos | Aprovado | Alexsiane Pratica I -APROVADA, Pratica II-19,84% De plágio. Pratica III-falta 4 horas na tabela(sem plágio) Pratica IV- 46,87% De plágio. Estágio I-APROVADO,Estágio II-APROVADO"&amp;", Estágio III-APROVADO e Estágio IV-Corrigir a carga horaria diaria que ultrapassou 6 horas por dia.//Alexsiane: Pré-aprovada, autorizada a autenticar  /// Edilaine: Aprovado 02/03/2023")</f>
        <v>Luiz Henrique De Medeiros | Pedagogia Para Bachareis E Tecnologos | Aprovado | Alexsiane Pratica I -APROVADA, Pratica II-19,84% De plágio. Pratica III-falta 4 horas na tabela(sem plágio) Pratica IV- 46,87% De plágio. Estágio I-APROVADO,Estágio II-APROVADO, Estágio III-APROVADO e Estágio IV-Corrigir a carga horaria diaria que ultrapassou 6 horas por dia.//Alexsiane: Pré-aprovada, autorizada a autenticar  /// Edilaine: Aprovado 02/03/2023</v>
      </c>
      <c r="B2566" s="93"/>
    </row>
    <row r="2567">
      <c r="A2567" s="384" t="str">
        <f>IFERROR(__xludf.DUMMYFUNCTION("""COMPUTED_VALUE"""),"Luiz Henrique De Oliveira | Geografia | Aprovado | Aline Silva: conforme instruções por conversa no whatts, e também orientações colocadas no corpo do trabalho enviado por email, há um grande número de horas realizado em duas turmas de ensino fundamental,"&amp;" ausência de fichas de acordo com o modelo de trabalho do instituto, além da ausência nas horas de gestão e estrutura escolar, e demais assinaturas.// Aline Silva: Aprovado dia 06/12/2019//Aline Silva: Recebido no instituto encadernado e impresso dia 27/1"&amp;"2/2019// Bárbara: Conferido e arquivado em 16/09/2020")</f>
        <v>Luiz Henrique De Oliveira | Geografia | Aprovado | Aline Silva: conforme instruções por conversa no whatts, e também orientações colocadas no corpo do trabalho enviado por email, há um grande número de horas realizado em duas turmas de ensino fundamental, ausência de fichas de acordo com o modelo de trabalho do instituto, além da ausência nas horas de gestão e estrutura escolar, e demais assinaturas.// Aline Silva: Aprovado dia 06/12/2019//Aline Silva: Recebido no instituto encadernado e impresso dia 27/12/2019// Bárbara: Conferido e arquivado em 16/09/2020</v>
      </c>
      <c r="B2567" s="93"/>
    </row>
    <row r="2568">
      <c r="A2568" s="384" t="str">
        <f>IFERROR(__xludf.DUMMYFUNCTION("""COMPUTED_VALUE"""),"Luiz Henrique Mascioli | História | Aprovado | Júnio: remoto antigo, etapas 1,2 e 3 corretas //Júnio: aprovado na aula: 27/01/22")</f>
        <v>Luiz Henrique Mascioli | História | Aprovado | Júnio: remoto antigo, etapas 1,2 e 3 corretas //Júnio: aprovado na aula: 27/01/22</v>
      </c>
      <c r="B2568" s="93"/>
    </row>
    <row r="2569">
      <c r="A2569" s="384" t="str">
        <f>IFERROR(__xludf.DUMMYFUNCTION("""COMPUTED_VALUE"""),"Luiz Henrique Solis Silva | Letras Português Espanhol | Aprovado | Júnio: PP aprovado")</f>
        <v>Luiz Henrique Solis Silva | Letras Português Espanhol | Aprovado | Júnio: PP aprovado</v>
      </c>
      <c r="B2569" s="93"/>
    </row>
    <row r="2570">
      <c r="A2570" s="384" t="str">
        <f>IFERROR(__xludf.DUMMYFUNCTION("""COMPUTED_VALUE"""),"Luiz Otavio Ciurcio Neto | Pedagogia | Aprovado | Júnio: PP-falta a carta de apresentação. //Júnio: aprovado: 21/08/23")</f>
        <v>Luiz Otavio Ciurcio Neto | Pedagogia | Aprovado | Júnio: PP-falta a carta de apresentação. //Júnio: aprovado: 21/08/23</v>
      </c>
      <c r="B2570" s="93"/>
    </row>
    <row r="2571">
      <c r="A2571" s="384" t="str">
        <f>IFERROR(__xludf.DUMMYFUNCTION("""COMPUTED_VALUE"""),"Luiz Paulo José Da Silva | Pedagogia | Aprovado | Alexsiane: pré aprovado com lançameno no jacad// Pâmela 07/11/2022 Conferido e arquivado. ")</f>
        <v>Luiz Paulo José Da Silva | Pedagogia | Aprovado | Alexsiane: pré aprovado com lançameno no jacad// Pâmela 07/11/2022 Conferido e arquivado. </v>
      </c>
      <c r="B2571" s="93"/>
    </row>
    <row r="2572">
      <c r="A2572" s="384" t="str">
        <f>IFERROR(__xludf.DUMMYFUNCTION("""COMPUTED_VALUE"""),"Luíz Paulo Matias | Ciências Sociais | Aprovado | Bianca: autorizado a recolher assinaturas //Bianca: aprovado: 09/08/21 //Júnio:conferido e arquivado: 19/08/21")</f>
        <v>Luíz Paulo Matias | Ciências Sociais | Aprovado | Bianca: autorizado a recolher assinaturas //Bianca: aprovado: 09/08/21 //Júnio:conferido e arquivado: 19/08/21</v>
      </c>
      <c r="B2572" s="93"/>
    </row>
    <row r="2573">
      <c r="A2573" s="384" t="str">
        <f>IFERROR(__xludf.DUMMYFUNCTION("""COMPUTED_VALUE"""),"Luiz Roberto Drumond Tinoco | Pedagogia | Aprovado | Bárbara: trabalho todo incompleto. Todas as etapas faltam algo, principalmente os palnos que só tinham 2. Aluno enviou um documento que alegava ser uma sequencia didática, mas não fazia nenhum sentido c"&amp;"om o plano. Resumindo, o trabalho está errado. // Bárbara: aprovado 4ª etapa 20/10/2020// Bárbara: imprimido e arquivado 08/01/2021")</f>
        <v>Luiz Roberto Drumond Tinoco | Pedagogia | Aprovado | Bárbara: trabalho todo incompleto. Todas as etapas faltam algo, principalmente os palnos que só tinham 2. Aluno enviou um documento que alegava ser uma sequencia didática, mas não fazia nenhum sentido com o plano. Resumindo, o trabalho está errado. // Bárbara: aprovado 4ª etapa 20/10/2020// Bárbara: imprimido e arquivado 08/01/2021</v>
      </c>
      <c r="B2573" s="93"/>
    </row>
    <row r="2574">
      <c r="A2574" s="384" t="str">
        <f>IFERROR(__xludf.DUMMYFUNCTION("""COMPUTED_VALUE"""),"Luiz Rodrigues Da Silva | Pedagogia | Aprovado | Bianca: aprovado nas 4 etapas 08/04/2021")</f>
        <v>Luiz Rodrigues Da Silva | Pedagogia | Aprovado | Bianca: aprovado nas 4 etapas 08/04/2021</v>
      </c>
      <c r="B2574" s="93"/>
    </row>
    <row r="2575">
      <c r="A2575" s="384" t="str">
        <f>IFERROR(__xludf.DUMMYFUNCTION("""COMPUTED_VALUE"""),"Luiz Santos Reis | Geografia | Aprovado | Júnio: etapa 3, falta etapa 1,2 e todo o resto //Júnio: aprovado 24/06/2021")</f>
        <v>Luiz Santos Reis | Geografia | Aprovado | Júnio: etapa 3, falta etapa 1,2 e todo o resto //Júnio: aprovado 24/06/2021</v>
      </c>
      <c r="B2575" s="93"/>
    </row>
    <row r="2576">
      <c r="A2576" s="384" t="str">
        <f>IFERROR(__xludf.DUMMYFUNCTION("""COMPUTED_VALUE"""),"Luiz Santos Reis | Pedagogia | Aprovado | Bárbara: aprovado em todas as etapas do remoto")</f>
        <v>Luiz Santos Reis | Pedagogia | Aprovado | Bárbara: aprovado em todas as etapas do remoto</v>
      </c>
      <c r="B2576" s="93"/>
    </row>
    <row r="2577">
      <c r="A2577" s="384" t="str">
        <f>IFERROR(__xludf.DUMMYFUNCTION("""COMPUTED_VALUE"""),"Luiz Santos Reis | Psicopedagogia | Em análise | Bianca: enviou apenas as fichas preenchidas (corretas), autorizado a recolher as assinaturas e realizar a parte teórica")</f>
        <v>Luiz Santos Reis | Psicopedagogia | Em análise | Bianca: enviou apenas as fichas preenchidas (corretas), autorizado a recolher as assinaturas e realizar a parte teórica</v>
      </c>
      <c r="B2577" s="93"/>
    </row>
    <row r="2578">
      <c r="A2578" s="384" t="str">
        <f>IFERROR(__xludf.DUMMYFUNCTION("""COMPUTED_VALUE"""),"Luiza Augusta Borges Melo | Pedagogia | Aprovada | Júnio: remoto antigo, etapas 1,2 e 3 ok //Júnio: aprovada: 11/04/22")</f>
        <v>Luiza Augusta Borges Melo | Pedagogia | Aprovada | Júnio: remoto antigo, etapas 1,2 e 3 ok //Júnio: aprovada: 11/04/22</v>
      </c>
      <c r="B2578" s="93"/>
    </row>
    <row r="2579">
      <c r="A2579" s="384" t="str">
        <f>IFERROR(__xludf.DUMMYFUNCTION("""COMPUTED_VALUE"""),"Lunalva Gomes Ribeiro | Pedagogia | Aprovada | Bárbara: aprovada nas 3 primeiras etapas do remoto antigo  //Júnio:aprovada na aula online: 16/03/22")</f>
        <v>Lunalva Gomes Ribeiro | Pedagogia | Aprovada | Bárbara: aprovada nas 3 primeiras etapas do remoto antigo  //Júnio:aprovada na aula online: 16/03/22</v>
      </c>
      <c r="B2579" s="93"/>
    </row>
    <row r="2580">
      <c r="A2580" s="384" t="str">
        <f>IFERROR(__xludf.DUMMYFUNCTION("""COMPUTED_VALUE"""),"Lusa De Lara Honório Lopes | Letras Português | Aprovada  | Bárbara: aprovada e autorizada enviar físico")</f>
        <v>Lusa De Lara Honório Lopes | Letras Português | Aprovada  | Bárbara: aprovada e autorizada enviar físico</v>
      </c>
      <c r="B2580" s="93"/>
    </row>
    <row r="2581">
      <c r="A2581" s="384" t="str">
        <f>IFERROR(__xludf.DUMMYFUNCTION("""COMPUTED_VALUE"""),"Lutecia Pereira Franca | Educação Especial | Aprovada | Júnio: PP - falta responder questionário //Júnio: aprovada: 29/11/23")</f>
        <v>Lutecia Pereira Franca | Educação Especial | Aprovada | Júnio: PP - falta responder questionário //Júnio: aprovada: 29/11/23</v>
      </c>
      <c r="B2581" s="93"/>
    </row>
    <row r="2582">
      <c r="A2582" s="384" t="str">
        <f>IFERROR(__xludf.DUMMYFUNCTION("""COMPUTED_VALUE"""),"Luzia Aparecida Rio Botta | Geografia | Aprovada | Bárbara: etapa 1 incompleta, e etapa 3 com apena s1 plano// Bárbara: aprovada 28/01/2021")</f>
        <v>Luzia Aparecida Rio Botta | Geografia | Aprovada | Bárbara: etapa 1 incompleta, e etapa 3 com apena s1 plano// Bárbara: aprovada 28/01/2021</v>
      </c>
      <c r="B2582" s="93"/>
    </row>
    <row r="2583">
      <c r="A2583" s="384" t="str">
        <f>IFERROR(__xludf.DUMMYFUNCTION("""COMPUTED_VALUE"""),"Luzia De Fátima Dos Santos Oliveira | Neuropsicopedagogia Institucional,Clínica E Hospitala | Aprovada | Júnio: pré aprovada PRAZO: 28/07/23 //Júnio: aprovada: 07/08/23")</f>
        <v>Luzia De Fátima Dos Santos Oliveira | Neuropsicopedagogia Institucional,Clínica E Hospitala | Aprovada | Júnio: pré aprovada PRAZO: 28/07/23 //Júnio: aprovada: 07/08/23</v>
      </c>
      <c r="B2583" s="93"/>
    </row>
    <row r="2584">
      <c r="A2584" s="384" t="str">
        <f>IFERROR(__xludf.DUMMYFUNCTION("""COMPUTED_VALUE"""),"Luziene Lopes Gomes | Geografia | Aprovado | Thiara: Aprovado. Recebido dia 12/04/2019.")</f>
        <v>Luziene Lopes Gomes | Geografia | Aprovado | Thiara: Aprovado. Recebido dia 12/04/2019.</v>
      </c>
      <c r="B2584" s="93"/>
    </row>
    <row r="2585">
      <c r="A2585" s="384" t="str">
        <f>IFERROR(__xludf.DUMMYFUNCTION("""COMPUTED_VALUE"""),"Lyssa Thaís Viana Almeida | Pedagogia | Pré aprovada | Alexsiane: especificar nas fichas o tipo de acompanhamento e a serie, fazer um plano de aula e fazer, e complementar as fichas com mais 98 horas  //Júnio: pre aprovada: 27/12/22")</f>
        <v>Lyssa Thaís Viana Almeida | Pedagogia | Pré aprovada | Alexsiane: especificar nas fichas o tipo de acompanhamento e a serie, fazer um plano de aula e fazer, e complementar as fichas com mais 98 horas  //Júnio: pre aprovada: 27/12/22</v>
      </c>
      <c r="B2585" s="93"/>
    </row>
    <row r="2586">
      <c r="A2586" s="384" t="str">
        <f>IFERROR(__xludf.DUMMYFUNCTION("""COMPUTED_VALUE"""),"Macicleide Silva Carvalho | Geografia | Aprovado | Alexsiane: pp aprovado")</f>
        <v>Macicleide Silva Carvalho | Geografia | Aprovado | Alexsiane: pp aprovado</v>
      </c>
      <c r="B2586" s="93"/>
    </row>
    <row r="2587">
      <c r="A2587" s="384" t="str">
        <f>IFERROR(__xludf.DUMMYFUNCTION("""COMPUTED_VALUE"""),"Madalena Dos Santos Pereira | Psicopedagogia | Aprovada | Lucas: Aprovada no Estagio remoto")</f>
        <v>Madalena Dos Santos Pereira | Psicopedagogia | Aprovada | Lucas: Aprovada no Estagio remoto</v>
      </c>
      <c r="B2587" s="93"/>
    </row>
    <row r="2588">
      <c r="A2588" s="384" t="str">
        <f>IFERROR(__xludf.DUMMYFUNCTION("""COMPUTED_VALUE"""),"Madalena Santana De Jesus | Pedagogia | Aprovada | Júnio: PP - falta a carta// Alexsiane: pp aprovadp 20/02")</f>
        <v>Madalena Santana De Jesus | Pedagogia | Aprovada | Júnio: PP - falta a carta// Alexsiane: pp aprovadp 20/02</v>
      </c>
      <c r="B2588" s="93"/>
    </row>
    <row r="2589">
      <c r="A2589" s="384" t="str">
        <f>IFERROR(__xludf.DUMMYFUNCTION("""COMPUTED_VALUE"""),"Madeline Ferreira Martins | Artes Visuais | Aprovada | Aline Silva: aluna deverá completar as fichas, colocando o que foi observado ou ocorreu durante a regência. Solicitei complementação e reenvio. // Bárbara: aprovada 15/12/2020")</f>
        <v>Madeline Ferreira Martins | Artes Visuais | Aprovada | Aline Silva: aluna deverá completar as fichas, colocando o que foi observado ou ocorreu durante a regência. Solicitei complementação e reenvio. // Bárbara: aprovada 15/12/2020</v>
      </c>
      <c r="B2589" s="93"/>
    </row>
    <row r="2590">
      <c r="A2590" s="384" t="str">
        <f>IFERROR(__xludf.DUMMYFUNCTION("""COMPUTED_VALUE"""),"Madelline Pinheiro Moura | Pedagogia | Aprovada | Júnio: PP - falta a carta e responder o questionário e carta de apresentação. //Júnio: aprovada: 07/11/23")</f>
        <v>Madelline Pinheiro Moura | Pedagogia | Aprovada | Júnio: PP - falta a carta e responder o questionário e carta de apresentação. //Júnio: aprovada: 07/11/23</v>
      </c>
      <c r="B2590" s="93"/>
    </row>
    <row r="2591">
      <c r="A2591" s="384" t="str">
        <f>IFERROR(__xludf.DUMMYFUNCTION("""COMPUTED_VALUE"""),"Madequier Jesus Naressi | Pedagogia | Em analise | Mariana: falta etapa 2")</f>
        <v>Madequier Jesus Naressi | Pedagogia | Em analise | Mariana: falta etapa 2</v>
      </c>
      <c r="B2591" s="93"/>
    </row>
    <row r="2592">
      <c r="A2592" s="384" t="str">
        <f>IFERROR(__xludf.DUMMYFUNCTION("""COMPUTED_VALUE"""),"Magali Estela Paes Marcelo | Pedagogia | Aprovada | Júnio: 26% plágio, na ficha de registro dia 31/03 está com total errado, tem que especificar tema e série. Declaração de experiência não foi válida, precisa enviar declaração que seja válida ou enviar ho"&amp;"ras restantes. //Júnio: aprovada: 27/07/23")</f>
        <v>Magali Estela Paes Marcelo | Pedagogia | Aprovada | Júnio: 26% plágio, na ficha de registro dia 31/03 está com total errado, tem que especificar tema e série. Declaração de experiência não foi válida, precisa enviar declaração que seja válida ou enviar horas restantes. //Júnio: aprovada: 27/07/23</v>
      </c>
      <c r="B2592" s="93"/>
    </row>
    <row r="2593">
      <c r="A2593" s="384" t="str">
        <f>IFERROR(__xludf.DUMMYFUNCTION("""COMPUTED_VALUE"""),"Magarlene Wberlan Pinheiro Tudéia | Pedagogia | Aprovado | Bárbara: aprovada nas 3 primeiras etapas, e apresentou declaração de experiência na pasta.// Bárbara: conferido e arquivado 22/02/2021")</f>
        <v>Magarlene Wberlan Pinheiro Tudéia | Pedagogia | Aprovado | Bárbara: aprovada nas 3 primeiras etapas, e apresentou declaração de experiência na pasta.// Bárbara: conferido e arquivado 22/02/2021</v>
      </c>
      <c r="B2593" s="93"/>
    </row>
    <row r="2594">
      <c r="A2594" s="384" t="str">
        <f>IFERROR(__xludf.DUMMYFUNCTION("""COMPUTED_VALUE"""),"Magda Diniz Maia Gonçalves | Pedagogia | Aprovada | Alexsiane: aprovado no remoto antigo com lançamento no sponte ")</f>
        <v>Magda Diniz Maia Gonçalves | Pedagogia | Aprovada | Alexsiane: aprovado no remoto antigo com lançamento no sponte </v>
      </c>
      <c r="B2594" s="93"/>
    </row>
    <row r="2595">
      <c r="A2595" s="384" t="str">
        <f>IFERROR(__xludf.DUMMYFUNCTION("""COMPUTED_VALUE"""),"Magna De Sousa Santos | Pedagogia | Aprovada | Júnio: aprovada no remoto antigo")</f>
        <v>Magna De Sousa Santos | Pedagogia | Aprovada | Júnio: aprovada no remoto antigo</v>
      </c>
      <c r="B2595" s="93"/>
    </row>
    <row r="2596">
      <c r="A2596" s="384" t="str">
        <f>IFERROR(__xludf.DUMMYFUNCTION("""COMPUTED_VALUE"""),"Magna Gomes Dos Santos | Ciências Sociais | Aprovado | Alexsiane: pp aprovado")</f>
        <v>Magna Gomes Dos Santos | Ciências Sociais | Aprovado | Alexsiane: pp aprovado</v>
      </c>
      <c r="B2596" s="93"/>
    </row>
    <row r="2597">
      <c r="A2597" s="384" t="str">
        <f>IFERROR(__xludf.DUMMYFUNCTION("""COMPUTED_VALUE"""),"Magna Pereira Da Silva | Artes Visuais | Aprovado | Estella: Ok! Aprovada. Recebido dia 18/06/2019.")</f>
        <v>Magna Pereira Da Silva | Artes Visuais | Aprovado | Estella: Ok! Aprovada. Recebido dia 18/06/2019.</v>
      </c>
      <c r="B2597" s="93"/>
    </row>
    <row r="2598">
      <c r="A2598" s="384" t="str">
        <f>IFERROR(__xludf.DUMMYFUNCTION("""COMPUTED_VALUE"""),"Magno Moura Teixeira | Ed Física | Aprovado | Bianca: aprovado 06/05/2021")</f>
        <v>Magno Moura Teixeira | Ed Física | Aprovado | Bianca: aprovado 06/05/2021</v>
      </c>
      <c r="B2598" s="93"/>
    </row>
    <row r="2599">
      <c r="A2599" s="384" t="str">
        <f>IFERROR(__xludf.DUMMYFUNCTION("""COMPUTED_VALUE"""),"Mahfouz Ag Adname | História | Em análise | Bárbara: aluno envio o estágio físico sem estar aprovado. Tudo que foi encaminhado está correto, mas o aluno fez o cumprimento da carga horária da observação e regência em apenas 50% , imagino eu o aluno tenha e"&amp;"xperiência, mas esse esqueceu de encaminhar essa declaração, aguardando. // Bárbara: verifiquei novamente o documento do aluno e faltam apenas as horas da regência no ensino médio que ele esqueceu de encaminhar. //Bárbara:conferido e anexado: 16/06/21")</f>
        <v>Mahfouz Ag Adname | História | Em análise | Bárbara: aluno envio o estágio físico sem estar aprovado. Tudo que foi encaminhado está correto, mas o aluno fez o cumprimento da carga horária da observação e regência em apenas 50% , imagino eu o aluno tenha experiência, mas esse esqueceu de encaminhar essa declaração, aguardando. // Bárbara: verifiquei novamente o documento do aluno e faltam apenas as horas da regência no ensino médio que ele esqueceu de encaminhar. //Bárbara:conferido e anexado: 16/06/21</v>
      </c>
      <c r="B2599" s="93"/>
    </row>
    <row r="2600">
      <c r="A2600" s="384" t="str">
        <f>IFERROR(__xludf.DUMMYFUNCTION("""COMPUTED_VALUE"""),"Maiany Furtado De Sousa | Letras/ Português | Aprovada | Edilaine: Tem que especificar a série nas fichas de registro, falta 100 horas e falta as partes dissertativas. //Júnio: pre aprovada: 02/06/23 //Júnio: aprovada: 20/06/23")</f>
        <v>Maiany Furtado De Sousa | Letras/ Português | Aprovada | Edilaine: Tem que especificar a série nas fichas de registro, falta 100 horas e falta as partes dissertativas. //Júnio: pre aprovada: 02/06/23 //Júnio: aprovada: 20/06/23</v>
      </c>
      <c r="B2600" s="93"/>
    </row>
    <row r="2601">
      <c r="A2601" s="384" t="str">
        <f>IFERROR(__xludf.DUMMYFUNCTION("""COMPUTED_VALUE"""),"Maiara Romanosk De Freitas | 2ª Licenciatura Em Pedagogia | Aprovado | Cris: PP aprovado")</f>
        <v>Maiara Romanosk De Freitas | 2ª Licenciatura Em Pedagogia | Aprovado | Cris: PP aprovado</v>
      </c>
      <c r="B2601" s="93"/>
    </row>
    <row r="2602">
      <c r="A2602" s="384" t="str">
        <f>IFERROR(__xludf.DUMMYFUNCTION("""COMPUTED_VALUE"""),"Maibi Talita Gonçalves Santos | Pedagogia | Aprovado | Bárbara: autorizada a recolher assinaturas e pedi para enviar digitalizado. // Bárbara: aprovada 14/12/2020// Bárbara: conferido e arquivado 04/01/2021")</f>
        <v>Maibi Talita Gonçalves Santos | Pedagogia | Aprovado | Bárbara: autorizada a recolher assinaturas e pedi para enviar digitalizado. // Bárbara: aprovada 14/12/2020// Bárbara: conferido e arquivado 04/01/2021</v>
      </c>
      <c r="B2602" s="93"/>
    </row>
    <row r="2603">
      <c r="A2603" s="384" t="str">
        <f>IFERROR(__xludf.DUMMYFUNCTION("""COMPUTED_VALUE"""),"Maico Costa Sodré | Pedagogia | Aprovado | Bárbara: aprovado nas 3 primeiras etapas do remoto e apresentou declaração de experiência válida;// Bárbara: Aluno que era matriculado em gerografia, trocou de curso para pedagogia, fizemos a atualização e aprove"&amp;"itamento do TCE em 22/09/2021")</f>
        <v>Maico Costa Sodré | Pedagogia | Aprovado | Bárbara: aprovado nas 3 primeiras etapas do remoto e apresentou declaração de experiência válida;// Bárbara: Aluno que era matriculado em gerografia, trocou de curso para pedagogia, fizemos a atualização e aproveitamento do TCE em 22/09/2021</v>
      </c>
      <c r="B2603" s="93"/>
    </row>
    <row r="2604">
      <c r="A2604" s="384" t="str">
        <f>IFERROR(__xludf.DUMMYFUNCTION("""COMPUTED_VALUE"""),"Maikon Kniess | Matematica | Aprovado | Lucas: Faltou fazer a Capa, resumo, sumario, introdução, conclusão, e referencias. (Etapas 1, 2 e 3 OK) //Júnio: aprovado na aula online 15/03/22")</f>
        <v>Maikon Kniess | Matematica | Aprovado | Lucas: Faltou fazer a Capa, resumo, sumario, introdução, conclusão, e referencias. (Etapas 1, 2 e 3 OK) //Júnio: aprovado na aula online 15/03/22</v>
      </c>
      <c r="B2604" s="93"/>
    </row>
    <row r="2605">
      <c r="A2605" s="384" t="str">
        <f>IFERROR(__xludf.DUMMYFUNCTION("""COMPUTED_VALUE"""),"Maíra Buss Do Espírito Santo | Pedagogia | Em análise | Bianca: aguardando envio das etapas 1 e 2")</f>
        <v>Maíra Buss Do Espírito Santo | Pedagogia | Em análise | Bianca: aguardando envio das etapas 1 e 2</v>
      </c>
      <c r="B2605" s="93"/>
    </row>
    <row r="2606">
      <c r="A2606" s="384" t="str">
        <f>IFERROR(__xludf.DUMMYFUNCTION("""COMPUTED_VALUE"""),"Maíra Buss Do Espírito Santos | Pedagogia | Aprovada | Bianca: aprovada nas 3ª 1ª etapas do remoto antigo //Bárbara: 18/08/2021")</f>
        <v>Maíra Buss Do Espírito Santos | Pedagogia | Aprovada | Bianca: aprovada nas 3ª 1ª etapas do remoto antigo //Bárbara: 18/08/2021</v>
      </c>
      <c r="B2606" s="93"/>
    </row>
    <row r="2607">
      <c r="A2607" s="384" t="str">
        <f>IFERROR(__xludf.DUMMYFUNCTION("""COMPUTED_VALUE"""),"Maiza Deca Dos Reis | Educação Física | Em análise | Alexsiane: encaminhou só as fichas de registo( estão ilegiveis mas deu para ver que não tem o acompanhamento  e nem a serie) falta todas as etapas dissertativas.")</f>
        <v>Maiza Deca Dos Reis | Educação Física | Em análise | Alexsiane: encaminhou só as fichas de registo( estão ilegiveis mas deu para ver que não tem o acompanhamento  e nem a serie) falta todas as etapas dissertativas.</v>
      </c>
      <c r="B2607" s="93"/>
    </row>
    <row r="2608">
      <c r="A2608" s="384" t="str">
        <f>IFERROR(__xludf.DUMMYFUNCTION("""COMPUTED_VALUE"""),"Manoel Da Cruz Dos Santos Aquino | Pedagogia | Aprovado | Alexsiane: pp aprovado")</f>
        <v>Manoel Da Cruz Dos Santos Aquino | Pedagogia | Aprovado | Alexsiane: pp aprovado</v>
      </c>
      <c r="B2608" s="93"/>
    </row>
    <row r="2609">
      <c r="A2609" s="384" t="str">
        <f>IFERROR(__xludf.DUMMYFUNCTION("""COMPUTED_VALUE"""),"Manoel Da Silveira | Educação Física | Aprovado | Júnio: etapas 1 e 2 ok, faltam o resto /Júnio: conferido e arquivado: 10/12/2021")</f>
        <v>Manoel Da Silveira | Educação Física | Aprovado | Júnio: etapas 1 e 2 ok, faltam o resto /Júnio: conferido e arquivado: 10/12/2021</v>
      </c>
      <c r="B2609" s="93"/>
    </row>
    <row r="2610">
      <c r="A2610" s="384" t="str">
        <f>IFERROR(__xludf.DUMMYFUNCTION("""COMPUTED_VALUE"""),"Manoel Dalison Da Costa Neto | Ingles | Aprovado | Júnio: faltam todas as etapas dissertativas e as fichas possuem muitas datas iguais ao do outro curso e juntas ultrapassam 6 hs diárias. //Júnio: aprovado: 27/10/23")</f>
        <v>Manoel Dalison Da Costa Neto | Ingles | Aprovado | Júnio: faltam todas as etapas dissertativas e as fichas possuem muitas datas iguais ao do outro curso e juntas ultrapassam 6 hs diárias. //Júnio: aprovado: 27/10/23</v>
      </c>
      <c r="B2610" s="93"/>
    </row>
    <row r="2611">
      <c r="A2611" s="384" t="str">
        <f>IFERROR(__xludf.DUMMYFUNCTION("""COMPUTED_VALUE"""),"Manoel Dalison Da Costa Neto | Letras Portugues | Aprovado | Júnio: faltam todas as etapas dissertativas e as fichas possuem muitas datas iguais ao do outro curso e juntas ultrapassam 6 hs diárias.  //Júnio: aprovado: 27/10/23")</f>
        <v>Manoel Dalison Da Costa Neto | Letras Portugues | Aprovado | Júnio: faltam todas as etapas dissertativas e as fichas possuem muitas datas iguais ao do outro curso e juntas ultrapassam 6 hs diárias.  //Júnio: aprovado: 27/10/23</v>
      </c>
      <c r="B2611" s="93"/>
    </row>
    <row r="2612">
      <c r="A2612" s="384" t="str">
        <f>IFERROR(__xludf.DUMMYFUNCTION("""COMPUTED_VALUE"""),"Manoel Gioncarlo E Silva | Pedagogia | Aprovado | Alexsiane: pp aprovado")</f>
        <v>Manoel Gioncarlo E Silva | Pedagogia | Aprovado | Alexsiane: pp aprovado</v>
      </c>
      <c r="B2612" s="93"/>
    </row>
    <row r="2613">
      <c r="A2613" s="384" t="str">
        <f>IFERROR(__xludf.DUMMYFUNCTION("""COMPUTED_VALUE"""),"Manoel Oliveira Izoton | Formação Pedagógica Em Educação Física | em análise | Alexsiane; pp faltando a segunda etapa e 40% de plágio")</f>
        <v>Manoel Oliveira Izoton | Formação Pedagógica Em Educação Física | em análise | Alexsiane; pp faltando a segunda etapa e 40% de plágio</v>
      </c>
      <c r="B2613" s="93"/>
    </row>
    <row r="2614">
      <c r="A2614" s="384" t="str">
        <f>IFERROR(__xludf.DUMMYFUNCTION("""COMPUTED_VALUE"""),"Manoel Sócrates Costa Lever | Letras Português Inglês | Aprovado | Júnio: PP aprovado")</f>
        <v>Manoel Sócrates Costa Lever | Letras Português Inglês | Aprovado | Júnio: PP aprovado</v>
      </c>
      <c r="B2614" s="93"/>
    </row>
    <row r="2615">
      <c r="A2615" s="384" t="str">
        <f>IFERROR(__xludf.DUMMYFUNCTION("""COMPUTED_VALUE"""),"Manssel Eustórgio De Olveira | Música | Aprovado | Júnio: PP- aprovado")</f>
        <v>Manssel Eustórgio De Olveira | Música | Aprovado | Júnio: PP- aprovado</v>
      </c>
      <c r="B2615" s="93"/>
    </row>
    <row r="2616">
      <c r="A2616" s="384" t="str">
        <f>IFERROR(__xludf.DUMMYFUNCTION("""COMPUTED_VALUE"""),"Manuela Fonseca Cruz Pinheiro Gomes | Pedagogia | Aprovada | Júnio: PP aprovada")</f>
        <v>Manuela Fonseca Cruz Pinheiro Gomes | Pedagogia | Aprovada | Júnio: PP aprovada</v>
      </c>
      <c r="B2616" s="93"/>
    </row>
    <row r="2617">
      <c r="A2617" s="384" t="str">
        <f>IFERROR(__xludf.DUMMYFUNCTION("""COMPUTED_VALUE"""),"Manuela Kalline Da Silva | Pedagogia | Aprovada | Bárbara: aprovada em todas as etapas")</f>
        <v>Manuela Kalline Da Silva | Pedagogia | Aprovada | Bárbara: aprovada em todas as etapas</v>
      </c>
      <c r="B2617" s="93"/>
    </row>
    <row r="2618">
      <c r="A2618" s="384" t="str">
        <f>IFERROR(__xludf.DUMMYFUNCTION("""COMPUTED_VALUE"""),"Manuelly Meira Almeida | Letras Português | Aprovada | Júnio: autorizada a recolher assinaturas //Júnio: pré aprovada //Júnio: aprovada: 17/07/23")</f>
        <v>Manuelly Meira Almeida | Letras Português | Aprovada | Júnio: autorizada a recolher assinaturas //Júnio: pré aprovada //Júnio: aprovada: 17/07/23</v>
      </c>
      <c r="B2618" s="93"/>
    </row>
    <row r="2619">
      <c r="A2619" s="384" t="str">
        <f>IFERROR(__xludf.DUMMYFUNCTION("""COMPUTED_VALUE"""),"Mara Bolfarini Bento | Geografia | Apovado | Alexsiane; falta sumario, 1 plano de aula, relatório de gestão regência e observação e autoavaliação até dia 13/08 para reenviar // Alexsiane: pré aprovado com lançamento no sponte 05/09/22 //Júnio: físico conf"&amp;"erido e arquivado 19/10/22")</f>
        <v>Mara Bolfarini Bento | Geografia | Apovado | Alexsiane; falta sumario, 1 plano de aula, relatório de gestão regência e observação e autoavaliação até dia 13/08 para reenviar // Alexsiane: pré aprovado com lançamento no sponte 05/09/22 //Júnio: físico conferido e arquivado 19/10/22</v>
      </c>
      <c r="B2619" s="93"/>
    </row>
    <row r="2620">
      <c r="A2620" s="384" t="str">
        <f>IFERROR(__xludf.DUMMYFUNCTION("""COMPUTED_VALUE"""),"Mara Cristina Costa | Artes Visuais | - | Bárbara: substitui por dois cursos de capacitação, tem que verificar se ta quitado e se ta finalizado e aprovado")</f>
        <v>Mara Cristina Costa | Artes Visuais | - | Bárbara: substitui por dois cursos de capacitação, tem que verificar se ta quitado e se ta finalizado e aprovado</v>
      </c>
      <c r="B2620" s="93"/>
    </row>
    <row r="2621">
      <c r="A2621" s="384" t="str">
        <f>IFERROR(__xludf.DUMMYFUNCTION("""COMPUTED_VALUE"""),"Mara Regina De Oliveira Ceccon | Pedagogia | Aprovada | Ana Flávia: trabalho errado //Bianca: aprovada: 17/06/2021")</f>
        <v>Mara Regina De Oliveira Ceccon | Pedagogia | Aprovada | Ana Flávia: trabalho errado //Bianca: aprovada: 17/06/2021</v>
      </c>
      <c r="B2621" s="93"/>
    </row>
    <row r="2622">
      <c r="A2622" s="384" t="str">
        <f>IFERROR(__xludf.DUMMYFUNCTION("""COMPUTED_VALUE"""),"Maraiza Morais Carvalho | Pedagogia | Aprovada | Júnio: PP aprovada")</f>
        <v>Maraiza Morais Carvalho | Pedagogia | Aprovada | Júnio: PP aprovada</v>
      </c>
      <c r="B2622" s="93"/>
    </row>
    <row r="2623">
      <c r="A2623" s="384" t="str">
        <f>IFERROR(__xludf.DUMMYFUNCTION("""COMPUTED_VALUE"""),"Marcel Alcleante Alexandre De Sousa | Pedagogia | Aprovado | Júnio: PP- etapas ok, início foi em 16/05/23, reenviar em 16/11/23 //Júnio: aprovado: 17/11/23")</f>
        <v>Marcel Alcleante Alexandre De Sousa | Pedagogia | Aprovado | Júnio: PP- etapas ok, início foi em 16/05/23, reenviar em 16/11/23 //Júnio: aprovado: 17/11/23</v>
      </c>
      <c r="B2623" s="93"/>
    </row>
    <row r="2624">
      <c r="A2624" s="384" t="str">
        <f>IFERROR(__xludf.DUMMYFUNCTION("""COMPUTED_VALUE"""),"Marcel Ribeiro Risso | Matemática | Aprovado | Alexsiane: pp aprovado")</f>
        <v>Marcel Ribeiro Risso | Matemática | Aprovado | Alexsiane: pp aprovado</v>
      </c>
      <c r="B2624" s="93"/>
    </row>
    <row r="2625">
      <c r="A2625" s="384" t="str">
        <f>IFERROR(__xludf.DUMMYFUNCTION("""COMPUTED_VALUE"""),"Marcela Bianca Borges Menez | Ciências Sociais | Aprovado  | Júnio: falta termo de conclusão // Lucas: Aprovada no estagio remoto atualizado ")</f>
        <v>Marcela Bianca Borges Menez | Ciências Sociais | Aprovado  | Júnio: falta termo de conclusão // Lucas: Aprovada no estagio remoto atualizado </v>
      </c>
      <c r="B2625" s="93"/>
    </row>
    <row r="2626">
      <c r="A2626" s="384" t="str">
        <f>IFERROR(__xludf.DUMMYFUNCTION("""COMPUTED_VALUE"""),"Marcela Bianca Borges Menez | Filosofia | Aprovada | Bianca: apresentou declaração de experiência válida// Bianca aprovada em 03/11/2021 //Júnio: conferido e arquivado: 10/12/2021")</f>
        <v>Marcela Bianca Borges Menez | Filosofia | Aprovada | Bianca: apresentou declaração de experiência válida// Bianca aprovada em 03/11/2021 //Júnio: conferido e arquivado: 10/12/2021</v>
      </c>
      <c r="B2626" s="93"/>
    </row>
    <row r="2627">
      <c r="A2627" s="384" t="str">
        <f>IFERROR(__xludf.DUMMYFUNCTION("""COMPUTED_VALUE"""),"Marcela Maria Magi | Artes Visuais | Aprovada | Bianca: aprovadas nas 3 primeiras etapas do remoto antigo //Bárbara: aprovada: 13/05/21 //Júnio: conferido e arquivado 25/05/2021")</f>
        <v>Marcela Maria Magi | Artes Visuais | Aprovada | Bianca: aprovadas nas 3 primeiras etapas do remoto antigo //Bárbara: aprovada: 13/05/21 //Júnio: conferido e arquivado 25/05/2021</v>
      </c>
      <c r="B2627" s="93"/>
    </row>
    <row r="2628">
      <c r="A2628" s="384" t="str">
        <f>IFERROR(__xludf.DUMMYFUNCTION("""COMPUTED_VALUE"""),"Marcela Sales De Oliveira | Filosofia | Aprovado | Estella: Aluna fez conforme manual FAMOSP, por isso faltavam 60 de observação da gestão e estrutura escolar. Ana Lúcia disse que não há problema.")</f>
        <v>Marcela Sales De Oliveira | Filosofia | Aprovado | Estella: Aluna fez conforme manual FAMOSP, por isso faltavam 60 de observação da gestão e estrutura escolar. Ana Lúcia disse que não há problema.</v>
      </c>
      <c r="B2628" s="93"/>
    </row>
    <row r="2629">
      <c r="A2629" s="384" t="str">
        <f>IFERROR(__xludf.DUMMYFUNCTION("""COMPUTED_VALUE"""),"Marcela Sousa Silva | Pedagogia | Aprovada | Júnio: etapas: ok Inicio: 22/09/23 Reenviar: 22/03/2024 //Pagou apressamento - aprovada")</f>
        <v>Marcela Sousa Silva | Pedagogia | Aprovada | Júnio: etapas: ok Inicio: 22/09/23 Reenviar: 22/03/2024 //Pagou apressamento - aprovada</v>
      </c>
      <c r="B2629" s="93"/>
    </row>
    <row r="2630">
      <c r="A2630" s="384" t="str">
        <f>IFERROR(__xludf.DUMMYFUNCTION("""COMPUTED_VALUE"""),"Marceliny Ribeiro Fonseca Porto | Inglês | Aprovada | Edilaine: Tem que especificar o tipo de acompanhamento gestão, a carga horária de vários dias estão erradas, em dias iguais. Tem que fazer relatório de observação e regência. Tem que enviar o plano de "&amp;"aula em formato word editável. Não foi possível somar a carga horária total. //Júnio: pré aprovada: 31/05/23 //Júnio: aprovada: 13/06/23")</f>
        <v>Marceliny Ribeiro Fonseca Porto | Inglês | Aprovada | Edilaine: Tem que especificar o tipo de acompanhamento gestão, a carga horária de vários dias estão erradas, em dias iguais. Tem que fazer relatório de observação e regência. Tem que enviar o plano de aula em formato word editável. Não foi possível somar a carga horária total. //Júnio: pré aprovada: 31/05/23 //Júnio: aprovada: 13/06/23</v>
      </c>
      <c r="B2630" s="93"/>
    </row>
    <row r="2631">
      <c r="A2631" s="384" t="str">
        <f>IFERROR(__xludf.DUMMYFUNCTION("""COMPUTED_VALUE"""),"Marceliny Ribeiro Fonseca Porto | Neuropsicopedagogia Institucional, Clínica E Hospitalar | Aprovada | Edilaine: Remoto. Tem que fazer a anamnese. //Júnio: aprovada:18/05/23")</f>
        <v>Marceliny Ribeiro Fonseca Porto | Neuropsicopedagogia Institucional, Clínica E Hospitalar | Aprovada | Edilaine: Remoto. Tem que fazer a anamnese. //Júnio: aprovada:18/05/23</v>
      </c>
      <c r="B2631" s="93"/>
    </row>
    <row r="2632">
      <c r="A2632" s="384" t="str">
        <f>IFERROR(__xludf.DUMMYFUNCTION("""COMPUTED_VALUE"""),"Marcelo Abdoral Da Silva | Letras Português Inglês | Aprovado | Júnio: PP - aprovado")</f>
        <v>Marcelo Abdoral Da Silva | Letras Português Inglês | Aprovado | Júnio: PP - aprovado</v>
      </c>
      <c r="B2632" s="93"/>
    </row>
    <row r="2633">
      <c r="A2633" s="384" t="str">
        <f>IFERROR(__xludf.DUMMYFUNCTION("""COMPUTED_VALUE"""),"Marcelo Alves Novais | Pedagogia | Aprovado | Pamela: apresentou a declaração de experiencia valida para isenção de 50% valida.  //Júnio: PP aprovado: 05/01/24")</f>
        <v>Marcelo Alves Novais | Pedagogia | Aprovado | Pamela: apresentou a declaração de experiencia valida para isenção de 50% valida.  //Júnio: PP aprovado: 05/01/24</v>
      </c>
      <c r="B2633" s="93"/>
    </row>
    <row r="2634">
      <c r="A2634" s="384" t="str">
        <f>IFERROR(__xludf.DUMMYFUNCTION("""COMPUTED_VALUE"""),"Marcelo Augusto Da Silva Evangelista | Música | Aprovado | Alexsiane: pp falta etapa 1 e tem que colocar o nome da diretora na carta de apresentação( expira dia 30/07)// Alexsiane: pp aprovado 06/11/2024")</f>
        <v>Marcelo Augusto Da Silva Evangelista | Música | Aprovado | Alexsiane: pp falta etapa 1 e tem que colocar o nome da diretora na carta de apresentação( expira dia 30/07)// Alexsiane: pp aprovado 06/11/2024</v>
      </c>
      <c r="B2634" s="93"/>
    </row>
    <row r="2635">
      <c r="A2635" s="384" t="str">
        <f>IFERROR(__xludf.DUMMYFUNCTION("""COMPUTED_VALUE"""),"Marcelo Daniel Storck | Música | Aprovado | Júnio: PP - falta a carta de apresentação. //Júnio: aprovado 03/11/2023")</f>
        <v>Marcelo Daniel Storck | Música | Aprovado | Júnio: PP - falta a carta de apresentação. //Júnio: aprovado 03/11/2023</v>
      </c>
      <c r="B2635" s="93"/>
    </row>
    <row r="2636">
      <c r="A2636" s="384" t="str">
        <f>IFERROR(__xludf.DUMMYFUNCTION("""COMPUTED_VALUE"""),"Marcelo De Castro Ribeiro | Pedagogia | Aprovado | Júnio: deve preencher as fichas a caneta ou digitado (fez de lápis) e dias 25/04 e 27/04 com totais errados PRAZO: 11/11/23 //Júnio: aprovado: 30/11/2023")</f>
        <v>Marcelo De Castro Ribeiro | Pedagogia | Aprovado | Júnio: deve preencher as fichas a caneta ou digitado (fez de lápis) e dias 25/04 e 27/04 com totais errados PRAZO: 11/11/23 //Júnio: aprovado: 30/11/2023</v>
      </c>
      <c r="B2636" s="93"/>
    </row>
    <row r="2637">
      <c r="A2637" s="384" t="str">
        <f>IFERROR(__xludf.DUMMYFUNCTION("""COMPUTED_VALUE"""),"Marcelo De Oliveira | Pedagogia | Aprovado | Aline: aprovado nas 3 primeiras etapas, aguardando a última// Bárbara: aprovado 4 etapa 30/11/2020// Bárbara: conferido e arquivado 17/05/2021")</f>
        <v>Marcelo De Oliveira | Pedagogia | Aprovado | Aline: aprovado nas 3 primeiras etapas, aguardando a última// Bárbara: aprovado 4 etapa 30/11/2020// Bárbara: conferido e arquivado 17/05/2021</v>
      </c>
      <c r="B2637" s="93"/>
    </row>
    <row r="2638">
      <c r="A2638" s="384" t="str">
        <f>IFERROR(__xludf.DUMMYFUNCTION("""COMPUTED_VALUE"""),"Marcelo Eduardo Soares Pinheiro | Matemática | Aprovado | Júnio: PP - complementar a etapa 1 com mais páginas e falta a etapa 2.//Alexsiane: pp aprovado ")</f>
        <v>Marcelo Eduardo Soares Pinheiro | Matemática | Aprovado | Júnio: PP - complementar a etapa 1 com mais páginas e falta a etapa 2.//Alexsiane: pp aprovado </v>
      </c>
      <c r="B2638" s="93"/>
    </row>
    <row r="2639">
      <c r="A2639" s="384" t="str">
        <f>IFERROR(__xludf.DUMMYFUNCTION("""COMPUTED_VALUE"""),"Marcelo Ferreira | Letras/Português | Aprovado | Alexsiane: autorizado a autenticar  //// Edilaine: Aprovado 13/04")</f>
        <v>Marcelo Ferreira | Letras/Português | Aprovado | Alexsiane: autorizado a autenticar  //// Edilaine: Aprovado 13/04</v>
      </c>
      <c r="B2639" s="93"/>
    </row>
    <row r="2640">
      <c r="A2640" s="384" t="str">
        <f>IFERROR(__xludf.DUMMYFUNCTION("""COMPUTED_VALUE"""),"Marcelo Ferreira Honorato | Pedagogia Para Bachareis E Tecnologos | Aprovado | Júnio: PP: 21% plágio PCC 1: Ok PCC 2: 15% plágio PCC 3: 31% plágio PCC 4: 12% plágio //Júnio: aprovado : 16/11/23")</f>
        <v>Marcelo Ferreira Honorato | Pedagogia Para Bachareis E Tecnologos | Aprovado | Júnio: PP: 21% plágio PCC 1: Ok PCC 2: 15% plágio PCC 3: 31% plágio PCC 4: 12% plágio //Júnio: aprovado : 16/11/23</v>
      </c>
      <c r="B2640" s="93"/>
    </row>
    <row r="2641">
      <c r="A2641" s="384" t="str">
        <f>IFERROR(__xludf.DUMMYFUNCTION("""COMPUTED_VALUE"""),"Marcelo Leandro Pereira Lopes | Pedagogia | Em análise | Alexsiane: pp tem plágio nas 10 competências e tem que enviar a entrevista digitada no word e complemementar com pelo menos mai s1 página")</f>
        <v>Marcelo Leandro Pereira Lopes | Pedagogia | Em análise | Alexsiane: pp tem plágio nas 10 competências e tem que enviar a entrevista digitada no word e complemementar com pelo menos mai s1 página</v>
      </c>
      <c r="B2641" s="93"/>
    </row>
    <row r="2642">
      <c r="A2642" s="384" t="str">
        <f>IFERROR(__xludf.DUMMYFUNCTION("""COMPUTED_VALUE"""),"Marcelo Lemos Costa | Pedagogia | Aprovado | Alexsiane: pp aprovado")</f>
        <v>Marcelo Lemos Costa | Pedagogia | Aprovado | Alexsiane: pp aprovado</v>
      </c>
      <c r="B2642" s="93"/>
    </row>
    <row r="2643">
      <c r="A2643" s="384" t="str">
        <f>IFERROR(__xludf.DUMMYFUNCTION("""COMPUTED_VALUE"""),"Marcelo Mello Barbosa | Pedagogia | Aprovado | Edilaine: Tem que enviar a declaração de experiência escaneada e preenchida manuscrita.  Tem até dia 17/12/2022 para reenviar.  // Edilaine: Aprovado 21/12/2022")</f>
        <v>Marcelo Mello Barbosa | Pedagogia | Aprovado | Edilaine: Tem que enviar a declaração de experiência escaneada e preenchida manuscrita.  Tem até dia 17/12/2022 para reenviar.  // Edilaine: Aprovado 21/12/2022</v>
      </c>
      <c r="B2643" s="93"/>
    </row>
    <row r="2644">
      <c r="A2644" s="384" t="str">
        <f>IFERROR(__xludf.DUMMYFUNCTION("""COMPUTED_VALUE"""),"Marcelo Tiburcio Teixeira | Artes Visuais | Aprovado | Bianca: aprovado nas 3 primeiras etapas do remoto // Bianca: aprovado 29/04/2021")</f>
        <v>Marcelo Tiburcio Teixeira | Artes Visuais | Aprovado | Bianca: aprovado nas 3 primeiras etapas do remoto // Bianca: aprovado 29/04/2021</v>
      </c>
      <c r="B2644" s="93"/>
    </row>
    <row r="2645">
      <c r="A2645" s="384" t="str">
        <f>IFERROR(__xludf.DUMMYFUNCTION("""COMPUTED_VALUE"""),"Márcia Adriana Barbosa Oliveira | Artes Visuais | Aprovada | Edilaine: Aprovada com lançamento no Sponte.// Pamela 23/12/2022 Conferido e arquivado. ")</f>
        <v>Márcia Adriana Barbosa Oliveira | Artes Visuais | Aprovada | Edilaine: Aprovada com lançamento no Sponte.// Pamela 23/12/2022 Conferido e arquivado. </v>
      </c>
      <c r="B2645" s="93"/>
    </row>
    <row r="2646">
      <c r="A2646" s="384" t="str">
        <f>IFERROR(__xludf.DUMMYFUNCTION("""COMPUTED_VALUE"""),"Márcia Andreia Simões | Letras Port. Esp. | Aprovada | Thiara: falta assinaturas e carimbos.// Bárbara: aprovada na 4ª etapa da aula do remoto 06/04/2021")</f>
        <v>Márcia Andreia Simões | Letras Port. Esp. | Aprovada | Thiara: falta assinaturas e carimbos.// Bárbara: aprovada na 4ª etapa da aula do remoto 06/04/2021</v>
      </c>
      <c r="B2646" s="93"/>
    </row>
    <row r="2647">
      <c r="A2647" s="384" t="str">
        <f>IFERROR(__xludf.DUMMYFUNCTION("""COMPUTED_VALUE"""),"Marcia Aparecida Da Gama Gilio | Artes Visuais | Aprovada | Júnio: remoto antigo - pelo guru declaração de experiencia válida //Júnio: aprovada: 01/09/23")</f>
        <v>Marcia Aparecida Da Gama Gilio | Artes Visuais | Aprovada | Júnio: remoto antigo - pelo guru declaração de experiencia válida //Júnio: aprovada: 01/09/23</v>
      </c>
      <c r="B2647" s="93"/>
    </row>
    <row r="2648">
      <c r="A2648" s="384" t="str">
        <f>IFERROR(__xludf.DUMMYFUNCTION("""COMPUTED_VALUE"""),"Márcia Aparecida De Oliveira | Pedagogia | aprovado | Aline Silva: Recebido no instituto impresso e encadernado// Miryã: conferido e arquivado 12/03/2021")</f>
        <v>Márcia Aparecida De Oliveira | Pedagogia | aprovado | Aline Silva: Recebido no instituto impresso e encadernado// Miryã: conferido e arquivado 12/03/2021</v>
      </c>
      <c r="B2648" s="93"/>
    </row>
    <row r="2649">
      <c r="A2649" s="384" t="str">
        <f>IFERROR(__xludf.DUMMYFUNCTION("""COMPUTED_VALUE"""),"Màrcia Bellandi Vital Rodrigues | Neuropsicologia Clínica | Aprovada  | Bárbara: aprovada com lançamento no jacad, solicitada envio físico")</f>
        <v>Màrcia Bellandi Vital Rodrigues | Neuropsicologia Clínica | Aprovada  | Bárbara: aprovada com lançamento no jacad, solicitada envio físico</v>
      </c>
      <c r="B2649" s="93"/>
    </row>
    <row r="2650">
      <c r="A2650" s="384" t="str">
        <f>IFERROR(__xludf.DUMMYFUNCTION("""COMPUTED_VALUE"""),"Márcia Cristina Dos Santos Bandeira | Pedagogia | Em análise | Júnio: precisa refazer as fichas de registro colocando os preenchimentos em linhas separadas e sem ultrapassar o limite permitido de 6 hs, enviar plano de aula digitado e faltam todas as etapa"&amp;"s dissertativas.")</f>
        <v>Márcia Cristina Dos Santos Bandeira | Pedagogia | Em análise | Júnio: precisa refazer as fichas de registro colocando os preenchimentos em linhas separadas e sem ultrapassar o limite permitido de 6 hs, enviar plano de aula digitado e faltam todas as etapas dissertativas.</v>
      </c>
      <c r="B2650" s="93"/>
    </row>
    <row r="2651">
      <c r="A2651" s="384" t="str">
        <f>IFERROR(__xludf.DUMMYFUNCTION("""COMPUTED_VALUE"""),"Márcia Cristina Pereira Da Silva | Pedagogia | Aprovada | Alexsiane:falta termo de conclusão, carta de apresentação e as fichas de registro, retante ok e sem plágio //Júnio: pre aprovada PRAZO: 12/05/23 //Júnio: aprovada: 31/05/23")</f>
        <v>Márcia Cristina Pereira Da Silva | Pedagogia | Aprovada | Alexsiane:falta termo de conclusão, carta de apresentação e as fichas de registro, retante ok e sem plágio //Júnio: pre aprovada PRAZO: 12/05/23 //Júnio: aprovada: 31/05/23</v>
      </c>
      <c r="B2651" s="93"/>
    </row>
    <row r="2652">
      <c r="A2652" s="384" t="str">
        <f>IFERROR(__xludf.DUMMYFUNCTION("""COMPUTED_VALUE"""),"Márcia Dos Santos Da Rosa | Pedagogia | Em análise | Lucas: Falta formatar o trabalho de acordo com as orientações, etapa 1, 2, 3 e 4. ")</f>
        <v>Márcia Dos Santos Da Rosa | Pedagogia | Em análise | Lucas: Falta formatar o trabalho de acordo com as orientações, etapa 1, 2, 3 e 4. </v>
      </c>
      <c r="B2652" s="93"/>
    </row>
    <row r="2653">
      <c r="A2653" s="384" t="str">
        <f>IFERROR(__xludf.DUMMYFUNCTION("""COMPUTED_VALUE"""),"Márcia Dourado De Souza | Letras Português Ing | Aprovada  | Bianca: aluna autorizada a recolher as assinaturas // Bárbara: 30/09/2021 aprovada, autorizada a enviar o físico  //Júnio:conferido e arquivado: 26/10/21")</f>
        <v>Márcia Dourado De Souza | Letras Português Ing | Aprovada  | Bianca: aluna autorizada a recolher as assinaturas // Bárbara: 30/09/2021 aprovada, autorizada a enviar o físico  //Júnio:conferido e arquivado: 26/10/21</v>
      </c>
      <c r="B2653" s="93"/>
    </row>
    <row r="2654">
      <c r="A2654" s="384" t="str">
        <f>IFERROR(__xludf.DUMMYFUNCTION("""COMPUTED_VALUE"""),"Márcia Filgueiras De Oliveira Fogaça | Neuropsicopedagogia Institucional,Clínica E Hospitalar | Em análise | Edilaine: 82,53% de similaridade com o TCC. Tem até 02/01/2023 para reenviar.")</f>
        <v>Márcia Filgueiras De Oliveira Fogaça | Neuropsicopedagogia Institucional,Clínica E Hospitalar | Em análise | Edilaine: 82,53% de similaridade com o TCC. Tem até 02/01/2023 para reenviar.</v>
      </c>
      <c r="B2654" s="93"/>
    </row>
    <row r="2655">
      <c r="A2655" s="384" t="str">
        <f>IFERROR(__xludf.DUMMYFUNCTION("""COMPUTED_VALUE"""),"Márcia Helena Mariano | Matemática | Aprovada | Alexsiane: etapa 1 e 2 pk, na 3° etapa deu 11% de plágio e falta 4° etapa do remoto antigo 17/11 para reenviar //Júnio: aprovada: 03/01/23")</f>
        <v>Márcia Helena Mariano | Matemática | Aprovada | Alexsiane: etapa 1 e 2 pk, na 3° etapa deu 11% de plágio e falta 4° etapa do remoto antigo 17/11 para reenviar //Júnio: aprovada: 03/01/23</v>
      </c>
      <c r="B2655" s="93"/>
    </row>
    <row r="2656">
      <c r="A2656" s="384" t="str">
        <f>IFERROR(__xludf.DUMMYFUNCTION("""COMPUTED_VALUE"""),"Márcia Iara Brito De Andrade | Filosofia | aprovada | Aline Silva: enviou apenas um planejamento, sem os dados. Solicitei reenvio. // aprovada dia 11/08/2020// Bábara: conferido e arquivado 24/11/2020")</f>
        <v>Márcia Iara Brito De Andrade | Filosofia | aprovada | Aline Silva: enviou apenas um planejamento, sem os dados. Solicitei reenvio. // aprovada dia 11/08/2020// Bábara: conferido e arquivado 24/11/2020</v>
      </c>
      <c r="B2656" s="93"/>
    </row>
    <row r="2657">
      <c r="A2657" s="384" t="str">
        <f>IFERROR(__xludf.DUMMYFUNCTION("""COMPUTED_VALUE"""),"Márcia Iara Brito De Andrade | Ciências Sociais | Aprovada | Júnio: PP - falta responder o questionário e enviar a carta de apresentação. //Júnio: aprovada: 21/11/2023")</f>
        <v>Márcia Iara Brito De Andrade | Ciências Sociais | Aprovada | Júnio: PP - falta responder o questionário e enviar a carta de apresentação. //Júnio: aprovada: 21/11/2023</v>
      </c>
      <c r="B2657" s="93"/>
    </row>
    <row r="2658">
      <c r="A2658" s="384" t="str">
        <f>IFERROR(__xludf.DUMMYFUNCTION("""COMPUTED_VALUE"""),"Márcia Inês Vieira Lopes Inchausti | História | Aprovada | Júnio: PP aprovada")</f>
        <v>Márcia Inês Vieira Lopes Inchausti | História | Aprovada | Júnio: PP aprovada</v>
      </c>
      <c r="B2658" s="93"/>
    </row>
    <row r="2659">
      <c r="A2659" s="384" t="str">
        <f>IFERROR(__xludf.DUMMYFUNCTION("""COMPUTED_VALUE"""),"Marcia Jordana Rodrigues Silva | Artes Visuais | Aprovada | Júnio: Etapas: ok Inicio: 18/07/23 Reenviar: 18/01/24  //Júnio: aprovada: 19/01/24")</f>
        <v>Marcia Jordana Rodrigues Silva | Artes Visuais | Aprovada | Júnio: Etapas: ok Inicio: 18/07/23 Reenviar: 18/01/24  //Júnio: aprovada: 19/01/24</v>
      </c>
      <c r="B2659" s="93"/>
    </row>
    <row r="2660">
      <c r="A2660" s="384" t="str">
        <f>IFERROR(__xludf.DUMMYFUNCTION("""COMPUTED_VALUE"""),"Márcia Luiza Rosa De Almeida | Pedagogia | aprovado | Aline Silva: falta toda parte dissertativa do estágio, além das fichas obrigatórias. Apresentou as horas, porém não descreveu as atividades. Fez dias com 5 horas. // Falta capa, atv executada, plano de"&amp;" aula// aprovada dia 27/07/2020// Bárbara: Conferido e arquivado em 16/09/2020")</f>
        <v>Márcia Luiza Rosa De Almeida | Pedagogia | aprovado | Aline Silva: falta toda parte dissertativa do estágio, além das fichas obrigatórias. Apresentou as horas, porém não descreveu as atividades. Fez dias com 5 horas. // Falta capa, atv executada, plano de aula// aprovada dia 27/07/2020// Bárbara: Conferido e arquivado em 16/09/2020</v>
      </c>
      <c r="B2660" s="93"/>
    </row>
    <row r="2661">
      <c r="A2661" s="384" t="str">
        <f>IFERROR(__xludf.DUMMYFUNCTION("""COMPUTED_VALUE"""),"Márcia Maria Alves Mendes | Pedagogia | Pré aprovada | Júnio: pré aprovada OBS: Maria Leticia anotou: Tutoria, pode enviar o parecer mesmo sem os documentos. Senhor Luiz meu amigo, aluno antigo e que indica muitas pessoas. A Márcia é prima dele e em breve"&amp;" nos encaminhará os documentos.")</f>
        <v>Márcia Maria Alves Mendes | Pedagogia | Pré aprovada | Júnio: pré aprovada OBS: Maria Leticia anotou: Tutoria, pode enviar o parecer mesmo sem os documentos. Senhor Luiz meu amigo, aluno antigo e que indica muitas pessoas. A Márcia é prima dele e em breve nos encaminhará os documentos.</v>
      </c>
      <c r="B2661" s="93"/>
    </row>
    <row r="2662">
      <c r="A2662" s="384" t="str">
        <f>IFERROR(__xludf.DUMMYFUNCTION("""COMPUTED_VALUE"""),"Marcia Maria Fontes Andrade | Pedagogia Para Bachareis E Tecnologos | Em análise | Júnio - PP: 17% plágio, falta a carta de apresentação e entrevista PCC 1: 55% plágio PCC 2: 19% plágio PCC 3: 40% plágio PCC 4: 22% plágio e falta o mapa mental")</f>
        <v>Marcia Maria Fontes Andrade | Pedagogia Para Bachareis E Tecnologos | Em análise | Júnio - PP: 17% plágio, falta a carta de apresentação e entrevista PCC 1: 55% plágio PCC 2: 19% plágio PCC 3: 40% plágio PCC 4: 22% plágio e falta o mapa mental</v>
      </c>
      <c r="B2662" s="93"/>
    </row>
    <row r="2663">
      <c r="A2663" s="384" t="str">
        <f>IFERROR(__xludf.DUMMYFUNCTION("""COMPUTED_VALUE"""),"Márcia Martins Boulhosa | Neuropsicopedagogia Clínica Institucional E Hospitalar | Aprovada | //Aprovada // Lucas: Conferido e Quivado 04/03/2022")</f>
        <v>Márcia Martins Boulhosa | Neuropsicopedagogia Clínica Institucional E Hospitalar | Aprovada | //Aprovada // Lucas: Conferido e Quivado 04/03/2022</v>
      </c>
      <c r="B2663" s="93"/>
    </row>
    <row r="2664">
      <c r="A2664" s="384" t="str">
        <f>IFERROR(__xludf.DUMMYFUNCTION("""COMPUTED_VALUE"""),"Márcia Molina Squisatti Ricato | Psicopedagogia Institucional E Clínica | Em análise | Júnio: remoto antigo -95% plágio, precisa enviar no nosso modelo padrão seguindo todos os tópicos PRAZO: 16/06/23")</f>
        <v>Márcia Molina Squisatti Ricato | Psicopedagogia Institucional E Clínica | Em análise | Júnio: remoto antigo -95% plágio, precisa enviar no nosso modelo padrão seguindo todos os tópicos PRAZO: 16/06/23</v>
      </c>
      <c r="B2664" s="93"/>
    </row>
    <row r="2665">
      <c r="A2665" s="384" t="str">
        <f>IFERROR(__xludf.DUMMYFUNCTION("""COMPUTED_VALUE"""),"Márcia Regina Nunes | Matemática | Aprovado | Júnio: falta carta de aceite, termo de conclusão e ficha de registro // Lucas: Aprovada no estagio remoto atualizado, autorizado a enviar físico.")</f>
        <v>Márcia Regina Nunes | Matemática | Aprovado | Júnio: falta carta de aceite, termo de conclusão e ficha de registro // Lucas: Aprovada no estagio remoto atualizado, autorizado a enviar físico.</v>
      </c>
      <c r="B2665" s="93"/>
    </row>
    <row r="2666">
      <c r="A2666" s="384" t="str">
        <f>IFERROR(__xludf.DUMMYFUNCTION("""COMPUTED_VALUE"""),"Márcia Valéria De Sousa Coelho |  | Aprovado | Mandei enviar pelo correio.")</f>
        <v>Márcia Valéria De Sousa Coelho |  | Aprovado | Mandei enviar pelo correio.</v>
      </c>
      <c r="B2666" s="93"/>
    </row>
    <row r="2667">
      <c r="A2667" s="384" t="str">
        <f>IFERROR(__xludf.DUMMYFUNCTION("""COMPUTED_VALUE"""),"Márcia Valeria Oliva Baia | Pedagogia | Aprovada | Alexsiane: 12,70% de plágio, falta objetivos gerais e especificos,1 plano de aula, relatório de regência, autoavaliação, especificar nas fichas a serie e corrigir a carga horaria do fia 10/08 que está err"&amp;"ada 03/04 reenviar Júnio: pre aprovada: 15/05/23 //Júnio: aprovada: 05/06/23")</f>
        <v>Márcia Valeria Oliva Baia | Pedagogia | Aprovada | Alexsiane: 12,70% de plágio, falta objetivos gerais e especificos,1 plano de aula, relatório de regência, autoavaliação, especificar nas fichas a serie e corrigir a carga horaria do fia 10/08 que está errada 03/04 reenviar Júnio: pre aprovada: 15/05/23 //Júnio: aprovada: 05/06/23</v>
      </c>
      <c r="B2667" s="93"/>
    </row>
    <row r="2668">
      <c r="A2668" s="384" t="str">
        <f>IFERROR(__xludf.DUMMYFUNCTION("""COMPUTED_VALUE"""),"Marcileia Alves De Melo | Pedagogia | Em análise | Bianca: aprovada n etapa 2, aguardando o envio do restante")</f>
        <v>Marcileia Alves De Melo | Pedagogia | Em análise | Bianca: aprovada n etapa 2, aguardando o envio do restante</v>
      </c>
      <c r="B2668" s="93"/>
    </row>
    <row r="2669">
      <c r="A2669" s="384" t="str">
        <f>IFERROR(__xludf.DUMMYFUNCTION("""COMPUTED_VALUE"""),"Marcileia Alves De Melo | Pedagogia | Aprovada | Bianca: aprovada nas 4 etapas do remoto antigo")</f>
        <v>Marcileia Alves De Melo | Pedagogia | Aprovada | Bianca: aprovada nas 4 etapas do remoto antigo</v>
      </c>
      <c r="B2669" s="93"/>
    </row>
    <row r="2670">
      <c r="A2670" s="384" t="str">
        <f>IFERROR(__xludf.DUMMYFUNCTION("""COMPUTED_VALUE"""),"Marcileia Ana Dos Santos | Pedagogia | Aprovada | Júnio: faltam objetivos especificos, enviar o plano digitado, fichas de registro vieram desformadas e primeiras linhas sem assinaturas, carga horária nas fichas está errada e especificar o cargo de atuação"&amp;" na declaração de experiencia.// Alexsiane: pp aprovado 24/04/2024")</f>
        <v>Marcileia Ana Dos Santos | Pedagogia | Aprovada | Júnio: faltam objetivos especificos, enviar o plano digitado, fichas de registro vieram desformadas e primeiras linhas sem assinaturas, carga horária nas fichas está errada e especificar o cargo de atuação na declaração de experiencia.// Alexsiane: pp aprovado 24/04/2024</v>
      </c>
      <c r="B2670" s="93"/>
    </row>
    <row r="2671">
      <c r="A2671" s="384" t="str">
        <f>IFERROR(__xludf.DUMMYFUNCTION("""COMPUTED_VALUE"""),"Marcilene Da Silva Stoffel Oliveira | Pedagogia | Aprovado | Thiara: Aprovado.// Miryã: conferido e arquivado 15/03/2021")</f>
        <v>Marcilene Da Silva Stoffel Oliveira | Pedagogia | Aprovado | Thiara: Aprovado.// Miryã: conferido e arquivado 15/03/2021</v>
      </c>
      <c r="B2671" s="93"/>
    </row>
    <row r="2672">
      <c r="A2672" s="384" t="str">
        <f>IFERROR(__xludf.DUMMYFUNCTION("""COMPUTED_VALUE"""),"Marcilene Ramos De Oliveira | Psic. Ped. Clínica |  | Thiara: aluna não mandou estágio e sim TCC. A Ana Lúcia verificará se a Faculdade certificadora aceitará.")</f>
        <v>Marcilene Ramos De Oliveira | Psic. Ped. Clínica |  | Thiara: aluna não mandou estágio e sim TCC. A Ana Lúcia verificará se a Faculdade certificadora aceitará.</v>
      </c>
      <c r="B2672" s="93"/>
    </row>
    <row r="2673">
      <c r="A2673" s="384" t="str">
        <f>IFERROR(__xludf.DUMMYFUNCTION("""COMPUTED_VALUE"""),"Marcinéia Da Conceição Sousa | Letras/ Português | Aprovada | Júnio: autorizada a recolher assinaturas - estágio padrão")</f>
        <v>Marcinéia Da Conceição Sousa | Letras/ Português | Aprovada | Júnio: autorizada a recolher assinaturas - estágio padrão</v>
      </c>
      <c r="B2673" s="93"/>
    </row>
    <row r="2674">
      <c r="A2674" s="384" t="str">
        <f>IFERROR(__xludf.DUMMYFUNCTION("""COMPUTED_VALUE"""),"Marcinéia Da Conceição Sousa | Pedagogia | Aprovado | Aline Silva: falta carta de ap ,termo de comp, auto, recolher ass e carimbos.// aprovada dia 26/08/2020// Bárbara: conferido e arquivado 29/12/2020")</f>
        <v>Marcinéia Da Conceição Sousa | Pedagogia | Aprovado | Aline Silva: falta carta de ap ,termo de comp, auto, recolher ass e carimbos.// aprovada dia 26/08/2020// Bárbara: conferido e arquivado 29/12/2020</v>
      </c>
      <c r="B2674" s="93"/>
    </row>
    <row r="2675">
      <c r="A2675" s="384" t="str">
        <f>IFERROR(__xludf.DUMMYFUNCTION("""COMPUTED_VALUE"""),"Marcinéia Fátima Santos | Letras Portug Ing | Aprovada | Aline: aprovada com declaração de experiência válida // Bárbara: imprimido e arquivado 29/12/2020")</f>
        <v>Marcinéia Fátima Santos | Letras Portug Ing | Aprovada | Aline: aprovada com declaração de experiência válida // Bárbara: imprimido e arquivado 29/12/2020</v>
      </c>
      <c r="B2675" s="93"/>
    </row>
    <row r="2676">
      <c r="A2676" s="384" t="str">
        <f>IFERROR(__xludf.DUMMYFUNCTION("""COMPUTED_VALUE"""),"Márcio Antônio De Castro | Ed. Física | Aprovado | Aline Silva: Apresentou a declaração de experiência válida e foi aprovado nas 3 etapas.")</f>
        <v>Márcio Antônio De Castro | Ed. Física | Aprovado | Aline Silva: Apresentou a declaração de experiência válida e foi aprovado nas 3 etapas.</v>
      </c>
      <c r="B2676" s="93"/>
    </row>
    <row r="2677">
      <c r="A2677" s="384" t="str">
        <f>IFERROR(__xludf.DUMMYFUNCTION("""COMPUTED_VALUE"""),"Márcio Antônio De Paula | História | Em análise | Alexsiane: PP esta falando a entrevista digitada")</f>
        <v>Márcio Antônio De Paula | História | Em análise | Alexsiane: PP esta falando a entrevista digitada</v>
      </c>
      <c r="B2677" s="93"/>
    </row>
    <row r="2678">
      <c r="A2678" s="384" t="str">
        <f>IFERROR(__xludf.DUMMYFUNCTION("""COMPUTED_VALUE"""),"Márcio Antônio De Paula | Formação Pedagógica História | Aprovado | Cris: PP aprovado")</f>
        <v>Márcio Antônio De Paula | Formação Pedagógica História | Aprovado | Cris: PP aprovado</v>
      </c>
      <c r="B2678" s="93"/>
    </row>
    <row r="2679">
      <c r="A2679" s="384" t="str">
        <f>IFERROR(__xludf.DUMMYFUNCTION("""COMPUTED_VALUE"""),"Márcio De Melo | Artes Visuais | Aprovado | Bianca: aprovado nas 4 etapas do remoto antigo //Júnio: conferido e arquivado: 19/11/21")</f>
        <v>Márcio De Melo | Artes Visuais | Aprovado | Bianca: aprovado nas 4 etapas do remoto antigo //Júnio: conferido e arquivado: 19/11/21</v>
      </c>
      <c r="B2679" s="93"/>
    </row>
    <row r="2680">
      <c r="A2680" s="384" t="str">
        <f>IFERROR(__xludf.DUMMYFUNCTION("""COMPUTED_VALUE"""),"Márcio De Oliveira Liberato | Pedagogia | Em análise | Lucas: Plágio 9,91%, falta 9 planos de aula. ")</f>
        <v>Márcio De Oliveira Liberato | Pedagogia | Em análise | Lucas: Plágio 9,91%, falta 9 planos de aula. </v>
      </c>
      <c r="B2680" s="93"/>
    </row>
    <row r="2681">
      <c r="A2681" s="384" t="str">
        <f>IFERROR(__xludf.DUMMYFUNCTION("""COMPUTED_VALUE"""),"Márcio Douglas De Carvalho E Silva | Pedagogia | Aprovado | Júnio: padrão 400 horas - declaração de experiência válida, falta todo o resto //Júnio: PP aprovado: 16/01/2024")</f>
        <v>Márcio Douglas De Carvalho E Silva | Pedagogia | Aprovado | Júnio: padrão 400 horas - declaração de experiência válida, falta todo o resto //Júnio: PP aprovado: 16/01/2024</v>
      </c>
      <c r="B2681" s="93"/>
    </row>
    <row r="2682">
      <c r="A2682" s="384" t="str">
        <f>IFERROR(__xludf.DUMMYFUNCTION("""COMPUTED_VALUE"""),"Márcio Goulart Coutinho | 2ª Licenciatura Artes Visuais | Aprovado | Cris: PP aprovado")</f>
        <v>Márcio Goulart Coutinho | 2ª Licenciatura Artes Visuais | Aprovado | Cris: PP aprovado</v>
      </c>
      <c r="B2682" s="93"/>
    </row>
    <row r="2683">
      <c r="A2683" s="384" t="str">
        <f>IFERROR(__xludf.DUMMYFUNCTION("""COMPUTED_VALUE"""),"Márcio José Soares Mendes | Pedagogia | Aprovado | Júnio: PP - falta a carta de apresentação e responder o questionário //Júnio: aprovado: 16/11/23")</f>
        <v>Márcio José Soares Mendes | Pedagogia | Aprovado | Júnio: PP - falta a carta de apresentação e responder o questionário //Júnio: aprovado: 16/11/23</v>
      </c>
      <c r="B2683" s="93"/>
    </row>
    <row r="2684">
      <c r="A2684" s="384" t="str">
        <f>IFERROR(__xludf.DUMMYFUNCTION("""COMPUTED_VALUE"""),"Márcio Odair Dias | Pedagogia | Aprovada | Júnio: falta etapa 4 do TCE remoto atualizado //Bianca: aprovada: 18/08/21 //Júnio: conferido e arquivado: 24/08/2021")</f>
        <v>Márcio Odair Dias | Pedagogia | Aprovada | Júnio: falta etapa 4 do TCE remoto atualizado //Bianca: aprovada: 18/08/21 //Júnio: conferido e arquivado: 24/08/2021</v>
      </c>
      <c r="B2684" s="93"/>
    </row>
    <row r="2685">
      <c r="A2685" s="384" t="str">
        <f>IFERROR(__xludf.DUMMYFUNCTION("""COMPUTED_VALUE"""),"Marcio Souza De Deus | Letras Inglês | Aprovado | Bárbara: não fez os planos de aula da etapa 3, e etapa 1 imcompleto. // Bárbara: aprovada na 4ª etapa 12/01/2021")</f>
        <v>Marcio Souza De Deus | Letras Inglês | Aprovado | Bárbara: não fez os planos de aula da etapa 3, e etapa 1 imcompleto. // Bárbara: aprovada na 4ª etapa 12/01/2021</v>
      </c>
      <c r="B2685" s="93"/>
    </row>
    <row r="2686">
      <c r="A2686" s="384" t="str">
        <f>IFERROR(__xludf.DUMMYFUNCTION("""COMPUTED_VALUE"""),"Marcly Colares Coelho De Sousa | Artes Visuais | Aprovada | Júnio: enviar a entrevista digitada PRAZO: 24/12/23 //Júnio: aprovada 22/12/23")</f>
        <v>Marcly Colares Coelho De Sousa | Artes Visuais | Aprovada | Júnio: enviar a entrevista digitada PRAZO: 24/12/23 //Júnio: aprovada 22/12/23</v>
      </c>
      <c r="B2686" s="93"/>
    </row>
    <row r="2687">
      <c r="A2687" s="384" t="str">
        <f>IFERROR(__xludf.DUMMYFUNCTION("""COMPUTED_VALUE"""),"Marco Antônio Rigueira | Matemática | Aprovado | Júnio: PP 5 ETAPAS - falta apenas enviar a carta de apresentação assinada e carimbada. //Júnio: parovado: 23/08/23")</f>
        <v>Marco Antônio Rigueira | Matemática | Aprovado | Júnio: PP 5 ETAPAS - falta apenas enviar a carta de apresentação assinada e carimbada. //Júnio: parovado: 23/08/23</v>
      </c>
      <c r="B2687" s="93"/>
    </row>
    <row r="2688">
      <c r="A2688" s="384" t="str">
        <f>IFERROR(__xludf.DUMMYFUNCTION("""COMPUTED_VALUE"""),"Marco Antônio Rigueira | Ciências Sociais | Em análise | Júnio e Bianca: falta etapa 2 remoto atualizado")</f>
        <v>Marco Antônio Rigueira | Ciências Sociais | Em análise | Júnio e Bianca: falta etapa 2 remoto atualizado</v>
      </c>
      <c r="B2688" s="93"/>
    </row>
    <row r="2689">
      <c r="A2689" s="384" t="str">
        <f>IFERROR(__xludf.DUMMYFUNCTION("""COMPUTED_VALUE"""),"Marco Aurélio Gomes Vilas Bôas | Música | Em analise  | Declaração de experiencia válida")</f>
        <v>Marco Aurélio Gomes Vilas Bôas | Música | Em analise  | Declaração de experiencia válida</v>
      </c>
      <c r="B2689" s="93"/>
    </row>
    <row r="2690">
      <c r="A2690" s="384" t="str">
        <f>IFERROR(__xludf.DUMMYFUNCTION("""COMPUTED_VALUE"""),"Marco Aurélio Gomes Vilas Bôas | Música | Aprovado | Alexsiane: pp aprovado")</f>
        <v>Marco Aurélio Gomes Vilas Bôas | Música | Aprovado | Alexsiane: pp aprovado</v>
      </c>
      <c r="B2690" s="93"/>
    </row>
    <row r="2691">
      <c r="A2691" s="384" t="str">
        <f>IFERROR(__xludf.DUMMYFUNCTION("""COMPUTED_VALUE"""),"Marco Diego Krenzlin | Formação Pedagógica Em Educação Física | Aprovado | Rayssa PP Falta etapa 1/ Rayssa: pp  aprovado 11/10/2024 protocolo 11045")</f>
        <v>Marco Diego Krenzlin | Formação Pedagógica Em Educação Física | Aprovado | Rayssa PP Falta etapa 1/ Rayssa: pp  aprovado 11/10/2024 protocolo 11045</v>
      </c>
      <c r="B2691" s="93"/>
    </row>
    <row r="2692">
      <c r="A2692" s="384" t="str">
        <f>IFERROR(__xludf.DUMMYFUNCTION("""COMPUTED_VALUE"""),"Marco Paulo Lima De Oliveira | Matemática | Aprovado | Júnio: etapas ok - inicio: 22/02/23 reenviar: 22/08/23 //Júnio: aprovado: 24/08/23")</f>
        <v>Marco Paulo Lima De Oliveira | Matemática | Aprovado | Júnio: etapas ok - inicio: 22/02/23 reenviar: 22/08/23 //Júnio: aprovado: 24/08/23</v>
      </c>
      <c r="B2692" s="93"/>
    </row>
    <row r="2693">
      <c r="A2693" s="384" t="str">
        <f>IFERROR(__xludf.DUMMYFUNCTION("""COMPUTED_VALUE"""),"Marco Túlio De Abreu | Letras Português | Em análise | Bianca: 1º acesso em 12/03/2021/ Bianca: aprovado nas 4 etapas do remoto antigo em 14/09/2021")</f>
        <v>Marco Túlio De Abreu | Letras Português | Em análise | Bianca: 1º acesso em 12/03/2021/ Bianca: aprovado nas 4 etapas do remoto antigo em 14/09/2021</v>
      </c>
      <c r="B2693" s="93"/>
    </row>
    <row r="2694">
      <c r="A2694" s="384" t="str">
        <f>IFERROR(__xludf.DUMMYFUNCTION("""COMPUTED_VALUE"""),"Marcos André Soares Da Silva | Ed. Física | aprovado | Aline Silva: aprovado")</f>
        <v>Marcos André Soares Da Silva | Ed. Física | aprovado | Aline Silva: aprovado</v>
      </c>
      <c r="B2694" s="93"/>
    </row>
    <row r="2695">
      <c r="A2695" s="384" t="str">
        <f>IFERROR(__xludf.DUMMYFUNCTION("""COMPUTED_VALUE"""),"Marcos Antônio Cassiano Paulino | Música | Em análise | Júnio: padrão 400 horas - declaração de experiência válida, falta todo o resto")</f>
        <v>Marcos Antônio Cassiano Paulino | Música | Em análise | Júnio: padrão 400 horas - declaração de experiência válida, falta todo o resto</v>
      </c>
      <c r="B2695" s="93"/>
    </row>
    <row r="2696">
      <c r="A2696" s="384" t="str">
        <f>IFERROR(__xludf.DUMMYFUNCTION("""COMPUTED_VALUE"""),"Marcos Antonio Leal Alves | Pedagogia | Aprovado | Júnio: PP- falta a etapa 2 //Júnio: aprovado 15/09/23")</f>
        <v>Marcos Antonio Leal Alves | Pedagogia | Aprovado | Júnio: PP- falta a etapa 2 //Júnio: aprovado 15/09/23</v>
      </c>
      <c r="B2696" s="93"/>
    </row>
    <row r="2697">
      <c r="A2697" s="384" t="str">
        <f>IFERROR(__xludf.DUMMYFUNCTION("""COMPUTED_VALUE"""),"Marcos Antonio Leal Alves | História | Aprovado | Júnio: PP - falta etapa 1 //Júnio: aprovado: 03/10/23")</f>
        <v>Marcos Antonio Leal Alves | História | Aprovado | Júnio: PP - falta etapa 1 //Júnio: aprovado: 03/10/23</v>
      </c>
      <c r="B2697" s="93"/>
    </row>
    <row r="2698">
      <c r="A2698" s="384" t="str">
        <f>IFERROR(__xludf.DUMMYFUNCTION("""COMPUTED_VALUE"""),"Marcos Antônio Pacheco Michalczuk | Pedagogia Para Bachareis E Tecnologos | Aprovado | Alexsiane: Estágio e prática II APROVADOS.  Falta estágio I, III e IV e as Práticas I, III e IV //Júnio: pré aprovado: 10/08/23 //Júnio: aprovado: 26/10/23")</f>
        <v>Marcos Antônio Pacheco Michalczuk | Pedagogia Para Bachareis E Tecnologos | Aprovado | Alexsiane: Estágio e prática II APROVADOS.  Falta estágio I, III e IV e as Práticas I, III e IV //Júnio: pré aprovado: 10/08/23 //Júnio: aprovado: 26/10/23</v>
      </c>
      <c r="B2698" s="93"/>
    </row>
    <row r="2699">
      <c r="A2699" s="384" t="str">
        <f>IFERROR(__xludf.DUMMYFUNCTION("""COMPUTED_VALUE"""),"Marcos Aurélio Cruz Da Fonseca | Artes Visuais | Em análise | Alexsiane: pp esta faltando a segunda etapa.")</f>
        <v>Marcos Aurélio Cruz Da Fonseca | Artes Visuais | Em análise | Alexsiane: pp esta faltando a segunda etapa.</v>
      </c>
      <c r="B2699" s="93"/>
    </row>
    <row r="2700">
      <c r="A2700" s="384" t="str">
        <f>IFERROR(__xludf.DUMMYFUNCTION("""COMPUTED_VALUE"""),"Marcos Aurélio Cruz Da Fonseca | Pedagogia | Em análise | Alexsiane: pp: etapa 1 igual ao de artes visuais e esta faltando etapa 2")</f>
        <v>Marcos Aurélio Cruz Da Fonseca | Pedagogia | Em análise | Alexsiane: pp: etapa 1 igual ao de artes visuais e esta faltando etapa 2</v>
      </c>
      <c r="B2700" s="93"/>
    </row>
    <row r="2701">
      <c r="A2701" s="384" t="str">
        <f>IFERROR(__xludf.DUMMYFUNCTION("""COMPUTED_VALUE"""),"Marcos Coelho Da Silva | Segunda Licenciatura Pedagogia | Aprovado | Rayssa pp aprovado")</f>
        <v>Marcos Coelho Da Silva | Segunda Licenciatura Pedagogia | Aprovado | Rayssa pp aprovado</v>
      </c>
      <c r="B2701" s="93"/>
    </row>
    <row r="2702">
      <c r="A2702" s="384" t="str">
        <f>IFERROR(__xludf.DUMMYFUNCTION("""COMPUTED_VALUE"""),"Marcos Daniel Cândido Da Silva | Ciências Sociais | Em análise | Bianca: Enviou apenas etapas 1 e 4// Bianca: aprovado em 07/1272021")</f>
        <v>Marcos Daniel Cândido Da Silva | Ciências Sociais | Em análise | Bianca: Enviou apenas etapas 1 e 4// Bianca: aprovado em 07/1272021</v>
      </c>
      <c r="B2702" s="93"/>
    </row>
    <row r="2703">
      <c r="A2703" s="384" t="str">
        <f>IFERROR(__xludf.DUMMYFUNCTION("""COMPUTED_VALUE"""),"Marcos Daniel Cândido Da Silva | História | Aprovado | Edilaine: Declaração de experiência válida.// Alexsiane:  Pré aprovadocom lançamento no sponte// Pamela 13/01/2023 Conferido e arquivado. ")</f>
        <v>Marcos Daniel Cândido Da Silva | História | Aprovado | Edilaine: Declaração de experiência válida.// Alexsiane:  Pré aprovadocom lançamento no sponte// Pamela 13/01/2023 Conferido e arquivado. </v>
      </c>
      <c r="B2703" s="93"/>
    </row>
    <row r="2704">
      <c r="A2704" s="384" t="str">
        <f>IFERROR(__xludf.DUMMYFUNCTION("""COMPUTED_VALUE"""),"Marcos Emmanuel Viana Lima | Ciências Da Religião | Aprovado | Júnio: PP - 33% plágio. //Júnio: aprovado: 04/08/23")</f>
        <v>Marcos Emmanuel Viana Lima | Ciências Da Religião | Aprovado | Júnio: PP - 33% plágio. //Júnio: aprovado: 04/08/23</v>
      </c>
      <c r="B2704" s="93"/>
    </row>
    <row r="2705">
      <c r="A2705" s="384" t="str">
        <f>IFERROR(__xludf.DUMMYFUNCTION("""COMPUTED_VALUE"""),"Marcos Emmanuel Viana Lima | Pedagogia | Aprovado | Júnio: PP - Inicio: 12/10/2023  Reenviar: 12/04/23// Alexsiane: pp aprovado  23/04/24")</f>
        <v>Marcos Emmanuel Viana Lima | Pedagogia | Aprovado | Júnio: PP - Inicio: 12/10/2023  Reenviar: 12/04/23// Alexsiane: pp aprovado  23/04/24</v>
      </c>
      <c r="B2705" s="93"/>
    </row>
    <row r="2706">
      <c r="A2706" s="384" t="str">
        <f>IFERROR(__xludf.DUMMYFUNCTION("""COMPUTED_VALUE"""),"Marcos Ferreira Lima | Letras Português | Aprovado | Barbara: aluno aprovado etapas 1,2 e 3, e apresentou declaração de experiência válida.")</f>
        <v>Marcos Ferreira Lima | Letras Português | Aprovado | Barbara: aluno aprovado etapas 1,2 e 3, e apresentou declaração de experiência válida.</v>
      </c>
      <c r="B2706" s="93"/>
    </row>
    <row r="2707">
      <c r="A2707" s="384" t="str">
        <f>IFERROR(__xludf.DUMMYFUNCTION("""COMPUTED_VALUE"""),"Marcos Flávio Nunes Fulaneti | Pedagogia | Aprovado | Thiara: Não foi possivel avaliar o trabalho devido ao formato pedi para reenviar em formato word no dia 27/12/2018. Aprovado dia 28/12/2018.Corpo do texto está correto, foi enviado o manual antigo por "&amp;"isso as horas.")</f>
        <v>Marcos Flávio Nunes Fulaneti | Pedagogia | Aprovado | Thiara: Não foi possivel avaliar o trabalho devido ao formato pedi para reenviar em formato word no dia 27/12/2018. Aprovado dia 28/12/2018.Corpo do texto está correto, foi enviado o manual antigo por isso as horas.</v>
      </c>
      <c r="B2707" s="93"/>
    </row>
    <row r="2708">
      <c r="A2708" s="384" t="str">
        <f>IFERROR(__xludf.DUMMYFUNCTION("""COMPUTED_VALUE"""),"Marcos Luiz Pedro | Pedagogia | Aprovado | Bárbara: Em caso excepcional aprovei, tinha ficado para tras nas correções, o trabalho tem informações a mais e a menos, diante disso deu para aceitat")</f>
        <v>Marcos Luiz Pedro | Pedagogia | Aprovado | Bárbara: Em caso excepcional aprovei, tinha ficado para tras nas correções, o trabalho tem informações a mais e a menos, diante disso deu para aceitat</v>
      </c>
      <c r="B2708" s="93"/>
    </row>
    <row r="2709">
      <c r="A2709" s="384" t="str">
        <f>IFERROR(__xludf.DUMMYFUNCTION("""COMPUTED_VALUE"""),"Marcos Philipe Pereira Silva | Ed. Física | Aprovado | Bárbara: trabalho todo incompleto. Na etapa 3, só constava 1 plano de aula. Pedi as complementações. (Além disso, aluno apresentou 72 horas do estágio padrão que estava realizando antes da pandemia, A"&amp;"line visualizou e verificou que estava incompleto. Indiquei ao aluno que finaliza-se o estágio remoto, e esquece-se do outro estágio) // Bárbara: aprovado 4ª etapa 12/11/2020")</f>
        <v>Marcos Philipe Pereira Silva | Ed. Física | Aprovado | Bárbara: trabalho todo incompleto. Na etapa 3, só constava 1 plano de aula. Pedi as complementações. (Além disso, aluno apresentou 72 horas do estágio padrão que estava realizando antes da pandemia, Aline visualizou e verificou que estava incompleto. Indiquei ao aluno que finaliza-se o estágio remoto, e esquece-se do outro estágio) // Bárbara: aprovado 4ª etapa 12/11/2020</v>
      </c>
      <c r="B2709" s="93"/>
    </row>
    <row r="2710">
      <c r="A2710" s="384" t="str">
        <f>IFERROR(__xludf.DUMMYFUNCTION("""COMPUTED_VALUE"""),"Marcos Rogério Andrade Do Nascimento | Letras Inglês | Aprovado | Júnio: PP - falta responder o questionário. ///Júnio: 21/09- etapas ok mas o inicio do curso foi em 12/05/23, deve reenviar em 12/11/2023 //Júnio: PP aprovado: 13/11/23")</f>
        <v>Marcos Rogério Andrade Do Nascimento | Letras Inglês | Aprovado | Júnio: PP - falta responder o questionário. ///Júnio: 21/09- etapas ok mas o inicio do curso foi em 12/05/23, deve reenviar em 12/11/2023 //Júnio: PP aprovado: 13/11/23</v>
      </c>
      <c r="B2710" s="93"/>
    </row>
    <row r="2711">
      <c r="A2711" s="384" t="str">
        <f>IFERROR(__xludf.DUMMYFUNCTION("""COMPUTED_VALUE"""),"Marcus Alexandre De Pádua Cavalcanti Bastos | História | Pré aprovado | Júnio: precisa especificar nas fichas o tipo de acompanhamento e falta todas as etapas dissertativas. PRAZO: 12/10/23")</f>
        <v>Marcus Alexandre De Pádua Cavalcanti Bastos | História | Pré aprovado | Júnio: precisa especificar nas fichas o tipo de acompanhamento e falta todas as etapas dissertativas. PRAZO: 12/10/23</v>
      </c>
      <c r="B2711" s="93"/>
    </row>
    <row r="2712">
      <c r="A2712" s="384" t="str">
        <f>IFERROR(__xludf.DUMMYFUNCTION("""COMPUTED_VALUE"""),"Marcus Valério De Oliveira Trancoso | Música | Aprovado | Júnio: PP- 9,6% plágio e falta responder questionário da etapa II //Júnio: aprovado: 19/07/23")</f>
        <v>Marcus Valério De Oliveira Trancoso | Música | Aprovado | Júnio: PP- 9,6% plágio e falta responder questionário da etapa II //Júnio: aprovado: 19/07/23</v>
      </c>
      <c r="B2712" s="93"/>
    </row>
    <row r="2713">
      <c r="A2713" s="384" t="str">
        <f>IFERROR(__xludf.DUMMYFUNCTION("""COMPUTED_VALUE"""),"Marcus Vinícius Miranda De Araújo | Pedagogia | Aprovado | Bianca: trabalho identico ao da Claudia Elieny, pedi para refazer. //Júnio: aprovado: 14/01/22")</f>
        <v>Marcus Vinícius Miranda De Araújo | Pedagogia | Aprovado | Bianca: trabalho identico ao da Claudia Elieny, pedi para refazer. //Júnio: aprovado: 14/01/22</v>
      </c>
      <c r="B2713" s="93"/>
    </row>
    <row r="2714">
      <c r="A2714" s="384" t="str">
        <f>IFERROR(__xludf.DUMMYFUNCTION("""COMPUTED_VALUE"""),"Mardenia Cressa Carmo Farias | Letras Port/Ing | Aprovado | APROVADO, 23/07, em caráter emergencial.")</f>
        <v>Mardenia Cressa Carmo Farias | Letras Port/Ing | Aprovado | APROVADO, 23/07, em caráter emergencial.</v>
      </c>
      <c r="B2714" s="93"/>
    </row>
    <row r="2715">
      <c r="A2715" s="384" t="str">
        <f>IFERROR(__xludf.DUMMYFUNCTION("""COMPUTED_VALUE"""),"Mardênia Cressa Carmo Farias | Letras Port/Ing | Aprovado | APROVADO, em caráter emergencial, 20-08.")</f>
        <v>Mardênia Cressa Carmo Farias | Letras Port/Ing | Aprovado | APROVADO, em caráter emergencial, 20-08.</v>
      </c>
      <c r="B2715" s="93"/>
    </row>
    <row r="2716">
      <c r="A2716" s="384" t="str">
        <f>IFERROR(__xludf.DUMMYFUNCTION("""COMPUTED_VALUE"""),"Mari Da Silva Melos | História | Aprovada | Júnio: PP - falta a carta de apresentação. //Júnio: aprovado 06/11/2023")</f>
        <v>Mari Da Silva Melos | História | Aprovada | Júnio: PP - falta a carta de apresentação. //Júnio: aprovado 06/11/2023</v>
      </c>
      <c r="B2716" s="93"/>
    </row>
    <row r="2717">
      <c r="A2717" s="384" t="str">
        <f>IFERROR(__xludf.DUMMYFUNCTION("""COMPUTED_VALUE"""),"Maria Adriana Cruz De Menezes | Pedagogia | Aprovada | Júnio: PP- falta a etapa 2 //Júnio: aprovada 19/10/23")</f>
        <v>Maria Adriana Cruz De Menezes | Pedagogia | Aprovada | Júnio: PP- falta a etapa 2 //Júnio: aprovada 19/10/23</v>
      </c>
      <c r="B2717" s="93"/>
    </row>
    <row r="2718">
      <c r="A2718" s="384" t="str">
        <f>IFERROR(__xludf.DUMMYFUNCTION("""COMPUTED_VALUE"""),"Maria Alcivana Alves Pessoa | Letras - Português Espanhol | Em análise | Júnio: etapa 3 correta, falta etapa 1, 2,4 sumário e capa")</f>
        <v>Maria Alcivana Alves Pessoa | Letras - Português Espanhol | Em análise | Júnio: etapa 3 correta, falta etapa 1, 2,4 sumário e capa</v>
      </c>
      <c r="B2718" s="93"/>
    </row>
    <row r="2719">
      <c r="A2719" s="384" t="str">
        <f>IFERROR(__xludf.DUMMYFUNCTION("""COMPUTED_VALUE"""),"Maria Alessandra De Sousa Machado | Artes Visuais | Aprovada | Bianca: aprovada nas 3 primeiras etapas do remoto. // Amélia: aprovada 03/03/2021")</f>
        <v>Maria Alessandra De Sousa Machado | Artes Visuais | Aprovada | Bianca: aprovada nas 3 primeiras etapas do remoto. // Amélia: aprovada 03/03/2021</v>
      </c>
      <c r="B2719" s="93"/>
    </row>
    <row r="2720">
      <c r="A2720" s="384" t="str">
        <f>IFERROR(__xludf.DUMMYFUNCTION("""COMPUTED_VALUE"""),"Maria Alessandra De Sousa Machado | Ed Física | Aprovada | Amélia: aprovada nas 3 primeiras etapas do remoto // Amélia: aprovada 25/02/2021")</f>
        <v>Maria Alessandra De Sousa Machado | Ed Física | Aprovada | Amélia: aprovada nas 3 primeiras etapas do remoto // Amélia: aprovada 25/02/2021</v>
      </c>
      <c r="B2720" s="93"/>
    </row>
    <row r="2721">
      <c r="A2721" s="384" t="str">
        <f>IFERROR(__xludf.DUMMYFUNCTION("""COMPUTED_VALUE"""),"Maria Alessandra De Souza Machado | Filosofia | Aprovada | Bianca: Aprovada no estágio remoto")</f>
        <v>Maria Alessandra De Souza Machado | Filosofia | Aprovada | Bianca: Aprovada no estágio remoto</v>
      </c>
      <c r="B2721" s="93"/>
    </row>
    <row r="2722">
      <c r="A2722" s="384" t="str">
        <f>IFERROR(__xludf.DUMMYFUNCTION("""COMPUTED_VALUE"""),"Maria Alice De Souza Almeida | Pedagogia | aprovada | Aline Silva: faltou assinar carta de apresentação, falta termo de comp., plano de aula, atividade executada.// aprovada dia 10/03/2020")</f>
        <v>Maria Alice De Souza Almeida | Pedagogia | aprovada | Aline Silva: faltou assinar carta de apresentação, falta termo de comp., plano de aula, atividade executada.// aprovada dia 10/03/2020</v>
      </c>
      <c r="B2722" s="93"/>
    </row>
    <row r="2723">
      <c r="A2723" s="384" t="str">
        <f>IFERROR(__xludf.DUMMYFUNCTION("""COMPUTED_VALUE"""),"Maria Aline De Oliveira Correia | Ed. Física | Aprovado | Estella: ok. Recebido 18/01/2019.")</f>
        <v>Maria Aline De Oliveira Correia | Ed. Física | Aprovado | Estella: ok. Recebido 18/01/2019.</v>
      </c>
      <c r="B2723" s="93"/>
    </row>
    <row r="2724">
      <c r="A2724" s="384" t="str">
        <f>IFERROR(__xludf.DUMMYFUNCTION("""COMPUTED_VALUE"""),"Maria Aline Dos Santos | Pedagogia | Em análise | Júnio: fez 40 hs de gestão, falta todo o resto.")</f>
        <v>Maria Aline Dos Santos | Pedagogia | Em análise | Júnio: fez 40 hs de gestão, falta todo o resto.</v>
      </c>
      <c r="B2724" s="93"/>
    </row>
    <row r="2725">
      <c r="A2725" s="384" t="str">
        <f>IFERROR(__xludf.DUMMYFUNCTION("""COMPUTED_VALUE"""),"Maria Antônia De Souza Batos | Pedagogia Para Bachareis E Tecnologos | Aprovada | Júnio: Estágios I, II: ok Práticas I, II: ok Faltam estágios III, IV e Práticas III, IV //Júnio: aprovada: 04/08/23")</f>
        <v>Maria Antônia De Souza Batos | Pedagogia Para Bachareis E Tecnologos | Aprovada | Júnio: Estágios I, II: ok Práticas I, II: ok Faltam estágios III, IV e Práticas III, IV //Júnio: aprovada: 04/08/23</v>
      </c>
      <c r="B2725" s="93"/>
    </row>
    <row r="2726">
      <c r="A2726" s="384" t="str">
        <f>IFERROR(__xludf.DUMMYFUNCTION("""COMPUTED_VALUE"""),"Maria Aparecida Bandeira Da Silva | Segunda Licenciatura Em Letras/Português-Inglês | Aprovada | Rayssa  PP Etapa 1 com 3 laudas// Rayssa: aprovado no protocolo 10651")</f>
        <v>Maria Aparecida Bandeira Da Silva | Segunda Licenciatura Em Letras/Português-Inglês | Aprovada | Rayssa  PP Etapa 1 com 3 laudas// Rayssa: aprovado no protocolo 10651</v>
      </c>
      <c r="B2726" s="93"/>
    </row>
    <row r="2727">
      <c r="A2727" s="384" t="str">
        <f>IFERROR(__xludf.DUMMYFUNCTION("""COMPUTED_VALUE"""),"Maria Aparecida Borges Leal Da Silva | Pedagogia | Aprovada | Júnio: PP - falta a carta de apresentação //Júnio: aprovada: 03/01/24")</f>
        <v>Maria Aparecida Borges Leal Da Silva | Pedagogia | Aprovada | Júnio: PP - falta a carta de apresentação //Júnio: aprovada: 03/01/24</v>
      </c>
      <c r="B2727" s="93"/>
    </row>
    <row r="2728">
      <c r="A2728" s="384" t="str">
        <f>IFERROR(__xludf.DUMMYFUNCTION("""COMPUTED_VALUE"""),"Maria Aparecida Claudino Da Silva | História | Aprovada | Júnio: PP - falta a carta e entrevista//Alexsiane: pp aprovado 22/02")</f>
        <v>Maria Aparecida Claudino Da Silva | História | Aprovada | Júnio: PP - falta a carta e entrevista//Alexsiane: pp aprovado 22/02</v>
      </c>
      <c r="B2728" s="93"/>
    </row>
    <row r="2729">
      <c r="A2729" s="384" t="str">
        <f>IFERROR(__xludf.DUMMYFUNCTION("""COMPUTED_VALUE"""),"Maria Aparecida Da Silva Cruz | Artes Visuais | Aprovada | Júnio: aprovada no Remoto Antigo")</f>
        <v>Maria Aparecida Da Silva Cruz | Artes Visuais | Aprovada | Júnio: aprovada no Remoto Antigo</v>
      </c>
      <c r="B2729" s="93"/>
    </row>
    <row r="2730">
      <c r="A2730" s="384" t="str">
        <f>IFERROR(__xludf.DUMMYFUNCTION("""COMPUTED_VALUE"""),"Maria Aparecida Da Silva Passos Luciana | História | Aprovada  | Lucas: PLagio 11,42%, falta etapa 4. Enviou declaração de experiência valida. // Bárbara: aprovada 24/06/2022")</f>
        <v>Maria Aparecida Da Silva Passos Luciana | História | Aprovada  | Lucas: PLagio 11,42%, falta etapa 4. Enviou declaração de experiência valida. // Bárbara: aprovada 24/06/2022</v>
      </c>
      <c r="B2730" s="93"/>
    </row>
    <row r="2731">
      <c r="A2731" s="384" t="str">
        <f>IFERROR(__xludf.DUMMYFUNCTION("""COMPUTED_VALUE"""),"Maria Aparecida De Figueiredo Santos | Artes Visuais | Aprovado | Thiara: Fez TGD 300 horas.")</f>
        <v>Maria Aparecida De Figueiredo Santos | Artes Visuais | Aprovado | Thiara: Fez TGD 300 horas.</v>
      </c>
      <c r="B2731" s="93"/>
    </row>
    <row r="2732">
      <c r="A2732" s="384" t="str">
        <f>IFERROR(__xludf.DUMMYFUNCTION("""COMPUTED_VALUE"""),"Maria Aparecida De Figueiredo Santos | Artes Visuais | Aprovado | Fez curso de capacitação e planos de aula.")</f>
        <v>Maria Aparecida De Figueiredo Santos | Artes Visuais | Aprovado | Fez curso de capacitação e planos de aula.</v>
      </c>
      <c r="B2732" s="93"/>
    </row>
    <row r="2733">
      <c r="A2733" s="384" t="str">
        <f>IFERROR(__xludf.DUMMYFUNCTION("""COMPUTED_VALUE"""),"Maria Aparecida De Oliveira Moura | História | aprovado | Bianca: aprovada nas 4 etapas do remoto antigo")</f>
        <v>Maria Aparecida De Oliveira Moura | História | aprovado | Bianca: aprovada nas 4 etapas do remoto antigo</v>
      </c>
      <c r="B2733" s="93"/>
    </row>
    <row r="2734">
      <c r="A2734" s="384" t="str">
        <f>IFERROR(__xludf.DUMMYFUNCTION("""COMPUTED_VALUE"""),"Maria Aparecida Rodrigues | Matemática | Aprovada | Bianca: aprovada nas 4 etapas do remoto atualizado")</f>
        <v>Maria Aparecida Rodrigues | Matemática | Aprovada | Bianca: aprovada nas 4 etapas do remoto atualizado</v>
      </c>
      <c r="B2734" s="93"/>
    </row>
    <row r="2735">
      <c r="A2735" s="384" t="str">
        <f>IFERROR(__xludf.DUMMYFUNCTION("""COMPUTED_VALUE"""),"Maria Aparecida Vieira Borges | Pedagogia | Aprovada | Edilaine: Pré- aprovada com lançamento no Sponte.")</f>
        <v>Maria Aparecida Vieira Borges | Pedagogia | Aprovada | Edilaine: Pré- aprovada com lançamento no Sponte.</v>
      </c>
      <c r="B2735" s="93"/>
    </row>
    <row r="2736">
      <c r="A2736" s="384" t="str">
        <f>IFERROR(__xludf.DUMMYFUNCTION("""COMPUTED_VALUE"""),"Maria Augusta Silva De Moura | Formação Pedagógica Em Artes Visuais | Aprovado | Alexsiane: pp aprovado")</f>
        <v>Maria Augusta Silva De Moura | Formação Pedagógica Em Artes Visuais | Aprovado | Alexsiane: pp aprovado</v>
      </c>
      <c r="B2736" s="93"/>
    </row>
    <row r="2737">
      <c r="A2737" s="384" t="str">
        <f>IFERROR(__xludf.DUMMYFUNCTION("""COMPUTED_VALUE"""),"Maria Auricelia De Brito Ferreira | Geografia | Aprovado | Estella: aprovado Recebido dia 29/01/2019.")</f>
        <v>Maria Auricelia De Brito Ferreira | Geografia | Aprovado | Estella: aprovado Recebido dia 29/01/2019.</v>
      </c>
      <c r="B2737" s="93"/>
    </row>
    <row r="2738">
      <c r="A2738" s="384" t="str">
        <f>IFERROR(__xludf.DUMMYFUNCTION("""COMPUTED_VALUE"""),"Maria Auxiliadora Guimarães Santos |  | Aprovado | Mandei enviar pelo correio (05/12).")</f>
        <v>Maria Auxiliadora Guimarães Santos |  | Aprovado | Mandei enviar pelo correio (05/12).</v>
      </c>
      <c r="B2738" s="93"/>
    </row>
    <row r="2739">
      <c r="A2739" s="384" t="str">
        <f>IFERROR(__xludf.DUMMYFUNCTION("""COMPUTED_VALUE"""),"Maria Beatriz Rodrigues Batista | Pedagogia | Aprovada | Bárbara:  padrão antigo 300  horas - apenas documentos, falta parte teórica toda. Falta 87 horas, fez apenas 217, algumas informação faltantes nas fichas de obse e regencia - DEI ATÉ DIA 26/08 para "&amp;"ela entregar o trabalho corrigido, pois o trabalho foi perdido, e as correções são muitas. // Bárbara: atualização do prazo: 06/10/22- aluna não tinha recebido /// Alexsiane: pré aprovado, autorizada a autenticar.  /// Edilaine: Aprovada 14/03/2023")</f>
        <v>Maria Beatriz Rodrigues Batista | Pedagogia | Aprovada | Bárbara:  padrão antigo 300  horas - apenas documentos, falta parte teórica toda. Falta 87 horas, fez apenas 217, algumas informação faltantes nas fichas de obse e regencia - DEI ATÉ DIA 26/08 para ela entregar o trabalho corrigido, pois o trabalho foi perdido, e as correções são muitas. // Bárbara: atualização do prazo: 06/10/22- aluna não tinha recebido /// Alexsiane: pré aprovado, autorizada a autenticar.  /// Edilaine: Aprovada 14/03/2023</v>
      </c>
      <c r="B2739" s="93"/>
    </row>
    <row r="2740">
      <c r="A2740" s="384" t="str">
        <f>IFERROR(__xludf.DUMMYFUNCTION("""COMPUTED_VALUE"""),"Maria Carmem Da Silva |  | Já enviado | Estagio físico já foi enviado ao Zayn antes de passar pela minha conferência. Apenas pedi o envio digital para arquivamento digital.// Bárbara: Conferido e arquivado em 16/09/2020")</f>
        <v>Maria Carmem Da Silva |  | Já enviado | Estagio físico já foi enviado ao Zayn antes de passar pela minha conferência. Apenas pedi o envio digital para arquivamento digital.// Bárbara: Conferido e arquivado em 16/09/2020</v>
      </c>
      <c r="B2740" s="93"/>
    </row>
    <row r="2741">
      <c r="A2741" s="384" t="str">
        <f>IFERROR(__xludf.DUMMYFUNCTION("""COMPUTED_VALUE"""),"Maria Carolina Oliveira Rocha Cerbino | Segunda Licenciatura Em Pedagogia | Aprovado | Rayssa pp aprovado")</f>
        <v>Maria Carolina Oliveira Rocha Cerbino | Segunda Licenciatura Em Pedagogia | Aprovado | Rayssa pp aprovado</v>
      </c>
      <c r="B2741" s="93"/>
    </row>
    <row r="2742">
      <c r="A2742" s="384" t="str">
        <f>IFERROR(__xludf.DUMMYFUNCTION("""COMPUTED_VALUE"""),"Maria Celina Campos Neves Salles | Pedagogia | Aprovada | Bianca: aprovado nas 3 primeiras etapas do remoto// Bárbara: aprovada na 4ª etapa 19/03/2021")</f>
        <v>Maria Celina Campos Neves Salles | Pedagogia | Aprovada | Bianca: aprovado nas 3 primeiras etapas do remoto// Bárbara: aprovada na 4ª etapa 19/03/2021</v>
      </c>
      <c r="B2742" s="93"/>
    </row>
    <row r="2743">
      <c r="A2743" s="384" t="str">
        <f>IFERROR(__xludf.DUMMYFUNCTION("""COMPUTED_VALUE"""),"Maria Celina Campos Neves Salles | Psicopedagogia | Aprovada | Bianca: autorizada a recolher assinaturas// Bárbara: conferido e arquivado 08/06/2021")</f>
        <v>Maria Celina Campos Neves Salles | Psicopedagogia | Aprovada | Bianca: autorizada a recolher assinaturas// Bárbara: conferido e arquivado 08/06/2021</v>
      </c>
      <c r="B2743" s="93"/>
    </row>
    <row r="2744">
      <c r="A2744" s="384" t="str">
        <f>IFERROR(__xludf.DUMMYFUNCTION("""COMPUTED_VALUE"""),"Maria Clara Filho | Artes Visuais | Aprovado | Lucas: Fata declaraçãp de experiencia para a insenção da etapa 3, documentos que comprovem a etapa 4 e completar a etapa 2. Alexsiane: Aprovado com lançamento no sponte //Júnio:conferido e arquivado: 26/05/22")</f>
        <v>Maria Clara Filho | Artes Visuais | Aprovado | Lucas: Fata declaraçãp de experiencia para a insenção da etapa 3, documentos que comprovem a etapa 4 e completar a etapa 2. Alexsiane: Aprovado com lançamento no sponte //Júnio:conferido e arquivado: 26/05/22</v>
      </c>
      <c r="B2744" s="93"/>
    </row>
    <row r="2745">
      <c r="A2745" s="384" t="str">
        <f>IFERROR(__xludf.DUMMYFUNCTION("""COMPUTED_VALUE"""),"Maria Claudia Da Silva | História | Aprovada | Lucas: Aprovada nas 3 priemras etapas do remoto antigo// Bárbara: aprovada na 4ª etapa 01/02/2022")</f>
        <v>Maria Claudia Da Silva | História | Aprovada | Lucas: Aprovada nas 3 priemras etapas do remoto antigo// Bárbara: aprovada na 4ª etapa 01/02/2022</v>
      </c>
      <c r="B2745" s="93"/>
    </row>
    <row r="2746">
      <c r="A2746" s="384" t="str">
        <f>IFERROR(__xludf.DUMMYFUNCTION("""COMPUTED_VALUE"""),"Maria Cléa Miranda Bruno | Neuropsicologia Clínica | Aprovada | Júnio: especificar na ficha de registro o tipo de acompanhamento e completar horas faltantes ate dar 60 horas //Júnio: pre aprovada 26/05/23 //Júnio: aprovada")</f>
        <v>Maria Cléa Miranda Bruno | Neuropsicologia Clínica | Aprovada | Júnio: especificar na ficha de registro o tipo de acompanhamento e completar horas faltantes ate dar 60 horas //Júnio: pre aprovada 26/05/23 //Júnio: aprovada</v>
      </c>
      <c r="B2746" s="93"/>
    </row>
    <row r="2747">
      <c r="A2747" s="384" t="str">
        <f>IFERROR(__xludf.DUMMYFUNCTION("""COMPUTED_VALUE"""),"Maria Cristina Franzen | Letras Português | Aprovada  | Alexsiane:Etapa 1,2,4 ok, falta 17 planos de aula.  até dia 10/06/22 para reenviar.// Bárbara: aprovada com lançamento no sponte 01/07/2022")</f>
        <v>Maria Cristina Franzen | Letras Português | Aprovada  | Alexsiane:Etapa 1,2,4 ok, falta 17 planos de aula.  até dia 10/06/22 para reenviar.// Bárbara: aprovada com lançamento no sponte 01/07/2022</v>
      </c>
      <c r="B2747" s="93"/>
    </row>
    <row r="2748">
      <c r="A2748" s="384" t="str">
        <f>IFERROR(__xludf.DUMMYFUNCTION("""COMPUTED_VALUE"""),"Maria Cristina Rodrigues Teixeira | Pedagogia | Em análise  | Alexsiane: remoto antigo- etapa1ok, na 3° etapa falta 19 planos de aula e na 4° terá que encaminhar a declração escaneado 27/12 reenviar")</f>
        <v>Maria Cristina Rodrigues Teixeira | Pedagogia | Em análise  | Alexsiane: remoto antigo- etapa1ok, na 3° etapa falta 19 planos de aula e na 4° terá que encaminhar a declração escaneado 27/12 reenviar</v>
      </c>
      <c r="B2748" s="93"/>
    </row>
    <row r="2749">
      <c r="A2749" s="384" t="str">
        <f>IFERROR(__xludf.DUMMYFUNCTION("""COMPUTED_VALUE"""),"Maria Da Conceição Mendonça De Resende | Matemática | Aprovado | Estella: mandei e-mail pedindo correção das ref. mas voltou")</f>
        <v>Maria Da Conceição Mendonça De Resende | Matemática | Aprovado | Estella: mandei e-mail pedindo correção das ref. mas voltou</v>
      </c>
      <c r="B2749" s="93"/>
    </row>
    <row r="2750">
      <c r="A2750" s="384" t="str">
        <f>IFERROR(__xludf.DUMMYFUNCTION("""COMPUTED_VALUE"""),"Maria Da Conceição Pereira | História | Em análise | Júnio: PP - 30% plágio,  complementar a etapa 1 com mais uma página e falta a etapa 2.")</f>
        <v>Maria Da Conceição Pereira | História | Em análise | Júnio: PP - 30% plágio,  complementar a etapa 1 com mais uma página e falta a etapa 2.</v>
      </c>
      <c r="B2750" s="93"/>
    </row>
    <row r="2751">
      <c r="A2751" s="384" t="str">
        <f>IFERROR(__xludf.DUMMYFUNCTION("""COMPUTED_VALUE"""),"Maria Da Consolação Rodrigues | Pedagogia | aprovado | Aline Silva: aprovado// Miryã: conferido e arquivado 11/03/2021")</f>
        <v>Maria Da Consolação Rodrigues | Pedagogia | aprovado | Aline Silva: aprovado// Miryã: conferido e arquivado 11/03/2021</v>
      </c>
      <c r="B2751" s="93"/>
    </row>
    <row r="2752">
      <c r="A2752" s="384" t="str">
        <f>IFERROR(__xludf.DUMMYFUNCTION("""COMPUTED_VALUE"""),"Maria Da Glória Rabelo | Pós-Graduação Em Psicanálise | Aprovado | Rayssa  TCC aprovado")</f>
        <v>Maria Da Glória Rabelo | Pós-Graduação Em Psicanálise | Aprovado | Rayssa  TCC aprovado</v>
      </c>
      <c r="B2752" s="93"/>
    </row>
    <row r="2753">
      <c r="A2753" s="384" t="str">
        <f>IFERROR(__xludf.DUMMYFUNCTION("""COMPUTED_VALUE"""),"Maria Da Penha Alves | Pedagogia | Aprovado | Thiara: Aprovado. /// Recebido no Instituto dia 31/10/2019")</f>
        <v>Maria Da Penha Alves | Pedagogia | Aprovado | Thiara: Aprovado. /// Recebido no Instituto dia 31/10/2019</v>
      </c>
      <c r="B2753" s="93"/>
    </row>
    <row r="2754">
      <c r="A2754" s="384" t="str">
        <f>IFERROR(__xludf.DUMMYFUNCTION("""COMPUTED_VALUE"""),"Maria Da Penha Pereira Alves | Geografia | Aprovada | Aline Silva: Aprovada // Bárbara: conferido e arquivado 03/11/2020")</f>
        <v>Maria Da Penha Pereira Alves | Geografia | Aprovada | Aline Silva: Aprovada // Bárbara: conferido e arquivado 03/11/2020</v>
      </c>
      <c r="B2754" s="93"/>
    </row>
    <row r="2755">
      <c r="A2755" s="384" t="str">
        <f>IFERROR(__xludf.DUMMYFUNCTION("""COMPUTED_VALUE"""),"Maria Daguia Guedes | Pedagogia | aprovado | Aline Silva: aprovada, pedi que preenchesse termo de compromisso e anexasse.// Recebido dia 15/01/2020// Bárbara: Conferido e arquivado em 16/09/2020")</f>
        <v>Maria Daguia Guedes | Pedagogia | aprovado | Aline Silva: aprovada, pedi que preenchesse termo de compromisso e anexasse.// Recebido dia 15/01/2020// Bárbara: Conferido e arquivado em 16/09/2020</v>
      </c>
      <c r="B2755" s="93"/>
    </row>
    <row r="2756">
      <c r="A2756" s="384" t="str">
        <f>IFERROR(__xludf.DUMMYFUNCTION("""COMPUTED_VALUE"""),"Maria Dalva Rodrigues De Souza | Artes Visuais | Aprovada | Lucas: Plágio 14,28%, complementar etapa 1, termos pré/pós textuais. //Alexsiane: Aprovado no remoto antigo com lanaçamento no sponte 11/08/2022")</f>
        <v>Maria Dalva Rodrigues De Souza | Artes Visuais | Aprovada | Lucas: Plágio 14,28%, complementar etapa 1, termos pré/pós textuais. //Alexsiane: Aprovado no remoto antigo com lanaçamento no sponte 11/08/2022</v>
      </c>
      <c r="B2756" s="93"/>
    </row>
    <row r="2757">
      <c r="A2757" s="384" t="str">
        <f>IFERROR(__xludf.DUMMYFUNCTION("""COMPUTED_VALUE"""),"Maria Das Dôres Da Silva Lima | Pedagogia | Em análise | Alexsiane: especificar nas fichas a turma e o tema, declaração não aceita pois está como professora no ensino médio.")</f>
        <v>Maria Das Dôres Da Silva Lima | Pedagogia | Em análise | Alexsiane: especificar nas fichas a turma e o tema, declaração não aceita pois está como professora no ensino médio.</v>
      </c>
      <c r="B2757" s="93"/>
    </row>
    <row r="2758">
      <c r="A2758" s="384" t="str">
        <f>IFERROR(__xludf.DUMMYFUNCTION("""COMPUTED_VALUE"""),"Maria Das Dores Sousa Melo | Ciências Biologicas | Aprovada | Júnio: PP - 29% plágio//Alexsiane: pp aprovado")</f>
        <v>Maria Das Dores Sousa Melo | Ciências Biologicas | Aprovada | Júnio: PP - 29% plágio//Alexsiane: pp aprovado</v>
      </c>
      <c r="B2758" s="93"/>
    </row>
    <row r="2759">
      <c r="A2759" s="384" t="str">
        <f>IFERROR(__xludf.DUMMYFUNCTION("""COMPUTED_VALUE"""),"Maria Das Dores Victo Da Cruz Oliveira | Pedagogia | Em análise | Thiara: enviou sem identificação e somente as fichas de estágio faltando 50 horas de regência.")</f>
        <v>Maria Das Dores Victo Da Cruz Oliveira | Pedagogia | Em análise | Thiara: enviou sem identificação e somente as fichas de estágio faltando 50 horas de regência.</v>
      </c>
      <c r="B2759" s="93"/>
    </row>
    <row r="2760">
      <c r="A2760" s="384" t="str">
        <f>IFERROR(__xludf.DUMMYFUNCTION("""COMPUTED_VALUE"""),"Maria Das Dores Victo Da Cruz Oliveira | Pedagogia | aprovado | Aline Silva: rcebido no instituto dia 14/12/2019// Miryã: conferido e arquuivado 15/03/2021")</f>
        <v>Maria Das Dores Victo Da Cruz Oliveira | Pedagogia | aprovado | Aline Silva: rcebido no instituto dia 14/12/2019// Miryã: conferido e arquuivado 15/03/2021</v>
      </c>
      <c r="B2760" s="93"/>
    </row>
    <row r="2761">
      <c r="A2761" s="384" t="str">
        <f>IFERROR(__xludf.DUMMYFUNCTION("""COMPUTED_VALUE"""),"Maria Das Graças De Souza Rosa Cristo | Pedagogia | Aprovada | Júnio: aprovada no remoto antigo")</f>
        <v>Maria Das Graças De Souza Rosa Cristo | Pedagogia | Aprovada | Júnio: aprovada no remoto antigo</v>
      </c>
      <c r="B2761" s="93"/>
    </row>
    <row r="2762">
      <c r="A2762" s="384" t="str">
        <f>IFERROR(__xludf.DUMMYFUNCTION("""COMPUTED_VALUE"""),"Maria Das Graças Moura De Souza | Filosofia | Aprovada | Bárbara: aprovada nas 3 primeiras etapas e apresentou declaração de experiência válida.")</f>
        <v>Maria Das Graças Moura De Souza | Filosofia | Aprovada | Bárbara: aprovada nas 3 primeiras etapas e apresentou declaração de experiência válida.</v>
      </c>
      <c r="B2762" s="93"/>
    </row>
    <row r="2763">
      <c r="A2763" s="384" t="str">
        <f>IFERROR(__xludf.DUMMYFUNCTION("""COMPUTED_VALUE"""),"Maria Das Graças Ribeiro De Souza | Psicopedagogia Institucional,Clinica E Educação Infantil | Aprovada | Júnio: na ficha de registro tem que especificar o tipo de acompanhamento e corrigir horas( lançou mais de 6 horas alguns dias) PRAZO: 13/05/23 //Júni"&amp;"o:")</f>
        <v>Maria Das Graças Ribeiro De Souza | Psicopedagogia Institucional,Clinica E Educação Infantil | Aprovada | Júnio: na ficha de registro tem que especificar o tipo de acompanhamento e corrigir horas( lançou mais de 6 horas alguns dias) PRAZO: 13/05/23 //Júnio:</v>
      </c>
      <c r="B2763" s="93"/>
    </row>
    <row r="2764">
      <c r="A2764" s="384" t="str">
        <f>IFERROR(__xludf.DUMMYFUNCTION("""COMPUTED_VALUE"""),"Maria Das Vitórias Rodrigues Da Silva | Pedagogia | Aprovada | Alexsiane: pp com 18% de plágio//Alexsiane: pp aprovado 17/07/24")</f>
        <v>Maria Das Vitórias Rodrigues Da Silva | Pedagogia | Aprovada | Alexsiane: pp com 18% de plágio//Alexsiane: pp aprovado 17/07/24</v>
      </c>
      <c r="B2764" s="93"/>
    </row>
    <row r="2765">
      <c r="A2765" s="384" t="str">
        <f>IFERROR(__xludf.DUMMYFUNCTION("""COMPUTED_VALUE"""),"Maria De Carmo Martins Da Silva | Artes Visuais | aprovada | Júnio: conferido e arquivado: 10/12/2021")</f>
        <v>Maria De Carmo Martins Da Silva | Artes Visuais | aprovada | Júnio: conferido e arquivado: 10/12/2021</v>
      </c>
      <c r="B2765" s="93"/>
    </row>
    <row r="2766">
      <c r="A2766" s="384" t="str">
        <f>IFERROR(__xludf.DUMMYFUNCTION("""COMPUTED_VALUE"""),"Maria De Fátima Buss | Pedagogia | Em análise | Edilaine: Complementar referências, falta o termo de conclusão, carta de aceite, fichas de registro e relatório geral de duas páginas.estágio da aluna foi passado para o remoto antigo sem fichas pelo fato de"&amp;" ser aluna de 2020 e está questionando muito(conforme correção da Edi etapa 1,2,3 está ok, agora está falatndo o video  da 4° etapa.")</f>
        <v>Maria De Fátima Buss | Pedagogia | Em análise | Edilaine: Complementar referências, falta o termo de conclusão, carta de aceite, fichas de registro e relatório geral de duas páginas.estágio da aluna foi passado para o remoto antigo sem fichas pelo fato de ser aluna de 2020 e está questionando muito(conforme correção da Edi etapa 1,2,3 está ok, agora está falatndo o video  da 4° etapa.</v>
      </c>
      <c r="B2766" s="93"/>
    </row>
    <row r="2767">
      <c r="A2767" s="384" t="str">
        <f>IFERROR(__xludf.DUMMYFUNCTION("""COMPUTED_VALUE"""),"Maria De Fátima Carvalho | Pedagogia | Em análise | Júnio: Etapas 1,2 e 3 ok, falta etapa 4")</f>
        <v>Maria De Fátima Carvalho | Pedagogia | Em análise | Júnio: Etapas 1,2 e 3 ok, falta etapa 4</v>
      </c>
      <c r="B2767" s="93"/>
    </row>
    <row r="2768">
      <c r="A2768" s="384" t="str">
        <f>IFERROR(__xludf.DUMMYFUNCTION("""COMPUTED_VALUE"""),"Maria De Fátima Carvalho | Pedagogia | Aprovada | Bianca: aprovada nas 3 1° etapas do remoto antigo //Júnio: aprovada: 07/10/21")</f>
        <v>Maria De Fátima Carvalho | Pedagogia | Aprovada | Bianca: aprovada nas 3 1° etapas do remoto antigo //Júnio: aprovada: 07/10/21</v>
      </c>
      <c r="B2768" s="93"/>
    </row>
    <row r="2769">
      <c r="A2769" s="384" t="str">
        <f>IFERROR(__xludf.DUMMYFUNCTION("""COMPUTED_VALUE"""),"Maria De Fátima Da Silva | Pedagogia | Aprovada  | Bianca: fichas preenchidas de forma incorreta// Bárbara: aprovada 22/11/2021")</f>
        <v>Maria De Fátima Da Silva | Pedagogia | Aprovada  | Bianca: fichas preenchidas de forma incorreta// Bárbara: aprovada 22/11/2021</v>
      </c>
      <c r="B2769" s="93"/>
    </row>
    <row r="2770">
      <c r="A2770" s="384" t="str">
        <f>IFERROR(__xludf.DUMMYFUNCTION("""COMPUTED_VALUE"""),"Maria De Fatima Paulo De Araujo | Formação Pedagógica Em Pedagogia | Aprovado | Rayssa pp aprovado")</f>
        <v>Maria De Fatima Paulo De Araujo | Formação Pedagógica Em Pedagogia | Aprovado | Rayssa pp aprovado</v>
      </c>
      <c r="B2770" s="93"/>
    </row>
    <row r="2771">
      <c r="A2771" s="384" t="str">
        <f>IFERROR(__xludf.DUMMYFUNCTION("""COMPUTED_VALUE"""),"Maria De Fátima Xavier | Artes Visuais | aprovado | Thiara:enviou somente horas de estágio e não fez Gestão e Estrutura Escolar.// Aprovado dia 26/12/2019 e recebido no instituto dia 13/01/2020")</f>
        <v>Maria De Fátima Xavier | Artes Visuais | aprovado | Thiara:enviou somente horas de estágio e não fez Gestão e Estrutura Escolar.// Aprovado dia 26/12/2019 e recebido no instituto dia 13/01/2020</v>
      </c>
      <c r="B2771" s="93"/>
    </row>
    <row r="2772">
      <c r="A2772" s="384" t="str">
        <f>IFERROR(__xludf.DUMMYFUNCTION("""COMPUTED_VALUE"""),"Maria De Lourdes Alves | Formação Pedagógica Em Pedagogia | Em analise | Rayssa. Pesquisa escaneada e plágio")</f>
        <v>Maria De Lourdes Alves | Formação Pedagógica Em Pedagogia | Em analise | Rayssa. Pesquisa escaneada e plágio</v>
      </c>
      <c r="B2772" s="93"/>
    </row>
    <row r="2773">
      <c r="A2773" s="384" t="str">
        <f>IFERROR(__xludf.DUMMYFUNCTION("""COMPUTED_VALUE"""),"Maria De Lourdes Amaral Romano Silva | Ciências Sociais | Aprovado | Alexsiane: Plágio na BNCC toda//Alexsiane: aprovado com lançamento no Jacad")</f>
        <v>Maria De Lourdes Amaral Romano Silva | Ciências Sociais | Aprovado | Alexsiane: Plágio na BNCC toda//Alexsiane: aprovado com lançamento no Jacad</v>
      </c>
      <c r="B2773" s="93"/>
    </row>
    <row r="2774">
      <c r="A2774" s="384" t="str">
        <f>IFERROR(__xludf.DUMMYFUNCTION("""COMPUTED_VALUE"""),"Maria De Lourdes Araujo Santos | Pedagogia | Aprovada | Lucas: Plagio 26,64%, falta conclusão, referencias, complemnetar os planos de aula  /// Edilaine: Aprovada 27/12/2022")</f>
        <v>Maria De Lourdes Araujo Santos | Pedagogia | Aprovada | Lucas: Plagio 26,64%, falta conclusão, referencias, complemnetar os planos de aula  /// Edilaine: Aprovada 27/12/2022</v>
      </c>
      <c r="B2774" s="93"/>
    </row>
    <row r="2775">
      <c r="A2775" s="384" t="str">
        <f>IFERROR(__xludf.DUMMYFUNCTION("""COMPUTED_VALUE"""),"Maria De Lourdes Da Silva Lima | Segunda Licenciatura Em História | Aprovado | Rayssa pp aprovado")</f>
        <v>Maria De Lourdes Da Silva Lima | Segunda Licenciatura Em História | Aprovado | Rayssa pp aprovado</v>
      </c>
      <c r="B2775" s="93"/>
    </row>
    <row r="2776">
      <c r="A2776" s="384" t="str">
        <f>IFERROR(__xludf.DUMMYFUNCTION("""COMPUTED_VALUE"""),"Maria De Lourdes De Jesus | Neuropsicopedagogia Institucional,Clínica E Hospitalar | Em análise | Júnio: enviou apenas fichas de registro, falta todo o resto.")</f>
        <v>Maria De Lourdes De Jesus | Neuropsicopedagogia Institucional,Clínica E Hospitalar | Em análise | Júnio: enviou apenas fichas de registro, falta todo o resto.</v>
      </c>
      <c r="B2776" s="93"/>
    </row>
    <row r="2777">
      <c r="A2777" s="384" t="str">
        <f>IFERROR(__xludf.DUMMYFUNCTION("""COMPUTED_VALUE"""),"Maria De Lourdes Fernandes | Filosofia | Aprovada | Bianca: Aprovada nas 3 etapas //Bianca: aprovada 25/06/2021")</f>
        <v>Maria De Lourdes Fernandes | Filosofia | Aprovada | Bianca: Aprovada nas 3 etapas //Bianca: aprovada 25/06/2021</v>
      </c>
      <c r="B2777" s="93"/>
    </row>
    <row r="2778">
      <c r="A2778" s="384" t="str">
        <f>IFERROR(__xludf.DUMMYFUNCTION("""COMPUTED_VALUE"""),"Maria De Sousa Lima | Pedagogia | Aprovada | Bárbara: aprovada 1, 2 e 3, e apresentou declaração de experiência válida anexada na pasta. Ressalva: visto o quanto o trabalho da aluna ficou bom, e devido aser de turma retroativa, apramos a aluna mesmo que a"&amp;" a etapa da BNCC tenha fugido do objetivo central. // Bárbara: imprimido e arquivado 30/12/2020")</f>
        <v>Maria De Sousa Lima | Pedagogia | Aprovada | Bárbara: aprovada 1, 2 e 3, e apresentou declaração de experiência válida anexada na pasta. Ressalva: visto o quanto o trabalho da aluna ficou bom, e devido aser de turma retroativa, apramos a aluna mesmo que a a etapa da BNCC tenha fugido do objetivo central. // Bárbara: imprimido e arquivado 30/12/2020</v>
      </c>
      <c r="B2778" s="93"/>
    </row>
    <row r="2779">
      <c r="A2779" s="384" t="str">
        <f>IFERROR(__xludf.DUMMYFUNCTION("""COMPUTED_VALUE"""),"Maria Délia De Oliveira Santos | Neuropsicopedagogia Institucional, Clínica E Hospitalar | Aprovada | Bianca: autorizada a recolher assinaturas //Júnio: aprovada: 19/08/21 //Júnio: conferido e arquivado: 31/08/2021")</f>
        <v>Maria Délia De Oliveira Santos | Neuropsicopedagogia Institucional, Clínica E Hospitalar | Aprovada | Bianca: autorizada a recolher assinaturas //Júnio: aprovada: 19/08/21 //Júnio: conferido e arquivado: 31/08/2021</v>
      </c>
      <c r="B2779" s="93"/>
    </row>
    <row r="2780">
      <c r="A2780" s="384" t="str">
        <f>IFERROR(__xludf.DUMMYFUNCTION("""COMPUTED_VALUE"""),"Maria Deusivania Alves Rodrigues | Psicopedagogia Institucional, Clínica E Hospitalar | Aprovada | Edilaine: 5,49% de plágio. Trabalho incompleto. Tem que fazer resumo, apresentação do caso e todos os seus tópicos, queixa do professor, anamnese, estratégi"&amp;"as desenvolvidas e seus tópicos. Tem que enviar a carta de apresentação, termo de conclusão e as fichas de registro. Tem até 23/01/2023 para reenviar. //Júnio: pré aprovada: 26/04/23 //Júnio: aprovada: 15/05/23")</f>
        <v>Maria Deusivania Alves Rodrigues | Psicopedagogia Institucional, Clínica E Hospitalar | Aprovada | Edilaine: 5,49% de plágio. Trabalho incompleto. Tem que fazer resumo, apresentação do caso e todos os seus tópicos, queixa do professor, anamnese, estratégias desenvolvidas e seus tópicos. Tem que enviar a carta de apresentação, termo de conclusão e as fichas de registro. Tem até 23/01/2023 para reenviar. //Júnio: pré aprovada: 26/04/23 //Júnio: aprovada: 15/05/23</v>
      </c>
      <c r="B2780" s="93"/>
    </row>
    <row r="2781">
      <c r="A2781" s="384" t="str">
        <f>IFERROR(__xludf.DUMMYFUNCTION("""COMPUTED_VALUE"""),"Maria Deysiane F Pinho | História | Aprovada | Amélia: aprovada em todas as etapas")</f>
        <v>Maria Deysiane F Pinho | História | Aprovada | Amélia: aprovada em todas as etapas</v>
      </c>
      <c r="B2781" s="93"/>
    </row>
    <row r="2782">
      <c r="A2782" s="384" t="str">
        <f>IFERROR(__xludf.DUMMYFUNCTION("""COMPUTED_VALUE"""),"Maria Deysiane Felix Pinho | Pedagogia | Aprovada | Bianca: Aprovada nas 4 etapas do remoto antgo.")</f>
        <v>Maria Deysiane Felix Pinho | Pedagogia | Aprovada | Bianca: Aprovada nas 4 etapas do remoto antgo.</v>
      </c>
      <c r="B2782" s="93"/>
    </row>
    <row r="2783">
      <c r="A2783" s="384" t="str">
        <f>IFERROR(__xludf.DUMMYFUNCTION("""COMPUTED_VALUE"""),"Maria Do Carmo Donato | História | Aprovada | Júnio: consertar as fichas de registro, especificar tipo de acompanhamento e série, corrigir total diário e complementar até dar o total de 400 hs. //Júnio: aprovada: 19/09/23")</f>
        <v>Maria Do Carmo Donato | História | Aprovada | Júnio: consertar as fichas de registro, especificar tipo de acompanhamento e série, corrigir total diário e complementar até dar o total de 400 hs. //Júnio: aprovada: 19/09/23</v>
      </c>
      <c r="B2783" s="93"/>
    </row>
    <row r="2784">
      <c r="A2784" s="384" t="str">
        <f>IFERROR(__xludf.DUMMYFUNCTION("""COMPUTED_VALUE"""),"Maria Do Carmo Lacerda Souza | Neuropsicopedagogia Institucional,Clínica E Hospitalar | Aprovado | Alexsiane: aprovado com lançamento no Sponte")</f>
        <v>Maria Do Carmo Lacerda Souza | Neuropsicopedagogia Institucional,Clínica E Hospitalar | Aprovado | Alexsiane: aprovado com lançamento no Sponte</v>
      </c>
      <c r="B2784" s="93"/>
    </row>
    <row r="2785">
      <c r="A2785" s="384" t="str">
        <f>IFERROR(__xludf.DUMMYFUNCTION("""COMPUTED_VALUE"""),"Maria Do Carmo Martins Da Silva | Artes Visuais | Aprovada | Bianca: falta etapa 1 e 2 do remoto atualizado// Alexsiane: aprovado com lançamento no Sponte. //Júnio:conferido e arquivado: 26/05/22")</f>
        <v>Maria Do Carmo Martins Da Silva | Artes Visuais | Aprovada | Bianca: falta etapa 1 e 2 do remoto atualizado// Alexsiane: aprovado com lançamento no Sponte. //Júnio:conferido e arquivado: 26/05/22</v>
      </c>
      <c r="B2785" s="93"/>
    </row>
    <row r="2786">
      <c r="A2786" s="384" t="str">
        <f>IFERROR(__xludf.DUMMYFUNCTION("""COMPUTED_VALUE"""),"Maria Do Carmo Natalicio | Pedagogia | aprovada | Bárbara: aprovada, fatou 24 horas")</f>
        <v>Maria Do Carmo Natalicio | Pedagogia | aprovada | Bárbara: aprovada, fatou 24 horas</v>
      </c>
      <c r="B2786" s="93"/>
    </row>
    <row r="2787">
      <c r="A2787" s="384" t="str">
        <f>IFERROR(__xludf.DUMMYFUNCTION("""COMPUTED_VALUE"""),"Maria Do Carmo Pereira Dos Anjos | Pedagogia | Aprovado | Aline: aprovado, email enviado // Bárbara: chegou no instituto o físico, vamos cobrar 10 reais de encadernação pois veio errado. // Bárbara: imprimido e arquivado 30/12/2020")</f>
        <v>Maria Do Carmo Pereira Dos Anjos | Pedagogia | Aprovado | Aline: aprovado, email enviado // Bárbara: chegou no instituto o físico, vamos cobrar 10 reais de encadernação pois veio errado. // Bárbara: imprimido e arquivado 30/12/2020</v>
      </c>
      <c r="B2787" s="93"/>
    </row>
    <row r="2788">
      <c r="A2788" s="384" t="str">
        <f>IFERROR(__xludf.DUMMYFUNCTION("""COMPUTED_VALUE"""),"Maria Do Rosário De Souza | Artes Visuais | Aprovada | Edilaine: 8% de plágio, falta termo de conclusão,falta especificar o tema e a série nas fichas, falta 40 horas. Tem até 20/11/2022 para reencaminhar o trabalho //Júnio: pré aprovada: 25/05/23 //Júnio:"&amp;" aprovada: 16/06/23")</f>
        <v>Maria Do Rosário De Souza | Artes Visuais | Aprovada | Edilaine: 8% de plágio, falta termo de conclusão,falta especificar o tema e a série nas fichas, falta 40 horas. Tem até 20/11/2022 para reencaminhar o trabalho //Júnio: pré aprovada: 25/05/23 //Júnio: aprovada: 16/06/23</v>
      </c>
      <c r="B2788" s="93"/>
    </row>
    <row r="2789">
      <c r="A2789" s="384" t="str">
        <f>IFERROR(__xludf.DUMMYFUNCTION("""COMPUTED_VALUE"""),"Maria Do Rosário Maciel Santos Mendes Da Silva | Psicopedagogia Clínica E Institucional | Aprovada | Bianca: pedi para tampar os rosto de todas as pessoas //Bianca: aprovada: 08/06/2021 //Júnio: conferido e arquivado: 29/06/2021")</f>
        <v>Maria Do Rosário Maciel Santos Mendes Da Silva | Psicopedagogia Clínica E Institucional | Aprovada | Bianca: pedi para tampar os rosto de todas as pessoas //Bianca: aprovada: 08/06/2021 //Júnio: conferido e arquivado: 29/06/2021</v>
      </c>
      <c r="B2789" s="93"/>
    </row>
    <row r="2790">
      <c r="A2790" s="384" t="str">
        <f>IFERROR(__xludf.DUMMYFUNCTION("""COMPUTED_VALUE"""),"Maria Do Socorro Aguiar Lima | Neuropsicopedagogia Institucional, Clínica E Hospitalar | Em análise | Júnio: 8% plágio e especificar o tipo de acompanhamento PRAZO: 02/01/24")</f>
        <v>Maria Do Socorro Aguiar Lima | Neuropsicopedagogia Institucional, Clínica E Hospitalar | Em análise | Júnio: 8% plágio e especificar o tipo de acompanhamento PRAZO: 02/01/24</v>
      </c>
      <c r="B2790" s="93"/>
    </row>
    <row r="2791">
      <c r="A2791" s="384" t="str">
        <f>IFERROR(__xludf.DUMMYFUNCTION("""COMPUTED_VALUE"""),"Maria Do Socorro Lopes De Macedo Lima | História | Aprovada | Júnio: fazer fichas de forma diária e falta autoavaliação //Júnio: pré aprovada: 14/09/2023 //Júnio: aprovada: 27/09/2023")</f>
        <v>Maria Do Socorro Lopes De Macedo Lima | História | Aprovada | Júnio: fazer fichas de forma diária e falta autoavaliação //Júnio: pré aprovada: 14/09/2023 //Júnio: aprovada: 27/09/2023</v>
      </c>
      <c r="B2791" s="93"/>
    </row>
    <row r="2792">
      <c r="A2792" s="384" t="str">
        <f>IFERROR(__xludf.DUMMYFUNCTION("""COMPUTED_VALUE"""),"Maria Do Socorro Marcelino Bandeira | Artes Visuais |  aprovada | Alexsiane; Pré aprovada com lançamento no sponte//Alexsiane: aprovada no envio físico 16/02/2023")</f>
        <v>Maria Do Socorro Marcelino Bandeira | Artes Visuais |  aprovada | Alexsiane; Pré aprovada com lançamento no sponte//Alexsiane: aprovada no envio físico 16/02/2023</v>
      </c>
      <c r="B2792" s="93"/>
    </row>
    <row r="2793">
      <c r="A2793" s="384" t="str">
        <f>IFERROR(__xludf.DUMMYFUNCTION("""COMPUTED_VALUE"""),"Maria Domingas Alves | História | aprovada | Alexsiane; falta etapa 2 do pp/ Cris aprovada ")</f>
        <v>Maria Domingas Alves | História | aprovada | Alexsiane; falta etapa 2 do pp/ Cris aprovada </v>
      </c>
      <c r="B2793" s="93"/>
    </row>
    <row r="2794">
      <c r="A2794" s="384" t="str">
        <f>IFERROR(__xludf.DUMMYFUNCTION("""COMPUTED_VALUE"""),"Maria Eduarda Macedo | Pedagogia | Aprovada | Edilaine: 3,46% de plágio. Tem que colocar a carga horária, os dias e o tema na ficha de gestão, falta a assinatura. As fichas de registro e o plano de aula não podem ser feito a lápis. Tem que conferir a carg"&amp;"a horária das fichas de observação e regência.  /// Edilaine: Aprovada 13/03/2023.")</f>
        <v>Maria Eduarda Macedo | Pedagogia | Aprovada | Edilaine: 3,46% de plágio. Tem que colocar a carga horária, os dias e o tema na ficha de gestão, falta a assinatura. As fichas de registro e o plano de aula não podem ser feito a lápis. Tem que conferir a carga horária das fichas de observação e regência.  /// Edilaine: Aprovada 13/03/2023.</v>
      </c>
      <c r="B2794" s="93"/>
    </row>
    <row r="2795">
      <c r="A2795" s="384" t="str">
        <f>IFERROR(__xludf.DUMMYFUNCTION("""COMPUTED_VALUE"""),"Maria Elizania Do Nascimento Oliveira | História | Aprovado | Alexsiane: pp aprovado")</f>
        <v>Maria Elizania Do Nascimento Oliveira | História | Aprovado | Alexsiane: pp aprovado</v>
      </c>
      <c r="B2795" s="93"/>
    </row>
    <row r="2796">
      <c r="A2796" s="384" t="str">
        <f>IFERROR(__xludf.DUMMYFUNCTION("""COMPUTED_VALUE"""),"Maria Emília Dos Santos | Artes Visuais | Aprovada | Júnio: falta carta de aceite, corrigir fichas//Alexsiane: aprovada com lançamento no Sponte")</f>
        <v>Maria Emília Dos Santos | Artes Visuais | Aprovada | Júnio: falta carta de aceite, corrigir fichas//Alexsiane: aprovada com lançamento no Sponte</v>
      </c>
      <c r="B2796" s="93"/>
    </row>
    <row r="2797">
      <c r="A2797" s="384" t="str">
        <f>IFERROR(__xludf.DUMMYFUNCTION("""COMPUTED_VALUE"""),"Maria Eunice Aniba Gomes | Psicopedagogia Clínica,Institucional E Hospitalar | Aprovada | Alexsiane: 6,94% de plágio, estágio remoto. //Júnio: aprovada: 16/05/2023")</f>
        <v>Maria Eunice Aniba Gomes | Psicopedagogia Clínica,Institucional E Hospitalar | Aprovada | Alexsiane: 6,94% de plágio, estágio remoto. //Júnio: aprovada: 16/05/2023</v>
      </c>
      <c r="B2797" s="93"/>
    </row>
    <row r="2798">
      <c r="A2798" s="384" t="str">
        <f>IFERROR(__xludf.DUMMYFUNCTION("""COMPUTED_VALUE"""),"Maria Fernanda Rivetti Da Silva Rocha | Pedagogia | Aprovado | Thiara: Aprovado: Curso de capacitação TGD 360 horas e 30 planos de aula. Planos de aula entregue dia 15/05/2019.// Bárbara: Conferido e arquivado em 16/09/2020")</f>
        <v>Maria Fernanda Rivetti Da Silva Rocha | Pedagogia | Aprovado | Thiara: Aprovado: Curso de capacitação TGD 360 horas e 30 planos de aula. Planos de aula entregue dia 15/05/2019.// Bárbara: Conferido e arquivado em 16/09/2020</v>
      </c>
      <c r="B2798" s="93"/>
    </row>
    <row r="2799">
      <c r="A2799" s="384" t="str">
        <f>IFERROR(__xludf.DUMMYFUNCTION("""COMPUTED_VALUE"""),"Maria Flavia Soares De Oliveira | Pedagogia | Em análise | Alexiane: consertar ficha de registro, enviar carta de apresentação, termo de conclusão e relatorio geral de 2 páginas")</f>
        <v>Maria Flavia Soares De Oliveira | Pedagogia | Em análise | Alexiane: consertar ficha de registro, enviar carta de apresentação, termo de conclusão e relatorio geral de 2 páginas</v>
      </c>
      <c r="B2799" s="93"/>
    </row>
    <row r="2800">
      <c r="A2800" s="384" t="str">
        <f>IFERROR(__xludf.DUMMYFUNCTION("""COMPUTED_VALUE"""),"Maria Flávia Soares De Oliveira Alves | Pedagogia | Aprovado | Lucas: Aprovada no remoto antigo. (com declaração de experiência)")</f>
        <v>Maria Flávia Soares De Oliveira Alves | Pedagogia | Aprovado | Lucas: Aprovada no remoto antigo. (com declaração de experiência)</v>
      </c>
      <c r="B2800" s="93"/>
    </row>
    <row r="2801">
      <c r="A2801" s="384" t="str">
        <f>IFERROR(__xludf.DUMMYFUNCTION("""COMPUTED_VALUE"""),"Maria Francilene Da Silva Sousa Couto | Pedagogia | Aprovado | Alexsiane: estágio aprovado")</f>
        <v>Maria Francilene Da Silva Sousa Couto | Pedagogia | Aprovado | Alexsiane: estágio aprovado</v>
      </c>
      <c r="B2801" s="93"/>
    </row>
    <row r="2802">
      <c r="A2802" s="384" t="str">
        <f>IFERROR(__xludf.DUMMYFUNCTION("""COMPUTED_VALUE"""),"Maria Gislene De Souza | História | Aprovada | Edilaine: Remoto antigo. Tem que fazer o perigo ds história única. A declaração de experiência é válida, isentando a 4ª etapa. /// Edilaine: Aprovada 01/02/2023")</f>
        <v>Maria Gislene De Souza | História | Aprovada | Edilaine: Remoto antigo. Tem que fazer o perigo ds história única. A declaração de experiência é válida, isentando a 4ª etapa. /// Edilaine: Aprovada 01/02/2023</v>
      </c>
      <c r="B2802" s="93"/>
    </row>
    <row r="2803">
      <c r="A2803" s="384" t="str">
        <f>IFERROR(__xludf.DUMMYFUNCTION("""COMPUTED_VALUE"""),"Maria Gislene De Souza | Pedagogia Para Bachareis E Tecnólogos | Aprovada | Júnio: -PP: falta enviar a etapa 2 -PCC I: ok -PCC II: ok -PCC III: falta enviar -PCC IV: ok //Júnio: aprovada: 21/09/2023")</f>
        <v>Maria Gislene De Souza | Pedagogia Para Bachareis E Tecnólogos | Aprovada | Júnio: -PP: falta enviar a etapa 2 -PCC I: ok -PCC II: ok -PCC III: falta enviar -PCC IV: ok //Júnio: aprovada: 21/09/2023</v>
      </c>
      <c r="B2803" s="93"/>
    </row>
    <row r="2804">
      <c r="A2804" s="384" t="str">
        <f>IFERROR(__xludf.DUMMYFUNCTION("""COMPUTED_VALUE"""),"Maria Gislene De Souza | Sociologia | Aprovado | Alexsiane: pp aprovado ( ALUNA DE TURMA RETROATIVA, APROVAÇÃO ENVIADA COM AUTORIZAÇÃO DA ANA LÚCIA) ")</f>
        <v>Maria Gislene De Souza | Sociologia | Aprovado | Alexsiane: pp aprovado ( ALUNA DE TURMA RETROATIVA, APROVAÇÃO ENVIADA COM AUTORIZAÇÃO DA ANA LÚCIA) </v>
      </c>
      <c r="B2804" s="93"/>
    </row>
    <row r="2805">
      <c r="A2805" s="384" t="str">
        <f>IFERROR(__xludf.DUMMYFUNCTION("""COMPUTED_VALUE"""),"Maria Helena Ramos Homero | Pedagogia | Aprovada | Alexsiane: aluna seguiu a pasta do estágio de 400 horas, porém tem uma anotação do Júnio dizendo que a mesma teria que realizar as atividades praticas do estágio de 800 horas, Sendo assim, mesmo a aluna e"&amp;"ncaminhando os documentos autenticados não poderá ser aprovada  enquanto  essas praticas não forem CUIDADO A TODOS!// Alexsiane: Aprovada nas atividades complementares")</f>
        <v>Maria Helena Ramos Homero | Pedagogia | Aprovada | Alexsiane: aluna seguiu a pasta do estágio de 400 horas, porém tem uma anotação do Júnio dizendo que a mesma teria que realizar as atividades praticas do estágio de 800 horas, Sendo assim, mesmo a aluna encaminhando os documentos autenticados não poderá ser aprovada  enquanto  essas praticas não forem CUIDADO A TODOS!// Alexsiane: Aprovada nas atividades complementares</v>
      </c>
      <c r="B2805" s="93"/>
    </row>
    <row r="2806">
      <c r="A2806" s="384" t="str">
        <f>IFERROR(__xludf.DUMMYFUNCTION("""COMPUTED_VALUE"""),"Maria Helena Ramos Homero | Pedagogia Para Bacharéis E Tecnólogos | aprovada | Bárbara: Apresentou apenas as fichas de registro de educação infantil e fundamental I, estão certinhas, solcitei o restante dos estágios, RAC e autorizei a recolher assinaturas"&amp;"; //Edilaine: aprovada no estágio")</f>
        <v>Maria Helena Ramos Homero | Pedagogia Para Bacharéis E Tecnólogos | aprovada | Bárbara: Apresentou apenas as fichas de registro de educação infantil e fundamental I, estão certinhas, solcitei o restante dos estágios, RAC e autorizei a recolher assinaturas; //Edilaine: aprovada no estágio</v>
      </c>
      <c r="B2806" s="93"/>
    </row>
    <row r="2807">
      <c r="A2807" s="384" t="str">
        <f>IFERROR(__xludf.DUMMYFUNCTION("""COMPUTED_VALUE"""),"Maria Helena Tadim | Artes Visuais | Aprovada | Bárbara: faltou 19 planos de aula. // Bárbara: aprovada 13/01/2021 //Amélia 05/02 Trabalho carimbado e entregue a secretaria. // Bárbara: conferido e arquivado 10/02/2021")</f>
        <v>Maria Helena Tadim | Artes Visuais | Aprovada | Bárbara: faltou 19 planos de aula. // Bárbara: aprovada 13/01/2021 //Amélia 05/02 Trabalho carimbado e entregue a secretaria. // Bárbara: conferido e arquivado 10/02/2021</v>
      </c>
      <c r="B2807" s="93"/>
    </row>
    <row r="2808">
      <c r="A2808" s="384" t="str">
        <f>IFERROR(__xludf.DUMMYFUNCTION("""COMPUTED_VALUE"""),"Maria Honorita De Oliveira | Pedagogia C/ Ênf. | Aprovado | Estella: faltam horas. /// Aprovada dia 25/03/2019")</f>
        <v>Maria Honorita De Oliveira | Pedagogia C/ Ênf. | Aprovado | Estella: faltam horas. /// Aprovada dia 25/03/2019</v>
      </c>
      <c r="B2808" s="93"/>
    </row>
    <row r="2809">
      <c r="A2809" s="384" t="str">
        <f>IFERROR(__xludf.DUMMYFUNCTION("""COMPUTED_VALUE"""),"Maria Imaculada Nunes De Almeida | Geografia | Em análise | Edilaine: Tem que encaminhar o trabalho todo em nosso modelo padrão. Tem até dia 19/11/2022 para reenviar o trabalho.")</f>
        <v>Maria Imaculada Nunes De Almeida | Geografia | Em análise | Edilaine: Tem que encaminhar o trabalho todo em nosso modelo padrão. Tem até dia 19/11/2022 para reenviar o trabalho.</v>
      </c>
      <c r="B2809" s="93"/>
    </row>
    <row r="2810">
      <c r="A2810" s="384" t="str">
        <f>IFERROR(__xludf.DUMMYFUNCTION("""COMPUTED_VALUE"""),"Maria Irlene Gomes De Resende | Pedagogia | aprovada | Aline Silva: falta carta de apresentação e termo de conclusão, solicitei que os colocasse e recolhesse as demais assinaturas e carimbos. // Aline Silva: aprovada dia 27/01/2020")</f>
        <v>Maria Irlene Gomes De Resende | Pedagogia | aprovada | Aline Silva: falta carta de apresentação e termo de conclusão, solicitei que os colocasse e recolhesse as demais assinaturas e carimbos. // Aline Silva: aprovada dia 27/01/2020</v>
      </c>
      <c r="B2810" s="93"/>
    </row>
    <row r="2811">
      <c r="A2811" s="384" t="str">
        <f>IFERROR(__xludf.DUMMYFUNCTION("""COMPUTED_VALUE"""),"Maria Isabel Cardoso Zattera Meira | Música | Aprovada | Cris: PP aprovada")</f>
        <v>Maria Isabel Cardoso Zattera Meira | Música | Aprovada | Cris: PP aprovada</v>
      </c>
      <c r="B2811" s="93"/>
    </row>
    <row r="2812">
      <c r="A2812" s="384" t="str">
        <f>IFERROR(__xludf.DUMMYFUNCTION("""COMPUTED_VALUE"""),"Maria Isabel De Sousa Cançado | Pedagogia | Aprovada | Júnio: remoto antigo, autorizada a recolher assinatura do termo de experiencia, TEM ATÉ 0904 PARA REENVIAR O ESTÁGIO")</f>
        <v>Maria Isabel De Sousa Cançado | Pedagogia | Aprovada | Júnio: remoto antigo, autorizada a recolher assinatura do termo de experiencia, TEM ATÉ 0904 PARA REENVIAR O ESTÁGIO</v>
      </c>
      <c r="B2812" s="93"/>
    </row>
    <row r="2813">
      <c r="A2813" s="384" t="str">
        <f>IFERROR(__xludf.DUMMYFUNCTION("""COMPUTED_VALUE"""),"Maria Izabel Lopes De Mendonça | Letras/Português | aprovada | Alexsiane;falta 1 plano de aula e enviar novamente a declaração de experiência está ilegível // Alexsiane: aprovado no remoto antigo com lançamento no Sponte")</f>
        <v>Maria Izabel Lopes De Mendonça | Letras/Português | aprovada | Alexsiane;falta 1 plano de aula e enviar novamente a declaração de experiência está ilegível // Alexsiane: aprovado no remoto antigo com lançamento no Sponte</v>
      </c>
      <c r="B2813" s="93"/>
    </row>
    <row r="2814">
      <c r="A2814" s="384" t="str">
        <f>IFERROR(__xludf.DUMMYFUNCTION("""COMPUTED_VALUE"""),"Maria José Rabelo De Sousa Leão | Pedagogia | Aprovada | Edilaine: Tem que complementar o objetivo geral, os objetivos específios e as referências. Tem que especificar o tipo de acompanhameno na última ficha, tem que especificar o tema no tipo de acompanh"&amp;"amento gestão e a série em alguns dias.//Alexsiane: Pré aprovada com lançamento no sponte  /// Edilaine: Aprovada 13/03/2023")</f>
        <v>Maria José Rabelo De Sousa Leão | Pedagogia | Aprovada | Edilaine: Tem que complementar o objetivo geral, os objetivos específios e as referências. Tem que especificar o tipo de acompanhameno na última ficha, tem que especificar o tema no tipo de acompanhamento gestão e a série em alguns dias.//Alexsiane: Pré aprovada com lançamento no sponte  /// Edilaine: Aprovada 13/03/2023</v>
      </c>
      <c r="B2814" s="93"/>
    </row>
    <row r="2815">
      <c r="A2815" s="384" t="str">
        <f>IFERROR(__xludf.DUMMYFUNCTION("""COMPUTED_VALUE"""),"Maria José Rodrigues De Souza | Matemática | Em análise | Júnio: PP - falta a etapa 2 PRAZO: 05/11/23")</f>
        <v>Maria José Rodrigues De Souza | Matemática | Em análise | Júnio: PP - falta a etapa 2 PRAZO: 05/11/23</v>
      </c>
      <c r="B2815" s="93"/>
    </row>
    <row r="2816">
      <c r="A2816" s="384" t="str">
        <f>IFERROR(__xludf.DUMMYFUNCTION("""COMPUTED_VALUE"""),"Maria Juliana De Oliveira Perotti | Matemática | Aprovada  | Bianca: falta etapa 4 do remoto atualizado //Júnio: Conferido e arquivado: 05/11/2021")</f>
        <v>Maria Juliana De Oliveira Perotti | Matemática | Aprovada  | Bianca: falta etapa 4 do remoto atualizado //Júnio: Conferido e arquivado: 05/11/2021</v>
      </c>
      <c r="B2816" s="93"/>
    </row>
    <row r="2817">
      <c r="A2817" s="384" t="str">
        <f>IFERROR(__xludf.DUMMYFUNCTION("""COMPUTED_VALUE"""),"Maria Laurici Medina Ribeiro |  | Aprovado | Mandei enviar pelo correio (15/12).Corrigi cronogramas e estão corretos (11/12). Mandou apenas cronogramas, respondi que deve enviar separado e com a contagem de horas corretas, respondi no ultimo e-mail 05/12.")</f>
        <v>Maria Laurici Medina Ribeiro |  | Aprovado | Mandei enviar pelo correio (15/12).Corrigi cronogramas e estão corretos (11/12). Mandou apenas cronogramas, respondi que deve enviar separado e com a contagem de horas corretas, respondi no ultimo e-mail 05/12.</v>
      </c>
      <c r="B2817" s="93"/>
    </row>
    <row r="2818">
      <c r="A2818" s="384" t="str">
        <f>IFERROR(__xludf.DUMMYFUNCTION("""COMPUTED_VALUE"""),"Maria Lenice De Souza | Psicopedagogia Hospitalar, Clínica E Infantil | Aprovada | Júnio: 31% plágio //Júnio: aprovada: 14/01/22// Confirido e arquivado dia 30/03/2022")</f>
        <v>Maria Lenice De Souza | Psicopedagogia Hospitalar, Clínica E Infantil | Aprovada | Júnio: 31% plágio //Júnio: aprovada: 14/01/22// Confirido e arquivado dia 30/03/2022</v>
      </c>
      <c r="B2818" s="93"/>
    </row>
    <row r="2819">
      <c r="A2819" s="384" t="str">
        <f>IFERROR(__xludf.DUMMYFUNCTION("""COMPUTED_VALUE"""),"Maria Lenice De Souza | Pedagogia | Aprovada  | Alexsiane:Na ficha de registro referente a pré escola II( aluna deverá corrigir o total de horas)  nas fichas de supervisão escola e e administração escolar( deverá especificar o terma e a turma) e falta car"&amp;"ta de apresentação// Bárbara conferido e arquivado 14/09/2022")</f>
        <v>Maria Lenice De Souza | Pedagogia | Aprovada  | Alexsiane:Na ficha de registro referente a pré escola II( aluna deverá corrigir o total de horas)  nas fichas de supervisão escola e e administração escolar( deverá especificar o terma e a turma) e falta carta de apresentação// Bárbara conferido e arquivado 14/09/2022</v>
      </c>
      <c r="B2819" s="93"/>
    </row>
    <row r="2820">
      <c r="A2820" s="384" t="str">
        <f>IFERROR(__xludf.DUMMYFUNCTION("""COMPUTED_VALUE"""),"Maria Ligia Da Silva Granja | Educação Física | aprovado | Bianca: aprovado no remoto atualizado")</f>
        <v>Maria Ligia Da Silva Granja | Educação Física | aprovado | Bianca: aprovado no remoto atualizado</v>
      </c>
      <c r="B2820" s="93"/>
    </row>
    <row r="2821">
      <c r="A2821" s="384" t="str">
        <f>IFERROR(__xludf.DUMMYFUNCTION("""COMPUTED_VALUE"""),"Maria Lúcia Alves De Souza Lima | Matemática | aprovado | Bianca: Aprovada nas 4 etapas")</f>
        <v>Maria Lúcia Alves De Souza Lima | Matemática | aprovado | Bianca: Aprovada nas 4 etapas</v>
      </c>
      <c r="B2821" s="93"/>
    </row>
    <row r="2822">
      <c r="A2822" s="384" t="str">
        <f>IFERROR(__xludf.DUMMYFUNCTION("""COMPUTED_VALUE"""),"Maria Lúcia Da Costa | Pedagogia | Aprovada | Júnio: Em 13/04/22 Lucas solicitou a aluna que enviasse o trabalho por e-mail em arquivo word único, pois ela havia enviado mais de 30 anexos. Em 10/06/22 recebemos o trabalho físico da aluna, sem ela ter reen"&amp;"viado por e-mail e esperado aprovação. //Júnio: aprovada no video: 04/07/22")</f>
        <v>Maria Lúcia Da Costa | Pedagogia | Aprovada | Júnio: Em 13/04/22 Lucas solicitou a aluna que enviasse o trabalho por e-mail em arquivo word único, pois ela havia enviado mais de 30 anexos. Em 10/06/22 recebemos o trabalho físico da aluna, sem ela ter reenviado por e-mail e esperado aprovação. //Júnio: aprovada no video: 04/07/22</v>
      </c>
      <c r="B2822" s="93"/>
    </row>
    <row r="2823">
      <c r="A2823" s="384" t="str">
        <f>IFERROR(__xludf.DUMMYFUNCTION("""COMPUTED_VALUE"""),"Maria Lucia Da Silva Barbosa | Pedagogia | Aprovada | Bárbara: aprovada em todas as etapas //Júnio: conferido e arquivado: 26/08/21")</f>
        <v>Maria Lucia Da Silva Barbosa | Pedagogia | Aprovada | Bárbara: aprovada em todas as etapas //Júnio: conferido e arquivado: 26/08/21</v>
      </c>
      <c r="B2823" s="93"/>
    </row>
    <row r="2824">
      <c r="A2824" s="384" t="str">
        <f>IFERROR(__xludf.DUMMYFUNCTION("""COMPUTED_VALUE"""),"Maria Lúcia Helena De França | Pedagogia | Aprovada | Bárbara: aprovada nas 4 etapas")</f>
        <v>Maria Lúcia Helena De França | Pedagogia | Aprovada | Bárbara: aprovada nas 4 etapas</v>
      </c>
      <c r="B2824" s="93"/>
    </row>
    <row r="2825">
      <c r="A2825" s="384" t="str">
        <f>IFERROR(__xludf.DUMMYFUNCTION("""COMPUTED_VALUE"""),"Maria Lucia Pereira Dos Santos | Pedagogia | Aprovada | Bárbara: faltou considerações finais // Bárbara: aprovada 4 etapa 26/11/2020// Miryã: conferido e arquivado 10/03/2021")</f>
        <v>Maria Lucia Pereira Dos Santos | Pedagogia | Aprovada | Bárbara: faltou considerações finais // Bárbara: aprovada 4 etapa 26/11/2020// Miryã: conferido e arquivado 10/03/2021</v>
      </c>
      <c r="B2825" s="93"/>
    </row>
    <row r="2826">
      <c r="A2826" s="384" t="str">
        <f>IFERROR(__xludf.DUMMYFUNCTION("""COMPUTED_VALUE"""),"Maria Lucia Rodrigues | Pedagogia | Aprovada | Ana Flávia: aprovada em todas as etapas")</f>
        <v>Maria Lucia Rodrigues | Pedagogia | Aprovada | Ana Flávia: aprovada em todas as etapas</v>
      </c>
      <c r="B2826" s="93"/>
    </row>
    <row r="2827">
      <c r="A2827" s="384" t="str">
        <f>IFERROR(__xludf.DUMMYFUNCTION("""COMPUTED_VALUE"""),"Maria Lucivane De Oliveira Morais | Letras Portugues | Aprovada | Júnio: PP aprovada")</f>
        <v>Maria Lucivane De Oliveira Morais | Letras Portugues | Aprovada | Júnio: PP aprovada</v>
      </c>
      <c r="B2827" s="93"/>
    </row>
    <row r="2828">
      <c r="A2828" s="384" t="str">
        <f>IFERROR(__xludf.DUMMYFUNCTION("""COMPUTED_VALUE"""),"Maria Luisa Martins Da Silva | História | Aprovada  | Bárbara: aprovada nas 3 primeiras etapas do remoto antigo // Bárbara: aprovada 13/09/2022")</f>
        <v>Maria Luisa Martins Da Silva | História | Aprovada  | Bárbara: aprovada nas 3 primeiras etapas do remoto antigo // Bárbara: aprovada 13/09/2022</v>
      </c>
      <c r="B2828" s="93"/>
    </row>
    <row r="2829">
      <c r="A2829" s="384" t="str">
        <f>IFERROR(__xludf.DUMMYFUNCTION("""COMPUTED_VALUE"""),"Maria Luiza Parreiras E Silva | Pedagogia | Aprovada | Júnio: 10% plágio //Alexsiane: Aprovado no video da quarta etapa dia 12//04/2022  //Júnio:conferida e arquivada: 18/04/22")</f>
        <v>Maria Luiza Parreiras E Silva | Pedagogia | Aprovada | Júnio: 10% plágio //Alexsiane: Aprovado no video da quarta etapa dia 12//04/2022  //Júnio:conferida e arquivada: 18/04/22</v>
      </c>
      <c r="B2829" s="93"/>
    </row>
    <row r="2830">
      <c r="A2830" s="384" t="str">
        <f>IFERROR(__xludf.DUMMYFUNCTION("""COMPUTED_VALUE"""),"Maria Luíza Pedrosa | Pedagogia | Aprovada | Bárbara: aluna encmainhou o trabalho físico antes da aprovação. Esse trabalho se encontrava em uma caixa de trabalhos que tivemos acesso quando nos mudados para o prédio da coopira, então não sei quando foi rec"&amp;"ebido. As datas do estágio, estão retroativas a data da matrícula, contudo como sei quando esse trabalho chegou não posso devolver, o restante está ok. // Bárbara: conferido e arquivado 14/04/2021")</f>
        <v>Maria Luíza Pedrosa | Pedagogia | Aprovada | Bárbara: aluna encmainhou o trabalho físico antes da aprovação. Esse trabalho se encontrava em uma caixa de trabalhos que tivemos acesso quando nos mudados para o prédio da coopira, então não sei quando foi recebido. As datas do estágio, estão retroativas a data da matrícula, contudo como sei quando esse trabalho chegou não posso devolver, o restante está ok. // Bárbara: conferido e arquivado 14/04/2021</v>
      </c>
      <c r="B2830" s="93"/>
    </row>
    <row r="2831">
      <c r="A2831" s="384" t="str">
        <f>IFERROR(__xludf.DUMMYFUNCTION("""COMPUTED_VALUE"""),"Maria Luzia Limão Da Silveira | Pedagogia | Aprovada | Amélia: aprovado nas 3 primeiras etapas do remoto // Bárbara: aprovada 10/03/2021")</f>
        <v>Maria Luzia Limão Da Silveira | Pedagogia | Aprovada | Amélia: aprovado nas 3 primeiras etapas do remoto // Bárbara: aprovada 10/03/2021</v>
      </c>
      <c r="B2831" s="93"/>
    </row>
    <row r="2832">
      <c r="A2832" s="384" t="str">
        <f>IFERROR(__xludf.DUMMYFUNCTION("""COMPUTED_VALUE"""),"Maria Madalena Ferreira De Oliveira Borges | Pedagogia | Aprovada | Júnio: em caráter excepcional. Correção pelo envio físico, faltou relatório de 2 páginas pedi para enviar por email //Júnio: aprovada: 26/08/21")</f>
        <v>Maria Madalena Ferreira De Oliveira Borges | Pedagogia | Aprovada | Júnio: em caráter excepcional. Correção pelo envio físico, faltou relatório de 2 páginas pedi para enviar por email //Júnio: aprovada: 26/08/21</v>
      </c>
      <c r="B2832" s="93"/>
    </row>
    <row r="2833">
      <c r="A2833" s="384" t="str">
        <f>IFERROR(__xludf.DUMMYFUNCTION("""COMPUTED_VALUE"""),"Maria Mônica De Omena Rodrigues | Pedagogia | Aprovada | Júnio: remoto antigo - falta apenas a 4ª etapa - Edilaine aprovada 16/11/22 // Pamela 02/01/2023 Conferido e arquivado. ")</f>
        <v>Maria Mônica De Omena Rodrigues | Pedagogia | Aprovada | Júnio: remoto antigo - falta apenas a 4ª etapa - Edilaine aprovada 16/11/22 // Pamela 02/01/2023 Conferido e arquivado. </v>
      </c>
      <c r="B2833" s="93"/>
    </row>
    <row r="2834">
      <c r="A2834" s="384" t="str">
        <f>IFERROR(__xludf.DUMMYFUNCTION("""COMPUTED_VALUE"""),"Maria Nelciane Da Cunha Neves | Letras Portugues | aprovada | Bárbara: apresentou declração de experiência válida para isenção da 4ª etapa do estágio, falta o resto // Junio: 02/03 aprovada ")</f>
        <v>Maria Nelciane Da Cunha Neves | Letras Portugues | aprovada | Bárbara: apresentou declração de experiência válida para isenção da 4ª etapa do estágio, falta o resto // Junio: 02/03 aprovada </v>
      </c>
      <c r="B2834" s="93"/>
    </row>
    <row r="2835">
      <c r="A2835" s="384" t="str">
        <f>IFERROR(__xludf.DUMMYFUNCTION("""COMPUTED_VALUE"""),"Maria Regina Azarias | Pedagogia | Aprovado | Alexsiane: PP aprovado")</f>
        <v>Maria Regina Azarias | Pedagogia | Aprovado | Alexsiane: PP aprovado</v>
      </c>
      <c r="B2835" s="93"/>
    </row>
    <row r="2836">
      <c r="A2836" s="384" t="str">
        <f>IFERROR(__xludf.DUMMYFUNCTION("""COMPUTED_VALUE"""),"Maria Regina De Lana Bicalho | Pedagogia | Aprovada | Alexsiane: falta o vídeo da 4° etapa. //Júnio: aprovada na aula: 19/05/22")</f>
        <v>Maria Regina De Lana Bicalho | Pedagogia | Aprovada | Alexsiane: falta o vídeo da 4° etapa. //Júnio: aprovada na aula: 19/05/22</v>
      </c>
      <c r="B2836" s="93"/>
    </row>
    <row r="2837">
      <c r="A2837" s="384" t="str">
        <f>IFERROR(__xludf.DUMMYFUNCTION("""COMPUTED_VALUE"""),"Maria Rivanda Silva Da Siqueira | Pedagogia | Aprovada | Bianca: aprovada nas 3 primeiras etapas do remoto antigo //Bárbara: aprovada: 28/07/21")</f>
        <v>Maria Rivanda Silva Da Siqueira | Pedagogia | Aprovada | Bianca: aprovada nas 3 primeiras etapas do remoto antigo //Bárbara: aprovada: 28/07/21</v>
      </c>
      <c r="B2837" s="93"/>
    </row>
    <row r="2838">
      <c r="A2838" s="384" t="str">
        <f>IFERROR(__xludf.DUMMYFUNCTION("""COMPUTED_VALUE"""),"Maria Rosane Oliveira Costa | Letras- Português | Aprovada | Aprovada nas etapas 1,2 e 3 do remoto antigo //Júnio: aprovada: 19/09/23")</f>
        <v>Maria Rosane Oliveira Costa | Letras- Português | Aprovada | Aprovada nas etapas 1,2 e 3 do remoto antigo //Júnio: aprovada: 19/09/23</v>
      </c>
      <c r="B2838" s="93"/>
    </row>
    <row r="2839">
      <c r="A2839" s="384" t="str">
        <f>IFERROR(__xludf.DUMMYFUNCTION("""COMPUTED_VALUE"""),"Maria Rosângela De Farias | Neuropsicologia Clínica | Aprovada | Júnio: pré aprovada PRAZO: 25/07/23 //Júnio: aprovada: 14/08/23")</f>
        <v>Maria Rosângela De Farias | Neuropsicologia Clínica | Aprovada | Júnio: pré aprovada PRAZO: 25/07/23 //Júnio: aprovada: 14/08/23</v>
      </c>
      <c r="B2839" s="93"/>
    </row>
    <row r="2840">
      <c r="A2840" s="384" t="str">
        <f>IFERROR(__xludf.DUMMYFUNCTION("""COMPUTED_VALUE"""),"Maria Rosângela R Guedes | Pedagogia | Aprovado | Amélia: aprovada em todas as etapas// Miryã: conferido e arquivado 10/03/2021")</f>
        <v>Maria Rosângela R Guedes | Pedagogia | Aprovado | Amélia: aprovada em todas as etapas// Miryã: conferido e arquivado 10/03/2021</v>
      </c>
      <c r="B2840" s="93"/>
    </row>
    <row r="2841">
      <c r="A2841" s="384" t="str">
        <f>IFERROR(__xludf.DUMMYFUNCTION("""COMPUTED_VALUE"""),"Maria Rosângela Rabelo De Sousa | Pedagogia | Em análise | Aline Silva: faltam introdução,capa, dados gerais da escola, identificar a consideração final, falta atividade executada.// Aline Silva: aprovada dia 26/12/2019// Recebido dia 13/01/2020// Bárbara"&amp;": Conferido e arquivado em 16/09/2020")</f>
        <v>Maria Rosângela Rabelo De Sousa | Pedagogia | Em análise | Aline Silva: faltam introdução,capa, dados gerais da escola, identificar a consideração final, falta atividade executada.// Aline Silva: aprovada dia 26/12/2019// Recebido dia 13/01/2020// Bárbara: Conferido e arquivado em 16/09/2020</v>
      </c>
      <c r="B2841" s="93"/>
    </row>
    <row r="2842">
      <c r="A2842" s="384" t="str">
        <f>IFERROR(__xludf.DUMMYFUNCTION("""COMPUTED_VALUE"""),"Maria Rosete Da Silva Santos | Letras – Português E Inglês | Aprovado | Alexsiane: pp falta carta de apresentação e 19% de plágio")</f>
        <v>Maria Rosete Da Silva Santos | Letras – Português E Inglês | Aprovado | Alexsiane: pp falta carta de apresentação e 19% de plágio</v>
      </c>
      <c r="B2842" s="93"/>
    </row>
    <row r="2843">
      <c r="A2843" s="384" t="str">
        <f>IFERROR(__xludf.DUMMYFUNCTION("""COMPUTED_VALUE"""),"Maria Rosete Da Silva Santos | Segunda Licenciatura Em Letras – Português E Inglês | Aprovado | Rayssa. PP Falta carta de apresentação//Alexsiane; pp aprovado 24/09/24")</f>
        <v>Maria Rosete Da Silva Santos | Segunda Licenciatura Em Letras – Português E Inglês | Aprovado | Rayssa. PP Falta carta de apresentação//Alexsiane; pp aprovado 24/09/24</v>
      </c>
      <c r="B2843" s="93"/>
    </row>
    <row r="2844">
      <c r="A2844" s="384" t="str">
        <f>IFERROR(__xludf.DUMMYFUNCTION("""COMPUTED_VALUE"""),"Maria Sabrina Araújo Uchoa | Letras Português-Inglês | Em análise | Bianca: aprovada nas 3 primeiras etapas do Remoto Atualizado// Bianca: aprovada nas 4 etapas do remoto atualizado 09/08/2021")</f>
        <v>Maria Sabrina Araújo Uchoa | Letras Português-Inglês | Em análise | Bianca: aprovada nas 3 primeiras etapas do Remoto Atualizado// Bianca: aprovada nas 4 etapas do remoto atualizado 09/08/2021</v>
      </c>
      <c r="B2844" s="93"/>
    </row>
    <row r="2845">
      <c r="A2845" s="384" t="str">
        <f>IFERROR(__xludf.DUMMYFUNCTION("""COMPUTED_VALUE"""),"Maria Solange De Souza | Pedagogia | Aprovada | Júnio: falta responder o questionário. //Júnio: aprovada: 27/12/23")</f>
        <v>Maria Solange De Souza | Pedagogia | Aprovada | Júnio: falta responder o questionário. //Júnio: aprovada: 27/12/23</v>
      </c>
      <c r="B2845" s="93"/>
    </row>
    <row r="2846">
      <c r="A2846" s="384" t="str">
        <f>IFERROR(__xludf.DUMMYFUNCTION("""COMPUTED_VALUE"""),"Maria Souza Alencar Martins | Pedagogia | Aprovada | Aline Silva: apresentou declaração de experiência ok.// Bárbara: declaração de experiência e-mail 12/10/2020// Bárbara: aprovada 28/10/2020")</f>
        <v>Maria Souza Alencar Martins | Pedagogia | Aprovada | Aline Silva: apresentou declaração de experiência ok.// Bárbara: declaração de experiência e-mail 12/10/2020// Bárbara: aprovada 28/10/2020</v>
      </c>
      <c r="B2846" s="93"/>
    </row>
    <row r="2847">
      <c r="A2847" s="384" t="str">
        <f>IFERROR(__xludf.DUMMYFUNCTION("""COMPUTED_VALUE"""),"Maria Suely Medeiros Dos Santos | Pedagogia Para Bachareis E Tecnólogos | Aprovada | Júnio - PP: OK  -PCC I, II, III e IV: falta enviar //Júnio: aprovada: 22/01/24")</f>
        <v>Maria Suely Medeiros Dos Santos | Pedagogia Para Bachareis E Tecnólogos | Aprovada | Júnio - PP: OK  -PCC I, II, III e IV: falta enviar //Júnio: aprovada: 22/01/24</v>
      </c>
      <c r="B2847" s="93"/>
    </row>
    <row r="2848">
      <c r="A2848" s="384" t="str">
        <f>IFERROR(__xludf.DUMMYFUNCTION("""COMPUTED_VALUE"""),"Maria Susikelly Silva Lima | Pedagogia | Em análise | Bianca: verificação rápida com plágio")</f>
        <v>Maria Susikelly Silva Lima | Pedagogia | Em análise | Bianca: verificação rápida com plágio</v>
      </c>
      <c r="B2848" s="93"/>
    </row>
    <row r="2849">
      <c r="A2849" s="384" t="str">
        <f>IFERROR(__xludf.DUMMYFUNCTION("""COMPUTED_VALUE"""),"Maria Tailânia Alves De Oliveira Moura | Letras Português | Aprovada  | Júnio: remoto antigo - falta apenas etapa 4 //Júnio: aprovada: 05/07/22")</f>
        <v>Maria Tailânia Alves De Oliveira Moura | Letras Português | Aprovada  | Júnio: remoto antigo - falta apenas etapa 4 //Júnio: aprovada: 05/07/22</v>
      </c>
      <c r="B2849" s="93"/>
    </row>
    <row r="2850">
      <c r="A2850" s="384" t="str">
        <f>IFERROR(__xludf.DUMMYFUNCTION("""COMPUTED_VALUE"""),"Maria Thereza Santos De Barros Nunes Ferreira | Ciências Biologicas | Aprovado | Thiara: aprovado. Recebido em 08/2019")</f>
        <v>Maria Thereza Santos De Barros Nunes Ferreira | Ciências Biologicas | Aprovado | Thiara: aprovado. Recebido em 08/2019</v>
      </c>
      <c r="B2850" s="93"/>
    </row>
    <row r="2851">
      <c r="A2851" s="384" t="str">
        <f>IFERROR(__xludf.DUMMYFUNCTION("""COMPUTED_VALUE"""),"Maria Valcilene Amorim Da Silva | Letras - Português | Aprovada | Júnio: aprovada no Remoto Antigo")</f>
        <v>Maria Valcilene Amorim Da Silva | Letras - Português | Aprovada | Júnio: aprovada no Remoto Antigo</v>
      </c>
      <c r="B2851" s="93"/>
    </row>
    <row r="2852">
      <c r="A2852" s="384" t="str">
        <f>IFERROR(__xludf.DUMMYFUNCTION("""COMPUTED_VALUE"""),"Maria Valquelene Candido | Pedagogia | Em análise | Alexsiane: Pp aprovado")</f>
        <v>Maria Valquelene Candido | Pedagogia | Em análise | Alexsiane: Pp aprovado</v>
      </c>
      <c r="B2852" s="93"/>
    </row>
    <row r="2853">
      <c r="A2853" s="384" t="str">
        <f>IFERROR(__xludf.DUMMYFUNCTION("""COMPUTED_VALUE"""),"Maria Vanessa Dos Santos | Matemática | Aprovada | Cris: PP aprovada")</f>
        <v>Maria Vanessa Dos Santos | Matemática | Aprovada | Cris: PP aprovada</v>
      </c>
      <c r="B2853" s="93"/>
    </row>
    <row r="2854">
      <c r="A2854" s="384" t="str">
        <f>IFERROR(__xludf.DUMMYFUNCTION("""COMPUTED_VALUE"""),"Maria Vênus Rodrigues Bueno Alves | História | Aprovada  | Júnio: estágio padrão - autorizada a recolher assinaturas da ficha de registro - campos do professor PRAZO: 28/08/22 // Pâmela 02/12/2022 Conferido e arquivado. ")</f>
        <v>Maria Vênus Rodrigues Bueno Alves | História | Aprovada  | Júnio: estágio padrão - autorizada a recolher assinaturas da ficha de registro - campos do professor PRAZO: 28/08/22 // Pâmela 02/12/2022 Conferido e arquivado. </v>
      </c>
      <c r="B2854" s="93"/>
    </row>
    <row r="2855">
      <c r="A2855" s="384" t="str">
        <f>IFERROR(__xludf.DUMMYFUNCTION("""COMPUTED_VALUE"""),"Mariah Carneiro Bastos Alves Braga | Pedagogia | Aprovada | Alexsiane: Aprovado com lançamento no Sponte. ( REMOTO ANTIGO)")</f>
        <v>Mariah Carneiro Bastos Alves Braga | Pedagogia | Aprovada | Alexsiane: Aprovado com lançamento no Sponte. ( REMOTO ANTIGO)</v>
      </c>
      <c r="B2855" s="93"/>
    </row>
    <row r="2856">
      <c r="A2856" s="384" t="str">
        <f>IFERROR(__xludf.DUMMYFUNCTION("""COMPUTED_VALUE"""),"Mariana Aparecida Almeida | Pedagogia | Aprovada | Bianca: apresentou apenas 10 planos de aulas. Aprovada na etapa 1,2 e 4 //Bianca: aprovada 10/05/21")</f>
        <v>Mariana Aparecida Almeida | Pedagogia | Aprovada | Bianca: apresentou apenas 10 planos de aulas. Aprovada na etapa 1,2 e 4 //Bianca: aprovada 10/05/21</v>
      </c>
      <c r="B2856" s="93"/>
    </row>
    <row r="2857">
      <c r="A2857" s="384" t="str">
        <f>IFERROR(__xludf.DUMMYFUNCTION("""COMPUTED_VALUE"""),"Mariana Boaretto De Oliveira | Pedagogia | Aprovada | Alexsiane: Pré aprovada com lançamento no Jacad. // Pâmela 18/11/2022 Conferido e arquivado. ")</f>
        <v>Mariana Boaretto De Oliveira | Pedagogia | Aprovada | Alexsiane: Pré aprovada com lançamento no Jacad. // Pâmela 18/11/2022 Conferido e arquivado. </v>
      </c>
      <c r="B2857" s="93"/>
    </row>
    <row r="2858">
      <c r="A2858" s="384" t="str">
        <f>IFERROR(__xludf.DUMMYFUNCTION("""COMPUTED_VALUE"""),"Mariana Braz Gonçalves Cerqueira | Pedagogia | Aprovada | Alexsiane: complementar as fichas de registro com mais10 horas, preencher todos os cabeçalhos das fichas de registro e especificar a serie e o tipo de acompanhamento 16/12 para reenviar// Alexsiane"&amp;": Alexsiane: conferido e arquivado 15/02/23")</f>
        <v>Mariana Braz Gonçalves Cerqueira | Pedagogia | Aprovada | Alexsiane: complementar as fichas de registro com mais10 horas, preencher todos os cabeçalhos das fichas de registro e especificar a serie e o tipo de acompanhamento 16/12 para reenviar// Alexsiane: Alexsiane: conferido e arquivado 15/02/23</v>
      </c>
      <c r="B2858" s="93"/>
    </row>
    <row r="2859">
      <c r="A2859" s="384" t="str">
        <f>IFERROR(__xludf.DUMMYFUNCTION("""COMPUTED_VALUE"""),"Mariana Cristina Da Silva | Pedagogia | aprovada | Bárbara: etapa 1 e 2 ok, contudo na etapa 3 a aluna não fez os planos. // Bárbara: aprovada 30/11/2020// Miryã: confedido e arquivado 10/03/2021")</f>
        <v>Mariana Cristina Da Silva | Pedagogia | aprovada | Bárbara: etapa 1 e 2 ok, contudo na etapa 3 a aluna não fez os planos. // Bárbara: aprovada 30/11/2020// Miryã: confedido e arquivado 10/03/2021</v>
      </c>
      <c r="B2859" s="93"/>
    </row>
    <row r="2860">
      <c r="A2860" s="384" t="str">
        <f>IFERROR(__xludf.DUMMYFUNCTION("""COMPUTED_VALUE"""),"Mariana De Brito Miranda | Pedagogia | Aprovada | Bárbara: aprovada nas 3 primeiras etapas do remoto // Bárbara: aprovada na 4ª etapa 30/03/2021")</f>
        <v>Mariana De Brito Miranda | Pedagogia | Aprovada | Bárbara: aprovada nas 3 primeiras etapas do remoto // Bárbara: aprovada na 4ª etapa 30/03/2021</v>
      </c>
      <c r="B2860" s="93"/>
    </row>
    <row r="2861">
      <c r="A2861" s="384" t="str">
        <f>IFERROR(__xludf.DUMMYFUNCTION("""COMPUTED_VALUE"""),"Mariana Gonçalves Da Silva | Artes Visuais | Aprovada | Alexsiane: especificar o tema da gestão e encaminhar o plano de aula em word editável //Júnio: pre aprovada: 26/05/23 //Júnio: aprovada: 23/05/23")</f>
        <v>Mariana Gonçalves Da Silva | Artes Visuais | Aprovada | Alexsiane: especificar o tema da gestão e encaminhar o plano de aula em word editável //Júnio: pre aprovada: 26/05/23 //Júnio: aprovada: 23/05/23</v>
      </c>
      <c r="B2861" s="93"/>
    </row>
    <row r="2862">
      <c r="A2862" s="384" t="str">
        <f>IFERROR(__xludf.DUMMYFUNCTION("""COMPUTED_VALUE"""),"Mariana Gonçalves Da Silva | História | Aprovada | Júnio: etapas dissertativas possuem 61% de similaridade com o outro curso. //Júnio: aprovada: 27/11/23")</f>
        <v>Mariana Gonçalves Da Silva | História | Aprovada | Júnio: etapas dissertativas possuem 61% de similaridade com o outro curso. //Júnio: aprovada: 27/11/23</v>
      </c>
      <c r="B2862" s="93"/>
    </row>
    <row r="2863">
      <c r="A2863" s="384" t="str">
        <f>IFERROR(__xludf.DUMMYFUNCTION("""COMPUTED_VALUE"""),"Mariana Oliveira | - | Aprovado | Mandei enviar pelo correio.")</f>
        <v>Mariana Oliveira | - | Aprovado | Mandei enviar pelo correio.</v>
      </c>
      <c r="B2863" s="93"/>
    </row>
    <row r="2864">
      <c r="A2864" s="384" t="str">
        <f>IFERROR(__xludf.DUMMYFUNCTION("""COMPUTED_VALUE"""),"Mariana Oliveira Ribeiro | Artes Visuais | aprovada | Bianca: aprovada nas 3 1ªetapas do remoto antigo //Bárbara: aprovada: 13/08/21")</f>
        <v>Mariana Oliveira Ribeiro | Artes Visuais | aprovada | Bianca: aprovada nas 3 1ªetapas do remoto antigo //Bárbara: aprovada: 13/08/21</v>
      </c>
      <c r="B2864" s="93"/>
    </row>
    <row r="2865">
      <c r="A2865" s="384" t="str">
        <f>IFERROR(__xludf.DUMMYFUNCTION("""COMPUTED_VALUE"""),"Mariana Rosângela Dos Santos Silva | Letras Port. Ing. | aprovada | Aline Silva: aprovada")</f>
        <v>Mariana Rosângela Dos Santos Silva | Letras Port. Ing. | aprovada | Aline Silva: aprovada</v>
      </c>
      <c r="B2865" s="93"/>
    </row>
    <row r="2866">
      <c r="A2866" s="384" t="str">
        <f>IFERROR(__xludf.DUMMYFUNCTION("""COMPUTED_VALUE"""),"Mariana Sanches De Oliveira | Pedagogia | aprovada | Alexsiane: carta de ap. esta com com as assinatiuras coladas e 35% de págio// Alexsiane: pp aprovado 15/02")</f>
        <v>Mariana Sanches De Oliveira | Pedagogia | aprovada | Alexsiane: carta de ap. esta com com as assinatiuras coladas e 35% de págio// Alexsiane: pp aprovado 15/02</v>
      </c>
      <c r="B2866" s="93"/>
    </row>
    <row r="2867">
      <c r="A2867" s="384" t="str">
        <f>IFERROR(__xludf.DUMMYFUNCTION("""COMPUTED_VALUE"""),"Mariana Signoreli Pinereus | Letras Port | Aprovada | Amélia: Aprovada nas 4 etapas //Aprovada: 10/02/21")</f>
        <v>Mariana Signoreli Pinereus | Letras Port | Aprovada | Amélia: Aprovada nas 4 etapas //Aprovada: 10/02/21</v>
      </c>
      <c r="B2867" s="93"/>
    </row>
    <row r="2868">
      <c r="A2868" s="384" t="str">
        <f>IFERROR(__xludf.DUMMYFUNCTION("""COMPUTED_VALUE"""),"Mariana Signoreli Pireneus | Letras Português-Inglês | Aprovado | Alexsiane:renviar 02/08 ppok// pp aprovado 06/08")</f>
        <v>Mariana Signoreli Pireneus | Letras Português-Inglês | Aprovado | Alexsiane:renviar 02/08 ppok// pp aprovado 06/08</v>
      </c>
      <c r="B2868" s="93"/>
    </row>
    <row r="2869">
      <c r="A2869" s="384" t="str">
        <f>IFERROR(__xludf.DUMMYFUNCTION("""COMPUTED_VALUE"""),"Mariana Teodoro Jardim | Pedagogia | Aprovada  | Bianca: Falta sumário e resumo // Lucas: aprovada em 11/02/2022 //Júnio:conferido e arquivado: 26/05/22")</f>
        <v>Mariana Teodoro Jardim | Pedagogia | Aprovada  | Bianca: Falta sumário e resumo // Lucas: aprovada em 11/02/2022 //Júnio:conferido e arquivado: 26/05/22</v>
      </c>
      <c r="B2869" s="93"/>
    </row>
    <row r="2870">
      <c r="A2870" s="384" t="str">
        <f>IFERROR(__xludf.DUMMYFUNCTION("""COMPUTED_VALUE"""),"Mariane Soares Lage | Ciências Sociais | Aprovado | Alexsiane: pp aprovado")</f>
        <v>Mariane Soares Lage | Ciências Sociais | Aprovado | Alexsiane: pp aprovado</v>
      </c>
      <c r="B2870" s="93"/>
    </row>
    <row r="2871">
      <c r="A2871" s="384" t="str">
        <f>IFERROR(__xludf.DUMMYFUNCTION("""COMPUTED_VALUE"""),"Mariangela Benedita De Oliveira | Pedagogia | em análise | Alexsiane: etapas pp ok, falta carta de apresentação.")</f>
        <v>Mariangela Benedita De Oliveira | Pedagogia | em análise | Alexsiane: etapas pp ok, falta carta de apresentação.</v>
      </c>
      <c r="B2871" s="93"/>
    </row>
    <row r="2872">
      <c r="A2872" s="384" t="str">
        <f>IFERROR(__xludf.DUMMYFUNCTION("""COMPUTED_VALUE"""),"Marianne Arantes Dos Reis | Química | Aprovada | Bianca: Aprovada nas 4 etapas do remoto antigo")</f>
        <v>Marianne Arantes Dos Reis | Química | Aprovada | Bianca: Aprovada nas 4 etapas do remoto antigo</v>
      </c>
      <c r="B2872" s="93"/>
    </row>
    <row r="2873">
      <c r="A2873" s="384" t="str">
        <f>IFERROR(__xludf.DUMMYFUNCTION("""COMPUTED_VALUE"""),"Mariele Aparecida Moreira Da Silva | Psicopedagogia Institucional, Clínica E Educação Infantil | Em análise | Júnio: enviou apenas as fichas, falta todo o resto.")</f>
        <v>Mariele Aparecida Moreira Da Silva | Psicopedagogia Institucional, Clínica E Educação Infantil | Em análise | Júnio: enviou apenas as fichas, falta todo o resto.</v>
      </c>
      <c r="B2873" s="93"/>
    </row>
    <row r="2874">
      <c r="A2874" s="384" t="str">
        <f>IFERROR(__xludf.DUMMYFUNCTION("""COMPUTED_VALUE"""),"Marielle Mota Soares Brito | Pedagogia | Aprovada | Alexsiane: falta 9 planos de aula e 4° etapa do remoto atualizado até dia 14/08/22 para reenviar   //Edilaine: Pré- aprovada com lançamento no Sponte // Pâmela 10/11/22 Conferido e arquivado. ")</f>
        <v>Marielle Mota Soares Brito | Pedagogia | Aprovada | Alexsiane: falta 9 planos de aula e 4° etapa do remoto atualizado até dia 14/08/22 para reenviar   //Edilaine: Pré- aprovada com lançamento no Sponte // Pâmela 10/11/22 Conferido e arquivado. </v>
      </c>
      <c r="B2874" s="93"/>
    </row>
    <row r="2875">
      <c r="A2875" s="384" t="str">
        <f>IFERROR(__xludf.DUMMYFUNCTION("""COMPUTED_VALUE"""),"Mariene Jessyca Mota Da Silva | Letras Português Espanhol | Pré- aprovada | Júnio: padrão - autorizada a recolher assinaturas - prazo:15/08/22")</f>
        <v>Mariene Jessyca Mota Da Silva | Letras Português Espanhol | Pré- aprovada | Júnio: padrão - autorizada a recolher assinaturas - prazo:15/08/22</v>
      </c>
      <c r="B2875" s="93"/>
    </row>
    <row r="2876">
      <c r="A2876" s="384" t="str">
        <f>IFERROR(__xludf.DUMMYFUNCTION("""COMPUTED_VALUE"""),"Mariete Almeida Da Silva | Letras Português | Aprovada | Alexsiane: aprovado no remoto antigo com lançamento no sponte")</f>
        <v>Mariete Almeida Da Silva | Letras Português | Aprovada | Alexsiane: aprovado no remoto antigo com lançamento no sponte</v>
      </c>
      <c r="B2876" s="93"/>
    </row>
    <row r="2877">
      <c r="A2877" s="384" t="str">
        <f>IFERROR(__xludf.DUMMYFUNCTION("""COMPUTED_VALUE"""),"Marilane Domingos De Deus | Letras Português Inglês | Aprovada | Júnio: PP aprovada")</f>
        <v>Marilane Domingos De Deus | Letras Português Inglês | Aprovada | Júnio: PP aprovada</v>
      </c>
      <c r="B2877" s="93"/>
    </row>
    <row r="2878">
      <c r="A2878" s="384" t="str">
        <f>IFERROR(__xludf.DUMMYFUNCTION("""COMPUTED_VALUE"""),"Marilda Cristina Lambert | Pedagogia | Aprovada | Júnio: estágio padrão - fez 60 horas na ficha de registro, falta todo o resto //Júnio: pré aprovada: 05/07/23 //Júnio: aprovada: 12/07/23")</f>
        <v>Marilda Cristina Lambert | Pedagogia | Aprovada | Júnio: estágio padrão - fez 60 horas na ficha de registro, falta todo o resto //Júnio: pré aprovada: 05/07/23 //Júnio: aprovada: 12/07/23</v>
      </c>
      <c r="B2878" s="93"/>
    </row>
    <row r="2879">
      <c r="A2879" s="384" t="str">
        <f>IFERROR(__xludf.DUMMYFUNCTION("""COMPUTED_VALUE"""),"Marilene Alves Guimarães | Educação Especial | Aprovada | Júnio: 15% plágio //Júnio: PP aprovada 19/12/23")</f>
        <v>Marilene Alves Guimarães | Educação Especial | Aprovada | Júnio: 15% plágio //Júnio: PP aprovada 19/12/23</v>
      </c>
      <c r="B2879" s="93"/>
    </row>
    <row r="2880">
      <c r="A2880" s="384" t="str">
        <f>IFERROR(__xludf.DUMMYFUNCTION("""COMPUTED_VALUE"""),"Marilene Arantes Dos Reis | Química | Aprovada | Bárbara: apenas 10 planos e 28% de plágio, etapas 1 e 2 /Bianca: aprovada: 01/04/2021")</f>
        <v>Marilene Arantes Dos Reis | Química | Aprovada | Bárbara: apenas 10 planos e 28% de plágio, etapas 1 e 2 /Bianca: aprovada: 01/04/2021</v>
      </c>
      <c r="B2880" s="93"/>
    </row>
    <row r="2881">
      <c r="A2881" s="384" t="str">
        <f>IFERROR(__xludf.DUMMYFUNCTION("""COMPUTED_VALUE"""),"Marilene Arantes Teixeira De Sousa | Pedagogia | Aprovada | Júnio: especificar nas fichas tema e série, enviar termo de conclusão preenchido e assinado //Júnio: aprovada: 04/07/23")</f>
        <v>Marilene Arantes Teixeira De Sousa | Pedagogia | Aprovada | Júnio: especificar nas fichas tema e série, enviar termo de conclusão preenchido e assinado //Júnio: aprovada: 04/07/23</v>
      </c>
      <c r="B2881" s="93"/>
    </row>
    <row r="2882">
      <c r="A2882" s="384" t="str">
        <f>IFERROR(__xludf.DUMMYFUNCTION("""COMPUTED_VALUE"""),"Marilene De Freitas Souza Araújo | Filosofia | Aprovado | Júnio: aprovada no Padrão //Júnio: conferido e arquivado: 05/08/21")</f>
        <v>Marilene De Freitas Souza Araújo | Filosofia | Aprovado | Júnio: aprovada no Padrão //Júnio: conferido e arquivado: 05/08/21</v>
      </c>
      <c r="B2882" s="93"/>
    </row>
    <row r="2883">
      <c r="A2883" s="384" t="str">
        <f>IFERROR(__xludf.DUMMYFUNCTION("""COMPUTED_VALUE"""),"Marilene Gonçalves Do Carmo | Letras - Português | Aprovada | Bianca: autorizada a recolher assinaturas na etapa 4, aprovada nas etapas 1, 2 e 3 //Júnio: conferido e arquivado 28/06/2021")</f>
        <v>Marilene Gonçalves Do Carmo | Letras - Português | Aprovada | Bianca: autorizada a recolher assinaturas na etapa 4, aprovada nas etapas 1, 2 e 3 //Júnio: conferido e arquivado 28/06/2021</v>
      </c>
      <c r="B2883" s="93"/>
    </row>
    <row r="2884">
      <c r="A2884" s="384" t="str">
        <f>IFERROR(__xludf.DUMMYFUNCTION("""COMPUTED_VALUE"""),"Marilene Gonçalves Do Carmo | Matemática | Aprovada | Amélia: aprovada nas 3 etapas do remoto. Aprovada e autorizada a enviar o físico. //Júnio: conferido e arquivado 28/06/2021")</f>
        <v>Marilene Gonçalves Do Carmo | Matemática | Aprovada | Amélia: aprovada nas 3 etapas do remoto. Aprovada e autorizada a enviar o físico. //Júnio: conferido e arquivado 28/06/2021</v>
      </c>
      <c r="B2884" s="93"/>
    </row>
    <row r="2885">
      <c r="A2885" s="384" t="str">
        <f>IFERROR(__xludf.DUMMYFUNCTION("""COMPUTED_VALUE"""),"Marilene Pereira Dos Santos | Artes Visuais | Aprovada | Bárbara: aprovada em todas as etapas // Bárbara: conferido e arquivado 20/04/2021")</f>
        <v>Marilene Pereira Dos Santos | Artes Visuais | Aprovada | Bárbara: aprovada em todas as etapas // Bárbara: conferido e arquivado 20/04/2021</v>
      </c>
      <c r="B2885" s="93"/>
    </row>
    <row r="2886">
      <c r="A2886" s="384" t="str">
        <f>IFERROR(__xludf.DUMMYFUNCTION("""COMPUTED_VALUE"""),"Marileuza Pinheiro Duarte | Pedagogia | aprovada  | Bianca: aprovada nas 3 etapas do remoto antigo //Bárbara: aprovada 21/05/21")</f>
        <v>Marileuza Pinheiro Duarte | Pedagogia | aprovada  | Bianca: aprovada nas 3 etapas do remoto antigo //Bárbara: aprovada 21/05/21</v>
      </c>
      <c r="B2886" s="93"/>
    </row>
    <row r="2887">
      <c r="A2887" s="384" t="str">
        <f>IFERROR(__xludf.DUMMYFUNCTION("""COMPUTED_VALUE"""),"Marília Tonioli | Artes Visuais | Aprovada | Lucas: Passada para o remoto antigo e aprovada com a declaração de experiência")</f>
        <v>Marília Tonioli | Artes Visuais | Aprovada | Lucas: Passada para o remoto antigo e aprovada com a declaração de experiência</v>
      </c>
      <c r="B2887" s="93"/>
    </row>
    <row r="2888">
      <c r="A2888" s="384" t="str">
        <f>IFERROR(__xludf.DUMMYFUNCTION("""COMPUTED_VALUE"""),"Mariliana Viana Dos Santos | Educação Física | Aprovada | ")</f>
        <v>Mariliana Viana Dos Santos | Educação Física | Aprovada | </v>
      </c>
      <c r="B2888" s="93"/>
    </row>
    <row r="2889">
      <c r="A2889" s="384" t="str">
        <f>IFERROR(__xludf.DUMMYFUNCTION("""COMPUTED_VALUE"""),"Marilize Santos Da Silva De Mello | Pedagogia | Aprovado | Alexsiane: estágio aprovado")</f>
        <v>Marilize Santos Da Silva De Mello | Pedagogia | Aprovado | Alexsiane: estágio aprovado</v>
      </c>
      <c r="B2889" s="93"/>
    </row>
    <row r="2890">
      <c r="A2890" s="384" t="str">
        <f>IFERROR(__xludf.DUMMYFUNCTION("""COMPUTED_VALUE"""),"Marilza Dias Borges Silva | Pedagogia | Aprovada | Bianca: Aprovada no TCE remoto antigo")</f>
        <v>Marilza Dias Borges Silva | Pedagogia | Aprovada | Bianca: Aprovada no TCE remoto antigo</v>
      </c>
      <c r="B2890" s="93"/>
    </row>
    <row r="2891">
      <c r="A2891" s="384" t="str">
        <f>IFERROR(__xludf.DUMMYFUNCTION("""COMPUTED_VALUE"""),"Marilza Viana Silverio | Artes Visuais | aprovado | Júnio: remoto antigo - etapas 1,2 e 3 ok// Alexsiane: aprovado com lançamento no Sponte")</f>
        <v>Marilza Viana Silverio | Artes Visuais | aprovado | Júnio: remoto antigo - etapas 1,2 e 3 ok// Alexsiane: aprovado com lançamento no Sponte</v>
      </c>
      <c r="B2891" s="93"/>
    </row>
    <row r="2892">
      <c r="A2892" s="384" t="str">
        <f>IFERROR(__xludf.DUMMYFUNCTION("""COMPUTED_VALUE"""),"Marina Alves Da Silva | Pedagogia | Aprovada | Alexsiane: Etapa 1,2,3 ok falta 4° etapa do remoto antigo //Júnio: aprovada no vídeo: 30/08/22")</f>
        <v>Marina Alves Da Silva | Pedagogia | Aprovada | Alexsiane: Etapa 1,2,3 ok falta 4° etapa do remoto antigo //Júnio: aprovada no vídeo: 30/08/22</v>
      </c>
      <c r="B2892" s="93"/>
    </row>
    <row r="2893">
      <c r="A2893" s="384" t="str">
        <f>IFERROR(__xludf.DUMMYFUNCTION("""COMPUTED_VALUE"""),"Marina Cristina Rodrigues Pereira | Letras/Inglês | Aprovada | Edilaine: Pré- aprovada com lançamento no Sponte. Pamela26/01/2023 Conferido e arquivado. ")</f>
        <v>Marina Cristina Rodrigues Pereira | Letras/Inglês | Aprovada | Edilaine: Pré- aprovada com lançamento no Sponte. Pamela26/01/2023 Conferido e arquivado. </v>
      </c>
      <c r="B2893" s="93"/>
    </row>
    <row r="2894">
      <c r="A2894" s="384" t="str">
        <f>IFERROR(__xludf.DUMMYFUNCTION("""COMPUTED_VALUE"""),"Marina De Almeida Furtado Rodrigues | 2º Licenciatura Filosofia | Aprovada | Cris: PP aprovada")</f>
        <v>Marina De Almeida Furtado Rodrigues | 2º Licenciatura Filosofia | Aprovada | Cris: PP aprovada</v>
      </c>
      <c r="B2894" s="93"/>
    </row>
    <row r="2895">
      <c r="A2895" s="384" t="str">
        <f>IFERROR(__xludf.DUMMYFUNCTION("""COMPUTED_VALUE"""),"Marina De Cysne Aguiar | Educação Física | Em análise | Bianca: Falta carta de apresentação, termo de conclusão e fichas de registros- Bárbara, pela descrição da aluna fazendo remoto antigo 16/09")</f>
        <v>Marina De Cysne Aguiar | Educação Física | Em análise | Bianca: Falta carta de apresentação, termo de conclusão e fichas de registros- Bárbara, pela descrição da aluna fazendo remoto antigo 16/09</v>
      </c>
      <c r="B2895" s="93"/>
    </row>
    <row r="2896">
      <c r="A2896" s="384" t="str">
        <f>IFERROR(__xludf.DUMMYFUNCTION("""COMPUTED_VALUE"""),"Marina Félix De Sousa Silva | Matemática | Aprovado | Bárbara: aprovada nas 3 priemiras etapas do remoto atualizado, 4ª etapa com datas retroativas da matrícula. // Júnio: aprovado, conferido e arquivado 27/04/21")</f>
        <v>Marina Félix De Sousa Silva | Matemática | Aprovado | Bárbara: aprovada nas 3 priemiras etapas do remoto atualizado, 4ª etapa com datas retroativas da matrícula. // Júnio: aprovado, conferido e arquivado 27/04/21</v>
      </c>
      <c r="B2896" s="93"/>
    </row>
    <row r="2897">
      <c r="A2897" s="384" t="str">
        <f>IFERROR(__xludf.DUMMYFUNCTION("""COMPUTED_VALUE"""),"Marina Fernanda Veiga Dos Santos De Farias | Letras Port/Ing | Aprovado | VOLTOU DE NOVO PARA CORREÇÃO, apresentou carga horária insuficiente, 17-09. VOLTOU PARA CORREÇÃO, apresentou cronograma inadequado. Recebido 05/02/2019. No envelope veio 40 reais en"&amp;"viei e-mail para a aluna e a Natália passou o dinheiro para a Franciele do setor financeiro.// Bárbara: Conferido e arquivado 10/09/2020")</f>
        <v>Marina Fernanda Veiga Dos Santos De Farias | Letras Port/Ing | Aprovado | VOLTOU DE NOVO PARA CORREÇÃO, apresentou carga horária insuficiente, 17-09. VOLTOU PARA CORREÇÃO, apresentou cronograma inadequado. Recebido 05/02/2019. No envelope veio 40 reais enviei e-mail para a aluna e a Natália passou o dinheiro para a Franciele do setor financeiro.// Bárbara: Conferido e arquivado 10/09/2020</v>
      </c>
      <c r="B2897" s="93"/>
    </row>
    <row r="2898">
      <c r="A2898" s="384" t="str">
        <f>IFERROR(__xludf.DUMMYFUNCTION("""COMPUTED_VALUE"""),"Marina Fernanda Viegas Farias | Letras Port Espa | em análise | Bárbara: apresentou declaração de experiência válida para isenção da 4ª etapa ")</f>
        <v>Marina Fernanda Viegas Farias | Letras Port Espa | em análise | Bárbara: apresentou declaração de experiência válida para isenção da 4ª etapa </v>
      </c>
      <c r="B2898" s="93"/>
    </row>
    <row r="2899">
      <c r="A2899" s="384" t="str">
        <f>IFERROR(__xludf.DUMMYFUNCTION("""COMPUTED_VALUE"""),"Marina Garcia De Oliveira Ciudim | Pedagogia | Aprovada | Bianca: autorizada a recolher assinaturas //Júnio: conferido e arquivado: 28/07/2021")</f>
        <v>Marina Garcia De Oliveira Ciudim | Pedagogia | Aprovada | Bianca: autorizada a recolher assinaturas //Júnio: conferido e arquivado: 28/07/2021</v>
      </c>
      <c r="B2899" s="93"/>
    </row>
    <row r="2900">
      <c r="A2900" s="384" t="str">
        <f>IFERROR(__xludf.DUMMYFUNCTION("""COMPUTED_VALUE"""),"Marina Pires Neder | Pedagogia | Aprovado | Alexsiane: corrigir o plágio nas 10 competências, restante ik //Alexsiane: pp aprovado")</f>
        <v>Marina Pires Neder | Pedagogia | Aprovado | Alexsiane: corrigir o plágio nas 10 competências, restante ik //Alexsiane: pp aprovado</v>
      </c>
      <c r="B2900" s="93"/>
    </row>
    <row r="2901">
      <c r="A2901" s="384" t="str">
        <f>IFERROR(__xludf.DUMMYFUNCTION("""COMPUTED_VALUE"""),"Marina Viana Dos Santos Sousa | Pedagogia | Aprovado | Júnio: declaração de experiência inválida, complementar as horas ate dar 200 hs.// Alexsiane: estágio aprovado")</f>
        <v>Marina Viana Dos Santos Sousa | Pedagogia | Aprovado | Júnio: declaração de experiência inválida, complementar as horas ate dar 200 hs.// Alexsiane: estágio aprovado</v>
      </c>
      <c r="B2901" s="93"/>
    </row>
    <row r="2902">
      <c r="A2902" s="384" t="str">
        <f>IFERROR(__xludf.DUMMYFUNCTION("""COMPUTED_VALUE"""),"Marinalda De Carvalho Pereira | História | Em análise | Júnio: declaração de experiência válida")</f>
        <v>Marinalda De Carvalho Pereira | História | Em análise | Júnio: declaração de experiência válida</v>
      </c>
      <c r="B2902" s="93"/>
    </row>
    <row r="2903">
      <c r="A2903" s="384" t="str">
        <f>IFERROR(__xludf.DUMMYFUNCTION("""COMPUTED_VALUE"""),"Marinalda De Carvalho Pereira | História | Aprovada | Júnio: PP aprovada")</f>
        <v>Marinalda De Carvalho Pereira | História | Aprovada | Júnio: PP aprovada</v>
      </c>
      <c r="B2903" s="93"/>
    </row>
    <row r="2904">
      <c r="A2904" s="384" t="str">
        <f>IFERROR(__xludf.DUMMYFUNCTION("""COMPUTED_VALUE"""),"Marinalva Batista Dos Santos Neves | Matemática | aprovada | Aline Silva: aprovada mediante apresentação de 30 planos de aula, conforme liberado pela Ana Lúcia.")</f>
        <v>Marinalva Batista Dos Santos Neves | Matemática | aprovada | Aline Silva: aprovada mediante apresentação de 30 planos de aula, conforme liberado pela Ana Lúcia.</v>
      </c>
      <c r="B2904" s="93"/>
    </row>
    <row r="2905">
      <c r="A2905" s="384" t="str">
        <f>IFERROR(__xludf.DUMMYFUNCTION("""COMPUTED_VALUE"""),"Marinete Torquato Araújo E Silva | Psicopedagogia Clínica E Hospitalar | Em análise | Bianca: autorizada a recolher assinaturas")</f>
        <v>Marinete Torquato Araújo E Silva | Psicopedagogia Clínica E Hospitalar | Em análise | Bianca: autorizada a recolher assinaturas</v>
      </c>
      <c r="B2905" s="93"/>
    </row>
    <row r="2906">
      <c r="A2906" s="384" t="str">
        <f>IFERROR(__xludf.DUMMYFUNCTION("""COMPUTED_VALUE"""),"Marinete Torquato De Araújo E Silva | Letras - Portugues | Em análise | Bianca: enviou apenas etapa 2")</f>
        <v>Marinete Torquato De Araújo E Silva | Letras - Portugues | Em análise | Bianca: enviou apenas etapa 2</v>
      </c>
      <c r="B2906" s="93"/>
    </row>
    <row r="2907">
      <c r="A2907" s="384" t="str">
        <f>IFERROR(__xludf.DUMMYFUNCTION("""COMPUTED_VALUE"""),"Marisa Gonçalves | Música | Em análise | Júnio: complementar a etapa I com mais páginas, falta a carta e entrevista")</f>
        <v>Marisa Gonçalves | Música | Em análise | Júnio: complementar a etapa I com mais páginas, falta a carta e entrevista</v>
      </c>
      <c r="B2907" s="93"/>
    </row>
    <row r="2908">
      <c r="A2908" s="384" t="str">
        <f>IFERROR(__xludf.DUMMYFUNCTION("""COMPUTED_VALUE"""),"Marise Lúcio Pereira Rocha | Pedagogia | Aprovada | Júnio: consertar fichas de registro, anexar carta de apresentação e termo de cocnlusão, fazer + 5 planos de aulas //TERÁ 10 APÓS A CORREÇÃO //Júnio: 29/09/22: fisico veio incorreta, carta de apresentação"&amp;" e termo de conclusão vieram impressos// Pâmela 25/11/2022 Conferido e arquivado. ")</f>
        <v>Marise Lúcio Pereira Rocha | Pedagogia | Aprovada | Júnio: consertar fichas de registro, anexar carta de apresentação e termo de cocnlusão, fazer + 5 planos de aulas //TERÁ 10 APÓS A CORREÇÃO //Júnio: 29/09/22: fisico veio incorreta, carta de apresentação e termo de conclusão vieram impressos// Pâmela 25/11/2022 Conferido e arquivado. </v>
      </c>
      <c r="B2908" s="93"/>
    </row>
    <row r="2909">
      <c r="A2909" s="384" t="str">
        <f>IFERROR(__xludf.DUMMYFUNCTION("""COMPUTED_VALUE"""),"Mariselma Ferreira Da Silva | Pedagogia | Aprovada  | Lucas: Plagio 8,34%, falta 4 planos de aula. Enviar planos digitalizado e não em imagens. // Bárbara: aprovada 22/06 no vídeo da 4 etapa")</f>
        <v>Mariselma Ferreira Da Silva | Pedagogia | Aprovada  | Lucas: Plagio 8,34%, falta 4 planos de aula. Enviar planos digitalizado e não em imagens. // Bárbara: aprovada 22/06 no vídeo da 4 etapa</v>
      </c>
      <c r="B2909" s="93"/>
    </row>
    <row r="2910">
      <c r="A2910" s="384" t="str">
        <f>IFERROR(__xludf.DUMMYFUNCTION("""COMPUTED_VALUE"""),"Marisete Aparecida Maçon | Artes Visuais | Aprovada | Bianca: plágio  //Júnio: aprovada: 27/01/2022")</f>
        <v>Marisete Aparecida Maçon | Artes Visuais | Aprovada | Bianca: plágio  //Júnio: aprovada: 27/01/2022</v>
      </c>
      <c r="B2910" s="93"/>
    </row>
    <row r="2911">
      <c r="A2911" s="384" t="str">
        <f>IFERROR(__xludf.DUMMYFUNCTION("""COMPUTED_VALUE"""),"Marisete Aparecida Maçon | Educação Física | Aprovada | Bianca: plágio, não fez sumário, nem capa e nem introdução //Júnio: aprovada: 27/01/2022")</f>
        <v>Marisete Aparecida Maçon | Educação Física | Aprovada | Bianca: plágio, não fez sumário, nem capa e nem introdução //Júnio: aprovada: 27/01/2022</v>
      </c>
      <c r="B2911" s="93"/>
    </row>
    <row r="2912">
      <c r="A2912" s="384" t="str">
        <f>IFERROR(__xludf.DUMMYFUNCTION("""COMPUTED_VALUE"""),"Marislene Jussam Dos Santos Xavier | Pedagogia | Aprovada | Júnio: PP - falta a carta// Alexsiane; PP aprovada")</f>
        <v>Marislene Jussam Dos Santos Xavier | Pedagogia | Aprovada | Júnio: PP - falta a carta// Alexsiane; PP aprovada</v>
      </c>
      <c r="B2912" s="93"/>
    </row>
    <row r="2913">
      <c r="A2913" s="384" t="str">
        <f>IFERROR(__xludf.DUMMYFUNCTION("""COMPUTED_VALUE"""),"Maristela Simões Carvalheira Hirosaki | Pedagogia | Aprovado | Alexsiane: pp aprovado")</f>
        <v>Maristela Simões Carvalheira Hirosaki | Pedagogia | Aprovado | Alexsiane: pp aprovado</v>
      </c>
      <c r="B2913" s="93"/>
    </row>
    <row r="2914">
      <c r="A2914" s="384" t="str">
        <f>IFERROR(__xludf.DUMMYFUNCTION("""COMPUTED_VALUE"""),"Mariuza Soares Santos | Pedagogia Para Bachareis E Tecnologos | Aprovada | Júnio: Fez apenas uma pasta com algumas etapas dissertativas de forma geral (86% plágio), pedi para enviar as oito pastas e colcoar cada etapa na devida pasta. //Júnio: pré aprovad"&amp;"a: 07/11/23// Alexsiane: aprovada 01/03/24")</f>
        <v>Mariuza Soares Santos | Pedagogia Para Bachareis E Tecnologos | Aprovada | Júnio: Fez apenas uma pasta com algumas etapas dissertativas de forma geral (86% plágio), pedi para enviar as oito pastas e colcoar cada etapa na devida pasta. //Júnio: pré aprovada: 07/11/23// Alexsiane: aprovada 01/03/24</v>
      </c>
      <c r="B2914" s="93"/>
    </row>
    <row r="2915">
      <c r="A2915" s="384" t="str">
        <f>IFERROR(__xludf.DUMMYFUNCTION("""COMPUTED_VALUE"""),"Mariza Ramos Amorim | Pedagogia | Aprovada | Bianca: pedi para consertar fichas de registros //Bianca: aprovada: 11/08/21")</f>
        <v>Mariza Ramos Amorim | Pedagogia | Aprovada | Bianca: pedi para consertar fichas de registros //Bianca: aprovada: 11/08/21</v>
      </c>
      <c r="B2915" s="93"/>
    </row>
    <row r="2916">
      <c r="A2916" s="384" t="str">
        <f>IFERROR(__xludf.DUMMYFUNCTION("""COMPUTED_VALUE"""),"Marizete Cristina Manfrin Barbosa | Letras Inglês | Em análise | Ana Flávia: aprovado nas 3 etapas do remoto")</f>
        <v>Marizete Cristina Manfrin Barbosa | Letras Inglês | Em análise | Ana Flávia: aprovado nas 3 etapas do remoto</v>
      </c>
      <c r="B2916" s="93"/>
    </row>
    <row r="2917">
      <c r="A2917" s="384" t="str">
        <f>IFERROR(__xludf.DUMMYFUNCTION("""COMPUTED_VALUE"""),"Marizete Cristina Manfrin Barbosa | Artes Visuais | Aprovada | Alexsiane: Remoto atualizado: falta etapa 1,2,3 e na 4° etapa ela mandou somente as fichas, porém deve fazer algumas correções. // Edilaine: Pré- aprovada 31/01/2023 //Júnio: aprovada: 27/06/2"&amp;"3")</f>
        <v>Marizete Cristina Manfrin Barbosa | Artes Visuais | Aprovada | Alexsiane: Remoto atualizado: falta etapa 1,2,3 e na 4° etapa ela mandou somente as fichas, porém deve fazer algumas correções. // Edilaine: Pré- aprovada 31/01/2023 //Júnio: aprovada: 27/06/23</v>
      </c>
      <c r="B2917" s="93"/>
    </row>
    <row r="2918">
      <c r="A2918" s="384" t="str">
        <f>IFERROR(__xludf.DUMMYFUNCTION("""COMPUTED_VALUE"""),"Marizete Cristina Manfrin Barbosa | Letras/ Português | Aprovada | Edilaine: Declaração de experiência válida. Falta as etapas dissertativas. Tem até 17/12/2022 para reenviar. //Júnio: aprovada: 27/06/23")</f>
        <v>Marizete Cristina Manfrin Barbosa | Letras/ Português | Aprovada | Edilaine: Declaração de experiência válida. Falta as etapas dissertativas. Tem até 17/12/2022 para reenviar. //Júnio: aprovada: 27/06/23</v>
      </c>
      <c r="B2918" s="93"/>
    </row>
    <row r="2919">
      <c r="A2919" s="384" t="str">
        <f>IFERROR(__xludf.DUMMYFUNCTION("""COMPUTED_VALUE"""),"Marlene Benicio Da Silva | Geografia | Aprovado | Thiara: arquivo corrompido /// enviou novo aqurivo aprovei dia 08/08/2019 Recebido dia 12/08/2019// Bárbara: Conferido e arquivado 10/09/2020")</f>
        <v>Marlene Benicio Da Silva | Geografia | Aprovado | Thiara: arquivo corrompido /// enviou novo aqurivo aprovei dia 08/08/2019 Recebido dia 12/08/2019// Bárbara: Conferido e arquivado 10/09/2020</v>
      </c>
      <c r="B2919" s="93"/>
    </row>
    <row r="2920">
      <c r="A2920" s="384" t="str">
        <f>IFERROR(__xludf.DUMMYFUNCTION("""COMPUTED_VALUE"""),"Marlene Do Carmo Gonçalves Do Nascimento | Artes Visuais | Aprovado | Thiara: arquivo corrompido. Reenviou o documento aprovei. Reenviou e mandei aprovação novamente dia 07/10/2019. Entregue pessoalmente dia 09/10/2019.")</f>
        <v>Marlene Do Carmo Gonçalves Do Nascimento | Artes Visuais | Aprovado | Thiara: arquivo corrompido. Reenviou o documento aprovei. Reenviou e mandei aprovação novamente dia 07/10/2019. Entregue pessoalmente dia 09/10/2019.</v>
      </c>
      <c r="B2920" s="93"/>
    </row>
    <row r="2921">
      <c r="A2921" s="384" t="str">
        <f>IFERROR(__xludf.DUMMYFUNCTION("""COMPUTED_VALUE"""),"Marlene Prichua | História | Aprovada | Bianca: autorizada a recolher assinaturas  //Júnio:conferido e anexado: 20/10/21")</f>
        <v>Marlene Prichua | História | Aprovada | Bianca: autorizada a recolher assinaturas  //Júnio:conferido e anexado: 20/10/21</v>
      </c>
      <c r="B2921" s="93"/>
    </row>
    <row r="2922">
      <c r="A2922" s="384" t="str">
        <f>IFERROR(__xludf.DUMMYFUNCTION("""COMPUTED_VALUE"""),"Marlete Maria De Melo Rodrigues | Pedagogia | Aprovado | Thiara: Falta horas de Gestão, não apresentou horas de Orientação Escolar, Supervisão escolar e Administração escolar. Aprovado dia 14/01/2019. Recebido dia 05/02/2019")</f>
        <v>Marlete Maria De Melo Rodrigues | Pedagogia | Aprovado | Thiara: Falta horas de Gestão, não apresentou horas de Orientação Escolar, Supervisão escolar e Administração escolar. Aprovado dia 14/01/2019. Recebido dia 05/02/2019</v>
      </c>
      <c r="B2922" s="93"/>
    </row>
    <row r="2923">
      <c r="A2923" s="384" t="str">
        <f>IFERROR(__xludf.DUMMYFUNCTION("""COMPUTED_VALUE"""),"Marli Balta Ferreira | Letras - Português Espanhol | Aprovada | Bianca: aprovada no TCE Padrão// Bárbara: conferido e arquivado 08/06/2021")</f>
        <v>Marli Balta Ferreira | Letras - Português Espanhol | Aprovada | Bianca: aprovada no TCE Padrão// Bárbara: conferido e arquivado 08/06/2021</v>
      </c>
      <c r="B2923" s="93"/>
    </row>
    <row r="2924">
      <c r="A2924" s="384" t="str">
        <f>IFERROR(__xludf.DUMMYFUNCTION("""COMPUTED_VALUE"""),"Marli De Freitas Silva | Letras Libras | Aprovada | Júnio: PP - falta a etapa 2. //Júnio: aprovada 27/10/23")</f>
        <v>Marli De Freitas Silva | Letras Libras | Aprovada | Júnio: PP - falta a etapa 2. //Júnio: aprovada 27/10/23</v>
      </c>
      <c r="B2924" s="93"/>
    </row>
    <row r="2925">
      <c r="A2925" s="384" t="str">
        <f>IFERROR(__xludf.DUMMYFUNCTION("""COMPUTED_VALUE"""),"Marli Martins Do Amaral Lamounier | Pedagogia | Em análise | Júnio: falta 10 planos da etapa 3, consertar ficha de registro PRAZO 10 DIAS: 18/04/22")</f>
        <v>Marli Martins Do Amaral Lamounier | Pedagogia | Em análise | Júnio: falta 10 planos da etapa 3, consertar ficha de registro PRAZO 10 DIAS: 18/04/22</v>
      </c>
      <c r="B2925" s="93"/>
    </row>
    <row r="2926">
      <c r="A2926" s="384" t="str">
        <f>IFERROR(__xludf.DUMMYFUNCTION("""COMPUTED_VALUE"""),"Marliro Fernandes Souza Brito | Matemática | Aprovado | Alexsiane: pp aprovado")</f>
        <v>Marliro Fernandes Souza Brito | Matemática | Aprovado | Alexsiane: pp aprovado</v>
      </c>
      <c r="B2926" s="93"/>
    </row>
    <row r="2927">
      <c r="A2927" s="384" t="str">
        <f>IFERROR(__xludf.DUMMYFUNCTION("""COMPUTED_VALUE"""),"Marlla Angélica Dos Santos Da Costa | Pedagogia | Aprovada | Alexsiane: aprovada no PP")</f>
        <v>Marlla Angélica Dos Santos Da Costa | Pedagogia | Aprovada | Alexsiane: aprovada no PP</v>
      </c>
      <c r="B2927" s="93"/>
    </row>
    <row r="2928">
      <c r="A2928" s="384" t="str">
        <f>IFERROR(__xludf.DUMMYFUNCTION("""COMPUTED_VALUE"""),"Marlon Ventura Nobre | Filofisofia | aprovada | Júnio: Falta 1 plano de aula, especificar nas fichar tipo de acompanhamento e serie, corrigir campo de horas diarias e faltam 25 horas//Alexsiane: Pré-aprovada com lançamento no sponte//Alexsiane: aprovado n"&amp;"o físico")</f>
        <v>Marlon Ventura Nobre | Filofisofia | aprovada | Júnio: Falta 1 plano de aula, especificar nas fichar tipo de acompanhamento e serie, corrigir campo de horas diarias e faltam 25 horas//Alexsiane: Pré-aprovada com lançamento no sponte//Alexsiane: aprovado no físico</v>
      </c>
      <c r="B2928" s="93"/>
    </row>
    <row r="2929">
      <c r="A2929" s="384" t="str">
        <f>IFERROR(__xludf.DUMMYFUNCTION("""COMPUTED_VALUE"""),"Marluce Gavião Sacramento Dias | Letras Espanhol | Aprovada | Júnio: estágio padrão - muitas etapas dissertativas vieram escaneadas pedi para vir digitadas, declaração de experiência veio com assinatura colada, fichas de registro vieram de forma semestral"&amp;" pedi para fazer de forma diária até completar a carga horária total PRAZO: 14/01/23// Alexsiane: pré aprovado, autorizada a autenticar 03/05 enviar //Júnio: aprovada: 05/05/23")</f>
        <v>Marluce Gavião Sacramento Dias | Letras Espanhol | Aprovada | Júnio: estágio padrão - muitas etapas dissertativas vieram escaneadas pedi para vir digitadas, declaração de experiência veio com assinatura colada, fichas de registro vieram de forma semestral pedi para fazer de forma diária até completar a carga horária total PRAZO: 14/01/23// Alexsiane: pré aprovado, autorizada a autenticar 03/05 enviar //Júnio: aprovada: 05/05/23</v>
      </c>
      <c r="B2929" s="93"/>
    </row>
    <row r="2930">
      <c r="A2930" s="384" t="str">
        <f>IFERROR(__xludf.DUMMYFUNCTION("""COMPUTED_VALUE"""),"Marlucio Santos Da Trindade | Biologia | Aprovado | Bianca: aprovado nas 4 etapas do remoto antigo //Júnio: conferido e arquivado: 19/11/21")</f>
        <v>Marlucio Santos Da Trindade | Biologia | Aprovado | Bianca: aprovado nas 4 etapas do remoto antigo //Júnio: conferido e arquivado: 19/11/21</v>
      </c>
      <c r="B2930" s="93"/>
    </row>
    <row r="2931">
      <c r="A2931" s="384" t="str">
        <f>IFERROR(__xludf.DUMMYFUNCTION("""COMPUTED_VALUE"""),"Marly Oliveira Gomes | Artes Visuais | Em análise | Bianca: aprovada na etapa 2, aluna elaborou um texto pequeno, pedi para completar")</f>
        <v>Marly Oliveira Gomes | Artes Visuais | Em análise | Bianca: aprovada na etapa 2, aluna elaborou um texto pequeno, pedi para completar</v>
      </c>
      <c r="B2931" s="93"/>
    </row>
    <row r="2932">
      <c r="A2932" s="384" t="str">
        <f>IFERROR(__xludf.DUMMYFUNCTION("""COMPUTED_VALUE"""),"Marta Célia De Carvalho Teixeira | Pedagogia C/ Ênf. | Aprovado | APROVADO, 27-08, Ana disse que ela enviará o trabalho sem assinatura. (Recebido 12/11; certificado comprovando 300h será emitido para certificação)")</f>
        <v>Marta Célia De Carvalho Teixeira | Pedagogia C/ Ênf. | Aprovado | APROVADO, 27-08, Ana disse que ela enviará o trabalho sem assinatura. (Recebido 12/11; certificado comprovando 300h será emitido para certificação)</v>
      </c>
      <c r="B2932" s="93"/>
    </row>
    <row r="2933">
      <c r="A2933" s="384" t="str">
        <f>IFERROR(__xludf.DUMMYFUNCTION("""COMPUTED_VALUE"""),"Marta Cristina Alves Martins | Neuropsicopedagogia | aprovado | Lucas: Estagio desformatado, faltando muitos topicos. //Alexsiane: aprovado com lançamento no sponte")</f>
        <v>Marta Cristina Alves Martins | Neuropsicopedagogia | aprovado | Lucas: Estagio desformatado, faltando muitos topicos. //Alexsiane: aprovado com lançamento no sponte</v>
      </c>
      <c r="B2933" s="93"/>
    </row>
    <row r="2934">
      <c r="A2934" s="384" t="str">
        <f>IFERROR(__xludf.DUMMYFUNCTION("""COMPUTED_VALUE"""),"Martha Macedo América Taciano | Pedagogia | Em análise | Aline Silva: faltam 7 horas em obs, 10 hrs de reg, e 16 horas na adm escolar. Falta a atividade desenvolvida e completar a auto avaliação.// Aline Silva: aprovada dia 02/01/2020// Miryã: conferido e"&amp;" arquivado 15/03/2021")</f>
        <v>Martha Macedo América Taciano | Pedagogia | Em análise | Aline Silva: faltam 7 horas em obs, 10 hrs de reg, e 16 horas na adm escolar. Falta a atividade desenvolvida e completar a auto avaliação.// Aline Silva: aprovada dia 02/01/2020// Miryã: conferido e arquivado 15/03/2021</v>
      </c>
      <c r="B2934" s="93"/>
    </row>
    <row r="2935">
      <c r="A2935" s="384" t="str">
        <f>IFERROR(__xludf.DUMMYFUNCTION("""COMPUTED_VALUE"""),"Martins Cléber Ribeiri Pinto | Matemática | Em análise | Ana Flávia: aprovado 3 primeiras etapas do remoto, aguarndo a última // Ana Flávia: aprovado 4ª etapa 17/12/2020// Miryã: conferido e arquivado 10/03/2021")</f>
        <v>Martins Cléber Ribeiri Pinto | Matemática | Em análise | Ana Flávia: aprovado 3 primeiras etapas do remoto, aguarndo a última // Ana Flávia: aprovado 4ª etapa 17/12/2020// Miryã: conferido e arquivado 10/03/2021</v>
      </c>
      <c r="B2935" s="93"/>
    </row>
    <row r="2936">
      <c r="A2936" s="384" t="str">
        <f>IFERROR(__xludf.DUMMYFUNCTION("""COMPUTED_VALUE"""),"Mary Pereira Martins Dias | Pedagogia | Aprovada | Bárbara: aprovada nas 3 primeiras etapas do remoto, aguardando a última. // Bárbara: aprovada 17/12/2020")</f>
        <v>Mary Pereira Martins Dias | Pedagogia | Aprovada | Bárbara: aprovada nas 3 primeiras etapas do remoto, aguardando a última. // Bárbara: aprovada 17/12/2020</v>
      </c>
      <c r="B2936" s="93"/>
    </row>
    <row r="2937">
      <c r="A2937" s="384" t="str">
        <f>IFERROR(__xludf.DUMMYFUNCTION("""COMPUTED_VALUE"""),"Marylane Taveira Cardoso | Neuropsicopedagogia Institucional, Clínica E Hospitalar | Aprovada | Alexsiane: 20,41% de plágio,colocar todo trabalho em nosso modelo word, fazer a apresentação do caso,dados de identificçaõ pessoal,família, escola, relacioname"&amp;"nto, aptidões, dificuldades,objetivo e estágio,quixa, anmenes, estrategia de desenvolvimento, relatório das ações, segestão de estrategia e a sintese de conclusão. //Júnio: pré aprovada: 27/06/23 //Júnio: aprovada: 07/07/23")</f>
        <v>Marylane Taveira Cardoso | Neuropsicopedagogia Institucional, Clínica E Hospitalar | Aprovada | Alexsiane: 20,41% de plágio,colocar todo trabalho em nosso modelo word, fazer a apresentação do caso,dados de identificçaõ pessoal,família, escola, relacionamento, aptidões, dificuldades,objetivo e estágio,quixa, anmenes, estrategia de desenvolvimento, relatório das ações, segestão de estrategia e a sintese de conclusão. //Júnio: pré aprovada: 27/06/23 //Júnio: aprovada: 07/07/23</v>
      </c>
      <c r="B2937" s="93"/>
    </row>
    <row r="2938">
      <c r="A2938" s="384" t="str">
        <f>IFERROR(__xludf.DUMMYFUNCTION("""COMPUTED_VALUE"""),"Marylin Pereira Carrijo | Pedagogia | Aprovada | Alexsiane: aprovado com lançamento no Sponte")</f>
        <v>Marylin Pereira Carrijo | Pedagogia | Aprovada | Alexsiane: aprovado com lançamento no Sponte</v>
      </c>
      <c r="B2938" s="93"/>
    </row>
    <row r="2939">
      <c r="A2939" s="384" t="str">
        <f>IFERROR(__xludf.DUMMYFUNCTION("""COMPUTED_VALUE"""),"Massilde Martins Da Costa | Neuropsicopedagogia Clínica | Aprovada | Edilaine: Foram enviadas orientações do curso de Neuropsicopedagogia Clínica, portanto o estágio tem somente 60 horas e deve ser corrigido conforme as orientações enviadas. -- Falta rela"&amp;"tório de observação, falta o termo de conclusão, tem rasura na ficha de registro, tem que especificar a data na ficha de registro.// Alexsiane: pré aprovado, autorizado a autenticar //Júnio: aprovada: 18/05/23")</f>
        <v>Massilde Martins Da Costa | Neuropsicopedagogia Clínica | Aprovada | Edilaine: Foram enviadas orientações do curso de Neuropsicopedagogia Clínica, portanto o estágio tem somente 60 horas e deve ser corrigido conforme as orientações enviadas. -- Falta relatório de observação, falta o termo de conclusão, tem rasura na ficha de registro, tem que especificar a data na ficha de registro.// Alexsiane: pré aprovado, autorizado a autenticar //Júnio: aprovada: 18/05/23</v>
      </c>
      <c r="B2939" s="93"/>
    </row>
    <row r="2940">
      <c r="A2940" s="384" t="str">
        <f>IFERROR(__xludf.DUMMYFUNCTION("""COMPUTED_VALUE"""),"Mateus Henrique Pinheiro | Pedagogia | aprovado | Aline Silva: 30 planos de aulas aprovados, conforme orientação da Diretora Ana Lúcia")</f>
        <v>Mateus Henrique Pinheiro | Pedagogia | aprovado | Aline Silva: 30 planos de aulas aprovados, conforme orientação da Diretora Ana Lúcia</v>
      </c>
      <c r="B2940" s="93"/>
    </row>
    <row r="2941">
      <c r="A2941" s="384" t="str">
        <f>IFERROR(__xludf.DUMMYFUNCTION("""COMPUTED_VALUE"""),"Mateus Sampaio De Mendonça | Matemática | Em análise | Lucas: Faltou fazer: Capa, resumo, sumario, introdução, etapas 3 e 4, conclusão, referencias.  (Etapas 1 e 2 OK)")</f>
        <v>Mateus Sampaio De Mendonça | Matemática | Em análise | Lucas: Faltou fazer: Capa, resumo, sumario, introdução, etapas 3 e 4, conclusão, referencias.  (Etapas 1 e 2 OK)</v>
      </c>
      <c r="B2941" s="93"/>
    </row>
    <row r="2942">
      <c r="A2942" s="384" t="str">
        <f>IFERROR(__xludf.DUMMYFUNCTION("""COMPUTED_VALUE"""),"Mateus Sampaio De Mendonça | Matemática | Aprovado | Rayssa falta segunda etapa //Alexsiane: pp aprovado 17/09/2024")</f>
        <v>Mateus Sampaio De Mendonça | Matemática | Aprovado | Rayssa falta segunda etapa //Alexsiane: pp aprovado 17/09/2024</v>
      </c>
      <c r="B2942" s="93"/>
    </row>
    <row r="2943">
      <c r="A2943" s="384" t="str">
        <f>IFERROR(__xludf.DUMMYFUNCTION("""COMPUTED_VALUE"""),"Matheus Algarve | Matemática | Aprovado | Júnio: padrão antigo 300 horas - autorizado a recolher assinaturas, 5% plágio em vários trechos// Alexsiane: Pré aprovado dia 09/02/2023 Júnio: aprovado: 05/06/23")</f>
        <v>Matheus Algarve | Matemática | Aprovado | Júnio: padrão antigo 300 horas - autorizado a recolher assinaturas, 5% plágio em vários trechos// Alexsiane: Pré aprovado dia 09/02/2023 Júnio: aprovado: 05/06/23</v>
      </c>
      <c r="B2943" s="93"/>
    </row>
    <row r="2944">
      <c r="A2944" s="384" t="str">
        <f>IFERROR(__xludf.DUMMYFUNCTION("""COMPUTED_VALUE"""),"Matheus Armelin Monti | Pedagogia | Aprovado | Thiara Silva: Aprovado// Miryã: conferido e arquivado 11/03/2021")</f>
        <v>Matheus Armelin Monti | Pedagogia | Aprovado | Thiara Silva: Aprovado// Miryã: conferido e arquivado 11/03/2021</v>
      </c>
      <c r="B2944" s="93"/>
    </row>
    <row r="2945">
      <c r="A2945" s="384" t="str">
        <f>IFERROR(__xludf.DUMMYFUNCTION("""COMPUTED_VALUE"""),"Matheus Bezerra Do Nascimento | Artes Visuais | Aprovado | Júnio: pelo guru declaração de experiencia válida //Júnio: aprovado: 05/09/23")</f>
        <v>Matheus Bezerra Do Nascimento | Artes Visuais | Aprovado | Júnio: pelo guru declaração de experiencia válida //Júnio: aprovado: 05/09/23</v>
      </c>
      <c r="B2945" s="93"/>
    </row>
    <row r="2946">
      <c r="A2946" s="384" t="str">
        <f>IFERROR(__xludf.DUMMYFUNCTION("""COMPUTED_VALUE"""),"Matheus Rodrigues Magalhães | Matematica | Aprovado | Júnio: Falta referencias bibliograficas e enviar digitado as etapas dissertativas. //Júnio: pré aprovado: 15/05/23 //Júnio: aprovado: 16/05/23")</f>
        <v>Matheus Rodrigues Magalhães | Matematica | Aprovado | Júnio: Falta referencias bibliograficas e enviar digitado as etapas dissertativas. //Júnio: pré aprovado: 15/05/23 //Júnio: aprovado: 16/05/23</v>
      </c>
      <c r="B2946" s="93"/>
    </row>
    <row r="2947">
      <c r="A2947" s="384" t="str">
        <f>IFERROR(__xludf.DUMMYFUNCTION("""COMPUTED_VALUE"""),"Matias Alvarez De Mesquita | Artes Visuais | Aprovado | Júnio: pré aprovado //Junio: aprovado: 25/05/2023")</f>
        <v>Matias Alvarez De Mesquita | Artes Visuais | Aprovado | Júnio: pré aprovado //Junio: aprovado: 25/05/2023</v>
      </c>
      <c r="B2947" s="93"/>
    </row>
    <row r="2948">
      <c r="A2948" s="384" t="str">
        <f>IFERROR(__xludf.DUMMYFUNCTION("""COMPUTED_VALUE"""),"Matias Rebouças Cunha | Letras Português | Aprovado | Júnio: pré aprovado //Junio: aprovado: 29/06/2023")</f>
        <v>Matias Rebouças Cunha | Letras Português | Aprovado | Júnio: pré aprovado //Junio: aprovado: 29/06/2023</v>
      </c>
      <c r="B2948" s="93"/>
    </row>
    <row r="2949">
      <c r="A2949" s="384" t="str">
        <f>IFERROR(__xludf.DUMMYFUNCTION("""COMPUTED_VALUE"""),"Matias Sousa De Castro | História | Aprovado | Júnio: pre aprovado PRAZO: 20/05/23 //Júnio: aprovado: 18/05/23")</f>
        <v>Matias Sousa De Castro | História | Aprovado | Júnio: pre aprovado PRAZO: 20/05/23 //Júnio: aprovado: 18/05/23</v>
      </c>
      <c r="B2949" s="93"/>
    </row>
    <row r="2950">
      <c r="A2950" s="384" t="str">
        <f>IFERROR(__xludf.DUMMYFUNCTION("""COMPUTED_VALUE"""),"Matilde Aprecida Esser Das Neves | Pedagogia | Aprovada | Bárbara: aprovada nas 3 primeiras etapas do remoto //Barbara: aprovada na 4º etapa 09/04/2021")</f>
        <v>Matilde Aprecida Esser Das Neves | Pedagogia | Aprovada | Bárbara: aprovada nas 3 primeiras etapas do remoto //Barbara: aprovada na 4º etapa 09/04/2021</v>
      </c>
      <c r="B2950" s="93"/>
    </row>
    <row r="2951">
      <c r="A2951" s="384" t="str">
        <f>IFERROR(__xludf.DUMMYFUNCTION("""COMPUTED_VALUE"""),"Matilde Soares Da Silva | Pedagogia | Aprovada | Júnio: PP 5 ETAPAS- falta a entrevista em forma de perguntas e respostas e carta de apresentação. PRAZO: 05/09/23 //Júnio: aprovada: 01/09/23")</f>
        <v>Matilde Soares Da Silva | Pedagogia | Aprovada | Júnio: PP 5 ETAPAS- falta a entrevista em forma de perguntas e respostas e carta de apresentação. PRAZO: 05/09/23 //Júnio: aprovada: 01/09/23</v>
      </c>
      <c r="B2951" s="93"/>
    </row>
    <row r="2952">
      <c r="A2952" s="384" t="str">
        <f>IFERROR(__xludf.DUMMYFUNCTION("""COMPUTED_VALUE"""),"Maura Aparecida Da Silva Serapião | Artes Visuais | Aprovada | Bianca: aprovada")</f>
        <v>Maura Aparecida Da Silva Serapião | Artes Visuais | Aprovada | Bianca: aprovada</v>
      </c>
      <c r="B2952" s="93"/>
    </row>
    <row r="2953">
      <c r="A2953" s="384" t="str">
        <f>IFERROR(__xludf.DUMMYFUNCTION("""COMPUTED_VALUE"""),"Mauricio Aires Vieira | Pedagogia | Aprovado | Alexsiane: pp aprovado")</f>
        <v>Mauricio Aires Vieira | Pedagogia | Aprovado | Alexsiane: pp aprovado</v>
      </c>
      <c r="B2953" s="93"/>
    </row>
    <row r="2954">
      <c r="A2954" s="384" t="str">
        <f>IFERROR(__xludf.DUMMYFUNCTION("""COMPUTED_VALUE"""),"Maurício Aires Vieira | Pedagogia | Em análise | Bianca: autorizada a recolher assinaturas")</f>
        <v>Maurício Aires Vieira | Pedagogia | Em análise | Bianca: autorizada a recolher assinaturas</v>
      </c>
      <c r="B2954" s="93"/>
    </row>
    <row r="2955">
      <c r="A2955" s="384" t="str">
        <f>IFERROR(__xludf.DUMMYFUNCTION("""COMPUTED_VALUE"""),"Mauricio Angelo Assis Rabelo | Pedagogia Para Bacharéis E Tecnólogos | Em análise | Júnio: PP: falta a carta de apresentação e entrevista PCCs: deve enviar em word digitado.")</f>
        <v>Mauricio Angelo Assis Rabelo | Pedagogia Para Bacharéis E Tecnólogos | Em análise | Júnio: PP: falta a carta de apresentação e entrevista PCCs: deve enviar em word digitado.</v>
      </c>
      <c r="B2955" s="93"/>
    </row>
    <row r="2956">
      <c r="A2956" s="384" t="str">
        <f>IFERROR(__xludf.DUMMYFUNCTION("""COMPUTED_VALUE"""),"Maurício Da Costa Lyra | Música | Aprovado | Júnio: PP aprovado")</f>
        <v>Maurício Da Costa Lyra | Música | Aprovado | Júnio: PP aprovado</v>
      </c>
      <c r="B2956" s="93"/>
    </row>
    <row r="2957">
      <c r="A2957" s="384" t="str">
        <f>IFERROR(__xludf.DUMMYFUNCTION("""COMPUTED_VALUE"""),"Mauricio De Arimathea Dias | Segunda Licenciatura Em Pedagogia | Aprovado | Alexsiane: pp aprovado")</f>
        <v>Mauricio De Arimathea Dias | Segunda Licenciatura Em Pedagogia | Aprovado | Alexsiane: pp aprovado</v>
      </c>
      <c r="B2957" s="93"/>
    </row>
    <row r="2958">
      <c r="A2958" s="384" t="str">
        <f>IFERROR(__xludf.DUMMYFUNCTION("""COMPUTED_VALUE"""),"Mauricio De Sousa Dias | Ciências Biológica | Aprovado | Alexsiane: pp aprovado")</f>
        <v>Mauricio De Sousa Dias | Ciências Biológica | Aprovado | Alexsiane: pp aprovado</v>
      </c>
      <c r="B2958" s="93"/>
    </row>
    <row r="2959">
      <c r="A2959" s="384" t="str">
        <f>IFERROR(__xludf.DUMMYFUNCTION("""COMPUTED_VALUE"""),"Mauricio Dimas Comisso | Letras/ Portugues | Em analise | Pamela: Falta sumario, plano de aula, relatorio de R/O , autoavaliação, especificar nas fichas  as etaps e falta 40 horas. LEMBRETE: aluno tem novo email: mauriciocomisso@adv.oabsp.org.br")</f>
        <v>Mauricio Dimas Comisso | Letras/ Portugues | Em analise | Pamela: Falta sumario, plano de aula, relatorio de R/O , autoavaliação, especificar nas fichas  as etaps e falta 40 horas. LEMBRETE: aluno tem novo email: mauriciocomisso@adv.oabsp.org.br</v>
      </c>
      <c r="B2959" s="93"/>
    </row>
    <row r="2960">
      <c r="A2960" s="384" t="str">
        <f>IFERROR(__xludf.DUMMYFUNCTION("""COMPUTED_VALUE"""),"Maurício Fogli Cruzeiro Machado | Pedagogia Para Bacharéis E Tecnólogos | Em análise | Alexsiane:PP falta a carta de apresentação e falta todas as etapas das Práticas Componentes Curriculares ")</f>
        <v>Maurício Fogli Cruzeiro Machado | Pedagogia Para Bacharéis E Tecnólogos | Em análise | Alexsiane:PP falta a carta de apresentação e falta todas as etapas das Práticas Componentes Curriculares </v>
      </c>
      <c r="B2960" s="93"/>
    </row>
    <row r="2961">
      <c r="A2961" s="384" t="str">
        <f>IFERROR(__xludf.DUMMYFUNCTION("""COMPUTED_VALUE"""),"Max Andrey Barbosa Dos Santos | Ed. Física | Aprovado | Aline Silva: recolher assinaturas // Bárbara: aprovado 07/01/2021// Bárbara: conferido e arquivado 03/03/2021")</f>
        <v>Max Andrey Barbosa Dos Santos | Ed. Física | Aprovado | Aline Silva: recolher assinaturas // Bárbara: aprovado 07/01/2021// Bárbara: conferido e arquivado 03/03/2021</v>
      </c>
      <c r="B2961" s="93"/>
    </row>
    <row r="2962">
      <c r="A2962" s="384" t="str">
        <f>IFERROR(__xludf.DUMMYFUNCTION("""COMPUTED_VALUE"""),"Maxwel Carlos De Oliveira | Pedagogia | Aprovado | Aline Silva: declaração de exp., intro., Obje, dados gerais, conclusão e refe. Ok // Bárbara: aprovado 03/12/2020// Bárbara: conferido e arquivado 22/12/2020")</f>
        <v>Maxwel Carlos De Oliveira | Pedagogia | Aprovado | Aline Silva: declaração de exp., intro., Obje, dados gerais, conclusão e refe. Ok // Bárbara: aprovado 03/12/2020// Bárbara: conferido e arquivado 22/12/2020</v>
      </c>
      <c r="B2962" s="93"/>
    </row>
    <row r="2963">
      <c r="A2963" s="384" t="str">
        <f>IFERROR(__xludf.DUMMYFUNCTION("""COMPUTED_VALUE"""),"Mayara Da Costa Campos | Matemática | Aprovado | Alexsiane: pp tem que complementar a etapa 1, restante ok 13/08 enviar//Alexsiane: pp aprovado")</f>
        <v>Mayara Da Costa Campos | Matemática | Aprovado | Alexsiane: pp tem que complementar a etapa 1, restante ok 13/08 enviar//Alexsiane: pp aprovado</v>
      </c>
      <c r="B2963" s="93"/>
    </row>
    <row r="2964">
      <c r="A2964" s="384" t="str">
        <f>IFERROR(__xludf.DUMMYFUNCTION("""COMPUTED_VALUE"""),"Mayara De Lima | Pedagogia | Aprovado | Bianca: aprovada nas 4 etapas do remoto atualizado //Júnio: conferido e arquivado: 14/01/2022")</f>
        <v>Mayara De Lima | Pedagogia | Aprovado | Bianca: aprovada nas 4 etapas do remoto atualizado //Júnio: conferido e arquivado: 14/01/2022</v>
      </c>
      <c r="B2964" s="93"/>
    </row>
    <row r="2965">
      <c r="A2965" s="384" t="str">
        <f>IFERROR(__xludf.DUMMYFUNCTION("""COMPUTED_VALUE"""),"Mayara De Souza Silva | Letras - Português | Aprovado | Alexsiane: pp aprovado")</f>
        <v>Mayara De Souza Silva | Letras - Português | Aprovado | Alexsiane: pp aprovado</v>
      </c>
      <c r="B2965" s="93"/>
    </row>
    <row r="2966">
      <c r="A2966" s="384" t="str">
        <f>IFERROR(__xludf.DUMMYFUNCTION("""COMPUTED_VALUE"""),"Maycon Alves Dos Santos | Formação Pedagógica em Pedagogia | Aprovado | Rayssa: pp aprovado")</f>
        <v>Maycon Alves Dos Santos | Formação Pedagógica em Pedagogia | Aprovado | Rayssa: pp aprovado</v>
      </c>
      <c r="B2966" s="93"/>
    </row>
    <row r="2967">
      <c r="A2967" s="384" t="str">
        <f>IFERROR(__xludf.DUMMYFUNCTION("""COMPUTED_VALUE"""),"Maylson Renan Antonio Oliveira | Segunda Licenciatura Em Artes Visuais | Aprovado | Alexsiane: pp aprovado")</f>
        <v>Maylson Renan Antonio Oliveira | Segunda Licenciatura Em Artes Visuais | Aprovado | Alexsiane: pp aprovado</v>
      </c>
      <c r="B2967" s="93"/>
    </row>
    <row r="2968">
      <c r="A2968" s="384" t="str">
        <f>IFERROR(__xludf.DUMMYFUNCTION("""COMPUTED_VALUE"""),"Mayres Da Silva Araújo Ribeiro | Ciências Sociais | Aprovada | Júnio: PP aprovada")</f>
        <v>Mayres Da Silva Araújo Ribeiro | Ciências Sociais | Aprovada | Júnio: PP aprovada</v>
      </c>
      <c r="B2968" s="93"/>
    </row>
    <row r="2969">
      <c r="A2969" s="384" t="str">
        <f>IFERROR(__xludf.DUMMYFUNCTION("""COMPUTED_VALUE"""),"Maysa Silva Oliveira Tesarotto | Letras Português Inglês | Aprovada | Bianca: autorizada a recolher assinaturas// aprovada em 29/11/21 nas 4 etapas do remoto atualizado // Lucas: conferido e arquivado 04/01/2022  ")</f>
        <v>Maysa Silva Oliveira Tesarotto | Letras Português Inglês | Aprovada | Bianca: autorizada a recolher assinaturas// aprovada em 29/11/21 nas 4 etapas do remoto atualizado // Lucas: conferido e arquivado 04/01/2022  </v>
      </c>
      <c r="B2969" s="93"/>
    </row>
    <row r="2970">
      <c r="A2970" s="384" t="str">
        <f>IFERROR(__xludf.DUMMYFUNCTION("""COMPUTED_VALUE"""),"Medsan Oviniski Lucas | Artes Visuais | Aprovada | Bárbara: aprovada nas 3 primeiras etapas do remoto, aguardando a 4 // Bianca: aprovada 15/04")</f>
        <v>Medsan Oviniski Lucas | Artes Visuais | Aprovada | Bárbara: aprovada nas 3 primeiras etapas do remoto, aguardando a 4 // Bianca: aprovada 15/04</v>
      </c>
      <c r="B2970" s="93"/>
    </row>
    <row r="2971">
      <c r="A2971" s="384" t="str">
        <f>IFERROR(__xludf.DUMMYFUNCTION("""COMPUTED_VALUE"""),"Megg Madonyk Cota Elias Carvalho | Matemática | Aprovada | Bárbara: aluna aprovada nas 3 priimeiras etapas do remoto, e na 4ª apresentou declaração de experiência válida.// Miryã: conferido e aprovado 10/03/2021")</f>
        <v>Megg Madonyk Cota Elias Carvalho | Matemática | Aprovada | Bárbara: aluna aprovada nas 3 priimeiras etapas do remoto, e na 4ª apresentou declaração de experiência válida.// Miryã: conferido e aprovado 10/03/2021</v>
      </c>
      <c r="B2971" s="93"/>
    </row>
    <row r="2972">
      <c r="A2972" s="384" t="str">
        <f>IFERROR(__xludf.DUMMYFUNCTION("""COMPUTED_VALUE"""),"Meirilane Braga Rodrigues | Neuropsicopedagogia Institucional,Clínica E Hospitalar | Aprovada | Alexsiane: plágio total cópiado de THAIS FERNANDA PEREIRA RODRIGUES até dia 02/07/2022 para reenviar// Alexsiane:  aprovado com lançamento no sponte (remoto)")</f>
        <v>Meirilane Braga Rodrigues | Neuropsicopedagogia Institucional,Clínica E Hospitalar | Aprovada | Alexsiane: plágio total cópiado de THAIS FERNANDA PEREIRA RODRIGUES até dia 02/07/2022 para reenviar// Alexsiane:  aprovado com lançamento no sponte (remoto)</v>
      </c>
      <c r="B2972" s="93"/>
    </row>
    <row r="2973">
      <c r="A2973" s="384" t="str">
        <f>IFERROR(__xludf.DUMMYFUNCTION("""COMPUTED_VALUE"""),"Meiry Hellen Rocha Ferreira De Oliveira | História | Aprovada | Bianca: aprovada nas 4 etapas do remoto Antigo")</f>
        <v>Meiry Hellen Rocha Ferreira De Oliveira | História | Aprovada | Bianca: aprovada nas 4 etapas do remoto Antigo</v>
      </c>
      <c r="B2973" s="93"/>
    </row>
    <row r="2974">
      <c r="A2974" s="384" t="str">
        <f>IFERROR(__xludf.DUMMYFUNCTION("""COMPUTED_VALUE"""),"Meiry Hellen Rocha Ferreira De Oliveira | Pedagogia Para Bachareis E Tecnólogos | Em análise | Júnio: PP - falta a carta e entrevista PCCs: falta enviar")</f>
        <v>Meiry Hellen Rocha Ferreira De Oliveira | Pedagogia Para Bachareis E Tecnólogos | Em análise | Júnio: PP - falta a carta e entrevista PCCs: falta enviar</v>
      </c>
      <c r="B2974" s="93"/>
    </row>
    <row r="2975">
      <c r="A2975" s="384" t="str">
        <f>IFERROR(__xludf.DUMMYFUNCTION("""COMPUTED_VALUE"""),"Meiry Hellen Rocha Ferreira De Oliveira | Pedagogia | Aprovado | Cristiane: pp aprovado ( Alexsiane - obs: lançando na planilha hoje pois a Cristiane aprovou e não lançou - protocolo 6102)")</f>
        <v>Meiry Hellen Rocha Ferreira De Oliveira | Pedagogia | Aprovado | Cristiane: pp aprovado ( Alexsiane - obs: lançando na planilha hoje pois a Cristiane aprovou e não lançou - protocolo 6102)</v>
      </c>
      <c r="B2975" s="93"/>
    </row>
    <row r="2976">
      <c r="A2976" s="384" t="str">
        <f>IFERROR(__xludf.DUMMYFUNCTION("""COMPUTED_VALUE"""),"Mel Santos Tessaro | Neuropsicopedagogia Institucional,Clínica E Hospitalar | Aprovada | Lucas: estagio aprovado remoto novo")</f>
        <v>Mel Santos Tessaro | Neuropsicopedagogia Institucional,Clínica E Hospitalar | Aprovada | Lucas: estagio aprovado remoto novo</v>
      </c>
      <c r="B2976" s="93"/>
    </row>
    <row r="2977">
      <c r="A2977" s="384" t="str">
        <f>IFERROR(__xludf.DUMMYFUNCTION("""COMPUTED_VALUE"""),"Mel Santos Tessaro | Pedagogia | Aprovada | Júnio: PP - 31% plágio e falta responder o questionario// Júnio: PP - aprovado")</f>
        <v>Mel Santos Tessaro | Pedagogia | Aprovada | Júnio: PP - 31% plágio e falta responder o questionario// Júnio: PP - aprovado</v>
      </c>
      <c r="B2977" s="93"/>
    </row>
    <row r="2978">
      <c r="A2978" s="384" t="str">
        <f>IFERROR(__xludf.DUMMYFUNCTION("""COMPUTED_VALUE"""),"Melindre Souza Fajardo | Artes Visuais | Aprovada | Júnio: aprovado no estágio padrão - fez uma mistura do estágio padrão com o remoto")</f>
        <v>Melindre Souza Fajardo | Artes Visuais | Aprovada | Júnio: aprovado no estágio padrão - fez uma mistura do estágio padrão com o remoto</v>
      </c>
      <c r="B2978" s="93"/>
    </row>
    <row r="2979">
      <c r="A2979" s="384" t="str">
        <f>IFERROR(__xludf.DUMMYFUNCTION("""COMPUTED_VALUE"""),"Mercedes Batista Genebra | Artes Visuais | Em análise | Bianca: aprovado apenas na 3ª etapa do remoto atualizado")</f>
        <v>Mercedes Batista Genebra | Artes Visuais | Em análise | Bianca: aprovado apenas na 3ª etapa do remoto atualizado</v>
      </c>
      <c r="B2979" s="93"/>
    </row>
    <row r="2980">
      <c r="A2980" s="384" t="str">
        <f>IFERROR(__xludf.DUMMYFUNCTION("""COMPUTED_VALUE"""),"Meri Elen Baptista Himpel | Pedagogia | Aprovada | Bianca: Falta sumário, introdução, considerações finais e referências.// Bianca: aprovada nas 4 etapas do remoto antigo.")</f>
        <v>Meri Elen Baptista Himpel | Pedagogia | Aprovada | Bianca: Falta sumário, introdução, considerações finais e referências.// Bianca: aprovada nas 4 etapas do remoto antigo.</v>
      </c>
      <c r="B2980" s="93"/>
    </row>
    <row r="2981">
      <c r="A2981" s="384" t="str">
        <f>IFERROR(__xludf.DUMMYFUNCTION("""COMPUTED_VALUE"""),"Merioni Martins Musolari | História | Aprovada | Bianca: remoto antigo, aprovada")</f>
        <v>Merioni Martins Musolari | História | Aprovada | Bianca: remoto antigo, aprovada</v>
      </c>
      <c r="B2981" s="93"/>
    </row>
    <row r="2982">
      <c r="A2982" s="384" t="str">
        <f>IFERROR(__xludf.DUMMYFUNCTION("""COMPUTED_VALUE"""),"Merison Virgìnia Gil Mello Carmo | Arteterapia | Em análise | Júnio: 47% plágio, consertar resumo, margens, fazer conclusão")</f>
        <v>Merison Virgìnia Gil Mello Carmo | Arteterapia | Em análise | Júnio: 47% plágio, consertar resumo, margens, fazer conclusão</v>
      </c>
      <c r="B2982" s="93"/>
    </row>
    <row r="2983">
      <c r="A2983" s="384" t="str">
        <f>IFERROR(__xludf.DUMMYFUNCTION("""COMPUTED_VALUE"""),"Mesiuda Lima De Carvalho Costa | 2ª Licenc. Pedagogia | Aprovada | Cris:PP aprovado")</f>
        <v>Mesiuda Lima De Carvalho Costa | 2ª Licenc. Pedagogia | Aprovada | Cris:PP aprovado</v>
      </c>
      <c r="B2983" s="93"/>
    </row>
    <row r="2984">
      <c r="A2984" s="384" t="str">
        <f>IFERROR(__xludf.DUMMYFUNCTION("""COMPUTED_VALUE"""),"Meyre Hellen Rocha Ferreira | Pedagogia Para Bacharéis | Aprovada | Cris: Aprovada PCC")</f>
        <v>Meyre Hellen Rocha Ferreira | Pedagogia Para Bacharéis | Aprovada | Cris: Aprovada PCC</v>
      </c>
      <c r="B2984" s="93"/>
    </row>
    <row r="2985">
      <c r="A2985" s="384" t="str">
        <f>IFERROR(__xludf.DUMMYFUNCTION("""COMPUTED_VALUE"""),"Michel De Almeida Gonçalves | Música | Aprovado | Júnio: PP - falta responder o questionário. /// Aluno enviou um print da plataforma que consta que o o curso iniciou na verdade é em 25/04/23 ///Júnio: aprovado: 13/11/23")</f>
        <v>Michel De Almeida Gonçalves | Música | Aprovado | Júnio: PP - falta responder o questionário. /// Aluno enviou um print da plataforma que consta que o o curso iniciou na verdade é em 25/04/23 ///Júnio: aprovado: 13/11/23</v>
      </c>
      <c r="B2985" s="93"/>
    </row>
    <row r="2986">
      <c r="A2986" s="384" t="str">
        <f>IFERROR(__xludf.DUMMYFUNCTION("""COMPUTED_VALUE"""),"Michele Amanda Ribas Rodrigues | Pedagogia Para Bacharéis | Em análise | Alexsiane: pp tem que enviar a entrevista e falta os pccs extensão até 11/10/24")</f>
        <v>Michele Amanda Ribas Rodrigues | Pedagogia Para Bacharéis | Em análise | Alexsiane: pp tem que enviar a entrevista e falta os pccs extensão até 11/10/24</v>
      </c>
      <c r="B2986" s="93"/>
    </row>
    <row r="2987">
      <c r="A2987" s="384" t="str">
        <f>IFERROR(__xludf.DUMMYFUNCTION("""COMPUTED_VALUE"""),"Michele Bertotti | Educação Física | aprovada | Aline: aprovada no remoto. Apresentou aula online para a 4ª etapa")</f>
        <v>Michele Bertotti | Educação Física | aprovada | Aline: aprovada no remoto. Apresentou aula online para a 4ª etapa</v>
      </c>
      <c r="B2987" s="93"/>
    </row>
    <row r="2988">
      <c r="A2988" s="384" t="str">
        <f>IFERROR(__xludf.DUMMYFUNCTION("""COMPUTED_VALUE"""),"Michele Bertotti | Geografia | Pré aprovado | Bárbara: remoto atualizado, etapa 1 e 2 ok, falta etapa 3, etapa 4 fichas faltando tipo de acompanhamento, TC E CA  e faltando também relatório da 4ª etapa. //Alexsiane: pré aprovado com lançamento no sponte 1"&amp;"9/07/2022")</f>
        <v>Michele Bertotti | Geografia | Pré aprovado | Bárbara: remoto atualizado, etapa 1 e 2 ok, falta etapa 3, etapa 4 fichas faltando tipo de acompanhamento, TC E CA  e faltando também relatório da 4ª etapa. //Alexsiane: pré aprovado com lançamento no sponte 19/07/2022</v>
      </c>
      <c r="B2988" s="93"/>
    </row>
    <row r="2989">
      <c r="A2989" s="384" t="str">
        <f>IFERROR(__xludf.DUMMYFUNCTION("""COMPUTED_VALUE"""),"Michele De Araújo Lima Cruz | Form. Pedagógica Pedagogia | Aprovada | Cris: PP aprovado")</f>
        <v>Michele De Araújo Lima Cruz | Form. Pedagógica Pedagogia | Aprovada | Cris: PP aprovado</v>
      </c>
      <c r="B2989" s="93"/>
    </row>
    <row r="2990">
      <c r="A2990" s="384" t="str">
        <f>IFERROR(__xludf.DUMMYFUNCTION("""COMPUTED_VALUE"""),"Michele Tiemi Takano Aoki | Pedagogia | Aprovado | Alexsiane: pp aprovado")</f>
        <v>Michele Tiemi Takano Aoki | Pedagogia | Aprovado | Alexsiane: pp aprovado</v>
      </c>
      <c r="B2990" s="93"/>
    </row>
    <row r="2991">
      <c r="A2991" s="384" t="str">
        <f>IFERROR(__xludf.DUMMYFUNCTION("""COMPUTED_VALUE"""),"Michelle Beatriz Rocha | Neuropsicopedagogia Institucional,Clínica E Hospitalar | Em análise  | Alexsiane: 14% de plágio, especificar nas fichas o tipo de acompanhamento, completar com mais 50 horas, fazer o sumário, preencher a carta de aceite e encaminh"&amp;"ar o termo de conclusão preenchido e escaneado")</f>
        <v>Michelle Beatriz Rocha | Neuropsicopedagogia Institucional,Clínica E Hospitalar | Em análise  | Alexsiane: 14% de plágio, especificar nas fichas o tipo de acompanhamento, completar com mais 50 horas, fazer o sumário, preencher a carta de aceite e encaminhar o termo de conclusão preenchido e escaneado</v>
      </c>
      <c r="B2991" s="93"/>
    </row>
    <row r="2992">
      <c r="A2992" s="384" t="str">
        <f>IFERROR(__xludf.DUMMYFUNCTION("""COMPUTED_VALUE"""),"Michelle Beatriz Rocha | Pedagogia 800 Hrs | Aprovada | Alexsiane; Estágio I-•Objetivos gerais e específicos do estágio,•Dados gerais da escola,Relatório de regência•Relatório de observação,Autoavaliação,especificar o tema, serie, corrigir a carga horaroa"&amp;" diaria dom dia 16/06 que ultrapassou 6 hrs p/dia sem plágio. Estágio II-  Objetivos gerais e específicos do estágio,1 Plano de aula,Relatório de regência•Relatório de observação,autoavaliação e especificar o tema, serie e tipo de acompanhamento nas ficha"&amp;"s de registro. 4,71% de plágio. Estágio III-Objetivos gerais e específicos,relatório da gestão, autoavaliação,colocar ios dias em quadrados separados nas fichas de registro, e especificar o tema nas fichas sem plágio. Estágio IV Objetivos gerais e específ"&amp;"icos do estágio,•Dados gerais da escola,Relatório de regência •Relatório de observação,Autoavaliação, 1 plano de aula e especificar o tema e o tipo de acompanhamento nas fichas de registro 25,82% de plágio. Pratica I- Falta epigrafe, sumario, consideraçõe"&amp;"s finais, fazer a tabelinha c/100 horas(ecaminhou a fichas de registro) PLÁGIO TOTAL. Pratica II- não feaz. Pratica III- Falta epigrafe e sumario e Pratica IV- não fez Júnio: pré aprovada: 01/06/23 //Júnio: aprovada: 07/06/23")</f>
        <v>Michelle Beatriz Rocha | Pedagogia 800 Hrs | Aprovada | Alexsiane; Estágio I-•Objetivos gerais e específicos do estágio,•Dados gerais da escola,Relatório de regência•Relatório de observação,Autoavaliação,especificar o tema, serie, corrigir a carga horaroa diaria dom dia 16/06 que ultrapassou 6 hrs p/dia sem plágio. Estágio II-  Objetivos gerais e específicos do estágio,1 Plano de aula,Relatório de regência•Relatório de observação,autoavaliação e especificar o tema, serie e tipo de acompanhamento nas fichas de registro. 4,71% de plágio. Estágio III-Objetivos gerais e específicos,relatório da gestão, autoavaliação,colocar ios dias em quadrados separados nas fichas de registro, e especificar o tema nas fichas sem plágio. Estágio IV Objetivos gerais e específicos do estágio,•Dados gerais da escola,Relatório de regência •Relatório de observação,Autoavaliação, 1 plano de aula e especificar o tema e o tipo de acompanhamento nas fichas de registro 25,82% de plágio. Pratica I- Falta epigrafe, sumario, considerações finais, fazer a tabelinha c/100 horas(ecaminhou a fichas de registro) PLÁGIO TOTAL. Pratica II- não feaz. Pratica III- Falta epigrafe e sumario e Pratica IV- não fez Júnio: pré aprovada: 01/06/23 //Júnio: aprovada: 07/06/23</v>
      </c>
      <c r="B2992" s="93"/>
    </row>
    <row r="2993">
      <c r="A2993" s="384" t="str">
        <f>IFERROR(__xludf.DUMMYFUNCTION("""COMPUTED_VALUE"""),"Michelle Cherollen Ribeiro Nunes | História | Aprovado | Alexsiane: falta auto avaliação, referências e especificar as série em que pleiteiam o estágio até 01/09 para reenviar ///// Edilaine: Pré- aprovada 04/01/2023//Alexsiane: conferido é arquivado 24/0"&amp;"2/2023")</f>
        <v>Michelle Cherollen Ribeiro Nunes | História | Aprovado | Alexsiane: falta auto avaliação, referências e especificar as série em que pleiteiam o estágio até 01/09 para reenviar ///// Edilaine: Pré- aprovada 04/01/2023//Alexsiane: conferido é arquivado 24/02/2023</v>
      </c>
      <c r="B2993" s="93"/>
    </row>
    <row r="2994">
      <c r="A2994" s="384" t="str">
        <f>IFERROR(__xludf.DUMMYFUNCTION("""COMPUTED_VALUE"""),"Michelle Dantas Ferreira | Pedagogia | Aprovado | Aline Silva: aprovado, recolher assinaturas // Bárbara: conferido e arquivado")</f>
        <v>Michelle Dantas Ferreira | Pedagogia | Aprovado | Aline Silva: aprovado, recolher assinaturas // Bárbara: conferido e arquivado</v>
      </c>
      <c r="B2994" s="93"/>
    </row>
    <row r="2995">
      <c r="A2995" s="384" t="str">
        <f>IFERROR(__xludf.DUMMYFUNCTION("""COMPUTED_VALUE"""),"Michelle Navas Dos Reis | Neuropsicopedagogia Institucional,Clínica E Hospitalar | Aprovada | Alexsiane: aprovada no estágio remoto com lançamento o sponte (sem fichas)")</f>
        <v>Michelle Navas Dos Reis | Neuropsicopedagogia Institucional,Clínica E Hospitalar | Aprovada | Alexsiane: aprovada no estágio remoto com lançamento o sponte (sem fichas)</v>
      </c>
      <c r="B2995" s="93"/>
    </row>
    <row r="2996">
      <c r="A2996" s="384" t="str">
        <f>IFERROR(__xludf.DUMMYFUNCTION("""COMPUTED_VALUE"""),"Michelly Patrícia Mafra | Pedagogia | Aprovada | Bárbara: aprovado as 3 primeiras, aguardando a 4ª etapa;// Bárbara: aprovada 4ª etapa 28/10/2020")</f>
        <v>Michelly Patrícia Mafra | Pedagogia | Aprovada | Bárbara: aprovado as 3 primeiras, aguardando a 4ª etapa;// Bárbara: aprovada 4ª etapa 28/10/2020</v>
      </c>
      <c r="B2996" s="93"/>
    </row>
    <row r="2997">
      <c r="A2997" s="384" t="str">
        <f>IFERROR(__xludf.DUMMYFUNCTION("""COMPUTED_VALUE"""),"Midiã Silva Góes | Pedagogia | Em análise | Bianca: aprovada nas 3 primeiras etapas do remoto antigo")</f>
        <v>Midiã Silva Góes | Pedagogia | Em análise | Bianca: aprovada nas 3 primeiras etapas do remoto antigo</v>
      </c>
      <c r="B2997" s="93"/>
    </row>
    <row r="2998">
      <c r="A2998" s="384" t="str">
        <f>IFERROR(__xludf.DUMMYFUNCTION("""COMPUTED_VALUE"""),"Miguel Sanchez Batista Junior | Pedagogia | Aprovado | Aline: aprovada nas 3 primeiras etapas, aguardando a última. // Bárbara: aprovado na 4ª etapa 11/11/2020")</f>
        <v>Miguel Sanchez Batista Junior | Pedagogia | Aprovado | Aline: aprovada nas 3 primeiras etapas, aguardando a última. // Bárbara: aprovado na 4ª etapa 11/11/2020</v>
      </c>
      <c r="B2998" s="93"/>
    </row>
    <row r="2999">
      <c r="A2999" s="384" t="str">
        <f>IFERROR(__xludf.DUMMYFUNCTION("""COMPUTED_VALUE"""),"Mikaele De Brito Lima | Pedagogia | Aprovada | Júnio: remoto antigo - 9% plágio, falta etapa 4 //PRAZO 10 DIAS: 15/04/22 //Júnio:aprovada: 08/06/22")</f>
        <v>Mikaele De Brito Lima | Pedagogia | Aprovada | Júnio: remoto antigo - 9% plágio, falta etapa 4 //PRAZO 10 DIAS: 15/04/22 //Júnio:aprovada: 08/06/22</v>
      </c>
      <c r="B2999" s="93"/>
    </row>
    <row r="3000">
      <c r="A3000" s="384" t="str">
        <f>IFERROR(__xludf.DUMMYFUNCTION("""COMPUTED_VALUE"""),"Milena Maimone Castilho | Música | Aprovado | Alexsiane: pp com 9% de plágio//Alexsiane: pp aprovado")</f>
        <v>Milena Maimone Castilho | Música | Aprovado | Alexsiane: pp com 9% de plágio//Alexsiane: pp aprovado</v>
      </c>
      <c r="B3000" s="93"/>
    </row>
    <row r="3001">
      <c r="A3001" s="384" t="str">
        <f>IFERROR(__xludf.DUMMYFUNCTION("""COMPUTED_VALUE"""),"Milena Setsue Kamikado Florindo | História | Aprovada | Júnio: faltam 20 hs nas fichas //Júnio: pré aprovada: 14/07/23 //Júnio: aprovada: 21/07/23")</f>
        <v>Milena Setsue Kamikado Florindo | História | Aprovada | Júnio: faltam 20 hs nas fichas //Júnio: pré aprovada: 14/07/23 //Júnio: aprovada: 21/07/23</v>
      </c>
      <c r="B3001" s="93"/>
    </row>
    <row r="3002">
      <c r="A3002" s="384" t="str">
        <f>IFERROR(__xludf.DUMMYFUNCTION("""COMPUTED_VALUE"""),"Milena Silva Rocha | Neuropsicopedagogia Institucional, Clínica E Hospitalar | Aprovado | Lucas: Aprovada no TCE, aguardando envio físico.  //Júnio: conferido e arquivado: 28/01/22")</f>
        <v>Milena Silva Rocha | Neuropsicopedagogia Institucional, Clínica E Hospitalar | Aprovado | Lucas: Aprovada no TCE, aguardando envio físico.  //Júnio: conferido e arquivado: 28/01/22</v>
      </c>
      <c r="B3002" s="93"/>
    </row>
    <row r="3003">
      <c r="A3003" s="384" t="str">
        <f>IFERROR(__xludf.DUMMYFUNCTION("""COMPUTED_VALUE"""),"Milene Lanziani Murakami | Pedagogia | Aprovada | Júnio: PP - 11% plágio e complementar etapa I com mais uma página. //Júnio: PP aprovada: 03/08/23")</f>
        <v>Milene Lanziani Murakami | Pedagogia | Aprovada | Júnio: PP - 11% plágio e complementar etapa I com mais uma página. //Júnio: PP aprovada: 03/08/23</v>
      </c>
      <c r="B3003" s="93"/>
    </row>
    <row r="3004">
      <c r="A3004" s="384" t="str">
        <f>IFERROR(__xludf.DUMMYFUNCTION("""COMPUTED_VALUE"""),"Milene Rodrigues Da Silva Macedo | Pedagogia Para Bacharéis E Tecnólogos | Em análise | Júnio: -Estágio I: Falta a carta de apresentação, fichas de registro e termo de conclusão. -Estágio II, III e IV: Falta enviar. - Prática de Componente Curricular I, I"&amp;"I, III e IV: Falta enviar")</f>
        <v>Milene Rodrigues Da Silva Macedo | Pedagogia Para Bacharéis E Tecnólogos | Em análise | Júnio: -Estágio I: Falta a carta de apresentação, fichas de registro e termo de conclusão. -Estágio II, III e IV: Falta enviar. - Prática de Componente Curricular I, II, III e IV: Falta enviar</v>
      </c>
      <c r="B3004" s="93"/>
    </row>
    <row r="3005">
      <c r="A3005" s="384" t="str">
        <f>IFERROR(__xludf.DUMMYFUNCTION("""COMPUTED_VALUE"""),"Milka Araújo Nina | 2ª Licenciatuta Pedagogia | Aprovada | Cris PP aprovada")</f>
        <v>Milka Araújo Nina | 2ª Licenciatuta Pedagogia | Aprovada | Cris PP aprovada</v>
      </c>
      <c r="B3005" s="93"/>
    </row>
    <row r="3006">
      <c r="A3006" s="384" t="str">
        <f>IFERROR(__xludf.DUMMYFUNCTION("""COMPUTED_VALUE"""),"Milla Rafaela Martins Arinalis | Artes Visuais | Aprovada | Júnio: PP - aprovada")</f>
        <v>Milla Rafaela Martins Arinalis | Artes Visuais | Aprovada | Júnio: PP - aprovada</v>
      </c>
      <c r="B3006" s="93"/>
    </row>
    <row r="3007">
      <c r="A3007" s="384" t="str">
        <f>IFERROR(__xludf.DUMMYFUNCTION("""COMPUTED_VALUE"""),"Milleiny Ribeiro Da Silva | - | - | Liberar acesso quando for enviadoo parecer somentepara vizualizar")</f>
        <v>Milleiny Ribeiro Da Silva | - | - | Liberar acesso quando for enviadoo parecer somentepara vizualizar</v>
      </c>
      <c r="B3007" s="93"/>
    </row>
    <row r="3008">
      <c r="A3008" s="384" t="str">
        <f>IFERROR(__xludf.DUMMYFUNCTION("""COMPUTED_VALUE"""),"Milton Cassio Andrade Do Prado | Pedagogia | Aprovada | Bianca: aprovado nas 4 etapas do remoto antigo")</f>
        <v>Milton Cassio Andrade Do Prado | Pedagogia | Aprovada | Bianca: aprovado nas 4 etapas do remoto antigo</v>
      </c>
      <c r="B3008" s="93"/>
    </row>
    <row r="3009">
      <c r="A3009" s="384" t="str">
        <f>IFERROR(__xludf.DUMMYFUNCTION("""COMPUTED_VALUE"""),"Milton Cássio Andrade Do Prado | Letras- Português-Inglês | Aprovado | Alexsiane: Aprovado com lançamento no Sponte.")</f>
        <v>Milton Cássio Andrade Do Prado | Letras- Português-Inglês | Aprovado | Alexsiane: Aprovado com lançamento no Sponte.</v>
      </c>
      <c r="B3009" s="93"/>
    </row>
    <row r="3010">
      <c r="A3010" s="384" t="str">
        <f>IFERROR(__xludf.DUMMYFUNCTION("""COMPUTED_VALUE"""),"Milton Lopes De Souza Junior | Artes Visuais | Aprovado | Bianca: aprovado nas 4 etapas do remoto atualizado //Júnio: Conferido e arquivado: 05/11/2021")</f>
        <v>Milton Lopes De Souza Junior | Artes Visuais | Aprovado | Bianca: aprovado nas 4 etapas do remoto atualizado //Júnio: Conferido e arquivado: 05/11/2021</v>
      </c>
      <c r="B3010" s="93"/>
    </row>
    <row r="3011">
      <c r="A3011" s="384" t="str">
        <f>IFERROR(__xludf.DUMMYFUNCTION("""COMPUTED_VALUE"""),"Miquelly Cristina Dos Santos | Artes Visuais | Aprovada | Bárbara: aprovada nas 3 primeiras etapas, aguardando a última// Bárbara aprovada na 4 etapa 26/11/2020")</f>
        <v>Miquelly Cristina Dos Santos | Artes Visuais | Aprovada | Bárbara: aprovada nas 3 primeiras etapas, aguardando a última// Bárbara aprovada na 4 etapa 26/11/2020</v>
      </c>
      <c r="B3011" s="93"/>
    </row>
    <row r="3012">
      <c r="A3012" s="384" t="str">
        <f>IFERROR(__xludf.DUMMYFUNCTION("""COMPUTED_VALUE"""),"Miranildo Miguel Da Costa Silva | História | Aprovado | Alexsiane: falta enviar 19 planos de aulas, corrigir o único que ela mandou para nosso modelo. E etapa 4 //Júnio: aprovado na aula: 05/07/22")</f>
        <v>Miranildo Miguel Da Costa Silva | História | Aprovado | Alexsiane: falta enviar 19 planos de aulas, corrigir o único que ela mandou para nosso modelo. E etapa 4 //Júnio: aprovado na aula: 05/07/22</v>
      </c>
      <c r="B3012" s="93"/>
    </row>
    <row r="3013">
      <c r="A3013" s="384" t="str">
        <f>IFERROR(__xludf.DUMMYFUNCTION("""COMPUTED_VALUE"""),"Miriam Custódio Santos | Segunda Licenciatura em Pedagogia | Aprovado | Rayssa: pp aprovado")</f>
        <v>Miriam Custódio Santos | Segunda Licenciatura em Pedagogia | Aprovado | Rayssa: pp aprovado</v>
      </c>
      <c r="B3013" s="93"/>
    </row>
    <row r="3014">
      <c r="A3014" s="384" t="str">
        <f>IFERROR(__xludf.DUMMYFUNCTION("""COMPUTED_VALUE"""),"Míriam De Souza Rabelo |  | Aprovado | Mandei enviar pelo correio (25/01). Voltou para correção, cronograma inadequado, primeira pessoa.")</f>
        <v>Míriam De Souza Rabelo |  | Aprovado | Mandei enviar pelo correio (25/01). Voltou para correção, cronograma inadequado, primeira pessoa.</v>
      </c>
      <c r="B3014" s="93"/>
    </row>
    <row r="3015">
      <c r="A3015" s="384" t="str">
        <f>IFERROR(__xludf.DUMMYFUNCTION("""COMPUTED_VALUE"""),"Miriam Fernanda Matozo De Oliveira | Ciências Biológicas | Aprovado | Júnio: PP - 27% plágio e carta de apresentação com colagem//alexsiane: pp aprovado 15/08")</f>
        <v>Miriam Fernanda Matozo De Oliveira | Ciências Biológicas | Aprovado | Júnio: PP - 27% plágio e carta de apresentação com colagem//alexsiane: pp aprovado 15/08</v>
      </c>
      <c r="B3015" s="93"/>
    </row>
    <row r="3016">
      <c r="A3016" s="384" t="str">
        <f>IFERROR(__xludf.DUMMYFUNCTION("""COMPUTED_VALUE"""),"Mirian Célia Castellain Guebert | Neuropsicopedagogia Institucional,Clínica E Hospitalar | Pré-aprovada | Alexsiane: pré aprovado no remoto com as fichas 150h")</f>
        <v>Mirian Célia Castellain Guebert | Neuropsicopedagogia Institucional,Clínica E Hospitalar | Pré-aprovada | Alexsiane: pré aprovado no remoto com as fichas 150h</v>
      </c>
      <c r="B3016" s="93"/>
    </row>
    <row r="3017">
      <c r="A3017" s="384" t="str">
        <f>IFERROR(__xludf.DUMMYFUNCTION("""COMPUTED_VALUE"""),"Mírian Regina De Oliveira | Letras Por Esp | Aprovada | Bárbara: aprovada em todas as etapas // Bárbara: imprimido e arquivado 24/02/2021")</f>
        <v>Mírian Regina De Oliveira | Letras Por Esp | Aprovada | Bárbara: aprovada em todas as etapas // Bárbara: imprimido e arquivado 24/02/2021</v>
      </c>
      <c r="B3017" s="93"/>
    </row>
    <row r="3018">
      <c r="A3018" s="384" t="str">
        <f>IFERROR(__xludf.DUMMYFUNCTION("""COMPUTED_VALUE"""),"Mirian Wilm | Artes Visuais | Aprovada | Bianca: aprovada nas 3 1° etapas do remoto antigo// Bianca aprovada nas 4 etapas do remoto antigo em 01/12/2021")</f>
        <v>Mirian Wilm | Artes Visuais | Aprovada | Bianca: aprovada nas 3 1° etapas do remoto antigo// Bianca aprovada nas 4 etapas do remoto antigo em 01/12/2021</v>
      </c>
      <c r="B3018" s="93"/>
    </row>
    <row r="3019">
      <c r="A3019" s="384" t="str">
        <f>IFERROR(__xludf.DUMMYFUNCTION("""COMPUTED_VALUE"""),"Mirislei Soares Madalena | Pedagogia | Em análise | Bianca: enviado para correções, falta introdução, sumário, numeração, de página, erro de formatação")</f>
        <v>Mirislei Soares Madalena | Pedagogia | Em análise | Bianca: enviado para correções, falta introdução, sumário, numeração, de página, erro de formatação</v>
      </c>
      <c r="B3019" s="93"/>
    </row>
    <row r="3020">
      <c r="A3020" s="384" t="str">
        <f>IFERROR(__xludf.DUMMYFUNCTION("""COMPUTED_VALUE"""),"Mirna Meire De Jesus Pereira | Pedagogia | Aprovado | Júnio: remoto antigo - falta introdução, conclusão e etapa 4// Alexsiane; aprovado no vídeo com lançamento no Sponte")</f>
        <v>Mirna Meire De Jesus Pereira | Pedagogia | Aprovado | Júnio: remoto antigo - falta introdução, conclusão e etapa 4// Alexsiane; aprovado no vídeo com lançamento no Sponte</v>
      </c>
      <c r="B3020" s="93"/>
    </row>
    <row r="3021">
      <c r="A3021" s="384" t="str">
        <f>IFERROR(__xludf.DUMMYFUNCTION("""COMPUTED_VALUE"""),"Mirtes Maria De Jesus Pereira Lopes | Artes Visuais | Aprovada | Júnio: PP -8% plágio //Júnio: aprovada: 29/09/23")</f>
        <v>Mirtes Maria De Jesus Pereira Lopes | Artes Visuais | Aprovada | Júnio: PP -8% plágio //Júnio: aprovada: 29/09/23</v>
      </c>
      <c r="B3021" s="93"/>
    </row>
    <row r="3022">
      <c r="A3022" s="384" t="str">
        <f>IFERROR(__xludf.DUMMYFUNCTION("""COMPUTED_VALUE"""),"Mislene Silva | Letras Port | Aprovado | Aline Silva: aprovado// Miryã: conferido e arquivado 15/03/2021")</f>
        <v>Mislene Silva | Letras Port | Aprovado | Aline Silva: aprovado// Miryã: conferido e arquivado 15/03/2021</v>
      </c>
      <c r="B3022" s="93"/>
    </row>
    <row r="3023">
      <c r="A3023" s="384" t="str">
        <f>IFERROR(__xludf.DUMMYFUNCTION("""COMPUTED_VALUE"""),"Missael Flores | Pedagogia | Aprovado | Júnio:  pré aprovado  PRAZO: 26/08/2023 //Júnio: aprovado: 22/08/2023")</f>
        <v>Missael Flores | Pedagogia | Aprovado | Júnio:  pré aprovado  PRAZO: 26/08/2023 //Júnio: aprovado: 22/08/2023</v>
      </c>
      <c r="B3023" s="93"/>
    </row>
    <row r="3024">
      <c r="A3024" s="384" t="str">
        <f>IFERROR(__xludf.DUMMYFUNCTION("""COMPUTED_VALUE"""),"Mízia Calixto Silva | Artes Visuais | Aprovado | Bianca: apenas declaração de experiência (remoto atualizado) //Lucas: Aprovado nas 3 primeiras etapas do estagio remoto antigo, apresentou declaração de esperiência valida.")</f>
        <v>Mízia Calixto Silva | Artes Visuais | Aprovado | Bianca: apenas declaração de experiência (remoto atualizado) //Lucas: Aprovado nas 3 primeiras etapas do estagio remoto antigo, apresentou declaração de esperiência valida.</v>
      </c>
      <c r="B3024" s="93"/>
    </row>
    <row r="3025">
      <c r="A3025" s="384" t="str">
        <f>IFERROR(__xludf.DUMMYFUNCTION("""COMPUTED_VALUE"""),"Moacir Emmanoel Da Silva | Música | Aprovado | Júnio: PP aprovado")</f>
        <v>Moacir Emmanoel Da Silva | Música | Aprovado | Júnio: PP aprovado</v>
      </c>
      <c r="B3025" s="93"/>
    </row>
    <row r="3026">
      <c r="A3026" s="384" t="str">
        <f>IFERROR(__xludf.DUMMYFUNCTION("""COMPUTED_VALUE"""),"Moara Cristina Silva Dos Santos Mattos | Pedagogia | Aprovada | Bárbara: aprovada nas 3 primeras etapas do remoto, e apresentou declaração de experiência.")</f>
        <v>Moara Cristina Silva Dos Santos Mattos | Pedagogia | Aprovada | Bárbara: aprovada nas 3 primeras etapas do remoto, e apresentou declaração de experiência.</v>
      </c>
      <c r="B3026" s="93"/>
    </row>
    <row r="3027">
      <c r="A3027" s="384" t="str">
        <f>IFERROR(__xludf.DUMMYFUNCTION("""COMPUTED_VALUE"""),"Moisés Pascoal Luciano | Letras Espanhol | Aprovado | Bárbara: autorizado enviar fisicamente, aprovado// Bárbara: conferido e arquivado 10/02/2021")</f>
        <v>Moisés Pascoal Luciano | Letras Espanhol | Aprovado | Bárbara: autorizado enviar fisicamente, aprovado// Bárbara: conferido e arquivado 10/02/2021</v>
      </c>
      <c r="B3027" s="93"/>
    </row>
    <row r="3028">
      <c r="A3028" s="384" t="str">
        <f>IFERROR(__xludf.DUMMYFUNCTION("""COMPUTED_VALUE"""),"Monica Cristina Almeida Fusco De Souza Ferreira | Geografia | Em análise | Júnio: falta a carta de apresentação e entrevista")</f>
        <v>Monica Cristina Almeida Fusco De Souza Ferreira | Geografia | Em análise | Júnio: falta a carta de apresentação e entrevista</v>
      </c>
      <c r="B3028" s="93"/>
    </row>
    <row r="3029">
      <c r="A3029" s="384" t="str">
        <f>IFERROR(__xludf.DUMMYFUNCTION("""COMPUTED_VALUE"""),"Monica Cristina Almeida Fusco De Souza Ferreira | Geografia | Aprovado | Mariana: pp aprovado 15/03")</f>
        <v>Monica Cristina Almeida Fusco De Souza Ferreira | Geografia | Aprovado | Mariana: pp aprovado 15/03</v>
      </c>
      <c r="B3029" s="93"/>
    </row>
    <row r="3030">
      <c r="A3030" s="384" t="str">
        <f>IFERROR(__xludf.DUMMYFUNCTION("""COMPUTED_VALUE"""),"Mônica De Fátima Dias Nunes Lemes | Pedagogia | Aprovada | Aprovada nas 4 etapas //Bianca: aprovada 23/04/21// Bárbaraq: conferido e arquivado 10/05/2021")</f>
        <v>Mônica De Fátima Dias Nunes Lemes | Pedagogia | Aprovada | Aprovada nas 4 etapas //Bianca: aprovada 23/04/21// Bárbaraq: conferido e arquivado 10/05/2021</v>
      </c>
      <c r="B3030" s="93"/>
    </row>
    <row r="3031">
      <c r="A3031" s="384" t="str">
        <f>IFERROR(__xludf.DUMMYFUNCTION("""COMPUTED_VALUE"""),"Mônica Gonçalves Gabrecht | Pedagogia | Aprovada | Alexsiane: falta 1 plano de aula, fichas de registro, relatório de observação e regência, Autoavaliação e 23% de plágio//Alexsiane: Pré aprovada, autorizada a autenticar //Júnio: aprovada: 12/05/2023")</f>
        <v>Mônica Gonçalves Gabrecht | Pedagogia | Aprovada | Alexsiane: falta 1 plano de aula, fichas de registro, relatório de observação e regência, Autoavaliação e 23% de plágio//Alexsiane: Pré aprovada, autorizada a autenticar //Júnio: aprovada: 12/05/2023</v>
      </c>
      <c r="B3031" s="93"/>
    </row>
    <row r="3032">
      <c r="A3032" s="384" t="str">
        <f>IFERROR(__xludf.DUMMYFUNCTION("""COMPUTED_VALUE"""),"Mônica Inês Carvalho | Artes Visuais | Aprovada | Bianca: aprovada nas 4 etapas do remoto")</f>
        <v>Mônica Inês Carvalho | Artes Visuais | Aprovada | Bianca: aprovada nas 4 etapas do remoto</v>
      </c>
      <c r="B3032" s="93"/>
    </row>
    <row r="3033">
      <c r="A3033" s="384" t="str">
        <f>IFERROR(__xludf.DUMMYFUNCTION("""COMPUTED_VALUE"""),"Mônica Jasper | Pedagogia | Aprovado | Júnio: remoto antigo, etapas 1,2 e 3 ok// Bárbara: aula online com a tutoria, aprovada 09/09/2021")</f>
        <v>Mônica Jasper | Pedagogia | Aprovado | Júnio: remoto antigo, etapas 1,2 e 3 ok// Bárbara: aula online com a tutoria, aprovada 09/09/2021</v>
      </c>
      <c r="B3033" s="93"/>
    </row>
    <row r="3034">
      <c r="A3034" s="384" t="str">
        <f>IFERROR(__xludf.DUMMYFUNCTION("""COMPUTED_VALUE"""),"Mônica Maria De Oliveira | Letras Por | Aprovada | Bárbara: trabalho todo incompleto, apenas 1 plano, etapas 1 e 2 sem o que foi solicitado // Bianca: aprovada 08/04/2021")</f>
        <v>Mônica Maria De Oliveira | Letras Por | Aprovada | Bárbara: trabalho todo incompleto, apenas 1 plano, etapas 1 e 2 sem o que foi solicitado // Bianca: aprovada 08/04/2021</v>
      </c>
      <c r="B3034" s="93"/>
    </row>
    <row r="3035">
      <c r="A3035" s="384" t="str">
        <f>IFERROR(__xludf.DUMMYFUNCTION("""COMPUTED_VALUE"""),"Monica Melo De Oliveira | Neuropsicopedagogia Instittucional Clínica E Hospitalar | Aprovada | Júnio: aprovada no estágio remoto")</f>
        <v>Monica Melo De Oliveira | Neuropsicopedagogia Instittucional Clínica E Hospitalar | Aprovada | Júnio: aprovada no estágio remoto</v>
      </c>
      <c r="B3035" s="93"/>
    </row>
    <row r="3036">
      <c r="A3036" s="384" t="str">
        <f>IFERROR(__xludf.DUMMYFUNCTION("""COMPUTED_VALUE"""),"Mônica Pereira De Souza Nóbrega | Letras Português | Aprovada | Júnio: PP - falta preencher a carta de apresentação //Júnio: PP aprovada 22/09/23")</f>
        <v>Mônica Pereira De Souza Nóbrega | Letras Português | Aprovada | Júnio: PP - falta preencher a carta de apresentação //Júnio: PP aprovada 22/09/23</v>
      </c>
      <c r="B3036" s="93"/>
    </row>
    <row r="3037">
      <c r="A3037" s="384" t="str">
        <f>IFERROR(__xludf.DUMMYFUNCTION("""COMPUTED_VALUE"""),"Mônica Tassoni | Pedagogia | Aprovada | Bárbara: aprovada nas 3 primeiras etapas do remoto antigo //Bárbara: aprovada: 11/08/22")</f>
        <v>Mônica Tassoni | Pedagogia | Aprovada | Bárbara: aprovada nas 3 primeiras etapas do remoto antigo //Bárbara: aprovada: 11/08/22</v>
      </c>
      <c r="B3037" s="93"/>
    </row>
    <row r="3038">
      <c r="A3038" s="384" t="str">
        <f>IFERROR(__xludf.DUMMYFUNCTION("""COMPUTED_VALUE"""),"Monique D' Vlia Dos Santos | Letras Português Espanhol | Em análise | Lucas: Aprovada nas 3 primeiras etapas do remoto antigo ")</f>
        <v>Monique D' Vlia Dos Santos | Letras Português Espanhol | Em análise | Lucas: Aprovada nas 3 primeiras etapas do remoto antigo </v>
      </c>
      <c r="B3038" s="93"/>
    </row>
    <row r="3039">
      <c r="A3039" s="384" t="str">
        <f>IFERROR(__xludf.DUMMYFUNCTION("""COMPUTED_VALUE"""),"Monize Ramos Marques | Artes Visuais | Aprovada | Alexsiane:10,77% de plágio, falta especificar nas fichas de registro o tema, corrigir a carga horaria diária do dia 29/09 a 26/10 que esta errada. 29/12 para reenviar //Júnio: pré aprovada 03/01/23 //Júnio"&amp;": aprovada: 16/10/23")</f>
        <v>Monize Ramos Marques | Artes Visuais | Aprovada | Alexsiane:10,77% de plágio, falta especificar nas fichas de registro o tema, corrigir a carga horaria diária do dia 29/09 a 26/10 que esta errada. 29/12 para reenviar //Júnio: pré aprovada 03/01/23 //Júnio: aprovada: 16/10/23</v>
      </c>
      <c r="B3039" s="93"/>
    </row>
    <row r="3040">
      <c r="A3040" s="384" t="str">
        <f>IFERROR(__xludf.DUMMYFUNCTION("""COMPUTED_VALUE"""),"Moyses Marques Medeiros | Segunda Licenciatura Em Artes Visuais | Aprovado | Rayssa pp aprovado")</f>
        <v>Moyses Marques Medeiros | Segunda Licenciatura Em Artes Visuais | Aprovado | Rayssa pp aprovado</v>
      </c>
      <c r="B3040" s="93"/>
    </row>
    <row r="3041">
      <c r="A3041" s="384" t="str">
        <f>IFERROR(__xludf.DUMMYFUNCTION("""COMPUTED_VALUE"""),"Munick Amabilia Alves Vance | Pedagogia | Aprovada | Alexsiane: pp ok, porém não tem 6 meses de curso. reenviar 02/07/24//Alexsiane: pp aprovado")</f>
        <v>Munick Amabilia Alves Vance | Pedagogia | Aprovada | Alexsiane: pp ok, porém não tem 6 meses de curso. reenviar 02/07/24//Alexsiane: pp aprovado</v>
      </c>
      <c r="B3041" s="93"/>
    </row>
    <row r="3042">
      <c r="A3042" s="384" t="str">
        <f>IFERROR(__xludf.DUMMYFUNCTION("""COMPUTED_VALUE"""),"Murilo Gonçalves Resende | Ed. Física | Aprovado | Ana Flávia: aluno fez apenas 1 plano de aula.// Ana Flávia: aprovado 30/12/2020// Bárbara: conferido e arquivado 05/02/2021")</f>
        <v>Murilo Gonçalves Resende | Ed. Física | Aprovado | Ana Flávia: aluno fez apenas 1 plano de aula.// Ana Flávia: aprovado 30/12/2020// Bárbara: conferido e arquivado 05/02/2021</v>
      </c>
      <c r="B3042" s="93"/>
    </row>
    <row r="3043">
      <c r="A3043" s="384" t="str">
        <f>IFERROR(__xludf.DUMMYFUNCTION("""COMPUTED_VALUE"""),"Murilo Roberto Jesus Maganha | Música | Em análise | Júnio: declaração de experiencia válida")</f>
        <v>Murilo Roberto Jesus Maganha | Música | Em análise | Júnio: declaração de experiencia válida</v>
      </c>
      <c r="B3043" s="93"/>
    </row>
    <row r="3044">
      <c r="A3044" s="384" t="str">
        <f>IFERROR(__xludf.DUMMYFUNCTION("""COMPUTED_VALUE"""),"Murilo Roberto Jesus Maganha | Pedagogia Para Bachareis E Tecnologos | Aprovado | Júnio: aprovado  - PCCs e PP: ok")</f>
        <v>Murilo Roberto Jesus Maganha | Pedagogia Para Bachareis E Tecnologos | Aprovado | Júnio: aprovado  - PCCs e PP: ok</v>
      </c>
      <c r="B3044" s="93"/>
    </row>
    <row r="3045">
      <c r="A3045" s="384" t="str">
        <f>IFERROR(__xludf.DUMMYFUNCTION("""COMPUTED_VALUE"""),"Murilo Rodrigues De Souza | Ciências Biologicas | Aprovado | Júnio: pre aprovado PRAZO: 12/10/23 //Júnio: aprovado: 20/10/23")</f>
        <v>Murilo Rodrigues De Souza | Ciências Biologicas | Aprovado | Júnio: pre aprovado PRAZO: 12/10/23 //Júnio: aprovado: 20/10/23</v>
      </c>
      <c r="B3045" s="93"/>
    </row>
    <row r="3046">
      <c r="A3046" s="384" t="str">
        <f>IFERROR(__xludf.DUMMYFUNCTION("""COMPUTED_VALUE"""),"Mychele Dayane Da Silva Souza | Pedagogia | Aprovado | Alexsiane: pp aprovado")</f>
        <v>Mychele Dayane Da Silva Souza | Pedagogia | Aprovado | Alexsiane: pp aprovado</v>
      </c>
      <c r="B3046" s="93"/>
    </row>
    <row r="3047">
      <c r="A3047" s="384" t="str">
        <f>IFERROR(__xludf.DUMMYFUNCTION("""COMPUTED_VALUE"""),"Myrian Isabel Da Silva | Artes Visuais | Aprovado | Lucas: Aprovada no estagio remoto antigo")</f>
        <v>Myrian Isabel Da Silva | Artes Visuais | Aprovado | Lucas: Aprovada no estagio remoto antigo</v>
      </c>
      <c r="B3047" s="93"/>
    </row>
    <row r="3048">
      <c r="A3048" s="384" t="str">
        <f>IFERROR(__xludf.DUMMYFUNCTION("""COMPUTED_VALUE"""),"Nádia Licélia De Oliveira | Pedagogia | Approvada | Júnio: PP aprovada")</f>
        <v>Nádia Licélia De Oliveira | Pedagogia | Approvada | Júnio: PP aprovada</v>
      </c>
      <c r="B3048" s="93"/>
    </row>
    <row r="3049">
      <c r="A3049" s="384" t="str">
        <f>IFERROR(__xludf.DUMMYFUNCTION("""COMPUTED_VALUE"""),"Nádia Maria Dorneles | Geografia | Aprovado | Alexsiane: pp aprovado")</f>
        <v>Nádia Maria Dorneles | Geografia | Aprovado | Alexsiane: pp aprovado</v>
      </c>
      <c r="B3049" s="93"/>
    </row>
    <row r="3050">
      <c r="A3050" s="384" t="str">
        <f>IFERROR(__xludf.DUMMYFUNCTION("""COMPUTED_VALUE"""),"Nádia Vieira Souto | Educação Física | Aprovado | Alexsiane: pp aprovado")</f>
        <v>Nádia Vieira Souto | Educação Física | Aprovado | Alexsiane: pp aprovado</v>
      </c>
      <c r="B3050" s="93"/>
    </row>
    <row r="3051">
      <c r="A3051" s="384" t="str">
        <f>IFERROR(__xludf.DUMMYFUNCTION("""COMPUTED_VALUE"""),"Nadiane Batista De Souza | Ciências Sociais | Aprovada | Lucas: Realizar etapa 4 do estagio remoto antigo ou assinar a declaração de experiência // Lucas: Aprovada no remoto antigo com declaração de experiência")</f>
        <v>Nadiane Batista De Souza | Ciências Sociais | Aprovada | Lucas: Realizar etapa 4 do estagio remoto antigo ou assinar a declaração de experiência // Lucas: Aprovada no remoto antigo com declaração de experiência</v>
      </c>
      <c r="B3051" s="93"/>
    </row>
    <row r="3052">
      <c r="A3052" s="384" t="str">
        <f>IFERROR(__xludf.DUMMYFUNCTION("""COMPUTED_VALUE"""),"Nadja Pereira Da Silva | Neuropsicopedagogia Instittucional Clínica E Hospitalar | Aprovada | Júnio: estágio remoto - fez só diagnostico, conclusão, anamnese, dados do paciente, relacionamento com a familia e escola, faltam todo o resto. PRAZO: 10/06/23 /"&amp;"/Júnio: aprovada: 14/07/23")</f>
        <v>Nadja Pereira Da Silva | Neuropsicopedagogia Instittucional Clínica E Hospitalar | Aprovada | Júnio: estágio remoto - fez só diagnostico, conclusão, anamnese, dados do paciente, relacionamento com a familia e escola, faltam todo o resto. PRAZO: 10/06/23 //Júnio: aprovada: 14/07/23</v>
      </c>
      <c r="B3052" s="93"/>
    </row>
    <row r="3053">
      <c r="A3053" s="384" t="str">
        <f>IFERROR(__xludf.DUMMYFUNCTION("""COMPUTED_VALUE"""),"Nadjar Tatiane Fernandes Bezerra | Neuropsicologia Clínica | Em análise | Alexsiane: estágio tem que colocar as fichas de registro em nosso modelo padrão e corrigir  rasura no termo de concluisão.")</f>
        <v>Nadjar Tatiane Fernandes Bezerra | Neuropsicologia Clínica | Em análise | Alexsiane: estágio tem que colocar as fichas de registro em nosso modelo padrão e corrigir  rasura no termo de concluisão.</v>
      </c>
      <c r="B3053" s="93"/>
    </row>
    <row r="3054">
      <c r="A3054" s="384" t="str">
        <f>IFERROR(__xludf.DUMMYFUNCTION("""COMPUTED_VALUE"""),"Naftali Da Silva Sena Santos | Música | Aprovada | Júnio: PP aprovada")</f>
        <v>Naftali Da Silva Sena Santos | Música | Aprovada | Júnio: PP aprovada</v>
      </c>
      <c r="B3054" s="93"/>
    </row>
    <row r="3055">
      <c r="A3055" s="384" t="str">
        <f>IFERROR(__xludf.DUMMYFUNCTION("""COMPUTED_VALUE"""),"Nágela Simone Amâncio Da Silva | Pedagogia | Aprovada  | Bárbara: falta termo de conclusão, etapa 1 e 2, relatório da 4ª etapa, e inclusão na pasta padrão. Carta de ap, fichas de registro, declaração de experiência ok; // Bianca: aprovada 08/10/21")</f>
        <v>Nágela Simone Amâncio Da Silva | Pedagogia | Aprovada  | Bárbara: falta termo de conclusão, etapa 1 e 2, relatório da 4ª etapa, e inclusão na pasta padrão. Carta de ap, fichas de registro, declaração de experiência ok; // Bianca: aprovada 08/10/21</v>
      </c>
      <c r="B3055" s="93"/>
    </row>
    <row r="3056">
      <c r="A3056" s="384" t="str">
        <f>IFERROR(__xludf.DUMMYFUNCTION("""COMPUTED_VALUE"""),"Nagila Lino Sousa Lapazini | Formação Pedagógica Em Pedagogia | Aprovado | Rayssa pp aprovado")</f>
        <v>Nagila Lino Sousa Lapazini | Formação Pedagógica Em Pedagogia | Aprovado | Rayssa pp aprovado</v>
      </c>
      <c r="B3056" s="93"/>
    </row>
    <row r="3057">
      <c r="A3057" s="384" t="str">
        <f>IFERROR(__xludf.DUMMYFUNCTION("""COMPUTED_VALUE"""),"Naiany Ferreira Jardim | Letras/Português-Espanhol | Aprovada | Lucas: Aprovada nas 3 primeiras etapas do remoto antigo. //Júnio: aprovada na aula online 10/03/2022")</f>
        <v>Naiany Ferreira Jardim | Letras/Português-Espanhol | Aprovada | Lucas: Aprovada nas 3 primeiras etapas do remoto antigo. //Júnio: aprovada na aula online 10/03/2022</v>
      </c>
      <c r="B3057" s="93"/>
    </row>
    <row r="3058">
      <c r="A3058" s="384" t="str">
        <f>IFERROR(__xludf.DUMMYFUNCTION("""COMPUTED_VALUE"""),"Naiara Cristina Vieira Dos Anjos | Pedagogia | Aprovada | Alexsiane: enviar o trabalho em formato word editável// Alexsiane: pré aprovado com lançamento no sponte padrão 200h 15/08/2022 //Júnio: conferido e arquivado: 27/09")</f>
        <v>Naiara Cristina Vieira Dos Anjos | Pedagogia | Aprovada | Alexsiane: enviar o trabalho em formato word editável// Alexsiane: pré aprovado com lançamento no sponte padrão 200h 15/08/2022 //Júnio: conferido e arquivado: 27/09</v>
      </c>
      <c r="B3058" s="93"/>
    </row>
    <row r="3059">
      <c r="A3059" s="384" t="str">
        <f>IFERROR(__xludf.DUMMYFUNCTION("""COMPUTED_VALUE"""),"Naiara Letícia Cidreira Bigoni Bazo Pereira | Artes Visuais | Aprovada  | Bianca: Falta etapa 4 do remoto antigo// Bárbara: aluna apresentou a 4ª etapa do estágio 22/09/2021 APROVADA //Júnio: conferido e anexado: 26/11/21")</f>
        <v>Naiara Letícia Cidreira Bigoni Bazo Pereira | Artes Visuais | Aprovada  | Bianca: Falta etapa 4 do remoto antigo// Bárbara: aluna apresentou a 4ª etapa do estágio 22/09/2021 APROVADA //Júnio: conferido e anexado: 26/11/21</v>
      </c>
      <c r="B3059" s="93"/>
    </row>
    <row r="3060">
      <c r="A3060" s="384" t="str">
        <f>IFERROR(__xludf.DUMMYFUNCTION("""COMPUTED_VALUE"""),"Naiara Nakamura De Oliveira | Neuropsicopedagogia Institucional,Clínica E Hospitalar | Aprovada | Edilaine: Contém rasuras nas fichas de registro, tem que especificar o tipo de acompanhamento. Falta as partes dissertativas. Tem até 01/01/2023 para reenvia"&amp;"r.//Alexsiane: Pré aprovada, autorizada a autenticar 14/04 enviar  /// Edilaine: Aprovada 13/04")</f>
        <v>Naiara Nakamura De Oliveira | Neuropsicopedagogia Institucional,Clínica E Hospitalar | Aprovada | Edilaine: Contém rasuras nas fichas de registro, tem que especificar o tipo de acompanhamento. Falta as partes dissertativas. Tem até 01/01/2023 para reenviar.//Alexsiane: Pré aprovada, autorizada a autenticar 14/04 enviar  /// Edilaine: Aprovada 13/04</v>
      </c>
      <c r="B3060" s="93"/>
    </row>
    <row r="3061">
      <c r="A3061" s="384" t="str">
        <f>IFERROR(__xludf.DUMMYFUNCTION("""COMPUTED_VALUE"""),"Naiara Nunes Da Silva | Psicopedagogia Institucional, Clínica E Hospitalar | Aprovada | Pamela: Declaração será valida para isenção de 30 horas.")</f>
        <v>Naiara Nunes Da Silva | Psicopedagogia Institucional, Clínica E Hospitalar | Aprovada | Pamela: Declaração será valida para isenção de 30 horas.</v>
      </c>
      <c r="B3061" s="93"/>
    </row>
    <row r="3062">
      <c r="A3062" s="384" t="str">
        <f>IFERROR(__xludf.DUMMYFUNCTION("""COMPUTED_VALUE"""),"Naiara Nunes Da Silva | Psicopedagogia Institucional, Clínica E Hospitalar | Aprovada | Júnio: os dias 17/10, 18/10, 19/10 e 20/10 lançados estão ultrapassando o limite de 6 hs.-- Alexsiane falta autenticar o termo de conclusão // Alexsiane: estágio aprov"&amp;"ado 08/08/24")</f>
        <v>Naiara Nunes Da Silva | Psicopedagogia Institucional, Clínica E Hospitalar | Aprovada | Júnio: os dias 17/10, 18/10, 19/10 e 20/10 lançados estão ultrapassando o limite de 6 hs.-- Alexsiane falta autenticar o termo de conclusão // Alexsiane: estágio aprovado 08/08/24</v>
      </c>
      <c r="B3062" s="93"/>
    </row>
    <row r="3063">
      <c r="A3063" s="384" t="str">
        <f>IFERROR(__xludf.DUMMYFUNCTION("""COMPUTED_VALUE"""),"Naiara Nunes Da Silva | Letras -Espanhol | Em análise | Alexsiane; encaminhou somente a carta de apresentação, falta todas as etapas dissertativas do pp")</f>
        <v>Naiara Nunes Da Silva | Letras -Espanhol | Em análise | Alexsiane; encaminhou somente a carta de apresentação, falta todas as etapas dissertativas do pp</v>
      </c>
      <c r="B3063" s="93"/>
    </row>
    <row r="3064">
      <c r="A3064" s="384" t="str">
        <f>IFERROR(__xludf.DUMMYFUNCTION("""COMPUTED_VALUE"""),"Naira Bastos De Menezes Vieira | Pedagogia | Aprovada | Júnio: PP: 13% plágio //Júnio: aprovada: 25/07/23")</f>
        <v>Naira Bastos De Menezes Vieira | Pedagogia | Aprovada | Júnio: PP: 13% plágio //Júnio: aprovada: 25/07/23</v>
      </c>
      <c r="B3064" s="93"/>
    </row>
    <row r="3065">
      <c r="A3065" s="384" t="str">
        <f>IFERROR(__xludf.DUMMYFUNCTION("""COMPUTED_VALUE"""),"Nairiza Dias | Artes Visuais | Aprovada | Júnio: PP - etapas: ok Inicio: 22/06/2023 Reenviar: 22/12/23 //Aprovada: 22/12/23")</f>
        <v>Nairiza Dias | Artes Visuais | Aprovada | Júnio: PP - etapas: ok Inicio: 22/06/2023 Reenviar: 22/12/23 //Aprovada: 22/12/23</v>
      </c>
      <c r="B3065" s="93"/>
    </row>
    <row r="3066">
      <c r="A3066" s="384" t="str">
        <f>IFERROR(__xludf.DUMMYFUNCTION("""COMPUTED_VALUE"""),"Nara Cristina Moreira Nepomuceno | Educação Especial | Aprovado | Alexsiane: 10,75% de plágio//Alexsiane: pp aprovado")</f>
        <v>Nara Cristina Moreira Nepomuceno | Educação Especial | Aprovado | Alexsiane: 10,75% de plágio//Alexsiane: pp aprovado</v>
      </c>
      <c r="B3066" s="93"/>
    </row>
    <row r="3067">
      <c r="A3067" s="384" t="str">
        <f>IFERROR(__xludf.DUMMYFUNCTION("""COMPUTED_VALUE"""),"Natália Cristina Julio Castro | Pedagogia C/ Ênf. | Aprovado | Thiara: Falta cronograma de atividades. /// Aprovado dia 16/08/2019. Recebido no instituto dia 03/09/2019")</f>
        <v>Natália Cristina Julio Castro | Pedagogia C/ Ênf. | Aprovado | Thiara: Falta cronograma de atividades. /// Aprovado dia 16/08/2019. Recebido no instituto dia 03/09/2019</v>
      </c>
      <c r="B3067" s="93"/>
    </row>
    <row r="3068">
      <c r="A3068" s="384" t="str">
        <f>IFERROR(__xludf.DUMMYFUNCTION("""COMPUTED_VALUE"""),"Natalia Cristina Silva | Artes Visuais | Aprovada | Júnio: PP aprovada")</f>
        <v>Natalia Cristina Silva | Artes Visuais | Aprovada | Júnio: PP aprovada</v>
      </c>
      <c r="B3068" s="93"/>
    </row>
    <row r="3069">
      <c r="A3069" s="384" t="str">
        <f>IFERROR(__xludf.DUMMYFUNCTION("""COMPUTED_VALUE"""),"Natália Cristina Silva | Artes Visuais | Em análise | Júnio: PP - falta a carta e entrevista")</f>
        <v>Natália Cristina Silva | Artes Visuais | Em análise | Júnio: PP - falta a carta e entrevista</v>
      </c>
      <c r="B3069" s="93"/>
    </row>
    <row r="3070">
      <c r="A3070" s="384" t="str">
        <f>IFERROR(__xludf.DUMMYFUNCTION("""COMPUTED_VALUE"""),"Natália Cristina Silva | Artes Visuais | Em análise | Júnio: PP aprovada")</f>
        <v>Natália Cristina Silva | Artes Visuais | Em análise | Júnio: PP aprovada</v>
      </c>
      <c r="B3070" s="93"/>
    </row>
    <row r="3071">
      <c r="A3071" s="384" t="str">
        <f>IFERROR(__xludf.DUMMYFUNCTION("""COMPUTED_VALUE"""),"Natália Cristina Silva | Artes Visuais | Aprovada | Júnio: PP aprovada")</f>
        <v>Natália Cristina Silva | Artes Visuais | Aprovada | Júnio: PP aprovada</v>
      </c>
      <c r="B3071" s="93"/>
    </row>
    <row r="3072">
      <c r="A3072" s="384" t="str">
        <f>IFERROR(__xludf.DUMMYFUNCTION("""COMPUTED_VALUE"""),"Natália Daibert Melo | Pedagogia | aprovada | Bárbara: apresentou apenas 10 planos de aula, e esse tinham 24% plágio - aluna encaminhou essa parte para verificação rápida. //Júnio: aprovada: 19/05/22")</f>
        <v>Natália Daibert Melo | Pedagogia | aprovada | Bárbara: apresentou apenas 10 planos de aula, e esse tinham 24% plágio - aluna encaminhou essa parte para verificação rápida. //Júnio: aprovada: 19/05/22</v>
      </c>
      <c r="B3072" s="93"/>
    </row>
    <row r="3073">
      <c r="A3073" s="384" t="str">
        <f>IFERROR(__xludf.DUMMYFUNCTION("""COMPUTED_VALUE"""),"Natália Danielle Ribeiro Bezerra | Pedagogia | Aprovada | Edilaine: Tem que enviar o nosso termo de conclusão. Tem que especificar o tipo de acompanhamento e série.// Alexsiane: pré aprovada, autorizada a autenticar 23/03/2023 // Pamela 04/04/2023 Conferi"&amp;"do e arquivado com a autenticação. ")</f>
        <v>Natália Danielle Ribeiro Bezerra | Pedagogia | Aprovada | Edilaine: Tem que enviar o nosso termo de conclusão. Tem que especificar o tipo de acompanhamento e série.// Alexsiane: pré aprovada, autorizada a autenticar 23/03/2023 // Pamela 04/04/2023 Conferido e arquivado com a autenticação. </v>
      </c>
      <c r="B3073" s="93"/>
    </row>
    <row r="3074">
      <c r="A3074" s="384" t="str">
        <f>IFERROR(__xludf.DUMMYFUNCTION("""COMPUTED_VALUE"""),"Natália De Cassia B. Brandão Lima |  | Aprovado | Ana vai assinar. Coloquei algumas observações a serem feitas no trabalho, se enquadra nos casos em que o zayn terá que assinar (14/11).")</f>
        <v>Natália De Cassia B. Brandão Lima |  | Aprovado | Ana vai assinar. Coloquei algumas observações a serem feitas no trabalho, se enquadra nos casos em que o zayn terá que assinar (14/11).</v>
      </c>
      <c r="B3074" s="93"/>
    </row>
    <row r="3075">
      <c r="A3075" s="384" t="str">
        <f>IFERROR(__xludf.DUMMYFUNCTION("""COMPUTED_VALUE"""),"Natália Duarte Santos Maia | Pedagogia | Aprovado | Thiara: enviou somente carta de apresentação e 100 horas de observação.//Aline Silva: aprovada dia 02/01/2020// Miryã: conferido e arquivado 12/03/2021")</f>
        <v>Natália Duarte Santos Maia | Pedagogia | Aprovado | Thiara: enviou somente carta de apresentação e 100 horas de observação.//Aline Silva: aprovada dia 02/01/2020// Miryã: conferido e arquivado 12/03/2021</v>
      </c>
      <c r="B3075" s="93"/>
    </row>
    <row r="3076">
      <c r="A3076" s="384" t="str">
        <f>IFERROR(__xludf.DUMMYFUNCTION("""COMPUTED_VALUE"""),"Natalia Fernandes Birches Lopes | Form. Pedagógica Pedagogia | Em análise | Cris: Falta carta de apresentação")</f>
        <v>Natalia Fernandes Birches Lopes | Form. Pedagógica Pedagogia | Em análise | Cris: Falta carta de apresentação</v>
      </c>
      <c r="B3076" s="93"/>
    </row>
    <row r="3077">
      <c r="A3077" s="384" t="str">
        <f>IFERROR(__xludf.DUMMYFUNCTION("""COMPUTED_VALUE"""),"Natália Medeiros Rodrigues | Pedagogia | Pré aprovada | Júnio: Fichas encaminhadas, corrigir apenas um um item da ficha de registro de gestão, faltam as demais etapas// Alexsiane: pré aprovado com lançamento no Jacad")</f>
        <v>Natália Medeiros Rodrigues | Pedagogia | Pré aprovada | Júnio: Fichas encaminhadas, corrigir apenas um um item da ficha de registro de gestão, faltam as demais etapas// Alexsiane: pré aprovado com lançamento no Jacad</v>
      </c>
      <c r="B3077" s="93"/>
    </row>
    <row r="3078">
      <c r="A3078" s="384" t="str">
        <f>IFERROR(__xludf.DUMMYFUNCTION("""COMPUTED_VALUE"""),"Natália Oliveira Dos Santos | Educação Física | Aprovada | Bianca: autorizada a recolher assinaturas //Lucas: aprovada //Júnio:conferida e arquivada: 26/05/22")</f>
        <v>Natália Oliveira Dos Santos | Educação Física | Aprovada | Bianca: autorizada a recolher assinaturas //Lucas: aprovada //Júnio:conferida e arquivada: 26/05/22</v>
      </c>
      <c r="B3078" s="93"/>
    </row>
    <row r="3079">
      <c r="A3079" s="384" t="str">
        <f>IFERROR(__xludf.DUMMYFUNCTION("""COMPUTED_VALUE"""),"Natália Rodrigues Quini | Artes Visuais | Aprovada | // Bárbara: conferido e arquivado")</f>
        <v>Natália Rodrigues Quini | Artes Visuais | Aprovada | // Bárbara: conferido e arquivado</v>
      </c>
      <c r="B3079" s="93"/>
    </row>
    <row r="3080">
      <c r="A3080" s="384" t="str">
        <f>IFERROR(__xludf.DUMMYFUNCTION("""COMPUTED_VALUE"""),"Natália Sousa De Paula | Letras / Português | aprovada | Aline Silva: Falta enviar os documentos do ensino fundamental (120 horas ok ) digitalizado com assinaturas e carimbos, faltam os documentos do ensino médio e gestão.// aprovada dia 24/04/2020// Bárb"&amp;"ara: Conferido e arquivado 15/09/2020")</f>
        <v>Natália Sousa De Paula | Letras / Português | aprovada | Aline Silva: Falta enviar os documentos do ensino fundamental (120 horas ok ) digitalizado com assinaturas e carimbos, faltam os documentos do ensino médio e gestão.// aprovada dia 24/04/2020// Bárbara: Conferido e arquivado 15/09/2020</v>
      </c>
      <c r="B3080" s="93"/>
    </row>
    <row r="3081">
      <c r="A3081" s="384" t="str">
        <f>IFERROR(__xludf.DUMMYFUNCTION("""COMPUTED_VALUE"""),"Natalina Vieira Nojosa | 2ª Licenc. Pedagogia | Em análise | Cris: Falta etapa 2 e carta de apresentação.")</f>
        <v>Natalina Vieira Nojosa | 2ª Licenc. Pedagogia | Em análise | Cris: Falta etapa 2 e carta de apresentação.</v>
      </c>
      <c r="B3081" s="93"/>
    </row>
    <row r="3082">
      <c r="A3082" s="384" t="str">
        <f>IFERROR(__xludf.DUMMYFUNCTION("""COMPUTED_VALUE"""),"Nataly Malaquias Vilela Borges | Artes Visuais | Aprovada  | Bianca: enviou apenas fichas de registros preenchidas, solicitei o envio das demais etapas// Bárbara: aprovada e autorizada a enviar o físico//Alexsiane: Conferido e arquivado 08/04/2022")</f>
        <v>Nataly Malaquias Vilela Borges | Artes Visuais | Aprovada  | Bianca: enviou apenas fichas de registros preenchidas, solicitei o envio das demais etapas// Bárbara: aprovada e autorizada a enviar o físico//Alexsiane: Conferido e arquivado 08/04/2022</v>
      </c>
      <c r="B3082" s="93"/>
    </row>
    <row r="3083">
      <c r="A3083" s="384" t="str">
        <f>IFERROR(__xludf.DUMMYFUNCTION("""COMPUTED_VALUE"""),"Natanael Inácio De Souza Júnior | Pedagogia | Aprovado | Júnio: PP - falta a carta de apresentação //Júnio: aprovado: 16/10/2023")</f>
        <v>Natanael Inácio De Souza Júnior | Pedagogia | Aprovado | Júnio: PP - falta a carta de apresentação //Júnio: aprovado: 16/10/2023</v>
      </c>
      <c r="B3083" s="93"/>
    </row>
    <row r="3084">
      <c r="A3084" s="384" t="str">
        <f>IFERROR(__xludf.DUMMYFUNCTION("""COMPUTED_VALUE"""),"Natanael Marinho Da Silva | Geografia | Aprovado | Júnio: fichas de registro com colagens de papel ( ele foi fazendo quadrados pequenos de papel e colando nas fichas), falta também relatório de observação,  plano de aula, autoavaliação e carta de apresent"&amp;"ação. //Júnio: aprovado: 09/10/23")</f>
        <v>Natanael Marinho Da Silva | Geografia | Aprovado | Júnio: fichas de registro com colagens de papel ( ele foi fazendo quadrados pequenos de papel e colando nas fichas), falta também relatório de observação,  plano de aula, autoavaliação e carta de apresentação. //Júnio: aprovado: 09/10/23</v>
      </c>
      <c r="B3084" s="93"/>
    </row>
    <row r="3085">
      <c r="A3085" s="384" t="str">
        <f>IFERROR(__xludf.DUMMYFUNCTION("""COMPUTED_VALUE"""),"Natércia Luiza |  | Aprovado | Ana vai assinar. Coloquei observações e aguardando resposta da Ana se o estágio dela está válido, pois ela fez apenas em português e o curso dela é Letras Port/Espa. Ela se enquadra nos casos em o ZAYN terá que assinar o est"&amp;"ágio devido a falta de convênio. ANA AUTORIZOU 09/11.// Bárbara: Conferido e arquivado 15/09/2020")</f>
        <v>Natércia Luiza |  | Aprovado | Ana vai assinar. Coloquei observações e aguardando resposta da Ana se o estágio dela está válido, pois ela fez apenas em português e o curso dela é Letras Port/Espa. Ela se enquadra nos casos em o ZAYN terá que assinar o estágio devido a falta de convênio. ANA AUTORIZOU 09/11.// Bárbara: Conferido e arquivado 15/09/2020</v>
      </c>
      <c r="B3085" s="93"/>
    </row>
    <row r="3086">
      <c r="A3086" s="384" t="str">
        <f>IFERROR(__xludf.DUMMYFUNCTION("""COMPUTED_VALUE"""),"Nathali Dos Santos Pereira | Pscicopedagia | Aprovada | Lucas: Aprovada no estagio remoto antigo Pós ")</f>
        <v>Nathali Dos Santos Pereira | Pscicopedagia | Aprovada | Lucas: Aprovada no estagio remoto antigo Pós </v>
      </c>
      <c r="B3086" s="93"/>
    </row>
    <row r="3087">
      <c r="A3087" s="384" t="str">
        <f>IFERROR(__xludf.DUMMYFUNCTION("""COMPUTED_VALUE"""),"Nathália Batista Dias Fróes | Segunda Licenciatura Em Educação Especial | Aprovado | Rayssa pp aprovado")</f>
        <v>Nathália Batista Dias Fróes | Segunda Licenciatura Em Educação Especial | Aprovado | Rayssa pp aprovado</v>
      </c>
      <c r="B3087" s="93"/>
    </row>
    <row r="3088">
      <c r="A3088" s="384" t="str">
        <f>IFERROR(__xludf.DUMMYFUNCTION("""COMPUTED_VALUE"""),"Nathália Beatriz Almeida Costa | Letras Português | Aprovada | Júnio: práticas pedagógigas corretas, mas inicio do curso foi em 30/03/2023, aprovação só poderá ser formalizada a partir de 30/09/23.")</f>
        <v>Nathália Beatriz Almeida Costa | Letras Português | Aprovada | Júnio: práticas pedagógigas corretas, mas inicio do curso foi em 30/03/2023, aprovação só poderá ser formalizada a partir de 30/09/23.</v>
      </c>
      <c r="B3088" s="93"/>
    </row>
    <row r="3089">
      <c r="A3089" s="384" t="str">
        <f>IFERROR(__xludf.DUMMYFUNCTION("""COMPUTED_VALUE"""),"Nathalia Regina Dos Santos | Pedagogia | Aprovada | Júnio: aprovada no remoto atualizado //Júnio;conferido e arquivado: 21/01/22")</f>
        <v>Nathalia Regina Dos Santos | Pedagogia | Aprovada | Júnio: aprovada no remoto atualizado //Júnio;conferido e arquivado: 21/01/22</v>
      </c>
      <c r="B3089" s="93"/>
    </row>
    <row r="3090">
      <c r="A3090" s="384" t="str">
        <f>IFERROR(__xludf.DUMMYFUNCTION("""COMPUTED_VALUE"""),"Nathalie Santos Caldeira Gomes | Pedagogia | Aprovada | Bárbara: aprovada 1, 2 e 3, aguardando 4ª etapa. // Bárbara: aprovada 09/11/2020")</f>
        <v>Nathalie Santos Caldeira Gomes | Pedagogia | Aprovada | Bárbara: aprovada 1, 2 e 3, aguardando 4ª etapa. // Bárbara: aprovada 09/11/2020</v>
      </c>
      <c r="B3090" s="93"/>
    </row>
    <row r="3091">
      <c r="A3091" s="384" t="str">
        <f>IFERROR(__xludf.DUMMYFUNCTION("""COMPUTED_VALUE"""),"Nathan Cruz Pireth Dos Santos | Pedagogia | Aprovado | Júnio: PP aprovado")</f>
        <v>Nathan Cruz Pireth Dos Santos | Pedagogia | Aprovado | Júnio: PP aprovado</v>
      </c>
      <c r="B3091" s="93"/>
    </row>
    <row r="3092">
      <c r="A3092" s="384" t="str">
        <f>IFERROR(__xludf.DUMMYFUNCTION("""COMPUTED_VALUE"""),"Nattnael Gonçalves Rodrigues | Pedagogia | Aprovado | Júnio: remoto antigo, etapas 1, 2 e 3 ok //Júnio: aprovado: 05/08/2022")</f>
        <v>Nattnael Gonçalves Rodrigues | Pedagogia | Aprovado | Júnio: remoto antigo, etapas 1, 2 e 3 ok //Júnio: aprovado: 05/08/2022</v>
      </c>
      <c r="B3092" s="93"/>
    </row>
    <row r="3093">
      <c r="A3093" s="384" t="str">
        <f>IFERROR(__xludf.DUMMYFUNCTION("""COMPUTED_VALUE"""),"Nayara De Andrade Matias | Pedagogia | Aprovada | Júnio: PP aprovada")</f>
        <v>Nayara De Andrade Matias | Pedagogia | Aprovada | Júnio: PP aprovada</v>
      </c>
      <c r="B3093" s="93"/>
    </row>
    <row r="3094">
      <c r="A3094" s="384" t="str">
        <f>IFERROR(__xludf.DUMMYFUNCTION("""COMPUTED_VALUE"""),"Nayara Regina Coelho | Letras Port/ Ingle | Aprovada | Bárbara: aprovada nas 3 primeiras etapas com ressalva, a aluna apresentou 2 planos com 20 sequencias didáticas. Mas estavam bem elaborados e com a proposta para todos os dias. Aguardando etapa 4.// Bá"&amp;"rbara: aprovada na 4ª etapa 01/12/2020// Bárbara: conferido e arquivado 04/01/2021")</f>
        <v>Nayara Regina Coelho | Letras Port/ Ingle | Aprovada | Bárbara: aprovada nas 3 primeiras etapas com ressalva, a aluna apresentou 2 planos com 20 sequencias didáticas. Mas estavam bem elaborados e com a proposta para todos os dias. Aguardando etapa 4.// Bárbara: aprovada na 4ª etapa 01/12/2020// Bárbara: conferido e arquivado 04/01/2021</v>
      </c>
      <c r="B3094" s="93"/>
    </row>
    <row r="3095">
      <c r="A3095" s="384" t="str">
        <f>IFERROR(__xludf.DUMMYFUNCTION("""COMPUTED_VALUE"""),"Nedyr Venus de Souza Assumpção | Segunda Licenciatura em Artes Visuais | Aprovado | Rayssa: pp aprovado")</f>
        <v>Nedyr Venus de Souza Assumpção | Segunda Licenciatura em Artes Visuais | Aprovado | Rayssa: pp aprovado</v>
      </c>
      <c r="B3095" s="93"/>
    </row>
    <row r="3096">
      <c r="A3096" s="384" t="str">
        <f>IFERROR(__xludf.DUMMYFUNCTION("""COMPUTED_VALUE"""),"Nei Guimarães Junior | Matemática | Aprovado | Júnio: pelo guru declaração de experiencia valida //Júnio: pré aprovado:18/08/23 //Júnio: aprovado: 22/08/23")</f>
        <v>Nei Guimarães Junior | Matemática | Aprovado | Júnio: pelo guru declaração de experiencia valida //Júnio: pré aprovado:18/08/23 //Júnio: aprovado: 22/08/23</v>
      </c>
      <c r="B3096" s="93"/>
    </row>
    <row r="3097">
      <c r="A3097" s="384" t="str">
        <f>IFERROR(__xludf.DUMMYFUNCTION("""COMPUTED_VALUE"""),"Neibe Pereira Guimarães | Pedagogia | aprovado | Aline Silva: aprovada// Recebido dia 19/03/2020")</f>
        <v>Neibe Pereira Guimarães | Pedagogia | aprovado | Aline Silva: aprovada// Recebido dia 19/03/2020</v>
      </c>
      <c r="B3097" s="93"/>
    </row>
    <row r="3098">
      <c r="A3098" s="384" t="str">
        <f>IFERROR(__xludf.DUMMYFUNCTION("""COMPUTED_VALUE"""),"Neide Corado Dos Reis | Pedagogia | Aprovada | Alexsiane: Falta 4 quarta etapa do remoto antigo //Júnio: aprovada: 17/08/22")</f>
        <v>Neide Corado Dos Reis | Pedagogia | Aprovada | Alexsiane: Falta 4 quarta etapa do remoto antigo //Júnio: aprovada: 17/08/22</v>
      </c>
      <c r="B3098" s="93"/>
    </row>
    <row r="3099">
      <c r="A3099" s="384" t="str">
        <f>IFERROR(__xludf.DUMMYFUNCTION("""COMPUTED_VALUE"""),"Neide Francisca Cidreira Bigoni | Artes Visuais | Aprovada | Júnio: 11% plágio, consertar resumo, margem. Cor vermelha. anexar termo de conclusão. //Júnio: aprovada 25/10/21 //Conferida e arquivada: 05/11/2021")</f>
        <v>Neide Francisca Cidreira Bigoni | Artes Visuais | Aprovada | Júnio: 11% plágio, consertar resumo, margem. Cor vermelha. anexar termo de conclusão. //Júnio: aprovada 25/10/21 //Conferida e arquivada: 05/11/2021</v>
      </c>
      <c r="B3099" s="93"/>
    </row>
    <row r="3100">
      <c r="A3100" s="384" t="str">
        <f>IFERROR(__xludf.DUMMYFUNCTION("""COMPUTED_VALUE"""),"Neide Francisca Cidreira Bigoni | Letras Português | Aprovada | Júnio: PP - falta etapa 2 //Júnio: aprovada: 28/09/23")</f>
        <v>Neide Francisca Cidreira Bigoni | Letras Português | Aprovada | Júnio: PP - falta etapa 2 //Júnio: aprovada: 28/09/23</v>
      </c>
      <c r="B3100" s="93"/>
    </row>
    <row r="3101">
      <c r="A3101" s="384" t="str">
        <f>IFERROR(__xludf.DUMMYFUNCTION("""COMPUTED_VALUE"""),"Neide Maria Dos Santos | Pedagogia | Aprovada  | Bianca: Falta etapa 3 e 4 do remoto atualizado// Bianca: aprovada nas 4 etapas do remoto atualizado em 16/11/2021")</f>
        <v>Neide Maria Dos Santos | Pedagogia | Aprovada  | Bianca: Falta etapa 3 e 4 do remoto atualizado// Bianca: aprovada nas 4 etapas do remoto atualizado em 16/11/2021</v>
      </c>
      <c r="B3101" s="93"/>
    </row>
    <row r="3102">
      <c r="A3102" s="384" t="str">
        <f>IFERROR(__xludf.DUMMYFUNCTION("""COMPUTED_VALUE"""),"Neli Gabriel Ribeiro | Pedagogia | aprovada | Júnio: pré-aprovada no padrão //Júnio: 29/09/22- físico conferido e arquivado")</f>
        <v>Neli Gabriel Ribeiro | Pedagogia | aprovada | Júnio: pré-aprovada no padrão //Júnio: 29/09/22- físico conferido e arquivado</v>
      </c>
      <c r="B3102" s="93"/>
    </row>
    <row r="3103">
      <c r="A3103" s="384" t="str">
        <f>IFERROR(__xludf.DUMMYFUNCTION("""COMPUTED_VALUE"""),"Neomar Mendes | Música | Aprovado | Júnio: PP aprovado")</f>
        <v>Neomar Mendes | Música | Aprovado | Júnio: PP aprovado</v>
      </c>
      <c r="B3103" s="93"/>
    </row>
    <row r="3104">
      <c r="A3104" s="384" t="str">
        <f>IFERROR(__xludf.DUMMYFUNCTION("""COMPUTED_VALUE"""),"Nércia Meri Sganderla | Artes Visuais | Aprovada | Júnio: 39% plágio //Júnio: aprovada: 25/08/23")</f>
        <v>Nércia Meri Sganderla | Artes Visuais | Aprovada | Júnio: 39% plágio //Júnio: aprovada: 25/08/23</v>
      </c>
      <c r="B3104" s="93"/>
    </row>
    <row r="3105">
      <c r="A3105" s="384" t="str">
        <f>IFERROR(__xludf.DUMMYFUNCTION("""COMPUTED_VALUE"""),"Neusa De Almeida Machado | Pedagogia | Aprovada | Aline Silva: falta recolher assinaturas e carimbos //Bárbara: aprovado após análise física 09/04/2021")</f>
        <v>Neusa De Almeida Machado | Pedagogia | Aprovada | Aline Silva: falta recolher assinaturas e carimbos //Bárbara: aprovado após análise física 09/04/2021</v>
      </c>
      <c r="B3105" s="93"/>
    </row>
    <row r="3106">
      <c r="A3106" s="384" t="str">
        <f>IFERROR(__xludf.DUMMYFUNCTION("""COMPUTED_VALUE"""),"Nicole Chagas Lima | Artes Visuais | Aprovada | Júnio: fez ficha de registro  de forma errada, precisa preencher de forma diária todo o acompanhamento. //Júnio: aprovada: 01/06/23")</f>
        <v>Nicole Chagas Lima | Artes Visuais | Aprovada | Júnio: fez ficha de registro  de forma errada, precisa preencher de forma diária todo o acompanhamento. //Júnio: aprovada: 01/06/23</v>
      </c>
      <c r="B3106" s="93"/>
    </row>
    <row r="3107">
      <c r="A3107" s="384" t="str">
        <f>IFERROR(__xludf.DUMMYFUNCTION("""COMPUTED_VALUE"""),"Nidelcí De Fátima Benício Lins Dos Santos | Pedagogia | Aprovada | Júnio: PP - enviar a entrevista em forma de perguntas e respostas //Júnio: aprovada: 06/12/2023")</f>
        <v>Nidelcí De Fátima Benício Lins Dos Santos | Pedagogia | Aprovada | Júnio: PP - enviar a entrevista em forma de perguntas e respostas //Júnio: aprovada: 06/12/2023</v>
      </c>
      <c r="B3107" s="93"/>
    </row>
    <row r="3108">
      <c r="A3108" s="384" t="str">
        <f>IFERROR(__xludf.DUMMYFUNCTION("""COMPUTED_VALUE"""),"Niele Almeida Amorim | Pedagogia | Aprovada | Júnio: 8% plágio, passar o acompanhamento diário para o nosso modelo padrão de ficha de registro, complementar com mais 42 hs, especificar tipo e acompanhamento e série. PRAZO: 08/07/23 //Júnio: aprovada. 23/0"&amp;"8/23")</f>
        <v>Niele Almeida Amorim | Pedagogia | Aprovada | Júnio: 8% plágio, passar o acompanhamento diário para o nosso modelo padrão de ficha de registro, complementar com mais 42 hs, especificar tipo e acompanhamento e série. PRAZO: 08/07/23 //Júnio: aprovada. 23/08/23</v>
      </c>
      <c r="B3108" s="93"/>
    </row>
    <row r="3109">
      <c r="A3109" s="384" t="str">
        <f>IFERROR(__xludf.DUMMYFUNCTION("""COMPUTED_VALUE"""),"Nikolas De Pelellegrin | Letras Português/ Inglês | Aprovada | Bianca: aprovada nas 4 etapas do remoto antigo")</f>
        <v>Nikolas De Pelellegrin | Letras Português/ Inglês | Aprovada | Bianca: aprovada nas 4 etapas do remoto antigo</v>
      </c>
      <c r="B3109" s="93"/>
    </row>
    <row r="3110">
      <c r="A3110" s="384" t="str">
        <f>IFERROR(__xludf.DUMMYFUNCTION("""COMPUTED_VALUE"""),"Nilber Luiz Veloso | Matemática | Aprovado | Alexsiane: tem que enviar o trabalho em Word editável até dia 08/07/2022 para reenviar// Alexsiane: foi aprovado pela Pâmela no dia 03/01/2023 sem fazer o envio da documentação física, Portanto uma vez que o al"&amp;"uno recebe aprovação no e-mail  não poderá voltar atras.")</f>
        <v>Nilber Luiz Veloso | Matemática | Aprovado | Alexsiane: tem que enviar o trabalho em Word editável até dia 08/07/2022 para reenviar// Alexsiane: foi aprovado pela Pâmela no dia 03/01/2023 sem fazer o envio da documentação física, Portanto uma vez que o aluno recebe aprovação no e-mail  não poderá voltar atras.</v>
      </c>
      <c r="B3110" s="93"/>
    </row>
    <row r="3111">
      <c r="A3111" s="384" t="str">
        <f>IFERROR(__xludf.DUMMYFUNCTION("""COMPUTED_VALUE"""),"Nilce Moreira Lopes De Moraes | Pedagogia | Aprovado | APROVADO, 30/07.")</f>
        <v>Nilce Moreira Lopes De Moraes | Pedagogia | Aprovado | APROVADO, 30/07.</v>
      </c>
      <c r="B3111" s="93"/>
    </row>
    <row r="3112">
      <c r="A3112" s="384" t="str">
        <f>IFERROR(__xludf.DUMMYFUNCTION("""COMPUTED_VALUE"""),"Nilcilene Silva Soares | Filosofia | Aprovada | Bárbara: trabalho bom, contudo a aluna apresentou apenas 14 planos, pedi para complementar.// Bárbara: aprovada 25/11/2020// Bárbara: imprimido 09/01/2021// Bárbara: conferido e arquivado 28/01/2021")</f>
        <v>Nilcilene Silva Soares | Filosofia | Aprovada | Bárbara: trabalho bom, contudo a aluna apresentou apenas 14 planos, pedi para complementar.// Bárbara: aprovada 25/11/2020// Bárbara: imprimido 09/01/2021// Bárbara: conferido e arquivado 28/01/2021</v>
      </c>
      <c r="B3112" s="93"/>
    </row>
    <row r="3113">
      <c r="A3113" s="384" t="str">
        <f>IFERROR(__xludf.DUMMYFUNCTION("""COMPUTED_VALUE"""),"Nilda De Jesus Chichowicz | Ciências Sociais | aprovada | Alexsiane: aprovado com lançamento no Sponte")</f>
        <v>Nilda De Jesus Chichowicz | Ciências Sociais | aprovada | Alexsiane: aprovado com lançamento no Sponte</v>
      </c>
      <c r="B3113" s="93"/>
    </row>
    <row r="3114">
      <c r="A3114" s="384" t="str">
        <f>IFERROR(__xludf.DUMMYFUNCTION("""COMPUTED_VALUE"""),"Nilda Maria De Assis | Ed. Física | Aprovada | Bárbara: detectado plágio nas parte da BNCC// Bárbara: aprovada 18/01/2021")</f>
        <v>Nilda Maria De Assis | Ed. Física | Aprovada | Bárbara: detectado plágio nas parte da BNCC// Bárbara: aprovada 18/01/2021</v>
      </c>
      <c r="B3114" s="93"/>
    </row>
    <row r="3115">
      <c r="A3115" s="384" t="str">
        <f>IFERROR(__xludf.DUMMYFUNCTION("""COMPUTED_VALUE"""),"Nilda Oliveira Da Silva Martins | Pedagogia | Aprovada | Aline Silva: apresentou a declaração de experiência, contagem de tempo.// Bárbara: aprovada 13/01/2021")</f>
        <v>Nilda Oliveira Da Silva Martins | Pedagogia | Aprovada | Aline Silva: apresentou a declaração de experiência, contagem de tempo.// Bárbara: aprovada 13/01/2021</v>
      </c>
      <c r="B3115" s="93"/>
    </row>
    <row r="3116">
      <c r="A3116" s="384" t="str">
        <f>IFERROR(__xludf.DUMMYFUNCTION("""COMPUTED_VALUE"""),"Nilson Negrão Filho | Educação Física | Aprovado | Júnio: PP - 17% plágio //Júnio: pagou apressamento - aprovado: 06/12/23")</f>
        <v>Nilson Negrão Filho | Educação Física | Aprovado | Júnio: PP - 17% plágio //Júnio: pagou apressamento - aprovado: 06/12/23</v>
      </c>
      <c r="B3116" s="93"/>
    </row>
    <row r="3117">
      <c r="A3117" s="384" t="str">
        <f>IFERROR(__xludf.DUMMYFUNCTION("""COMPUTED_VALUE"""),"Nilton Anderson Santos | História | aprovado | Aline Silva: faltou descrever atividades nas fichas. Solicitei que fizesse fichas descritivas, e colocasse nos anexos.// Aprovado dia 28/02/2020// Recebido impresso e encadernado dia 19/03/2020")</f>
        <v>Nilton Anderson Santos | História | aprovado | Aline Silva: faltou descrever atividades nas fichas. Solicitei que fizesse fichas descritivas, e colocasse nos anexos.// Aprovado dia 28/02/2020// Recebido impresso e encadernado dia 19/03/2020</v>
      </c>
      <c r="B3117" s="93"/>
    </row>
    <row r="3118">
      <c r="A3118" s="384" t="str">
        <f>IFERROR(__xludf.DUMMYFUNCTION("""COMPUTED_VALUE"""),"Nilton Anderson Santos Barboza | História | Aprovado | Aline Silva: Aprovado// Bárbara: conferido e arquivado 29/12/2020")</f>
        <v>Nilton Anderson Santos Barboza | História | Aprovado | Aline Silva: Aprovado// Bárbara: conferido e arquivado 29/12/2020</v>
      </c>
      <c r="B3118" s="93"/>
    </row>
    <row r="3119">
      <c r="A3119" s="384" t="str">
        <f>IFERROR(__xludf.DUMMYFUNCTION("""COMPUTED_VALUE"""),"Nilvania Ferreira Dos Santos | Letras Português-Inglês | Aprovada | Alexsiane; enviar em word editável  até dia 03/09 para reenviar //Júnio: pré aprovada - 03/01/23 // Pamela 17/01/2023 Conferido e arquivado. ")</f>
        <v>Nilvania Ferreira Dos Santos | Letras Português-Inglês | Aprovada | Alexsiane; enviar em word editável  até dia 03/09 para reenviar //Júnio: pré aprovada - 03/01/23 // Pamela 17/01/2023 Conferido e arquivado. </v>
      </c>
      <c r="B3119" s="93"/>
    </row>
    <row r="3120">
      <c r="A3120" s="384" t="str">
        <f>IFERROR(__xludf.DUMMYFUNCTION("""COMPUTED_VALUE"""),"Nilvia Maria Marques | Pedagogia | Aprovada | Edilaine: Tem que fazer a introdução, complementar o relatório de observação, fazer um plano de aula, fazer o relatório de regência, fazer considerações finais, fazer autoavaliação e cubrir o rosto das pessoas"&amp;" nas fotos. Tem até dia 12/12/2022 para reenviar//// Edilaine: Pré aprovada com lançamento no Sponte// Pamela 21/12/22 Conferido e arquivado. ")</f>
        <v>Nilvia Maria Marques | Pedagogia | Aprovada | Edilaine: Tem que fazer a introdução, complementar o relatório de observação, fazer um plano de aula, fazer o relatório de regência, fazer considerações finais, fazer autoavaliação e cubrir o rosto das pessoas nas fotos. Tem até dia 12/12/2022 para reenviar//// Edilaine: Pré aprovada com lançamento no Sponte// Pamela 21/12/22 Conferido e arquivado. </v>
      </c>
      <c r="B3120" s="93"/>
    </row>
    <row r="3121">
      <c r="A3121" s="384" t="str">
        <f>IFERROR(__xludf.DUMMYFUNCTION("""COMPUTED_VALUE"""),"Nirian Viana Dos Santos | Pedagogia | Em análise | Bárbara: aprovada nas 3 primeiras etapas do remoto// Miryã: conferido e arquivado 10/03/2021")</f>
        <v>Nirian Viana Dos Santos | Pedagogia | Em análise | Bárbara: aprovada nas 3 primeiras etapas do remoto// Miryã: conferido e arquivado 10/03/2021</v>
      </c>
      <c r="B3121" s="93"/>
    </row>
    <row r="3122">
      <c r="A3122" s="384" t="str">
        <f>IFERROR(__xludf.DUMMYFUNCTION("""COMPUTED_VALUE"""),"Nirlania Schmithberg | Ciências Biológicas | Em análise | Alexsiane: PP, 21% de plágio e está falntando a carta de apresentação. ")</f>
        <v>Nirlania Schmithberg | Ciências Biológicas | Em análise | Alexsiane: PP, 21% de plágio e está falntando a carta de apresentação. </v>
      </c>
      <c r="B3122" s="93"/>
    </row>
    <row r="3123">
      <c r="A3123" s="384" t="str">
        <f>IFERROR(__xludf.DUMMYFUNCTION("""COMPUTED_VALUE"""),"Nirléia De Lima Dos Santos Siqueira | Neuropsicopedagogia Cli E Hosp. | Aprovada | Sandra: 20% de plagio //Edilaine: aprovada 14/11/22")</f>
        <v>Nirléia De Lima Dos Santos Siqueira | Neuropsicopedagogia Cli E Hosp. | Aprovada | Sandra: 20% de plagio //Edilaine: aprovada 14/11/22</v>
      </c>
      <c r="B3123" s="93"/>
    </row>
    <row r="3124">
      <c r="A3124" s="384" t="str">
        <f>IFERROR(__xludf.DUMMYFUNCTION("""COMPUTED_VALUE"""),"Nivaldo Alves Cassimiro | Matemática | Aprovado | Bárbara: etapas 1 e 2 ok, na etapa 3 o aluno não elaborou os planos, ele colou imagens de planos prontos, pedi que refizesse a 3ª etapa e também completasse a cnclusão //Bárbara: aprovado: 20/11/2021")</f>
        <v>Nivaldo Alves Cassimiro | Matemática | Aprovado | Bárbara: etapas 1 e 2 ok, na etapa 3 o aluno não elaborou os planos, ele colou imagens de planos prontos, pedi que refizesse a 3ª etapa e também completasse a cnclusão //Bárbara: aprovado: 20/11/2021</v>
      </c>
      <c r="B3124" s="93"/>
    </row>
    <row r="3125">
      <c r="A3125" s="384" t="str">
        <f>IFERROR(__xludf.DUMMYFUNCTION("""COMPUTED_VALUE"""),"Nívia Cristina Oliveira Silva | Pedagogia | Aprovada | Ana Flávia: aprovada nas 3 primeiras etapas do remoto// Bárbara: aprovada 03/02/2021")</f>
        <v>Nívia Cristina Oliveira Silva | Pedagogia | Aprovada | Ana Flávia: aprovada nas 3 primeiras etapas do remoto// Bárbara: aprovada 03/02/2021</v>
      </c>
      <c r="B3125" s="93"/>
    </row>
    <row r="3126">
      <c r="A3126" s="384" t="str">
        <f>IFERROR(__xludf.DUMMYFUNCTION("""COMPUTED_VALUE"""),"Nívia Kerolybatista Dos Santos | Geografia | Aprovada | Thiara: não enviou carta de apresentação, declaração de conclusão de estágio faltava horas de obs EM (8 horas ), Reg EM (7 horas) e Reg EF (13 horas).// Recebido dia 11/12/2019// Bárbara: conferido e"&amp;" arquivado 29/12/2020")</f>
        <v>Nívia Kerolybatista Dos Santos | Geografia | Aprovada | Thiara: não enviou carta de apresentação, declaração de conclusão de estágio faltava horas de obs EM (8 horas ), Reg EM (7 horas) e Reg EF (13 horas).// Recebido dia 11/12/2019// Bárbara: conferido e arquivado 29/12/2020</v>
      </c>
      <c r="B3126" s="93"/>
    </row>
    <row r="3127">
      <c r="A3127" s="384" t="str">
        <f>IFERROR(__xludf.DUMMYFUNCTION("""COMPUTED_VALUE"""),"Noe Leandro Da Silva | Pedagogia | Aprovado  | Júnio: Remoto Antigo Etapa 1 e 2 OK, etapa 3 falta 10 planos// Bárbara: apresentou aula online 30/09/2021")</f>
        <v>Noe Leandro Da Silva | Pedagogia | Aprovado  | Júnio: Remoto Antigo Etapa 1 e 2 OK, etapa 3 falta 10 planos// Bárbara: apresentou aula online 30/09/2021</v>
      </c>
      <c r="B3127" s="93"/>
    </row>
    <row r="3128">
      <c r="A3128" s="384" t="str">
        <f>IFERROR(__xludf.DUMMYFUNCTION("""COMPUTED_VALUE"""),"Noemia Carneiro Da Silva De Novais | Letras- Português-Inglês | Em análise | Alexsiane: Falta etapa 4,complementar os 20 planos de aulas com:dados de identificação, componenete curricular, recursos didaticos,avaliação e bibliografia. Corrigir as margens e"&amp;" complementar a introdução e falar um pouco mais sobre as 10 competências.Até dia 28/04/2022 para reenviar")</f>
        <v>Noemia Carneiro Da Silva De Novais | Letras- Português-Inglês | Em análise | Alexsiane: Falta etapa 4,complementar os 20 planos de aulas com:dados de identificação, componenete curricular, recursos didaticos,avaliação e bibliografia. Corrigir as margens e complementar a introdução e falar um pouco mais sobre as 10 competências.Até dia 28/04/2022 para reenviar</v>
      </c>
      <c r="B3128" s="93"/>
    </row>
    <row r="3129">
      <c r="A3129" s="384" t="str">
        <f>IFERROR(__xludf.DUMMYFUNCTION("""COMPUTED_VALUE"""),"Norma Giulia Pereira Dos Santos Martins | Letras - Português/Inglês | Aprovado  | Alexsiane: PP falta a 2° etapa//Alexsiane; pp aprovado 01/08/24")</f>
        <v>Norma Giulia Pereira Dos Santos Martins | Letras - Português/Inglês | Aprovado  | Alexsiane: PP falta a 2° etapa//Alexsiane; pp aprovado 01/08/24</v>
      </c>
      <c r="B3129" s="93"/>
    </row>
    <row r="3130">
      <c r="A3130" s="384" t="str">
        <f>IFERROR(__xludf.DUMMYFUNCTION("""COMPUTED_VALUE"""),"Nórton Zimmermann De Souza | Música | Aprovado | Júnio: PP - inicio: 17/07/23 Reenviar: 17/01/24 //Júnio: aprovado: 18/01/24 ")</f>
        <v>Nórton Zimmermann De Souza | Música | Aprovado | Júnio: PP - inicio: 17/07/23 Reenviar: 17/01/24 //Júnio: aprovado: 18/01/24 </v>
      </c>
      <c r="B3130" s="93"/>
    </row>
    <row r="3131">
      <c r="A3131" s="384" t="str">
        <f>IFERROR(__xludf.DUMMYFUNCTION("""COMPUTED_VALUE"""),"Núbia Cássia De Melo Da Costa | Educação Física | Aprovada | Bárbara: recebeu orientções do remoto atualizado e enviou trabalho remoto antigo, pedi para consertar. //Bianca: aprovada: 30/06/2021")</f>
        <v>Núbia Cássia De Melo Da Costa | Educação Física | Aprovada | Bárbara: recebeu orientções do remoto atualizado e enviou trabalho remoto antigo, pedi para consertar. //Bianca: aprovada: 30/06/2021</v>
      </c>
      <c r="B3131" s="93"/>
    </row>
    <row r="3132">
      <c r="A3132" s="384" t="str">
        <f>IFERROR(__xludf.DUMMYFUNCTION("""COMPUTED_VALUE"""),"Núbia De Fátima Leite Carvalho | Letras Port | Aprovada | Bárbara: aprovada nas 3 primeiras etapas do remoto, e apresentou declaração de experi~encia válida.")</f>
        <v>Núbia De Fátima Leite Carvalho | Letras Port | Aprovada | Bárbara: aprovada nas 3 primeiras etapas do remoto, e apresentou declaração de experi~encia válida.</v>
      </c>
      <c r="B3132" s="93"/>
    </row>
    <row r="3133">
      <c r="A3133" s="384" t="str">
        <f>IFERROR(__xludf.DUMMYFUNCTION("""COMPUTED_VALUE"""),"Núbia Domingos Dos Santos | Pedagogia | Aprovado | Thiara: Falta mandar a documentação assinada e carimbada para verificação. Entregue no Instituto dia 25/04/2019.")</f>
        <v>Núbia Domingos Dos Santos | Pedagogia | Aprovado | Thiara: Falta mandar a documentação assinada e carimbada para verificação. Entregue no Instituto dia 25/04/2019.</v>
      </c>
      <c r="B3133" s="93"/>
    </row>
    <row r="3134">
      <c r="A3134" s="384" t="str">
        <f>IFERROR(__xludf.DUMMYFUNCTION("""COMPUTED_VALUE"""),"Núbia Ferreira Dos Santos Cavalari | Pedagogia | Aprovada | Júnio: PP - falta a entrevista na integra e a carta de autorização //Júnio: aprovada: 04/08/2023")</f>
        <v>Núbia Ferreira Dos Santos Cavalari | Pedagogia | Aprovada | Júnio: PP - falta a entrevista na integra e a carta de autorização //Júnio: aprovada: 04/08/2023</v>
      </c>
      <c r="B3134" s="93"/>
    </row>
    <row r="3135">
      <c r="A3135" s="384" t="str">
        <f>IFERROR(__xludf.DUMMYFUNCTION("""COMPUTED_VALUE"""),"Odair José Nunes | Música | Aprovado | Júnio: estágio remoto: aprovado")</f>
        <v>Odair José Nunes | Música | Aprovado | Júnio: estágio remoto: aprovado</v>
      </c>
      <c r="B3135" s="93"/>
    </row>
    <row r="3136">
      <c r="A3136" s="384" t="str">
        <f>IFERROR(__xludf.DUMMYFUNCTION("""COMPUTED_VALUE"""),"Odair Leandro De Matos | Segunda Licenciatura Em Música | Aprovado | Mariana: Falta entrevista //Cristiane: pp aprovado ")</f>
        <v>Odair Leandro De Matos | Segunda Licenciatura Em Música | Aprovado | Mariana: Falta entrevista //Cristiane: pp aprovado </v>
      </c>
      <c r="B3136" s="93"/>
    </row>
    <row r="3137">
      <c r="A3137" s="384" t="str">
        <f>IFERROR(__xludf.DUMMYFUNCTION("""COMPUTED_VALUE"""),"Odair Leandro Matos | Música | Aprovado | Cris: PP aprovado")</f>
        <v>Odair Leandro Matos | Música | Aprovado | Cris: PP aprovado</v>
      </c>
      <c r="B3137" s="93"/>
    </row>
    <row r="3138">
      <c r="A3138" s="384" t="str">
        <f>IFERROR(__xludf.DUMMYFUNCTION("""COMPUTED_VALUE"""),"Odete Camilo Diniz | Pedagogia | Aprovada | Bianca: autorizada a recolher assinaturas e falta enviar etapas 1,2 e 3 //Bianca: 26/08/21")</f>
        <v>Odete Camilo Diniz | Pedagogia | Aprovada | Bianca: autorizada a recolher assinaturas e falta enviar etapas 1,2 e 3 //Bianca: 26/08/21</v>
      </c>
      <c r="B3138" s="93"/>
    </row>
    <row r="3139">
      <c r="A3139" s="384" t="str">
        <f>IFERROR(__xludf.DUMMYFUNCTION("""COMPUTED_VALUE"""),"Ofélia Rost De Andrade | Pedagogia | Aprovada | Júnio: Fez só 60 horas na ficha de registro, falta todo o resto. //Júnio: aprovada: 28/11/2023")</f>
        <v>Ofélia Rost De Andrade | Pedagogia | Aprovada | Júnio: Fez só 60 horas na ficha de registro, falta todo o resto. //Júnio: aprovada: 28/11/2023</v>
      </c>
      <c r="B3139" s="93"/>
    </row>
    <row r="3140">
      <c r="A3140" s="384" t="str">
        <f>IFERROR(__xludf.DUMMYFUNCTION("""COMPUTED_VALUE"""),"Olandim De Sousa Sueth | Filosofia | Aprovado | Bárbara: aprovada nas 3 etapas do remoto // Bárbara: aprovado 05/03/2021// Bárbara: conferido e arquivado 20/04/2021")</f>
        <v>Olandim De Sousa Sueth | Filosofia | Aprovado | Bárbara: aprovada nas 3 etapas do remoto // Bárbara: aprovado 05/03/2021// Bárbara: conferido e arquivado 20/04/2021</v>
      </c>
      <c r="B3140" s="93"/>
    </row>
    <row r="3141">
      <c r="A3141" s="384" t="str">
        <f>IFERROR(__xludf.DUMMYFUNCTION("""COMPUTED_VALUE"""),"Olga Lopes | Pedagogia | Aprovado | Alexsiane: pp aprovado")</f>
        <v>Olga Lopes | Pedagogia | Aprovado | Alexsiane: pp aprovado</v>
      </c>
      <c r="B3141" s="93"/>
    </row>
    <row r="3142">
      <c r="A3142" s="384" t="str">
        <f>IFERROR(__xludf.DUMMYFUNCTION("""COMPUTED_VALUE"""),"Olga Nágenzes Gomes Dos Santos | Pedagogia | Aprovada | Aline Silva: correção realizada após liberação da Ana, estágio igual da aluna Oliandra Rodrigues. Solicitei nova auto avalização, recolher as assinaturas quando possível e me enviar para análise.")</f>
        <v>Olga Nágenzes Gomes Dos Santos | Pedagogia | Aprovada | Aline Silva: correção realizada após liberação da Ana, estágio igual da aluna Oliandra Rodrigues. Solicitei nova auto avalização, recolher as assinaturas quando possível e me enviar para análise.</v>
      </c>
      <c r="B3142" s="93"/>
    </row>
    <row r="3143">
      <c r="A3143" s="384" t="str">
        <f>IFERROR(__xludf.DUMMYFUNCTION("""COMPUTED_VALUE"""),"Oliandra Rodrigues Santos | Pedagogia | Aprovado | Aline Silva: aprovado, recolher assinaturas //Júnio: conferido e arquivado 13/04/2021")</f>
        <v>Oliandra Rodrigues Santos | Pedagogia | Aprovado | Aline Silva: aprovado, recolher assinaturas //Júnio: conferido e arquivado 13/04/2021</v>
      </c>
      <c r="B3143" s="93"/>
    </row>
    <row r="3144">
      <c r="A3144" s="384" t="str">
        <f>IFERROR(__xludf.DUMMYFUNCTION("""COMPUTED_VALUE"""),"Olmiro Aparecido Marczynski | Pedagogia Para Bachareis E Tecnologos | Aprovado | Júnio: PP adaptado - aprovado")</f>
        <v>Olmiro Aparecido Marczynski | Pedagogia Para Bachareis E Tecnologos | Aprovado | Júnio: PP adaptado - aprovado</v>
      </c>
      <c r="B3144" s="93"/>
    </row>
    <row r="3145">
      <c r="A3145" s="384" t="str">
        <f>IFERROR(__xludf.DUMMYFUNCTION("""COMPUTED_VALUE"""),"Ondil Fogaça Da Silva Junior | Formação Pedagógica Em Música | Aprovado | Rayssa pp aprovado")</f>
        <v>Ondil Fogaça Da Silva Junior | Formação Pedagógica Em Música | Aprovado | Rayssa pp aprovado</v>
      </c>
      <c r="B3145" s="93"/>
    </row>
    <row r="3146">
      <c r="A3146" s="384" t="str">
        <f>IFERROR(__xludf.DUMMYFUNCTION("""COMPUTED_VALUE"""),"Onélia Balhejo Geronimo | Pedagogia | aprovada | Bárbara: divisão de horas erradas, mais de 4 horas por dia também, e sem carta de aceite //Bianca: aprovada 28/04/21")</f>
        <v>Onélia Balhejo Geronimo | Pedagogia | aprovada | Bárbara: divisão de horas erradas, mais de 4 horas por dia também, e sem carta de aceite //Bianca: aprovada 28/04/21</v>
      </c>
      <c r="B3146" s="93"/>
    </row>
    <row r="3147">
      <c r="A3147" s="384" t="str">
        <f>IFERROR(__xludf.DUMMYFUNCTION("""COMPUTED_VALUE"""),"Onésio João Ribeiro | História | Aprovado | Amélia: aprovado nas 3 primeiras etapas// Bárbara: aprovado nas 4 etapas 18/03/2021")</f>
        <v>Onésio João Ribeiro | História | Aprovado | Amélia: aprovado nas 3 primeiras etapas// Bárbara: aprovado nas 4 etapas 18/03/2021</v>
      </c>
      <c r="B3147" s="93"/>
    </row>
    <row r="3148">
      <c r="A3148" s="384" t="str">
        <f>IFERROR(__xludf.DUMMYFUNCTION("""COMPUTED_VALUE"""),"Onorita Teixeira De Almeida | Pedagogia C/ Ênf. | Aprovado | Mandei enviar pelo correio (12/01).// Bárbara: Conferido e arquivado 15/09/2020")</f>
        <v>Onorita Teixeira De Almeida | Pedagogia C/ Ênf. | Aprovado | Mandei enviar pelo correio (12/01).// Bárbara: Conferido e arquivado 15/09/2020</v>
      </c>
      <c r="B3148" s="93"/>
    </row>
    <row r="3149">
      <c r="A3149" s="384" t="str">
        <f>IFERROR(__xludf.DUMMYFUNCTION("""COMPUTED_VALUE"""),"Oscar Bruno De Oliveira Santos | Ciências Biologicas | Aprovado | Fez TGD 240h")</f>
        <v>Oscar Bruno De Oliveira Santos | Ciências Biologicas | Aprovado | Fez TGD 240h</v>
      </c>
      <c r="B3149" s="93"/>
    </row>
    <row r="3150">
      <c r="A3150" s="384" t="str">
        <f>IFERROR(__xludf.DUMMYFUNCTION("""COMPUTED_VALUE"""),"Osmar Florenziano | Psicopedagogia Clínica E Hospitalar | Aprovado  | Bianca: autorizada a recolher assinaturas, falta sumário e carta de encaminhamento// Aprovado 01/10/2021//Alexsiane: Conferido e arquivado 08/04/2022")</f>
        <v>Osmar Florenziano | Psicopedagogia Clínica E Hospitalar | Aprovado  | Bianca: autorizada a recolher assinaturas, falta sumário e carta de encaminhamento// Aprovado 01/10/2021//Alexsiane: Conferido e arquivado 08/04/2022</v>
      </c>
      <c r="B3150" s="93"/>
    </row>
    <row r="3151">
      <c r="A3151" s="384" t="str">
        <f>IFERROR(__xludf.DUMMYFUNCTION("""COMPUTED_VALUE"""),"Osmar Morais Santos De Melo | Pedagogia | Aprovado | Júnio: pré aprovado PRAZO: 26/08/23 //Júnio: aprovado: 28/08/23")</f>
        <v>Osmar Morais Santos De Melo | Pedagogia | Aprovado | Júnio: pré aprovado PRAZO: 26/08/23 //Júnio: aprovado: 28/08/23</v>
      </c>
      <c r="B3151" s="93"/>
    </row>
    <row r="3152">
      <c r="A3152" s="384" t="str">
        <f>IFERROR(__xludf.DUMMYFUNCTION("""COMPUTED_VALUE"""),"Osmar Morais Santos De Melo | Psicopedagogia Institucional E Clínica | Aprovado | Júnio: aprovado - remoto antigo")</f>
        <v>Osmar Morais Santos De Melo | Psicopedagogia Institucional E Clínica | Aprovado | Júnio: aprovado - remoto antigo</v>
      </c>
      <c r="B3152" s="93"/>
    </row>
    <row r="3153">
      <c r="A3153" s="384" t="str">
        <f>IFERROR(__xludf.DUMMYFUNCTION("""COMPUTED_VALUE"""),"Osni Santos Ribeiro | Pedagogia | Aprovado | Júnio: PP - falta a carta// Mariana : aprovado 18/03")</f>
        <v>Osni Santos Ribeiro | Pedagogia | Aprovado | Júnio: PP - falta a carta// Mariana : aprovado 18/03</v>
      </c>
      <c r="B3153" s="93"/>
    </row>
    <row r="3154">
      <c r="A3154" s="384" t="str">
        <f>IFERROR(__xludf.DUMMYFUNCTION("""COMPUTED_VALUE"""),"Otaviano Ramos Alves | Pedagogia | Aprovado | Aguardando envio do trabalho completo, enviou apenas etapa 4. //Bianca: aprovado: 14/07/21")</f>
        <v>Otaviano Ramos Alves | Pedagogia | Aprovado | Aguardando envio do trabalho completo, enviou apenas etapa 4. //Bianca: aprovado: 14/07/21</v>
      </c>
      <c r="B3154" s="93"/>
    </row>
    <row r="3155">
      <c r="A3155" s="384" t="str">
        <f>IFERROR(__xludf.DUMMYFUNCTION("""COMPUTED_VALUE"""),"Otávio Antonio Almeida Da Silva | Pedagogia | Aprovado | Júnio: PP - 10% plágio PRAZO: 06/10/2023 //Júnio: PP aprovado")</f>
        <v>Otávio Antonio Almeida Da Silva | Pedagogia | Aprovado | Júnio: PP - 10% plágio PRAZO: 06/10/2023 //Júnio: PP aprovado</v>
      </c>
      <c r="B3155" s="93"/>
    </row>
    <row r="3156">
      <c r="A3156" s="384" t="str">
        <f>IFERROR(__xludf.DUMMYFUNCTION("""COMPUTED_VALUE"""),"Otávio Augusto Rena Misael | Letras Português Inglês | Aprovado | Júnio: colocar a carga horária de gestão de forma diária na ficha de registro //Júnio: aprovado: 20/07/23")</f>
        <v>Otávio Augusto Rena Misael | Letras Português Inglês | Aprovado | Júnio: colocar a carga horária de gestão de forma diária na ficha de registro //Júnio: aprovado: 20/07/23</v>
      </c>
      <c r="B3156" s="93"/>
    </row>
    <row r="3157">
      <c r="A3157" s="384" t="str">
        <f>IFERROR(__xludf.DUMMYFUNCTION("""COMPUTED_VALUE"""),"Ozéias Prata Bento | Pedagogia | Aprovado | Alexsiane: pp aprovado")</f>
        <v>Ozéias Prata Bento | Pedagogia | Aprovado | Alexsiane: pp aprovado</v>
      </c>
      <c r="B3157" s="93"/>
    </row>
    <row r="3158">
      <c r="A3158" s="384" t="str">
        <f>IFERROR(__xludf.DUMMYFUNCTION("""COMPUTED_VALUE"""),"Ozeias Ribeiro Silva | Filosofia | Aprovado | Alexsiane: aluma fez somente os 20 planos de aula, porém recebeu orientação do estágio remoto atualizado e padrão, conforme o estágio atualizado não e mas valido foi cobrado todos o topicos do remoto padrão. 1"&amp;"4% de plágio nos planos de aula. até dia 24/07/22 reenviar //Júnio: aprovado: 26/07/23")</f>
        <v>Ozeias Ribeiro Silva | Filosofia | Aprovado | Alexsiane: aluma fez somente os 20 planos de aula, porém recebeu orientação do estágio remoto atualizado e padrão, conforme o estágio atualizado não e mas valido foi cobrado todos o topicos do remoto padrão. 14% de plágio nos planos de aula. até dia 24/07/22 reenviar //Júnio: aprovado: 26/07/23</v>
      </c>
      <c r="B3158" s="93"/>
    </row>
    <row r="3159">
      <c r="A3159" s="384" t="str">
        <f>IFERROR(__xludf.DUMMYFUNCTION("""COMPUTED_VALUE"""),"Ozeias Ribeiro Silva | Geografia | Aprovado | Alexsiane: pp falta etaá 1 e encaminhar aentrevista digitada///Alexsiane: pp aprovado 26/08/24")</f>
        <v>Ozeias Ribeiro Silva | Geografia | Aprovado | Alexsiane: pp falta etaá 1 e encaminhar aentrevista digitada///Alexsiane: pp aprovado 26/08/24</v>
      </c>
      <c r="B3159" s="93"/>
    </row>
    <row r="3160">
      <c r="A3160" s="384" t="str">
        <f>IFERROR(__xludf.DUMMYFUNCTION("""COMPUTED_VALUE"""),"Paloma Almeida Nakazato | Artes Visuais | Aprovada | Alexsiane: especificar nas fichas o tipo de acompanhamento e a serie,completar com mais 80 horas no total( fez somente 40 horas e possui declaração de experiência) 19/11 para reenviar// Alexsiane: Pré-A"&amp;"provado-  autorizada a autenticar //// Edilaine: Aprovada 10/03/2023")</f>
        <v>Paloma Almeida Nakazato | Artes Visuais | Aprovada | Alexsiane: especificar nas fichas o tipo de acompanhamento e a serie,completar com mais 80 horas no total( fez somente 40 horas e possui declaração de experiência) 19/11 para reenviar// Alexsiane: Pré-Aprovado-  autorizada a autenticar //// Edilaine: Aprovada 10/03/2023</v>
      </c>
      <c r="B3160" s="93"/>
    </row>
    <row r="3161">
      <c r="A3161" s="384" t="str">
        <f>IFERROR(__xludf.DUMMYFUNCTION("""COMPUTED_VALUE"""),"Paloma De Campos Alé Pereira | Psicopedagogia Institucional, Clínica E Hospitalar | Aprovado | Edilaine: Assinaturas coladas, enviar as fichas em nosso modelo padrão, especificar o tipo de acompanhamento e tema, enviar carta de apresentação escaneada.Alex"&amp;"siane: tce aprovado 22/11")</f>
        <v>Paloma De Campos Alé Pereira | Psicopedagogia Institucional, Clínica E Hospitalar | Aprovado | Edilaine: Assinaturas coladas, enviar as fichas em nosso modelo padrão, especificar o tipo de acompanhamento e tema, enviar carta de apresentação escaneada.Alexsiane: tce aprovado 22/11</v>
      </c>
      <c r="B3161" s="93"/>
    </row>
    <row r="3162">
      <c r="A3162" s="384" t="str">
        <f>IFERROR(__xludf.DUMMYFUNCTION("""COMPUTED_VALUE"""),"Pâmela Acosta Caetano | Artes Visuais | Aprovada | Bárbara: aprovada nas 3 primeiras etapas do remoto, aguardando a última. // Bárbara: aprovada na 4ª etapa 22/12// Bárbara: impresso, conferido e arquivado 19/02/2021")</f>
        <v>Pâmela Acosta Caetano | Artes Visuais | Aprovada | Bárbara: aprovada nas 3 primeiras etapas do remoto, aguardando a última. // Bárbara: aprovada na 4ª etapa 22/12// Bárbara: impresso, conferido e arquivado 19/02/2021</v>
      </c>
      <c r="B3162" s="93"/>
    </row>
    <row r="3163">
      <c r="A3163" s="384" t="str">
        <f>IFERROR(__xludf.DUMMYFUNCTION("""COMPUTED_VALUE"""),"Pamela Lemos Salvi | Neuropsicopedagogia Inst. Clinica E Hospitalar | Aprovada | Júnio: 20% plágio e preencher a carta de apresentação// Alexsiane: estágio aprovado dia 23/04/2024")</f>
        <v>Pamela Lemos Salvi | Neuropsicopedagogia Inst. Clinica E Hospitalar | Aprovada | Júnio: 20% plágio e preencher a carta de apresentação// Alexsiane: estágio aprovado dia 23/04/2024</v>
      </c>
      <c r="B3163" s="93"/>
    </row>
    <row r="3164">
      <c r="A3164" s="384" t="str">
        <f>IFERROR(__xludf.DUMMYFUNCTION("""COMPUTED_VALUE"""),"Pamela Macedo Da Silva | Pedagogia | Aprovada | Júnio: PP aprovada")</f>
        <v>Pamela Macedo Da Silva | Pedagogia | Aprovada | Júnio: PP aprovada</v>
      </c>
      <c r="B3164" s="93"/>
    </row>
    <row r="3165">
      <c r="A3165" s="384" t="str">
        <f>IFERROR(__xludf.DUMMYFUNCTION("""COMPUTED_VALUE"""),"Pâmella Gonçalves Costa | Pedagogia | em análise | Alexsiane: tem que complementar a primeira etaá com mais uma página, etpa 2 ok")</f>
        <v>Pâmella Gonçalves Costa | Pedagogia | em análise | Alexsiane: tem que complementar a primeira etaá com mais uma página, etpa 2 ok</v>
      </c>
      <c r="B3165" s="93"/>
    </row>
    <row r="3166">
      <c r="A3166" s="384" t="str">
        <f>IFERROR(__xludf.DUMMYFUNCTION("""COMPUTED_VALUE"""),"Patrice Surrage Bueno Pires Candido | Pedagogia | Aprovado | Alexsiane: pp aprovado")</f>
        <v>Patrice Surrage Bueno Pires Candido | Pedagogia | Aprovado | Alexsiane: pp aprovado</v>
      </c>
      <c r="B3166" s="93"/>
    </row>
    <row r="3167">
      <c r="A3167" s="384" t="str">
        <f>IFERROR(__xludf.DUMMYFUNCTION("""COMPUTED_VALUE"""),"Patrícia Alvaristo | Segunda Licenciatura Em Pedagogia | Aprovado | Rayssa pp aprovado")</f>
        <v>Patrícia Alvaristo | Segunda Licenciatura Em Pedagogia | Aprovado | Rayssa pp aprovado</v>
      </c>
      <c r="B3167" s="93"/>
    </row>
    <row r="3168">
      <c r="A3168" s="384" t="str">
        <f>IFERROR(__xludf.DUMMYFUNCTION("""COMPUTED_VALUE"""),"Patrícia Ap Honorato Freire Borges | Artes Visuais | Aprovada | Bárbara: aprovada nas 4 etapas")</f>
        <v>Patrícia Ap Honorato Freire Borges | Artes Visuais | Aprovada | Bárbara: aprovada nas 4 etapas</v>
      </c>
      <c r="B3168" s="93"/>
    </row>
    <row r="3169">
      <c r="A3169" s="384" t="str">
        <f>IFERROR(__xludf.DUMMYFUNCTION("""COMPUTED_VALUE"""),"Patrícia Aparecida Lana Cleres | Pedagogia | aprovado | Thiara: aprovado.// Recebido dia 15/01/2020// Miryã: conferido e arquivado 15/03/2021")</f>
        <v>Patrícia Aparecida Lana Cleres | Pedagogia | aprovado | Thiara: aprovado.// Recebido dia 15/01/2020// Miryã: conferido e arquivado 15/03/2021</v>
      </c>
      <c r="B3169" s="93"/>
    </row>
    <row r="3170">
      <c r="A3170" s="384" t="str">
        <f>IFERROR(__xludf.DUMMYFUNCTION("""COMPUTED_VALUE"""),"Patricia Bellin Ribeiro | Pedagogia | Aprovada | Bianca: aprovada nas 3 1° etapas do remoto antigo// Bárbara: apresentou a 4ª etapa do estágio")</f>
        <v>Patricia Bellin Ribeiro | Pedagogia | Aprovada | Bianca: aprovada nas 3 1° etapas do remoto antigo// Bárbara: apresentou a 4ª etapa do estágio</v>
      </c>
      <c r="B3170" s="93"/>
    </row>
    <row r="3171">
      <c r="A3171" s="384" t="str">
        <f>IFERROR(__xludf.DUMMYFUNCTION("""COMPUTED_VALUE"""),"Patrícia Bernardi Antonialli Mehler | História | Aprovada | Júnio: remoto antigo - falta capa, contracapa, introdução, conclusão e referencias PRAZO: 19/09/23 //Júnio: aprovada: 01/06/23")</f>
        <v>Patrícia Bernardi Antonialli Mehler | História | Aprovada | Júnio: remoto antigo - falta capa, contracapa, introdução, conclusão e referencias PRAZO: 19/09/23 //Júnio: aprovada: 01/06/23</v>
      </c>
      <c r="B3171" s="93"/>
    </row>
    <row r="3172">
      <c r="A3172" s="384" t="str">
        <f>IFERROR(__xludf.DUMMYFUNCTION("""COMPUTED_VALUE"""),"Patrícia Borges Ribeiro | Pedagogia | aprovada | Aline Silva: falta termo de compromisso, autoavaliação e pedi cuidado com as datas ate 17/03 e as posteriores. // aprovada dia 28/08/2020// Bárbara: Conferido e arquivado 15/09/2020")</f>
        <v>Patrícia Borges Ribeiro | Pedagogia | aprovada | Aline Silva: falta termo de compromisso, autoavaliação e pedi cuidado com as datas ate 17/03 e as posteriores. // aprovada dia 28/08/2020// Bárbara: Conferido e arquivado 15/09/2020</v>
      </c>
      <c r="B3172" s="93"/>
    </row>
    <row r="3173">
      <c r="A3173" s="384" t="str">
        <f>IFERROR(__xludf.DUMMYFUNCTION("""COMPUTED_VALUE"""),"Patricia Caroline Pacheco Ribeiro | História | Aprovado | Estella: aprovado, pedi carimbo supervisora. Recebido em 01/02/2019 sem encadernação. Encadernado em 04/02/2019.")</f>
        <v>Patricia Caroline Pacheco Ribeiro | História | Aprovado | Estella: aprovado, pedi carimbo supervisora. Recebido em 01/02/2019 sem encadernação. Encadernado em 04/02/2019.</v>
      </c>
      <c r="B3173" s="93"/>
    </row>
    <row r="3174">
      <c r="A3174" s="384" t="str">
        <f>IFERROR(__xludf.DUMMYFUNCTION("""COMPUTED_VALUE"""),"Patrícia Costa Da Silva | Pedagogia Para Bachareis E Tecnologos | Aprovada | Alexsiane: Práticas de componentes curriculares II: complementar com mais 12 horas a tabela de registro das atividades.Práticas de componentes curriculares III: complementar com "&amp;"mais 12 horas a tabela de registro das atividades.Práticas de componentes curriculares IV: complementar com mais 12 horas a tabela de registro das atividades. Falta Prática I e os estágios //Júnio: aprovada: 06/09/23")</f>
        <v>Patrícia Costa Da Silva | Pedagogia Para Bachareis E Tecnologos | Aprovada | Alexsiane: Práticas de componentes curriculares II: complementar com mais 12 horas a tabela de registro das atividades.Práticas de componentes curriculares III: complementar com mais 12 horas a tabela de registro das atividades.Práticas de componentes curriculares IV: complementar com mais 12 horas a tabela de registro das atividades. Falta Prática I e os estágios //Júnio: aprovada: 06/09/23</v>
      </c>
      <c r="B3174" s="93"/>
    </row>
    <row r="3175">
      <c r="A3175" s="384" t="str">
        <f>IFERROR(__xludf.DUMMYFUNCTION("""COMPUTED_VALUE"""),"Patrícia Da Silva | Pedagogia | aprovada | Bianca: Faltam planos de aulas da etapa 3 e tampar o rostinho das crianças.// Alexsiane: aprovado com lançamento no sponte //Júnio: físico conferido e arquivado: 10/06/22")</f>
        <v>Patrícia Da Silva | Pedagogia | aprovada | Bianca: Faltam planos de aulas da etapa 3 e tampar o rostinho das crianças.// Alexsiane: aprovado com lançamento no sponte //Júnio: físico conferido e arquivado: 10/06/22</v>
      </c>
      <c r="B3175" s="93"/>
    </row>
    <row r="3176">
      <c r="A3176" s="384" t="str">
        <f>IFERROR(__xludf.DUMMYFUNCTION("""COMPUTED_VALUE"""),"Patrícia Da Silva Alves | Pedagogia | Aprovada | Lucas: Aprovada nas 3 primeiras etapas do remoto antigo// Junio: aprovada na aula online 04/02/ 2022")</f>
        <v>Patrícia Da Silva Alves | Pedagogia | Aprovada | Lucas: Aprovada nas 3 primeiras etapas do remoto antigo// Junio: aprovada na aula online 04/02/ 2022</v>
      </c>
      <c r="B3176" s="93"/>
    </row>
    <row r="3177">
      <c r="A3177" s="384" t="str">
        <f>IFERROR(__xludf.DUMMYFUNCTION("""COMPUTED_VALUE"""),"Patrícia Da Silva Ramos Costa | Pedagogia Para Bacharéis E Tecnólogos | Aprovada | Alexsiane:  PCC I,II e IIIaprovado, pcc IV falta o mapa mental e faltar enviar as práticas pedagógicas//Alexsiane: pcc e pp aprovados 25/06/24")</f>
        <v>Patrícia Da Silva Ramos Costa | Pedagogia Para Bacharéis E Tecnólogos | Aprovada | Alexsiane:  PCC I,II e IIIaprovado, pcc IV falta o mapa mental e faltar enviar as práticas pedagógicas//Alexsiane: pcc e pp aprovados 25/06/24</v>
      </c>
      <c r="B3177" s="93"/>
    </row>
    <row r="3178">
      <c r="A3178" s="384" t="str">
        <f>IFERROR(__xludf.DUMMYFUNCTION("""COMPUTED_VALUE"""),"Patrícia Daniela Dos Santos | Pedagogia | Aprovada | Lucas: Aprovad anas 3 primeiras etapas do remoto antigo //Júnio: aprovado na aula online: 04/02/22 //Júnio: conferido e arquivado: 11/02/22")</f>
        <v>Patrícia Daniela Dos Santos | Pedagogia | Aprovada | Lucas: Aprovad anas 3 primeiras etapas do remoto antigo //Júnio: aprovado na aula online: 04/02/22 //Júnio: conferido e arquivado: 11/02/22</v>
      </c>
      <c r="B3178" s="93"/>
    </row>
    <row r="3179">
      <c r="A3179" s="384" t="str">
        <f>IFERROR(__xludf.DUMMYFUNCTION("""COMPUTED_VALUE"""),"Patrícia De Jesus Silva Cruz | Bacharéis Em Pedagogia | Em análise | Cris: Correção do Estágio (inserir epígrafe e tabela com registro das atividades)")</f>
        <v>Patrícia De Jesus Silva Cruz | Bacharéis Em Pedagogia | Em análise | Cris: Correção do Estágio (inserir epígrafe e tabela com registro das atividades)</v>
      </c>
      <c r="B3179" s="93"/>
    </row>
    <row r="3180">
      <c r="A3180" s="384" t="str">
        <f>IFERROR(__xludf.DUMMYFUNCTION("""COMPUTED_VALUE"""),"Patrícia De Souza Da Silva | Artes Visuais | Aprovada  | Júnio: autorizada arecolher assinaturas, anexar termo de conclusão// junio aprovada 20/01/22 //Júnio: conferido e arquivado: 26/01/22")</f>
        <v>Patrícia De Souza Da Silva | Artes Visuais | Aprovada  | Júnio: autorizada arecolher assinaturas, anexar termo de conclusão// junio aprovada 20/01/22 //Júnio: conferido e arquivado: 26/01/22</v>
      </c>
      <c r="B3180" s="93"/>
    </row>
    <row r="3181">
      <c r="A3181" s="384" t="str">
        <f>IFERROR(__xludf.DUMMYFUNCTION("""COMPUTED_VALUE"""),"Patrícia Demétria Castello Branco Ioshitake | Segunda Licenciatura Em Pedagogia | Aprovado | Rayssa pp aprovado")</f>
        <v>Patrícia Demétria Castello Branco Ioshitake | Segunda Licenciatura Em Pedagogia | Aprovado | Rayssa pp aprovado</v>
      </c>
      <c r="B3181" s="93"/>
    </row>
    <row r="3182">
      <c r="A3182" s="384" t="str">
        <f>IFERROR(__xludf.DUMMYFUNCTION("""COMPUTED_VALUE"""),"Patrícia Dias Da Costa | História | Aprovada  | Bárbara: etapas 1, 2 e 3 ok, TC e CA ok, concertar as fichas.// Bárbara: aprovada 30/12 (aluna vai mandar descrições das fichas separadas das assinadas, autorizei)  //Júnio: conferida e arquivada: 12/01/22")</f>
        <v>Patrícia Dias Da Costa | História | Aprovada  | Bárbara: etapas 1, 2 e 3 ok, TC e CA ok, concertar as fichas.// Bárbara: aprovada 30/12 (aluna vai mandar descrições das fichas separadas das assinadas, autorizei)  //Júnio: conferida e arquivada: 12/01/22</v>
      </c>
      <c r="B3182" s="93"/>
    </row>
    <row r="3183">
      <c r="A3183" s="384" t="str">
        <f>IFERROR(__xludf.DUMMYFUNCTION("""COMPUTED_VALUE"""),"Patricia Florêncio | Pedagogia | Em análise | Bárbara: aluna apresentou declração de experiência válida para a isenção da 4ª etapa do estágio remoto antigo. Falta agora as 3 primeiras etapas ")</f>
        <v>Patricia Florêncio | Pedagogia | Em análise | Bárbara: aluna apresentou declração de experiência válida para a isenção da 4ª etapa do estágio remoto antigo. Falta agora as 3 primeiras etapas </v>
      </c>
      <c r="B3183" s="93"/>
    </row>
    <row r="3184">
      <c r="A3184" s="384" t="str">
        <f>IFERROR(__xludf.DUMMYFUNCTION("""COMPUTED_VALUE"""),"Patrícia Florêncio | Pedagogia | Aprovada | Júnio: aprovada remoto antigo")</f>
        <v>Patrícia Florêncio | Pedagogia | Aprovada | Júnio: aprovada remoto antigo</v>
      </c>
      <c r="B3184" s="93"/>
    </row>
    <row r="3185">
      <c r="A3185" s="384" t="str">
        <f>IFERROR(__xludf.DUMMYFUNCTION("""COMPUTED_VALUE"""),"Patricia Lira Guedes De Oliveira | Filosofia | Aprovada | Júnio: aprovada no remoto antigo //Alexsiane:Conferido e arquivado 14/03/2022")</f>
        <v>Patricia Lira Guedes De Oliveira | Filosofia | Aprovada | Júnio: aprovada no remoto antigo //Alexsiane:Conferido e arquivado 14/03/2022</v>
      </c>
      <c r="B3185" s="93"/>
    </row>
    <row r="3186">
      <c r="A3186" s="384" t="str">
        <f>IFERROR(__xludf.DUMMYFUNCTION("""COMPUTED_VALUE"""),"Patrícia Maria Da Silva Soares | Pedagogia | Em análise | Júnio: fez apenas uma ficha de registro com 28 hs, falta todo o resto")</f>
        <v>Patrícia Maria Da Silva Soares | Pedagogia | Em análise | Júnio: fez apenas uma ficha de registro com 28 hs, falta todo o resto</v>
      </c>
      <c r="B3186" s="93"/>
    </row>
    <row r="3187">
      <c r="A3187" s="384" t="str">
        <f>IFERROR(__xludf.DUMMYFUNCTION("""COMPUTED_VALUE"""),"Patrícia Meller Milioni | Artes Visuais | Aprovada | Bárbara: descrições das atividades incompletas/ sem relatório, + de 6 horas por dia/ sem carta de apresentação e termo de conclusão //Júnio: aprovada: 28/09/21")</f>
        <v>Patrícia Meller Milioni | Artes Visuais | Aprovada | Bárbara: descrições das atividades incompletas/ sem relatório, + de 6 horas por dia/ sem carta de apresentação e termo de conclusão //Júnio: aprovada: 28/09/21</v>
      </c>
      <c r="B3187" s="93"/>
    </row>
    <row r="3188">
      <c r="A3188" s="384" t="str">
        <f>IFERROR(__xludf.DUMMYFUNCTION("""COMPUTED_VALUE"""),"Patrícia Pimentel Marquesini De Carvalho | Neuropsicologia Clínica | Aprovada | Alexsiane: aprovado com lançamento no sponte ( não possui documentos)")</f>
        <v>Patrícia Pimentel Marquesini De Carvalho | Neuropsicologia Clínica | Aprovada | Alexsiane: aprovado com lançamento no sponte ( não possui documentos)</v>
      </c>
      <c r="B3188" s="93"/>
    </row>
    <row r="3189">
      <c r="A3189" s="384" t="str">
        <f>IFERROR(__xludf.DUMMYFUNCTION("""COMPUTED_VALUE"""),"Patrícia Regiana Da Silva Rodrigues | Pedagogia C/ Ênf. | Aprovado | Mandei enviar pelo correio (08/02). Aguardando assinatutas e carimbos (01/02). Aguardando envio definitivo com assinaturas e carimbos (30/01).// Bárbara: Conferido e arquivado 10/09/2020")</f>
        <v>Patrícia Regiana Da Silva Rodrigues | Pedagogia C/ Ênf. | Aprovado | Mandei enviar pelo correio (08/02). Aguardando assinatutas e carimbos (01/02). Aguardando envio definitivo com assinaturas e carimbos (30/01).// Bárbara: Conferido e arquivado 10/09/2020</v>
      </c>
      <c r="B3189" s="93"/>
    </row>
    <row r="3190">
      <c r="A3190" s="384" t="str">
        <f>IFERROR(__xludf.DUMMYFUNCTION("""COMPUTED_VALUE"""),"Patrícia Ribeiro Dias Dos Reis | Psicopedagogia | Aprovada | Bárbara: relatório ótimo, Termo de conclusão e carta de apresentação ok, mas fichas de registro de atividades incompletas// Bianca aprovada em 01/12/2021 ")</f>
        <v>Patrícia Ribeiro Dias Dos Reis | Psicopedagogia | Aprovada | Bárbara: relatório ótimo, Termo de conclusão e carta de apresentação ok, mas fichas de registro de atividades incompletas// Bianca aprovada em 01/12/2021 </v>
      </c>
      <c r="B3190" s="93"/>
    </row>
    <row r="3191">
      <c r="A3191" s="384" t="str">
        <f>IFERROR(__xludf.DUMMYFUNCTION("""COMPUTED_VALUE"""),"Patrícia Silene Garcia | Artes Visuais | Aprovada | Bianca: enviou apenas fichas preenchidas, autorizada a recolher assinaturas, aguardando o estágio completo //Bianca: aprovada: 16/06/21 //Júnio: conferido e arquivado: 01/07/2021")</f>
        <v>Patrícia Silene Garcia | Artes Visuais | Aprovada | Bianca: enviou apenas fichas preenchidas, autorizada a recolher assinaturas, aguardando o estágio completo //Bianca: aprovada: 16/06/21 //Júnio: conferido e arquivado: 01/07/2021</v>
      </c>
      <c r="B3191" s="93"/>
    </row>
    <row r="3192">
      <c r="A3192" s="384" t="str">
        <f>IFERROR(__xludf.DUMMYFUNCTION("""COMPUTED_VALUE"""),"Patrícia Silene Garcia | Educação Física | aprovada | Bianca: aprovada nas 4 etapas do remoto atualizado //Júnio: conferido e arquivado: 01/07/2021")</f>
        <v>Patrícia Silene Garcia | Educação Física | aprovada | Bianca: aprovada nas 4 etapas do remoto atualizado //Júnio: conferido e arquivado: 01/07/2021</v>
      </c>
      <c r="B3192" s="93"/>
    </row>
    <row r="3193">
      <c r="A3193" s="384" t="str">
        <f>IFERROR(__xludf.DUMMYFUNCTION("""COMPUTED_VALUE"""),"Patrícia Silva De Moura | Artes Visuais | Aprovado  | Bianca: aprovada na etapa 1 e 2, autorizada a recolher assinaturas e vai enviar a declaração para ser isenta da etapa 3. Remoto atualizado.// Bárbara: aprovada 12/11/2021")</f>
        <v>Patrícia Silva De Moura | Artes Visuais | Aprovado  | Bianca: aprovada na etapa 1 e 2, autorizada a recolher assinaturas e vai enviar a declaração para ser isenta da etapa 3. Remoto atualizado.// Bárbara: aprovada 12/11/2021</v>
      </c>
      <c r="B3193" s="93"/>
    </row>
    <row r="3194">
      <c r="A3194" s="384" t="str">
        <f>IFERROR(__xludf.DUMMYFUNCTION("""COMPUTED_VALUE"""),"Patricia Tondato Marcondes | Neuropsicologia Clínica | Aprovada | Júnio: aprovada no estágio remoto")</f>
        <v>Patricia Tondato Marcondes | Neuropsicologia Clínica | Aprovada | Júnio: aprovada no estágio remoto</v>
      </c>
      <c r="B3194" s="93"/>
    </row>
    <row r="3195">
      <c r="A3195" s="384" t="str">
        <f>IFERROR(__xludf.DUMMYFUNCTION("""COMPUTED_VALUE"""),"Patrícia Vieira Mendes | Segunda Licenciatura Em Artes Visuais | Em análise | Rayssa PP em escaneada")</f>
        <v>Patrícia Vieira Mendes | Segunda Licenciatura Em Artes Visuais | Em análise | Rayssa PP em escaneada</v>
      </c>
      <c r="B3195" s="93"/>
    </row>
    <row r="3196">
      <c r="A3196" s="384" t="str">
        <f>IFERROR(__xludf.DUMMYFUNCTION("""COMPUTED_VALUE"""),"Patrique Martins Da Silva | Filosofia | Aprovada | Bárbara: aprovado nas 3 primeiras etapas, e apresentou declaração de experiencia válida")</f>
        <v>Patrique Martins Da Silva | Filosofia | Aprovada | Bárbara: aprovado nas 3 primeiras etapas, e apresentou declaração de experiencia válida</v>
      </c>
      <c r="B3196" s="93"/>
    </row>
    <row r="3197">
      <c r="A3197" s="384" t="str">
        <f>IFERROR(__xludf.DUMMYFUNCTION("""COMPUTED_VALUE"""),"Patrique Martins Da Silva | Artes Visuais | Aprovado | Júnio: PP - 15% plágio //Júnio: aprovado: 08/12/23")</f>
        <v>Patrique Martins Da Silva | Artes Visuais | Aprovado | Júnio: PP - 15% plágio //Júnio: aprovado: 08/12/23</v>
      </c>
      <c r="B3197" s="93"/>
    </row>
    <row r="3198">
      <c r="A3198" s="384" t="str">
        <f>IFERROR(__xludf.DUMMYFUNCTION("""COMPUTED_VALUE"""),"Patrocínio Santos De Sousa | Música | Aprovado | Alexsiane: 9% de plágio, até dia 27/09/24 para reenviar// PP aprovado")</f>
        <v>Patrocínio Santos De Sousa | Música | Aprovado | Alexsiane: 9% de plágio, até dia 27/09/24 para reenviar// PP aprovado</v>
      </c>
      <c r="B3198" s="93"/>
    </row>
    <row r="3199">
      <c r="A3199" s="384" t="str">
        <f>IFERROR(__xludf.DUMMYFUNCTION("""COMPUTED_VALUE"""),"Paula Bueno De Carvalho | Letras Português | Aprovada | Bárbara: trabalho muito bom, contudo solicitei a aluna para completar as metodologias dos planos que estavam imcompletas e eram todas iguais. // Bárbara: aprovada na 4ª etapa 11/11/2020// Miryã: conf"&amp;"erido e arquivado 10/03/2021")</f>
        <v>Paula Bueno De Carvalho | Letras Português | Aprovada | Bárbara: trabalho muito bom, contudo solicitei a aluna para completar as metodologias dos planos que estavam imcompletas e eram todas iguais. // Bárbara: aprovada na 4ª etapa 11/11/2020// Miryã: conferido e arquivado 10/03/2021</v>
      </c>
      <c r="B3199" s="93"/>
    </row>
    <row r="3200">
      <c r="A3200" s="384" t="str">
        <f>IFERROR(__xludf.DUMMYFUNCTION("""COMPUTED_VALUE"""),"Paula Bueno De Carvalho | Psicanálise | em análise | Bianca: pedi para fazer correções na formatação.")</f>
        <v>Paula Bueno De Carvalho | Psicanálise | em análise | Bianca: pedi para fazer correções na formatação.</v>
      </c>
      <c r="B3200" s="93"/>
    </row>
    <row r="3201">
      <c r="A3201" s="384" t="str">
        <f>IFERROR(__xludf.DUMMYFUNCTION("""COMPUTED_VALUE"""),"Paula Elizabeth Marani Coppini | Neuropsicopedagogia Instittucional Clínica E Hospitalar | Aprovada  | Bianca: autorizada a recolher assinaturas// Bianca: aprovada //Júnio: físico recebido, assinaturas impressas")</f>
        <v>Paula Elizabeth Marani Coppini | Neuropsicopedagogia Instittucional Clínica E Hospitalar | Aprovada  | Bianca: autorizada a recolher assinaturas// Bianca: aprovada //Júnio: físico recebido, assinaturas impressas</v>
      </c>
      <c r="B3201" s="93"/>
    </row>
    <row r="3202">
      <c r="A3202" s="384" t="str">
        <f>IFERROR(__xludf.DUMMYFUNCTION("""COMPUTED_VALUE"""),"Paula Fabrine Soares | Artes Visuais | aprovado | Alexsiane: corrigir as assinaturas coladas, corrigir o total de horas por dia que está errada.//Alexsiane:  Pré aprovadocom lançamento no jacad/// Alexsiane: conferido e arquivado dia 27/02/2023")</f>
        <v>Paula Fabrine Soares | Artes Visuais | aprovado | Alexsiane: corrigir as assinaturas coladas, corrigir o total de horas por dia que está errada.//Alexsiane:  Pré aprovadocom lançamento no jacad/// Alexsiane: conferido e arquivado dia 27/02/2023</v>
      </c>
      <c r="B3202" s="93"/>
    </row>
    <row r="3203">
      <c r="A3203" s="384" t="str">
        <f>IFERROR(__xludf.DUMMYFUNCTION("""COMPUTED_VALUE"""),"Paula Falk De Oliveira Gonzaga E Silva | Pedagogia | Aprovada | Bianca: aprovada nas 3 1° e tapas do remoto antigo //Júnio: aprovada na aula online 17/02/22")</f>
        <v>Paula Falk De Oliveira Gonzaga E Silva | Pedagogia | Aprovada | Bianca: aprovada nas 3 1° e tapas do remoto antigo //Júnio: aprovada na aula online 17/02/22</v>
      </c>
      <c r="B3203" s="93"/>
    </row>
    <row r="3204">
      <c r="A3204" s="384" t="str">
        <f>IFERROR(__xludf.DUMMYFUNCTION("""COMPUTED_VALUE"""),"Paula Falk De Oliveira Gonzaga E Silva | Psicopedagogia Clínica E Hospitalar | Aprovada | Lucas: Aprovada no estágio remoto pós ")</f>
        <v>Paula Falk De Oliveira Gonzaga E Silva | Psicopedagogia Clínica E Hospitalar | Aprovada | Lucas: Aprovada no estágio remoto pós </v>
      </c>
      <c r="B3204" s="93"/>
    </row>
    <row r="3205">
      <c r="A3205" s="384" t="str">
        <f>IFERROR(__xludf.DUMMYFUNCTION("""COMPUTED_VALUE"""),"Paula Fernanda Kreling Domingues | Pedagogia | Aprovado | Alexsiane: etapa 1 ok, carta apresentação ok. Falta entrevista.// Alexsiane; pp aprovado")</f>
        <v>Paula Fernanda Kreling Domingues | Pedagogia | Aprovado | Alexsiane: etapa 1 ok, carta apresentação ok. Falta entrevista.// Alexsiane; pp aprovado</v>
      </c>
      <c r="B3205" s="93"/>
    </row>
    <row r="3206">
      <c r="A3206" s="384" t="str">
        <f>IFERROR(__xludf.DUMMYFUNCTION("""COMPUTED_VALUE"""),"Paula Ferreira Vilela | Artes Visuais | Aprovada | Bárbara: remoto atualizado- autorizado a enviar o físico, etapas teóricas aprovadas //Júnio: físico conferido e arquivado: 25/08/22")</f>
        <v>Paula Ferreira Vilela | Artes Visuais | Aprovada | Bárbara: remoto atualizado- autorizado a enviar o físico, etapas teóricas aprovadas //Júnio: físico conferido e arquivado: 25/08/22</v>
      </c>
      <c r="B3206" s="93"/>
    </row>
    <row r="3207">
      <c r="A3207" s="384" t="str">
        <f>IFERROR(__xludf.DUMMYFUNCTION("""COMPUTED_VALUE"""),"Paula Ivonete Piscor Rodrigues | Pedagogia | Aprovada | Júnio: padrão - autorizada a recolher assinaturas, falta todo o resto das partes dissertativas// Pâmela fisico conferido e arquivado.")</f>
        <v>Paula Ivonete Piscor Rodrigues | Pedagogia | Aprovada | Júnio: padrão - autorizada a recolher assinaturas, falta todo o resto das partes dissertativas// Pâmela fisico conferido e arquivado.</v>
      </c>
      <c r="B3207" s="93"/>
    </row>
    <row r="3208">
      <c r="A3208" s="384" t="str">
        <f>IFERROR(__xludf.DUMMYFUNCTION("""COMPUTED_VALUE"""),"Paula Ivy Araújo Moura | Pedagogia C/ Ênf. | Aprovado | APROVADO, vai colher as assinaturas 10/09, em caráter emergencial.// Bárbara: Conferido e arquivado 15/09/2020")</f>
        <v>Paula Ivy Araújo Moura | Pedagogia C/ Ênf. | Aprovado | APROVADO, vai colher as assinaturas 10/09, em caráter emergencial.// Bárbara: Conferido e arquivado 15/09/2020</v>
      </c>
      <c r="B3208" s="93"/>
    </row>
    <row r="3209">
      <c r="A3209" s="384" t="str">
        <f>IFERROR(__xludf.DUMMYFUNCTION("""COMPUTED_VALUE"""),"Paula Janaina Nunes Silva Gomes | Psicopedagogia Instituciional, Clínica E Educação Infantil | Aprovada | Bianca: Aprovada no estágio remoto")</f>
        <v>Paula Janaina Nunes Silva Gomes | Psicopedagogia Instituciional, Clínica E Educação Infantil | Aprovada | Bianca: Aprovada no estágio remoto</v>
      </c>
      <c r="B3209" s="93"/>
    </row>
    <row r="3210">
      <c r="A3210" s="384" t="str">
        <f>IFERROR(__xludf.DUMMYFUNCTION("""COMPUTED_VALUE"""),"Paula Janaína Nunes Silva Gomes | Psicopedagogia | Aprovada | Júnio: aprovada com lançamento no Sponte //Júnio: conferido e arquivado: 13/01/22")</f>
        <v>Paula Janaína Nunes Silva Gomes | Psicopedagogia | Aprovada | Júnio: aprovada com lançamento no Sponte //Júnio: conferido e arquivado: 13/01/22</v>
      </c>
      <c r="B3210" s="93"/>
    </row>
    <row r="3211">
      <c r="A3211" s="384" t="str">
        <f>IFERROR(__xludf.DUMMYFUNCTION("""COMPUTED_VALUE"""),"Paula Maria Araújo Dos Santos | Ciências Sociais | Aprovada | Júnio: remoto antigo - falta apenas 4ª etapa //Júnio: aprovada no video: 15/07/22")</f>
        <v>Paula Maria Araújo Dos Santos | Ciências Sociais | Aprovada | Júnio: remoto antigo - falta apenas 4ª etapa //Júnio: aprovada no video: 15/07/22</v>
      </c>
      <c r="B3211" s="93"/>
    </row>
    <row r="3212">
      <c r="A3212" s="384" t="str">
        <f>IFERROR(__xludf.DUMMYFUNCTION("""COMPUTED_VALUE"""),"Paula Martins Rocha Vidal | Pedagogia | Aprovada | Aline Silva: decl. De experiência foi aceita. // Bárbara: aprovada 05/10/2020// Miryã: conferido e arquivado 10/03/2021")</f>
        <v>Paula Martins Rocha Vidal | Pedagogia | Aprovada | Aline Silva: decl. De experiência foi aceita. // Bárbara: aprovada 05/10/2020// Miryã: conferido e arquivado 10/03/2021</v>
      </c>
      <c r="B3212" s="93"/>
    </row>
    <row r="3213">
      <c r="A3213" s="384" t="str">
        <f>IFERROR(__xludf.DUMMYFUNCTION("""COMPUTED_VALUE"""),"Paula Mesquita Sá | Artes Visuais | Aprovada | Amélia: complementar etapa 1 e 2, etapa 3 ok// Bianca: aprovada 17/03/2021")</f>
        <v>Paula Mesquita Sá | Artes Visuais | Aprovada | Amélia: complementar etapa 1 e 2, etapa 3 ok// Bianca: aprovada 17/03/2021</v>
      </c>
      <c r="B3213" s="93"/>
    </row>
    <row r="3214">
      <c r="A3214" s="384" t="str">
        <f>IFERROR(__xludf.DUMMYFUNCTION("""COMPUTED_VALUE"""),"Paula Regina Pires Lopes Vieira | Pedagogia | Aprovada | Júnio: PP - falta a carta// Alexsiane: pp aprovada")</f>
        <v>Paula Regina Pires Lopes Vieira | Pedagogia | Aprovada | Júnio: PP - falta a carta// Alexsiane: pp aprovada</v>
      </c>
      <c r="B3214" s="93"/>
    </row>
    <row r="3215">
      <c r="A3215" s="384" t="str">
        <f>IFERROR(__xludf.DUMMYFUNCTION("""COMPUTED_VALUE"""),"Paula Ribeiro E Oliveira | Psicopedagogia Institucional E Clínica | Aprovada | Bianca: Autorizada a enviar o físico// Bárbara: conferido e arquivado 01/06/2021")</f>
        <v>Paula Ribeiro E Oliveira | Psicopedagogia Institucional E Clínica | Aprovada | Bianca: Autorizada a enviar o físico// Bárbara: conferido e arquivado 01/06/2021</v>
      </c>
      <c r="B3215" s="93"/>
    </row>
    <row r="3216">
      <c r="A3216" s="384" t="str">
        <f>IFERROR(__xludf.DUMMYFUNCTION("""COMPUTED_VALUE"""),"Paula Vanessa Ziliotti De Burgos Pimentel Fiori Dias | Pedagogia | Aprovada | Bárbara: pasta padrão em branco //Júnio:aprovada no vídeo: 16/08/22")</f>
        <v>Paula Vanessa Ziliotti De Burgos Pimentel Fiori Dias | Pedagogia | Aprovada | Bárbara: pasta padrão em branco //Júnio:aprovada no vídeo: 16/08/22</v>
      </c>
      <c r="B3216" s="93"/>
    </row>
    <row r="3217">
      <c r="A3217" s="384" t="str">
        <f>IFERROR(__xludf.DUMMYFUNCTION("""COMPUTED_VALUE"""),"Paulinea Tanara Ladwig Sousa | Pedagogia | Aprovada | Júnio: aprovada no Remoto Antigo")</f>
        <v>Paulinea Tanara Ladwig Sousa | Pedagogia | Aprovada | Júnio: aprovada no Remoto Antigo</v>
      </c>
      <c r="B3217" s="93"/>
    </row>
    <row r="3218">
      <c r="A3218" s="384" t="str">
        <f>IFERROR(__xludf.DUMMYFUNCTION("""COMPUTED_VALUE"""),"Paulino Antônio Da Silva | Artes Visuais | Aprovado | Aline silva: solicitei preenchimento das atividades nas fichas e pedi que reenviasse.// Bárbara: aprovado 28/12/2020// Bárbara: conferido e arquivado")</f>
        <v>Paulino Antônio Da Silva | Artes Visuais | Aprovado | Aline silva: solicitei preenchimento das atividades nas fichas e pedi que reenviasse.// Bárbara: aprovado 28/12/2020// Bárbara: conferido e arquivado</v>
      </c>
      <c r="B3218" s="93"/>
    </row>
    <row r="3219">
      <c r="A3219" s="384" t="str">
        <f>IFERROR(__xludf.DUMMYFUNCTION("""COMPUTED_VALUE"""),"Paulino Antonio Da Silva Moreira | Neuropsicopedagogia Institucional, Clínica E Hospitalar | Aprovado | Júnio: pré aprovado //Júnio: aprovado: 27/11/2023")</f>
        <v>Paulino Antonio Da Silva Moreira | Neuropsicopedagogia Institucional, Clínica E Hospitalar | Aprovado | Júnio: pré aprovado //Júnio: aprovado: 27/11/2023</v>
      </c>
      <c r="B3219" s="93"/>
    </row>
    <row r="3220">
      <c r="A3220" s="384" t="str">
        <f>IFERROR(__xludf.DUMMYFUNCTION("""COMPUTED_VALUE"""),"Paulo Alexandre Pereira | Matemática | Aprovados  | Lucas: Plágio 6,56%, falta todas as etapas do remoto antigo, termos pré e pós textuais. PRAZO: 12/05/22 //Júnio: aprovado video: 30/08/22")</f>
        <v>Paulo Alexandre Pereira | Matemática | Aprovados  | Lucas: Plágio 6,56%, falta todas as etapas do remoto antigo, termos pré e pós textuais. PRAZO: 12/05/22 //Júnio: aprovado video: 30/08/22</v>
      </c>
      <c r="B3220" s="93"/>
    </row>
    <row r="3221">
      <c r="A3221" s="384" t="str">
        <f>IFERROR(__xludf.DUMMYFUNCTION("""COMPUTED_VALUE"""),"Paulo Alves Correa | Pedagogia | Aprovado | Junio: falta termo de conclusão e carta de apresentação  //Júnio:aprovado: 13/05/22")</f>
        <v>Paulo Alves Correa | Pedagogia | Aprovado | Junio: falta termo de conclusão e carta de apresentação  //Júnio:aprovado: 13/05/22</v>
      </c>
      <c r="B3221" s="93"/>
    </row>
    <row r="3222">
      <c r="A3222" s="384" t="str">
        <f>IFERROR(__xludf.DUMMYFUNCTION("""COMPUTED_VALUE"""),"Paulo Alves Da Silva | História | Pré aprovado | Júnio: pré aprovado PRAZO: 04/02/24")</f>
        <v>Paulo Alves Da Silva | História | Pré aprovado | Júnio: pré aprovado PRAZO: 04/02/24</v>
      </c>
      <c r="B3222" s="93"/>
    </row>
    <row r="3223">
      <c r="A3223" s="384" t="str">
        <f>IFERROR(__xludf.DUMMYFUNCTION("""COMPUTED_VALUE"""),"Paulo Alves Da Silva | História | Aprovado | Alexsiane; etapas dissertartivas ok, falta somente especificar nas fichas de registo qual foi a atividade desenvolvida. Obs: parecer enviado com pendência com autorização da Elaine pelo Whatsapp // Alexsiane: e"&amp;"stágio aprovado 03/06/24")</f>
        <v>Paulo Alves Da Silva | História | Aprovado | Alexsiane; etapas dissertartivas ok, falta somente especificar nas fichas de registo qual foi a atividade desenvolvida. Obs: parecer enviado com pendência com autorização da Elaine pelo Whatsapp // Alexsiane: estágio aprovado 03/06/24</v>
      </c>
      <c r="B3223" s="93"/>
    </row>
    <row r="3224">
      <c r="A3224" s="384" t="str">
        <f>IFERROR(__xludf.DUMMYFUNCTION("""COMPUTED_VALUE"""),"Paulo Alves Da Silva | Psicopedagogia Institucional Clínico E Hospitalar | Aprovado | Alexsiane: tce aprovado.")</f>
        <v>Paulo Alves Da Silva | Psicopedagogia Institucional Clínico E Hospitalar | Aprovado | Alexsiane: tce aprovado.</v>
      </c>
      <c r="B3224" s="93"/>
    </row>
    <row r="3225">
      <c r="A3225" s="384" t="str">
        <f>IFERROR(__xludf.DUMMYFUNCTION("""COMPUTED_VALUE"""),"Paulo César Lopes Garcia | 2ª Licenciatura Educação Física | Aprovado | Cris: PP com plágio 19%")</f>
        <v>Paulo César Lopes Garcia | 2ª Licenciatura Educação Física | Aprovado | Cris: PP com plágio 19%</v>
      </c>
      <c r="B3225" s="93"/>
    </row>
    <row r="3226">
      <c r="A3226" s="384" t="str">
        <f>IFERROR(__xludf.DUMMYFUNCTION("""COMPUTED_VALUE"""),"Paulo César Pereira Gomes | Educação Física | Aprovado | Bianca: apenas fichas e carta de apresentação //Júnio: físico conferido e arquivado 03/10/22")</f>
        <v>Paulo César Pereira Gomes | Educação Física | Aprovado | Bianca: apenas fichas e carta de apresentação //Júnio: físico conferido e arquivado 03/10/22</v>
      </c>
      <c r="B3226" s="93"/>
    </row>
    <row r="3227">
      <c r="A3227" s="384" t="str">
        <f>IFERROR(__xludf.DUMMYFUNCTION("""COMPUTED_VALUE"""),"Paulo César Vono | Geografia | Aprovado | Bianca: aprovado nas 4 etapas do remoto antigo")</f>
        <v>Paulo César Vono | Geografia | Aprovado | Bianca: aprovado nas 4 etapas do remoto antigo</v>
      </c>
      <c r="B3227" s="93"/>
    </row>
    <row r="3228">
      <c r="A3228" s="384" t="str">
        <f>IFERROR(__xludf.DUMMYFUNCTION("""COMPUTED_VALUE"""),"Paulo Cézar Swartele Rodrigues | Letras Port Esp. | Em análise | Bárbara: aluno colou assinaturas nas fichas de registros (foto), e a divisão das horas nassas fichas estão confusas.")</f>
        <v>Paulo Cézar Swartele Rodrigues | Letras Port Esp. | Em análise | Bárbara: aluno colou assinaturas nas fichas de registros (foto), e a divisão das horas nassas fichas estão confusas.</v>
      </c>
      <c r="B3228" s="93"/>
    </row>
    <row r="3229">
      <c r="A3229" s="384" t="str">
        <f>IFERROR(__xludf.DUMMYFUNCTION("""COMPUTED_VALUE"""),"Paulo De Tarso De Morais | Pedagogia | Aprovado | Júnio: caso especial - PP: precisa enviar entrevista digitada em forma de perguntas e respostas e falta a etapa II. //Júnio:aprovado: 16/08/2023")</f>
        <v>Paulo De Tarso De Morais | Pedagogia | Aprovado | Júnio: caso especial - PP: precisa enviar entrevista digitada em forma de perguntas e respostas e falta a etapa II. //Júnio:aprovado: 16/08/2023</v>
      </c>
      <c r="B3229" s="93"/>
    </row>
    <row r="3230">
      <c r="A3230" s="384" t="str">
        <f>IFERROR(__xludf.DUMMYFUNCTION("""COMPUTED_VALUE"""),"Paulo De Tarso De Morais | Sociologia | Aprovado | Júnio: PP aprovado")</f>
        <v>Paulo De Tarso De Morais | Sociologia | Aprovado | Júnio: PP aprovado</v>
      </c>
      <c r="B3230" s="93"/>
    </row>
    <row r="3231">
      <c r="A3231" s="384" t="str">
        <f>IFERROR(__xludf.DUMMYFUNCTION("""COMPUTED_VALUE"""),"Paulo De Tarso De Morais | Filosofia | Aprovado | Júnio: PP aprovado")</f>
        <v>Paulo De Tarso De Morais | Filosofia | Aprovado | Júnio: PP aprovado</v>
      </c>
      <c r="B3231" s="93"/>
    </row>
    <row r="3232">
      <c r="A3232" s="384" t="str">
        <f>IFERROR(__xludf.DUMMYFUNCTION("""COMPUTED_VALUE"""),"Paulo Guilherme Palitot Ramalho | Formação Ped. Artes Visuais | Aprovado | Cris: PP aprovado")</f>
        <v>Paulo Guilherme Palitot Ramalho | Formação Ped. Artes Visuais | Aprovado | Cris: PP aprovado</v>
      </c>
      <c r="B3232" s="93"/>
    </row>
    <row r="3233">
      <c r="A3233" s="384" t="str">
        <f>IFERROR(__xludf.DUMMYFUNCTION("""COMPUTED_VALUE"""),"Paulo Guilherme Palitot Ramalho | Artes Visuais | Aprovado | Alexsiane; pp ok, reenvia 21/05/24 6 meses")</f>
        <v>Paulo Guilherme Palitot Ramalho | Artes Visuais | Aprovado | Alexsiane; pp ok, reenvia 21/05/24 6 meses</v>
      </c>
      <c r="B3233" s="93"/>
    </row>
    <row r="3234">
      <c r="A3234" s="384" t="str">
        <f>IFERROR(__xludf.DUMMYFUNCTION("""COMPUTED_VALUE"""),"Paulo Hemrique De Araújo | Pedagogia | Aprovado | Bárbara: aprovado nas 3 primeiras etapas do remoto, aguardando a 4// Bárbara: apresentou a [ etapa 05/01/2020 Aprovado.")</f>
        <v>Paulo Hemrique De Araújo | Pedagogia | Aprovado | Bárbara: aprovado nas 3 primeiras etapas do remoto, aguardando a 4// Bárbara: apresentou a [ etapa 05/01/2020 Aprovado.</v>
      </c>
      <c r="B3234" s="93"/>
    </row>
    <row r="3235">
      <c r="A3235" s="384" t="str">
        <f>IFERROR(__xludf.DUMMYFUNCTION("""COMPUTED_VALUE"""),"Paulo Henrique Cabral Cardoso | Música | Em análise | Júnio: PP - 39% plágio e falta a carta de apresentação")</f>
        <v>Paulo Henrique Cabral Cardoso | Música | Em análise | Júnio: PP - 39% plágio e falta a carta de apresentação</v>
      </c>
      <c r="B3235" s="93"/>
    </row>
    <row r="3236">
      <c r="A3236" s="384" t="str">
        <f>IFERROR(__xludf.DUMMYFUNCTION("""COMPUTED_VALUE"""),"Paulo Henrique Fernandes Ferreira | Letras/Português | Aprovado | Bárbara: apresentou declaração de experiência válida para isenção de 50% //Júnio: aprovado: 22/01/24")</f>
        <v>Paulo Henrique Fernandes Ferreira | Letras/Português | Aprovado | Bárbara: apresentou declaração de experiência válida para isenção de 50% //Júnio: aprovado: 22/01/24</v>
      </c>
      <c r="B3236" s="93"/>
    </row>
    <row r="3237">
      <c r="A3237" s="384" t="str">
        <f>IFERROR(__xludf.DUMMYFUNCTION("""COMPUTED_VALUE"""),"Paulo Henrique Fernandes Ferreira | Pedagogia | Aprovado | Bárbara: aprovado nas 3 primeiras etapas do remoto // Ana Flávia: aprovada na 4ª etapa 11/01/2021")</f>
        <v>Paulo Henrique Fernandes Ferreira | Pedagogia | Aprovado | Bárbara: aprovado nas 3 primeiras etapas do remoto // Ana Flávia: aprovada na 4ª etapa 11/01/2021</v>
      </c>
      <c r="B3237" s="93"/>
    </row>
    <row r="3238">
      <c r="A3238" s="384" t="str">
        <f>IFERROR(__xludf.DUMMYFUNCTION("""COMPUTED_VALUE"""),"Paulo Henrique Ferreira Da Silva | Pedagogia | Aprovado | Júnio: Remoto antigo - 12,8% plágio, faltam 19 planos de aula e declaração de experiência não foi válida.// Alexsiane: aprono no pp 15/07/24")</f>
        <v>Paulo Henrique Ferreira Da Silva | Pedagogia | Aprovado | Júnio: Remoto antigo - 12,8% plágio, faltam 19 planos de aula e declaração de experiência não foi válida.// Alexsiane: aprono no pp 15/07/24</v>
      </c>
      <c r="B3238" s="93"/>
    </row>
    <row r="3239">
      <c r="A3239" s="384" t="str">
        <f>IFERROR(__xludf.DUMMYFUNCTION("""COMPUTED_VALUE"""),"Paulo Henrique Martins Da Silva | Letras Português E Inglês | Em análise | Júnio: fez Ianelloapenas relatório de escola, falta todo o resto")</f>
        <v>Paulo Henrique Martins Da Silva | Letras Português E Inglês | Em análise | Júnio: fez Ianelloapenas relatório de escola, falta todo o resto</v>
      </c>
      <c r="B3239" s="93"/>
    </row>
    <row r="3240">
      <c r="A3240" s="384" t="str">
        <f>IFERROR(__xludf.DUMMYFUNCTION("""COMPUTED_VALUE"""),"Paulo Henrique Martins Silva | 2ª Licenciatura Em Letras | Em análise | Falta: carta de apresentação, termo de conclusão de estágio, ficha de registro das atividades desenvolvidas no estágio, pasta conforme modelo do ZAYN.")</f>
        <v>Paulo Henrique Martins Silva | 2ª Licenciatura Em Letras | Em análise | Falta: carta de apresentação, termo de conclusão de estágio, ficha de registro das atividades desenvolvidas no estágio, pasta conforme modelo do ZAYN.</v>
      </c>
      <c r="B3240" s="93"/>
    </row>
    <row r="3241">
      <c r="A3241" s="384" t="str">
        <f>IFERROR(__xludf.DUMMYFUNCTION("""COMPUTED_VALUE"""),"Paulo Henrique Sagato | Letras Português | Em análise | Bianca: Autorizada a recolher assinaturas")</f>
        <v>Paulo Henrique Sagato | Letras Português | Em análise | Bianca: Autorizada a recolher assinaturas</v>
      </c>
      <c r="B3241" s="93"/>
    </row>
    <row r="3242">
      <c r="A3242" s="384" t="str">
        <f>IFERROR(__xludf.DUMMYFUNCTION("""COMPUTED_VALUE"""),"Paulo Henrique Sousa Da Silva | Pedagogia Para Bacharéis E Tecnólogos | Aprovado | Júnio: Praticas de Componentes Curriculares I, II, III e IV: OK. Falta enviar as práticas pedagógicas. //Júnio: aprovado: 02/10/2023")</f>
        <v>Paulo Henrique Sousa Da Silva | Pedagogia Para Bacharéis E Tecnólogos | Aprovado | Júnio: Praticas de Componentes Curriculares I, II, III e IV: OK. Falta enviar as práticas pedagógicas. //Júnio: aprovado: 02/10/2023</v>
      </c>
      <c r="B3242" s="93"/>
    </row>
    <row r="3243">
      <c r="A3243" s="384" t="str">
        <f>IFERROR(__xludf.DUMMYFUNCTION("""COMPUTED_VALUE"""),"Paulo Henrique Teixeira | Música | Aprovado | Declaração de experiência valida// Autorizado realizar estágio apenas na escola especializada //Júnio: aprovado: 19/07/23")</f>
        <v>Paulo Henrique Teixeira | Música | Aprovado | Declaração de experiência valida// Autorizado realizar estágio apenas na escola especializada //Júnio: aprovado: 19/07/23</v>
      </c>
      <c r="B3243" s="93"/>
    </row>
    <row r="3244">
      <c r="A3244" s="384" t="str">
        <f>IFERROR(__xludf.DUMMYFUNCTION("""COMPUTED_VALUE"""),"Paulo Henrique Teixeira | Geografia | Aprovado | Júnio: PP 5 ETAPAS- faltam 18 planos de aula e precisa envia-los digitados. //Júnio: aprovado: 27/12/2023")</f>
        <v>Paulo Henrique Teixeira | Geografia | Aprovado | Júnio: PP 5 ETAPAS- faltam 18 planos de aula e precisa envia-los digitados. //Júnio: aprovado: 27/12/2023</v>
      </c>
      <c r="B3244" s="93"/>
    </row>
    <row r="3245">
      <c r="A3245" s="384" t="str">
        <f>IFERROR(__xludf.DUMMYFUNCTION("""COMPUTED_VALUE"""),"Paulo Ricardo Lopes | Pedagogia | Aprovado | Alexsiane: pp aprovado")</f>
        <v>Paulo Ricardo Lopes | Pedagogia | Aprovado | Alexsiane: pp aprovado</v>
      </c>
      <c r="B3245" s="93"/>
    </row>
    <row r="3246">
      <c r="A3246" s="384" t="str">
        <f>IFERROR(__xludf.DUMMYFUNCTION("""COMPUTED_VALUE"""),"Paulo Roberto Da Costa Dias | Música | Em análise | Júnio: pelo guru declaração de experiência válida para isenção de 50% de observação e regência")</f>
        <v>Paulo Roberto Da Costa Dias | Música | Em análise | Júnio: pelo guru declaração de experiência válida para isenção de 50% de observação e regência</v>
      </c>
      <c r="B3246" s="93"/>
    </row>
    <row r="3247">
      <c r="A3247" s="384" t="str">
        <f>IFERROR(__xludf.DUMMYFUNCTION("""COMPUTED_VALUE"""),"Paulo Roberto Maciel Dos Santos | Ciências Biológicas | Aprovado | Alexsiane: pp- tem qu ecomplementar aprimeira etapa com mais 2 laudas, entrevista ok//Alexsiane: aprovado 06/09")</f>
        <v>Paulo Roberto Maciel Dos Santos | Ciências Biológicas | Aprovado | Alexsiane: pp- tem qu ecomplementar aprimeira etapa com mais 2 laudas, entrevista ok//Alexsiane: aprovado 06/09</v>
      </c>
      <c r="B3247" s="93"/>
    </row>
    <row r="3248">
      <c r="A3248" s="384" t="str">
        <f>IFERROR(__xludf.DUMMYFUNCTION("""COMPUTED_VALUE"""),"Paulo Roberto Tavres | Pedagogia | Em análise | Bárbara: aprovado nas 3 primeiras etapas do remoto, aguardando a última // Bárbara: aprovado 27/11/2020")</f>
        <v>Paulo Roberto Tavres | Pedagogia | Em análise | Bárbara: aprovado nas 3 primeiras etapas do remoto, aguardando a última // Bárbara: aprovado 27/11/2020</v>
      </c>
      <c r="B3248" s="93"/>
    </row>
    <row r="3249">
      <c r="A3249" s="384" t="str">
        <f>IFERROR(__xludf.DUMMYFUNCTION("""COMPUTED_VALUE"""),"Paulo Sérgio Barreto Basílio | Neuropsicopedagogia Institucional,Clínica E Hospitalar | Aprovado  | Alexsiane: 21% de plágio//Bárbara: aprovado 25/08/2022")</f>
        <v>Paulo Sérgio Barreto Basílio | Neuropsicopedagogia Institucional,Clínica E Hospitalar | Aprovado  | Alexsiane: 21% de plágio//Bárbara: aprovado 25/08/2022</v>
      </c>
      <c r="B3249" s="93"/>
    </row>
    <row r="3250">
      <c r="A3250" s="384" t="str">
        <f>IFERROR(__xludf.DUMMYFUNCTION("""COMPUTED_VALUE"""),"Paulo Sérgio Da Silva | Pedagogia | Aprovado | Amélia: aprovado nas etapas 1, 2 e 3  //Bárbara: aprovado 26/08/21")</f>
        <v>Paulo Sérgio Da Silva | Pedagogia | Aprovado | Amélia: aprovado nas etapas 1, 2 e 3  //Bárbara: aprovado 26/08/21</v>
      </c>
      <c r="B3250" s="93"/>
    </row>
    <row r="3251">
      <c r="A3251" s="384" t="str">
        <f>IFERROR(__xludf.DUMMYFUNCTION("""COMPUTED_VALUE"""),"Paulo Sérgio Da Silva | Psicopedagogia | Aprovado | Bianca: aprovado e autorizado a enviar fichas //Bàrbara: trabalho recepcionada em desacordo com a solicitação, aluno encaminhou somente uma ficha de registro assinado, a outra tirou xerox, solicitado o r"&amp;"eenvio no dia 14/05/2021 //Bárbara: conferido e arquivado: 18/06/2021")</f>
        <v>Paulo Sérgio Da Silva | Psicopedagogia | Aprovado | Bianca: aprovado e autorizado a enviar fichas //Bàrbara: trabalho recepcionada em desacordo com a solicitação, aluno encaminhou somente uma ficha de registro assinado, a outra tirou xerox, solicitado o reenvio no dia 14/05/2021 //Bárbara: conferido e arquivado: 18/06/2021</v>
      </c>
      <c r="B3251" s="93"/>
    </row>
    <row r="3252">
      <c r="A3252" s="384" t="str">
        <f>IFERROR(__xludf.DUMMYFUNCTION("""COMPUTED_VALUE"""),"Paulo Victor Zaquieu Higino | Pedagogia | Aprovado | Bárbara: aprovado com lançamento no sponte")</f>
        <v>Paulo Victor Zaquieu Higino | Pedagogia | Aprovado | Bárbara: aprovado com lançamento no sponte</v>
      </c>
      <c r="B3252" s="93"/>
    </row>
    <row r="3253">
      <c r="A3253" s="384" t="str">
        <f>IFERROR(__xludf.DUMMYFUNCTION("""COMPUTED_VALUE"""),"Paulo Vinícius De Omena Pina | Artes Visuais | Aprovado | Júnio: PP aprovado")</f>
        <v>Paulo Vinícius De Omena Pina | Artes Visuais | Aprovado | Júnio: PP aprovado</v>
      </c>
      <c r="B3253" s="93"/>
    </row>
    <row r="3254">
      <c r="A3254" s="384" t="str">
        <f>IFERROR(__xludf.DUMMYFUNCTION("""COMPUTED_VALUE"""),"Paulo Vinícius Ferreira Cherubini | Pedagogia | Em análise | Aline Silva: declaração de exp. Não válida, falta apresentar 50 hras de obs e descrever melhor as atividades, faltam 100 horas de regência, falta termo de compromisso, autoavaliação e elaborar m"&amp;"elhor o plano de aula.// Aprovado dia 15/03/2020")</f>
        <v>Paulo Vinícius Ferreira Cherubini | Pedagogia | Em análise | Aline Silva: declaração de exp. Não válida, falta apresentar 50 hras de obs e descrever melhor as atividades, faltam 100 horas de regência, falta termo de compromisso, autoavaliação e elaborar melhor o plano de aula.// Aprovado dia 15/03/2020</v>
      </c>
      <c r="B3254" s="93"/>
    </row>
    <row r="3255">
      <c r="A3255" s="384" t="str">
        <f>IFERROR(__xludf.DUMMYFUNCTION("""COMPUTED_VALUE"""),"Pedro Albeirice Da Rocha | Música | Aprovado | Júnio: pre aprovado //Júnio: aprovado: 28/04/23")</f>
        <v>Pedro Albeirice Da Rocha | Música | Aprovado | Júnio: pre aprovado //Júnio: aprovado: 28/04/23</v>
      </c>
      <c r="B3255" s="93"/>
    </row>
    <row r="3256">
      <c r="A3256" s="384" t="str">
        <f>IFERROR(__xludf.DUMMYFUNCTION("""COMPUTED_VALUE"""),"Pedro Augusto De Oliveira Assunção | Pedagogia | Em análise | Júnio: PP - falta a carta de apresentação")</f>
        <v>Pedro Augusto De Oliveira Assunção | Pedagogia | Em análise | Júnio: PP - falta a carta de apresentação</v>
      </c>
      <c r="B3256" s="93"/>
    </row>
    <row r="3257">
      <c r="A3257" s="384" t="str">
        <f>IFERROR(__xludf.DUMMYFUNCTION("""COMPUTED_VALUE"""),"Pedro Fernando Pereira Neves | História | Aprovado | Edilaine: 13,34% de plágio. Tem que enviar o plano de aula em nosso modelo padrão, tem que fazer todas as partes dissertativas. //Júnio: PP aprovado: 30/11/23")</f>
        <v>Pedro Fernando Pereira Neves | História | Aprovado | Edilaine: 13,34% de plágio. Tem que enviar o plano de aula em nosso modelo padrão, tem que fazer todas as partes dissertativas. //Júnio: PP aprovado: 30/11/23</v>
      </c>
      <c r="B3257" s="93"/>
    </row>
    <row r="3258">
      <c r="A3258" s="384" t="str">
        <f>IFERROR(__xludf.DUMMYFUNCTION("""COMPUTED_VALUE"""),"Pedro Henrique Brinck Camargo | Filosofia | Aprovado  | Júnio: remoto antigo - falta apenas a etapa 4// Bárbara: 27/09 aprovado no remoto antigo ")</f>
        <v>Pedro Henrique Brinck Camargo | Filosofia | Aprovado  | Júnio: remoto antigo - falta apenas a etapa 4// Bárbara: 27/09 aprovado no remoto antigo </v>
      </c>
      <c r="B3258" s="93"/>
    </row>
    <row r="3259">
      <c r="A3259" s="384" t="str">
        <f>IFERROR(__xludf.DUMMYFUNCTION("""COMPUTED_VALUE"""),"Pedro Henrique Da Silva | Pedagogia | Aprovado | Cristiane: pp aprovado ( Alexsiane - obs: lançando na planilha hoje pois a Cristiane aprovou e não lançou - protocolo 6155)")</f>
        <v>Pedro Henrique Da Silva | Pedagogia | Aprovado | Cristiane: pp aprovado ( Alexsiane - obs: lançando na planilha hoje pois a Cristiane aprovou e não lançou - protocolo 6155)</v>
      </c>
      <c r="B3259" s="93"/>
    </row>
    <row r="3260">
      <c r="A3260" s="384" t="str">
        <f>IFERROR(__xludf.DUMMYFUNCTION("""COMPUTED_VALUE"""),"Pedro Henrique Silva | 2ª Licenciatura Pedagogia | Aprovado | Cris: PP aprovado")</f>
        <v>Pedro Henrique Silva | 2ª Licenciatura Pedagogia | Aprovado | Cris: PP aprovado</v>
      </c>
      <c r="B3260" s="93"/>
    </row>
    <row r="3261">
      <c r="A3261" s="384" t="str">
        <f>IFERROR(__xludf.DUMMYFUNCTION("""COMPUTED_VALUE"""),"Pedro Paulo Cerqueira Maciel | Pedagogia | Aprovado | Ana Flávia: aprovado em todas as etapas // Bárbara: conferido e arquivado 29/01/2021")</f>
        <v>Pedro Paulo Cerqueira Maciel | Pedagogia | Aprovado | Ana Flávia: aprovado em todas as etapas // Bárbara: conferido e arquivado 29/01/2021</v>
      </c>
      <c r="B3261" s="93"/>
    </row>
    <row r="3262">
      <c r="A3262" s="384" t="str">
        <f>IFERROR(__xludf.DUMMYFUNCTION("""COMPUTED_VALUE"""),"Perme Caetano Junior | Pedagogia | Aprovado | Bárbara: aprovado // Bárbara:conferido e arquivado 17/05/2021")</f>
        <v>Perme Caetano Junior | Pedagogia | Aprovado | Bárbara: aprovado // Bárbara:conferido e arquivado 17/05/2021</v>
      </c>
      <c r="B3262" s="93"/>
    </row>
    <row r="3263">
      <c r="A3263" s="384" t="str">
        <f>IFERROR(__xludf.DUMMYFUNCTION("""COMPUTED_VALUE"""),"Phelipe Esteves Silva | Música | Aprovado | Júnio: pelo email declaração de experiencia valida //Júnio: apressamento - aprovado: 07/08/23")</f>
        <v>Phelipe Esteves Silva | Música | Aprovado | Júnio: pelo email declaração de experiencia valida //Júnio: apressamento - aprovado: 07/08/23</v>
      </c>
      <c r="B3263" s="93"/>
    </row>
    <row r="3264">
      <c r="A3264" s="384" t="str">
        <f>IFERROR(__xludf.DUMMYFUNCTION("""COMPUTED_VALUE"""),"Platini Ramos Da Silva | Pedagogia | Em análise | Júnio: faltam 1 plano de aula, carta de apresentação, fichas de registro, termo de conclusão, relatório de observação e regência, autoavaliação. OBS: aluno de recompra, vai fazer agora PP")</f>
        <v>Platini Ramos Da Silva | Pedagogia | Em análise | Júnio: faltam 1 plano de aula, carta de apresentação, fichas de registro, termo de conclusão, relatório de observação e regência, autoavaliação. OBS: aluno de recompra, vai fazer agora PP</v>
      </c>
      <c r="B3264" s="93"/>
    </row>
    <row r="3265">
      <c r="A3265" s="384" t="str">
        <f>IFERROR(__xludf.DUMMYFUNCTION("""COMPUTED_VALUE"""),"Platini Ramos Da Silva | Segunda Licenciatura Em Pedagogia | Em analise | Mariana: falta etapa 2")</f>
        <v>Platini Ramos Da Silva | Segunda Licenciatura Em Pedagogia | Em analise | Mariana: falta etapa 2</v>
      </c>
      <c r="B3265" s="93"/>
    </row>
    <row r="3266">
      <c r="A3266" s="384" t="str">
        <f>IFERROR(__xludf.DUMMYFUNCTION("""COMPUTED_VALUE"""),"Platini Ramos Da Silva | 2ª Licenciatura Em Pedagogia | Em análise | Cris: Falta etapa 2 e carta de apresentação.")</f>
        <v>Platini Ramos Da Silva | 2ª Licenciatura Em Pedagogia | Em análise | Cris: Falta etapa 2 e carta de apresentação.</v>
      </c>
      <c r="B3266" s="93"/>
    </row>
    <row r="3267">
      <c r="A3267" s="384" t="str">
        <f>IFERROR(__xludf.DUMMYFUNCTION("""COMPUTED_VALUE"""),"Platini Ramos Da Silva | Pedagogia | Aprovado | Alexsiane: pp aprovado")</f>
        <v>Platini Ramos Da Silva | Pedagogia | Aprovado | Alexsiane: pp aprovado</v>
      </c>
      <c r="B3267" s="93"/>
    </row>
    <row r="3268">
      <c r="A3268" s="384" t="str">
        <f>IFERROR(__xludf.DUMMYFUNCTION("""COMPUTED_VALUE"""),"Poliana Barbosa Carvalho De Castro | Pedagogia | Aprovada | Júnio: falta carta de apresentação, ficha de registro, termo de conclusao PRAZO: 12/06/23 //Júnio: aprovada: 19/06/23")</f>
        <v>Poliana Barbosa Carvalho De Castro | Pedagogia | Aprovada | Júnio: falta carta de apresentação, ficha de registro, termo de conclusao PRAZO: 12/06/23 //Júnio: aprovada: 19/06/23</v>
      </c>
      <c r="B3268" s="93"/>
    </row>
    <row r="3269">
      <c r="A3269" s="384" t="str">
        <f>IFERROR(__xludf.DUMMYFUNCTION("""COMPUTED_VALUE"""),"Poliana Maciel Capanema | Educação Especial | Aprovada | Júnio: enviou o guia de orientação no lugar do trabalho//Alexsiane: aprovada no pp")</f>
        <v>Poliana Maciel Capanema | Educação Especial | Aprovada | Júnio: enviou o guia de orientação no lugar do trabalho//Alexsiane: aprovada no pp</v>
      </c>
      <c r="B3269" s="93"/>
    </row>
    <row r="3270">
      <c r="A3270" s="384" t="str">
        <f>IFERROR(__xludf.DUMMYFUNCTION("""COMPUTED_VALUE"""),"Poliana Raquel De Carvalho | Psicopedagogia Institucional E Clínica | Aprovada  | Bárbara: aprovada com lançamento no sponte ")</f>
        <v>Poliana Raquel De Carvalho | Psicopedagogia Institucional E Clínica | Aprovada  | Bárbara: aprovada com lançamento no sponte </v>
      </c>
      <c r="B3270" s="93"/>
    </row>
    <row r="3271">
      <c r="A3271" s="384" t="str">
        <f>IFERROR(__xludf.DUMMYFUNCTION("""COMPUTED_VALUE"""),"Poliane Cristina Da Silva | História | Aprovado | Aline Silva: recolher assinaturas e reenviar // Bárbara: conferido e arquivado 03/11/2020")</f>
        <v>Poliane Cristina Da Silva | História | Aprovado | Aline Silva: recolher assinaturas e reenviar // Bárbara: conferido e arquivado 03/11/2020</v>
      </c>
      <c r="B3271" s="93"/>
    </row>
    <row r="3272">
      <c r="A3272" s="384" t="str">
        <f>IFERROR(__xludf.DUMMYFUNCTION("""COMPUTED_VALUE"""),"Pollyana Tavares Braga | Matemática | aprovado | Thiara: Falta enviar a documentação devidamente assinada e carimbada. // Aprovada dia 28/01/2020 dentro dos moldes de avaliação da carga horária aprovada anteriormente pela Thiara. // Recebido dia 11/02/202"&amp;"0")</f>
        <v>Pollyana Tavares Braga | Matemática | aprovado | Thiara: Falta enviar a documentação devidamente assinada e carimbada. // Aprovada dia 28/01/2020 dentro dos moldes de avaliação da carga horária aprovada anteriormente pela Thiara. // Recebido dia 11/02/2020</v>
      </c>
      <c r="B3272" s="93"/>
    </row>
    <row r="3273">
      <c r="A3273" s="384" t="str">
        <f>IFERROR(__xludf.DUMMYFUNCTION("""COMPUTED_VALUE"""),"Polyana Brum Braga Souza | Artes Visuais | Aprovado | Estella: Aluna apareceu pessoalmente e eu aprovei; Recebido 12/11, entregue pessoalmente")</f>
        <v>Polyana Brum Braga Souza | Artes Visuais | Aprovado | Estella: Aluna apareceu pessoalmente e eu aprovei; Recebido 12/11, entregue pessoalmente</v>
      </c>
      <c r="B3273" s="93"/>
    </row>
    <row r="3274">
      <c r="A3274" s="384" t="str">
        <f>IFERROR(__xludf.DUMMYFUNCTION("""COMPUTED_VALUE"""),"Polyana Brum Braga Souza | Pedagogia | Aprovado | Thiara: aluna apareceu pessoalmente e aprovei; Recebido e entregue pessoalmente em 13/06/2019")</f>
        <v>Polyana Brum Braga Souza | Pedagogia | Aprovado | Thiara: aluna apareceu pessoalmente e aprovei; Recebido e entregue pessoalmente em 13/06/2019</v>
      </c>
      <c r="B3274" s="93"/>
    </row>
    <row r="3275">
      <c r="A3275" s="384" t="str">
        <f>IFERROR(__xludf.DUMMYFUNCTION("""COMPUTED_VALUE"""),"Pricila De Mello Moreira Barros | Matemática | Aprovada  | Bianca: falta etapa 4 do remoto atualizado// Bárbara: aprovada no estágio 28/03/2022")</f>
        <v>Pricila De Mello Moreira Barros | Matemática | Aprovada  | Bianca: falta etapa 4 do remoto atualizado// Bárbara: aprovada no estágio 28/03/2022</v>
      </c>
      <c r="B3275" s="93"/>
    </row>
    <row r="3276">
      <c r="A3276" s="384" t="str">
        <f>IFERROR(__xludf.DUMMYFUNCTION("""COMPUTED_VALUE"""),"Pricilla Aparecida Damião Couto Macedo | Pedagogia | Aprovado | Bárbara: aprovada nas 3 primeiras etapas do remoto //Júnio: aprovado: 31/05/21")</f>
        <v>Pricilla Aparecida Damião Couto Macedo | Pedagogia | Aprovado | Bárbara: aprovada nas 3 primeiras etapas do remoto //Júnio: aprovado: 31/05/21</v>
      </c>
      <c r="B3276" s="93"/>
    </row>
    <row r="3277">
      <c r="A3277" s="384" t="str">
        <f>IFERROR(__xludf.DUMMYFUNCTION("""COMPUTED_VALUE"""),"Priscila Almeida Da Cruz Brito | Segunda Licenciatura Letras - Português | Em análise | Rayssa PP Falta carta de apresentação")</f>
        <v>Priscila Almeida Da Cruz Brito | Segunda Licenciatura Letras - Português | Em análise | Rayssa PP Falta carta de apresentação</v>
      </c>
      <c r="B3277" s="93"/>
    </row>
    <row r="3278">
      <c r="A3278" s="384" t="str">
        <f>IFERROR(__xludf.DUMMYFUNCTION("""COMPUTED_VALUE"""),"Priscila Aparecida Tavares Fontes | Artes Visuais | Aprovada | Bianca: aprovada nas 4 etapas do remoto antigo")</f>
        <v>Priscila Aparecida Tavares Fontes | Artes Visuais | Aprovada | Bianca: aprovada nas 4 etapas do remoto antigo</v>
      </c>
      <c r="B3278" s="93"/>
    </row>
    <row r="3279">
      <c r="A3279" s="384" t="str">
        <f>IFERROR(__xludf.DUMMYFUNCTION("""COMPUTED_VALUE"""),"Priscila Braga Do Nascimento Sousa | Neuropsicopedagogia Instittucional Clínica E Hospitalar | Em análise | Júnio: 16% plágio")</f>
        <v>Priscila Braga Do Nascimento Sousa | Neuropsicopedagogia Instittucional Clínica E Hospitalar | Em análise | Júnio: 16% plágio</v>
      </c>
      <c r="B3279" s="93"/>
    </row>
    <row r="3280">
      <c r="A3280" s="384" t="str">
        <f>IFERROR(__xludf.DUMMYFUNCTION("""COMPUTED_VALUE"""),"Priscila Bueno Giordano | Geografia | Aprovada | Bianca: aprovado nas 3 primeiras etapas do remoto //Bárbara: aprovada 09/04/2021")</f>
        <v>Priscila Bueno Giordano | Geografia | Aprovada | Bianca: aprovado nas 3 primeiras etapas do remoto //Bárbara: aprovada 09/04/2021</v>
      </c>
      <c r="B3280" s="93"/>
    </row>
    <row r="3281">
      <c r="A3281" s="384" t="str">
        <f>IFERROR(__xludf.DUMMYFUNCTION("""COMPUTED_VALUE"""),"Priscila De Melo Moreira Barros | Matemática | Em análise | Bianca:Falta etapa 4 do remoto atualizado.")</f>
        <v>Priscila De Melo Moreira Barros | Matemática | Em análise | Bianca:Falta etapa 4 do remoto atualizado.</v>
      </c>
      <c r="B3281" s="93"/>
    </row>
    <row r="3282">
      <c r="A3282" s="384" t="str">
        <f>IFERROR(__xludf.DUMMYFUNCTION("""COMPUTED_VALUE"""),"Priscila Gomes Silva | Pedagogia | Aprovada | Júnio: PP aprovada")</f>
        <v>Priscila Gomes Silva | Pedagogia | Aprovada | Júnio: PP aprovada</v>
      </c>
      <c r="B3282" s="93"/>
    </row>
    <row r="3283">
      <c r="A3283" s="384" t="str">
        <f>IFERROR(__xludf.DUMMYFUNCTION("""COMPUTED_VALUE"""),"Priscila Lima Da Silva | Pedagogia | Aprovada | Alexsiane: falta carta de apresentação. //alexsiane: pp aprovado 10/07")</f>
        <v>Priscila Lima Da Silva | Pedagogia | Aprovada | Alexsiane: falta carta de apresentação. //alexsiane: pp aprovado 10/07</v>
      </c>
      <c r="B3283" s="93"/>
    </row>
    <row r="3284">
      <c r="A3284" s="384" t="str">
        <f>IFERROR(__xludf.DUMMYFUNCTION("""COMPUTED_VALUE"""),"Priscila Pedroso Félix De Oliveira | Geografia | Aprovada | Bianca: aprovada nas 4 etapas do remoto atualizado  // Lucas: conferido e arquivado 04/01/2022")</f>
        <v>Priscila Pedroso Félix De Oliveira | Geografia | Aprovada | Bianca: aprovada nas 4 etapas do remoto atualizado  // Lucas: conferido e arquivado 04/01/2022</v>
      </c>
      <c r="B3284" s="93"/>
    </row>
    <row r="3285">
      <c r="A3285" s="384" t="str">
        <f>IFERROR(__xludf.DUMMYFUNCTION("""COMPUTED_VALUE"""),"Priscila Rodrigues De Figueiredo | Pedagogia | Pré-aprovado | Thiara: Mandou sem as assinaturas. Recebido no Instituto dia 26/09/2019")</f>
        <v>Priscila Rodrigues De Figueiredo | Pedagogia | Pré-aprovado | Thiara: Mandou sem as assinaturas. Recebido no Instituto dia 26/09/2019</v>
      </c>
      <c r="B3285" s="93"/>
    </row>
    <row r="3286">
      <c r="A3286" s="384" t="str">
        <f>IFERROR(__xludf.DUMMYFUNCTION("""COMPUTED_VALUE"""),"Priscila Rodrigues Mendes | Pedagogia | Aprovado | Estella: tudo ok, solicitei envio via Correios. Recebido dia 07/02/2019")</f>
        <v>Priscila Rodrigues Mendes | Pedagogia | Aprovado | Estella: tudo ok, solicitei envio via Correios. Recebido dia 07/02/2019</v>
      </c>
      <c r="B3286" s="93"/>
    </row>
    <row r="3287">
      <c r="A3287" s="384" t="str">
        <f>IFERROR(__xludf.DUMMYFUNCTION("""COMPUTED_VALUE"""),"Priscila Rodrigues Mendes De Lucas | História | Aprovada | Júnio: PP aprovada")</f>
        <v>Priscila Rodrigues Mendes De Lucas | História | Aprovada | Júnio: PP aprovada</v>
      </c>
      <c r="B3287" s="93"/>
    </row>
    <row r="3288">
      <c r="A3288" s="384" t="str">
        <f>IFERROR(__xludf.DUMMYFUNCTION("""COMPUTED_VALUE"""),"Priscilla Mara Da Silva | Pedagogia | Aprovada | Bianca: aprovada nas 3 1° etapas do remoto antigo //Júnio: aprovada na aula online 24/01/22 //Júnio: conferido e arquivado: 11/02/22")</f>
        <v>Priscilla Mara Da Silva | Pedagogia | Aprovada | Bianca: aprovada nas 3 1° etapas do remoto antigo //Júnio: aprovada na aula online 24/01/22 //Júnio: conferido e arquivado: 11/02/22</v>
      </c>
      <c r="B3288" s="93"/>
    </row>
    <row r="3289">
      <c r="A3289" s="384" t="str">
        <f>IFERROR(__xludf.DUMMYFUNCTION("""COMPUTED_VALUE"""),"Priscilla Neris Da Silva | Pedagogia | Aprovada | Júnio: autorizada a recolher assinaturas //Júnio: pré aprovada //Júnio: aprovada: 18/07/23")</f>
        <v>Priscilla Neris Da Silva | Pedagogia | Aprovada | Júnio: autorizada a recolher assinaturas //Júnio: pré aprovada //Júnio: aprovada: 18/07/23</v>
      </c>
      <c r="B3289" s="93"/>
    </row>
    <row r="3290">
      <c r="A3290" s="384" t="str">
        <f>IFERROR(__xludf.DUMMYFUNCTION("""COMPUTED_VALUE"""),"Públio Alves Batista Araújo | Artes Visuais | Aprovado | Aline Silva: aprovado//Aline Silva: Recebido no instituto encadernado e impresso dia 27/12/2019")</f>
        <v>Públio Alves Batista Araújo | Artes Visuais | Aprovado | Aline Silva: aprovado//Aline Silva: Recebido no instituto encadernado e impresso dia 27/12/2019</v>
      </c>
      <c r="B3290" s="93"/>
    </row>
    <row r="3291">
      <c r="A3291" s="384" t="str">
        <f>IFERROR(__xludf.DUMMYFUNCTION("""COMPUTED_VALUE"""),"Querli Vieira Do Nascimento | Artes Visuais | Aprovada | Aline: aprovada com e-mail enviado")</f>
        <v>Querli Vieira Do Nascimento | Artes Visuais | Aprovada | Aline: aprovada com e-mail enviado</v>
      </c>
      <c r="B3291" s="93"/>
    </row>
    <row r="3292">
      <c r="A3292" s="384" t="str">
        <f>IFERROR(__xludf.DUMMYFUNCTION("""COMPUTED_VALUE"""),"Querli Vieira Do Nascimento Silva | Psicopedagogia Clínica E Institucional | Aprovado | Alexsiane:36% de plágio, falta introdução,desenvolvimento, cobrir o rosto e abreviar o nome da criança. até dia 17/07 para reenviar //Alexsiane: Pré-aprovado com lança"&amp;"mento no sponte 13/10 //Júnio: físico conferido e arquivado 24/10/24")</f>
        <v>Querli Vieira Do Nascimento Silva | Psicopedagogia Clínica E Institucional | Aprovado | Alexsiane:36% de plágio, falta introdução,desenvolvimento, cobrir o rosto e abreviar o nome da criança. até dia 17/07 para reenviar //Alexsiane: Pré-aprovado com lançamento no sponte 13/10 //Júnio: físico conferido e arquivado 24/10/24</v>
      </c>
      <c r="B3292" s="93"/>
    </row>
    <row r="3293">
      <c r="A3293" s="384" t="str">
        <f>IFERROR(__xludf.DUMMYFUNCTION("""COMPUTED_VALUE"""),"Quézia Elaine Ferreira | Pedagogia | aprovada | Aline Silva: aprovada com autorização da Ana, solicitei envio físico do documento.")</f>
        <v>Quézia Elaine Ferreira | Pedagogia | aprovada | Aline Silva: aprovada com autorização da Ana, solicitei envio físico do documento.</v>
      </c>
      <c r="B3293" s="93"/>
    </row>
    <row r="3294">
      <c r="A3294" s="384" t="str">
        <f>IFERROR(__xludf.DUMMYFUNCTION("""COMPUTED_VALUE"""),"Quézia Eller Pacheco | Artes | Aprovada | Bárbara: aprovada nas 3 primeiras etapas do remoto //Amélia 05/02 Trabalho carimbado e entregue a secretaria. // Amélia: aprovada 08/2/2021 // Bárbara: conferido e arquivado 04/02/2021")</f>
        <v>Quézia Eller Pacheco | Artes | Aprovada | Bárbara: aprovada nas 3 primeiras etapas do remoto //Amélia 05/02 Trabalho carimbado e entregue a secretaria. // Amélia: aprovada 08/2/2021 // Bárbara: conferido e arquivado 04/02/2021</v>
      </c>
      <c r="B3294" s="93"/>
    </row>
    <row r="3295">
      <c r="A3295" s="384" t="str">
        <f>IFERROR(__xludf.DUMMYFUNCTION("""COMPUTED_VALUE"""),"Rached Ahmad Abu Laila Filho | Matemática | Aprovado | Alexsiane;corrigir as margens, plano de aula em formato de imagem,fazer o relátorio geral de duas pagianas,19% de plágio  e ser entregue ate dia 21/03 // Alexsiane: aprovado com lançamento no Sponte /"&amp;"/Júnio: físico conferido e arquivado: 27/06/22")</f>
        <v>Rached Ahmad Abu Laila Filho | Matemática | Aprovado | Alexsiane;corrigir as margens, plano de aula em formato de imagem,fazer o relátorio geral de duas pagianas,19% de plágio  e ser entregue ate dia 21/03 // Alexsiane: aprovado com lançamento no Sponte //Júnio: físico conferido e arquivado: 27/06/22</v>
      </c>
      <c r="B3295" s="93"/>
    </row>
    <row r="3296">
      <c r="A3296" s="384" t="str">
        <f>IFERROR(__xludf.DUMMYFUNCTION("""COMPUTED_VALUE"""),"Rachel Aparecida Mauro Ferreira Romeu | Artes Visuais | Em análise | Bianca: desformatação e apenas duas horas nas fichas de registro")</f>
        <v>Rachel Aparecida Mauro Ferreira Romeu | Artes Visuais | Em análise | Bianca: desformatação e apenas duas horas nas fichas de registro</v>
      </c>
      <c r="B3296" s="93"/>
    </row>
    <row r="3297">
      <c r="A3297" s="384" t="str">
        <f>IFERROR(__xludf.DUMMYFUNCTION("""COMPUTED_VALUE"""),"Raélita De Oliveira Resende Marques | Neuropsicologia Clínica | Aprovada | Alexsiane: falta carta de apresentação, termo de conclusão e as fichas de registro ( liberada // Alexsiane: Pré aprovado com lançamento no Jacad// Pamela 08/12/2022 Conferido e arq"&amp;"uivado. ")</f>
        <v>Raélita De Oliveira Resende Marques | Neuropsicologia Clínica | Aprovada | Alexsiane: falta carta de apresentação, termo de conclusão e as fichas de registro ( liberada // Alexsiane: Pré aprovado com lançamento no Jacad// Pamela 08/12/2022 Conferido e arquivado. </v>
      </c>
      <c r="B3297" s="93"/>
    </row>
    <row r="3298">
      <c r="A3298" s="384" t="str">
        <f>IFERROR(__xludf.DUMMYFUNCTION("""COMPUTED_VALUE"""),"Rafael Andrade Machado | Letras Inglês | Em análise | Júnio: PP - aprovado")</f>
        <v>Rafael Andrade Machado | Letras Inglês | Em análise | Júnio: PP - aprovado</v>
      </c>
      <c r="B3298" s="93"/>
    </row>
    <row r="3299">
      <c r="A3299" s="384" t="str">
        <f>IFERROR(__xludf.DUMMYFUNCTION("""COMPUTED_VALUE"""),"Rafael Bonifácio Martins | Música | Aprovado | Edilaine: 4,45% de plágio. Declaração de experiência não é válida. Tem que especififcar o tipo de acompanhamento nas fichas de registro.//Alexsiane: pré aprovado, autorizado a autenticar Júnio: aprovado: 03/0"&amp;"5/23")</f>
        <v>Rafael Bonifácio Martins | Música | Aprovado | Edilaine: 4,45% de plágio. Declaração de experiência não é válida. Tem que especififcar o tipo de acompanhamento nas fichas de registro.//Alexsiane: pré aprovado, autorizado a autenticar Júnio: aprovado: 03/05/23</v>
      </c>
      <c r="B3299" s="93"/>
    </row>
    <row r="3300">
      <c r="A3300" s="384" t="str">
        <f>IFERROR(__xludf.DUMMYFUNCTION("""COMPUTED_VALUE"""),"Rafael De Oliveira Orlof | Filosofia | Em análise | Matheus: PP tem que enviar a carta de apresentação legível e entrevista digitada.")</f>
        <v>Rafael De Oliveira Orlof | Filosofia | Em análise | Matheus: PP tem que enviar a carta de apresentação legível e entrevista digitada.</v>
      </c>
      <c r="B3300" s="93"/>
    </row>
    <row r="3301">
      <c r="A3301" s="384" t="str">
        <f>IFERROR(__xludf.DUMMYFUNCTION("""COMPUTED_VALUE"""),"Rafael Fernandes Da Fonseca | Matemática | Aprovado | Estella: Aprovado. Recebido dia 14/03/2019")</f>
        <v>Rafael Fernandes Da Fonseca | Matemática | Aprovado | Estella: Aprovado. Recebido dia 14/03/2019</v>
      </c>
      <c r="B3301" s="93"/>
    </row>
    <row r="3302">
      <c r="A3302" s="384" t="str">
        <f>IFERROR(__xludf.DUMMYFUNCTION("""COMPUTED_VALUE"""),"Rafael Ferreira Do Nascimento Silva | Pedagogia | Aprovado | Bianca: apenas 6 planos de aulas //Bianca: aprovada nas 4 etapas do remoto antigo")</f>
        <v>Rafael Ferreira Do Nascimento Silva | Pedagogia | Aprovado | Bianca: apenas 6 planos de aulas //Bianca: aprovada nas 4 etapas do remoto antigo</v>
      </c>
      <c r="B3302" s="93"/>
    </row>
    <row r="3303">
      <c r="A3303" s="384" t="str">
        <f>IFERROR(__xludf.DUMMYFUNCTION("""COMPUTED_VALUE"""),"Rafael Francisco Ferreira | Artes Visuais | Aprovado | Ana Flávia: aprovado nas 3 primeiras etapas do remoto, e apresentou declaração de experiência válida. //Amélia 05/02 Trabalho carimbado e entregue a secretaria. //Júnio: conferido e arquivado: 16/06/2"&amp;"021")</f>
        <v>Rafael Francisco Ferreira | Artes Visuais | Aprovado | Ana Flávia: aprovado nas 3 primeiras etapas do remoto, e apresentou declaração de experiência válida. //Amélia 05/02 Trabalho carimbado e entregue a secretaria. //Júnio: conferido e arquivado: 16/06/2021</v>
      </c>
      <c r="B3303" s="93"/>
    </row>
    <row r="3304">
      <c r="A3304" s="384" t="str">
        <f>IFERROR(__xludf.DUMMYFUNCTION("""COMPUTED_VALUE"""),"Rafael Gomes Da Silva | Pedagogia | Aprovado | Pâmela: declaração de experiência aceita //Júnio: aprovado: 03/10/23")</f>
        <v>Rafael Gomes Da Silva | Pedagogia | Aprovado | Pâmela: declaração de experiência aceita //Júnio: aprovado: 03/10/23</v>
      </c>
      <c r="B3304" s="93"/>
    </row>
    <row r="3305">
      <c r="A3305" s="384" t="str">
        <f>IFERROR(__xludf.DUMMYFUNCTION("""COMPUTED_VALUE"""),"Rafael Junio Moreira Silva | Matemática | Aprovado | Júnio: PP - falta a etapa 2. //Júnio: aprovado: 29/11/23")</f>
        <v>Rafael Junio Moreira Silva | Matemática | Aprovado | Júnio: PP - falta a etapa 2. //Júnio: aprovado: 29/11/23</v>
      </c>
      <c r="B3305" s="93"/>
    </row>
    <row r="3306">
      <c r="A3306" s="384" t="str">
        <f>IFERROR(__xludf.DUMMYFUNCTION("""COMPUTED_VALUE"""),"Rafael Marques Pinheiro | Pedagogia | Aprovado  | Bianca: autoriazado a recolher assinaturas// Bárbara: aprovado e autorizado a enviar físico.  //Júnio:conferido e arquivado: 25/02/22")</f>
        <v>Rafael Marques Pinheiro | Pedagogia | Aprovado  | Bianca: autoriazado a recolher assinaturas// Bárbara: aprovado e autorizado a enviar físico.  //Júnio:conferido e arquivado: 25/02/22</v>
      </c>
      <c r="B3306" s="93"/>
    </row>
    <row r="3307">
      <c r="A3307" s="384" t="str">
        <f>IFERROR(__xludf.DUMMYFUNCTION("""COMPUTED_VALUE"""),"Rafael Moreira Lima | Artes Visuais | Aprovado | Júnio: PP aprovado")</f>
        <v>Rafael Moreira Lima | Artes Visuais | Aprovado | Júnio: PP aprovado</v>
      </c>
      <c r="B3307" s="93"/>
    </row>
    <row r="3308">
      <c r="A3308" s="384" t="str">
        <f>IFERROR(__xludf.DUMMYFUNCTION("""COMPUTED_VALUE"""),"Rafael Oliveira Silva | Matemática | Aprovado | Júnio - PP - etapas: ok  Inicio: 16/08/2023 Reenvio: 16/02/2024// Alexsiane: pp aprovado 27/06/24")</f>
        <v>Rafael Oliveira Silva | Matemática | Aprovado | Júnio - PP - etapas: ok  Inicio: 16/08/2023 Reenvio: 16/02/2024// Alexsiane: pp aprovado 27/06/24</v>
      </c>
      <c r="B3308" s="93"/>
    </row>
    <row r="3309">
      <c r="A3309" s="384" t="str">
        <f>IFERROR(__xludf.DUMMYFUNCTION("""COMPUTED_VALUE"""),"Rafael Rodrigues Guimarães | Segunda Licenciatura Em Pedagogia | Aprovado | Rayssa pp aprovado")</f>
        <v>Rafael Rodrigues Guimarães | Segunda Licenciatura Em Pedagogia | Aprovado | Rayssa pp aprovado</v>
      </c>
      <c r="B3309" s="93"/>
    </row>
    <row r="3310">
      <c r="A3310" s="384" t="str">
        <f>IFERROR(__xludf.DUMMYFUNCTION("""COMPUTED_VALUE"""),"Rafael Silva Dos Santos | Pedagogia | Aprovado | Alexsiane: autorizado a autenticar //Júnio: aprovado: 08/05/23")</f>
        <v>Rafael Silva Dos Santos | Pedagogia | Aprovado | Alexsiane: autorizado a autenticar //Júnio: aprovado: 08/05/23</v>
      </c>
      <c r="B3310" s="93"/>
    </row>
    <row r="3311">
      <c r="A3311" s="384" t="str">
        <f>IFERROR(__xludf.DUMMYFUNCTION("""COMPUTED_VALUE"""),"Rafael Topázio Muricy | Música | Aprovado | Alexsiane: pp aprovado")</f>
        <v>Rafael Topázio Muricy | Música | Aprovado | Alexsiane: pp aprovado</v>
      </c>
      <c r="B3311" s="93"/>
    </row>
    <row r="3312">
      <c r="A3312" s="384" t="str">
        <f>IFERROR(__xludf.DUMMYFUNCTION("""COMPUTED_VALUE"""),"Rafael Wildemann | Letras Port./Ing. | Aprovado | APROVADO, 06-08, em caráter emergencial.")</f>
        <v>Rafael Wildemann | Letras Port./Ing. | Aprovado | APROVADO, 06-08, em caráter emergencial.</v>
      </c>
      <c r="B3312" s="93"/>
    </row>
    <row r="3313">
      <c r="A3313" s="384" t="str">
        <f>IFERROR(__xludf.DUMMYFUNCTION("""COMPUTED_VALUE"""),"Rafaela Aparecida Machado | Artes Visuais | Aprovada | Júnio: aprovada no remoto antigo")</f>
        <v>Rafaela Aparecida Machado | Artes Visuais | Aprovada | Júnio: aprovada no remoto antigo</v>
      </c>
      <c r="B3313" s="93"/>
    </row>
    <row r="3314">
      <c r="A3314" s="384" t="str">
        <f>IFERROR(__xludf.DUMMYFUNCTION("""COMPUTED_VALUE"""),"Rafaela Luiza Lopes | Letras - Português Inglês | Aprovada | Bianca: apenas 5 planos de aulas// Bárbara: aprovada na 4ª etapa em 19/01/2022")</f>
        <v>Rafaela Luiza Lopes | Letras - Português Inglês | Aprovada | Bianca: apenas 5 planos de aulas// Bárbara: aprovada na 4ª etapa em 19/01/2022</v>
      </c>
      <c r="B3314" s="93"/>
    </row>
    <row r="3315">
      <c r="A3315" s="384" t="str">
        <f>IFERROR(__xludf.DUMMYFUNCTION("""COMPUTED_VALUE"""),"Rafaela Mateus De Paula Ferreira | Pedagogia | Aprovado | Alexsiane: pp aprovado")</f>
        <v>Rafaela Mateus De Paula Ferreira | Pedagogia | Aprovado | Alexsiane: pp aprovado</v>
      </c>
      <c r="B3315" s="93"/>
    </row>
    <row r="3316">
      <c r="A3316" s="384" t="str">
        <f>IFERROR(__xludf.DUMMYFUNCTION("""COMPUTED_VALUE"""),"Rafaela Raiser Athayde | Música | Aprovada | Júnio: pelo guru declaração de experiencia valida //Júnio: PP aprovada 12/09/23")</f>
        <v>Rafaela Raiser Athayde | Música | Aprovada | Júnio: pelo guru declaração de experiencia valida //Júnio: PP aprovada 12/09/23</v>
      </c>
      <c r="B3316" s="93"/>
    </row>
    <row r="3317">
      <c r="A3317" s="384" t="str">
        <f>IFERROR(__xludf.DUMMYFUNCTION("""COMPUTED_VALUE"""),"Rafaela Ribeiro Cipriano Barros | História | Aprovada | Bárbara: aprovada nas 3 primeiras etapas do remoto antigo  //Júnio:aprovada: 14/01/2022")</f>
        <v>Rafaela Ribeiro Cipriano Barros | História | Aprovada | Bárbara: aprovada nas 3 primeiras etapas do remoto antigo  //Júnio:aprovada: 14/01/2022</v>
      </c>
      <c r="B3317" s="93"/>
    </row>
    <row r="3318">
      <c r="A3318" s="384" t="str">
        <f>IFERROR(__xludf.DUMMYFUNCTION("""COMPUTED_VALUE"""),"Rafaela Silva Martins | Pedagogia | Em análise | Júnio: faltam ojetivos gerais, apresentação da escola, análise do PPP e gestão, fichas de registro, autoavaliação, e complementar a introdução com mais um paragrafo. PRAZO: 09/01/24")</f>
        <v>Rafaela Silva Martins | Pedagogia | Em análise | Júnio: faltam ojetivos gerais, apresentação da escola, análise do PPP e gestão, fichas de registro, autoavaliação, e complementar a introdução com mais um paragrafo. PRAZO: 09/01/24</v>
      </c>
      <c r="B3318" s="93"/>
    </row>
    <row r="3319">
      <c r="A3319" s="384" t="str">
        <f>IFERROR(__xludf.DUMMYFUNCTION("""COMPUTED_VALUE"""),"Rafaela Silva Martins | Psicopedagogia Clínica, Institucional E Hospitalar | Em análise | Cris: Falta ficha de estágio com descrição obs e regência/determinar as etapas do artigo (introdução, desenvolvimento,apresentação do caso, cons.finais, referências "&amp;"bibliog)")</f>
        <v>Rafaela Silva Martins | Psicopedagogia Clínica, Institucional E Hospitalar | Em análise | Cris: Falta ficha de estágio com descrição obs e regência/determinar as etapas do artigo (introdução, desenvolvimento,apresentação do caso, cons.finais, referências bibliog)</v>
      </c>
      <c r="B3319" s="93"/>
    </row>
    <row r="3320">
      <c r="A3320" s="384" t="str">
        <f>IFERROR(__xludf.DUMMYFUNCTION("""COMPUTED_VALUE"""),"Rafaela Xavier Villa Nova | Pedagogia | Aprovada | Aline Silva: sem datas, carta de aceite de agosto?, atividade durante a pandemia?, solicitei preencher, corrigir e digitalizar.// Alina: aprovada 18/11/2020// Bárbara: imprimido e encadernado 14/01/2021//")</f>
        <v>Rafaela Xavier Villa Nova | Pedagogia | Aprovada | Aline Silva: sem datas, carta de aceite de agosto?, atividade durante a pandemia?, solicitei preencher, corrigir e digitalizar.// Alina: aprovada 18/11/2020// Bárbara: imprimido e encadernado 14/01/2021//</v>
      </c>
      <c r="B3320" s="93"/>
    </row>
    <row r="3321">
      <c r="A3321" s="384" t="str">
        <f>IFERROR(__xludf.DUMMYFUNCTION("""COMPUTED_VALUE"""),"Rafaella Moreira De Lima | Letras Português | Aprovada | Júnio: enviar plano de aula digitado e preencher fichas de registro de forma diária //Júnio: aprovada: 31/07/2023")</f>
        <v>Rafaella Moreira De Lima | Letras Português | Aprovada | Júnio: enviar plano de aula digitado e preencher fichas de registro de forma diária //Júnio: aprovada: 31/07/2023</v>
      </c>
      <c r="B3321" s="93"/>
    </row>
    <row r="3322">
      <c r="A3322" s="384" t="str">
        <f>IFERROR(__xludf.DUMMYFUNCTION("""COMPUTED_VALUE"""),"Rafaella Moreira De Lima | 2ª Licenciatura Pedagogia | Aprovado | Cris: tempo de contrato menos de 6 meses//Alexsiane: aprovada no pp")</f>
        <v>Rafaella Moreira De Lima | 2ª Licenciatura Pedagogia | Aprovado | Cris: tempo de contrato menos de 6 meses//Alexsiane: aprovada no pp</v>
      </c>
      <c r="B3322" s="93"/>
    </row>
    <row r="3323">
      <c r="A3323" s="384" t="str">
        <f>IFERROR(__xludf.DUMMYFUNCTION("""COMPUTED_VALUE"""),"Rafaella Moreira De Lima | Educação Especial | Aprovada | Alexsiane: aprovada no pp")</f>
        <v>Rafaella Moreira De Lima | Educação Especial | Aprovada | Alexsiane: aprovada no pp</v>
      </c>
      <c r="B3323" s="93"/>
    </row>
    <row r="3324">
      <c r="A3324" s="384" t="str">
        <f>IFERROR(__xludf.DUMMYFUNCTION("""COMPUTED_VALUE"""),"Raffael Henrique Vicente | Letras Inglês | Aprovado | Júnio: aprovado no padrão //Júnio: conferido e arquivado: 15/09/21")</f>
        <v>Raffael Henrique Vicente | Letras Inglês | Aprovado | Júnio: aprovado no padrão //Júnio: conferido e arquivado: 15/09/21</v>
      </c>
      <c r="B3324" s="93"/>
    </row>
    <row r="3325">
      <c r="A3325" s="384" t="str">
        <f>IFERROR(__xludf.DUMMYFUNCTION("""COMPUTED_VALUE"""),"Raícza Victória Tricarico Ferreira Tancredo | Música | Aprovada | Junio: declaração valida envida no guru. LEMBRETE: tce remoto antigo //Júnio: aprovada: 06/06/23")</f>
        <v>Raícza Victória Tricarico Ferreira Tancredo | Música | Aprovada | Junio: declaração valida envida no guru. LEMBRETE: tce remoto antigo //Júnio: aprovada: 06/06/23</v>
      </c>
      <c r="B3325" s="93"/>
    </row>
    <row r="3326">
      <c r="A3326" s="384" t="str">
        <f>IFERROR(__xludf.DUMMYFUNCTION("""COMPUTED_VALUE"""),"Raícza Victória Tricarico Ferreira Tancredo | Pedagogia Para Bachareis E Tecnologos | Em análise | Junio: declaração valida envida no guru. LEMBRETE: tce remoto antigo + 400 horas RAC antigo")</f>
        <v>Raícza Victória Tricarico Ferreira Tancredo | Pedagogia Para Bachareis E Tecnologos | Em análise | Junio: declaração valida envida no guru. LEMBRETE: tce remoto antigo + 400 horas RAC antigo</v>
      </c>
      <c r="B3326" s="93"/>
    </row>
    <row r="3327">
      <c r="A3327" s="384" t="str">
        <f>IFERROR(__xludf.DUMMYFUNCTION("""COMPUTED_VALUE"""),"Raimundo Neves Ozier | Letras Português Inglês | Aprovada | Júnio: padrão antigo 300 horas - 8% plágio, falta 100 horas de gestão, consertar o total do termo de conclusão e especificar fichas de registro.// Pâmela 09/01/2023 Conferido e arquivado")</f>
        <v>Raimundo Neves Ozier | Letras Português Inglês | Aprovada | Júnio: padrão antigo 300 horas - 8% plágio, falta 100 horas de gestão, consertar o total do termo de conclusão e especificar fichas de registro.// Pâmela 09/01/2023 Conferido e arquivado</v>
      </c>
      <c r="B3327" s="93"/>
    </row>
    <row r="3328">
      <c r="A3328" s="384" t="str">
        <f>IFERROR(__xludf.DUMMYFUNCTION("""COMPUTED_VALUE"""),"Raimundo Rafael Machado | Ed Física | Em análise | Aline Silva: entregou gestão e ensino médio, tudo ok, recolher assinaturas // Bárbara: conferido e arquivado 23/11/2020")</f>
        <v>Raimundo Rafael Machado | Ed Física | Em análise | Aline Silva: entregou gestão e ensino médio, tudo ok, recolher assinaturas // Bárbara: conferido e arquivado 23/11/2020</v>
      </c>
      <c r="B3328" s="93"/>
    </row>
    <row r="3329">
      <c r="A3329" s="384" t="str">
        <f>IFERROR(__xludf.DUMMYFUNCTION("""COMPUTED_VALUE"""),"Raissa Marley Dantas De Oliveira | :Segunda Licenciatura Em Pedagogia | Aprovado | Rayssa pp aprovado")</f>
        <v>Raissa Marley Dantas De Oliveira | :Segunda Licenciatura Em Pedagogia | Aprovado | Rayssa pp aprovado</v>
      </c>
      <c r="B3329" s="93"/>
    </row>
    <row r="3330">
      <c r="A3330" s="384" t="str">
        <f>IFERROR(__xludf.DUMMYFUNCTION("""COMPUTED_VALUE"""),"Raissa Yamanoi Souza | Psicopedagogia Institucional, Clínica E Hospitalar | Aprovada | Edilaine: Tem que enviar as fichas de registro legíveis, tem rasura no termo de conclusão, partes dissertativas ok.// Alexsiane: pré aprovada, autorizada a autenticar  "&amp;"//// Edilaine: Aprovada 20/04/2023")</f>
        <v>Raissa Yamanoi Souza | Psicopedagogia Institucional, Clínica E Hospitalar | Aprovada | Edilaine: Tem que enviar as fichas de registro legíveis, tem rasura no termo de conclusão, partes dissertativas ok.// Alexsiane: pré aprovada, autorizada a autenticar  //// Edilaine: Aprovada 20/04/2023</v>
      </c>
      <c r="B3330" s="93"/>
    </row>
    <row r="3331">
      <c r="A3331" s="384" t="str">
        <f>IFERROR(__xludf.DUMMYFUNCTION("""COMPUTED_VALUE"""),"Ramon Santos Da Silva | Artes Visuais | Aprovado | Estella: Documentos sem assinaturas e carimbos")</f>
        <v>Ramon Santos Da Silva | Artes Visuais | Aprovado | Estella: Documentos sem assinaturas e carimbos</v>
      </c>
      <c r="B3331" s="93"/>
    </row>
    <row r="3332">
      <c r="A3332" s="384" t="str">
        <f>IFERROR(__xludf.DUMMYFUNCTION("""COMPUTED_VALUE"""),"Randes Ribeiro Da Silva | Artes Visuais | Em análise | Bianca: Pedi para completar, enviar apenas etapa 1 e 2 sem sumário e sem introdução.")</f>
        <v>Randes Ribeiro Da Silva | Artes Visuais | Em análise | Bianca: Pedi para completar, enviar apenas etapa 1 e 2 sem sumário e sem introdução.</v>
      </c>
      <c r="B3332" s="93"/>
    </row>
    <row r="3333">
      <c r="A3333" s="384" t="str">
        <f>IFERROR(__xludf.DUMMYFUNCTION("""COMPUTED_VALUE"""),"Rangel Silva Oliveira | Artes Visuais | Aprovado | Aline: autorizado a recolher as assinaturas // Bárbara: autorizado enviar físico")</f>
        <v>Rangel Silva Oliveira | Artes Visuais | Aprovado | Aline: autorizado a recolher as assinaturas // Bárbara: autorizado enviar físico</v>
      </c>
      <c r="B3333" s="93"/>
    </row>
    <row r="3334">
      <c r="A3334" s="384" t="str">
        <f>IFERROR(__xludf.DUMMYFUNCTION("""COMPUTED_VALUE"""),"Rania Pereira Ribeiro | Pedagogia | Aprovada | Alexsiane: pp aprovado")</f>
        <v>Rania Pereira Ribeiro | Pedagogia | Aprovada | Alexsiane: pp aprovado</v>
      </c>
      <c r="B3334" s="93"/>
    </row>
    <row r="3335">
      <c r="A3335" s="384" t="str">
        <f>IFERROR(__xludf.DUMMYFUNCTION("""COMPUTED_VALUE"""),"Raniere Andrade Da Silva | Educação Física | Aprovado | Júnio: PP aprovado")</f>
        <v>Raniere Andrade Da Silva | Educação Física | Aprovado | Júnio: PP aprovado</v>
      </c>
      <c r="B3335" s="93"/>
    </row>
    <row r="3336">
      <c r="A3336" s="384" t="str">
        <f>IFERROR(__xludf.DUMMYFUNCTION("""COMPUTED_VALUE"""),"Raphael Tadeu Raiza | Arteterapia | Dispensado | Dispensado")</f>
        <v>Raphael Tadeu Raiza | Arteterapia | Dispensado | Dispensado</v>
      </c>
      <c r="B3336" s="93"/>
    </row>
    <row r="3337">
      <c r="A3337" s="384" t="str">
        <f>IFERROR(__xludf.DUMMYFUNCTION("""COMPUTED_VALUE"""),"Raquel Amazonas Da Silva Nunes | Música | Aprovada | Júnio: PP- falta a etapa 2 e 7,4% plágio //Júnio: aprovada: 02/10/23")</f>
        <v>Raquel Amazonas Da Silva Nunes | Música | Aprovada | Júnio: PP- falta a etapa 2 e 7,4% plágio //Júnio: aprovada: 02/10/23</v>
      </c>
      <c r="B3337" s="93"/>
    </row>
    <row r="3338">
      <c r="A3338" s="384" t="str">
        <f>IFERROR(__xludf.DUMMYFUNCTION("""COMPUTED_VALUE"""),"Raquel Borges Barros Rocha | Geografia | aprovada | Aline silva: preencher termo de conclusão e carta de ap, e recolher assinaturas e carimbos// aprovada dia 27/08/2020// Bárbara: conferido e arquivado 02/10/2020")</f>
        <v>Raquel Borges Barros Rocha | Geografia | aprovada | Aline silva: preencher termo de conclusão e carta de ap, e recolher assinaturas e carimbos// aprovada dia 27/08/2020// Bárbara: conferido e arquivado 02/10/2020</v>
      </c>
      <c r="B3338" s="93"/>
    </row>
    <row r="3339">
      <c r="A3339" s="384" t="str">
        <f>IFERROR(__xludf.DUMMYFUNCTION("""COMPUTED_VALUE"""),"Raquel Da Silva Lucas | Pedagogia | Aprovada | Bárbara: aprovada com declaração de experiência válida// Miryã: conferido e arquivado 10/03/2021")</f>
        <v>Raquel Da Silva Lucas | Pedagogia | Aprovada | Bárbara: aprovada com declaração de experiência válida// Miryã: conferido e arquivado 10/03/2021</v>
      </c>
      <c r="B3339" s="93"/>
    </row>
    <row r="3340">
      <c r="A3340" s="384" t="str">
        <f>IFERROR(__xludf.DUMMYFUNCTION("""COMPUTED_VALUE"""),"Raquel Elaine Da Santana Da Silva | Educação Física | Aprovada | Júnio: Remoto Atualizado: pedi aluna para fazer as correções necessárias nas fichas e fazer etapas 1, 2 e 3, aguardando envio //Bianca: aprovada: 11/08/21 //Júnio: conferido e arquivado: 26/"&amp;"08/21")</f>
        <v>Raquel Elaine Da Santana Da Silva | Educação Física | Aprovada | Júnio: Remoto Atualizado: pedi aluna para fazer as correções necessárias nas fichas e fazer etapas 1, 2 e 3, aguardando envio //Bianca: aprovada: 11/08/21 //Júnio: conferido e arquivado: 26/08/21</v>
      </c>
      <c r="B3340" s="93"/>
    </row>
    <row r="3341">
      <c r="A3341" s="384" t="str">
        <f>IFERROR(__xludf.DUMMYFUNCTION("""COMPUTED_VALUE"""),"Raquel Elisandra Balbo Honorato | Pedagogia Para Bachareis E Tecnologos | Aprovada | Júnio: PP: 73% plágio, falta a carta e responder questionário PCC 1: ok PCC 2: ok PCC 3: 17% plágio PCC 4: 57% plágio //Júnio: aprovada: 25/09/23")</f>
        <v>Raquel Elisandra Balbo Honorato | Pedagogia Para Bachareis E Tecnologos | Aprovada | Júnio: PP: 73% plágio, falta a carta e responder questionário PCC 1: ok PCC 2: ok PCC 3: 17% plágio PCC 4: 57% plágio //Júnio: aprovada: 25/09/23</v>
      </c>
      <c r="B3341" s="93"/>
    </row>
    <row r="3342">
      <c r="A3342" s="384" t="str">
        <f>IFERROR(__xludf.DUMMYFUNCTION("""COMPUTED_VALUE"""),"Raquel Gonzaga Nunes Da Silva | Pedagogia | Aprovada | Júnio: remoto antigo, etapas 1,2 e 3 ok//Alexsiane : Aprovada na 4° etapa do remoto antigo( vídeo)")</f>
        <v>Raquel Gonzaga Nunes Da Silva | Pedagogia | Aprovada | Júnio: remoto antigo, etapas 1,2 e 3 ok//Alexsiane : Aprovada na 4° etapa do remoto antigo( vídeo)</v>
      </c>
      <c r="B3342" s="93"/>
    </row>
    <row r="3343">
      <c r="A3343" s="384" t="str">
        <f>IFERROR(__xludf.DUMMYFUNCTION("""COMPUTED_VALUE"""),"Raquel Ilema De Araújo Matos | Pedagogia | Aprovada | Bianca: autorizada a recolher assinatura// Bárbara: conferido e arquivado 01/06/2021")</f>
        <v>Raquel Ilema De Araújo Matos | Pedagogia | Aprovada | Bianca: autorizada a recolher assinatura// Bárbara: conferido e arquivado 01/06/2021</v>
      </c>
      <c r="B3343" s="93"/>
    </row>
    <row r="3344">
      <c r="A3344" s="384" t="str">
        <f>IFERROR(__xludf.DUMMYFUNCTION("""COMPUTED_VALUE"""),"Raquel Lima Bezerra Alves | Letras Inglês | Aprovada | Júnio: PP aprovada")</f>
        <v>Raquel Lima Bezerra Alves | Letras Inglês | Aprovada | Júnio: PP aprovada</v>
      </c>
      <c r="B3344" s="93"/>
    </row>
    <row r="3345">
      <c r="A3345" s="384" t="str">
        <f>IFERROR(__xludf.DUMMYFUNCTION("""COMPUTED_VALUE"""),"Raquel Maria De Morais | Pedagogia | Em análise | Júnio: remoto antigo - falta etapa 4 PRAZO: 22/09/23")</f>
        <v>Raquel Maria De Morais | Pedagogia | Em análise | Júnio: remoto antigo - falta etapa 4 PRAZO: 22/09/23</v>
      </c>
      <c r="B3345" s="93"/>
    </row>
    <row r="3346">
      <c r="A3346" s="384" t="str">
        <f>IFERROR(__xludf.DUMMYFUNCTION("""COMPUTED_VALUE"""),"Raquel Poppi Montagneri | Pedagogia | Aprovada | Júnio: falta responder o questionário PRAZO: o mais rápido possível, nao dei 10 dias pois a plataforma vai ter ainda que migra-la para que ela possa responder //Júnio: aprovada: 11/01/24")</f>
        <v>Raquel Poppi Montagneri | Pedagogia | Aprovada | Júnio: falta responder o questionário PRAZO: o mais rápido possível, nao dei 10 dias pois a plataforma vai ter ainda que migra-la para que ela possa responder //Júnio: aprovada: 11/01/24</v>
      </c>
      <c r="B3346" s="93"/>
    </row>
    <row r="3347">
      <c r="A3347" s="384" t="str">
        <f>IFERROR(__xludf.DUMMYFUNCTION("""COMPUTED_VALUE"""),"Raquel Ramirez Caceres Geist | Letras - Português Espanhol | Aprovada  | Júnio: consertar fichas de registros. Fazer relatório geral, anexar carta de apresentação e termo de conclusão//Alexsiane: Autorizado a recolher assinatura// Bárbara: aprovada 06/04/"&amp;"2022 //Júnio:conferida e anexada: 20/04/22")</f>
        <v>Raquel Ramirez Caceres Geist | Letras - Português Espanhol | Aprovada  | Júnio: consertar fichas de registros. Fazer relatório geral, anexar carta de apresentação e termo de conclusão//Alexsiane: Autorizado a recolher assinatura// Bárbara: aprovada 06/04/2022 //Júnio:conferida e anexada: 20/04/22</v>
      </c>
      <c r="B3347" s="93"/>
    </row>
    <row r="3348">
      <c r="A3348" s="384" t="str">
        <f>IFERROR(__xludf.DUMMYFUNCTION("""COMPUTED_VALUE"""),"Raquel Silva Lima | História | Aprovada | Alexsiane; falta fazer etapa 1,2 e 4 do remoto antigo 25/03/2023 reenviar //// Edilaine: Aprovada 12/04")</f>
        <v>Raquel Silva Lima | História | Aprovada | Alexsiane; falta fazer etapa 1,2 e 4 do remoto antigo 25/03/2023 reenviar //// Edilaine: Aprovada 12/04</v>
      </c>
      <c r="B3348" s="93"/>
    </row>
    <row r="3349">
      <c r="A3349" s="384" t="str">
        <f>IFERROR(__xludf.DUMMYFUNCTION("""COMPUTED_VALUE"""),"Raquel Silva Martins | Pedagogia | Aprovada | Júnio: enviar o plano de aula digitado, passar os acompanhamentos para a ficha de registro de forma diária sem exceder 6 hs e especificar também o tema. //Júnio: aprovada 15/12/23")</f>
        <v>Raquel Silva Martins | Pedagogia | Aprovada | Júnio: enviar o plano de aula digitado, passar os acompanhamentos para a ficha de registro de forma diária sem exceder 6 hs e especificar também o tema. //Júnio: aprovada 15/12/23</v>
      </c>
      <c r="B3349" s="93"/>
    </row>
    <row r="3350">
      <c r="A3350" s="384" t="str">
        <f>IFERROR(__xludf.DUMMYFUNCTION("""COMPUTED_VALUE"""),"Raquel Vieira Rodrigues Lopes |  | Aprovado | Mandei enviar pelo correio (03/01). Faltam assinaturas e declarações para o envio digital definitivo.")</f>
        <v>Raquel Vieira Rodrigues Lopes |  | Aprovado | Mandei enviar pelo correio (03/01). Faltam assinaturas e declarações para o envio digital definitivo.</v>
      </c>
      <c r="B3350" s="93"/>
    </row>
    <row r="3351">
      <c r="A3351" s="384" t="str">
        <f>IFERROR(__xludf.DUMMYFUNCTION("""COMPUTED_VALUE"""),"Raquel Vilaça Rocha Silva | Ed. Física | Aprovado | Estella: só faltam as assinaturas e carimbos. Recebido dia 25/06/2019")</f>
        <v>Raquel Vilaça Rocha Silva | Ed. Física | Aprovado | Estella: só faltam as assinaturas e carimbos. Recebido dia 25/06/2019</v>
      </c>
      <c r="B3351" s="93"/>
    </row>
    <row r="3352">
      <c r="A3352" s="384" t="str">
        <f>IFERROR(__xludf.DUMMYFUNCTION("""COMPUTED_VALUE"""),"Raquel Vilaça Rocha Silva | Pedagogia C/ Ênf. | Aprovado | Mandei enviar pelo correio. Recebido no Polo")</f>
        <v>Raquel Vilaça Rocha Silva | Pedagogia C/ Ênf. | Aprovado | Mandei enviar pelo correio. Recebido no Polo</v>
      </c>
      <c r="B3352" s="93"/>
    </row>
    <row r="3353">
      <c r="A3353" s="384" t="str">
        <f>IFERROR(__xludf.DUMMYFUNCTION("""COMPUTED_VALUE"""),"Raqueline Cabrera Rodrigues | Pedagogia | Aprovada | Alexsiane: falta 2° etapa do pp //Júnio: aprovada: 14/02/24")</f>
        <v>Raqueline Cabrera Rodrigues | Pedagogia | Aprovada | Alexsiane: falta 2° etapa do pp //Júnio: aprovada: 14/02/24</v>
      </c>
      <c r="B3353" s="93"/>
    </row>
    <row r="3354">
      <c r="A3354" s="384" t="str">
        <f>IFERROR(__xludf.DUMMYFUNCTION("""COMPUTED_VALUE"""),"Rayane Da Silva Pereira | Pedagogia | Aprovada | Pamela: Declaração de expeirência válida //Júnio: pre aprovada: 26/05/23 //Júnio: aprovada: 30/05/2023")</f>
        <v>Rayane Da Silva Pereira | Pedagogia | Aprovada | Pamela: Declaração de expeirência válida //Júnio: pre aprovada: 26/05/23 //Júnio: aprovada: 30/05/2023</v>
      </c>
      <c r="B3354" s="93"/>
    </row>
    <row r="3355">
      <c r="A3355" s="384" t="str">
        <f>IFERROR(__xludf.DUMMYFUNCTION("""COMPUTED_VALUE"""),"Raysa Moreira Santos Bezerra | Pedagogia Para Bacharéis E Tecnólogos | Aprovada | Júnio: -PP: falta a carta de apresentação -PCC I: ok -PCC II: ok -PCC III: ok -PCC IV: falta a introdução, desenvolvimento e conclusão PRAZO: 20/11/23 //Júnio: aprovada: 29/"&amp;"11/2023")</f>
        <v>Raysa Moreira Santos Bezerra | Pedagogia Para Bacharéis E Tecnólogos | Aprovada | Júnio: -PP: falta a carta de apresentação -PCC I: ok -PCC II: ok -PCC III: ok -PCC IV: falta a introdução, desenvolvimento e conclusão PRAZO: 20/11/23 //Júnio: aprovada: 29/11/2023</v>
      </c>
      <c r="B3355" s="93"/>
    </row>
    <row r="3356">
      <c r="A3356" s="384" t="str">
        <f>IFERROR(__xludf.DUMMYFUNCTION("""COMPUTED_VALUE"""),"Rebeka Cavalcanti Silva Bezerra | Pedagogia | Em análise | Júnio: declaração de experiência válida para isenção de 50% de observação e regencia")</f>
        <v>Rebeka Cavalcanti Silva Bezerra | Pedagogia | Em análise | Júnio: declaração de experiência válida para isenção de 50% de observação e regencia</v>
      </c>
      <c r="B3356" s="93"/>
    </row>
    <row r="3357">
      <c r="A3357" s="384" t="str">
        <f>IFERROR(__xludf.DUMMYFUNCTION("""COMPUTED_VALUE"""),"Rebeka Cavalcanti Silva Bezerra | Pedagogia | Aprovado | Alexsiane: pp aprovado")</f>
        <v>Rebeka Cavalcanti Silva Bezerra | Pedagogia | Aprovado | Alexsiane: pp aprovado</v>
      </c>
      <c r="B3357" s="93"/>
    </row>
    <row r="3358">
      <c r="A3358" s="384" t="str">
        <f>IFERROR(__xludf.DUMMYFUNCTION("""COMPUTED_VALUE"""),"Regiane Alves Dos Santos | Pedagogia | Aprovada | Bianca: aprovada nas 4 etapas do remoto atualizado //Júnio: físico conferido e recebido: 22/07/22")</f>
        <v>Regiane Alves Dos Santos | Pedagogia | Aprovada | Bianca: aprovada nas 4 etapas do remoto atualizado //Júnio: físico conferido e recebido: 22/07/22</v>
      </c>
      <c r="B3358" s="93"/>
    </row>
    <row r="3359">
      <c r="A3359" s="384" t="str">
        <f>IFERROR(__xludf.DUMMYFUNCTION("""COMPUTED_VALUE"""),"Regiane Alves Rodrigues | Pedagogia | Aprovada | Júnio: PP - etapa 1 veio em branco. //Júnio: aprovada: 10/10/23")</f>
        <v>Regiane Alves Rodrigues | Pedagogia | Aprovada | Júnio: PP - etapa 1 veio em branco. //Júnio: aprovada: 10/10/23</v>
      </c>
      <c r="B3359" s="93"/>
    </row>
    <row r="3360">
      <c r="A3360" s="384" t="str">
        <f>IFERROR(__xludf.DUMMYFUNCTION("""COMPUTED_VALUE"""),"Regiane Alves Rodrigues | Educação Especial | Aprovado | Alexsiane: pp aprovado")</f>
        <v>Regiane Alves Rodrigues | Educação Especial | Aprovado | Alexsiane: pp aprovado</v>
      </c>
      <c r="B3360" s="93"/>
    </row>
    <row r="3361">
      <c r="A3361" s="384" t="str">
        <f>IFERROR(__xludf.DUMMYFUNCTION("""COMPUTED_VALUE"""),"Regiane Aparecida De Paula Souza | Neuropsicopedagogia Clinica,Institucional E Hospitalar | Aprovada | Alexsiane: aprovado no remoto antigo")</f>
        <v>Regiane Aparecida De Paula Souza | Neuropsicopedagogia Clinica,Institucional E Hospitalar | Aprovada | Alexsiane: aprovado no remoto antigo</v>
      </c>
      <c r="B3361" s="93"/>
    </row>
    <row r="3362">
      <c r="A3362" s="384" t="str">
        <f>IFERROR(__xludf.DUMMYFUNCTION("""COMPUTED_VALUE"""),"Regiane Aparecida De Paula Souza | Psicopedagogia | Aprovada  | Bárbaa: aprovada e autorizada a enviar o físico // Lucas conferido e arquivado 10/01/2022")</f>
        <v>Regiane Aparecida De Paula Souza | Psicopedagogia | Aprovada  | Bárbaa: aprovada e autorizada a enviar o físico // Lucas conferido e arquivado 10/01/2022</v>
      </c>
      <c r="B3362" s="93"/>
    </row>
    <row r="3363">
      <c r="A3363" s="384" t="str">
        <f>IFERROR(__xludf.DUMMYFUNCTION("""COMPUTED_VALUE"""),"Regiane Aparecida De Rezende Rios | Matemática | Aprovada | Lucas: Falta etapa 4 do estágio remoto antigo // Bárbara: aprovada com lançamento no sponte 17/06")</f>
        <v>Regiane Aparecida De Rezende Rios | Matemática | Aprovada | Lucas: Falta etapa 4 do estágio remoto antigo // Bárbara: aprovada com lançamento no sponte 17/06</v>
      </c>
      <c r="B3363" s="93"/>
    </row>
    <row r="3364">
      <c r="A3364" s="384" t="str">
        <f>IFERROR(__xludf.DUMMYFUNCTION("""COMPUTED_VALUE"""),"Regiane Aparecida Miranda E Silva | Pedagogia | Aprovada | Bianca: falta carta de apresentação, termo de conclusão e relatório geral de duas páginas //Júnio: aprovada: 02/03/22")</f>
        <v>Regiane Aparecida Miranda E Silva | Pedagogia | Aprovada | Bianca: falta carta de apresentação, termo de conclusão e relatório geral de duas páginas //Júnio: aprovada: 02/03/22</v>
      </c>
      <c r="B3364" s="93"/>
    </row>
    <row r="3365">
      <c r="A3365" s="384" t="str">
        <f>IFERROR(__xludf.DUMMYFUNCTION("""COMPUTED_VALUE"""),"Regiane Domingues De Oliveira | Filosofia | Aprovada | Bianca: aprovada nas 4 etapas  do remoto atualizado //Júnio: conferido e arquivado: 03/12/21")</f>
        <v>Regiane Domingues De Oliveira | Filosofia | Aprovada | Bianca: aprovada nas 4 etapas  do remoto atualizado //Júnio: conferido e arquivado: 03/12/21</v>
      </c>
      <c r="B3365" s="93"/>
    </row>
    <row r="3366">
      <c r="A3366" s="384" t="str">
        <f>IFERROR(__xludf.DUMMYFUNCTION("""COMPUTED_VALUE"""),"Regiane Eduardo Andrade | Pedagogia | aprovado | Thiara: Falta 52 horas de observação e regência de sala de aula. Aluna apresentou declaração de experiência. // Thiara: aprovado dia 08/01/2020// Recebido dia 11/02/2020")</f>
        <v>Regiane Eduardo Andrade | Pedagogia | aprovado | Thiara: Falta 52 horas de observação e regência de sala de aula. Aluna apresentou declaração de experiência. // Thiara: aprovado dia 08/01/2020// Recebido dia 11/02/2020</v>
      </c>
      <c r="B3366" s="93"/>
    </row>
    <row r="3367">
      <c r="A3367" s="384" t="str">
        <f>IFERROR(__xludf.DUMMYFUNCTION("""COMPUTED_VALUE"""),"Regiane Elen Domingues | Psicopedagogia Institucional,Clínica E Ludopedagogia | Aprovada | Júnio: remoto antigo - 6,6% plágio //Júnio: aprovada: 01/06/23")</f>
        <v>Regiane Elen Domingues | Psicopedagogia Institucional,Clínica E Ludopedagogia | Aprovada | Júnio: remoto antigo - 6,6% plágio //Júnio: aprovada: 01/06/23</v>
      </c>
      <c r="B3367" s="93"/>
    </row>
    <row r="3368">
      <c r="A3368" s="384" t="str">
        <f>IFERROR(__xludf.DUMMYFUNCTION("""COMPUTED_VALUE"""),"Regiane Maria Da Silveira Maciel | Pedagogia Para Bachareis E Tecnologos | Em análise | Júnio: PP: falta a etapa 2 PCCs: falta enviar")</f>
        <v>Regiane Maria Da Silveira Maciel | Pedagogia Para Bachareis E Tecnologos | Em análise | Júnio: PP: falta a etapa 2 PCCs: falta enviar</v>
      </c>
      <c r="B3368" s="93"/>
    </row>
    <row r="3369">
      <c r="A3369" s="384" t="str">
        <f>IFERROR(__xludf.DUMMYFUNCTION("""COMPUTED_VALUE"""),"Regiane Mendes Eugênio | Pedagogia | Aprovada  | Amélia: trabalho fora padrão- realizando TCE remoto antigo. // Bárbara: aprovada 24/01/2022")</f>
        <v>Regiane Mendes Eugênio | Pedagogia | Aprovada  | Amélia: trabalho fora padrão- realizando TCE remoto antigo. // Bárbara: aprovada 24/01/2022</v>
      </c>
      <c r="B3369" s="93"/>
    </row>
    <row r="3370">
      <c r="A3370" s="384" t="str">
        <f>IFERROR(__xludf.DUMMYFUNCTION("""COMPUTED_VALUE"""),"Regiane Pereira Gonzaga Da Silva | Letras Português | Aprovada  | Bianca: autorizada a recolher assinaturas // Lucas: Aprovada e autorizada a enviar físico //Alexsiane: Conferido e arquivado 07/04/2022")</f>
        <v>Regiane Pereira Gonzaga Da Silva | Letras Português | Aprovada  | Bianca: autorizada a recolher assinaturas // Lucas: Aprovada e autorizada a enviar físico //Alexsiane: Conferido e arquivado 07/04/2022</v>
      </c>
      <c r="B3370" s="93"/>
    </row>
    <row r="3371">
      <c r="A3371" s="384" t="str">
        <f>IFERROR(__xludf.DUMMYFUNCTION("""COMPUTED_VALUE"""),"Regiane Theodoro De Oliveira | Pedagogia | Em análise | Bárbara: aprovada nas 3 etapas do remoto, aguardando a última")</f>
        <v>Regiane Theodoro De Oliveira | Pedagogia | Em análise | Bárbara: aprovada nas 3 etapas do remoto, aguardando a última</v>
      </c>
      <c r="B3371" s="93"/>
    </row>
    <row r="3372">
      <c r="A3372" s="384" t="str">
        <f>IFERROR(__xludf.DUMMYFUNCTION("""COMPUTED_VALUE"""),"Regilane Fonseca Nascimento | Ed. Física | Aprovada | Bárbara: etapas 1 e 2 ok, planos repetidos e na etapa 4, falta especificar as fichas e o termo de conclusão  //Júnio: aprovada: 13/01/2022 //Júnio: conferida e arquivada: 25/01/22")</f>
        <v>Regilane Fonseca Nascimento | Ed. Física | Aprovada | Bárbara: etapas 1 e 2 ok, planos repetidos e na etapa 4, falta especificar as fichas e o termo de conclusão  //Júnio: aprovada: 13/01/2022 //Júnio: conferida e arquivada: 25/01/22</v>
      </c>
      <c r="B3372" s="93"/>
    </row>
    <row r="3373">
      <c r="A3373" s="384" t="str">
        <f>IFERROR(__xludf.DUMMYFUNCTION("""COMPUTED_VALUE"""),"Regilane Onicea Ribeiro | Letras Port./Ing. | Aprovado | Thiara: aprovado. Recebido dia 21/01/2019.// Bárbara: Conferido e arquivado em 16/09/2020")</f>
        <v>Regilane Onicea Ribeiro | Letras Port./Ing. | Aprovado | Thiara: aprovado. Recebido dia 21/01/2019.// Bárbara: Conferido e arquivado em 16/09/2020</v>
      </c>
      <c r="B3373" s="93"/>
    </row>
    <row r="3374">
      <c r="A3374" s="384" t="str">
        <f>IFERROR(__xludf.DUMMYFUNCTION("""COMPUTED_VALUE"""),"Regilane Onicea Ribeiro | Matemática | Aprovada | Júnio: fazer relatório geral de 2 páginas, colocou mais de 6 horas na ficha de registro, especificar tipod e atividade ( Obs, part, ou Reg.) e turma //PRAZO 10 DIAS - 11/04/22")</f>
        <v>Regilane Onicea Ribeiro | Matemática | Aprovada | Júnio: fazer relatório geral de 2 páginas, colocou mais de 6 horas na ficha de registro, especificar tipod e atividade ( Obs, part, ou Reg.) e turma //PRAZO 10 DIAS - 11/04/22</v>
      </c>
      <c r="B3374" s="93"/>
    </row>
    <row r="3375">
      <c r="A3375" s="384" t="str">
        <f>IFERROR(__xludf.DUMMYFUNCTION("""COMPUTED_VALUE"""),"Regilene Ramos De Carvalho Braga | Letras Port | Aprovada | Bárbara: aprovada nas 3 primeiras etapas do remoto e aguardando a última // Bárbara: aprovada 24/02/2021")</f>
        <v>Regilene Ramos De Carvalho Braga | Letras Port | Aprovada | Bárbara: aprovada nas 3 primeiras etapas do remoto e aguardando a última // Bárbara: aprovada 24/02/2021</v>
      </c>
      <c r="B3375" s="93"/>
    </row>
    <row r="3376">
      <c r="A3376" s="384" t="str">
        <f>IFERROR(__xludf.DUMMYFUNCTION("""COMPUTED_VALUE"""),"Regina Barros Guimarães | Ciências Biológicas | Aprovada | Júnio: PP - falta responder o questionário //Júnio: aprovada: 10/11/23")</f>
        <v>Regina Barros Guimarães | Ciências Biológicas | Aprovada | Júnio: PP - falta responder o questionário //Júnio: aprovada: 10/11/23</v>
      </c>
      <c r="B3376" s="93"/>
    </row>
    <row r="3377">
      <c r="A3377" s="384" t="str">
        <f>IFERROR(__xludf.DUMMYFUNCTION("""COMPUTED_VALUE"""),"Regina Célia De Araújo Jacob | Filosofia | Aprovada | Júnio: PP - Inicio: 28/08/2023 Reenviar: 28/02/2024 //Júnio: Aprovada: 01/03/24")</f>
        <v>Regina Célia De Araújo Jacob | Filosofia | Aprovada | Júnio: PP - Inicio: 28/08/2023 Reenviar: 28/02/2024 //Júnio: Aprovada: 01/03/24</v>
      </c>
      <c r="B3377" s="93"/>
    </row>
    <row r="3378">
      <c r="A3378" s="384" t="str">
        <f>IFERROR(__xludf.DUMMYFUNCTION("""COMPUTED_VALUE"""),"Regina Célia De Araújo Jacob | Letras Português Espanhol | Em analise | Júnio: PP - falta tudo")</f>
        <v>Regina Célia De Araújo Jacob | Letras Português Espanhol | Em analise | Júnio: PP - falta tudo</v>
      </c>
      <c r="B3378" s="93"/>
    </row>
    <row r="3379">
      <c r="A3379" s="384" t="str">
        <f>IFERROR(__xludf.DUMMYFUNCTION("""COMPUTED_VALUE"""),"Regina Célia De Araújo Jacob | Segunda Licenciatura Em Filosofia | Aprovado | Rayssa pp aprovado")</f>
        <v>Regina Célia De Araújo Jacob | Segunda Licenciatura Em Filosofia | Aprovado | Rayssa pp aprovado</v>
      </c>
      <c r="B3379" s="93"/>
    </row>
    <row r="3380">
      <c r="A3380" s="384" t="str">
        <f>IFERROR(__xludf.DUMMYFUNCTION("""COMPUTED_VALUE"""),"Regina Elena Costa | Filosofia | Aprovada | Bárbara: aluna encaminhou o trabalho logado no one drive e com os planos separados. Os planos desformataram ao baixar e unir, não conseguimos dar sequência na correção deles, mas apresentou cerca de uns 5 planos"&amp;" apenas. Com relação as outras etapas, etapa 1 tem que ser cmplementada e solicitei leitura do trabalho para correção de erros ortográficos. /// Edilaine: Aprovada 20/01/2023")</f>
        <v>Regina Elena Costa | Filosofia | Aprovada | Bárbara: aluna encaminhou o trabalho logado no one drive e com os planos separados. Os planos desformataram ao baixar e unir, não conseguimos dar sequência na correção deles, mas apresentou cerca de uns 5 planos apenas. Com relação as outras etapas, etapa 1 tem que ser cmplementada e solicitei leitura do trabalho para correção de erros ortográficos. /// Edilaine: Aprovada 20/01/2023</v>
      </c>
      <c r="B3380" s="93"/>
    </row>
    <row r="3381">
      <c r="A3381" s="384" t="str">
        <f>IFERROR(__xludf.DUMMYFUNCTION("""COMPUTED_VALUE"""),"Regina Liberato Shibuta | Letras Português Inglês | Aprovada | Júnio: aprovada  - remoto antigo")</f>
        <v>Regina Liberato Shibuta | Letras Português Inglês | Aprovada | Júnio: aprovada  - remoto antigo</v>
      </c>
      <c r="B3381" s="93"/>
    </row>
    <row r="3382">
      <c r="A3382" s="384" t="str">
        <f>IFERROR(__xludf.DUMMYFUNCTION("""COMPUTED_VALUE"""),"Reginaldo Luiz Da Silva | Pedagogia | Aprovado | Bárbara: parte teórica ok, preenchimento da documentação ok, contudo aluno colou as assinaturas, autorizado a retirar assinaturas falasas e recolher originais. //Júnio: 27/10/22: físico conferido e arquivad"&amp;"o")</f>
        <v>Reginaldo Luiz Da Silva | Pedagogia | Aprovado | Bárbara: parte teórica ok, preenchimento da documentação ok, contudo aluno colou as assinaturas, autorizado a retirar assinaturas falasas e recolher originais. //Júnio: 27/10/22: físico conferido e arquivado</v>
      </c>
      <c r="B3382" s="93"/>
    </row>
    <row r="3383">
      <c r="A3383" s="384" t="str">
        <f>IFERROR(__xludf.DUMMYFUNCTION("""COMPUTED_VALUE"""),"Reginaldo Nunes De Oliveira | Pedagogia | Aprovado | Bianca: autorizadaa recolher assinaturas //Júnio: conferido e arquivado: 17/06/2021")</f>
        <v>Reginaldo Nunes De Oliveira | Pedagogia | Aprovado | Bianca: autorizadaa recolher assinaturas //Júnio: conferido e arquivado: 17/06/2021</v>
      </c>
      <c r="B3383" s="93"/>
    </row>
    <row r="3384">
      <c r="A3384" s="384" t="str">
        <f>IFERROR(__xludf.DUMMYFUNCTION("""COMPUTED_VALUE"""),"Reginaldo Polesi | Letras/Português | Aprovada | Alexsiane: Aprovado no remoto antigo com lançamento no Sponte")</f>
        <v>Reginaldo Polesi | Letras/Português | Aprovada | Alexsiane: Aprovado no remoto antigo com lançamento no Sponte</v>
      </c>
      <c r="B3384" s="93"/>
    </row>
    <row r="3385">
      <c r="A3385" s="384" t="str">
        <f>IFERROR(__xludf.DUMMYFUNCTION("""COMPUTED_VALUE"""),"Reginaldo Polesi | Matemática | Aprovada | Alexsiane: Aprovado no remoto antigo com lançamento no Sponte")</f>
        <v>Reginaldo Polesi | Matemática | Aprovada | Alexsiane: Aprovado no remoto antigo com lançamento no Sponte</v>
      </c>
      <c r="B3385" s="93"/>
    </row>
    <row r="3386">
      <c r="A3386" s="384" t="str">
        <f>IFERROR(__xludf.DUMMYFUNCTION("""COMPUTED_VALUE"""),"Reginaldo Resende Ferreira | Música | Aprovado | Júnio: PP aprovado")</f>
        <v>Reginaldo Resende Ferreira | Música | Aprovado | Júnio: PP aprovado</v>
      </c>
      <c r="B3386" s="93"/>
    </row>
    <row r="3387">
      <c r="A3387" s="384" t="str">
        <f>IFERROR(__xludf.DUMMYFUNCTION("""COMPUTED_VALUE"""),"Reginaldo Rodrigues Dos Santos | Geografia | Aprovado | Bianca: falta etapa 4 e pedi para consertar as margens //Júnio: aprovado: 05/10/21")</f>
        <v>Reginaldo Rodrigues Dos Santos | Geografia | Aprovado | Bianca: falta etapa 4 e pedi para consertar as margens //Júnio: aprovado: 05/10/21</v>
      </c>
      <c r="B3387" s="93"/>
    </row>
    <row r="3388">
      <c r="A3388" s="384" t="str">
        <f>IFERROR(__xludf.DUMMYFUNCTION("""COMPUTED_VALUE"""),"Reginalva Dias De Oliveira | Pedagogia | Aprovada | Júnio: PP- falta a carta de apresentação. //Júnio: aprovada - 24/08/23")</f>
        <v>Reginalva Dias De Oliveira | Pedagogia | Aprovada | Júnio: PP- falta a carta de apresentação. //Júnio: aprovada - 24/08/23</v>
      </c>
      <c r="B3388" s="93"/>
    </row>
    <row r="3389">
      <c r="A3389" s="384" t="str">
        <f>IFERROR(__xludf.DUMMYFUNCTION("""COMPUTED_VALUE"""),"Regine Alfradique Gomes | Neuropsicopedagogia Instittucional Clínica E Hospitalar | Aprovada | Júnio: 6,7% plágio PRAZO: 28/07/23 //Júnio: aprovada: 07/08/23")</f>
        <v>Regine Alfradique Gomes | Neuropsicopedagogia Instittucional Clínica E Hospitalar | Aprovada | Júnio: 6,7% plágio PRAZO: 28/07/23 //Júnio: aprovada: 07/08/23</v>
      </c>
      <c r="B3389" s="93"/>
    </row>
    <row r="3390">
      <c r="A3390" s="384" t="str">
        <f>IFERROR(__xludf.DUMMYFUNCTION("""COMPUTED_VALUE"""),"Reijainy Oliveira Nunes | Pedagogia | Aprovado | Bianca: desformatação, fata carta de aceite e termo de conclusão// Bianca: aprovado nas 4 etapas do remoto atualizado")</f>
        <v>Reijainy Oliveira Nunes | Pedagogia | Aprovado | Bianca: desformatação, fata carta de aceite e termo de conclusão// Bianca: aprovado nas 4 etapas do remoto atualizado</v>
      </c>
      <c r="B3390" s="93"/>
    </row>
    <row r="3391">
      <c r="A3391" s="384" t="str">
        <f>IFERROR(__xludf.DUMMYFUNCTION("""COMPUTED_VALUE"""),"Reijane Dos Santos Guimarães | Pedagogia | Aprovada | Júnio: declaração válida para isenção de 50% de observação e regência //Júnio: aprovada: 07/12/2023")</f>
        <v>Reijane Dos Santos Guimarães | Pedagogia | Aprovada | Júnio: declaração válida para isenção de 50% de observação e regência //Júnio: aprovada: 07/12/2023</v>
      </c>
      <c r="B3391" s="93"/>
    </row>
    <row r="3392">
      <c r="A3392" s="384" t="str">
        <f>IFERROR(__xludf.DUMMYFUNCTION("""COMPUTED_VALUE"""),"Reijane Salazar Costa | Pedagogia Para Bacharéis | Análise | Pendência TCC e plágio")</f>
        <v>Reijane Salazar Costa | Pedagogia Para Bacharéis | Análise | Pendência TCC e plágio</v>
      </c>
      <c r="B3392" s="93"/>
    </row>
    <row r="3393">
      <c r="A3393" s="384" t="str">
        <f>IFERROR(__xludf.DUMMYFUNCTION("""COMPUTED_VALUE"""),"Reijane Salazar Costa | Pedagogia Para Bacharéis | Em análise | Rayssa pcc plágio")</f>
        <v>Reijane Salazar Costa | Pedagogia Para Bacharéis | Em análise | Rayssa pcc plágio</v>
      </c>
      <c r="B3393" s="93"/>
    </row>
    <row r="3394">
      <c r="A3394" s="384" t="str">
        <f>IFERROR(__xludf.DUMMYFUNCTION("""COMPUTED_VALUE"""),"Reila Regia Da Silva | Música | em análise | Alexsiane: 7% de plágio e enviar a entrevista digitada em formao de perguntas e respostas.")</f>
        <v>Reila Regia Da Silva | Música | em análise | Alexsiane: 7% de plágio e enviar a entrevista digitada em formao de perguntas e respostas.</v>
      </c>
      <c r="B3394" s="93"/>
    </row>
    <row r="3395">
      <c r="A3395" s="384" t="str">
        <f>IFERROR(__xludf.DUMMYFUNCTION("""COMPUTED_VALUE"""),"Reinaldo Barreto De Oliveira | Letras - Português Inglês | Aprovado | Bianca: aprovado na 4 etapa")</f>
        <v>Reinaldo Barreto De Oliveira | Letras - Português Inglês | Aprovado | Bianca: aprovado na 4 etapa</v>
      </c>
      <c r="B3395" s="93"/>
    </row>
    <row r="3396">
      <c r="A3396" s="384" t="str">
        <f>IFERROR(__xludf.DUMMYFUNCTION("""COMPUTED_VALUE"""),"Reinaldo Barreto De Oliveira | Pedagogia | Aprovada | Bianca: aprovada nas 4 etapas do remoto antigo")</f>
        <v>Reinaldo Barreto De Oliveira | Pedagogia | Aprovada | Bianca: aprovada nas 4 etapas do remoto antigo</v>
      </c>
      <c r="B3396" s="93"/>
    </row>
    <row r="3397">
      <c r="A3397" s="384" t="str">
        <f>IFERROR(__xludf.DUMMYFUNCTION("""COMPUTED_VALUE"""),"Relbert Rógeres Rosa Dias | Música | Aprovado | Edilaine: Tem que especificar o tipo de acompanhamento e conferir o total de horas cumpridas. Falta o relatório de regência.// Alexsiane: pré aprovado com lançamento no JACAD // Pamela 20/01/2023 Conferido e"&amp;" arquivado. ")</f>
        <v>Relbert Rógeres Rosa Dias | Música | Aprovado | Edilaine: Tem que especificar o tipo de acompanhamento e conferir o total de horas cumpridas. Falta o relatório de regência.// Alexsiane: pré aprovado com lançamento no JACAD // Pamela 20/01/2023 Conferido e arquivado. </v>
      </c>
      <c r="B3397" s="93"/>
    </row>
    <row r="3398">
      <c r="A3398" s="384" t="str">
        <f>IFERROR(__xludf.DUMMYFUNCTION("""COMPUTED_VALUE"""),"Renata Araújo Evangelista Ferreira | Pedagogia | Aprovada | Júnio: remoto antigo, falta 16 planos de aulas e etapa 4 //Júnio: aprovada na aula online 25/02/22")</f>
        <v>Renata Araújo Evangelista Ferreira | Pedagogia | Aprovada | Júnio: remoto antigo, falta 16 planos de aulas e etapa 4 //Júnio: aprovada na aula online 25/02/22</v>
      </c>
      <c r="B3398" s="93"/>
    </row>
    <row r="3399">
      <c r="A3399" s="384" t="str">
        <f>IFERROR(__xludf.DUMMYFUNCTION("""COMPUTED_VALUE"""),"Renata Augria Dias | Geografia | Aprovada | Bárbara: aluna aprovada 1, 2 e 3, aguardando agendamento 4ª etapa. //Bianca: aprovada: 23/06/2021")</f>
        <v>Renata Augria Dias | Geografia | Aprovada | Bárbara: aluna aprovada 1, 2 e 3, aguardando agendamento 4ª etapa. //Bianca: aprovada: 23/06/2021</v>
      </c>
      <c r="B3399" s="93"/>
    </row>
    <row r="3400">
      <c r="A3400" s="384" t="str">
        <f>IFERROR(__xludf.DUMMYFUNCTION("""COMPUTED_VALUE"""),"Renata Cacau Xavier Pinheiro | Pedagogia | Aprovada | Júnio: pré aprovada //Júnio: aprovada: 11/08/23")</f>
        <v>Renata Cacau Xavier Pinheiro | Pedagogia | Aprovada | Júnio: pré aprovada //Júnio: aprovada: 11/08/23</v>
      </c>
      <c r="B3400" s="93"/>
    </row>
    <row r="3401">
      <c r="A3401" s="384" t="str">
        <f>IFERROR(__xludf.DUMMYFUNCTION("""COMPUTED_VALUE"""),"Renata Carvalho De Rezende | Pedagogia | Em análise | Júnio: - PP: 7,5% plágio e enviar carta preenchida e assinada")</f>
        <v>Renata Carvalho De Rezende | Pedagogia | Em análise | Júnio: - PP: 7,5% plágio e enviar carta preenchida e assinada</v>
      </c>
      <c r="B3401" s="93"/>
    </row>
    <row r="3402">
      <c r="A3402" s="384" t="str">
        <f>IFERROR(__xludf.DUMMYFUNCTION("""COMPUTED_VALUE"""),"Renata Cavalcante Lima | Renata Cavalcante Lima | Aprovado | Alexsiane: pp aprovado")</f>
        <v>Renata Cavalcante Lima | Renata Cavalcante Lima | Aprovado | Alexsiane: pp aprovado</v>
      </c>
      <c r="B3402" s="93"/>
    </row>
    <row r="3403">
      <c r="A3403" s="384" t="str">
        <f>IFERROR(__xludf.DUMMYFUNCTION("""COMPUTED_VALUE"""),"Renata Cristina De Campos Missono | Pedagogia | Em análise | Alexsiane: 38% de plágio, falta etapa 3 e 4 do remoto antigo")</f>
        <v>Renata Cristina De Campos Missono | Pedagogia | Em análise | Alexsiane: 38% de plágio, falta etapa 3 e 4 do remoto antigo</v>
      </c>
      <c r="B3403" s="93"/>
    </row>
    <row r="3404">
      <c r="A3404" s="384" t="str">
        <f>IFERROR(__xludf.DUMMYFUNCTION("""COMPUTED_VALUE"""),"Renata Figueiredo Pilar | Pedagogia | APROVADO | Thiara: aguardando parecer da Ana// APROVADO 27/11")</f>
        <v>Renata Figueiredo Pilar | Pedagogia | APROVADO | Thiara: aguardando parecer da Ana// APROVADO 27/11</v>
      </c>
      <c r="B3404" s="93"/>
    </row>
    <row r="3405">
      <c r="A3405" s="384" t="str">
        <f>IFERROR(__xludf.DUMMYFUNCTION("""COMPUTED_VALUE"""),"Renata Gabrielle Soares Santos Renata | Pedagogia | Em análise | Lucas: falta Elementos pré e pós textuais, etapas 1 e 2, margem, e fonte.")</f>
        <v>Renata Gabrielle Soares Santos Renata | Pedagogia | Em análise | Lucas: falta Elementos pré e pós textuais, etapas 1 e 2, margem, e fonte.</v>
      </c>
      <c r="B3405" s="93"/>
    </row>
    <row r="3406">
      <c r="A3406" s="384" t="str">
        <f>IFERROR(__xludf.DUMMYFUNCTION("""COMPUTED_VALUE"""),"Renata Gabrielle Soares Santos Renata | Letras-Inglês | Aprovada | Alexsiane: 10% de plágio, etapa 1 e2 ok, falta 20 planos de aula e 4° etapa do remoto antigo. //Júnio: aprovada: 03/11/2023")</f>
        <v>Renata Gabrielle Soares Santos Renata | Letras-Inglês | Aprovada | Alexsiane: 10% de plágio, etapa 1 e2 ok, falta 20 planos de aula e 4° etapa do remoto antigo. //Júnio: aprovada: 03/11/2023</v>
      </c>
      <c r="B3406" s="93"/>
    </row>
    <row r="3407">
      <c r="A3407" s="384" t="str">
        <f>IFERROR(__xludf.DUMMYFUNCTION("""COMPUTED_VALUE"""),"Renata Lafetá Rabelo | Matemática | Aprovada | Bárbara: aluna colocou todas as metdologias da 3ª etapa iguais, pedi que completasse, o restante está bom// Bárbara: aprovada 4ª etapa 10/11/2020// Bárbara: conferido e arquivado 03/03/2021")</f>
        <v>Renata Lafetá Rabelo | Matemática | Aprovada | Bárbara: aluna colocou todas as metdologias da 3ª etapa iguais, pedi que completasse, o restante está bom// Bárbara: aprovada 4ª etapa 10/11/2020// Bárbara: conferido e arquivado 03/03/2021</v>
      </c>
      <c r="B3407" s="93"/>
    </row>
    <row r="3408">
      <c r="A3408" s="384" t="str">
        <f>IFERROR(__xludf.DUMMYFUNCTION("""COMPUTED_VALUE"""),"Renata Lemes Da Silva | Psicopedagogia Institucional E Clínica | Aprovada | Alexsiane: falta especificar o tema nas fichas de registro, restante ok //Júnio: pre aprovada: 22/05/23 //Júnio: aprovada: 05/06/23")</f>
        <v>Renata Lemes Da Silva | Psicopedagogia Institucional E Clínica | Aprovada | Alexsiane: falta especificar o tema nas fichas de registro, restante ok //Júnio: pre aprovada: 22/05/23 //Júnio: aprovada: 05/06/23</v>
      </c>
      <c r="B3408" s="93"/>
    </row>
    <row r="3409">
      <c r="A3409" s="384" t="str">
        <f>IFERROR(__xludf.DUMMYFUNCTION("""COMPUTED_VALUE"""),"Renata Leoni Correa Stelle | Artes Visuais | aprovada | Aline Silva: faltam 4 horas de gestão, identificar no cabeçalho, entregou apenas 60 horas nos anos finais e 64 no ensino médio. Falta autoavaliação. // Aprovada dia 02/03/2020// Bárbara: Conferido e "&amp;"arquivado em 16/09/2020")</f>
        <v>Renata Leoni Correa Stelle | Artes Visuais | aprovada | Aline Silva: faltam 4 horas de gestão, identificar no cabeçalho, entregou apenas 60 horas nos anos finais e 64 no ensino médio. Falta autoavaliação. // Aprovada dia 02/03/2020// Bárbara: Conferido e arquivado em 16/09/2020</v>
      </c>
      <c r="B3409" s="93"/>
    </row>
    <row r="3410">
      <c r="A3410" s="384" t="str">
        <f>IFERROR(__xludf.DUMMYFUNCTION("""COMPUTED_VALUE"""),"Renata Lia Ferreira Da Silva | Pedagogia | Aprovado | Thiara: Aprovado")</f>
        <v>Renata Lia Ferreira Da Silva | Pedagogia | Aprovado | Thiara: Aprovado</v>
      </c>
      <c r="B3410" s="93"/>
    </row>
    <row r="3411">
      <c r="A3411" s="384" t="str">
        <f>IFERROR(__xludf.DUMMYFUNCTION("""COMPUTED_VALUE"""),"Renata Lima Salgado | Pedagogia | Aprovada | Bárbara: trabalho com erros de formatação e de português/ Falta de especificação de atividades e de ano, e a aluna colou como imagem todos os supostos carimbos e assinturas, ""falsificando-as"". // Bianca: apro"&amp;"vada 23/03/2021 //Júnio: conferido e arquivado 27/04/21")</f>
        <v>Renata Lima Salgado | Pedagogia | Aprovada | Bárbara: trabalho com erros de formatação e de português/ Falta de especificação de atividades e de ano, e a aluna colou como imagem todos os supostos carimbos e assinturas, "falsificando-as". // Bianca: aprovada 23/03/2021 //Júnio: conferido e arquivado 27/04/21</v>
      </c>
      <c r="B3411" s="93"/>
    </row>
    <row r="3412">
      <c r="A3412" s="384" t="str">
        <f>IFERROR(__xludf.DUMMYFUNCTION("""COMPUTED_VALUE"""),"Renata Lopes Do Valle | Pedagogia | Aprovado | Thiara: aprovado// Aline Silva: Recebido no instituto encadernado e impresso dia 27/12/2019// Bárbara: conferido e arquivado 09/09/2020")</f>
        <v>Renata Lopes Do Valle | Pedagogia | Aprovado | Thiara: aprovado// Aline Silva: Recebido no instituto encadernado e impresso dia 27/12/2019// Bárbara: conferido e arquivado 09/09/2020</v>
      </c>
      <c r="B3412" s="93"/>
    </row>
    <row r="3413">
      <c r="A3413" s="384" t="str">
        <f>IFERROR(__xludf.DUMMYFUNCTION("""COMPUTED_VALUE"""),"Renata Maciel Da Silva | Pedagogia | Em análise | Júnio: autorizada a recolher assinaturas. Correção em cartaer excepcional.// Bárbara: aluna aprovada e autorizada a enviar físico ")</f>
        <v>Renata Maciel Da Silva | Pedagogia | Em análise | Júnio: autorizada a recolher assinaturas. Correção em cartaer excepcional.// Bárbara: aluna aprovada e autorizada a enviar físico </v>
      </c>
      <c r="B3413" s="93"/>
    </row>
    <row r="3414">
      <c r="A3414" s="384" t="str">
        <f>IFERROR(__xludf.DUMMYFUNCTION("""COMPUTED_VALUE"""),"Renata Oliveira Moura Alcantr | Psicopedagogia Int Cli | Aprovada | Aline: autorizada a recolher assinaturas e enviar digitalizado // Bárbara: autorizada a enviar físico// Miryã: conferido e arquivado 10/03/2021")</f>
        <v>Renata Oliveira Moura Alcantr | Psicopedagogia Int Cli | Aprovada | Aline: autorizada a recolher assinaturas e enviar digitalizado // Bárbara: autorizada a enviar físico// Miryã: conferido e arquivado 10/03/2021</v>
      </c>
      <c r="B3414" s="93"/>
    </row>
    <row r="3415">
      <c r="A3415" s="384" t="str">
        <f>IFERROR(__xludf.DUMMYFUNCTION("""COMPUTED_VALUE"""),"Renata Pereira Seconelli Bossi | Ciências Sociais | Aprovada  | Júnio: autorizada a recolher assinaturas. Correção em cartaer excepcional.// Bárbara: aluna aprovada e autorizada a enviar físico  //Júnio: conferida e arquivada: 27/04/22")</f>
        <v>Renata Pereira Seconelli Bossi | Ciências Sociais | Aprovada  | Júnio: autorizada a recolher assinaturas. Correção em cartaer excepcional.// Bárbara: aluna aprovada e autorizada a enviar físico  //Júnio: conferida e arquivada: 27/04/22</v>
      </c>
      <c r="B3415" s="93"/>
    </row>
    <row r="3416">
      <c r="A3416" s="384" t="str">
        <f>IFERROR(__xludf.DUMMYFUNCTION("""COMPUTED_VALUE"""),"Renata Pereira Seconelli Bossi | Pedagogia | Aprovada  | Bárbara: análise rápida das fichas de registro, excedeu algumas 6 horas //Júnio: pre aprovada 02/01/23 // Pamela 02/02/2023 Conferido e arquivado.  ")</f>
        <v>Renata Pereira Seconelli Bossi | Pedagogia | Aprovada  | Bárbara: análise rápida das fichas de registro, excedeu algumas 6 horas //Júnio: pre aprovada 02/01/23 // Pamela 02/02/2023 Conferido e arquivado.  </v>
      </c>
      <c r="B3416" s="93"/>
    </row>
    <row r="3417">
      <c r="A3417" s="384" t="str">
        <f>IFERROR(__xludf.DUMMYFUNCTION("""COMPUTED_VALUE"""),"Renata Ribeiro Sanches | Letras Português Inglês | Aprovada | Alexsiane: etapa 1,2,3 ok, falta 4° etapa do remoto antigo até dia 30/09 para reenviar(tempo da plataforma)// Bárbara: aprovada 27/09/2022 no vídeo ")</f>
        <v>Renata Ribeiro Sanches | Letras Português Inglês | Aprovada | Alexsiane: etapa 1,2,3 ok, falta 4° etapa do remoto antigo até dia 30/09 para reenviar(tempo da plataforma)// Bárbara: aprovada 27/09/2022 no vídeo </v>
      </c>
      <c r="B3417" s="93"/>
    </row>
    <row r="3418">
      <c r="A3418" s="384" t="str">
        <f>IFERROR(__xludf.DUMMYFUNCTION("""COMPUTED_VALUE"""),"Renata Rondon Da Silva Dos Santos | Neuropsicopedagogia Institucional, Clínica E Hospitalar | Aprovada | Edilaine: Tem que enviar a anamnese digitada, tem que enviar o encaminhamento e o termo escaneados.  Carga horária diária das fichas de registro estão"&amp;" erradas, tem que especificar o tipo de acompanhamento, tem que enviar a ficha de resgistro escaneada. //Júnio: aprovada: 31/10/2023")</f>
        <v>Renata Rondon Da Silva Dos Santos | Neuropsicopedagogia Institucional, Clínica E Hospitalar | Aprovada | Edilaine: Tem que enviar a anamnese digitada, tem que enviar o encaminhamento e o termo escaneados.  Carga horária diária das fichas de registro estão erradas, tem que especificar o tipo de acompanhamento, tem que enviar a ficha de resgistro escaneada. //Júnio: aprovada: 31/10/2023</v>
      </c>
      <c r="B3418" s="93"/>
    </row>
    <row r="3419">
      <c r="A3419" s="384" t="str">
        <f>IFERROR(__xludf.DUMMYFUNCTION("""COMPUTED_VALUE"""),"Renata Rondon Da Silva Dos Santos | Pedagogia | Aprovada | Edilaine: 3,32% de plágio. Carga horária errada. Declaração válida. Tem que especificar o tipo de acompanhamento e tema. Tem que enviar o plano de aula em word editável. Júnio: pré aprovada: 22/06"&amp;"/23 //Júnio: aprovada: 24/08/23")</f>
        <v>Renata Rondon Da Silva Dos Santos | Pedagogia | Aprovada | Edilaine: 3,32% de plágio. Carga horária errada. Declaração válida. Tem que especificar o tipo de acompanhamento e tema. Tem que enviar o plano de aula em word editável. Júnio: pré aprovada: 22/06/23 //Júnio: aprovada: 24/08/23</v>
      </c>
      <c r="B3419" s="93"/>
    </row>
    <row r="3420">
      <c r="A3420" s="384" t="str">
        <f>IFERROR(__xludf.DUMMYFUNCTION("""COMPUTED_VALUE"""),"Renata Santos De Jesus | Pedagogia | Aprovada | Alexsiane&gt; está faltando a 1° etapa do PP//Alexsiane: aprovada no PP")</f>
        <v>Renata Santos De Jesus | Pedagogia | Aprovada | Alexsiane&gt; está faltando a 1° etapa do PP//Alexsiane: aprovada no PP</v>
      </c>
      <c r="B3420" s="93"/>
    </row>
    <row r="3421">
      <c r="A3421" s="384" t="str">
        <f>IFERROR(__xludf.DUMMYFUNCTION("""COMPUTED_VALUE"""),"Renata Sorah De Sousa E Silva | Pedagogia | Aprovado | Alexsiane: pp está faltando a carta de apresentação.// alexsiane: pp aprovado")</f>
        <v>Renata Sorah De Sousa E Silva | Pedagogia | Aprovado | Alexsiane: pp está faltando a carta de apresentação.// alexsiane: pp aprovado</v>
      </c>
      <c r="B3421" s="93"/>
    </row>
    <row r="3422">
      <c r="A3422" s="384" t="str">
        <f>IFERROR(__xludf.DUMMYFUNCTION("""COMPUTED_VALUE"""),"Renata Suelen Fernandes Marques | Artes Visuais | Aprovado | Recebido: 12/11/2018. Estella: tudo ok!")</f>
        <v>Renata Suelen Fernandes Marques | Artes Visuais | Aprovado | Recebido: 12/11/2018. Estella: tudo ok!</v>
      </c>
      <c r="B3422" s="93"/>
    </row>
    <row r="3423">
      <c r="A3423" s="384" t="str">
        <f>IFERROR(__xludf.DUMMYFUNCTION("""COMPUTED_VALUE"""),"Renata Thayná De Oliveira Pinheiro Lima | Segunda Licenciatura Em Pedagogia | Aprovado | Rayssa pp aprovado// Rayssa: pp aprovado 15/10 protocolo 10638")</f>
        <v>Renata Thayná De Oliveira Pinheiro Lima | Segunda Licenciatura Em Pedagogia | Aprovado | Rayssa pp aprovado// Rayssa: pp aprovado 15/10 protocolo 10638</v>
      </c>
      <c r="B3423" s="93"/>
    </row>
    <row r="3424">
      <c r="A3424" s="384" t="str">
        <f>IFERROR(__xludf.DUMMYFUNCTION("""COMPUTED_VALUE"""),"Renate Baron | Letras Inglês | Aprovada | Júnio: PP - complementar a etapa 1 com mais páginas, falta a entrevista e carta de apresentação// alexsiane: aprovado 11/04")</f>
        <v>Renate Baron | Letras Inglês | Aprovada | Júnio: PP - complementar a etapa 1 com mais páginas, falta a entrevista e carta de apresentação// alexsiane: aprovado 11/04</v>
      </c>
      <c r="B3424" s="93"/>
    </row>
    <row r="3425">
      <c r="A3425" s="384" t="str">
        <f>IFERROR(__xludf.DUMMYFUNCTION("""COMPUTED_VALUE"""),"Renate Hartfiel | Artes Visuais | Aprovado | Amélia: etapas 1 e 2 ok, não tem etapa 3// Bárbara: aprovada na 4ª etapa 26/03/2021 // Bianca: aprovado nas 4 etapas 09/04/2021")</f>
        <v>Renate Hartfiel | Artes Visuais | Aprovado | Amélia: etapas 1 e 2 ok, não tem etapa 3// Bárbara: aprovada na 4ª etapa 26/03/2021 // Bianca: aprovado nas 4 etapas 09/04/2021</v>
      </c>
      <c r="B3425" s="93"/>
    </row>
    <row r="3426">
      <c r="A3426" s="384" t="str">
        <f>IFERROR(__xludf.DUMMYFUNCTION("""COMPUTED_VALUE"""),"Renato Alexandre Tomaz | Pedagogia | Aprovado | Bianca: falta carta de aceite, termo de conclusão e fichas //Júnio:aprovado: 24/09/21")</f>
        <v>Renato Alexandre Tomaz | Pedagogia | Aprovado | Bianca: falta carta de aceite, termo de conclusão e fichas //Júnio:aprovado: 24/09/21</v>
      </c>
      <c r="B3426" s="93"/>
    </row>
    <row r="3427">
      <c r="A3427" s="384" t="str">
        <f>IFERROR(__xludf.DUMMYFUNCTION("""COMPUTED_VALUE"""),"Renato Barbosa Moreira | Geografia | Aprovado | Thiara: Falta 10 horas de Gestão e Estrutura escolar. Aluno apresentou somente 50 horas nessa etapa de estágio.// Aline Silva: aprovado dia 06/12/2019//Aline Silva: Recebido no instituto encadernado e impres"&amp;"so dia 27/12/2019")</f>
        <v>Renato Barbosa Moreira | Geografia | Aprovado | Thiara: Falta 10 horas de Gestão e Estrutura escolar. Aluno apresentou somente 50 horas nessa etapa de estágio.// Aline Silva: aprovado dia 06/12/2019//Aline Silva: Recebido no instituto encadernado e impresso dia 27/12/2019</v>
      </c>
      <c r="B3427" s="93"/>
    </row>
    <row r="3428">
      <c r="A3428" s="384" t="str">
        <f>IFERROR(__xludf.DUMMYFUNCTION("""COMPUTED_VALUE"""),"Renato Cesar Assef Rodrigues | Letras/Português Form. Pedagógica | Aprovado | Pâmela: Enviou a declaração de experiência válida. //Júnio: aprovado: 11/10/23")</f>
        <v>Renato Cesar Assef Rodrigues | Letras/Português Form. Pedagógica | Aprovado | Pâmela: Enviou a declaração de experiência válida. //Júnio: aprovado: 11/10/23</v>
      </c>
      <c r="B3428" s="93"/>
    </row>
    <row r="3429">
      <c r="A3429" s="384" t="str">
        <f>IFERROR(__xludf.DUMMYFUNCTION("""COMPUTED_VALUE"""),"Renato Henrique Neves Franco | Formação Pedagógica Em Artes Visuais | Em analise | Mariana: falta etapa 1 e entrevista em word editavel ")</f>
        <v>Renato Henrique Neves Franco | Formação Pedagógica Em Artes Visuais | Em analise | Mariana: falta etapa 1 e entrevista em word editavel </v>
      </c>
      <c r="B3429" s="93"/>
    </row>
    <row r="3430">
      <c r="A3430" s="384" t="str">
        <f>IFERROR(__xludf.DUMMYFUNCTION("""COMPUTED_VALUE"""),"Renato Henrique Neves Franco | Form. Pedagógica Em Artes Vis. | Aprovado | Cris: PP aprovado")</f>
        <v>Renato Henrique Neves Franco | Form. Pedagógica Em Artes Vis. | Aprovado | Cris: PP aprovado</v>
      </c>
      <c r="B3430" s="93"/>
    </row>
    <row r="3431">
      <c r="A3431" s="384" t="str">
        <f>IFERROR(__xludf.DUMMYFUNCTION("""COMPUTED_VALUE"""),"Renato José Justicia | Música | Aprovado | Alexsiane: pp aprovado")</f>
        <v>Renato José Justicia | Música | Aprovado | Alexsiane: pp aprovado</v>
      </c>
      <c r="B3431" s="93"/>
    </row>
    <row r="3432">
      <c r="A3432" s="384" t="str">
        <f>IFERROR(__xludf.DUMMYFUNCTION("""COMPUTED_VALUE"""),"Renato Lima De Aguiar | Pedagogia | Aprovado | Aline Silva: re. Assinaturas, email enviado// Aline Silva: aprovado 13/10/2020// Bárbara: conferido e arquivado 03/11/2020")</f>
        <v>Renato Lima De Aguiar | Pedagogia | Aprovado | Aline Silva: re. Assinaturas, email enviado// Aline Silva: aprovado 13/10/2020// Bárbara: conferido e arquivado 03/11/2020</v>
      </c>
      <c r="B3432" s="93"/>
    </row>
    <row r="3433">
      <c r="A3433" s="384" t="str">
        <f>IFERROR(__xludf.DUMMYFUNCTION("""COMPUTED_VALUE"""),"Renato Lopes Almeida | Educação Especial | Em análise | Alexsiane&gt;: pp tem qu eenviar a primeira etapa e carta de apresentção, entrevista ok 21/09 reenviar")</f>
        <v>Renato Lopes Almeida | Educação Especial | Em análise | Alexsiane&gt;: pp tem qu eenviar a primeira etapa e carta de apresentção, entrevista ok 21/09 reenviar</v>
      </c>
      <c r="B3433" s="93"/>
    </row>
    <row r="3434">
      <c r="A3434" s="384" t="str">
        <f>IFERROR(__xludf.DUMMYFUNCTION("""COMPUTED_VALUE"""),"Renato Lopes Almeida | Segunda Licenciatura Em Educação Especial | Em análise | Rayssa. PP com carta de apresentação falsa, assinatura colada")</f>
        <v>Renato Lopes Almeida | Segunda Licenciatura Em Educação Especial | Em análise | Rayssa. PP com carta de apresentação falsa, assinatura colada</v>
      </c>
      <c r="B3434" s="93"/>
    </row>
    <row r="3435">
      <c r="A3435" s="384" t="str">
        <f>IFERROR(__xludf.DUMMYFUNCTION("""COMPUTED_VALUE"""),"Renato Santos Gonçalves | Artes Visuais | Aprovado | Bianca: Fichas preenchidas de forma incorreta, falta carta de apresentação, termo de conclusão e relatório de duas páginas. //Júnio; conferido e arquivado")</f>
        <v>Renato Santos Gonçalves | Artes Visuais | Aprovado | Bianca: Fichas preenchidas de forma incorreta, falta carta de apresentação, termo de conclusão e relatório de duas páginas. //Júnio; conferido e arquivado</v>
      </c>
      <c r="B3435" s="93"/>
    </row>
    <row r="3436">
      <c r="A3436" s="384" t="str">
        <f>IFERROR(__xludf.DUMMYFUNCTION("""COMPUTED_VALUE"""),"Rene Amaral Montarroios | História | Aprovado | Estella: aprovado, pedi carimbo supervisora. Recebido dia 29/01/2019")</f>
        <v>Rene Amaral Montarroios | História | Aprovado | Estella: aprovado, pedi carimbo supervisora. Recebido dia 29/01/2019</v>
      </c>
      <c r="B3436" s="93"/>
    </row>
    <row r="3437">
      <c r="A3437" s="384" t="str">
        <f>IFERROR(__xludf.DUMMYFUNCTION("""COMPUTED_VALUE"""),"Rene Amaral Montarroios | Letras Port Esp. | Aprovado | Aline Silva: aprovado//Aline Silva: Recebido no instituto encadernado e impresso dia 13/01/2020// Bárbara: conferido e arquivado 09/09/2020")</f>
        <v>Rene Amaral Montarroios | Letras Port Esp. | Aprovado | Aline Silva: aprovado//Aline Silva: Recebido no instituto encadernado e impresso dia 13/01/2020// Bárbara: conferido e arquivado 09/09/2020</v>
      </c>
      <c r="B3437" s="93"/>
    </row>
    <row r="3438">
      <c r="A3438" s="384" t="str">
        <f>IFERROR(__xludf.DUMMYFUNCTION("""COMPUTED_VALUE"""),"René Armand Dentz Jr | História | Aprovado | Aline Silva: planos de aula - introdução com plágio, planos de aula mais completos, e completar o solicitado, como finalização e organização dos planos// Bárbara: Aprovado 09/09/2020 //Amélia 05/02 Trabalho car"&amp;"imbado e entregue a secretaria. Júnio: conferido e arquivado: 16/06/21")</f>
        <v>René Armand Dentz Jr | História | Aprovado | Aline Silva: planos de aula - introdução com plágio, planos de aula mais completos, e completar o solicitado, como finalização e organização dos planos// Bárbara: Aprovado 09/09/2020 //Amélia 05/02 Trabalho carimbado e entregue a secretaria. Júnio: conferido e arquivado: 16/06/21</v>
      </c>
      <c r="B3438" s="93"/>
    </row>
    <row r="3439">
      <c r="A3439" s="384" t="str">
        <f>IFERROR(__xludf.DUMMYFUNCTION("""COMPUTED_VALUE"""),"René Armand Dentz Jr | Pedagogia | Aprovado | Bárbara: Planos de aula aprovados, com autorização da Aline, com ressalva de repetição de metodologia.// Bárbara: conferido e arquivado 05/02/2021")</f>
        <v>René Armand Dentz Jr | Pedagogia | Aprovado | Bárbara: Planos de aula aprovados, com autorização da Aline, com ressalva de repetição de metodologia.// Bárbara: conferido e arquivado 05/02/2021</v>
      </c>
      <c r="B3439" s="93"/>
    </row>
    <row r="3440">
      <c r="A3440" s="384" t="str">
        <f>IFERROR(__xludf.DUMMYFUNCTION("""COMPUTED_VALUE"""),"Renilda De Oliveira Almeida | Letras- Lingua Inglesa | Aprovado | Alexsiane; estágio está faltando 80h de gestão")</f>
        <v>Renilda De Oliveira Almeida | Letras- Lingua Inglesa | Aprovado | Alexsiane; estágio está faltando 80h de gestão</v>
      </c>
      <c r="B3440" s="93"/>
    </row>
    <row r="3441">
      <c r="A3441" s="384" t="str">
        <f>IFERROR(__xludf.DUMMYFUNCTION("""COMPUTED_VALUE"""),"Rennan Messias Dos Santos | Letras/Inglês | Aprovado | Edilaine: Tem que fazer o perigo da história única, tem que fazer mais 6 planos de aula, que fazer a 4ª etapa do remoto antigo.  //Júnio: aprovado: 14/04/23")</f>
        <v>Rennan Messias Dos Santos | Letras/Inglês | Aprovado | Edilaine: Tem que fazer o perigo da história única, tem que fazer mais 6 planos de aula, que fazer a 4ª etapa do remoto antigo.  //Júnio: aprovado: 14/04/23</v>
      </c>
      <c r="B3441" s="93"/>
    </row>
    <row r="3442">
      <c r="A3442" s="384" t="str">
        <f>IFERROR(__xludf.DUMMYFUNCTION("""COMPUTED_VALUE"""),"Rennan Messias Dos Santos | Pedagogia Para Bachareis E Tecnólogos | Em análise | Júnio: -Estágio I: falta carta de apresentação, fichas de registro e termo de conclusão. -Estágios II, III e IV: falta enviar -Práticas I: falta a tabela e a conclusão -Práti"&amp;"cas II, III e IV: falta enviar")</f>
        <v>Rennan Messias Dos Santos | Pedagogia Para Bachareis E Tecnólogos | Em análise | Júnio: -Estágio I: falta carta de apresentação, fichas de registro e termo de conclusão. -Estágios II, III e IV: falta enviar -Práticas I: falta a tabela e a conclusão -Práticas II, III e IV: falta enviar</v>
      </c>
      <c r="B3442" s="93"/>
    </row>
    <row r="3443">
      <c r="A3443" s="384" t="str">
        <f>IFERROR(__xludf.DUMMYFUNCTION("""COMPUTED_VALUE"""),"Rennata De Souza Orrico De Azevedo | Letras-Português/Inglês | Aprovado | Júnio: fez apenas análise do PPP, falta todo o resto.")</f>
        <v>Rennata De Souza Orrico De Azevedo | Letras-Português/Inglês | Aprovado | Júnio: fez apenas análise do PPP, falta todo o resto.</v>
      </c>
      <c r="B3443" s="93"/>
    </row>
    <row r="3444">
      <c r="A3444" s="384" t="str">
        <f>IFERROR(__xludf.DUMMYFUNCTION("""COMPUTED_VALUE"""),"Rennata De Souza Orrico De Azevedo | Letras Inglês | Aprovado | Mariana: falta corrigir plágio")</f>
        <v>Rennata De Souza Orrico De Azevedo | Letras Inglês | Aprovado | Mariana: falta corrigir plágio</v>
      </c>
      <c r="B3444" s="93"/>
    </row>
    <row r="3445">
      <c r="A3445" s="384" t="str">
        <f>IFERROR(__xludf.DUMMYFUNCTION("""COMPUTED_VALUE"""),"Rennata De Souza Orrico De Azevedo | 2ª Licenciatura Em Letras | Aprovado | Cris: PP falta etapa 2 e carta de apresentação")</f>
        <v>Rennata De Souza Orrico De Azevedo | 2ª Licenciatura Em Letras | Aprovado | Cris: PP falta etapa 2 e carta de apresentação</v>
      </c>
      <c r="B3445" s="93"/>
    </row>
    <row r="3446">
      <c r="A3446" s="384" t="str">
        <f>IFERROR(__xludf.DUMMYFUNCTION("""COMPUTED_VALUE"""),"Reynaldo Teixeira Junior | Letras / Português | Aprovado | Edilaine: 5,24% de plágio. Tem que colocar o plano de aula em nosso modelo padrão, tem que fazer o relatório de gestão e de regência. Declaração de experiência não é válida. Tem que fazer 220 hora"&amp;"s, tem que corrigir o total de horas cumpridas na ficha de 30 horas. //Júnio: pré aprovado: 15/05/23 //Júnio: aprovado: 18/05/23.")</f>
        <v>Reynaldo Teixeira Junior | Letras / Português | Aprovado | Edilaine: 5,24% de plágio. Tem que colocar o plano de aula em nosso modelo padrão, tem que fazer o relatório de gestão e de regência. Declaração de experiência não é válida. Tem que fazer 220 horas, tem que corrigir o total de horas cumpridas na ficha de 30 horas. //Júnio: pré aprovado: 15/05/23 //Júnio: aprovado: 18/05/23.</v>
      </c>
      <c r="B3446" s="93"/>
    </row>
    <row r="3447">
      <c r="A3447" s="384" t="str">
        <f>IFERROR(__xludf.DUMMYFUNCTION("""COMPUTED_VALUE"""),"Rhanna Hayara Costa Santos | Educação Física | Aprovada | Alexsiane:falta especificar nas fichas o tipo de acompanhamento, a serie, complementar com mais 32 horas. Declaração de experiencia não valida pois não está como professora. Falta objetivo gerais e"&amp;" especifico. até dia 16/09 para reenviar // Pamela 28/12/2022 Conferido e arquivado. ")</f>
        <v>Rhanna Hayara Costa Santos | Educação Física | Aprovada | Alexsiane:falta especificar nas fichas o tipo de acompanhamento, a serie, complementar com mais 32 horas. Declaração de experiencia não valida pois não está como professora. Falta objetivo gerais e especifico. até dia 16/09 para reenviar // Pamela 28/12/2022 Conferido e arquivado. </v>
      </c>
      <c r="B3447" s="93"/>
    </row>
    <row r="3448">
      <c r="A3448" s="384" t="str">
        <f>IFERROR(__xludf.DUMMYFUNCTION("""COMPUTED_VALUE"""),"Rhuan Rhandan Rosário Rocha | Matemática | Aprovado | Bárbara: aprovado etapas 1,2 e 3 do remoto, aguardando a 4// Bárbara: aprovado na 4ª etapa em 02/12/2020")</f>
        <v>Rhuan Rhandan Rosário Rocha | Matemática | Aprovado | Bárbara: aprovado etapas 1,2 e 3 do remoto, aguardando a 4// Bárbara: aprovado na 4ª etapa em 02/12/2020</v>
      </c>
      <c r="B3448" s="93"/>
    </row>
    <row r="3449">
      <c r="A3449" s="384" t="str">
        <f>IFERROR(__xludf.DUMMYFUNCTION("""COMPUTED_VALUE"""),"Ricardo Alexandre Ferraz Jacob | Educação Física | Aprovado | Júnio: PP - enviar etapas dissertativas digitadas //Júnio: aprovado: 16/01/24")</f>
        <v>Ricardo Alexandre Ferraz Jacob | Educação Física | Aprovado | Júnio: PP - enviar etapas dissertativas digitadas //Júnio: aprovado: 16/01/24</v>
      </c>
      <c r="B3449" s="93"/>
    </row>
    <row r="3450">
      <c r="A3450" s="384" t="str">
        <f>IFERROR(__xludf.DUMMYFUNCTION("""COMPUTED_VALUE"""),"Ricardo Augusto De Lima Fenerich | Música | Aprovado | Júnio: PP aprovado")</f>
        <v>Ricardo Augusto De Lima Fenerich | Música | Aprovado | Júnio: PP aprovado</v>
      </c>
      <c r="B3450" s="93"/>
    </row>
    <row r="3451">
      <c r="A3451" s="384" t="str">
        <f>IFERROR(__xludf.DUMMYFUNCTION("""COMPUTED_VALUE"""),"Ricardo Da Costa Ferlin | Música | Aprovado | Júnio: aprovado")</f>
        <v>Ricardo Da Costa Ferlin | Música | Aprovado | Júnio: aprovado</v>
      </c>
      <c r="B3451" s="93"/>
    </row>
    <row r="3452">
      <c r="A3452" s="384" t="str">
        <f>IFERROR(__xludf.DUMMYFUNCTION("""COMPUTED_VALUE"""),"Ricardo Militão De Lima | Educação Física | Aprovado | Júnio: falta carta de apresentação, fichas de registro e termo de conclusão. //Júnio: aprovado: 28/11/23")</f>
        <v>Ricardo Militão De Lima | Educação Física | Aprovado | Júnio: falta carta de apresentação, fichas de registro e termo de conclusão. //Júnio: aprovado: 28/11/23</v>
      </c>
      <c r="B3452" s="93"/>
    </row>
    <row r="3453">
      <c r="A3453" s="384" t="str">
        <f>IFERROR(__xludf.DUMMYFUNCTION("""COMPUTED_VALUE"""),"Ricardo Nunes Freire | Pedagogia | Aprovado | Bárbara: aprovado etapas 1, 2 e 3, aguardando 4ª etapa // Bárbara: aprovado 4ª etapa 28/10/2020// Bárbara: imprimido e arquivado 08/01/2021")</f>
        <v>Ricardo Nunes Freire | Pedagogia | Aprovado | Bárbara: aprovado etapas 1, 2 e 3, aguardando 4ª etapa // Bárbara: aprovado 4ª etapa 28/10/2020// Bárbara: imprimido e arquivado 08/01/2021</v>
      </c>
      <c r="B3453" s="93"/>
    </row>
    <row r="3454">
      <c r="A3454" s="384" t="str">
        <f>IFERROR(__xludf.DUMMYFUNCTION("""COMPUTED_VALUE"""),"Ricardo Sanches Fagundes | Ciências Sociais | Aprovado  | Bianca: verificação rápida da etapa 1, ok// Bianca: aprovado nas 4 etapas do remoto antigo 15/10/2021 //Júnio: conferido: 26/11/21")</f>
        <v>Ricardo Sanches Fagundes | Ciências Sociais | Aprovado  | Bianca: verificação rápida da etapa 1, ok// Bianca: aprovado nas 4 etapas do remoto antigo 15/10/2021 //Júnio: conferido: 26/11/21</v>
      </c>
      <c r="B3454" s="93"/>
    </row>
    <row r="3455">
      <c r="A3455" s="384" t="str">
        <f>IFERROR(__xludf.DUMMYFUNCTION("""COMPUTED_VALUE"""),"Rildo Dos Santos Andrade | Filosofia | Aprovado | Alexsiane; corrigir a ficha de registro// Bárbara: autorizado enviar físico, aprovado //Júnio: conferido e arquivado: 13/04/22")</f>
        <v>Rildo Dos Santos Andrade | Filosofia | Aprovado | Alexsiane; corrigir a ficha de registro// Bárbara: autorizado enviar físico, aprovado //Júnio: conferido e arquivado: 13/04/22</v>
      </c>
      <c r="B3455" s="93"/>
    </row>
    <row r="3456">
      <c r="A3456" s="384" t="str">
        <f>IFERROR(__xludf.DUMMYFUNCTION("""COMPUTED_VALUE"""),"Rinaldo De Souza Limeira | Ciências Sociais | Aprovado | Alexsiane: etapa 1,2,3 ok,falta 4° etapa do remoto antigo, introdução, referências e conclusão. //Júnio: aprovado: 01/02/23")</f>
        <v>Rinaldo De Souza Limeira | Ciências Sociais | Aprovado | Alexsiane: etapa 1,2,3 ok,falta 4° etapa do remoto antigo, introdução, referências e conclusão. //Júnio: aprovado: 01/02/23</v>
      </c>
      <c r="B3456" s="93"/>
    </row>
    <row r="3457">
      <c r="A3457" s="384" t="str">
        <f>IFERROR(__xludf.DUMMYFUNCTION("""COMPUTED_VALUE"""),"Rinaldo Ramos De Sales | Música | Aprovado | Júnio: PP aprovado")</f>
        <v>Rinaldo Ramos De Sales | Música | Aprovado | Júnio: PP aprovado</v>
      </c>
      <c r="B3457" s="93"/>
    </row>
    <row r="3458">
      <c r="A3458" s="384" t="str">
        <f>IFERROR(__xludf.DUMMYFUNCTION("""COMPUTED_VALUE"""),"Rita Coelho De Aguiar | 2ª Licenciatura Em Música | Aprovado | Cris: PP aprovado")</f>
        <v>Rita Coelho De Aguiar | 2ª Licenciatura Em Música | Aprovado | Cris: PP aprovado</v>
      </c>
      <c r="B3458" s="93"/>
    </row>
    <row r="3459">
      <c r="A3459" s="384" t="str">
        <f>IFERROR(__xludf.DUMMYFUNCTION("""COMPUTED_VALUE"""),"Rita De Cácia Trindade Alves | Pedagogia | Aprovada | Alexsiane: Tem que preencher a carta de apresentação, falta fazer as fichas de registro , o termo de conclusão, sem plágio e o restante está ok //Júnio: pré aprovada: 29/06/23 //Júnio: aprovada: 30/06/"&amp;"23")</f>
        <v>Rita De Cácia Trindade Alves | Pedagogia | Aprovada | Alexsiane: Tem que preencher a carta de apresentação, falta fazer as fichas de registro , o termo de conclusão, sem plágio e o restante está ok //Júnio: pré aprovada: 29/06/23 //Júnio: aprovada: 30/06/23</v>
      </c>
      <c r="B3459" s="93"/>
    </row>
    <row r="3460">
      <c r="A3460" s="384" t="str">
        <f>IFERROR(__xludf.DUMMYFUNCTION("""COMPUTED_VALUE"""),"Rita De Cássia Benevides Demasi | Letras - Português | Aprovada | Alexsiane:  Pp aprovado")</f>
        <v>Rita De Cássia Benevides Demasi | Letras - Português | Aprovada | Alexsiane:  Pp aprovado</v>
      </c>
      <c r="B3460" s="93"/>
    </row>
    <row r="3461">
      <c r="A3461" s="384" t="str">
        <f>IFERROR(__xludf.DUMMYFUNCTION("""COMPUTED_VALUE"""),"Rita De Cássia De Pina Cavalcante | Pedagogia | Aprovada | Bianca: enviou apenas etapa 1 e 2 //Júnio: aprovada: 17/12/2021 //Júnio: conferido e arquivado 11/02/22")</f>
        <v>Rita De Cássia De Pina Cavalcante | Pedagogia | Aprovada | Bianca: enviou apenas etapa 1 e 2 //Júnio: aprovada: 17/12/2021 //Júnio: conferido e arquivado 11/02/22</v>
      </c>
      <c r="B3461" s="93"/>
    </row>
    <row r="3462">
      <c r="A3462" s="384" t="str">
        <f>IFERROR(__xludf.DUMMYFUNCTION("""COMPUTED_VALUE"""),"Rita De Cássia Gebara | História | Aprovada  | Jínio: remoto antigo, etapas 1,2 e 3 ok// Bárbara: apresentou 4ª etapa do estágio, aprovada ")</f>
        <v>Rita De Cássia Gebara | História | Aprovada  | Jínio: remoto antigo, etapas 1,2 e 3 ok// Bárbara: apresentou 4ª etapa do estágio, aprovada </v>
      </c>
      <c r="B3462" s="93"/>
    </row>
    <row r="3463">
      <c r="A3463" s="384" t="str">
        <f>IFERROR(__xludf.DUMMYFUNCTION("""COMPUTED_VALUE"""),"Rita De Cássia Gebara | Pedagogia | Aprovada | Bárbara: aluna aprovada com autorização da Aline (por ser de turma retroativa), apresentou declaração de experiência para 4ª etapa.")</f>
        <v>Rita De Cássia Gebara | Pedagogia | Aprovada | Bárbara: aluna aprovada com autorização da Aline (por ser de turma retroativa), apresentou declaração de experiência para 4ª etapa.</v>
      </c>
      <c r="B3463" s="93"/>
    </row>
    <row r="3464">
      <c r="A3464" s="384" t="str">
        <f>IFERROR(__xludf.DUMMYFUNCTION("""COMPUTED_VALUE"""),"Rita De Cássia Marina Mascioli | História | Aprovada | 09/12:  aprovada nas 3 primeiras etapas,  21/12/21: aprovada Aprovada na 4ª etapa video")</f>
        <v>Rita De Cássia Marina Mascioli | História | Aprovada | 09/12:  aprovada nas 3 primeiras etapas,  21/12/21: aprovada Aprovada na 4ª etapa video</v>
      </c>
      <c r="B3464" s="93"/>
    </row>
    <row r="3465">
      <c r="A3465" s="384" t="str">
        <f>IFERROR(__xludf.DUMMYFUNCTION("""COMPUTED_VALUE"""),"Rita De Cássia Souza Almeida | Pedagogia C/ Ênf. | Aprovado | Mandei enviar pelo correio (11/12). Não sabe data de recebimento entregaram direto o Helder.")</f>
        <v>Rita De Cássia Souza Almeida | Pedagogia C/ Ênf. | Aprovado | Mandei enviar pelo correio (11/12). Não sabe data de recebimento entregaram direto o Helder.</v>
      </c>
      <c r="B3465" s="93"/>
    </row>
    <row r="3466">
      <c r="A3466" s="384" t="str">
        <f>IFERROR(__xludf.DUMMYFUNCTION("""COMPUTED_VALUE"""),"Rita De Cássia Vieira Campos | Psicopedagogia Clinica E Hospitalar | Aprovada  | Bárbara: aprovada no estágio remoto  //Júnio: conferido e arquivado: 18/05/22")</f>
        <v>Rita De Cássia Vieira Campos | Psicopedagogia Clinica E Hospitalar | Aprovada  | Bárbara: aprovada no estágio remoto  //Júnio: conferido e arquivado: 18/05/22</v>
      </c>
      <c r="B3466" s="93"/>
    </row>
    <row r="3467">
      <c r="A3467" s="384" t="str">
        <f>IFERROR(__xludf.DUMMYFUNCTION("""COMPUTED_VALUE"""),"Rita Moreira Costa | Form. Pedag. Letras | Aprovada | Cris: PP aprovado")</f>
        <v>Rita Moreira Costa | Form. Pedag. Letras | Aprovada | Cris: PP aprovado</v>
      </c>
      <c r="B3467" s="93"/>
    </row>
    <row r="3468">
      <c r="A3468" s="384" t="str">
        <f>IFERROR(__xludf.DUMMYFUNCTION("""COMPUTED_VALUE"""),"Robério Da Silva Cruz | Pedagogia | Aprovado | Júnio: remoto antigo, só apresentou a declaração de experiencia. //Júnio: approvado: 15/12/2021")</f>
        <v>Robério Da Silva Cruz | Pedagogia | Aprovado | Júnio: remoto antigo, só apresentou a declaração de experiencia. //Júnio: approvado: 15/12/2021</v>
      </c>
      <c r="B3468" s="93"/>
    </row>
    <row r="3469">
      <c r="A3469" s="384" t="str">
        <f>IFERROR(__xludf.DUMMYFUNCTION("""COMPUTED_VALUE"""),"Roberta Alves De Sousa | Letras-Português/Inglês | Aprovada | Júnio: PP aprovada")</f>
        <v>Roberta Alves De Sousa | Letras-Português/Inglês | Aprovada | Júnio: PP aprovada</v>
      </c>
      <c r="B3469" s="93"/>
    </row>
    <row r="3470">
      <c r="A3470" s="384" t="str">
        <f>IFERROR(__xludf.DUMMYFUNCTION("""COMPUTED_VALUE"""),"Roberta Alves De Sousa | 2ª Licenciatur Em Artes Visuais | Em análise | Cris: PP falta carta de apresentação")</f>
        <v>Roberta Alves De Sousa | 2ª Licenciatur Em Artes Visuais | Em análise | Cris: PP falta carta de apresentação</v>
      </c>
      <c r="B3470" s="93"/>
    </row>
    <row r="3471">
      <c r="A3471" s="384" t="str">
        <f>IFERROR(__xludf.DUMMYFUNCTION("""COMPUTED_VALUE"""),"Roberta Barros Gonçalves Souza | Ciências Sociais | Aprovada | Bárbara: introdução sem sentido, faltando etapa do currículo, com planos de aula faltando dados e sem referências. // Bárbara: aprovada 27/10/2020")</f>
        <v>Roberta Barros Gonçalves Souza | Ciências Sociais | Aprovada | Bárbara: introdução sem sentido, faltando etapa do currículo, com planos de aula faltando dados e sem referências. // Bárbara: aprovada 27/10/2020</v>
      </c>
      <c r="B3471" s="93"/>
    </row>
    <row r="3472">
      <c r="A3472" s="384" t="str">
        <f>IFERROR(__xludf.DUMMYFUNCTION("""COMPUTED_VALUE"""),"Roberta Bennites De Freitas | Pedagogia | Aprovada | Bárbara: pedi que aluna completasse introdução, bncc e conclusão, que não correspondia ao número de páginas exigido, nem ao conteúdo que deveria aparecer nos devidos tópicos. // Ana Flávia: aprovada na "&amp;"4ª etapa 08/01/2021// Bárbara: imprimido, conferido e arquivado 18/02/2021")</f>
        <v>Roberta Bennites De Freitas | Pedagogia | Aprovada | Bárbara: pedi que aluna completasse introdução, bncc e conclusão, que não correspondia ao número de páginas exigido, nem ao conteúdo que deveria aparecer nos devidos tópicos. // Ana Flávia: aprovada na 4ª etapa 08/01/2021// Bárbara: imprimido, conferido e arquivado 18/02/2021</v>
      </c>
      <c r="B3472" s="93"/>
    </row>
    <row r="3473">
      <c r="A3473" s="384" t="str">
        <f>IFERROR(__xludf.DUMMYFUNCTION("""COMPUTED_VALUE"""),"Roberta Chaves Martins | Pedagogia | Aprovada | Edilaine: Falta carta de aceite, falta preencher o termo de conclusão, falta especificar a série nas fichas, falta 60 horas. Tem até dia 26/11 para reenviar // Pamela 27/12/2022 Conferido e arquivado ")</f>
        <v>Roberta Chaves Martins | Pedagogia | Aprovada | Edilaine: Falta carta de aceite, falta preencher o termo de conclusão, falta especificar a série nas fichas, falta 60 horas. Tem até dia 26/11 para reenviar // Pamela 27/12/2022 Conferido e arquivado </v>
      </c>
      <c r="B3473" s="93"/>
    </row>
    <row r="3474">
      <c r="A3474" s="384" t="str">
        <f>IFERROR(__xludf.DUMMYFUNCTION("""COMPUTED_VALUE"""),"Roberta Christina Amancio | Pedagogia | Aprovada | Alexsiane: encaminhou somente as fichas de registro tem que especificar o tipo de acompanhamento, serie e o tema em todos os campos das atividades realizadas. Fazer todas as etapas dissertativas. // Alexs"&amp;"iane: Pré- aprovada com lançamento no sponte // Pamela 09/12/2022 Conferido e arquivado. ")</f>
        <v>Roberta Christina Amancio | Pedagogia | Aprovada | Alexsiane: encaminhou somente as fichas de registro tem que especificar o tipo de acompanhamento, serie e o tema em todos os campos das atividades realizadas. Fazer todas as etapas dissertativas. // Alexsiane: Pré- aprovada com lançamento no sponte // Pamela 09/12/2022 Conferido e arquivado. </v>
      </c>
      <c r="B3474" s="93"/>
    </row>
    <row r="3475">
      <c r="A3475" s="384" t="str">
        <f>IFERROR(__xludf.DUMMYFUNCTION("""COMPUTED_VALUE"""),"Roberta Cristina Garcia Nose | Pedagogia | em análise | Alexsiane: plágio nas 10 competenias e tem que enviar a entrevista digitada")</f>
        <v>Roberta Cristina Garcia Nose | Pedagogia | em análise | Alexsiane: plágio nas 10 competenias e tem que enviar a entrevista digitada</v>
      </c>
      <c r="B3475" s="93"/>
    </row>
    <row r="3476">
      <c r="A3476" s="384" t="str">
        <f>IFERROR(__xludf.DUMMYFUNCTION("""COMPUTED_VALUE"""),"Roberta De Carvalho | Pedagogia | Aprovado | Alexsiane: pp aprovado")</f>
        <v>Roberta De Carvalho | Pedagogia | Aprovado | Alexsiane: pp aprovado</v>
      </c>
      <c r="B3476" s="93"/>
    </row>
    <row r="3477">
      <c r="A3477" s="384" t="str">
        <f>IFERROR(__xludf.DUMMYFUNCTION("""COMPUTED_VALUE"""),"Roberta Ferreira | 2ª Licenciatura Pedagogia | Aprovada | Cris: PP aprovado")</f>
        <v>Roberta Ferreira | 2ª Licenciatura Pedagogia | Aprovada | Cris: PP aprovado</v>
      </c>
      <c r="B3477" s="93"/>
    </row>
    <row r="3478">
      <c r="A3478" s="384" t="str">
        <f>IFERROR(__xludf.DUMMYFUNCTION("""COMPUTED_VALUE"""),"Roberta Maia Carneiro | Ed. Física | Aprovada | Bárbara: aluna enviou planos de aula e pediu orientação, os planos estão ok, então solicitei a pasta completa. A aluna está realizando o estágio remoto. // Bárbara: aluna aprovada na 4ª etapa do estágio 13/1"&amp;"0/2020// Bárbara: conferido e arquivado 11/03/2021")</f>
        <v>Roberta Maia Carneiro | Ed. Física | Aprovada | Bárbara: aluna enviou planos de aula e pediu orientação, os planos estão ok, então solicitei a pasta completa. A aluna está realizando o estágio remoto. // Bárbara: aluna aprovada na 4ª etapa do estágio 13/10/2020// Bárbara: conferido e arquivado 11/03/2021</v>
      </c>
      <c r="B3478" s="93"/>
    </row>
    <row r="3479">
      <c r="A3479" s="384" t="str">
        <f>IFERROR(__xludf.DUMMYFUNCTION("""COMPUTED_VALUE"""),"Roberta Maia Saldanha | Letras Inglês | Aprovada | Júnio: PP - falta a carta de apresentação. PRAZO: 05/11/23 //Júnio: aprovada: 17/11/2023")</f>
        <v>Roberta Maia Saldanha | Letras Inglês | Aprovada | Júnio: PP - falta a carta de apresentação. PRAZO: 05/11/23 //Júnio: aprovada: 17/11/2023</v>
      </c>
      <c r="B3479" s="93"/>
    </row>
    <row r="3480">
      <c r="A3480" s="384" t="str">
        <f>IFERROR(__xludf.DUMMYFUNCTION("""COMPUTED_VALUE"""),"Roberta Morais Moura | Letras Português | Em análise  | Alexsiane: etapa 1,2 ok, 3° etapa falta 14 planos de aula e 4° etapa do remoto antigo 23/10 para reenviar")</f>
        <v>Roberta Morais Moura | Letras Português | Em análise  | Alexsiane: etapa 1,2 ok, 3° etapa falta 14 planos de aula e 4° etapa do remoto antigo 23/10 para reenviar</v>
      </c>
      <c r="B3480" s="93"/>
    </row>
    <row r="3481">
      <c r="A3481" s="384" t="str">
        <f>IFERROR(__xludf.DUMMYFUNCTION("""COMPUTED_VALUE"""),"Robertânia Nogueira Saraiva | Artes Visuais | Aprovada | Remoto Atualizado: etapas 1, 2 e 3 OK, falta etapa 4 //Bianca: aprovada: 11/08/21")</f>
        <v>Robertânia Nogueira Saraiva | Artes Visuais | Aprovada | Remoto Atualizado: etapas 1, 2 e 3 OK, falta etapa 4 //Bianca: aprovada: 11/08/21</v>
      </c>
      <c r="B3481" s="93"/>
    </row>
    <row r="3482">
      <c r="A3482" s="384" t="str">
        <f>IFERROR(__xludf.DUMMYFUNCTION("""COMPUTED_VALUE"""),"Roberto Aparecido Agostinho | Letras Português | Aprovado  | Lucas: Falta realizar a complementação da 2 etapa, e terminar de enviar a docuemntação da etapa 4. Formatar corretamente o estágio // Bianca: aprovado 18/02 // Lucas: Conferido e arquivado, data"&amp;" de Hoje. ")</f>
        <v>Roberto Aparecido Agostinho | Letras Português | Aprovado  | Lucas: Falta realizar a complementação da 2 etapa, e terminar de enviar a docuemntação da etapa 4. Formatar corretamente o estágio // Bianca: aprovado 18/02 // Lucas: Conferido e arquivado, data de Hoje. </v>
      </c>
      <c r="B3482" s="93"/>
    </row>
    <row r="3483">
      <c r="A3483" s="384" t="str">
        <f>IFERROR(__xludf.DUMMYFUNCTION("""COMPUTED_VALUE"""),"Roberto Bruno Teixeira De Oliveira | Artes Visuais | Aprovado | Júnio: 8% plágio, falta 80 hs  nas fichas ou enviar declaração de experiencia. PRAZO: 06/09/23 //Júnio: aprovado: 04/12/2023")</f>
        <v>Roberto Bruno Teixeira De Oliveira | Artes Visuais | Aprovado | Júnio: 8% plágio, falta 80 hs  nas fichas ou enviar declaração de experiencia. PRAZO: 06/09/23 //Júnio: aprovado: 04/12/2023</v>
      </c>
      <c r="B3483" s="93"/>
    </row>
    <row r="3484">
      <c r="A3484" s="384" t="str">
        <f>IFERROR(__xludf.DUMMYFUNCTION("""COMPUTED_VALUE"""),"Roberto Carlos Da Silva | Ciências Biológicas | Aprovado | Estella: aprovado. Recebido dia 07/02/2019")</f>
        <v>Roberto Carlos Da Silva | Ciências Biológicas | Aprovado | Estella: aprovado. Recebido dia 07/02/2019</v>
      </c>
      <c r="B3484" s="93"/>
    </row>
    <row r="3485">
      <c r="A3485" s="384" t="str">
        <f>IFERROR(__xludf.DUMMYFUNCTION("""COMPUTED_VALUE"""),"Roberto Carlos De Souza Silva | Música | Aprovado | Júnio: PP - falta a etapa 1.// Alexsiane: PP aprovada 05/04/24")</f>
        <v>Roberto Carlos De Souza Silva | Música | Aprovado | Júnio: PP - falta a etapa 1.// Alexsiane: PP aprovada 05/04/24</v>
      </c>
      <c r="B3485" s="93"/>
    </row>
    <row r="3486">
      <c r="A3486" s="384" t="str">
        <f>IFERROR(__xludf.DUMMYFUNCTION("""COMPUTED_VALUE"""),"Roberto Da Silva Soares | Pedagogia | Aprovado | Júnio: ofertado 2 cursos de capacitação no lugar do estágio, conforme analise da plataforma cursos ok")</f>
        <v>Roberto Da Silva Soares | Pedagogia | Aprovado | Júnio: ofertado 2 cursos de capacitação no lugar do estágio, conforme analise da plataforma cursos ok</v>
      </c>
      <c r="B3486" s="93"/>
    </row>
    <row r="3487">
      <c r="A3487" s="384" t="str">
        <f>IFERROR(__xludf.DUMMYFUNCTION("""COMPUTED_VALUE"""),"Roberto Honorato Oliveira Dos Remédios | Pedagogia | Aprovado | Mariana: pp aprovado")</f>
        <v>Roberto Honorato Oliveira Dos Remédios | Pedagogia | Aprovado | Mariana: pp aprovado</v>
      </c>
      <c r="B3487" s="93"/>
    </row>
    <row r="3488">
      <c r="A3488" s="384" t="str">
        <f>IFERROR(__xludf.DUMMYFUNCTION("""COMPUTED_VALUE"""),"Roberto Marcos Gomes De Onófrio | Música | Aprovado | Alexsiane: pp aprovado")</f>
        <v>Roberto Marcos Gomes De Onófrio | Música | Aprovado | Alexsiane: pp aprovado</v>
      </c>
      <c r="B3488" s="93"/>
    </row>
    <row r="3489">
      <c r="A3489" s="384" t="str">
        <f>IFERROR(__xludf.DUMMYFUNCTION("""COMPUTED_VALUE"""),"Roberto Mendes Teixeira | Matemática | Aprovado | Júnio: PP - etapas ok Inicio: 25/07/23 Reenviar: 25/01/24 //Júnio: pagou apressamento - aprovado: 17/10/23")</f>
        <v>Roberto Mendes Teixeira | Matemática | Aprovado | Júnio: PP - etapas ok Inicio: 25/07/23 Reenviar: 25/01/24 //Júnio: pagou apressamento - aprovado: 17/10/23</v>
      </c>
      <c r="B3489" s="93"/>
    </row>
    <row r="3490">
      <c r="A3490" s="384" t="str">
        <f>IFERROR(__xludf.DUMMYFUNCTION("""COMPUTED_VALUE"""),"Roberto Mendes Teixeira | Educação Especial | Aprovado | Júnio: PP - 99% similariedade da etapas dissertativas em relação ao outro curso//Alexsiane: pp aprovado 19/07")</f>
        <v>Roberto Mendes Teixeira | Educação Especial | Aprovado | Júnio: PP - 99% similariedade da etapas dissertativas em relação ao outro curso//Alexsiane: pp aprovado 19/07</v>
      </c>
      <c r="B3490" s="93"/>
    </row>
    <row r="3491">
      <c r="A3491" s="384" t="str">
        <f>IFERROR(__xludf.DUMMYFUNCTION("""COMPUTED_VALUE"""),"Roberto Ribeiro De Freitas | Artes Visuais | Aprovado | Lucas: Falta 19 planos, sumário,referencias e 4ª etapa //Júnio: aprovado no video: 13/07/22")</f>
        <v>Roberto Ribeiro De Freitas | Artes Visuais | Aprovado | Lucas: Falta 19 planos, sumário,referencias e 4ª etapa //Júnio: aprovado no video: 13/07/22</v>
      </c>
      <c r="B3491" s="93"/>
    </row>
    <row r="3492">
      <c r="A3492" s="384" t="str">
        <f>IFERROR(__xludf.DUMMYFUNCTION("""COMPUTED_VALUE"""),"Roberto Ribeiro Ramos Soares | História | Aprovado | Fez curso de capacitação no lugar de estágio totalizando 660h.")</f>
        <v>Roberto Ribeiro Ramos Soares | História | Aprovado | Fez curso de capacitação no lugar de estágio totalizando 660h.</v>
      </c>
      <c r="B3492" s="93"/>
    </row>
    <row r="3493">
      <c r="A3493" s="384" t="str">
        <f>IFERROR(__xludf.DUMMYFUNCTION("""COMPUTED_VALUE"""),"Robinson Da Silva | Música | Aprovado | Júnio: PP aprovado")</f>
        <v>Robinson Da Silva | Música | Aprovado | Júnio: PP aprovado</v>
      </c>
      <c r="B3493" s="93"/>
    </row>
    <row r="3494">
      <c r="A3494" s="384" t="str">
        <f>IFERROR(__xludf.DUMMYFUNCTION("""COMPUTED_VALUE"""),"Robson Cândido Elias | História | Aprovado | Alexsiane: falta fazer os relatorios de observação e regencia, especificar o tema nas fichas de registro de gestão e encaminhar o plano de aula em word editavel //// Edilaine: Pré- aprovado 09/01/2023 // Confer"&amp;"ido e arquivado. ")</f>
        <v>Robson Cândido Elias | História | Aprovado | Alexsiane: falta fazer os relatorios de observação e regencia, especificar o tema nas fichas de registro de gestão e encaminhar o plano de aula em word editavel //// Edilaine: Pré- aprovado 09/01/2023 // Conferido e arquivado. </v>
      </c>
      <c r="B3494" s="93"/>
    </row>
    <row r="3495">
      <c r="A3495" s="384" t="str">
        <f>IFERROR(__xludf.DUMMYFUNCTION("""COMPUTED_VALUE"""),"Robson Gomes | Pedagogia | Aprovaso | Bianca: aprovado nas 4 etapas do remoto antigo")</f>
        <v>Robson Gomes | Pedagogia | Aprovaso | Bianca: aprovado nas 4 etapas do remoto antigo</v>
      </c>
      <c r="B3495" s="93"/>
    </row>
    <row r="3496">
      <c r="A3496" s="384" t="str">
        <f>IFERROR(__xludf.DUMMYFUNCTION("""COMPUTED_VALUE"""),"Robson Mauricio Ventura Vieira | Música | Aprovado | Alexsiane; enviar a entrevista digitada// Matheus: pp aprovado 04/09")</f>
        <v>Robson Mauricio Ventura Vieira | Música | Aprovado | Alexsiane; enviar a entrevista digitada// Matheus: pp aprovado 04/09</v>
      </c>
      <c r="B3496" s="93"/>
    </row>
    <row r="3497">
      <c r="A3497" s="384" t="str">
        <f>IFERROR(__xludf.DUMMYFUNCTION("""COMPUTED_VALUE"""),"Robson Pereira Dias | Neuropsicopedagogia Clínica | Aprovado | Alexsiane: 14,36% de plágio, falta sintese de conclusão, tem que especificar nas fichas o tema, corrigir o total de horas e rasuras //Júnio: pre aprovado: 02/05/23 //Júnio: aprovado: 09/05/202"&amp;"3")</f>
        <v>Robson Pereira Dias | Neuropsicopedagogia Clínica | Aprovado | Alexsiane: 14,36% de plágio, falta sintese de conclusão, tem que especificar nas fichas o tema, corrigir o total de horas e rasuras //Júnio: pre aprovado: 02/05/23 //Júnio: aprovado: 09/05/2023</v>
      </c>
      <c r="B3497" s="93"/>
    </row>
    <row r="3498">
      <c r="A3498" s="384" t="str">
        <f>IFERROR(__xludf.DUMMYFUNCTION("""COMPUTED_VALUE"""),"Rodnea Martins Pollaci | Artes Visuais | Aprovada | Bárbara: aprovada nas 3 primeiras etapas. Aguardando a última // Bárbara: aprovada 10/11/2020// Bárbara: conferido e arquivado 19/11/2020")</f>
        <v>Rodnea Martins Pollaci | Artes Visuais | Aprovada | Bárbara: aprovada nas 3 primeiras etapas. Aguardando a última // Bárbara: aprovada 10/11/2020// Bárbara: conferido e arquivado 19/11/2020</v>
      </c>
      <c r="B3498" s="93"/>
    </row>
    <row r="3499">
      <c r="A3499" s="384" t="str">
        <f>IFERROR(__xludf.DUMMYFUNCTION("""COMPUTED_VALUE"""),"Rodney De Sousa Pereira | Pedagogia | Aprovado | Jùnio: aprovado com lançamento no Sponte")</f>
        <v>Rodney De Sousa Pereira | Pedagogia | Aprovado | Jùnio: aprovado com lançamento no Sponte</v>
      </c>
      <c r="B3499" s="93"/>
    </row>
    <row r="3500">
      <c r="A3500" s="384" t="str">
        <f>IFERROR(__xludf.DUMMYFUNCTION("""COMPUTED_VALUE"""),"Rodolpho Fernandes De Souza | Letras Português | Aprovado | Amélia: planos ok, plágio 25% na 1ª etapa, orientações para a segunda //Barbára: aprovado na aula 15/06/21")</f>
        <v>Rodolpho Fernandes De Souza | Letras Português | Aprovado | Amélia: planos ok, plágio 25% na 1ª etapa, orientações para a segunda //Barbára: aprovado na aula 15/06/21</v>
      </c>
      <c r="B3500" s="93"/>
    </row>
    <row r="3501">
      <c r="A3501" s="384" t="str">
        <f>IFERROR(__xludf.DUMMYFUNCTION("""COMPUTED_VALUE"""),"Rodrigo Alves Da Silva | Pedagogia | aprovado | Aline Silva: aprovado ( recolher assinaturas, mudar o plano de aula e cobrir rosto dos alunos )// Recebido dia 15/01/2020// Bárbara: conferido e arquivado 09/09/2020")</f>
        <v>Rodrigo Alves Da Silva | Pedagogia | aprovado | Aline Silva: aprovado ( recolher assinaturas, mudar o plano de aula e cobrir rosto dos alunos )// Recebido dia 15/01/2020// Bárbara: conferido e arquivado 09/09/2020</v>
      </c>
      <c r="B3501" s="93"/>
    </row>
    <row r="3502">
      <c r="A3502" s="384" t="str">
        <f>IFERROR(__xludf.DUMMYFUNCTION("""COMPUTED_VALUE"""),"Rodrigo Alves Marcelino | Pedagogia | Aprovado  | Bárbara: estágio padrão, consertar referencias autorizado enviar físico // Bárbara: conferido e arquivado 14/09/2022")</f>
        <v>Rodrigo Alves Marcelino | Pedagogia | Aprovado  | Bárbara: estágio padrão, consertar referencias autorizado enviar físico // Bárbara: conferido e arquivado 14/09/2022</v>
      </c>
      <c r="B3502" s="93"/>
    </row>
    <row r="3503">
      <c r="A3503" s="384" t="str">
        <f>IFERROR(__xludf.DUMMYFUNCTION("""COMPUTED_VALUE"""),"Rodrigo Augusto Alves Da Silva | Artes Visuais | Aprovado | Edilaine: Tem que especificar nas fichas o tipo de acompanhamento e série. Tem que fazer a bibliografia do plano de aula. Declaração de experiência válida. Falta as partes dissertativas.//Edilain"&amp;"e: Pré-aprovado, autorizado a autenticar. Tem até dia 18/03/2023 para reenviar. Pâmela: Conferido e arquivado autenticação. ")</f>
        <v>Rodrigo Augusto Alves Da Silva | Artes Visuais | Aprovado | Edilaine: Tem que especificar nas fichas o tipo de acompanhamento e série. Tem que fazer a bibliografia do plano de aula. Declaração de experiência válida. Falta as partes dissertativas.//Edilaine: Pré-aprovado, autorizado a autenticar. Tem até dia 18/03/2023 para reenviar. Pâmela: Conferido e arquivado autenticação. </v>
      </c>
      <c r="B3503" s="93"/>
    </row>
    <row r="3504">
      <c r="A3504" s="384" t="str">
        <f>IFERROR(__xludf.DUMMYFUNCTION("""COMPUTED_VALUE"""),"Rodrigo Da Silva Ii | História | Aprovado | Amélia: aprovado nas 4 etapas do remoto")</f>
        <v>Rodrigo Da Silva Ii | História | Aprovado | Amélia: aprovado nas 4 etapas do remoto</v>
      </c>
      <c r="B3504" s="93"/>
    </row>
    <row r="3505">
      <c r="A3505" s="384" t="str">
        <f>IFERROR(__xludf.DUMMYFUNCTION("""COMPUTED_VALUE"""),"Rodrigo De Lima Silva | Pedagogia | Aprovado | Júnio: PP- 39% plágio //Júnio: aprovado: 31/08/2023")</f>
        <v>Rodrigo De Lima Silva | Pedagogia | Aprovado | Júnio: PP- 39% plágio //Júnio: aprovado: 31/08/2023</v>
      </c>
      <c r="B3505" s="93"/>
    </row>
    <row r="3506">
      <c r="A3506" s="384" t="str">
        <f>IFERROR(__xludf.DUMMYFUNCTION("""COMPUTED_VALUE"""),"Rodrigo De Paula Rodrigues | Pedagogia | Aprovado | Alexsiane: pp está faltando encaminhar a entrevista digitada//Alexsiane: aprovado 13/05")</f>
        <v>Rodrigo De Paula Rodrigues | Pedagogia | Aprovado | Alexsiane: pp está faltando encaminhar a entrevista digitada//Alexsiane: aprovado 13/05</v>
      </c>
      <c r="B3506" s="93"/>
    </row>
    <row r="3507">
      <c r="A3507" s="384" t="str">
        <f>IFERROR(__xludf.DUMMYFUNCTION("""COMPUTED_VALUE"""),"Rodrigo De Souza Marques | Letras -Inglês | Aprovado | Alexsiane: falta termo de conclusão, 180 horas nas fichas de registro ( 120 horas de observação e regência e 60 horas de gestão), especificar a turma e o tema. E fazer o relatório de gestão e observaç"&amp;"ão. /// Edilaine: Pré-aprovado, autorizado a autenticar. 03/03/2023 //Júnio: aprovado: 09/05/23")</f>
        <v>Rodrigo De Souza Marques | Letras -Inglês | Aprovado | Alexsiane: falta termo de conclusão, 180 horas nas fichas de registro ( 120 horas de observação e regência e 60 horas de gestão), especificar a turma e o tema. E fazer o relatório de gestão e observação. /// Edilaine: Pré-aprovado, autorizado a autenticar. 03/03/2023 //Júnio: aprovado: 09/05/23</v>
      </c>
      <c r="B3507" s="93"/>
    </row>
    <row r="3508">
      <c r="A3508" s="384" t="str">
        <f>IFERROR(__xludf.DUMMYFUNCTION("""COMPUTED_VALUE"""),"Rodrigo Maciel Capanema | Matemática | Aprovado | Bianca: autorizado a enviar físico// Bárbara: conferido e arquivado 08/06/2021")</f>
        <v>Rodrigo Maciel Capanema | Matemática | Aprovado | Bianca: autorizado a enviar físico// Bárbara: conferido e arquivado 08/06/2021</v>
      </c>
      <c r="B3508" s="93"/>
    </row>
    <row r="3509">
      <c r="A3509" s="384" t="str">
        <f>IFERROR(__xludf.DUMMYFUNCTION("""COMPUTED_VALUE"""),"Rodrigo Maciel Capanema | Pedagogia | Aprovado | Júnio: PP aprovado")</f>
        <v>Rodrigo Maciel Capanema | Pedagogia | Aprovado | Júnio: PP aprovado</v>
      </c>
      <c r="B3509" s="93"/>
    </row>
    <row r="3510">
      <c r="A3510" s="384" t="str">
        <f>IFERROR(__xludf.DUMMYFUNCTION("""COMPUTED_VALUE"""),"Rodrigo Moreira Gomes | Ed. Física | Aprovado | Amélia: aprovado com lançamento no sponte")</f>
        <v>Rodrigo Moreira Gomes | Ed. Física | Aprovado | Amélia: aprovado com lançamento no sponte</v>
      </c>
      <c r="B3510" s="93"/>
    </row>
    <row r="3511">
      <c r="A3511" s="384" t="str">
        <f>IFERROR(__xludf.DUMMYFUNCTION("""COMPUTED_VALUE"""),"Rodrigo Pires De Morais | Pedagogia | Aprovado | Bárbara: aprovada etapas 1, 2 e 3, aguardando a última. // Bárbara: aprovado 13/11/2020// Bárbara: conferido e arquivado 28/12/2021")</f>
        <v>Rodrigo Pires De Morais | Pedagogia | Aprovado | Bárbara: aprovada etapas 1, 2 e 3, aguardando a última. // Bárbara: aprovado 13/11/2020// Bárbara: conferido e arquivado 28/12/2021</v>
      </c>
      <c r="B3511" s="93"/>
    </row>
    <row r="3512">
      <c r="A3512" s="384" t="str">
        <f>IFERROR(__xludf.DUMMYFUNCTION("""COMPUTED_VALUE"""),"Rodrigo Quintino Pereira | 2ª Licenciatura Em Pedagogia | Aprovado | Cris: PP aprovado")</f>
        <v>Rodrigo Quintino Pereira | 2ª Licenciatura Em Pedagogia | Aprovado | Cris: PP aprovado</v>
      </c>
      <c r="B3512" s="93"/>
    </row>
    <row r="3513">
      <c r="A3513" s="384" t="str">
        <f>IFERROR(__xludf.DUMMYFUNCTION("""COMPUTED_VALUE"""),"Rodrigo Silva Costa | Filosofia | Aprovado | Bianca: Aprovado nas 4 etapas do remoto atualizado //Júnio: conferido e arquivado: 27/09/21")</f>
        <v>Rodrigo Silva Costa | Filosofia | Aprovado | Bianca: Aprovado nas 4 etapas do remoto atualizado //Júnio: conferido e arquivado: 27/09/21</v>
      </c>
      <c r="B3513" s="93"/>
    </row>
    <row r="3514">
      <c r="A3514" s="384" t="str">
        <f>IFERROR(__xludf.DUMMYFUNCTION("""COMPUTED_VALUE"""),"Rodrigo Silva Costa | Filosofia | aprovado | Bianca: aprovado nas 4 etapas do remoto  atualizado, autorizado a enviar físico")</f>
        <v>Rodrigo Silva Costa | Filosofia | aprovado | Bianca: aprovado nas 4 etapas do remoto  atualizado, autorizado a enviar físico</v>
      </c>
      <c r="B3514" s="93"/>
    </row>
    <row r="3515">
      <c r="A3515" s="384" t="str">
        <f>IFERROR(__xludf.DUMMYFUNCTION("""COMPUTED_VALUE"""),"Rodrigo Vargas De Souza | Filosofia | Aprovada | Ana Flávia: fez apenas 1 plano de aula // Bárbara: aprovado 23/12/2020// Bárbara: conferido e arquivado 20/04/2021")</f>
        <v>Rodrigo Vargas De Souza | Filosofia | Aprovada | Ana Flávia: fez apenas 1 plano de aula // Bárbara: aprovado 23/12/2020// Bárbara: conferido e arquivado 20/04/2021</v>
      </c>
      <c r="B3515" s="93"/>
    </row>
    <row r="3516">
      <c r="A3516" s="384" t="str">
        <f>IFERROR(__xludf.DUMMYFUNCTION("""COMPUTED_VALUE"""),"Roger Alfredo De Marci Rodrigues Antunes | Letras Port Ing | Aprovado | Bianca: falta planos de aula  //Júnio: aprovado: 14/01/22")</f>
        <v>Roger Alfredo De Marci Rodrigues Antunes | Letras Port Ing | Aprovado | Bianca: falta planos de aula  //Júnio: aprovado: 14/01/22</v>
      </c>
      <c r="B3516" s="93"/>
    </row>
    <row r="3517">
      <c r="A3517" s="384" t="str">
        <f>IFERROR(__xludf.DUMMYFUNCTION("""COMPUTED_VALUE"""),"Roger Alfredo De Marci Rodrigues Antunes | Letras Português Inglês | Em análise | Bianca: elaborou apenas 10 planos de aulas")</f>
        <v>Roger Alfredo De Marci Rodrigues Antunes | Letras Português Inglês | Em análise | Bianca: elaborou apenas 10 planos de aulas</v>
      </c>
      <c r="B3517" s="93"/>
    </row>
    <row r="3518">
      <c r="A3518" s="384" t="str">
        <f>IFERROR(__xludf.DUMMYFUNCTION("""COMPUTED_VALUE"""),"Roger Henrique Frioli Faccioli Pozza | Letras Português E Inglês | Em análise | Júnio: PP - falta a carta de apresentação e entrevista")</f>
        <v>Roger Henrique Frioli Faccioli Pozza | Letras Português E Inglês | Em análise | Júnio: PP - falta a carta de apresentação e entrevista</v>
      </c>
      <c r="B3518" s="93"/>
    </row>
    <row r="3519">
      <c r="A3519" s="384" t="str">
        <f>IFERROR(__xludf.DUMMYFUNCTION("""COMPUTED_VALUE"""),"Roger Henrique Frioli Faccioli Pozza | Letras – Português E Inglês | Aprovado | Alexsiane: pp aprovado")</f>
        <v>Roger Henrique Frioli Faccioli Pozza | Letras – Português E Inglês | Aprovado | Alexsiane: pp aprovado</v>
      </c>
      <c r="B3519" s="93"/>
    </row>
    <row r="3520">
      <c r="A3520" s="384" t="str">
        <f>IFERROR(__xludf.DUMMYFUNCTION("""COMPUTED_VALUE"""),"Roger José Freitas Duarte Cândido | Pedagogia | Aprovado | Aline Silva: declaração de experiência foi aceita.// Bárbara: aprovado 13/11/2020// Bárbara: conferido e arquivado 23/11/2020")</f>
        <v>Roger José Freitas Duarte Cândido | Pedagogia | Aprovado | Aline Silva: declaração de experiência foi aceita.// Bárbara: aprovado 13/11/2020// Bárbara: conferido e arquivado 23/11/2020</v>
      </c>
      <c r="B3520" s="93"/>
    </row>
    <row r="3521">
      <c r="A3521" s="384" t="str">
        <f>IFERROR(__xludf.DUMMYFUNCTION("""COMPUTED_VALUE"""),"Roger Roberto Brochi | Pedagogia | Aprovado | Júnio: PP - Início: 16/11/2023 Reenviar: 16/05/2024//Alexsiane: pp aprovado 10/06/24")</f>
        <v>Roger Roberto Brochi | Pedagogia | Aprovado | Júnio: PP - Início: 16/11/2023 Reenviar: 16/05/2024//Alexsiane: pp aprovado 10/06/24</v>
      </c>
      <c r="B3521" s="93"/>
    </row>
    <row r="3522">
      <c r="A3522" s="384" t="str">
        <f>IFERROR(__xludf.DUMMYFUNCTION("""COMPUTED_VALUE"""),"Roger Silva |  |  | Aguardando envio de estágio, o aluno mandou imagens em anexo.")</f>
        <v>Roger Silva |  |  | Aguardando envio de estágio, o aluno mandou imagens em anexo.</v>
      </c>
      <c r="B3522" s="93"/>
    </row>
    <row r="3523">
      <c r="A3523" s="384" t="str">
        <f>IFERROR(__xludf.DUMMYFUNCTION("""COMPUTED_VALUE"""),"Rogério Belmiro Tampellini | Sociologia | Aprovado | Carla/Alexsiane: PP está faltando carta de apresentação e 1ª etapa e corrigir as assinaturas//Cris: PP aprovado 17/04/2024")</f>
        <v>Rogério Belmiro Tampellini | Sociologia | Aprovado | Carla/Alexsiane: PP está faltando carta de apresentação e 1ª etapa e corrigir as assinaturas//Cris: PP aprovado 17/04/2024</v>
      </c>
      <c r="B3523" s="93"/>
    </row>
    <row r="3524">
      <c r="A3524" s="384" t="str">
        <f>IFERROR(__xludf.DUMMYFUNCTION("""COMPUTED_VALUE"""),"Rogerio Da Silva | Formação Ped. Letras | Aprovado | Alexsiane- PP aprovado")</f>
        <v>Rogerio Da Silva | Formação Ped. Letras | Aprovado | Alexsiane- PP aprovado</v>
      </c>
      <c r="B3524" s="93"/>
    </row>
    <row r="3525">
      <c r="A3525" s="384" t="str">
        <f>IFERROR(__xludf.DUMMYFUNCTION("""COMPUTED_VALUE"""),"Rogério José Da Silva | Pedagogia | Aprovado | Júnio: autorizado a recolher assinaturas //Júnio:aprovado: 15/06/22 //Júnio: físico conferido e arquivado: 28/06/22")</f>
        <v>Rogério José Da Silva | Pedagogia | Aprovado | Júnio: autorizado a recolher assinaturas //Júnio:aprovado: 15/06/22 //Júnio: físico conferido e arquivado: 28/06/22</v>
      </c>
      <c r="B3525" s="93"/>
    </row>
    <row r="3526">
      <c r="A3526" s="384" t="str">
        <f>IFERROR(__xludf.DUMMYFUNCTION("""COMPUTED_VALUE"""),"Rogerio Rubens Marchalek | Geografia | Aprovado | Estella: aprovado. Recebido 14/01/2019 (Perme teve que buscar em Carmópolis)")</f>
        <v>Rogerio Rubens Marchalek | Geografia | Aprovado | Estella: aprovado. Recebido 14/01/2019 (Perme teve que buscar em Carmópolis)</v>
      </c>
      <c r="B3526" s="93"/>
    </row>
    <row r="3527">
      <c r="A3527" s="384" t="str">
        <f>IFERROR(__xludf.DUMMYFUNCTION("""COMPUTED_VALUE"""),"Romário Barbosa Apolinário | Pedagogia | Aprovado | Bianca: aprovado nas 4 etapas do remoto atualizado")</f>
        <v>Romário Barbosa Apolinário | Pedagogia | Aprovado | Bianca: aprovado nas 4 etapas do remoto atualizado</v>
      </c>
      <c r="B3527" s="93"/>
    </row>
    <row r="3528">
      <c r="A3528" s="384" t="str">
        <f>IFERROR(__xludf.DUMMYFUNCTION("""COMPUTED_VALUE"""),"Romário Neves Coelho | Geografia | Aprovado | Bárbara: aprovado nas 3 primeiras etapas do remoto, aguardando a 4ª. // Bárbara: aprovado 10/11/2020// Bárbara: conferido e arquivado 11/12/2020")</f>
        <v>Romário Neves Coelho | Geografia | Aprovado | Bárbara: aprovado nas 3 primeiras etapas do remoto, aguardando a 4ª. // Bárbara: aprovado 10/11/2020// Bárbara: conferido e arquivado 11/12/2020</v>
      </c>
      <c r="B3528" s="93"/>
    </row>
    <row r="3529">
      <c r="A3529" s="384" t="str">
        <f>IFERROR(__xludf.DUMMYFUNCTION("""COMPUTED_VALUE"""),"Romero De Castro Augusto Dos Santos | Pedagogia Para Bachareis E Tecnólogos | Em análise | Júnio: nas Práticas pedagógicas falta responder o questionário e enviar a carta de autorização, falta tambem as quatro pastas de Práticas de Componentes Curriculare"&amp;"s")</f>
        <v>Romero De Castro Augusto Dos Santos | Pedagogia Para Bachareis E Tecnólogos | Em análise | Júnio: nas Práticas pedagógicas falta responder o questionário e enviar a carta de autorização, falta tambem as quatro pastas de Práticas de Componentes Curriculares</v>
      </c>
      <c r="B3529" s="93"/>
    </row>
    <row r="3530">
      <c r="A3530" s="384" t="str">
        <f>IFERROR(__xludf.DUMMYFUNCTION("""COMPUTED_VALUE"""),"Romero De Castro Augusto Dos Santos | Pedagogia Para Bacharéis | Em análise | Rayssa PCC Falta PCC 1 |Falta Tabelas PCC 2 e 3| PCC 4 falta todas as etapas dissertativas(enviou mapa mental). PP Aprovado")</f>
        <v>Romero De Castro Augusto Dos Santos | Pedagogia Para Bacharéis | Em análise | Rayssa PCC Falta PCC 1 |Falta Tabelas PCC 2 e 3| PCC 4 falta todas as etapas dissertativas(enviou mapa mental). PP Aprovado</v>
      </c>
      <c r="B3530" s="93"/>
    </row>
    <row r="3531">
      <c r="A3531" s="384" t="str">
        <f>IFERROR(__xludf.DUMMYFUNCTION("""COMPUTED_VALUE"""),"Romero De Castro Augusto Dos Santos | Pedagogia Para Bacharéis | Em análise | Rayssa. Falta etapa 1 PCC")</f>
        <v>Romero De Castro Augusto Dos Santos | Pedagogia Para Bacharéis | Em análise | Rayssa. Falta etapa 1 PCC</v>
      </c>
      <c r="B3531" s="93"/>
    </row>
    <row r="3532">
      <c r="A3532" s="384" t="str">
        <f>IFERROR(__xludf.DUMMYFUNCTION("""COMPUTED_VALUE"""),"Romero João Bezerra | Música | Em análise | Alexsiane: 30% de plágio e falta a carta de apresentação. Etaoa 1 e entrevista ok")</f>
        <v>Romero João Bezerra | Música | Em análise | Alexsiane: 30% de plágio e falta a carta de apresentação. Etaoa 1 e entrevista ok</v>
      </c>
      <c r="B3532" s="93"/>
    </row>
    <row r="3533">
      <c r="A3533" s="384" t="str">
        <f>IFERROR(__xludf.DUMMYFUNCTION("""COMPUTED_VALUE"""),"Romero João Bezerra | Música | Em análise | Alexsiane: pp tem que complemnetar a  primeira etapa")</f>
        <v>Romero João Bezerra | Música | Em análise | Alexsiane: pp tem que complemnetar a  primeira etapa</v>
      </c>
      <c r="B3533" s="93"/>
    </row>
    <row r="3534">
      <c r="A3534" s="384" t="str">
        <f>IFERROR(__xludf.DUMMYFUNCTION("""COMPUTED_VALUE"""),"Romilda Maria Gomes | Geografia | Aprovada | Edilaine: Tem que formatar o trabalho, trm que especificar os objetos gerais e específicos. Tem que apagar a sombra do lápis no termo de conclusão. Tem que especificar na ficha de registro o tipo de acompanhame"&amp;"nto e a série. Tem que fazer as 200 horas. Tem que enviar o plano de aula digitalizado e fazer a bibliografia. Tem que complementar as considerações finais e a autoavaliação. //// Edilaine: Aprovada 13/03/2023")</f>
        <v>Romilda Maria Gomes | Geografia | Aprovada | Edilaine: Tem que formatar o trabalho, trm que especificar os objetos gerais e específicos. Tem que apagar a sombra do lápis no termo de conclusão. Tem que especificar na ficha de registro o tipo de acompanhamento e a série. Tem que fazer as 200 horas. Tem que enviar o plano de aula digitalizado e fazer a bibliografia. Tem que complementar as considerações finais e a autoavaliação. //// Edilaine: Aprovada 13/03/2023</v>
      </c>
      <c r="B3534" s="93"/>
    </row>
    <row r="3535">
      <c r="A3535" s="384" t="str">
        <f>IFERROR(__xludf.DUMMYFUNCTION("""COMPUTED_VALUE"""),"Romina De Alcântara Gaspar | Letras Português | Aprovada | Bárbara: apresentou declaração de experiência válida para isenção de 50% //Júnio: aprovada: 09/08/23")</f>
        <v>Romina De Alcântara Gaspar | Letras Português | Aprovada | Bárbara: apresentou declaração de experiência válida para isenção de 50% //Júnio: aprovada: 09/08/23</v>
      </c>
      <c r="B3535" s="93"/>
    </row>
    <row r="3536">
      <c r="A3536" s="384" t="str">
        <f>IFERROR(__xludf.DUMMYFUNCTION("""COMPUTED_VALUE"""),"Ronaldo Cintra Rodrigues | Ciências Sociais | Aprovado | Bianca: aprovado nas 3 primeiras etapas do remoto //Bianca: aprovado: 28/05/21")</f>
        <v>Ronaldo Cintra Rodrigues | Ciências Sociais | Aprovado | Bianca: aprovado nas 3 primeiras etapas do remoto //Bianca: aprovado: 28/05/21</v>
      </c>
      <c r="B3536" s="93"/>
    </row>
    <row r="3537">
      <c r="A3537" s="384" t="str">
        <f>IFERROR(__xludf.DUMMYFUNCTION("""COMPUTED_VALUE"""),"Ronaldo Costa De Vasconcelos | Pedagogia | Aprovado | Alexsiane: Falta capa, contracapa, resumo, introdução, conclusão e contra cheque não aceito pois não especifica o cargo Até dia 28/05/2022 para reenviar //Júnio: aprovado na aula: 19/07/22")</f>
        <v>Ronaldo Costa De Vasconcelos | Pedagogia | Aprovado | Alexsiane: Falta capa, contracapa, resumo, introdução, conclusão e contra cheque não aceito pois não especifica o cargo Até dia 28/05/2022 para reenviar //Júnio: aprovado na aula: 19/07/22</v>
      </c>
      <c r="B3537" s="93"/>
    </row>
    <row r="3538">
      <c r="A3538" s="384" t="str">
        <f>IFERROR(__xludf.DUMMYFUNCTION("""COMPUTED_VALUE"""),"Ronaldo Galdino | Ciências Sociais | Aprovado | Júnio: falta a carta de apresentação e responder o questionário. //Júnio: PP aprovado: 21/11/23")</f>
        <v>Ronaldo Galdino | Ciências Sociais | Aprovado | Júnio: falta a carta de apresentação e responder o questionário. //Júnio: PP aprovado: 21/11/23</v>
      </c>
      <c r="B3538" s="93"/>
    </row>
    <row r="3539">
      <c r="A3539" s="384" t="str">
        <f>IFERROR(__xludf.DUMMYFUNCTION("""COMPUTED_VALUE"""),"Ronaldo José Jappe | Filosofia | Aprovado | Bianca: declaração de experiência não é válida, etapas 1,2 e 4 ok do estágio remoto atualizado.// Bianca: aprovado nas 4 etapas do remoto atualizado em 06/12/2021 //Júnio: conferido e arquivado: 21/01/22")</f>
        <v>Ronaldo José Jappe | Filosofia | Aprovado | Bianca: declaração de experiência não é válida, etapas 1,2 e 4 ok do estágio remoto atualizado.// Bianca: aprovado nas 4 etapas do remoto atualizado em 06/12/2021 //Júnio: conferido e arquivado: 21/01/22</v>
      </c>
      <c r="B3539" s="93"/>
    </row>
    <row r="3540">
      <c r="A3540" s="384" t="str">
        <f>IFERROR(__xludf.DUMMYFUNCTION("""COMPUTED_VALUE"""),"Roni Rodrigues Siqueira | Matemática | Aprovado | Júnio: PP - falta a etapa 1// Alexsiane:PP aprovado 16/02/24")</f>
        <v>Roni Rodrigues Siqueira | Matemática | Aprovado | Júnio: PP - falta a etapa 1// Alexsiane:PP aprovado 16/02/24</v>
      </c>
      <c r="B3540" s="93"/>
    </row>
    <row r="3541">
      <c r="A3541" s="384" t="str">
        <f>IFERROR(__xludf.DUMMYFUNCTION("""COMPUTED_VALUE"""),"Roni Rodrigues Siqueira | Física | Aprovado | Alexsiane: trabalho igual ao de Formação Pedagógica em Matemática, terá que reefazer// Alexsiane: pp aprobado 28/08/24")</f>
        <v>Roni Rodrigues Siqueira | Física | Aprovado | Alexsiane: trabalho igual ao de Formação Pedagógica em Matemática, terá que reefazer// Alexsiane: pp aprobado 28/08/24</v>
      </c>
      <c r="B3541" s="93"/>
    </row>
    <row r="3542">
      <c r="A3542" s="384" t="str">
        <f>IFERROR(__xludf.DUMMYFUNCTION("""COMPUTED_VALUE"""),"Ronilda Benedita De Almeida | Artes Visuais | Aprovada | Júnio: TCE Remoto Antigo - falta etapa 4 //Júnio: aprovada: 22/01/24")</f>
        <v>Ronilda Benedita De Almeida | Artes Visuais | Aprovada | Júnio: TCE Remoto Antigo - falta etapa 4 //Júnio: aprovada: 22/01/24</v>
      </c>
      <c r="B3542" s="93"/>
    </row>
    <row r="3543">
      <c r="A3543" s="384" t="str">
        <f>IFERROR(__xludf.DUMMYFUNCTION("""COMPUTED_VALUE"""),"Ronilda Benedita De Almeida | Pedagogia | Aprovado | Edilaine: Tem que fazer o perigo da história única, o plano de aula 10 é igual ao plano de aula 16. Falta a 4ª etapa do remoto antigo. Tem até 27/02/2023//Alexsiane: aprovada na 4° etapa do video.")</f>
        <v>Ronilda Benedita De Almeida | Pedagogia | Aprovado | Edilaine: Tem que fazer o perigo da história única, o plano de aula 10 é igual ao plano de aula 16. Falta a 4ª etapa do remoto antigo. Tem até 27/02/2023//Alexsiane: aprovada na 4° etapa do video.</v>
      </c>
      <c r="B3543" s="93"/>
    </row>
    <row r="3544">
      <c r="A3544" s="384" t="str">
        <f>IFERROR(__xludf.DUMMYFUNCTION("""COMPUTED_VALUE"""),"Ronildo Clemente Da Silva | Neuropsicologia Clínica | Aprovado | Júnio: aprovado")</f>
        <v>Ronildo Clemente Da Silva | Neuropsicologia Clínica | Aprovado | Júnio: aprovado</v>
      </c>
      <c r="B3544" s="93"/>
    </row>
    <row r="3545">
      <c r="A3545" s="384" t="str">
        <f>IFERROR(__xludf.DUMMYFUNCTION("""COMPUTED_VALUE"""),"Ronildo Clemente Da Silva | Psicopedagogia Clínica E Institucional | Aprovado | Bianca: 29% plágio //Bianca: aprovada: 29/07/21")</f>
        <v>Ronildo Clemente Da Silva | Psicopedagogia Clínica E Institucional | Aprovado | Bianca: 29% plágio //Bianca: aprovada: 29/07/21</v>
      </c>
      <c r="B3545" s="93"/>
    </row>
    <row r="3546">
      <c r="A3546" s="384" t="str">
        <f>IFERROR(__xludf.DUMMYFUNCTION("""COMPUTED_VALUE"""),"Ronildo Clemente Da Silva | Neuropsicopedagogia Institucional, Clínica E Hospitalar | Aprovado | Edilaine: Remoto antigo. 13,6% de plágio. Tem que fazer os seguintes tópicos: Dados de identificação pessoal, família, escola, relacionamento, aptidões e difi"&amp;"culdades, queixa do professor, conceito de neuropsicopedagogia, objetivos do acompanhamento, estratégias desenvolvidas, sugestões de estratégias de intervenção, síntese de conclusão do caso e avaliação pedagógica. Fichas de registro ilegíveis. //Júnio: pr"&amp;"e aprovado: 12/05/2023 //Júnio: aprovado: 12/06/23")</f>
        <v>Ronildo Clemente Da Silva | Neuropsicopedagogia Institucional, Clínica E Hospitalar | Aprovado | Edilaine: Remoto antigo. 13,6% de plágio. Tem que fazer os seguintes tópicos: Dados de identificação pessoal, família, escola, relacionamento, aptidões e dificuldades, queixa do professor, conceito de neuropsicopedagogia, objetivos do acompanhamento, estratégias desenvolvidas, sugestões de estratégias de intervenção, síntese de conclusão do caso e avaliação pedagógica. Fichas de registro ilegíveis. //Júnio: pre aprovado: 12/05/2023 //Júnio: aprovado: 12/06/23</v>
      </c>
      <c r="B3546" s="93"/>
    </row>
    <row r="3547">
      <c r="A3547" s="384" t="str">
        <f>IFERROR(__xludf.DUMMYFUNCTION("""COMPUTED_VALUE"""),"Ronnery Lopes | Pedagogia | Em analise | Bárbara: O trabalho está com datas retroativas a matrícula. Mikaelly disse ta pronto o proscesso 08/04/2021")</f>
        <v>Ronnery Lopes | Pedagogia | Em analise | Bárbara: O trabalho está com datas retroativas a matrícula. Mikaelly disse ta pronto o proscesso 08/04/2021</v>
      </c>
      <c r="B3547" s="93"/>
    </row>
    <row r="3548">
      <c r="A3548" s="384" t="str">
        <f>IFERROR(__xludf.DUMMYFUNCTION("""COMPUTED_VALUE"""),"Ronnie Soares Da Silva | Pedagogia | Aprovado | Mariana: aguardando os 6 meses em jun/24 pp ok// Cris: PP aprovado")</f>
        <v>Ronnie Soares Da Silva | Pedagogia | Aprovado | Mariana: aguardando os 6 meses em jun/24 pp ok// Cris: PP aprovado</v>
      </c>
      <c r="B3548" s="93"/>
    </row>
    <row r="3549">
      <c r="A3549" s="384" t="str">
        <f>IFERROR(__xludf.DUMMYFUNCTION("""COMPUTED_VALUE"""),"Ronnie Soares Da Silva | Formação Pedagógica Pedagogia | Aprovado | Cris: PP aprovado")</f>
        <v>Ronnie Soares Da Silva | Formação Pedagógica Pedagogia | Aprovado | Cris: PP aprovado</v>
      </c>
      <c r="B3549" s="93"/>
    </row>
    <row r="3550">
      <c r="A3550" s="384" t="str">
        <f>IFERROR(__xludf.DUMMYFUNCTION("""COMPUTED_VALUE"""),"Ronny Menezes Marques | Matemática | Aprovado | Alexsiane; etapa 1 ok, entrevistaok e falta a carta de apresentação. tem ate dia 14/06 para reenviar, posterior gastará extensão//Alexsiane: pp aprovado")</f>
        <v>Ronny Menezes Marques | Matemática | Aprovado | Alexsiane; etapa 1 ok, entrevistaok e falta a carta de apresentação. tem ate dia 14/06 para reenviar, posterior gastará extensão//Alexsiane: pp aprovado</v>
      </c>
      <c r="B3550" s="93"/>
    </row>
    <row r="3551">
      <c r="A3551" s="384" t="str">
        <f>IFERROR(__xludf.DUMMYFUNCTION("""COMPUTED_VALUE"""),"Roque Rodrigues Da Silva | Pedagogia | Aprovado | Bárbara:a provado nas 3 primeiras etapas do remoto. // Bárbara: aprovado na 4ª etapa 04/03/2021")</f>
        <v>Roque Rodrigues Da Silva | Pedagogia | Aprovado | Bárbara:a provado nas 3 primeiras etapas do remoto. // Bárbara: aprovado na 4ª etapa 04/03/2021</v>
      </c>
      <c r="B3551" s="93"/>
    </row>
    <row r="3552">
      <c r="A3552" s="384" t="str">
        <f>IFERROR(__xludf.DUMMYFUNCTION("""COMPUTED_VALUE"""),"Rosa Maria Da Silva | Pedagogia | Em análise  | Bárbara: apresentou declaração de experiência válida, para isenção de 50%. ")</f>
        <v>Rosa Maria Da Silva | Pedagogia | Em análise  | Bárbara: apresentou declaração de experiência válida, para isenção de 50%. </v>
      </c>
      <c r="B3552" s="93"/>
    </row>
    <row r="3553">
      <c r="A3553" s="384" t="str">
        <f>IFERROR(__xludf.DUMMYFUNCTION("""COMPUTED_VALUE"""),"Rosa Shirley Aparecida Pereira | Psic. Ped. Clínica | Aprovada | Aline Silva: faltam as fichas, as horas clínicas. Estágio sem embasamento, sem intervenção.// Aline: aprovada 16/11/2020// Bárbara: conferido e arquivado 11/12/2020")</f>
        <v>Rosa Shirley Aparecida Pereira | Psic. Ped. Clínica | Aprovada | Aline Silva: faltam as fichas, as horas clínicas. Estágio sem embasamento, sem intervenção.// Aline: aprovada 16/11/2020// Bárbara: conferido e arquivado 11/12/2020</v>
      </c>
      <c r="B3553" s="93"/>
    </row>
    <row r="3554">
      <c r="A3554" s="384" t="str">
        <f>IFERROR(__xludf.DUMMYFUNCTION("""COMPUTED_VALUE"""),"Rosalina Eduardo Camacho Da Silva | Letras Inglês | Aprovada | Júnio: pré aprovada //Júnio: aprovada: 16/08/23")</f>
        <v>Rosalina Eduardo Camacho Da Silva | Letras Inglês | Aprovada | Júnio: pré aprovada //Júnio: aprovada: 16/08/23</v>
      </c>
      <c r="B3554" s="93"/>
    </row>
    <row r="3555">
      <c r="A3555" s="384" t="str">
        <f>IFERROR(__xludf.DUMMYFUNCTION("""COMPUTED_VALUE"""),"Rosalita Ferreira Melo | Pedagogia | Aprovada | Bárbara: apresentou declaração de experiência válida pra isenção da 4ª etapa do remoto antigo // Lucas: Aprovada no estagio remoto antigo ")</f>
        <v>Rosalita Ferreira Melo | Pedagogia | Aprovada | Bárbara: apresentou declaração de experiência válida pra isenção da 4ª etapa do remoto antigo // Lucas: Aprovada no estagio remoto antigo </v>
      </c>
      <c r="B3555" s="93"/>
    </row>
    <row r="3556">
      <c r="A3556" s="384" t="str">
        <f>IFERROR(__xludf.DUMMYFUNCTION("""COMPUTED_VALUE"""),"Rosalves Antônio De Lima | Música | Aprovada | Júnio: PP - complementar a etapa I com mais páginas e na etapa II enviar a carta de apresentação e entrevista.// Alexsiane: pp aprovado 24/09/2024")</f>
        <v>Rosalves Antônio De Lima | Música | Aprovada | Júnio: PP - complementar a etapa I com mais páginas e na etapa II enviar a carta de apresentação e entrevista.// Alexsiane: pp aprovado 24/09/2024</v>
      </c>
      <c r="B3556" s="93"/>
    </row>
    <row r="3557">
      <c r="A3557" s="384" t="str">
        <f>IFERROR(__xludf.DUMMYFUNCTION("""COMPUTED_VALUE"""),"Rosana Andrade Maia Monteiro | Letras Português/ Espanhol | Aprovada | Pamela: Pasta fisica recpciona no polo ( ainda não estava autorizada) /// Edilaine: Aprovada 03/02/2023")</f>
        <v>Rosana Andrade Maia Monteiro | Letras Português/ Espanhol | Aprovada | Pamela: Pasta fisica recpciona no polo ( ainda não estava autorizada) /// Edilaine: Aprovada 03/02/2023</v>
      </c>
      <c r="B3557" s="93"/>
    </row>
    <row r="3558">
      <c r="A3558" s="384" t="str">
        <f>IFERROR(__xludf.DUMMYFUNCTION("""COMPUTED_VALUE"""),"Rosana Da Silva Paim | Educação Física | Aprovada | Bianca: autorizada a recolher assinaturas// Bianca: aprovada 19/08/2021")</f>
        <v>Rosana Da Silva Paim | Educação Física | Aprovada | Bianca: autorizada a recolher assinaturas// Bianca: aprovada 19/08/2021</v>
      </c>
      <c r="B3558" s="93"/>
    </row>
    <row r="3559">
      <c r="A3559" s="384" t="str">
        <f>IFERROR(__xludf.DUMMYFUNCTION("""COMPUTED_VALUE"""),"Rosana De Barros | Letras-Português | Aprovada | Alexsiane: Etapa 1,2 ok (3° etapa 9% de plágio) possui os 20 planos falta 4° etapa do remoto antigo//// Edilaine: Aprovada 02/01/2023")</f>
        <v>Rosana De Barros | Letras-Português | Aprovada | Alexsiane: Etapa 1,2 ok (3° etapa 9% de plágio) possui os 20 planos falta 4° etapa do remoto antigo//// Edilaine: Aprovada 02/01/2023</v>
      </c>
      <c r="B3559" s="93"/>
    </row>
    <row r="3560">
      <c r="A3560" s="384" t="str">
        <f>IFERROR(__xludf.DUMMYFUNCTION("""COMPUTED_VALUE"""),"Rosana De Oliveira Barros | Pedagogia Para Bachareis E Tecnologos | /// | Júnio: pelo guru declaração de experiencia valida para isenção de 50% das etapas de observação e regencia// Aluna já recebeu a declaração de conclusão e histórioco")</f>
        <v>Rosana De Oliveira Barros | Pedagogia Para Bachareis E Tecnologos | /// | Júnio: pelo guru declaração de experiencia valida para isenção de 50% das etapas de observação e regencia// Aluna já recebeu a declaração de conclusão e histórioco</v>
      </c>
      <c r="B3560" s="93"/>
    </row>
    <row r="3561">
      <c r="A3561" s="384" t="str">
        <f>IFERROR(__xludf.DUMMYFUNCTION("""COMPUTED_VALUE"""),"Rosana Dos Santos Barbosa | Pedagogia Para Bachareis E Tecnologos | Aprovada | Júnio: TCE Remoto + 300 horas cursos de capacitação- pelo guru enviou cursos de 100 horas, faltam 200 hs cursos + estágio remoto //Júnio: aprovada 31/08/2023")</f>
        <v>Rosana Dos Santos Barbosa | Pedagogia Para Bachareis E Tecnologos | Aprovada | Júnio: TCE Remoto + 300 horas cursos de capacitação- pelo guru enviou cursos de 100 horas, faltam 200 hs cursos + estágio remoto //Júnio: aprovada 31/08/2023</v>
      </c>
      <c r="B3561" s="93"/>
    </row>
    <row r="3562">
      <c r="A3562" s="384" t="str">
        <f>IFERROR(__xludf.DUMMYFUNCTION("""COMPUTED_VALUE"""),"Rosana Machado De Oliveira | Letras Português/Inglês | Aprovada | Bianca: desformatação, planos de aulas anexados de forma incorreta //Bianca: aprovada: 30/07/2021")</f>
        <v>Rosana Machado De Oliveira | Letras Português/Inglês | Aprovada | Bianca: desformatação, planos de aulas anexados de forma incorreta //Bianca: aprovada: 30/07/2021</v>
      </c>
      <c r="B3562" s="93"/>
    </row>
    <row r="3563">
      <c r="A3563" s="384" t="str">
        <f>IFERROR(__xludf.DUMMYFUNCTION("""COMPUTED_VALUE"""),"Rosana Rufini |  | Aprovado | Mandei enviar pelo correio (17/11).")</f>
        <v>Rosana Rufini |  | Aprovado | Mandei enviar pelo correio (17/11).</v>
      </c>
      <c r="B3563" s="93"/>
    </row>
    <row r="3564">
      <c r="A3564" s="384" t="str">
        <f>IFERROR(__xludf.DUMMYFUNCTION("""COMPUTED_VALUE"""),"Rosane Da Silva Ribeiro | Letras - Português | Em análise | Júnio: remoto antigo, 6,7% plágio, faltam 10 planos de aulas e etapa 4")</f>
        <v>Rosane Da Silva Ribeiro | Letras - Português | Em análise | Júnio: remoto antigo, 6,7% plágio, faltam 10 planos de aulas e etapa 4</v>
      </c>
      <c r="B3564" s="93"/>
    </row>
    <row r="3565">
      <c r="A3565" s="384" t="str">
        <f>IFERROR(__xludf.DUMMYFUNCTION("""COMPUTED_VALUE"""),"Rosane De Souza Pereira | Pedagogia | Aprovada  | Júnio: PP - falta a etapa 2./Alexsiane: aprovada no pp")</f>
        <v>Rosane De Souza Pereira | Pedagogia | Aprovada  | Júnio: PP - falta a etapa 2./Alexsiane: aprovada no pp</v>
      </c>
      <c r="B3565" s="93"/>
    </row>
    <row r="3566">
      <c r="A3566" s="384" t="str">
        <f>IFERROR(__xludf.DUMMYFUNCTION("""COMPUTED_VALUE"""),"Rosane Hallak Félix |  | Pré-aprovado | Faltam assinaturas para o envio digital definitivo, com as declarações em anexo.")</f>
        <v>Rosane Hallak Félix |  | Pré-aprovado | Faltam assinaturas para o envio digital definitivo, com as declarações em anexo.</v>
      </c>
      <c r="B3566" s="93"/>
    </row>
    <row r="3567">
      <c r="A3567" s="384" t="str">
        <f>IFERROR(__xludf.DUMMYFUNCTION("""COMPUTED_VALUE"""),"Rosanea Beatriz Borges | Pedagogia | Aprovada  | Lucas: Etapas 1, 2 e 3 OK. Falta etapa 4 do remoto antigo (Aluna da JACAD)// Bárbara: aprovada 25/05/2022")</f>
        <v>Rosanea Beatriz Borges | Pedagogia | Aprovada  | Lucas: Etapas 1, 2 e 3 OK. Falta etapa 4 do remoto antigo (Aluna da JACAD)// Bárbara: aprovada 25/05/2022</v>
      </c>
      <c r="B3567" s="93"/>
    </row>
    <row r="3568">
      <c r="A3568" s="384" t="str">
        <f>IFERROR(__xludf.DUMMYFUNCTION("""COMPUTED_VALUE"""),"Rosangela Betanin Santos Leal | Matemática | Aprovada | Bárbara: entrregou relatório do estágio padrão, contudo apenas 50 horas, solicitei complementação de 150. (ela vai chamar, se reclamar demais, oferece TCE remoto complementando com as 3 primeiras eta"&amp;"pas do relatório. //Júnio: aprovada: 07/07/22 //Júnio: conferido e arquivado: 05/08/2022")</f>
        <v>Rosangela Betanin Santos Leal | Matemática | Aprovada | Bárbara: entrregou relatório do estágio padrão, contudo apenas 50 horas, solicitei complementação de 150. (ela vai chamar, se reclamar demais, oferece TCE remoto complementando com as 3 primeiras etapas do relatório. //Júnio: aprovada: 07/07/22 //Júnio: conferido e arquivado: 05/08/2022</v>
      </c>
      <c r="B3568" s="93"/>
    </row>
    <row r="3569">
      <c r="A3569" s="384" t="str">
        <f>IFERROR(__xludf.DUMMYFUNCTION("""COMPUTED_VALUE"""),"Rosângela Cristina De Souza Silva | Pedagogia | Em análise | Carla: PP está faltando carta de apresentação da 2ª etapa. Terá até dia 29/02/24 para enviar")</f>
        <v>Rosângela Cristina De Souza Silva | Pedagogia | Em análise | Carla: PP está faltando carta de apresentação da 2ª etapa. Terá até dia 29/02/24 para enviar</v>
      </c>
      <c r="B3569" s="93"/>
    </row>
    <row r="3570">
      <c r="A3570" s="384" t="str">
        <f>IFERROR(__xludf.DUMMYFUNCTION("""COMPUTED_VALUE"""),"Rosângela Dias Gouvêa Rodrigues | Pedagogia | Aprovada | Lucas: Complementar a ficha de registro e recolher as assinaturas da mesma //Aprovada no remto atualizado //Júnio: conferida e arquivada: 01/06/22")</f>
        <v>Rosângela Dias Gouvêa Rodrigues | Pedagogia | Aprovada | Lucas: Complementar a ficha de registro e recolher as assinaturas da mesma //Aprovada no remto atualizado //Júnio: conferida e arquivada: 01/06/22</v>
      </c>
      <c r="B3570" s="93"/>
    </row>
    <row r="3571">
      <c r="A3571" s="384" t="str">
        <f>IFERROR(__xludf.DUMMYFUNCTION("""COMPUTED_VALUE"""),"Rosângela Fernandes Mendonça | Artes Visuais | Aprovada  | Alexsiane: 20% de plágio e complementar os planos de aula com mais 10 para enterar os 20 planos ate dia 29/12 reenviar/// Edilaine: Aprovada 03/01/2023")</f>
        <v>Rosângela Fernandes Mendonça | Artes Visuais | Aprovada  | Alexsiane: 20% de plágio e complementar os planos de aula com mais 10 para enterar os 20 planos ate dia 29/12 reenviar/// Edilaine: Aprovada 03/01/2023</v>
      </c>
      <c r="B3571" s="93"/>
    </row>
    <row r="3572">
      <c r="A3572" s="384" t="str">
        <f>IFERROR(__xludf.DUMMYFUNCTION("""COMPUTED_VALUE"""),"Rosângela Fernandes Petti | Letras Por | Aprovada | Bárbara: aprovado etapas 1,2 e 3 do remoto, e apresentou declaração de experi~encia válida")</f>
        <v>Rosângela Fernandes Petti | Letras Por | Aprovada | Bárbara: aprovado etapas 1,2 e 3 do remoto, e apresentou declaração de experi~encia válida</v>
      </c>
      <c r="B3572" s="93"/>
    </row>
    <row r="3573">
      <c r="A3573" s="384" t="str">
        <f>IFERROR(__xludf.DUMMYFUNCTION("""COMPUTED_VALUE"""),"Rosangela Gonçalves Da Silva | Matemática | Aprovada | Alexsiane: 6,57% de plágio até dia 21/04/2022 para reenviar //Júnio: aprovada: 13/05")</f>
        <v>Rosangela Gonçalves Da Silva | Matemática | Aprovada | Alexsiane: 6,57% de plágio até dia 21/04/2022 para reenviar //Júnio: aprovada: 13/05</v>
      </c>
      <c r="B3573" s="93"/>
    </row>
    <row r="3574">
      <c r="A3574" s="384" t="str">
        <f>IFERROR(__xludf.DUMMYFUNCTION("""COMPUTED_VALUE"""),"Rosangela Lucio Correia De Morais | Neuropsicopedagogia Institucional,Clínica E Hospitalar | aprovada | Edilaine: Tem que fazer os seguintes tópicos: escola, relacionamento, aptidões e dificuldades. Objetivo do estágio. Estratégias desenvolvidas, atividad"&amp;"es, relatório das ações, sugestões de estratégias de intervenção, síntese de conclusão do caso e avaliação pedagógica. Tem que especificar o tipo de acompanhamento, corrigir a carga horária diária que ultrapassou as 6 horas exigidas, tem que especificar a"&amp;"s datas e os horários que estão faltando. Não foi possível somar a carga horária. Tem até 10/02/2023 para reenviar.// Alexsiane: aprovada com lançamento no sponte 21/03/2023")</f>
        <v>Rosangela Lucio Correia De Morais | Neuropsicopedagogia Institucional,Clínica E Hospitalar | aprovada | Edilaine: Tem que fazer os seguintes tópicos: escola, relacionamento, aptidões e dificuldades. Objetivo do estágio. Estratégias desenvolvidas, atividades, relatório das ações, sugestões de estratégias de intervenção, síntese de conclusão do caso e avaliação pedagógica. Tem que especificar o tipo de acompanhamento, corrigir a carga horária diária que ultrapassou as 6 horas exigidas, tem que especificar as datas e os horários que estão faltando. Não foi possível somar a carga horária. Tem até 10/02/2023 para reenviar.// Alexsiane: aprovada com lançamento no sponte 21/03/2023</v>
      </c>
      <c r="B3574" s="93"/>
    </row>
    <row r="3575">
      <c r="A3575" s="384" t="str">
        <f>IFERROR(__xludf.DUMMYFUNCTION("""COMPUTED_VALUE"""),"Rosangela Machado |  | aprovada | Júnio: conferido e arquivado: 10/12/2021")</f>
        <v>Rosangela Machado |  | aprovada | Júnio: conferido e arquivado: 10/12/2021</v>
      </c>
      <c r="B3575" s="93"/>
    </row>
    <row r="3576">
      <c r="A3576" s="384" t="str">
        <f>IFERROR(__xludf.DUMMYFUNCTION("""COMPUTED_VALUE"""),"Rosângela Maria Oliveira Santos | Neuropsicopedagogia Instittucional Clínica E Hospitalar | Aprovado | Júnio: fazer considerações finais // Lucas: Aprovado e anexado ao Sponte")</f>
        <v>Rosângela Maria Oliveira Santos | Neuropsicopedagogia Instittucional Clínica E Hospitalar | Aprovado | Júnio: fazer considerações finais // Lucas: Aprovado e anexado ao Sponte</v>
      </c>
      <c r="B3576" s="93"/>
    </row>
    <row r="3577">
      <c r="A3577" s="384" t="str">
        <f>IFERROR(__xludf.DUMMYFUNCTION("""COMPUTED_VALUE"""),"Rosangela Martins De Paiva Soares | Letras Port. Ing. | Aprovado | Thiara: aprovado recebido dia 12/08/2019")</f>
        <v>Rosangela Martins De Paiva Soares | Letras Port. Ing. | Aprovado | Thiara: aprovado recebido dia 12/08/2019</v>
      </c>
      <c r="B3577" s="93"/>
    </row>
    <row r="3578">
      <c r="A3578" s="384" t="str">
        <f>IFERROR(__xludf.DUMMYFUNCTION("""COMPUTED_VALUE"""),"Rosângela Martins De Paiva Soares | Psicopedagogia Institucional E Clínica | Aprovada | Bianca: aprovada com lançamento no Sponte //Júnio: conferido e arquivado: 18/08/21")</f>
        <v>Rosângela Martins De Paiva Soares | Psicopedagogia Institucional E Clínica | Aprovada | Bianca: aprovada com lançamento no Sponte //Júnio: conferido e arquivado: 18/08/21</v>
      </c>
      <c r="B3578" s="93"/>
    </row>
    <row r="3579">
      <c r="A3579" s="384" t="str">
        <f>IFERROR(__xludf.DUMMYFUNCTION("""COMPUTED_VALUE"""),"Rosângela Menezes De Souza | Artes Visuais | Aprovada | Júnio: PP- falta recolher assinatura e carimbo da carta de apresentação. //Júnio: aprovada: 22/12/23")</f>
        <v>Rosângela Menezes De Souza | Artes Visuais | Aprovada | Júnio: PP- falta recolher assinatura e carimbo da carta de apresentação. //Júnio: aprovada: 22/12/23</v>
      </c>
      <c r="B3579" s="93"/>
    </row>
    <row r="3580">
      <c r="A3580" s="384" t="str">
        <f>IFERROR(__xludf.DUMMYFUNCTION("""COMPUTED_VALUE"""),"Rosângela Onofre Batista | Pedagogia | Aprovada | Bárbara: aprovada nas 3 primeiras etapas do remoto // Bárbara: aprovada 4ª etapa 28/01/2021")</f>
        <v>Rosângela Onofre Batista | Pedagogia | Aprovada | Bárbara: aprovada nas 3 primeiras etapas do remoto // Bárbara: aprovada 4ª etapa 28/01/2021</v>
      </c>
      <c r="B3580" s="93"/>
    </row>
    <row r="3581">
      <c r="A3581" s="384" t="str">
        <f>IFERROR(__xludf.DUMMYFUNCTION("""COMPUTED_VALUE"""),"Rosangela Ribeiro Do Prado Costa | Biologia | Aprovada | Bárbara: trabalho todo desformatado, 11% plágio, falta elementos pré e pós textuais, não entregou a 4ª etapa ainda //// Edilaine: Aprovada 17/04")</f>
        <v>Rosangela Ribeiro Do Prado Costa | Biologia | Aprovada | Bárbara: trabalho todo desformatado, 11% plágio, falta elementos pré e pós textuais, não entregou a 4ª etapa ainda //// Edilaine: Aprovada 17/04</v>
      </c>
      <c r="B3581" s="93"/>
    </row>
    <row r="3582">
      <c r="A3582" s="384" t="str">
        <f>IFERROR(__xludf.DUMMYFUNCTION("""COMPUTED_VALUE"""),"Rosângela Rodrigues Martins | Pedagogia | Aprovada | Bianca: aprovada nas 4 etapas do remoto // / Bárbara: conferido e arquivado 22/03/2021")</f>
        <v>Rosângela Rodrigues Martins | Pedagogia | Aprovada | Bianca: aprovada nas 4 etapas do remoto // / Bárbara: conferido e arquivado 22/03/2021</v>
      </c>
      <c r="B3582" s="93"/>
    </row>
    <row r="3583">
      <c r="A3583" s="384" t="str">
        <f>IFERROR(__xludf.DUMMYFUNCTION("""COMPUTED_VALUE"""),"Rosangela Santos | Pedagogia | Aprovada | Alexsiane: complementar as fichas de registro com mais 8 horas, declaração válida, e corrigir a ficha igual. restante ok e sem plágio //Júnio: aprovada: 05/10/23")</f>
        <v>Rosangela Santos | Pedagogia | Aprovada | Alexsiane: complementar as fichas de registro com mais 8 horas, declaração válida, e corrigir a ficha igual. restante ok e sem plágio //Júnio: aprovada: 05/10/23</v>
      </c>
      <c r="B3583" s="93"/>
    </row>
    <row r="3584">
      <c r="A3584" s="384" t="str">
        <f>IFERROR(__xludf.DUMMYFUNCTION("""COMPUTED_VALUE"""),"Rosangela Sousa Da Silva | Geografia | Aprovada | Bianca: faltam 18 planos de aulas e fichas de registros. //Júnio: aprovada: 07/01/22")</f>
        <v>Rosangela Sousa Da Silva | Geografia | Aprovada | Bianca: faltam 18 planos de aulas e fichas de registros. //Júnio: aprovada: 07/01/22</v>
      </c>
      <c r="B3584" s="93"/>
    </row>
    <row r="3585">
      <c r="A3585" s="384" t="str">
        <f>IFERROR(__xludf.DUMMYFUNCTION("""COMPUTED_VALUE"""),"Rosangela Tresel | Pedagogia | Aprovada  | Bianca: Faltam fichas de registro.// Bárbara: aprovada 15/02/2022 //Júnio:conferida e arquivada: 03/03/22")</f>
        <v>Rosangela Tresel | Pedagogia | Aprovada  | Bianca: Faltam fichas de registro.// Bárbara: aprovada 15/02/2022 //Júnio:conferida e arquivada: 03/03/22</v>
      </c>
      <c r="B3585" s="93"/>
    </row>
    <row r="3586">
      <c r="A3586" s="384" t="str">
        <f>IFERROR(__xludf.DUMMYFUNCTION("""COMPUTED_VALUE"""),"Rosangela Zimmermann | Geografia | Aprovada  | Bianca: apresentou apenas 4 planos de aulas// Bárbara: aprovada 21/06/2022")</f>
        <v>Rosangela Zimmermann | Geografia | Aprovada  | Bianca: apresentou apenas 4 planos de aulas// Bárbara: aprovada 21/06/2022</v>
      </c>
      <c r="B3586" s="93"/>
    </row>
    <row r="3587">
      <c r="A3587" s="384" t="str">
        <f>IFERROR(__xludf.DUMMYFUNCTION("""COMPUTED_VALUE"""),"Rosani Aparecida Da Silva Kola | Artes Visuais | Aprovada | Bianca: enviou apenas etapa 2, aguardando as demais etapas //Júnio: aprovada: 12/08/22")</f>
        <v>Rosani Aparecida Da Silva Kola | Artes Visuais | Aprovada | Bianca: enviou apenas etapa 2, aguardando as demais etapas //Júnio: aprovada: 12/08/22</v>
      </c>
      <c r="B3587" s="93"/>
    </row>
    <row r="3588">
      <c r="A3588" s="384" t="str">
        <f>IFERROR(__xludf.DUMMYFUNCTION("""COMPUTED_VALUE"""),"Rosani Gonçalves Da Rosa | Pedagogia | Aprovada | Júnio: PP aprovada")</f>
        <v>Rosani Gonçalves Da Rosa | Pedagogia | Aprovada | Júnio: PP aprovada</v>
      </c>
      <c r="B3588" s="93"/>
    </row>
    <row r="3589">
      <c r="A3589" s="384" t="str">
        <f>IFERROR(__xludf.DUMMYFUNCTION("""COMPUTED_VALUE"""),"Rosária Aparecida Pinto | Pedagogia | Aprovada | Bárbara: aprovado em todas as etapas")</f>
        <v>Rosária Aparecida Pinto | Pedagogia | Aprovada | Bárbara: aprovado em todas as etapas</v>
      </c>
      <c r="B3589" s="93"/>
    </row>
    <row r="3590">
      <c r="A3590" s="384" t="str">
        <f>IFERROR(__xludf.DUMMYFUNCTION("""COMPUTED_VALUE"""),"Rose Batista De Souza | Pedagogia | Em análise | Júnio: PP - falta a etapa 2.")</f>
        <v>Rose Batista De Souza | Pedagogia | Em análise | Júnio: PP - falta a etapa 2.</v>
      </c>
      <c r="B3590" s="93"/>
    </row>
    <row r="3591">
      <c r="A3591" s="384" t="str">
        <f>IFERROR(__xludf.DUMMYFUNCTION("""COMPUTED_VALUE"""),"Roseane De Oliveira | Pedagogia | Aprovada | Alexsiane: pp aprovado")</f>
        <v>Roseane De Oliveira | Pedagogia | Aprovada | Alexsiane: pp aprovado</v>
      </c>
      <c r="B3591" s="93"/>
    </row>
    <row r="3592">
      <c r="A3592" s="384" t="str">
        <f>IFERROR(__xludf.DUMMYFUNCTION("""COMPUTED_VALUE"""),"Roseli Aparecida Da Silva Gomes | Letras Português | Aprovado | Alexsiane: Enviou só declaração de experiência. Estágio padrão 200H//  Alexsiane: Pré aprovado com lançamento no sponte //Júnio: físico conferido e aarquivado: 29/09/22")</f>
        <v>Roseli Aparecida Da Silva Gomes | Letras Português | Aprovado | Alexsiane: Enviou só declaração de experiência. Estágio padrão 200H//  Alexsiane: Pré aprovado com lançamento no sponte //Júnio: físico conferido e aarquivado: 29/09/22</v>
      </c>
      <c r="B3592" s="93"/>
    </row>
    <row r="3593">
      <c r="A3593" s="384" t="str">
        <f>IFERROR(__xludf.DUMMYFUNCTION("""COMPUTED_VALUE"""),"Roseli Aparecida De Assis | Pedagogia | Aprovado | Juninho/Alexsiane: falta 2° etapa das pp//Alexsiane: pp aprovado")</f>
        <v>Roseli Aparecida De Assis | Pedagogia | Aprovado | Juninho/Alexsiane: falta 2° etapa das pp//Alexsiane: pp aprovado</v>
      </c>
      <c r="B3593" s="93"/>
    </row>
    <row r="3594">
      <c r="A3594" s="384" t="str">
        <f>IFERROR(__xludf.DUMMYFUNCTION("""COMPUTED_VALUE"""),"Roseli Bastos De Melo Pinto Da Cruz | Pedagogia | Aprovada | Ana Flávia: aprovado nas 3 primeiras etapas do remoto. // Bárbara: aprovada 14/01/2021")</f>
        <v>Roseli Bastos De Melo Pinto Da Cruz | Pedagogia | Aprovada | Ana Flávia: aprovado nas 3 primeiras etapas do remoto. // Bárbara: aprovada 14/01/2021</v>
      </c>
      <c r="B3594" s="93"/>
    </row>
    <row r="3595">
      <c r="A3595" s="384" t="str">
        <f>IFERROR(__xludf.DUMMYFUNCTION("""COMPUTED_VALUE"""),"Roseli De Araújo Lima |  | Aprovado | Mandei enviar pelo correio. Ex-aluna do Ipemig. Ana autorizou que ela envie a pasta dela do jeito que está, com 97 horas e com a logomarca do ipemig. Com relação as horas faltantes, elas serão compensadas pelos certif"&amp;"icados que ela enviou em anexo (13/11).")</f>
        <v>Roseli De Araújo Lima |  | Aprovado | Mandei enviar pelo correio. Ex-aluna do Ipemig. Ana autorizou que ela envie a pasta dela do jeito que está, com 97 horas e com a logomarca do ipemig. Com relação as horas faltantes, elas serão compensadas pelos certificados que ela enviou em anexo (13/11).</v>
      </c>
      <c r="B3595" s="93"/>
    </row>
    <row r="3596">
      <c r="A3596" s="384" t="str">
        <f>IFERROR(__xludf.DUMMYFUNCTION("""COMPUTED_VALUE"""),"Roseli Neonilia Moreira Baldino | Artes Visuais | Aprovada | Amélia: aprovada nas 3 etapas teóricas + 4ª etapa no remoto novo")</f>
        <v>Roseli Neonilia Moreira Baldino | Artes Visuais | Aprovada | Amélia: aprovada nas 3 etapas teóricas + 4ª etapa no remoto novo</v>
      </c>
      <c r="B3596" s="93"/>
    </row>
    <row r="3597">
      <c r="A3597" s="384" t="str">
        <f>IFERROR(__xludf.DUMMYFUNCTION("""COMPUTED_VALUE"""),"Rosely Odete Da Rocha Lima | Formação Pedagógica Em Música | Aprovado | Rayssa.Falta carta de apresentação// Rayssa pp aprovado 13/09 protocolo 10489")</f>
        <v>Rosely Odete Da Rocha Lima | Formação Pedagógica Em Música | Aprovado | Rayssa.Falta carta de apresentação// Rayssa pp aprovado 13/09 protocolo 10489</v>
      </c>
      <c r="B3597" s="93"/>
    </row>
    <row r="3598">
      <c r="A3598" s="384" t="str">
        <f>IFERROR(__xludf.DUMMYFUNCTION("""COMPUTED_VALUE"""),"Rosemari De Souza | Letras Português-Inglês | Aprovada | Alexsiane: falta etapa 3, carta de apresentação, termo de conclusão e colocar nas fichas o tema das atividades diária. até dia 09/06/2022 para reenviar // Alexsiane: pré aprovada 05/08/20222- autori"&amp;"zada enviar o físico  //Júnio: físico conferido e arquivado: 15/08/22")</f>
        <v>Rosemari De Souza | Letras Português-Inglês | Aprovada | Alexsiane: falta etapa 3, carta de apresentação, termo de conclusão e colocar nas fichas o tema das atividades diária. até dia 09/06/2022 para reenviar // Alexsiane: pré aprovada 05/08/20222- autorizada enviar o físico  //Júnio: físico conferido e arquivado: 15/08/22</v>
      </c>
      <c r="B3598" s="93"/>
    </row>
    <row r="3599">
      <c r="A3599" s="384" t="str">
        <f>IFERROR(__xludf.DUMMYFUNCTION("""COMPUTED_VALUE"""),"Rosemary Araújo | Pedagogia | Aprovada | Thiara: enviou 228 horas de observação e plano de aula.//Aline Silva: Aprovada dia 08/01/2020// Miryã: conferido e arquivado 12/03/2021")</f>
        <v>Rosemary Araújo | Pedagogia | Aprovada | Thiara: enviou 228 horas de observação e plano de aula.//Aline Silva: Aprovada dia 08/01/2020// Miryã: conferido e arquivado 12/03/2021</v>
      </c>
      <c r="B3599" s="93"/>
    </row>
    <row r="3600">
      <c r="A3600" s="384" t="str">
        <f>IFERROR(__xludf.DUMMYFUNCTION("""COMPUTED_VALUE"""),"Rosemary Fernandes Botaro | Artes Visuais | Aprovada  | Bianca: aprovada nas 3 1° etapas do remoto antigo// Bárbara: aprovada na apresentação da 4ª etapa 08/12/2021 // //Júnio:conferido e arquivado: 14/01/2022")</f>
        <v>Rosemary Fernandes Botaro | Artes Visuais | Aprovada  | Bianca: aprovada nas 3 1° etapas do remoto antigo// Bárbara: aprovada na apresentação da 4ª etapa 08/12/2021 // //Júnio:conferido e arquivado: 14/01/2022</v>
      </c>
      <c r="B3600" s="93"/>
    </row>
    <row r="3601">
      <c r="A3601" s="384" t="str">
        <f>IFERROR(__xludf.DUMMYFUNCTION("""COMPUTED_VALUE"""),"Rosemberg Soares Tomás Da Rocha | Pedagogia | Aprovado | Júnio: falta carta de apresentação, termo de conclusão, relatório de regência, relatório de observação, plano de aula, conclusão, autoavaliação. Nas fichas precisa especificar o tipo de acompanhamen"&amp;"to e série, dias 03/01 a 30/03 precisa lançar de forma diária e vários dias estão ultrapassando o limite de 6 horas. //Júnio: aprovado: 23/11/23")</f>
        <v>Rosemberg Soares Tomás Da Rocha | Pedagogia | Aprovado | Júnio: falta carta de apresentação, termo de conclusão, relatório de regência, relatório de observação, plano de aula, conclusão, autoavaliação. Nas fichas precisa especificar o tipo de acompanhamento e série, dias 03/01 a 30/03 precisa lançar de forma diária e vários dias estão ultrapassando o limite de 6 horas. //Júnio: aprovado: 23/11/23</v>
      </c>
      <c r="B3601" s="93"/>
    </row>
    <row r="3602">
      <c r="A3602" s="384" t="str">
        <f>IFERROR(__xludf.DUMMYFUNCTION("""COMPUTED_VALUE"""),"Rosemeia Ferreira | Artes Visuais | Em análise | Júnio: Remoto Atualizado: autorizada a recolher assinatura do comprovante de experiência para isenção, consertar fichas de registro e fazer todo o resto.")</f>
        <v>Rosemeia Ferreira | Artes Visuais | Em análise | Júnio: Remoto Atualizado: autorizada a recolher assinatura do comprovante de experiência para isenção, consertar fichas de registro e fazer todo o resto.</v>
      </c>
      <c r="B3602" s="93"/>
    </row>
    <row r="3603">
      <c r="A3603" s="384" t="str">
        <f>IFERROR(__xludf.DUMMYFUNCTION("""COMPUTED_VALUE"""),"Rosemeire Cidreira Panato | Artes Visuais | Aprovada | Júnio: aprovada no remoto atualizado")</f>
        <v>Rosemeire Cidreira Panato | Artes Visuais | Aprovada | Júnio: aprovada no remoto atualizado</v>
      </c>
      <c r="B3603" s="93"/>
    </row>
    <row r="3604">
      <c r="A3604" s="384" t="str">
        <f>IFERROR(__xludf.DUMMYFUNCTION("""COMPUTED_VALUE"""),"Rosemeire Moreira De Castro | Geografia | Aprovada  | Júnio: autorizada a recolher assinaturas// Bárbara: aprovada 16/02/2022 //Júnio: conferido e arquivado: 17/05/22")</f>
        <v>Rosemeire Moreira De Castro | Geografia | Aprovada  | Júnio: autorizada a recolher assinaturas// Bárbara: aprovada 16/02/2022 //Júnio: conferido e arquivado: 17/05/22</v>
      </c>
      <c r="B3604" s="93"/>
    </row>
    <row r="3605">
      <c r="A3605" s="384" t="str">
        <f>IFERROR(__xludf.DUMMYFUNCTION("""COMPUTED_VALUE"""),"Rosemeire Moreira De Castro | Letras Português Inglês | Aprovada | Bianca: falta etapa 4 do remoto atualizado //Júnio: aprovada: 23/12/21 // Lucas: conferido e arquivado 04/01/2022")</f>
        <v>Rosemeire Moreira De Castro | Letras Português Inglês | Aprovada | Bianca: falta etapa 4 do remoto atualizado //Júnio: aprovada: 23/12/21 // Lucas: conferido e arquivado 04/01/2022</v>
      </c>
      <c r="B3605" s="93"/>
    </row>
    <row r="3606">
      <c r="A3606" s="384" t="str">
        <f>IFERROR(__xludf.DUMMYFUNCTION("""COMPUTED_VALUE"""),"Rosemery Issa Rizk Costa | Letras Português | Aprovada | Júnio: autorizada a recolher assinaturas. OBS: trabalho impecável, horas foram registrada em forma de hora-aula  //// Edilaine: Pré- aprovada com lançamento no Sponte 09/01/2023 // Pamela 13/01/2023"&amp;" Conferido e arquivado. ")</f>
        <v>Rosemery Issa Rizk Costa | Letras Português | Aprovada | Júnio: autorizada a recolher assinaturas. OBS: trabalho impecável, horas foram registrada em forma de hora-aula  //// Edilaine: Pré- aprovada com lançamento no Sponte 09/01/2023 // Pamela 13/01/2023 Conferido e arquivado. </v>
      </c>
      <c r="B3606" s="93"/>
    </row>
    <row r="3607">
      <c r="A3607" s="384" t="str">
        <f>IFERROR(__xludf.DUMMYFUNCTION("""COMPUTED_VALUE"""),"Rosemery Issa Rizk Costa | Educação Física | Em análise | Júnio: PP: enviar etapas dissertativas digitadas.")</f>
        <v>Rosemery Issa Rizk Costa | Educação Física | Em análise | Júnio: PP: enviar etapas dissertativas digitadas.</v>
      </c>
      <c r="B3607" s="93"/>
    </row>
    <row r="3608">
      <c r="A3608" s="384" t="str">
        <f>IFERROR(__xludf.DUMMYFUNCTION("""COMPUTED_VALUE"""),"Rosenete Lopes Dos Reis | História | Aprovada | Júnio: falta anexos da etapa 4 //Júnio:conferido e arquivado: 26/10/21")</f>
        <v>Rosenete Lopes Dos Reis | História | Aprovada | Júnio: falta anexos da etapa 4 //Júnio:conferido e arquivado: 26/10/21</v>
      </c>
      <c r="B3608" s="93"/>
    </row>
    <row r="3609">
      <c r="A3609" s="384" t="str">
        <f>IFERROR(__xludf.DUMMYFUNCTION("""COMPUTED_VALUE"""),"Rosenildo Da Silva Ramalho | Música | Aprovado | Júnio: TCE - faltam todas as etapas dissertativas //Júnio: aprovado: 16/11/2023")</f>
        <v>Rosenildo Da Silva Ramalho | Música | Aprovado | Júnio: TCE - faltam todas as etapas dissertativas //Júnio: aprovado: 16/11/2023</v>
      </c>
      <c r="B3609" s="93"/>
    </row>
    <row r="3610">
      <c r="A3610" s="384" t="str">
        <f>IFERROR(__xludf.DUMMYFUNCTION("""COMPUTED_VALUE"""),"Rosiane Araújo Do Nascimento Bernardes | Pedagogia | aprovada | Aline Silva: solicitei que recolhessem as assinaturas.// aprovada dia 08/07/2020// Bárbara: Conferido e arquivado em 16/09/2020")</f>
        <v>Rosiane Araújo Do Nascimento Bernardes | Pedagogia | aprovada | Aline Silva: solicitei que recolhessem as assinaturas.// aprovada dia 08/07/2020// Bárbara: Conferido e arquivado em 16/09/2020</v>
      </c>
      <c r="B3610" s="93"/>
    </row>
    <row r="3611">
      <c r="A3611" s="384" t="str">
        <f>IFERROR(__xludf.DUMMYFUNCTION("""COMPUTED_VALUE"""),"Rosiane Maria Barcelos Amaral Rodrigues | Pedagogia | Aprovada | Alexsiane: 23% de plágio, alguns planos de aula  iguais até dia 17/07 para reenviar // Edilaine: Aprovada no vídeo da 4° etapa")</f>
        <v>Rosiane Maria Barcelos Amaral Rodrigues | Pedagogia | Aprovada | Alexsiane: 23% de plágio, alguns planos de aula  iguais até dia 17/07 para reenviar // Edilaine: Aprovada no vídeo da 4° etapa</v>
      </c>
      <c r="B3611" s="93"/>
    </row>
    <row r="3612">
      <c r="A3612" s="384" t="str">
        <f>IFERROR(__xludf.DUMMYFUNCTION("""COMPUTED_VALUE"""),"Rosiane Nascimento Ribeiro | Pedagogia | Aprovada | Júnio: PP aprovada")</f>
        <v>Rosiane Nascimento Ribeiro | Pedagogia | Aprovada | Júnio: PP aprovada</v>
      </c>
      <c r="B3612" s="93"/>
    </row>
    <row r="3613">
      <c r="A3613" s="384" t="str">
        <f>IFERROR(__xludf.DUMMYFUNCTION("""COMPUTED_VALUE"""),"Rosiane Soares | Filosofia | Aprovado | APROVADO, em caráter emergencial, 27-08.")</f>
        <v>Rosiane Soares | Filosofia | Aprovado | APROVADO, em caráter emergencial, 27-08.</v>
      </c>
      <c r="B3613" s="93"/>
    </row>
    <row r="3614">
      <c r="A3614" s="384" t="str">
        <f>IFERROR(__xludf.DUMMYFUNCTION("""COMPUTED_VALUE"""),"Rosilandia Moreira De Souza Pinheiro | Artes Visuais | Em análise | Bárbara: aprovada nas 3 primeiras etapas do remoto, aguardando a 4")</f>
        <v>Rosilandia Moreira De Souza Pinheiro | Artes Visuais | Em análise | Bárbara: aprovada nas 3 primeiras etapas do remoto, aguardando a 4</v>
      </c>
      <c r="B3614" s="93"/>
    </row>
    <row r="3615">
      <c r="A3615" s="384" t="str">
        <f>IFERROR(__xludf.DUMMYFUNCTION("""COMPUTED_VALUE"""),"Rosilane Da Silva Maia De Almeida | Pedagogia | Aprovado | Alexsiane:aprovado com lançamento no sponte, passou para o remoto antigo.")</f>
        <v>Rosilane Da Silva Maia De Almeida | Pedagogia | Aprovado | Alexsiane:aprovado com lançamento no sponte, passou para o remoto antigo.</v>
      </c>
      <c r="B3615" s="93"/>
    </row>
    <row r="3616">
      <c r="A3616" s="384" t="str">
        <f>IFERROR(__xludf.DUMMYFUNCTION("""COMPUTED_VALUE"""),"Rosilda Porfirio Vilela | Música | Aprovada | Júnio: PP: falta etapa II e questionário //Júnio: pré aprovada: 12/07/23 //Júnio: aprovada: 24/07/23")</f>
        <v>Rosilda Porfirio Vilela | Música | Aprovada | Júnio: PP: falta etapa II e questionário //Júnio: pré aprovada: 12/07/23 //Júnio: aprovada: 24/07/23</v>
      </c>
      <c r="B3616" s="93"/>
    </row>
    <row r="3617">
      <c r="A3617" s="384" t="str">
        <f>IFERROR(__xludf.DUMMYFUNCTION("""COMPUTED_VALUE"""),"Rosilea Mara Da Silva | Pedagogia | Aprovada | Júnio: PP - 53% plágio e falta a carta. //Júnio: aprovada: 16/11/23")</f>
        <v>Rosilea Mara Da Silva | Pedagogia | Aprovada | Júnio: PP - 53% plágio e falta a carta. //Júnio: aprovada: 16/11/23</v>
      </c>
      <c r="B3617" s="93"/>
    </row>
    <row r="3618">
      <c r="A3618" s="384" t="str">
        <f>IFERROR(__xludf.DUMMYFUNCTION("""COMPUTED_VALUE"""),"Rosilea Mara Da Silva | Pedagogia Para Bacharéis | Em análise | Rayssa. Falta PPC")</f>
        <v>Rosilea Mara Da Silva | Pedagogia Para Bacharéis | Em análise | Rayssa. Falta PPC</v>
      </c>
      <c r="B3618" s="93"/>
    </row>
    <row r="3619">
      <c r="A3619" s="384" t="str">
        <f>IFERROR(__xludf.DUMMYFUNCTION("""COMPUTED_VALUE"""),"Rosilea Mara Da Silva | Pedagogia Para Bacharéis | Em análise | Rayssa falta PCC")</f>
        <v>Rosilea Mara Da Silva | Pedagogia Para Bacharéis | Em análise | Rayssa falta PCC</v>
      </c>
      <c r="B3619" s="93"/>
    </row>
    <row r="3620">
      <c r="A3620" s="384" t="str">
        <f>IFERROR(__xludf.DUMMYFUNCTION("""COMPUTED_VALUE"""),"Rosilene Ferreira De Araújo | Pedagogia | Aprovada  | Bianca: pedi para completar o trabalho na pasta padrão //Júnio: conferido e arquivado 10/12/2021 - enviou a pasta com as etapas 1,2 e3 tudo ok, aula será marcada com a tutoria para a 4ª parte// Bárbara"&amp;": aprovada na aula da 4ª etapa em 17/12/2021")</f>
        <v>Rosilene Ferreira De Araújo | Pedagogia | Aprovada  | Bianca: pedi para completar o trabalho na pasta padrão //Júnio: conferido e arquivado 10/12/2021 - enviou a pasta com as etapas 1,2 e3 tudo ok, aula será marcada com a tutoria para a 4ª parte// Bárbara: aprovada na aula da 4ª etapa em 17/12/2021</v>
      </c>
      <c r="B3620" s="93"/>
    </row>
    <row r="3621">
      <c r="A3621" s="384" t="str">
        <f>IFERROR(__xludf.DUMMYFUNCTION("""COMPUTED_VALUE"""),"Rosilene Reis De França De Paula | Neuropsicopedagogia Clínica E Hospitalar | Pré aprovada | Bárbara: aluna não mandou relatório, enviou apenas docoumentação e já assinada. Os três documentos estão corretos, contudo, a aluna realizou apenas 108 horas de c"&amp;"umprimento, solicitei a complementação OU  a apresentação de um comprovante de experiência para formalização das 50 horas, quando é o caso. Solicitei relatório. ")</f>
        <v>Rosilene Reis De França De Paula | Neuropsicopedagogia Clínica E Hospitalar | Pré aprovada | Bárbara: aluna não mandou relatório, enviou apenas docoumentação e já assinada. Os três documentos estão corretos, contudo, a aluna realizou apenas 108 horas de cumprimento, solicitei a complementação OU  a apresentação de um comprovante de experiência para formalização das 50 horas, quando é o caso. Solicitei relatório. </v>
      </c>
      <c r="B3621" s="93"/>
    </row>
    <row r="3622">
      <c r="A3622" s="384" t="str">
        <f>IFERROR(__xludf.DUMMYFUNCTION("""COMPUTED_VALUE"""),"Rosilene Reis De França De Paula | Pedagogia | Aprovada  | Bárbara: apresentou declração de experiência válida para isenção da 4ª etapa //Alexsiane: aprovado com lançamento  no sponte ( REMOTO ANTIGO)")</f>
        <v>Rosilene Reis De França De Paula | Pedagogia | Aprovada  | Bárbara: apresentou declração de experiência válida para isenção da 4ª etapa //Alexsiane: aprovado com lançamento  no sponte ( REMOTO ANTIGO)</v>
      </c>
      <c r="B3622" s="93"/>
    </row>
    <row r="3623">
      <c r="A3623" s="384" t="str">
        <f>IFERROR(__xludf.DUMMYFUNCTION("""COMPUTED_VALUE"""),"Rosimeia Ferreira | Artes Visuais | Em análise | Júnio: autorizada a recolher assinaturas das fichas, anexar carta de aceite e fazer a etapa 3")</f>
        <v>Rosimeia Ferreira | Artes Visuais | Em análise | Júnio: autorizada a recolher assinaturas das fichas, anexar carta de aceite e fazer a etapa 3</v>
      </c>
      <c r="B3623" s="93"/>
    </row>
    <row r="3624">
      <c r="A3624" s="384" t="str">
        <f>IFERROR(__xludf.DUMMYFUNCTION("""COMPUTED_VALUE"""),"Rosimeire Aparecida | Arteterapia | Aprovado | Alexsiane: estágio aprovado")</f>
        <v>Rosimeire Aparecida | Arteterapia | Aprovado | Alexsiane: estágio aprovado</v>
      </c>
      <c r="B3624" s="93"/>
    </row>
    <row r="3625">
      <c r="A3625" s="384" t="str">
        <f>IFERROR(__xludf.DUMMYFUNCTION("""COMPUTED_VALUE"""),"Rosimeire Justiniano Gomes | Neuropsicopedagogia Institucional, Clínica E Hospitalar | Aprovada | Edilaine: Tem que fazer os tópicos: Família, escola, relacionamento, aptidões e dificuldades, objetivo do estágio, queixo do professor, estrtégias desenvolvi"&amp;"das, atividades (xeros e fotos), relatório de ações, síntese de conclusão do caso e avaliação pedagógica.Tem que encaminhar a carta de encaminhamento de forma legível. Tem que corrigir o total de horas diária do dia 20/01. Tem que especificar o tipo de ac"&amp;"ompanhamento na última ficha. Pamela 02/03/2023 Liberada para fazer a tabelinha e autorizada não anexar atividades ou foto. //Alexsiane: pré aprovada, autorizada a autenticar //Júnio: aprovada 28/07/23")</f>
        <v>Rosimeire Justiniano Gomes | Neuropsicopedagogia Institucional, Clínica E Hospitalar | Aprovada | Edilaine: Tem que fazer os tópicos: Família, escola, relacionamento, aptidões e dificuldades, objetivo do estágio, queixo do professor, estrtégias desenvolvidas, atividades (xeros e fotos), relatório de ações, síntese de conclusão do caso e avaliação pedagógica.Tem que encaminhar a carta de encaminhamento de forma legível. Tem que corrigir o total de horas diária do dia 20/01. Tem que especificar o tipo de acompanhamento na última ficha. Pamela 02/03/2023 Liberada para fazer a tabelinha e autorizada não anexar atividades ou foto. //Alexsiane: pré aprovada, autorizada a autenticar //Júnio: aprovada 28/07/23</v>
      </c>
      <c r="B3625" s="93"/>
    </row>
    <row r="3626">
      <c r="A3626" s="384" t="str">
        <f>IFERROR(__xludf.DUMMYFUNCTION("""COMPUTED_VALUE"""),"Rosimeire Luiza Dias | Pedagogia | Aprovado | Alexsiane: Aprovado com lançamento no Sponte ( Estágio remoto antigo)  //Júnio: físico conferido e arquivado: 22/06/22")</f>
        <v>Rosimeire Luiza Dias | Pedagogia | Aprovado | Alexsiane: Aprovado com lançamento no Sponte ( Estágio remoto antigo)  //Júnio: físico conferido e arquivado: 22/06/22</v>
      </c>
      <c r="B3626" s="93"/>
    </row>
    <row r="3627">
      <c r="A3627" s="384" t="str">
        <f>IFERROR(__xludf.DUMMYFUNCTION("""COMPUTED_VALUE"""),"Rosimeire Marcos | Artes Visuais | Aprovado | Bianca: declaração de experiência válida pra 4ª etapa //Bianca: aprovada: 13/07/21")</f>
        <v>Rosimeire Marcos | Artes Visuais | Aprovado | Bianca: declaração de experiência válida pra 4ª etapa //Bianca: aprovada: 13/07/21</v>
      </c>
      <c r="B3627" s="93"/>
    </row>
    <row r="3628">
      <c r="A3628" s="384" t="str">
        <f>IFERROR(__xludf.DUMMYFUNCTION("""COMPUTED_VALUE"""),"Rosimeri Doroti De Oliveira Santana | Letras Espanhol | Aprovada | Alexsiane: enviou somente a declaração de experiência, falta todo o restante// Pamela 19/01/2023 Conferido e arquivado. ")</f>
        <v>Rosimeri Doroti De Oliveira Santana | Letras Espanhol | Aprovada | Alexsiane: enviou somente a declaração de experiência, falta todo o restante// Pamela 19/01/2023 Conferido e arquivado. </v>
      </c>
      <c r="B3628" s="93"/>
    </row>
    <row r="3629">
      <c r="A3629" s="384" t="str">
        <f>IFERROR(__xludf.DUMMYFUNCTION("""COMPUTED_VALUE"""),"Rosinalva Moreira Santos Bezerra | Pedagogia | Aprovada | Edilaine: Autorizada a recolher as assinaturas e falta fazer as partes dissertativas. /// Edilaine: Pré- aprovada 15/02/2023    /// Edilaine: Aprovada 17/02/2023")</f>
        <v>Rosinalva Moreira Santos Bezerra | Pedagogia | Aprovada | Edilaine: Autorizada a recolher as assinaturas e falta fazer as partes dissertativas. /// Edilaine: Pré- aprovada 15/02/2023    /// Edilaine: Aprovada 17/02/2023</v>
      </c>
      <c r="B3629" s="93"/>
    </row>
    <row r="3630">
      <c r="A3630" s="384" t="str">
        <f>IFERROR(__xludf.DUMMYFUNCTION("""COMPUTED_VALUE"""),"Rosineide Da Silva | Artes Visuais | Aprovada | Alexsiane: autorizada a recolher assinaturas. //Júnio: pre aprovada 15/05/23 //Júnio:  aprovada05/06/23")</f>
        <v>Rosineide Da Silva | Artes Visuais | Aprovada | Alexsiane: autorizada a recolher assinaturas. //Júnio: pre aprovada 15/05/23 //Júnio:  aprovada05/06/23</v>
      </c>
      <c r="B3630" s="93"/>
    </row>
    <row r="3631">
      <c r="A3631" s="384" t="str">
        <f>IFERROR(__xludf.DUMMYFUNCTION("""COMPUTED_VALUE"""),"Rosinete Viera Chaves | Letras Português | Aprovada  | Bianca: etapa da BNCC incompleta// Bianca: aprovada nas 4 etapas do remoto atualizado em 17/01/2021 //Júnio: conferido e arquivado: 28/01/22")</f>
        <v>Rosinete Viera Chaves | Letras Português | Aprovada  | Bianca: etapa da BNCC incompleta// Bianca: aprovada nas 4 etapas do remoto atualizado em 17/01/2021 //Júnio: conferido e arquivado: 28/01/22</v>
      </c>
      <c r="B3631" s="93"/>
    </row>
    <row r="3632">
      <c r="A3632" s="384" t="str">
        <f>IFERROR(__xludf.DUMMYFUNCTION("""COMPUTED_VALUE"""),"Rosivany Augusta De Souza Santos | Ciências Biológicas | Aprovado | Thiara: mandou somente parte da documentação e não enviou parte escrita. /// 29/08/2019 Enviou a parte escrita e aprovei. // recebido dia 04/12/2019")</f>
        <v>Rosivany Augusta De Souza Santos | Ciências Biológicas | Aprovado | Thiara: mandou somente parte da documentação e não enviou parte escrita. /// 29/08/2019 Enviou a parte escrita e aprovei. // recebido dia 04/12/2019</v>
      </c>
      <c r="B3632" s="93"/>
    </row>
    <row r="3633">
      <c r="A3633" s="384" t="str">
        <f>IFERROR(__xludf.DUMMYFUNCTION("""COMPUTED_VALUE"""),"Rosivany Augusta De Souza Santos | Pedagogia | Em análise | Júnio: PP - falta a etapa 2")</f>
        <v>Rosivany Augusta De Souza Santos | Pedagogia | Em análise | Júnio: PP - falta a etapa 2</v>
      </c>
      <c r="B3633" s="93"/>
    </row>
    <row r="3634">
      <c r="A3634" s="384" t="str">
        <f>IFERROR(__xludf.DUMMYFUNCTION("""COMPUTED_VALUE"""),"Roza Divina Silva | Artes Visuais | Aprovada | Bárbara: aluna enviou o trabalho físico sem a aprovação no e-mail. Aline me envioou o digitalizado e aprovei a aluna, mesmo na etapa 3 tendo apenas 12 planos. APROVADA// Miryã: conferido e arquivado 10/03/202"&amp;"1")</f>
        <v>Roza Divina Silva | Artes Visuais | Aprovada | Bárbara: aluna enviou o trabalho físico sem a aprovação no e-mail. Aline me envioou o digitalizado e aprovei a aluna, mesmo na etapa 3 tendo apenas 12 planos. APROVADA// Miryã: conferido e arquivado 10/03/2021</v>
      </c>
      <c r="B3634" s="93"/>
    </row>
    <row r="3635">
      <c r="A3635" s="384" t="str">
        <f>IFERROR(__xludf.DUMMYFUNCTION("""COMPUTED_VALUE"""),"Rozania Araújo Greco | Artes Visuais | Aprovada | //Júnio: conferido e arquivado: 16/06/2021")</f>
        <v>Rozania Araújo Greco | Artes Visuais | Aprovada | //Júnio: conferido e arquivado: 16/06/2021</v>
      </c>
      <c r="B3635" s="93"/>
    </row>
    <row r="3636">
      <c r="A3636" s="384" t="str">
        <f>IFERROR(__xludf.DUMMYFUNCTION("""COMPUTED_VALUE"""),"Rozilda Da Silva Dos Santos | Pedagogia | Aprovada | Alexsiane: pré aprovada com lançamento no sponte // Pâmela: recepcionado fisico, conferido e arquivado 12/09/22")</f>
        <v>Rozilda Da Silva Dos Santos | Pedagogia | Aprovada | Alexsiane: pré aprovada com lançamento no sponte // Pâmela: recepcionado fisico, conferido e arquivado 12/09/22</v>
      </c>
      <c r="B3636" s="93"/>
    </row>
    <row r="3637">
      <c r="A3637" s="384" t="str">
        <f>IFERROR(__xludf.DUMMYFUNCTION("""COMPUTED_VALUE"""),"Rozimere Da Silva | Pedagogia | Aprovada | Ana Flávia: plágio 30% // Bárbara: aprovada 29/01/2021")</f>
        <v>Rozimere Da Silva | Pedagogia | Aprovada | Ana Flávia: plágio 30% // Bárbara: aprovada 29/01/2021</v>
      </c>
      <c r="B3637" s="93"/>
    </row>
    <row r="3638">
      <c r="A3638" s="384" t="str">
        <f>IFERROR(__xludf.DUMMYFUNCTION("""COMPUTED_VALUE"""),"Ruan Bruno Goudinho Da Silva | Pedagogia | Aprovado | Alexsiane: 8%de plágio  até dia 20/05/2022 para reenviar.   Alexsiane: aprovado no remoto antigo com lançamento no Sponte")</f>
        <v>Ruan Bruno Goudinho Da Silva | Pedagogia | Aprovado | Alexsiane: 8%de plágio  até dia 20/05/2022 para reenviar.   Alexsiane: aprovado no remoto antigo com lançamento no Sponte</v>
      </c>
      <c r="B3638" s="93"/>
    </row>
    <row r="3639">
      <c r="A3639" s="384" t="str">
        <f>IFERROR(__xludf.DUMMYFUNCTION("""COMPUTED_VALUE"""),"Rubia Aparecida Costa Aráujo | Geografia | Aprovado | Thiara: A aluna fará curso no lugar do estágio.")</f>
        <v>Rubia Aparecida Costa Aráujo | Geografia | Aprovado | Thiara: A aluna fará curso no lugar do estágio.</v>
      </c>
      <c r="B3639" s="93"/>
    </row>
    <row r="3640">
      <c r="A3640" s="384" t="str">
        <f>IFERROR(__xludf.DUMMYFUNCTION("""COMPUTED_VALUE"""),"Rubia De Souza Silva | Filosofia | Aprovada | Júnio: remoto antigo - aluna transformou o TCC em estágio, terá que fazer todas as etapas do estágio - PRAZO 10 DIAS: corrigir até 28/02/22 //Aprovada no video: 03/06/22")</f>
        <v>Rubia De Souza Silva | Filosofia | Aprovada | Júnio: remoto antigo - aluna transformou o TCC em estágio, terá que fazer todas as etapas do estágio - PRAZO 10 DIAS: corrigir até 28/02/22 //Aprovada no video: 03/06/22</v>
      </c>
      <c r="B3640" s="93"/>
    </row>
    <row r="3641">
      <c r="A3641" s="384" t="str">
        <f>IFERROR(__xludf.DUMMYFUNCTION("""COMPUTED_VALUE"""),"Rúbia De Souza Silva | Artes Visuais | Aprovada | Júnio: PP aprovada")</f>
        <v>Rúbia De Souza Silva | Artes Visuais | Aprovada | Júnio: PP aprovada</v>
      </c>
      <c r="B3641" s="93"/>
    </row>
    <row r="3642">
      <c r="A3642" s="384" t="str">
        <f>IFERROR(__xludf.DUMMYFUNCTION("""COMPUTED_VALUE"""),"Rúbia Pereira Madeira | Pedagogia | Aprovada | Júnio: pelo guru declaração de experiência válida //Júnio: aprovada: 16/10/23")</f>
        <v>Rúbia Pereira Madeira | Pedagogia | Aprovada | Júnio: pelo guru declaração de experiência válida //Júnio: aprovada: 16/10/23</v>
      </c>
      <c r="B3642" s="93"/>
    </row>
    <row r="3643">
      <c r="A3643" s="384" t="str">
        <f>IFERROR(__xludf.DUMMYFUNCTION("""COMPUTED_VALUE"""),"Rui Dos Santos | Letras-Inglês | em análise | Alexsiane: enviar a entrevista em formato de pergunta e resposta e tem que complementar a primeira etapa com mais duas lauda, 06/09 reenviar")</f>
        <v>Rui Dos Santos | Letras-Inglês | em análise | Alexsiane: enviar a entrevista em formato de pergunta e resposta e tem que complementar a primeira etapa com mais duas lauda, 06/09 reenviar</v>
      </c>
      <c r="B3643" s="93"/>
    </row>
    <row r="3644">
      <c r="A3644" s="384" t="str">
        <f>IFERROR(__xludf.DUMMYFUNCTION("""COMPUTED_VALUE"""),"Rui Dos Santos | Segunda Licenciatura em Letras-Inglês | Aprovado | Rayssa: pp aprovado")</f>
        <v>Rui Dos Santos | Segunda Licenciatura em Letras-Inglês | Aprovado | Rayssa: pp aprovado</v>
      </c>
      <c r="B3644" s="93"/>
    </row>
    <row r="3645">
      <c r="A3645" s="384" t="str">
        <f>IFERROR(__xludf.DUMMYFUNCTION("""COMPUTED_VALUE"""),"Russian Liberato Ribeiro | Pedagogia | Aprovada | Júnio: PP - falta a carta// Alexsiane: Pp aprovado 06/02/2024")</f>
        <v>Russian Liberato Ribeiro | Pedagogia | Aprovada | Júnio: PP - falta a carta// Alexsiane: Pp aprovado 06/02/2024</v>
      </c>
      <c r="B3645" s="93"/>
    </row>
    <row r="3646">
      <c r="A3646" s="384" t="str">
        <f>IFERROR(__xludf.DUMMYFUNCTION("""COMPUTED_VALUE"""),"Russian Liberato Ribeiro | História | Aprovada | Alexsiane: trabalho igual ao de Pedagogia, 94,44% de similaridade//Alexsiane: aprovada no pp")</f>
        <v>Russian Liberato Ribeiro | História | Aprovada | Alexsiane: trabalho igual ao de Pedagogia, 94,44% de similaridade//Alexsiane: aprovada no pp</v>
      </c>
      <c r="B3646" s="93"/>
    </row>
    <row r="3647">
      <c r="A3647" s="384" t="str">
        <f>IFERROR(__xludf.DUMMYFUNCTION("""COMPUTED_VALUE"""),"Rute Dos Santos Oliveira | Pós-Graduação Em Neuropsicopedagogia | Aprovado | Rayssa pp aprovado")</f>
        <v>Rute Dos Santos Oliveira | Pós-Graduação Em Neuropsicopedagogia | Aprovado | Rayssa pp aprovado</v>
      </c>
      <c r="B3647" s="93"/>
    </row>
    <row r="3648">
      <c r="A3648" s="384" t="str">
        <f>IFERROR(__xludf.DUMMYFUNCTION("""COMPUTED_VALUE"""),"Ruth Mendes De Matos Privado | Pedagogia | Aprovada | Júnio: PP aprovada")</f>
        <v>Ruth Mendes De Matos Privado | Pedagogia | Aprovada | Júnio: PP aprovada</v>
      </c>
      <c r="B3648" s="93"/>
    </row>
    <row r="3649">
      <c r="A3649" s="384" t="str">
        <f>IFERROR(__xludf.DUMMYFUNCTION("""COMPUTED_VALUE"""),"Ruy Flávio Da Silva Júnior | Geografia | aprovado | Aline Silva: aprovado, solicitei que fizesse as referências.// Bárbara: conferido e arquivado 20/04/2021")</f>
        <v>Ruy Flávio Da Silva Júnior | Geografia | aprovado | Aline Silva: aprovado, solicitei que fizesse as referências.// Bárbara: conferido e arquivado 20/04/2021</v>
      </c>
      <c r="B3649" s="93"/>
    </row>
    <row r="3650">
      <c r="A3650" s="384" t="str">
        <f>IFERROR(__xludf.DUMMYFUNCTION("""COMPUTED_VALUE"""),"Sabrina Bautista Matos Cordeiro | Letras/Português-Inglês | Em  analise | Júnio: complementar a etapa I com mais páginas e falta a carimbo na carta de apresentação")</f>
        <v>Sabrina Bautista Matos Cordeiro | Letras/Português-Inglês | Em  analise | Júnio: complementar a etapa I com mais páginas e falta a carimbo na carta de apresentação</v>
      </c>
      <c r="B3650" s="93"/>
    </row>
    <row r="3651">
      <c r="A3651" s="384" t="str">
        <f>IFERROR(__xludf.DUMMYFUNCTION("""COMPUTED_VALUE"""),"Sabrina Da Silva Magalhães Martins | Artes Visuais | Aprovado | Alexsiane: pp aprovado")</f>
        <v>Sabrina Da Silva Magalhães Martins | Artes Visuais | Aprovado | Alexsiane: pp aprovado</v>
      </c>
      <c r="B3651" s="93"/>
    </row>
    <row r="3652">
      <c r="A3652" s="384" t="str">
        <f>IFERROR(__xludf.DUMMYFUNCTION("""COMPUTED_VALUE"""),"Sadi Benito Lenzi | Filosofia | aprovada | Bianca: Aprovada nas 4 etapas do remoto antigo")</f>
        <v>Sadi Benito Lenzi | Filosofia | aprovada | Bianca: Aprovada nas 4 etapas do remoto antigo</v>
      </c>
      <c r="B3652" s="93"/>
    </row>
    <row r="3653">
      <c r="A3653" s="384" t="str">
        <f>IFERROR(__xludf.DUMMYFUNCTION("""COMPUTED_VALUE"""),"Sadi Benito Lenzi | Psicopedagogia Clínica E Hospitalar | aprovado | Júnio: autorizada a recolher assinaturas//Alexsaine;aprovado com lançamento no sponte //Júnio: físico conferido e arquivado: 17/08/22")</f>
        <v>Sadi Benito Lenzi | Psicopedagogia Clínica E Hospitalar | aprovado | Júnio: autorizada a recolher assinaturas//Alexsaine;aprovado com lançamento no sponte //Júnio: físico conferido e arquivado: 17/08/22</v>
      </c>
      <c r="B3653" s="93"/>
    </row>
    <row r="3654">
      <c r="A3654" s="384" t="str">
        <f>IFERROR(__xludf.DUMMYFUNCTION("""COMPUTED_VALUE"""),"Saloed Correia Leandro | Formação Pedagógica Educação Física | Aprovado | Rayssa .Falta carta e Entrevista// Rayssa: pp aprovado 03/10/2024 protocolo 10872")</f>
        <v>Saloed Correia Leandro | Formação Pedagógica Educação Física | Aprovado | Rayssa .Falta carta e Entrevista// Rayssa: pp aprovado 03/10/2024 protocolo 10872</v>
      </c>
      <c r="B3654" s="93"/>
    </row>
    <row r="3655">
      <c r="A3655" s="384" t="str">
        <f>IFERROR(__xludf.DUMMYFUNCTION("""COMPUTED_VALUE"""),"Salomão Versoza De Souza | Artes Visuais | Aprovado | Alexsiane: falta relatórios de observação e regência e especificar nas fichas o tema e a série.// Alexsiane: Pré aprovado com lançamento no Jacad // Pâmela 19/12/2022 Conferido e arquivado. ")</f>
        <v>Salomão Versoza De Souza | Artes Visuais | Aprovado | Alexsiane: falta relatórios de observação e regência e especificar nas fichas o tema e a série.// Alexsiane: Pré aprovado com lançamento no Jacad // Pâmela 19/12/2022 Conferido e arquivado. </v>
      </c>
      <c r="B3655" s="93"/>
    </row>
    <row r="3656">
      <c r="A3656" s="384" t="str">
        <f>IFERROR(__xludf.DUMMYFUNCTION("""COMPUTED_VALUE"""),"Samantha Peixoto Rodrigues | Pedagogia | Aprovada | Bárbara: aprovada nas 3 primeiras etapas do remoto, aguardando a 4// Bárbara: aprovada 04/12/2020// Bárbara: conferido e arquivado 04/01/2021")</f>
        <v>Samantha Peixoto Rodrigues | Pedagogia | Aprovada | Bárbara: aprovada nas 3 primeiras etapas do remoto, aguardando a 4// Bárbara: aprovada 04/12/2020// Bárbara: conferido e arquivado 04/01/2021</v>
      </c>
      <c r="B3656" s="93"/>
    </row>
    <row r="3657">
      <c r="A3657" s="384" t="str">
        <f>IFERROR(__xludf.DUMMYFUNCTION("""COMPUTED_VALUE"""),"Samara Souza De Oliveira | Letras-Português/Inglês | Aprovada | Alexsiane: etapa 1,2,3ok, falta 4° etapa do remoto antigo /// Aprovada 09/01/2023")</f>
        <v>Samara Souza De Oliveira | Letras-Português/Inglês | Aprovada | Alexsiane: etapa 1,2,3ok, falta 4° etapa do remoto antigo /// Aprovada 09/01/2023</v>
      </c>
      <c r="B3657" s="93"/>
    </row>
    <row r="3658">
      <c r="A3658" s="384" t="str">
        <f>IFERROR(__xludf.DUMMYFUNCTION("""COMPUTED_VALUE"""),"Samaritana Da Mota Arruda | Pedagogia | Aprovada | Júnio: estágio padrão, consertar fichas.// Bárbara: aprovada 17/12/2021 //Júnio: conferida e eanexada: 14/01/2022")</f>
        <v>Samaritana Da Mota Arruda | Pedagogia | Aprovada | Júnio: estágio padrão, consertar fichas.// Bárbara: aprovada 17/12/2021 //Júnio: conferida e eanexada: 14/01/2022</v>
      </c>
      <c r="B3658" s="93"/>
    </row>
    <row r="3659">
      <c r="A3659" s="384" t="str">
        <f>IFERROR(__xludf.DUMMYFUNCTION("""COMPUTED_VALUE"""),"Samuel Allan Miranda Cruz | Geografia | Aprovado | Aline: aprovado")</f>
        <v>Samuel Allan Miranda Cruz | Geografia | Aprovado | Aline: aprovado</v>
      </c>
      <c r="B3659" s="93"/>
    </row>
    <row r="3660">
      <c r="A3660" s="384" t="str">
        <f>IFERROR(__xludf.DUMMYFUNCTION("""COMPUTED_VALUE"""),"Samuel Benedito Luz | Pedagogia | Aprovado | Júnio: autorizado a recolher assinaturas //Júnio: arquivado e anexado 08/10/21")</f>
        <v>Samuel Benedito Luz | Pedagogia | Aprovado | Júnio: autorizado a recolher assinaturas //Júnio: arquivado e anexado 08/10/21</v>
      </c>
      <c r="B3660" s="93"/>
    </row>
    <row r="3661">
      <c r="A3661" s="384" t="str">
        <f>IFERROR(__xludf.DUMMYFUNCTION("""COMPUTED_VALUE"""),"Samuel Benedito Luz | Ciências Da Religião | Aprovado | Júnio: PP: falta a carta e entrevista.")</f>
        <v>Samuel Benedito Luz | Ciências Da Religião | Aprovado | Júnio: PP: falta a carta e entrevista.</v>
      </c>
      <c r="B3661" s="93"/>
    </row>
    <row r="3662">
      <c r="A3662" s="384" t="str">
        <f>IFERROR(__xludf.DUMMYFUNCTION("""COMPUTED_VALUE"""),"Samuel Benedito Luz | Ciências Da Religião | Aprovado | Júnio - PP aprovado OBS: parecer nao foi enviado antes pois não foi avisado a tutoria que ele tinha regularizado")</f>
        <v>Samuel Benedito Luz | Ciências Da Religião | Aprovado | Júnio - PP aprovado OBS: parecer nao foi enviado antes pois não foi avisado a tutoria que ele tinha regularizado</v>
      </c>
      <c r="B3662" s="93"/>
    </row>
    <row r="3663">
      <c r="A3663" s="384" t="str">
        <f>IFERROR(__xludf.DUMMYFUNCTION("""COMPUTED_VALUE"""),"Samuel Braun Pereira Lima | Ed Física | Aprovado | Bianca: aprovada nas 3 primeiras etapas do remoto // Bianca: aprovada com lançamento no sponte")</f>
        <v>Samuel Braun Pereira Lima | Ed Física | Aprovado | Bianca: aprovada nas 3 primeiras etapas do remoto // Bianca: aprovada com lançamento no sponte</v>
      </c>
      <c r="B3663" s="93"/>
    </row>
    <row r="3664">
      <c r="A3664" s="384" t="str">
        <f>IFERROR(__xludf.DUMMYFUNCTION("""COMPUTED_VALUE"""),"Samuel Braun Pereira Lima | Pedagogia | aprovado | Aline Silva: sem formatação, fora do modelo padrão, sem termo de compromisso, sem descrever atividades, sem plano de aula e atividade executada.// Aline : aprovado dia 23/01/2020 falta colocar termo de co"&amp;"mpromisso.// Recebido dia 11/02/2020")</f>
        <v>Samuel Braun Pereira Lima | Pedagogia | aprovado | Aline Silva: sem formatação, fora do modelo padrão, sem termo de compromisso, sem descrever atividades, sem plano de aula e atividade executada.// Aline : aprovado dia 23/01/2020 falta colocar termo de compromisso.// Recebido dia 11/02/2020</v>
      </c>
      <c r="B3664" s="93"/>
    </row>
    <row r="3665">
      <c r="A3665" s="384" t="str">
        <f>IFERROR(__xludf.DUMMYFUNCTION("""COMPUTED_VALUE"""),"Samuel De Souza Monico Tavares | Música | Aprovado | Júnio: PP aprovado")</f>
        <v>Samuel De Souza Monico Tavares | Música | Aprovado | Júnio: PP aprovado</v>
      </c>
      <c r="B3665" s="93"/>
    </row>
    <row r="3666">
      <c r="A3666" s="384" t="str">
        <f>IFERROR(__xludf.DUMMYFUNCTION("""COMPUTED_VALUE"""),"Samuel Morais De Oliveira | Pedagogia | Em análise | Mariana : pp falta etapa 2")</f>
        <v>Samuel Morais De Oliveira | Pedagogia | Em análise | Mariana : pp falta etapa 2</v>
      </c>
      <c r="B3666" s="93"/>
    </row>
    <row r="3667">
      <c r="A3667" s="384" t="str">
        <f>IFERROR(__xludf.DUMMYFUNCTION("""COMPUTED_VALUE"""),"Sandra Alves Nascimento Silva | Pedagogia | Aprovada | Júnio: falta etapa 2, colocar total de horas nas fichas // Lucas: Aprovada no Estágio remoto atualizado")</f>
        <v>Sandra Alves Nascimento Silva | Pedagogia | Aprovada | Júnio: falta etapa 2, colocar total de horas nas fichas // Lucas: Aprovada no Estágio remoto atualizado</v>
      </c>
      <c r="B3667" s="93"/>
    </row>
    <row r="3668">
      <c r="A3668" s="384" t="str">
        <f>IFERROR(__xludf.DUMMYFUNCTION("""COMPUTED_VALUE"""),"Sandra Carvalho Costa | Neuropsicopedagogia Ins Cli E Hosp | Aprovada | Bárbara; parte teórica ok, autorizada a recolher assinatura, falta termo de conclusão. // Pamela 21/12/2022 Conferido e arquivado. ")</f>
        <v>Sandra Carvalho Costa | Neuropsicopedagogia Ins Cli E Hosp | Aprovada | Bárbara; parte teórica ok, autorizada a recolher assinatura, falta termo de conclusão. // Pamela 21/12/2022 Conferido e arquivado. </v>
      </c>
      <c r="B3668" s="93"/>
    </row>
    <row r="3669">
      <c r="A3669" s="384" t="str">
        <f>IFERROR(__xludf.DUMMYFUNCTION("""COMPUTED_VALUE"""),"Sandra Cristina Albertino Da Cruz | Pedagogia | Aprovada | Lucas: Aprovada no estagio remoto antigo ")</f>
        <v>Sandra Cristina Albertino Da Cruz | Pedagogia | Aprovada | Lucas: Aprovada no estagio remoto antigo </v>
      </c>
      <c r="B3669" s="93"/>
    </row>
    <row r="3670">
      <c r="A3670" s="384" t="str">
        <f>IFERROR(__xludf.DUMMYFUNCTION("""COMPUTED_VALUE"""),"Sandra Cristina Bradley De Souza Leão | Pedagogia | Aprovada | Lucas:  aprovada e anexada no Sponte (corrigido pela Bárbara)")</f>
        <v>Sandra Cristina Bradley De Souza Leão | Pedagogia | Aprovada | Lucas:  aprovada e anexada no Sponte (corrigido pela Bárbara)</v>
      </c>
      <c r="B3670" s="93"/>
    </row>
    <row r="3671">
      <c r="A3671" s="384" t="str">
        <f>IFERROR(__xludf.DUMMYFUNCTION("""COMPUTED_VALUE"""),"Sandra Eliane Leme Dos Santos | Letras Português -In | aprovado | Alexsiane: aprovado")</f>
        <v>Sandra Eliane Leme Dos Santos | Letras Português -In | aprovado | Alexsiane: aprovado</v>
      </c>
      <c r="B3671" s="93"/>
    </row>
    <row r="3672">
      <c r="A3672" s="384" t="str">
        <f>IFERROR(__xludf.DUMMYFUNCTION("""COMPUTED_VALUE"""),"Sandra Faciochi Krieser | Pedagogia | Aprovada | Bianca: aprovada nas 4 etapas do remoto antigo")</f>
        <v>Sandra Faciochi Krieser | Pedagogia | Aprovada | Bianca: aprovada nas 4 etapas do remoto antigo</v>
      </c>
      <c r="B3672" s="93"/>
    </row>
    <row r="3673">
      <c r="A3673" s="384" t="str">
        <f>IFERROR(__xludf.DUMMYFUNCTION("""COMPUTED_VALUE"""),"Sandra Freire De Souza | Geografia | Aprovada | Bárbara: aprovada em todas as etapas")</f>
        <v>Sandra Freire De Souza | Geografia | Aprovada | Bárbara: aprovada em todas as etapas</v>
      </c>
      <c r="B3673" s="93"/>
    </row>
    <row r="3674">
      <c r="A3674" s="384" t="str">
        <f>IFERROR(__xludf.DUMMYFUNCTION("""COMPUTED_VALUE"""),"Sandra Heringer Da Costa Almeida | Artes Visuais | Em análise | Júnio: 15% plágio, complementar as fichas, fazer relatorio de 2 páginas, conclusão e referencias")</f>
        <v>Sandra Heringer Da Costa Almeida | Artes Visuais | Em análise | Júnio: 15% plágio, complementar as fichas, fazer relatorio de 2 páginas, conclusão e referencias</v>
      </c>
      <c r="B3674" s="93"/>
    </row>
    <row r="3675">
      <c r="A3675" s="384" t="str">
        <f>IFERROR(__xludf.DUMMYFUNCTION("""COMPUTED_VALUE"""),"Sandra Mara Da Silva Sales | Artes Visuais | Aprovada  | Júnio: 15% plágio, complementar as fichas, fazer relatorio de 2 páginas, conclusão e referencias// Bárbara: aprovada e autorizada enviar físico 23/12/2021 //Júnio: conferido e arquivado: 28/01/22")</f>
        <v>Sandra Mara Da Silva Sales | Artes Visuais | Aprovada  | Júnio: 15% plágio, complementar as fichas, fazer relatorio de 2 páginas, conclusão e referencias// Bárbara: aprovada e autorizada enviar físico 23/12/2021 //Júnio: conferido e arquivado: 28/01/22</v>
      </c>
      <c r="B3675" s="93"/>
    </row>
    <row r="3676">
      <c r="A3676" s="384" t="str">
        <f>IFERROR(__xludf.DUMMYFUNCTION("""COMPUTED_VALUE"""),"Sandra Mara Neto | Pedagogia | Aprovada  | Bianca:  Falta sumário e etapa 3 // Bárbara: apresentou aula online, aprovada na 4ª etapa 15/09/2021  //Júnio: conferido e arquivado: 21/01/22")</f>
        <v>Sandra Mara Neto | Pedagogia | Aprovada  | Bianca:  Falta sumário e etapa 3 // Bárbara: apresentou aula online, aprovada na 4ª etapa 15/09/2021  //Júnio: conferido e arquivado: 21/01/22</v>
      </c>
      <c r="B3676" s="93"/>
    </row>
    <row r="3677">
      <c r="A3677" s="384" t="str">
        <f>IFERROR(__xludf.DUMMYFUNCTION("""COMPUTED_VALUE"""),"Sandra Marra Da Silva Oliveira | Artes Visuais | Em análise | Júnio: pelo guru declaração de experiência válida para isenção de 50% de observação e regência")</f>
        <v>Sandra Marra Da Silva Oliveira | Artes Visuais | Em análise | Júnio: pelo guru declaração de experiência válida para isenção de 50% de observação e regência</v>
      </c>
      <c r="B3677" s="93"/>
    </row>
    <row r="3678">
      <c r="A3678" s="384" t="str">
        <f>IFERROR(__xludf.DUMMYFUNCTION("""COMPUTED_VALUE"""),"Sandra Marra Da Silva Oliveira | Artes Visuais | Aprovada | Alexsiane: pp aprovado")</f>
        <v>Sandra Marra Da Silva Oliveira | Artes Visuais | Aprovada | Alexsiane: pp aprovado</v>
      </c>
      <c r="B3678" s="93"/>
    </row>
    <row r="3679">
      <c r="A3679" s="384" t="str">
        <f>IFERROR(__xludf.DUMMYFUNCTION("""COMPUTED_VALUE"""),"Sandra Regina Da Conceição | Educação Física | Aprovada | Bianca: enviou apenas capa, ficha de registro e relatório geral do remoto atualizado.// Alexsiane: pré aprovado com lançamento no sponte 27/10/2022 // Pâmela 07/11/2022 Conferido e arquivado .")</f>
        <v>Sandra Regina Da Conceição | Educação Física | Aprovada | Bianca: enviou apenas capa, ficha de registro e relatório geral do remoto atualizado.// Alexsiane: pré aprovado com lançamento no sponte 27/10/2022 // Pâmela 07/11/2022 Conferido e arquivado .</v>
      </c>
      <c r="B3679" s="93"/>
    </row>
    <row r="3680">
      <c r="A3680" s="384" t="str">
        <f>IFERROR(__xludf.DUMMYFUNCTION("""COMPUTED_VALUE"""),"Sandra Regina Faria Tuqueri | Neuropsicopedagia | Aprovada | Bárbara: trabalho ok, contudo, ficha de registro errada , resto ok// Bárbara: conferido e arquivado 14/09/2022")</f>
        <v>Sandra Regina Faria Tuqueri | Neuropsicopedagia | Aprovada | Bárbara: trabalho ok, contudo, ficha de registro errada , resto ok// Bárbara: conferido e arquivado 14/09/2022</v>
      </c>
      <c r="B3680" s="93"/>
    </row>
    <row r="3681">
      <c r="A3681" s="384" t="str">
        <f>IFERROR(__xludf.DUMMYFUNCTION("""COMPUTED_VALUE"""),"Sandra Ribeiro De Sousa Silva | Pedagogia | Aprovada | Alexsiane: tem que enviar o trabalho em word editável// Alexsiane: aprovado com lançamento no sponte ")</f>
        <v>Sandra Ribeiro De Sousa Silva | Pedagogia | Aprovada | Alexsiane: tem que enviar o trabalho em word editável// Alexsiane: aprovado com lançamento no sponte </v>
      </c>
      <c r="B3681" s="93"/>
    </row>
    <row r="3682">
      <c r="A3682" s="384" t="str">
        <f>IFERROR(__xludf.DUMMYFUNCTION("""COMPUTED_VALUE"""),"Sandra Valéria Da Silva | Educação Física | Aprovada | Bianca: aprovada nas 4 etapas do remoto")</f>
        <v>Sandra Valéria Da Silva | Educação Física | Aprovada | Bianca: aprovada nas 4 etapas do remoto</v>
      </c>
      <c r="B3682" s="93"/>
    </row>
    <row r="3683">
      <c r="A3683" s="384" t="str">
        <f>IFERROR(__xludf.DUMMYFUNCTION("""COMPUTED_VALUE"""),"Sandro Faccin Bartolazzo | Letras - Português Inglês | Aprovada | Bianca: apenas 4ª etapa correta, autorizado a recolher assinaturas //Bianca: aprovada: 06/05/21// Bárbara: conferido e arquivado 17/05/2021")</f>
        <v>Sandro Faccin Bartolazzo | Letras - Português Inglês | Aprovada | Bianca: apenas 4ª etapa correta, autorizado a recolher assinaturas //Bianca: aprovada: 06/05/21// Bárbara: conferido e arquivado 17/05/2021</v>
      </c>
      <c r="B3683" s="93"/>
    </row>
    <row r="3684">
      <c r="A3684" s="384" t="str">
        <f>IFERROR(__xludf.DUMMYFUNCTION("""COMPUTED_VALUE"""),"Sandro José De Oliveira Costa | Artes Visuais | Aprovado | Bianca: aprovada nas 3 primeiras etapas do remoto antigo //Bárbara: aprovado: 25/05/2021")</f>
        <v>Sandro José De Oliveira Costa | Artes Visuais | Aprovado | Bianca: aprovada nas 3 primeiras etapas do remoto antigo //Bárbara: aprovado: 25/05/2021</v>
      </c>
      <c r="B3684" s="93"/>
    </row>
    <row r="3685">
      <c r="A3685" s="384" t="str">
        <f>IFERROR(__xludf.DUMMYFUNCTION("""COMPUTED_VALUE"""),"Saneládia Leal Do Nascimento | Artes Visuais | Aprovado | Estella: estava incompleto, mas aluna reenviou e foi aprovado em 21/12/2018. Recebido 14/01/2019. Encadernado aqui em 16/01/2019.")</f>
        <v>Saneládia Leal Do Nascimento | Artes Visuais | Aprovado | Estella: estava incompleto, mas aluna reenviou e foi aprovado em 21/12/2018. Recebido 14/01/2019. Encadernado aqui em 16/01/2019.</v>
      </c>
      <c r="B3685" s="93"/>
    </row>
    <row r="3686">
      <c r="A3686" s="384" t="str">
        <f>IFERROR(__xludf.DUMMYFUNCTION("""COMPUTED_VALUE"""),"Santina Batista De Oliveira | Neuropsicopedagogia Instittucional Clínica E Hospitalar | Aprovada | Bianca: aprovada no estágio remoto")</f>
        <v>Santina Batista De Oliveira | Neuropsicopedagogia Instittucional Clínica E Hospitalar | Aprovada | Bianca: aprovada no estágio remoto</v>
      </c>
      <c r="B3686" s="93"/>
    </row>
    <row r="3687">
      <c r="A3687" s="384" t="str">
        <f>IFERROR(__xludf.DUMMYFUNCTION("""COMPUTED_VALUE"""),"Sara Cristina De Rossi | Artes Visuais | Aprovada | Alexsiane:7,91% de plágio, Falta termo de conclusão, carta de apresentação e as fichas de registro// Alexsiane: Pré aprovado com lançamento no Jacad // Pamela 08/12/2022 Conferido e arquivado. ")</f>
        <v>Sara Cristina De Rossi | Artes Visuais | Aprovada | Alexsiane:7,91% de plágio, Falta termo de conclusão, carta de apresentação e as fichas de registro// Alexsiane: Pré aprovado com lançamento no Jacad // Pamela 08/12/2022 Conferido e arquivado. </v>
      </c>
      <c r="B3687" s="93"/>
    </row>
    <row r="3688">
      <c r="A3688" s="384" t="str">
        <f>IFERROR(__xludf.DUMMYFUNCTION("""COMPUTED_VALUE"""),"Sara De Souza Caetano Rodrigues | Pedagogia | aprovada | Aline Silva: enviou todas as horas, falta a parte dissertativa do trabalho.// Aline Silva: aprovada dia 06/02/2020// Recebido dia 06/03/2020")</f>
        <v>Sara De Souza Caetano Rodrigues | Pedagogia | aprovada | Aline Silva: enviou todas as horas, falta a parte dissertativa do trabalho.// Aline Silva: aprovada dia 06/02/2020// Recebido dia 06/03/2020</v>
      </c>
      <c r="B3688" s="93"/>
    </row>
    <row r="3689">
      <c r="A3689" s="384" t="str">
        <f>IFERROR(__xludf.DUMMYFUNCTION("""COMPUTED_VALUE"""),"Sara Lindaiane Diniz Granado Simões | Educação Física | Aprovada | Alexsiane: 6% de plágio //Júnio: aprovada no video: 12/05/23")</f>
        <v>Sara Lindaiane Diniz Granado Simões | Educação Física | Aprovada | Alexsiane: 6% de plágio //Júnio: aprovada no video: 12/05/23</v>
      </c>
      <c r="B3689" s="93"/>
    </row>
    <row r="3690">
      <c r="A3690" s="384" t="str">
        <f>IFERROR(__xludf.DUMMYFUNCTION("""COMPUTED_VALUE"""),"Sara Miranda | Letras Inglês | Aprovada | Júnio: PP - 13% plágio e falta etapa 2. //Júnio: PP aprovada 10/10/23")</f>
        <v>Sara Miranda | Letras Inglês | Aprovada | Júnio: PP - 13% plágio e falta etapa 2. //Júnio: PP aprovada 10/10/23</v>
      </c>
      <c r="B3690" s="93"/>
    </row>
    <row r="3691">
      <c r="A3691" s="384" t="str">
        <f>IFERROR(__xludf.DUMMYFUNCTION("""COMPUTED_VALUE"""),"Sarah Estevão Da Costa Teixeira | Pedagogia | Aprovada | Júnio:PP - falta a carta e a entrevista//Alexsiane: pp aprovado 06/06/24")</f>
        <v>Sarah Estevão Da Costa Teixeira | Pedagogia | Aprovada | Júnio:PP - falta a carta e a entrevista//Alexsiane: pp aprovado 06/06/24</v>
      </c>
      <c r="B3691" s="93"/>
    </row>
    <row r="3692">
      <c r="A3692" s="384" t="str">
        <f>IFERROR(__xludf.DUMMYFUNCTION("""COMPUTED_VALUE"""),"Sarah Maria Cavalcante Teixeira Cordeiro | Artes Visuais | Aprovada | Bianca: aprovada nas 31ª etapas do remoto antigo //Júnio: físico conferido e arquivado: 08/06/22")</f>
        <v>Sarah Maria Cavalcante Teixeira Cordeiro | Artes Visuais | Aprovada | Bianca: aprovada nas 31ª etapas do remoto antigo //Júnio: físico conferido e arquivado: 08/06/22</v>
      </c>
      <c r="B3692" s="93"/>
    </row>
    <row r="3693">
      <c r="A3693" s="384" t="str">
        <f>IFERROR(__xludf.DUMMYFUNCTION("""COMPUTED_VALUE"""),"Sarah Victoria Yan Dias | Artes Visuais | Aprovada | Júnio: pré aprovada //Júnio: aprovada: 27/09/23")</f>
        <v>Sarah Victoria Yan Dias | Artes Visuais | Aprovada | Júnio: pré aprovada //Júnio: aprovada: 27/09/23</v>
      </c>
      <c r="B3693" s="93"/>
    </row>
    <row r="3694">
      <c r="A3694" s="384" t="str">
        <f>IFERROR(__xludf.DUMMYFUNCTION("""COMPUTED_VALUE"""),"Sarith Anischa Da Silva | Pedagogia | Aprovada | Júnio: remoto antigo, faltam 19 planos de aulas//Edilaine: Aprovada com lançamento no Sponte.")</f>
        <v>Sarith Anischa Da Silva | Pedagogia | Aprovada | Júnio: remoto antigo, faltam 19 planos de aulas//Edilaine: Aprovada com lançamento no Sponte.</v>
      </c>
      <c r="B3694" s="93"/>
    </row>
    <row r="3695">
      <c r="A3695" s="384" t="str">
        <f>IFERROR(__xludf.DUMMYFUNCTION("""COMPUTED_VALUE"""),"Saulo Augusto Macedo Faria Gontijo | Pedagogia | Aprovado  | Alexsiane: falta o vídeo da 4° etapa.// Bárbara: aprovado vídeo 26/05/22")</f>
        <v>Saulo Augusto Macedo Faria Gontijo | Pedagogia | Aprovado  | Alexsiane: falta o vídeo da 4° etapa.// Bárbara: aprovado vídeo 26/05/22</v>
      </c>
      <c r="B3695" s="93"/>
    </row>
    <row r="3696">
      <c r="A3696" s="384" t="str">
        <f>IFERROR(__xludf.DUMMYFUNCTION("""COMPUTED_VALUE"""),"Saulo De Jesus Gonçalves | Pedagogia | Aprovado  | Bárbara: aprovado estágio remoto atualizado, autorizado enviar físico. ")</f>
        <v>Saulo De Jesus Gonçalves | Pedagogia | Aprovado  | Bárbara: aprovado estágio remoto atualizado, autorizado enviar físico. </v>
      </c>
      <c r="B3696" s="93"/>
    </row>
    <row r="3697">
      <c r="A3697" s="384" t="str">
        <f>IFERROR(__xludf.DUMMYFUNCTION("""COMPUTED_VALUE"""),"Saulo Maciel Da Silva | Pedagogia | Aprovado | Bianca: aprovada nas 3 primeiras etapas do remoto atualizado // Bárbara: aprovada na quarta etapa// Bárbara: conferido e arquivado 21/05/2021")</f>
        <v>Saulo Maciel Da Silva | Pedagogia | Aprovado | Bianca: aprovada nas 3 primeiras etapas do remoto atualizado // Bárbara: aprovada na quarta etapa// Bárbara: conferido e arquivado 21/05/2021</v>
      </c>
      <c r="B3697" s="93"/>
    </row>
    <row r="3698">
      <c r="A3698" s="384" t="str">
        <f>IFERROR(__xludf.DUMMYFUNCTION("""COMPUTED_VALUE"""),"Scarlatti Monato Da Silva | Artes Visuais | Aprovado | Bianca: falta etapa 4 do remoto atualizado //Bárbara: aprovada: 11/08/21")</f>
        <v>Scarlatti Monato Da Silva | Artes Visuais | Aprovado | Bianca: falta etapa 4 do remoto atualizado //Bárbara: aprovada: 11/08/21</v>
      </c>
      <c r="B3698" s="93"/>
    </row>
    <row r="3699">
      <c r="A3699" s="384" t="str">
        <f>IFERROR(__xludf.DUMMYFUNCTION("""COMPUTED_VALUE"""),"Sebastiana Custódio Gonçalves | Filosofia | Aprovada | Bianca: autorizada a recolher assinaturas //Bianca: aprovada: 12/07/21 //Júnio:conferido e arquivado: 20/07/21")</f>
        <v>Sebastiana Custódio Gonçalves | Filosofia | Aprovada | Bianca: autorizada a recolher assinaturas //Bianca: aprovada: 12/07/21 //Júnio:conferido e arquivado: 20/07/21</v>
      </c>
      <c r="B3699" s="93"/>
    </row>
    <row r="3700">
      <c r="A3700" s="384" t="str">
        <f>IFERROR(__xludf.DUMMYFUNCTION("""COMPUTED_VALUE"""),"Sebastiana Ferreira De Oliveira Bandeira | Pedagogia | Aprovada | Júnio: físico conferido, aprovada e arquivada")</f>
        <v>Sebastiana Ferreira De Oliveira Bandeira | Pedagogia | Aprovada | Júnio: físico conferido, aprovada e arquivada</v>
      </c>
      <c r="B3700" s="93"/>
    </row>
    <row r="3701">
      <c r="A3701" s="384" t="str">
        <f>IFERROR(__xludf.DUMMYFUNCTION("""COMPUTED_VALUE"""),"Sebastião Aguimar Da Silveira | Educação Física | Aprovado  | Bárbara: Aluno encaminhou o trabalho para verificação rápida, não possui plágio, apresentou um bom desenvolvimento. Contudo apenas as etapas 1, 2 e 3. Não apresentou a pasta padrão com os eleme"&amp;"ntos pré e pós textuais, nem a 4ª etapa do remoto atualizado. Além disso, solicitei uma leitura nos textos para revisão e a questão da formatação que ainda não foi realizada. // Bárbara: aprovado 19/11")</f>
        <v>Sebastião Aguimar Da Silveira | Educação Física | Aprovado  | Bárbara: Aluno encaminhou o trabalho para verificação rápida, não possui plágio, apresentou um bom desenvolvimento. Contudo apenas as etapas 1, 2 e 3. Não apresentou a pasta padrão com os elementos pré e pós textuais, nem a 4ª etapa do remoto atualizado. Além disso, solicitei uma leitura nos textos para revisão e a questão da formatação que ainda não foi realizada. // Bárbara: aprovado 19/11</v>
      </c>
      <c r="B3701" s="93"/>
    </row>
    <row r="3702">
      <c r="A3702" s="384" t="str">
        <f>IFERROR(__xludf.DUMMYFUNCTION("""COMPUTED_VALUE"""),"Sebastião Dias Matos | Matematica | Aprovado | Alexsiane: 19% deplágio e falta a entrevista digitada //Aprovado 12/02/24")</f>
        <v>Sebastião Dias Matos | Matematica | Aprovado | Alexsiane: 19% deplágio e falta a entrevista digitada //Aprovado 12/02/24</v>
      </c>
      <c r="B3702" s="93"/>
    </row>
    <row r="3703">
      <c r="A3703" s="384" t="str">
        <f>IFERROR(__xludf.DUMMYFUNCTION("""COMPUTED_VALUE"""),"Selma Francisca Benevides | Letras - Português | Aprovado | Alexsiane: PP aprovado")</f>
        <v>Selma Francisca Benevides | Letras - Português | Aprovado | Alexsiane: PP aprovado</v>
      </c>
      <c r="B3703" s="93"/>
    </row>
    <row r="3704">
      <c r="A3704" s="384" t="str">
        <f>IFERROR(__xludf.DUMMYFUNCTION("""COMPUTED_VALUE"""),"Sérgio Augusto Andrade | Letras - Português | Em análise | Bianca: enviou apenas relatório do estágio Padrão// Bianca: aprovado no estágio padrão em 26/11/2021 // Lucas: conferido e arquivado 04/01/2022")</f>
        <v>Sérgio Augusto Andrade | Letras - Português | Em análise | Bianca: enviou apenas relatório do estágio Padrão// Bianca: aprovado no estágio padrão em 26/11/2021 // Lucas: conferido e arquivado 04/01/2022</v>
      </c>
      <c r="B3704" s="93"/>
    </row>
    <row r="3705">
      <c r="A3705" s="384" t="str">
        <f>IFERROR(__xludf.DUMMYFUNCTION("""COMPUTED_VALUE"""),"Sérgio Dos Santos Ferreira | Matemática | Aprovada | Bianca: aprovada nas 4 etapas do remoto antigo")</f>
        <v>Sérgio Dos Santos Ferreira | Matemática | Aprovada | Bianca: aprovada nas 4 etapas do remoto antigo</v>
      </c>
      <c r="B3705" s="93"/>
    </row>
    <row r="3706">
      <c r="A3706" s="384" t="str">
        <f>IFERROR(__xludf.DUMMYFUNCTION("""COMPUTED_VALUE"""),"Sergio Henrique Barros Corrêa | Música | Aprovada | Júnio: etapas: ok Inicio: 07/08/23 Reenviar: 07/02/24// Alexsiane: aprovado no PP ")</f>
        <v>Sergio Henrique Barros Corrêa | Música | Aprovada | Júnio: etapas: ok Inicio: 07/08/23 Reenviar: 07/02/24// Alexsiane: aprovado no PP </v>
      </c>
      <c r="B3706" s="93"/>
    </row>
    <row r="3707">
      <c r="A3707" s="384" t="str">
        <f>IFERROR(__xludf.DUMMYFUNCTION("""COMPUTED_VALUE"""),"Sérgio Luis Da Silva | Matemática | Aprovado | Ana Flávia: aprovado nas 3 primeiras etapas do remoto, e apresentou declaração de experiência válida. // Bárbara: imprimido e arquivado 30/12/2020")</f>
        <v>Sérgio Luis Da Silva | Matemática | Aprovado | Ana Flávia: aprovado nas 3 primeiras etapas do remoto, e apresentou declaração de experiência válida. // Bárbara: imprimido e arquivado 30/12/2020</v>
      </c>
      <c r="B3707" s="93"/>
    </row>
    <row r="3708">
      <c r="A3708" s="384" t="str">
        <f>IFERROR(__xludf.DUMMYFUNCTION("""COMPUTED_VALUE"""),"Sergio Luiz Augusto Dias | Música | Aprovado | Júnio: PP - carta de apresentação com assinatura colada //Júnio: aprovado: 05/01/24")</f>
        <v>Sergio Luiz Augusto Dias | Música | Aprovado | Júnio: PP - carta de apresentação com assinatura colada //Júnio: aprovado: 05/01/24</v>
      </c>
      <c r="B3708" s="93"/>
    </row>
    <row r="3709">
      <c r="A3709" s="384" t="str">
        <f>IFERROR(__xludf.DUMMYFUNCTION("""COMPUTED_VALUE"""),"Sergio Luiz Augusto Dias | Ciências Biológicas | Aprovado | Júnio: PP - carta de apresentação com assinatura colada e etapa 1 igual ao do outro curso.// aLEXSIANE: PP Aprovado 02/08")</f>
        <v>Sergio Luiz Augusto Dias | Ciências Biológicas | Aprovado | Júnio: PP - carta de apresentação com assinatura colada e etapa 1 igual ao do outro curso.// aLEXSIANE: PP Aprovado 02/08</v>
      </c>
      <c r="B3709" s="93"/>
    </row>
    <row r="3710">
      <c r="A3710" s="384" t="str">
        <f>IFERROR(__xludf.DUMMYFUNCTION("""COMPUTED_VALUE"""),"Sérgio Murilo Galvão Helal | Teatro | aprovado | Aline Silva: aprovado")</f>
        <v>Sérgio Murilo Galvão Helal | Teatro | aprovado | Aline Silva: aprovado</v>
      </c>
      <c r="B3710" s="93"/>
    </row>
    <row r="3711">
      <c r="A3711" s="384" t="str">
        <f>IFERROR(__xludf.DUMMYFUNCTION("""COMPUTED_VALUE"""),"Sérgio Rodrigo Coelho De Oliveira | Pedagogia | Aprovado  | Bárbara: aprovado em todas as etapas do remoto antigo ")</f>
        <v>Sérgio Rodrigo Coelho De Oliveira | Pedagogia | Aprovado  | Bárbara: aprovado em todas as etapas do remoto antigo </v>
      </c>
      <c r="B3711" s="93"/>
    </row>
    <row r="3712">
      <c r="A3712" s="384" t="str">
        <f>IFERROR(__xludf.DUMMYFUNCTION("""COMPUTED_VALUE"""),"Sérgio Sousa Da Silva | Letras Por Ingles | Aprovado | Bianca: autorizado a recolher as assinaturas  //Júnio: conferido e arquivado: 28/01/2022")</f>
        <v>Sérgio Sousa Da Silva | Letras Por Ingles | Aprovado | Bianca: autorizado a recolher as assinaturas  //Júnio: conferido e arquivado: 28/01/2022</v>
      </c>
      <c r="B3712" s="93"/>
    </row>
    <row r="3713">
      <c r="A3713" s="384" t="str">
        <f>IFERROR(__xludf.DUMMYFUNCTION("""COMPUTED_VALUE"""),"Serli Schineider Dalpupo | Pedagogia | Aprovada | Júnio: aprovada no remoto antigo")</f>
        <v>Serli Schineider Dalpupo | Pedagogia | Aprovada | Júnio: aprovada no remoto antigo</v>
      </c>
      <c r="B3713" s="93"/>
    </row>
    <row r="3714">
      <c r="A3714" s="384" t="str">
        <f>IFERROR(__xludf.DUMMYFUNCTION("""COMPUTED_VALUE"""),"Severina Rodrigues De Lima | Matematica | Aprovada | Alexsiane:Aprovado com lançamento no sponte]")</f>
        <v>Severina Rodrigues De Lima | Matematica | Aprovada | Alexsiane:Aprovado com lançamento no sponte]</v>
      </c>
      <c r="B3714" s="93"/>
    </row>
    <row r="3715">
      <c r="A3715" s="384" t="str">
        <f>IFERROR(__xludf.DUMMYFUNCTION("""COMPUTED_VALUE"""),"Severino Lúcio De Farias Filhos | Letras Port. | aprovado | Aline Silva: falta apresentar plano de aula, atividade executada, e 60 horas de obs no ensino médio. // aprovado dia 27/05/2020// Bárbara: Conferido e arquivado 15/09/2020")</f>
        <v>Severino Lúcio De Farias Filhos | Letras Port. | aprovado | Aline Silva: falta apresentar plano de aula, atividade executada, e 60 horas de obs no ensino médio. // aprovado dia 27/05/2020// Bárbara: Conferido e arquivado 15/09/2020</v>
      </c>
      <c r="B3715" s="93"/>
    </row>
    <row r="3716">
      <c r="A3716" s="384" t="str">
        <f>IFERROR(__xludf.DUMMYFUNCTION("""COMPUTED_VALUE"""),"Sheila De Souza Santos | Biologia |  | Bárbara: Conferido e arquivado em 16/09/2020")</f>
        <v>Sheila De Souza Santos | Biologia |  | Bárbara: Conferido e arquivado em 16/09/2020</v>
      </c>
      <c r="B3716" s="93"/>
    </row>
    <row r="3717">
      <c r="A3717" s="384" t="str">
        <f>IFERROR(__xludf.DUMMYFUNCTION("""COMPUTED_VALUE"""),"Sheila Dos Reis Madeira | Formação Pedagógica Letras - Português | em análise | Alexsiane: pp tem que complementar a peirmeira etapa com mais algumas páginas 13/07/24 reenviar")</f>
        <v>Sheila Dos Reis Madeira | Formação Pedagógica Letras - Português | em análise | Alexsiane: pp tem que complementar a peirmeira etapa com mais algumas páginas 13/07/24 reenviar</v>
      </c>
      <c r="B3717" s="93"/>
    </row>
    <row r="3718">
      <c r="A3718" s="384" t="str">
        <f>IFERROR(__xludf.DUMMYFUNCTION("""COMPUTED_VALUE"""),"Sheila Lopes Leal Gonçalves | Letras Português Inglês | Aprovada | Bianca: Falta etapa 3 e 4 do estágio remoto antigo// Bianca, aprovado nas 4 etapas do remoto antigo em 04/01/2021")</f>
        <v>Sheila Lopes Leal Gonçalves | Letras Português Inglês | Aprovada | Bianca: Falta etapa 3 e 4 do estágio remoto antigo// Bianca, aprovado nas 4 etapas do remoto antigo em 04/01/2021</v>
      </c>
      <c r="B3718" s="93"/>
    </row>
    <row r="3719">
      <c r="A3719" s="384" t="str">
        <f>IFERROR(__xludf.DUMMYFUNCTION("""COMPUTED_VALUE"""),"Sheyla Maria Teixeira Dos Santos | Pedagogia | Em análise  | Alexsiane: 12% de plágio, especificar o tipo de acompanhamento, a serie e o tema em algumas das fichas e fazer o relatório de gestão 23/10 para reenviar")</f>
        <v>Sheyla Maria Teixeira Dos Santos | Pedagogia | Em análise  | Alexsiane: 12% de plágio, especificar o tipo de acompanhamento, a serie e o tema em algumas das fichas e fazer o relatório de gestão 23/10 para reenviar</v>
      </c>
      <c r="B3719" s="93"/>
    </row>
    <row r="3720">
      <c r="A3720" s="384" t="str">
        <f>IFERROR(__xludf.DUMMYFUNCTION("""COMPUTED_VALUE"""),"Sheyla Maria Teixeira Dos Santos | Psicopedagogia Clínica,Institucional E Hospitalar | Em análise  | Alexsiane: 8,99% de plágio e preenchimento das fichas está errada (orientei a aluna a fazer uma tabela especificando corretamente o tipo de acompanhamento"&amp;" e a turma até dia 10/01 para reenviar.")</f>
        <v>Sheyla Maria Teixeira Dos Santos | Psicopedagogia Clínica,Institucional E Hospitalar | Em análise  | Alexsiane: 8,99% de plágio e preenchimento das fichas está errada (orientei a aluna a fazer uma tabela especificando corretamente o tipo de acompanhamento e a turma até dia 10/01 para reenviar.</v>
      </c>
      <c r="B3720" s="93"/>
    </row>
    <row r="3721">
      <c r="A3721" s="384" t="str">
        <f>IFERROR(__xludf.DUMMYFUNCTION("""COMPUTED_VALUE"""),"Shirley Aparecida Parreiras E Silva | Artes Visuais | Aprovada | Júnio: Carta de aceite e declaração de isenção OK, falta todo o resto //Júnio: aprovada: 21/09/21 //Júnio: arquivada 01/10/2021")</f>
        <v>Shirley Aparecida Parreiras E Silva | Artes Visuais | Aprovada | Júnio: Carta de aceite e declaração de isenção OK, falta todo o resto //Júnio: aprovada: 21/09/21 //Júnio: arquivada 01/10/2021</v>
      </c>
      <c r="B3721" s="93"/>
    </row>
    <row r="3722">
      <c r="A3722" s="384" t="str">
        <f>IFERROR(__xludf.DUMMYFUNCTION("""COMPUTED_VALUE"""),"Shirley Julieta Silva | Artes Visuias | Aprovada | Bárbara: aprovada nas 3 primeiras etapas do remoto, e apresentou declaração de experiência válida. //Júnio:conferido e arquivado: 16/06/2021")</f>
        <v>Shirley Julieta Silva | Artes Visuias | Aprovada | Bárbara: aprovada nas 3 primeiras etapas do remoto, e apresentou declaração de experiência válida. //Júnio:conferido e arquivado: 16/06/2021</v>
      </c>
      <c r="B3722" s="93"/>
    </row>
    <row r="3723">
      <c r="A3723" s="384" t="str">
        <f>IFERROR(__xludf.DUMMYFUNCTION("""COMPUTED_VALUE"""),"Shirley Kathryn Dos Santos | Pedagogia | aprovada | Bianca: Aprovada nas etapas 1,2 e 4 Júnio: aprovada 07/05/21")</f>
        <v>Shirley Kathryn Dos Santos | Pedagogia | aprovada | Bianca: Aprovada nas etapas 1,2 e 4 Júnio: aprovada 07/05/21</v>
      </c>
      <c r="B3723" s="93"/>
    </row>
    <row r="3724">
      <c r="A3724" s="384" t="str">
        <f>IFERROR(__xludf.DUMMYFUNCTION("""COMPUTED_VALUE"""),"Sidione Lopes Nunes | Letras Português Inglês | Aprovado | Júnio: PP aprovado")</f>
        <v>Sidione Lopes Nunes | Letras Português Inglês | Aprovado | Júnio: PP aprovado</v>
      </c>
      <c r="B3724" s="93"/>
    </row>
    <row r="3725">
      <c r="A3725" s="384" t="str">
        <f>IFERROR(__xludf.DUMMYFUNCTION("""COMPUTED_VALUE"""),"Sidjane Andrade Da Silva | 2ª Licenciatura Artes Visuais | Aprovada | Cris: PP plágio 12,8%//Alexsiane: pp aprovado")</f>
        <v>Sidjane Andrade Da Silva | 2ª Licenciatura Artes Visuais | Aprovada | Cris: PP plágio 12,8%//Alexsiane: pp aprovado</v>
      </c>
      <c r="B3725" s="93"/>
    </row>
    <row r="3726">
      <c r="A3726" s="384" t="str">
        <f>IFERROR(__xludf.DUMMYFUNCTION("""COMPUTED_VALUE"""),"Sidnei Sanches Nascimento Da Silva | Educação Física | Aprovado | Júnio: Dias nas fichas de registro estão ultrapassando mais de 6 horas, especificar nas fichas tipo de acompanhamento, tema e série e falta 80 horas de gestão // Pâmela 02/02/2023 Conferido"&amp;" e arquivado. ")</f>
        <v>Sidnei Sanches Nascimento Da Silva | Educação Física | Aprovado | Júnio: Dias nas fichas de registro estão ultrapassando mais de 6 horas, especificar nas fichas tipo de acompanhamento, tema e série e falta 80 horas de gestão // Pâmela 02/02/2023 Conferido e arquivado. </v>
      </c>
      <c r="B3726" s="93"/>
    </row>
    <row r="3727">
      <c r="A3727" s="384" t="str">
        <f>IFERROR(__xludf.DUMMYFUNCTION("""COMPUTED_VALUE"""),"Sidneia Alves Dantas | Pedagogia | Aprovado | Alexsiane: pp aprovado")</f>
        <v>Sidneia Alves Dantas | Pedagogia | Aprovado | Alexsiane: pp aprovado</v>
      </c>
      <c r="B3727" s="93"/>
    </row>
    <row r="3728">
      <c r="A3728" s="384" t="str">
        <f>IFERROR(__xludf.DUMMYFUNCTION("""COMPUTED_VALUE"""),"Silas Fernando De Olinda | Artes Visuais | Aprovado | Júnio: 13% plágio parafraseado, enviar plano de aula digitado, nas fichas precisa especificar o tipo de acompanhamento e série, ultrapassou mais de 6 horas e rasuras de corretivo e caneta. PRAZO: 11/08"&amp;"/23 //Júnio: aprovado: 27/09/23")</f>
        <v>Silas Fernando De Olinda | Artes Visuais | Aprovado | Júnio: 13% plágio parafraseado, enviar plano de aula digitado, nas fichas precisa especificar o tipo de acompanhamento e série, ultrapassou mais de 6 horas e rasuras de corretivo e caneta. PRAZO: 11/08/23 //Júnio: aprovado: 27/09/23</v>
      </c>
      <c r="B3728" s="93"/>
    </row>
    <row r="3729">
      <c r="A3729" s="384" t="str">
        <f>IFERROR(__xludf.DUMMYFUNCTION("""COMPUTED_VALUE"""),"Sildes Maria Da Conceição Cruz |  | Pré-aprovado | Coloquei algumas observações a serem feitas no trabalho - está no e-mail (30/11).")</f>
        <v>Sildes Maria Da Conceição Cruz |  | Pré-aprovado | Coloquei algumas observações a serem feitas no trabalho - está no e-mail (30/11).</v>
      </c>
      <c r="B3729" s="93"/>
    </row>
    <row r="3730">
      <c r="A3730" s="384" t="str">
        <f>IFERROR(__xludf.DUMMYFUNCTION("""COMPUTED_VALUE"""),"Silésia Alves Papa | Pedagogia | Aprovado | Alexsiane: Aprovado com lançamento no Sponte ( Estágio remoto antigo)")</f>
        <v>Silésia Alves Papa | Pedagogia | Aprovado | Alexsiane: Aprovado com lançamento no Sponte ( Estágio remoto antigo)</v>
      </c>
      <c r="B3730" s="93"/>
    </row>
    <row r="3731">
      <c r="A3731" s="384" t="str">
        <f>IFERROR(__xludf.DUMMYFUNCTION("""COMPUTED_VALUE"""),"Silma Gonçalves De Melo | 2ª Licenciatura Pedagogia | Aprovada | Cris: aguardando Etapa 1 e 2 e complementação das horas de estágio//Alexsiane: estágio aprovado (autorizado pela Camila) 18/06")</f>
        <v>Silma Gonçalves De Melo | 2ª Licenciatura Pedagogia | Aprovada | Cris: aguardando Etapa 1 e 2 e complementação das horas de estágio//Alexsiane: estágio aprovado (autorizado pela Camila) 18/06</v>
      </c>
      <c r="B3731" s="93"/>
    </row>
    <row r="3732">
      <c r="A3732" s="384" t="str">
        <f>IFERROR(__xludf.DUMMYFUNCTION("""COMPUTED_VALUE"""),"Silma Pererira Da Silva Machado | Pedagogia | Em análise | Pâmela: declaração aceita no guru")</f>
        <v>Silma Pererira Da Silva Machado | Pedagogia | Em análise | Pâmela: declaração aceita no guru</v>
      </c>
      <c r="B3732" s="93"/>
    </row>
    <row r="3733">
      <c r="A3733" s="384" t="str">
        <f>IFERROR(__xludf.DUMMYFUNCTION("""COMPUTED_VALUE"""),"Silmara Aparecida Da Silva | Artes Visuais | Aprovada | Júnio: PP - falta e etapa 1, ela fez TCC ao inves de falar da BNCC e 10 competencias PRAZO: 11/09/23 //Júnio: aprovada: 06/10/23")</f>
        <v>Silmara Aparecida Da Silva | Artes Visuais | Aprovada | Júnio: PP - falta e etapa 1, ela fez TCC ao inves de falar da BNCC e 10 competencias PRAZO: 11/09/23 //Júnio: aprovada: 06/10/23</v>
      </c>
      <c r="B3733" s="93"/>
    </row>
    <row r="3734">
      <c r="A3734" s="384" t="str">
        <f>IFERROR(__xludf.DUMMYFUNCTION("""COMPUTED_VALUE"""),"Silmara De Souza Vieira | Pedagogia | Aprovada | Júnio: PP -18% plágio //Júnio: aprovada 01/12/23")</f>
        <v>Silmara De Souza Vieira | Pedagogia | Aprovada | Júnio: PP -18% plágio //Júnio: aprovada 01/12/23</v>
      </c>
      <c r="B3734" s="93"/>
    </row>
    <row r="3735">
      <c r="A3735" s="384" t="str">
        <f>IFERROR(__xludf.DUMMYFUNCTION("""COMPUTED_VALUE"""),"Silmara Maria De Jesus | Letras Port | Aprovada | Aline Silva: aluna enviou trabalho fora do padrão, sem as horas solicitadas e informações confusas e divergentes.// Aluna APROVADA nas 3 primeiras etapas do estágio remoto 10/09/2020, aguardando a quarta e"&amp;"tapa agora.// Bárbara: Aprovada aula remota 16/09/2020// Miryã: conferido e arquivado 10/03/2021")</f>
        <v>Silmara Maria De Jesus | Letras Port | Aprovada | Aline Silva: aluna enviou trabalho fora do padrão, sem as horas solicitadas e informações confusas e divergentes.// Aluna APROVADA nas 3 primeiras etapas do estágio remoto 10/09/2020, aguardando a quarta etapa agora.// Bárbara: Aprovada aula remota 16/09/2020// Miryã: conferido e arquivado 10/03/2021</v>
      </c>
      <c r="B3735" s="93"/>
    </row>
    <row r="3736">
      <c r="A3736" s="384" t="str">
        <f>IFERROR(__xludf.DUMMYFUNCTION("""COMPUTED_VALUE"""),"Silva Aparecida De Freitas Leite | Pegagogia C/ Ênf. | Aprovado | Mandei enviar pelo correio (04/01). Falta de carta de aceite da escola C. Feliz e documento de experiencia profissional (18/12).// Bárbara: Conferido e arquivado 10/09/2020")</f>
        <v>Silva Aparecida De Freitas Leite | Pegagogia C/ Ênf. | Aprovado | Mandei enviar pelo correio (04/01). Falta de carta de aceite da escola C. Feliz e documento de experiencia profissional (18/12).// Bárbara: Conferido e arquivado 10/09/2020</v>
      </c>
      <c r="B3736" s="93"/>
    </row>
    <row r="3737">
      <c r="A3737" s="384" t="str">
        <f>IFERROR(__xludf.DUMMYFUNCTION("""COMPUTED_VALUE"""),"Silvana Aparecida Generoso | Artes Visuais | Aprovada | Júnio: falta carta de apresentação e termo de conclusão //Júnio: aprovada: 13/01/22 //Júnio: conferido e arquivado: 18/01/2022")</f>
        <v>Silvana Aparecida Generoso | Artes Visuais | Aprovada | Júnio: falta carta de apresentação e termo de conclusão //Júnio: aprovada: 13/01/22 //Júnio: conferido e arquivado: 18/01/2022</v>
      </c>
      <c r="B3737" s="93"/>
    </row>
    <row r="3738">
      <c r="A3738" s="384" t="str">
        <f>IFERROR(__xludf.DUMMYFUNCTION("""COMPUTED_VALUE"""),"Silvana Aparecida Ribeiro Da Silva | Matemática | Aprovada | Bianca: Falta etapa 4 do remoto atualizado  //Júnio: enviou físico da 4ª etapa, conferido e arquivado: 17/09/21")</f>
        <v>Silvana Aparecida Ribeiro Da Silva | Matemática | Aprovada | Bianca: Falta etapa 4 do remoto atualizado  //Júnio: enviou físico da 4ª etapa, conferido e arquivado: 17/09/21</v>
      </c>
      <c r="B3738" s="93"/>
    </row>
    <row r="3739">
      <c r="A3739" s="384" t="str">
        <f>IFERROR(__xludf.DUMMYFUNCTION("""COMPUTED_VALUE"""),"Silvana Campos De Faria | Letras Português Inglês | APROVADA | Bárbara: aluna encaminhou o trabalho para verificação rápida, tem plágio, o restante ta caminhando.// Pâmela 06/12/2022 Conferido e arquivado.  ")</f>
        <v>Silvana Campos De Faria | Letras Português Inglês | APROVADA | Bárbara: aluna encaminhou o trabalho para verificação rápida, tem plágio, o restante ta caminhando.// Pâmela 06/12/2022 Conferido e arquivado.  </v>
      </c>
      <c r="B3739" s="93"/>
    </row>
    <row r="3740">
      <c r="A3740" s="384" t="str">
        <f>IFERROR(__xludf.DUMMYFUNCTION("""COMPUTED_VALUE"""),"Silvana Estelita Atur Moraes | Pedagogia |  | RECEBIDO")</f>
        <v>Silvana Estelita Atur Moraes | Pedagogia |  | RECEBIDO</v>
      </c>
      <c r="B3740" s="93"/>
    </row>
    <row r="3741">
      <c r="A3741" s="384" t="str">
        <f>IFERROR(__xludf.DUMMYFUNCTION("""COMPUTED_VALUE"""),"Silvana Maria De Souza Monteiro | Pedagogia Para Bachareis E Tecnologos | Aprovada | Júnio: pelo guru declaração de experiência valida //Júnio: pré aprovada: 21/08/23 //Júnio: aprovada: 25/08/23")</f>
        <v>Silvana Maria De Souza Monteiro | Pedagogia Para Bachareis E Tecnologos | Aprovada | Júnio: pelo guru declaração de experiência valida //Júnio: pré aprovada: 21/08/23 //Júnio: aprovada: 25/08/23</v>
      </c>
      <c r="B3741" s="93"/>
    </row>
    <row r="3742">
      <c r="A3742" s="384" t="str">
        <f>IFERROR(__xludf.DUMMYFUNCTION("""COMPUTED_VALUE"""),"Silvana Maria Marchioretto Radaelli | Pedagogia | Em análise | PP: falta a etapa 1 PRAZO: 06/08/23")</f>
        <v>Silvana Maria Marchioretto Radaelli | Pedagogia | Em análise | PP: falta a etapa 1 PRAZO: 06/08/23</v>
      </c>
      <c r="B3742" s="93"/>
    </row>
    <row r="3743">
      <c r="A3743" s="384" t="str">
        <f>IFERROR(__xludf.DUMMYFUNCTION("""COMPUTED_VALUE"""),"Silvana Peres | Letras Por Esp | Aprovada | Bárbara: faltou sumário // Ana Fávia: aprovada")</f>
        <v>Silvana Peres | Letras Por Esp | Aprovada | Bárbara: faltou sumário // Ana Fávia: aprovada</v>
      </c>
      <c r="B3743" s="93"/>
    </row>
    <row r="3744">
      <c r="A3744" s="384" t="str">
        <f>IFERROR(__xludf.DUMMYFUNCTION("""COMPUTED_VALUE"""),"Silvana Ribeiro Silva | Pedagogia | Em análise | Júnio: PP - etapas: ok Inicio: 07/06/23 Reenviar: 07/12/23")</f>
        <v>Silvana Ribeiro Silva | Pedagogia | Em análise | Júnio: PP - etapas: ok Inicio: 07/06/23 Reenviar: 07/12/23</v>
      </c>
      <c r="B3744" s="93"/>
    </row>
    <row r="3745">
      <c r="A3745" s="384" t="str">
        <f>IFERROR(__xludf.DUMMYFUNCTION("""COMPUTED_VALUE"""),"Silvana Rocha Alves | Música | Aprovada | Júnio: PP aprovada")</f>
        <v>Silvana Rocha Alves | Música | Aprovada | Júnio: PP aprovada</v>
      </c>
      <c r="B3745" s="93"/>
    </row>
    <row r="3746">
      <c r="A3746" s="384" t="str">
        <f>IFERROR(__xludf.DUMMYFUNCTION("""COMPUTED_VALUE"""),"Silvania Floriano Muller | Neuropsicopedagogia Institucional,Clínica E Hospitalar | Em análise | Sandra//Alexsiane: falta termo de conclusão,fichas de registro e carta de apresentação")</f>
        <v>Silvania Floriano Muller | Neuropsicopedagogia Institucional,Clínica E Hospitalar | Em análise | Sandra//Alexsiane: falta termo de conclusão,fichas de registro e carta de apresentação</v>
      </c>
      <c r="B3746" s="93"/>
    </row>
    <row r="3747">
      <c r="A3747" s="384" t="str">
        <f>IFERROR(__xludf.DUMMYFUNCTION("""COMPUTED_VALUE"""),"Silvânia Machado Pereira Caixeta | Matemática | Aprovada | Aline: aprovada// Bárbara: conferido e arquivado 09/09/2020")</f>
        <v>Silvânia Machado Pereira Caixeta | Matemática | Aprovada | Aline: aprovada// Bárbara: conferido e arquivado 09/09/2020</v>
      </c>
      <c r="B3747" s="93"/>
    </row>
    <row r="3748">
      <c r="A3748" s="384" t="str">
        <f>IFERROR(__xludf.DUMMYFUNCTION("""COMPUTED_VALUE"""),"Silvania Maria Antunes | Pedagogia | Aprovada | Edilaine: Pré- aprovada com lançamento no Sponte.// Pâmela 27/12/2022 Conferido e arquivado ")</f>
        <v>Silvania Maria Antunes | Pedagogia | Aprovada | Edilaine: Pré- aprovada com lançamento no Sponte.// Pâmela 27/12/2022 Conferido e arquivado </v>
      </c>
      <c r="B3748" s="93"/>
    </row>
    <row r="3749">
      <c r="A3749" s="384" t="str">
        <f>IFERROR(__xludf.DUMMYFUNCTION("""COMPUTED_VALUE"""),"Silvânia Soares Da Silva Santos | Pedagogia | Aprovada | Lucas: Enviou o trabalho totalmente digitalizado, pedi para enviar novamente em formato word.// Alexsiane: aprovada com lançamento no sponte //Júnio: físico conferido e arquivado: 18/10/2022")</f>
        <v>Silvânia Soares Da Silva Santos | Pedagogia | Aprovada | Lucas: Enviou o trabalho totalmente digitalizado, pedi para enviar novamente em formato word.// Alexsiane: aprovada com lançamento no sponte //Júnio: físico conferido e arquivado: 18/10/2022</v>
      </c>
      <c r="B3749" s="93"/>
    </row>
    <row r="3750">
      <c r="A3750" s="384" t="str">
        <f>IFERROR(__xludf.DUMMYFUNCTION("""COMPUTED_VALUE"""),"Silvia Aparecida Amorim Lopes Dias | Pedagogia | Aprovada | Alexsiane: etapa 1,2ok 3° etapa de plágio em alguns planos de aula, falta etapa 4 //Júnio: aprovada: 16/01/24")</f>
        <v>Silvia Aparecida Amorim Lopes Dias | Pedagogia | Aprovada | Alexsiane: etapa 1,2ok 3° etapa de plágio em alguns planos de aula, falta etapa 4 //Júnio: aprovada: 16/01/24</v>
      </c>
      <c r="B3750" s="93"/>
    </row>
    <row r="3751">
      <c r="A3751" s="384" t="str">
        <f>IFERROR(__xludf.DUMMYFUNCTION("""COMPUTED_VALUE"""),"Silvia Aparecida Amorim Lopes Dias | Ciências Sociais | Aprovada | Júnio: PP - falta a carta de apresentação e responder questionário. //Júnio: aprovada: 03/01/24")</f>
        <v>Silvia Aparecida Amorim Lopes Dias | Ciências Sociais | Aprovada | Júnio: PP - falta a carta de apresentação e responder questionário. //Júnio: aprovada: 03/01/24</v>
      </c>
      <c r="B3751" s="93"/>
    </row>
    <row r="3752">
      <c r="A3752" s="384" t="str">
        <f>IFERROR(__xludf.DUMMYFUNCTION("""COMPUTED_VALUE"""),"Silvia Cristina Da Silveira | Pedagogia | Aprovada | Júnio: remoto atualizado - enviar fichas, fazer capa, sumário, introdução, conclusão, relatório geral, 12% plágio.//Alexsiane: aprovado no remoto atualizado com lançamento no sponte")</f>
        <v>Silvia Cristina Da Silveira | Pedagogia | Aprovada | Júnio: remoto atualizado - enviar fichas, fazer capa, sumário, introdução, conclusão, relatório geral, 12% plágio.//Alexsiane: aprovado no remoto atualizado com lançamento no sponte</v>
      </c>
      <c r="B3752" s="93"/>
    </row>
    <row r="3753">
      <c r="A3753" s="384" t="str">
        <f>IFERROR(__xludf.DUMMYFUNCTION("""COMPUTED_VALUE"""),"Silvia Cybele Da Silva Moraes | Artes Visuais | Aprovado | Alexsiane: fez somente 24 horas nas fichas de registro(falta complementar com mais 176horas) e fazer toda as etapas dissertativas//Alexsiane: Pré aprovado com lançamento // Pâmela 19/01/2023 Confe"&amp;"rido e arquivado ")</f>
        <v>Silvia Cybele Da Silva Moraes | Artes Visuais | Aprovado | Alexsiane: fez somente 24 horas nas fichas de registro(falta complementar com mais 176horas) e fazer toda as etapas dissertativas//Alexsiane: Pré aprovado com lançamento // Pâmela 19/01/2023 Conferido e arquivado </v>
      </c>
      <c r="B3753" s="93"/>
    </row>
    <row r="3754">
      <c r="A3754" s="384" t="str">
        <f>IFERROR(__xludf.DUMMYFUNCTION("""COMPUTED_VALUE"""),"Sílvia Dayrell Rodrigues | Letras Português | Aprovada | Alexsiane: Plágio 8,61% plágio//Bárbara: aprovada nas 3 primeiras etapas do remoto antigo //Júnio: aprovada no video: 22/07/22")</f>
        <v>Sílvia Dayrell Rodrigues | Letras Português | Aprovada | Alexsiane: Plágio 8,61% plágio//Bárbara: aprovada nas 3 primeiras etapas do remoto antigo //Júnio: aprovada no video: 22/07/22</v>
      </c>
      <c r="B3754" s="93"/>
    </row>
    <row r="3755">
      <c r="A3755" s="384" t="str">
        <f>IFERROR(__xludf.DUMMYFUNCTION("""COMPUTED_VALUE"""),"Silvia Esther Azambuja Pereira | Pedagogia | Aprovada | Júnio: carta de apresentação com colagem // Alexsiane: aprovada no PP 01/04/24")</f>
        <v>Silvia Esther Azambuja Pereira | Pedagogia | Aprovada | Júnio: carta de apresentação com colagem // Alexsiane: aprovada no PP 01/04/24</v>
      </c>
      <c r="B3755" s="93"/>
    </row>
    <row r="3756">
      <c r="A3756" s="384" t="str">
        <f>IFERROR(__xludf.DUMMYFUNCTION("""COMPUTED_VALUE"""),"Sílvia Maria Pereira Sousa | Pedagogia | Em análise | Bianca: plágio, orientei como referenciar")</f>
        <v>Sílvia Maria Pereira Sousa | Pedagogia | Em análise | Bianca: plágio, orientei como referenciar</v>
      </c>
      <c r="B3756" s="93"/>
    </row>
    <row r="3757">
      <c r="A3757" s="384" t="str">
        <f>IFERROR(__xludf.DUMMYFUNCTION("""COMPUTED_VALUE"""),"Silvia Regina Avlasevicius De Oliveira | Ciências Sociais | Aprovado | Alexsiane. Aprovado com lançamento no Sponte")</f>
        <v>Silvia Regina Avlasevicius De Oliveira | Ciências Sociais | Aprovado | Alexsiane. Aprovado com lançamento no Sponte</v>
      </c>
      <c r="B3757" s="93"/>
    </row>
    <row r="3758">
      <c r="A3758" s="384" t="str">
        <f>IFERROR(__xludf.DUMMYFUNCTION("""COMPUTED_VALUE"""),"Silvia Silva Da Silva | Pedagogia | Aprovada | Júnio: PP - falta a etapa 2. //Júnio: aprovada: 03/01/24")</f>
        <v>Silvia Silva Da Silva | Pedagogia | Aprovada | Júnio: PP - falta a etapa 2. //Júnio: aprovada: 03/01/24</v>
      </c>
      <c r="B3758" s="93"/>
    </row>
    <row r="3759">
      <c r="A3759" s="384" t="str">
        <f>IFERROR(__xludf.DUMMYFUNCTION("""COMPUTED_VALUE"""),"Silvia Sodre Da Motta Gomes | Filosofia | Aprovada | Alexsiane:especificou nas fichas somente o acompanhamento(falta o tema e a série), falta as etapas dissertativas.// Alexsiane: Pré- aprovada // Pamela 05/05/23 aluna informou e enviou o comprovante de e"&amp;"nvio da pasta física, a mesma não foi localizada no polo informado a Samira e nem mesmo tabela da Cristina ( docs disse no teams). A aluna será aprovada. ")</f>
        <v>Silvia Sodre Da Motta Gomes | Filosofia | Aprovada | Alexsiane:especificou nas fichas somente o acompanhamento(falta o tema e a série), falta as etapas dissertativas.// Alexsiane: Pré- aprovada // Pamela 05/05/23 aluna informou e enviou o comprovante de envio da pasta física, a mesma não foi localizada no polo informado a Samira e nem mesmo tabela da Cristina ( docs disse no teams). A aluna será aprovada. </v>
      </c>
      <c r="B3759" s="93"/>
    </row>
    <row r="3760">
      <c r="A3760" s="384" t="str">
        <f>IFERROR(__xludf.DUMMYFUNCTION("""COMPUTED_VALUE"""),"Silvio Almeida De Moraes | Música | Aprovado | Alexsiane: pp aprovado")</f>
        <v>Silvio Almeida De Moraes | Música | Aprovado | Alexsiane: pp aprovado</v>
      </c>
      <c r="B3760" s="93"/>
    </row>
    <row r="3761">
      <c r="A3761" s="384" t="str">
        <f>IFERROR(__xludf.DUMMYFUNCTION("""COMPUTED_VALUE"""),"Sílvio Márcio Reiners | Matemática | Aprovado | Bianca: aprovada nas 3 etapas do remoto //Conferido e arquivado: 16/06/21")</f>
        <v>Sílvio Márcio Reiners | Matemática | Aprovado | Bianca: aprovada nas 3 etapas do remoto //Conferido e arquivado: 16/06/21</v>
      </c>
      <c r="B3761" s="93"/>
    </row>
    <row r="3762">
      <c r="A3762" s="384" t="str">
        <f>IFERROR(__xludf.DUMMYFUNCTION("""COMPUTED_VALUE"""),"Silvio Zacarias Dias | Letras Português | Aprovado | Thiara: apresentou 260 das 300 horas, sendo que realizou 48 horas em cada etapa. // Recebido no instituto dia 20/12/2019// Bárbara: Conferido e arquivado em 16/09/2020")</f>
        <v>Silvio Zacarias Dias | Letras Português | Aprovado | Thiara: apresentou 260 das 300 horas, sendo que realizou 48 horas em cada etapa. // Recebido no instituto dia 20/12/2019// Bárbara: Conferido e arquivado em 16/09/2020</v>
      </c>
      <c r="B3762" s="93"/>
    </row>
    <row r="3763">
      <c r="A3763" s="384" t="str">
        <f>IFERROR(__xludf.DUMMYFUNCTION("""COMPUTED_VALUE"""),"Simara Antunes Lima | Artes Visuais | Aprovado | Alexsiane: etapa 4 ok, falta 16 planos de aula e 16% de plágio // Alexsiane\; aprovado no estágiio remoto antigo com lançamento  no sponte 17/04/2023")</f>
        <v>Simara Antunes Lima | Artes Visuais | Aprovado | Alexsiane: etapa 4 ok, falta 16 planos de aula e 16% de plágio // Alexsiane\; aprovado no estágiio remoto antigo com lançamento  no sponte 17/04/2023</v>
      </c>
      <c r="B3763" s="93"/>
    </row>
    <row r="3764">
      <c r="A3764" s="384" t="str">
        <f>IFERROR(__xludf.DUMMYFUNCTION("""COMPUTED_VALUE"""),"Simonal Dos Santos Silva | Música | Aprovado | Júnio: PP aprovado")</f>
        <v>Simonal Dos Santos Silva | Música | Aprovado | Júnio: PP aprovado</v>
      </c>
      <c r="B3764" s="93"/>
    </row>
    <row r="3765">
      <c r="A3765" s="384" t="str">
        <f>IFERROR(__xludf.DUMMYFUNCTION("""COMPUTED_VALUE"""),"Simone Alves Ignácio | Pedagogia | aprovado | Aline Silva: falta complementar a auto avaliação // aline silva: aprovado dia 10/12/2019//Recebido dia 12/12/2019// Miryã: conferido e arquivado 12/03/2021")</f>
        <v>Simone Alves Ignácio | Pedagogia | aprovado | Aline Silva: falta complementar a auto avaliação // aline silva: aprovado dia 10/12/2019//Recebido dia 12/12/2019// Miryã: conferido e arquivado 12/03/2021</v>
      </c>
      <c r="B3765" s="93"/>
    </row>
    <row r="3766">
      <c r="A3766" s="384" t="str">
        <f>IFERROR(__xludf.DUMMYFUNCTION("""COMPUTED_VALUE"""),"Simone Aparecida Da Silva Santos | Geografia | aprovado | Júnio: remoto antigo - etapas 1,2 e 3 ok// Alexsiane: Aprovado com lançamento no Sponte")</f>
        <v>Simone Aparecida Da Silva Santos | Geografia | aprovado | Júnio: remoto antigo - etapas 1,2 e 3 ok// Alexsiane: Aprovado com lançamento no Sponte</v>
      </c>
      <c r="B3766" s="93"/>
    </row>
    <row r="3767">
      <c r="A3767" s="384" t="str">
        <f>IFERROR(__xludf.DUMMYFUNCTION("""COMPUTED_VALUE"""),"Simone Aparecida Gonçalves | Música | Aprovada | Júnio: pelo guru declaração de experiência válida //Júnio: aprovada: 31/07/23")</f>
        <v>Simone Aparecida Gonçalves | Música | Aprovada | Júnio: pelo guru declaração de experiência válida //Júnio: aprovada: 31/07/23</v>
      </c>
      <c r="B3767" s="93"/>
    </row>
    <row r="3768">
      <c r="A3768" s="384" t="str">
        <f>IFERROR(__xludf.DUMMYFUNCTION("""COMPUTED_VALUE"""),"Simone Aparecida Machado Campos | Pedagogia | Em análise | Pâmela: Enviou declaração de experiência")</f>
        <v>Simone Aparecida Machado Campos | Pedagogia | Em análise | Pâmela: Enviou declaração de experiência</v>
      </c>
      <c r="B3768" s="93"/>
    </row>
    <row r="3769">
      <c r="A3769" s="384" t="str">
        <f>IFERROR(__xludf.DUMMYFUNCTION("""COMPUTED_VALUE"""),"Simone Aparecida Silva De Jesus | Pedagogia | Aprovada | Bárbara: apesentou declaração de experiência válida redução de 50% //Júnio: PP aprovada: 07/11/023")</f>
        <v>Simone Aparecida Silva De Jesus | Pedagogia | Aprovada | Bárbara: apesentou declaração de experiência válida redução de 50% //Júnio: PP aprovada: 07/11/023</v>
      </c>
      <c r="B3769" s="93"/>
    </row>
    <row r="3770">
      <c r="A3770" s="384" t="str">
        <f>IFERROR(__xludf.DUMMYFUNCTION("""COMPUTED_VALUE"""),"Simone Candida Da Silva Gomes | Pedagogia Para Bachareis E Tecnologos | Aprovada | Alexsiane e Edilaine: estágio I: sem plágio ,não fez a carga horaria de regência( fez de observação e gestão, a de gestão não é válida para o estágio I, desse modo terá que"&amp;" fazer a carga horaria de 60 horas regência), fichas de registro, objeticos gerais e especificos, considerações finais e autoavaliação são iguais do Estágio II.      Estágio II: ,não fez a carga horaria de regência( fez de observação e gestão, a de gestão"&amp;" não é válida para o estágio II, desse modo terá que fazer a carga horaria de 60 horas regência), fichas de registro, objeticos gerais e especificos, considerações finais e autoavaliação são iguais do Estágio I. Estágio III: especificar do dia 03/01 à 16/"&amp;"01 qual foi o tipo de gestão (administração, orientação e supervisão. Estágio IV: autorizada a recolher assinaturas das fichas de registro. Práticas I: Autorizada a recolher as assinaturas da tabela de registro de atividades. Práticas II- Autorizada a rec"&amp;"olher as assinaturas da tabela de registro de atividades. Práticas III- Autorizada a recolher as assinaturas da tabela de registro de atividades. Práticas IV- Tem que fazer mais 40 horas na tabela de registro de atividades. //Júnio: aprovada: 21/09/23")</f>
        <v>Simone Candida Da Silva Gomes | Pedagogia Para Bachareis E Tecnologos | Aprovada | Alexsiane e Edilaine: estágio I: sem plágio ,não fez a carga horaria de regência( fez de observação e gestão, a de gestão não é válida para o estágio I, desse modo terá que fazer a carga horaria de 60 horas regência), fichas de registro, objeticos gerais e especificos, considerações finais e autoavaliação são iguais do Estágio II.      Estágio II: ,não fez a carga horaria de regência( fez de observação e gestão, a de gestão não é válida para o estágio II, desse modo terá que fazer a carga horaria de 60 horas regência), fichas de registro, objeticos gerais e especificos, considerações finais e autoavaliação são iguais do Estágio I. Estágio III: especificar do dia 03/01 à 16/01 qual foi o tipo de gestão (administração, orientação e supervisão. Estágio IV: autorizada a recolher assinaturas das fichas de registro. Práticas I: Autorizada a recolher as assinaturas da tabela de registro de atividades. Práticas II- Autorizada a recolher as assinaturas da tabela de registro de atividades. Práticas III- Autorizada a recolher as assinaturas da tabela de registro de atividades. Práticas IV- Tem que fazer mais 40 horas na tabela de registro de atividades. //Júnio: aprovada: 21/09/23</v>
      </c>
      <c r="B3770" s="93"/>
    </row>
    <row r="3771">
      <c r="A3771" s="384" t="str">
        <f>IFERROR(__xludf.DUMMYFUNCTION("""COMPUTED_VALUE"""),"Simone Celina De Paula | Psicopedagogia Clínica Institucional E Hospitalar | Aprovada | Bianca: aprovada no TCE  Remoto")</f>
        <v>Simone Celina De Paula | Psicopedagogia Clínica Institucional E Hospitalar | Aprovada | Bianca: aprovada no TCE  Remoto</v>
      </c>
      <c r="B3771" s="93"/>
    </row>
    <row r="3772">
      <c r="A3772" s="384" t="str">
        <f>IFERROR(__xludf.DUMMYFUNCTION("""COMPUTED_VALUE"""),"Simone Da Silva Tristão | Inglês Sl | Aprovada | Júnio: PP - falta a carta de apresentação PRAZO: 07/10/23/ Alexsiane: pp aprovado pois a aluno enviou pelo e-mail dentro do prazo estabelicido")</f>
        <v>Simone Da Silva Tristão | Inglês Sl | Aprovada | Júnio: PP - falta a carta de apresentação PRAZO: 07/10/23/ Alexsiane: pp aprovado pois a aluno enviou pelo e-mail dentro do prazo estabelicido</v>
      </c>
      <c r="B3772" s="93"/>
    </row>
    <row r="3773">
      <c r="A3773" s="384" t="str">
        <f>IFERROR(__xludf.DUMMYFUNCTION("""COMPUTED_VALUE"""),"Simone Dos Santos Araújo | Segunda Licenciatura Em Letras-Português/Inglês | Aprovado | Rayssa pp aprovado")</f>
        <v>Simone Dos Santos Araújo | Segunda Licenciatura Em Letras-Português/Inglês | Aprovado | Rayssa pp aprovado</v>
      </c>
      <c r="B3773" s="93"/>
    </row>
    <row r="3774">
      <c r="A3774" s="384" t="str">
        <f>IFERROR(__xludf.DUMMYFUNCTION("""COMPUTED_VALUE"""),"Simone Gomes Dos Santos | Pedagogia | Aprovada | Aline Silva: declaração de experiência foi aceita.// Aline: aprovada 20/11// Bárbara: conferido e arquivado 22/12/2020")</f>
        <v>Simone Gomes Dos Santos | Pedagogia | Aprovada | Aline Silva: declaração de experiência foi aceita.// Aline: aprovada 20/11// Bárbara: conferido e arquivado 22/12/2020</v>
      </c>
      <c r="B3774" s="93"/>
    </row>
    <row r="3775">
      <c r="A3775" s="384" t="str">
        <f>IFERROR(__xludf.DUMMYFUNCTION("""COMPUTED_VALUE"""),"Simone Gomes Dos Santos | Psic. Ped. Clínica | Aprovada | Aline: enviou pasta de licenciatura, não adequou ao modelo padrõ de especialização// Bárbara: aprovada 15/01/2021// Bárbara: conferido e arquivado 15/02/2021")</f>
        <v>Simone Gomes Dos Santos | Psic. Ped. Clínica | Aprovada | Aline: enviou pasta de licenciatura, não adequou ao modelo padrõ de especialização// Bárbara: aprovada 15/01/2021// Bárbara: conferido e arquivado 15/02/2021</v>
      </c>
      <c r="B3775" s="93"/>
    </row>
    <row r="3776">
      <c r="A3776" s="384" t="str">
        <f>IFERROR(__xludf.DUMMYFUNCTION("""COMPUTED_VALUE"""),"Simone Luiz De Oliveira E Silva | Letras- Português | Aprovada | Bárbara: falatava elementos pré textuais, introdução e referências. // Bárbara: aprovada 4ª etapa do remoto 29/09/2020")</f>
        <v>Simone Luiz De Oliveira E Silva | Letras- Português | Aprovada | Bárbara: falatava elementos pré textuais, introdução e referências. // Bárbara: aprovada 4ª etapa do remoto 29/09/2020</v>
      </c>
      <c r="B3776" s="93"/>
    </row>
    <row r="3777">
      <c r="A3777" s="384" t="str">
        <f>IFERROR(__xludf.DUMMYFUNCTION("""COMPUTED_VALUE"""),"Simone Luzia De Jesus Rodrigues | Letras/Português-Inglês | Aprovada | Júnio: declaração de experiência valida //Júnio: pre aprovada: 18/05/23 //Júnio: aprovada: 24/05/23")</f>
        <v>Simone Luzia De Jesus Rodrigues | Letras/Português-Inglês | Aprovada | Júnio: declaração de experiência valida //Júnio: pre aprovada: 18/05/23 //Júnio: aprovada: 24/05/23</v>
      </c>
      <c r="B3777" s="93"/>
    </row>
    <row r="3778">
      <c r="A3778" s="384" t="str">
        <f>IFERROR(__xludf.DUMMYFUNCTION("""COMPUTED_VALUE"""),"Simone Luzia De Jesus Rodrigues | Pedagogia | aprovada | Bianca: aprovada nas 3 1ªetapas do remoto antigo //Bárbara: aprovada 10/06/2021")</f>
        <v>Simone Luzia De Jesus Rodrigues | Pedagogia | aprovada | Bianca: aprovada nas 3 1ªetapas do remoto antigo //Bárbara: aprovada 10/06/2021</v>
      </c>
      <c r="B3778" s="93"/>
    </row>
    <row r="3779">
      <c r="A3779" s="384" t="str">
        <f>IFERROR(__xludf.DUMMYFUNCTION("""COMPUTED_VALUE"""),"Simone Maria Da Silva | Pedagogia | Em análise | Júnio: enviar plano de aula digitado, especificar tipo de acompanhamento e série, fez mais de 6 horas por dia, completar a carga horária até 120 horas. Faltam todas as etapas dissertativas. PRAZO: 31/07/23")</f>
        <v>Simone Maria Da Silva | Pedagogia | Em análise | Júnio: enviar plano de aula digitado, especificar tipo de acompanhamento e série, fez mais de 6 horas por dia, completar a carga horária até 120 horas. Faltam todas as etapas dissertativas. PRAZO: 31/07/23</v>
      </c>
      <c r="B3779" s="93"/>
    </row>
    <row r="3780">
      <c r="A3780" s="384" t="str">
        <f>IFERROR(__xludf.DUMMYFUNCTION("""COMPUTED_VALUE"""),"Simone Maria Da Silveira | Artes Visuais | Aprovada | Alexsiane: enviou somente comprovante de tempo de trabalho, falta todas as etapas do padrão 300h //  Pamela14/12/2022 aprovada da 4° etapa do remoto antigo ( declaração)  ")</f>
        <v>Simone Maria Da Silveira | Artes Visuais | Aprovada | Alexsiane: enviou somente comprovante de tempo de trabalho, falta todas as etapas do padrão 300h //  Pamela14/12/2022 aprovada da 4° etapa do remoto antigo ( declaração)  </v>
      </c>
      <c r="B3780" s="93"/>
    </row>
    <row r="3781">
      <c r="A3781" s="384" t="str">
        <f>IFERROR(__xludf.DUMMYFUNCTION("""COMPUTED_VALUE"""),"Simone Mendes De Almeida Pardini | Pedagogia | Aprovada | Bárbara: aprovada nas 3 priemiras etapas do remoto. // Bárbara: 07/12 aprovada na 4ª etapa")</f>
        <v>Simone Mendes De Almeida Pardini | Pedagogia | Aprovada | Bárbara: aprovada nas 3 priemiras etapas do remoto. // Bárbara: 07/12 aprovada na 4ª etapa</v>
      </c>
      <c r="B3781" s="93"/>
    </row>
    <row r="3782">
      <c r="A3782" s="384" t="str">
        <f>IFERROR(__xludf.DUMMYFUNCTION("""COMPUTED_VALUE"""),"Simone Nunes Almeida | Pedagogia | Aprovada  | Lucas: Etapas 1, 2 e 3 do remoto antigo aprovadas, falta etapa 4// Bárbara: aprovada 26/05")</f>
        <v>Simone Nunes Almeida | Pedagogia | Aprovada  | Lucas: Etapas 1, 2 e 3 do remoto antigo aprovadas, falta etapa 4// Bárbara: aprovada 26/05</v>
      </c>
      <c r="B3782" s="93"/>
    </row>
    <row r="3783">
      <c r="A3783" s="384" t="str">
        <f>IFERROR(__xludf.DUMMYFUNCTION("""COMPUTED_VALUE"""),"Simone Pereira Da Silva Artiagas | Psicopedagogia Institucional,Clínica E Ludopedagogia | Aprovada  | Alexsiane: falta enviar Carta de encaminhamento, Termo de conclusão de horas, Planilhas/ Registro de atividades e Relatório final//  Alexsiane aprovado c"&amp;"om lanaçamento no sponte dia 27/07/2022")</f>
        <v>Simone Pereira Da Silva Artiagas | Psicopedagogia Institucional,Clínica E Ludopedagogia | Aprovada  | Alexsiane: falta enviar Carta de encaminhamento, Termo de conclusão de horas, Planilhas/ Registro de atividades e Relatório final//  Alexsiane aprovado com lanaçamento no sponte dia 27/07/2022</v>
      </c>
      <c r="B3783" s="93"/>
    </row>
    <row r="3784">
      <c r="A3784" s="384" t="str">
        <f>IFERROR(__xludf.DUMMYFUNCTION("""COMPUTED_VALUE"""),"Simone Rodrigues Lisboa | Pedagogia | Aprovada | Bárbara: aprovada etapas 1,2 e 3, aguardando agendamento da 4ª etapa. // Bárbara: aprovada na 4ª etapa 17/11/2020// Bárbara: conferido e arquivado 04/01/2021// Miryã: conferido e arquivado 10/03/2021")</f>
        <v>Simone Rodrigues Lisboa | Pedagogia | Aprovada | Bárbara: aprovada etapas 1,2 e 3, aguardando agendamento da 4ª etapa. // Bárbara: aprovada na 4ª etapa 17/11/2020// Bárbara: conferido e arquivado 04/01/2021// Miryã: conferido e arquivado 10/03/2021</v>
      </c>
      <c r="B3784" s="93"/>
    </row>
    <row r="3785">
      <c r="A3785" s="384" t="str">
        <f>IFERROR(__xludf.DUMMYFUNCTION("""COMPUTED_VALUE"""),"Simone Rodrigues Lisboa | Psicopedagogia Int Cli | Aprovada | Bárbara: Aline pediu para aprovar a aluna. // Bárbara: conferido e arquivado 04/01/2021")</f>
        <v>Simone Rodrigues Lisboa | Psicopedagogia Int Cli | Aprovada | Bárbara: Aline pediu para aprovar a aluna. // Bárbara: conferido e arquivado 04/01/2021</v>
      </c>
      <c r="B3785" s="93"/>
    </row>
    <row r="3786">
      <c r="A3786" s="384" t="str">
        <f>IFERROR(__xludf.DUMMYFUNCTION("""COMPUTED_VALUE"""),"Simoni De Fátima De Oliveira Godoi | Pedagogia | Aprovada | Alexsiane: PP aprovado")</f>
        <v>Simoni De Fátima De Oliveira Godoi | Pedagogia | Aprovada | Alexsiane: PP aprovado</v>
      </c>
      <c r="B3786" s="93"/>
    </row>
    <row r="3787">
      <c r="A3787" s="384" t="str">
        <f>IFERROR(__xludf.DUMMYFUNCTION("""COMPUTED_VALUE"""),"Sinara Pereira De Carvalho | Artes Visuais | Em análise  | Bárbara: Remoto Antigo- Lucas corrigiu o trabalho em 31/03 mas não lançou na planilha, 13% plágio e falta etapa 4, TEM ATÉ 17/07 PARA REENVIAR ")</f>
        <v>Sinara Pereira De Carvalho | Artes Visuais | Em análise  | Bárbara: Remoto Antigo- Lucas corrigiu o trabalho em 31/03 mas não lançou na planilha, 13% plágio e falta etapa 4, TEM ATÉ 17/07 PARA REENVIAR </v>
      </c>
      <c r="B3787" s="93"/>
    </row>
    <row r="3788">
      <c r="A3788" s="384" t="str">
        <f>IFERROR(__xludf.DUMMYFUNCTION("""COMPUTED_VALUE"""),"Siney Tavares Ribeiro | Pedagogia | Aprovado | Júnio: aprovado com lançamento no Sponte")</f>
        <v>Siney Tavares Ribeiro | Pedagogia | Aprovado | Júnio: aprovado com lançamento no Sponte</v>
      </c>
      <c r="B3788" s="93"/>
    </row>
    <row r="3789">
      <c r="A3789" s="384" t="str">
        <f>IFERROR(__xludf.DUMMYFUNCTION("""COMPUTED_VALUE"""),"Sirlândia Silva Santos Schetini | Letras Português | Aprovada | Bianca: apenas fichas de registro, faltam etapas 1,2 e 3 //Júnio: aprovado // Alexsiane: : Conferido e arquivado 14/03/2022")</f>
        <v>Sirlândia Silva Santos Schetini | Letras Português | Aprovada | Bianca: apenas fichas de registro, faltam etapas 1,2 e 3 //Júnio: aprovado // Alexsiane: : Conferido e arquivado 14/03/2022</v>
      </c>
      <c r="B3789" s="93"/>
    </row>
    <row r="3790">
      <c r="A3790" s="384" t="str">
        <f>IFERROR(__xludf.DUMMYFUNCTION("""COMPUTED_VALUE"""),"Sirléia Das Graças Fazzion Silva | Sociologia | Aprovado | Estella: aprovado. Em caráter de urgência. Recebido via Correios 20/11/2018.")</f>
        <v>Sirléia Das Graças Fazzion Silva | Sociologia | Aprovado | Estella: aprovado. Em caráter de urgência. Recebido via Correios 20/11/2018.</v>
      </c>
      <c r="B3790" s="93"/>
    </row>
    <row r="3791">
      <c r="A3791" s="384" t="str">
        <f>IFERROR(__xludf.DUMMYFUNCTION("""COMPUTED_VALUE"""),"Sirlene De Aquino Brito | Música | Aprovada | Júnio: faltam etapas dissertativas I e II, precisa enviar em word editavél. //Júnio: aprovada: 19/09/23")</f>
        <v>Sirlene De Aquino Brito | Música | Aprovada | Júnio: faltam etapas dissertativas I e II, precisa enviar em word editavél. //Júnio: aprovada: 19/09/23</v>
      </c>
      <c r="B3791" s="93"/>
    </row>
    <row r="3792">
      <c r="A3792" s="384" t="str">
        <f>IFERROR(__xludf.DUMMYFUNCTION("""COMPUTED_VALUE"""),"Sirlene Luciana De Lima Da Silva | Música | Aprovada | Júnio: pelo guru declaração de experiencia válida //Júnio: aprovada: 16/08/2023")</f>
        <v>Sirlene Luciana De Lima Da Silva | Música | Aprovada | Júnio: pelo guru declaração de experiencia válida //Júnio: aprovada: 16/08/2023</v>
      </c>
      <c r="B3792" s="93"/>
    </row>
    <row r="3793">
      <c r="A3793" s="384" t="str">
        <f>IFERROR(__xludf.DUMMYFUNCTION("""COMPUTED_VALUE"""),"Sirlene Maria Fernandes | Letras Port./Ing. | Aprovado | Estella: Aprovado. Recebido 09/01/2019.")</f>
        <v>Sirlene Maria Fernandes | Letras Port./Ing. | Aprovado | Estella: Aprovado. Recebido 09/01/2019.</v>
      </c>
      <c r="B3793" s="93"/>
    </row>
    <row r="3794">
      <c r="A3794" s="384" t="str">
        <f>IFERROR(__xludf.DUMMYFUNCTION("""COMPUTED_VALUE"""),"Soanny Andrea Rodrigues Santos | Artes Visuais | Em análise | ")</f>
        <v>Soanny Andrea Rodrigues Santos | Artes Visuais | Em análise | </v>
      </c>
      <c r="B3794" s="93"/>
    </row>
    <row r="3795">
      <c r="A3795" s="384" t="str">
        <f>IFERROR(__xludf.DUMMYFUNCTION("""COMPUTED_VALUE"""),"Solai Silva Pires | Letras Português | Aprovado | Júnio: corrigir nas fichas a rasura, total diário e total geral. PRAZO: 22/04/23  OBS: ele disse no guru que na escola dele unciona como hora/aula, pedi para colocar uma observação. //Júnio: pré aprovado: "&amp;"25/04/23 Júnio: aprovado: 03/05/23")</f>
        <v>Solai Silva Pires | Letras Português | Aprovado | Júnio: corrigir nas fichas a rasura, total diário e total geral. PRAZO: 22/04/23  OBS: ele disse no guru que na escola dele unciona como hora/aula, pedi para colocar uma observação. //Júnio: pré aprovado: 25/04/23 Júnio: aprovado: 03/05/23</v>
      </c>
      <c r="B3795" s="93"/>
    </row>
    <row r="3796">
      <c r="A3796" s="384" t="str">
        <f>IFERROR(__xludf.DUMMYFUNCTION("""COMPUTED_VALUE"""),"Solange Alves De Souza | Letras | Aprovado | Júnio: autorizada a recolher assinaturas, falta carta de apresentação e termo de conclusão//Alexsiane: pré aprovada com lançamento no sponte 18/101// Pâmela conferido e arquivado 16/11/2022")</f>
        <v>Solange Alves De Souza | Letras | Aprovado | Júnio: autorizada a recolher assinaturas, falta carta de apresentação e termo de conclusão//Alexsiane: pré aprovada com lançamento no sponte 18/101// Pâmela conferido e arquivado 16/11/2022</v>
      </c>
      <c r="B3796" s="93"/>
    </row>
    <row r="3797">
      <c r="A3797" s="384" t="str">
        <f>IFERROR(__xludf.DUMMYFUNCTION("""COMPUTED_VALUE"""),"Solange Alves De Souza | Artes Visuais | Aprovado | Alexsiane: corrigir algumas horas nas fichas colocou 6 horas, mudar para as 10 competências da BNCC,complementar a 2° etapa, faltar enviar relatório geral, carta de apresentação e termo de conclusão. até"&amp;" dia 30/11/22  para reenviar// Alexsiane: pré aprovada com lançamento no sponte 18/10// Pâmela conferido e arquivado 16/11/2022")</f>
        <v>Solange Alves De Souza | Artes Visuais | Aprovado | Alexsiane: corrigir algumas horas nas fichas colocou 6 horas, mudar para as 10 competências da BNCC,complementar a 2° etapa, faltar enviar relatório geral, carta de apresentação e termo de conclusão. até dia 30/11/22  para reenviar// Alexsiane: pré aprovada com lançamento no sponte 18/10// Pâmela conferido e arquivado 16/11/2022</v>
      </c>
      <c r="B3797" s="93"/>
    </row>
    <row r="3798">
      <c r="A3798" s="384" t="str">
        <f>IFERROR(__xludf.DUMMYFUNCTION("""COMPUTED_VALUE"""),"Solange Isabel De Andrade Souza | Pedagogia C/ Ênf. | Aprovado | Recebido. Mandei enviar pelo correio (23/01). Voltou para correção, faltando horas e trabalho fora de ordem (16/01). Enviou e-mail sem anexo, aguardando o envio com anexo (15/01).")</f>
        <v>Solange Isabel De Andrade Souza | Pedagogia C/ Ênf. | Aprovado | Recebido. Mandei enviar pelo correio (23/01). Voltou para correção, faltando horas e trabalho fora de ordem (16/01). Enviou e-mail sem anexo, aguardando o envio com anexo (15/01).</v>
      </c>
      <c r="B3798" s="93"/>
    </row>
    <row r="3799">
      <c r="A3799" s="384" t="str">
        <f>IFERROR(__xludf.DUMMYFUNCTION("""COMPUTED_VALUE"""),"Solange Moreira Rosa | Geografia | Aprovada | Bárbara: remoto atualizado, solciitei complementação das fichas de registro com turma e tipo de acompanhamento, parte teórica ok. // Bárbara: pré aprovada 28/07/2022 //Júnio: físico, conferido e arquivado: 11/"&amp;"08/22")</f>
        <v>Solange Moreira Rosa | Geografia | Aprovada | Bárbara: remoto atualizado, solciitei complementação das fichas de registro com turma e tipo de acompanhamento, parte teórica ok. // Bárbara: pré aprovada 28/07/2022 //Júnio: físico, conferido e arquivado: 11/08/22</v>
      </c>
      <c r="B3799" s="93"/>
    </row>
    <row r="3800">
      <c r="A3800" s="384" t="str">
        <f>IFERROR(__xludf.DUMMYFUNCTION("""COMPUTED_VALUE"""),"Solange Pessoa Dos Santos | Pedagogia | Aprovada | Júnio: PP 19% plágio  PRAZO: 14/09/23 //Júnio: PP aprovado: 25/09/2023")</f>
        <v>Solange Pessoa Dos Santos | Pedagogia | Aprovada | Júnio: PP 19% plágio  PRAZO: 14/09/23 //Júnio: PP aprovado: 25/09/2023</v>
      </c>
      <c r="B3800" s="93"/>
    </row>
    <row r="3801">
      <c r="A3801" s="384" t="str">
        <f>IFERROR(__xludf.DUMMYFUNCTION("""COMPUTED_VALUE"""),"Solange Rosa Alves | Pedagogia | Aprovada | Bárbara: aprovada nas 3 primeiras etapas do remoto, aguardando a última. // Bárbara: aprovada 21/12/2020")</f>
        <v>Solange Rosa Alves | Pedagogia | Aprovada | Bárbara: aprovada nas 3 primeiras etapas do remoto, aguardando a última. // Bárbara: aprovada 21/12/2020</v>
      </c>
      <c r="B3801" s="93"/>
    </row>
    <row r="3802">
      <c r="A3802" s="384" t="str">
        <f>IFERROR(__xludf.DUMMYFUNCTION("""COMPUTED_VALUE"""),"Soliane Maria Oliveira De Miranda | Neuropsicopedagogia Institucional,Clínica E Hospitalar | Aprovada | Edilaine: Enviou somente o relatório, falta todos os tópicos obrigatórios.//Alexsiane: Pré-aprovada, autorizada a autenticar 01/05 para enviar //Júnio:"&amp;" 03/05/2023")</f>
        <v>Soliane Maria Oliveira De Miranda | Neuropsicopedagogia Institucional,Clínica E Hospitalar | Aprovada | Edilaine: Enviou somente o relatório, falta todos os tópicos obrigatórios.//Alexsiane: Pré-aprovada, autorizada a autenticar 01/05 para enviar //Júnio: 03/05/2023</v>
      </c>
      <c r="B3802" s="93"/>
    </row>
    <row r="3803">
      <c r="A3803" s="384" t="str">
        <f>IFERROR(__xludf.DUMMYFUNCTION("""COMPUTED_VALUE"""),"Solimar Aparecida De Caravalho Melo | Pedagogia | Aprovada | Bianca: pedi para completar os planos de aula //Bianca: aprovada: 21/06/2021")</f>
        <v>Solimar Aparecida De Caravalho Melo | Pedagogia | Aprovada | Bianca: pedi para completar os planos de aula //Bianca: aprovada: 21/06/2021</v>
      </c>
      <c r="B3803" s="93"/>
    </row>
    <row r="3804">
      <c r="A3804" s="384" t="str">
        <f>IFERROR(__xludf.DUMMYFUNCTION("""COMPUTED_VALUE"""),"Sônia Alves Pinto | Pedagogia | Aprovada | Bárbara: aluna encmainhou o trabalho físico antes da aprovação. Esse trabalho se encontrava em uma caixa de trabalhos que tivemos acesso quando nos mudados para o prédio da coopira, então não sei quando foi receb"&amp;"ido. As datas do estágio, estão retroativas a data da matrícula, a carta de aceite não está aprovada, contudo como sei quando esse trabalho chegou não posso devolver, o restante está ok. // Bárbara: conferido e arquivado 14/04/2021")</f>
        <v>Sônia Alves Pinto | Pedagogia | Aprovada | Bárbara: aluna encmainhou o trabalho físico antes da aprovação. Esse trabalho se encontrava em uma caixa de trabalhos que tivemos acesso quando nos mudados para o prédio da coopira, então não sei quando foi recebido. As datas do estágio, estão retroativas a data da matrícula, a carta de aceite não está aprovada, contudo como sei quando esse trabalho chegou não posso devolver, o restante está ok. // Bárbara: conferido e arquivado 14/04/2021</v>
      </c>
      <c r="B3804" s="93"/>
    </row>
    <row r="3805">
      <c r="A3805" s="384" t="str">
        <f>IFERROR(__xludf.DUMMYFUNCTION("""COMPUTED_VALUE"""),"Sônia Aparecida Da Silva | Artes Visuais | Aprovada | Júnio: PP- falta a etapa 2 //Júnio: aprovada: 18/10/23")</f>
        <v>Sônia Aparecida Da Silva | Artes Visuais | Aprovada | Júnio: PP- falta a etapa 2 //Júnio: aprovada: 18/10/23</v>
      </c>
      <c r="B3805" s="93"/>
    </row>
    <row r="3806">
      <c r="A3806" s="384" t="str">
        <f>IFERROR(__xludf.DUMMYFUNCTION("""COMPUTED_VALUE"""),"Sônia De Fátima Ribeiro Kachoroski | Artes Visuais | Aprovada | Júnio:  Falta objetivos gerais e específicos, apresentação da escola, análise do PP e gestão, relatório de observação e regência, autoavaliação, especificar nas fichas o tipo de acompanhament"&amp;"o e série, enviar etapas dissertativas digitadas. PRAZO: 20/07/23 //Júnio: aprovada: 11/09/23
")</f>
        <v>Sônia De Fátima Ribeiro Kachoroski | Artes Visuais | Aprovada | Júnio:  Falta objetivos gerais e específicos, apresentação da escola, análise do PP e gestão, relatório de observação e regência, autoavaliação, especificar nas fichas o tipo de acompanhamento e série, enviar etapas dissertativas digitadas. PRAZO: 20/07/23 //Júnio: aprovada: 11/09/23
</v>
      </c>
      <c r="B3806" s="93"/>
    </row>
    <row r="3807">
      <c r="A3807" s="384" t="str">
        <f>IFERROR(__xludf.DUMMYFUNCTION("""COMPUTED_VALUE"""),"Sonia Duarte Da Silva | Pedagogia | Em análise | falta carimbos no cronograma de estágio, falta carta de apresentação/aceite, pedi que borrase as imagens dos alunos.")</f>
        <v>Sonia Duarte Da Silva | Pedagogia | Em análise | falta carimbos no cronograma de estágio, falta carta de apresentação/aceite, pedi que borrase as imagens dos alunos.</v>
      </c>
      <c r="B3807" s="93"/>
    </row>
    <row r="3808">
      <c r="A3808" s="384" t="str">
        <f>IFERROR(__xludf.DUMMYFUNCTION("""COMPUTED_VALUE"""),"Sonia Elena Pimenta | Neuropsicopedagogia Clínica E Institucional | Aprovado | Alexsiane: falta ficha de registro, termo e carta até dia 22/08 reenviar//Alexsiane: estágio remoto aprovado 29/08")</f>
        <v>Sonia Elena Pimenta | Neuropsicopedagogia Clínica E Institucional | Aprovado | Alexsiane: falta ficha de registro, termo e carta até dia 22/08 reenviar//Alexsiane: estágio remoto aprovado 29/08</v>
      </c>
      <c r="B3808" s="93"/>
    </row>
    <row r="3809">
      <c r="A3809" s="384" t="str">
        <f>IFERROR(__xludf.DUMMYFUNCTION("""COMPUTED_VALUE"""),"Sônia Horácio Laureano | Pedagogia | Aprovada | Júnio: pelo guru declaração de experiência válida //Júnio: pré aprovada: 18/07/2023 //Júnio: aprovado: 28/07/23")</f>
        <v>Sônia Horácio Laureano | Pedagogia | Aprovada | Júnio: pelo guru declaração de experiência válida //Júnio: pré aprovada: 18/07/2023 //Júnio: aprovado: 28/07/23</v>
      </c>
      <c r="B3809" s="93"/>
    </row>
    <row r="3810">
      <c r="A3810" s="384" t="str">
        <f>IFERROR(__xludf.DUMMYFUNCTION("""COMPUTED_VALUE"""),"Sonia Maria De Souza Cunha | Pedagogia | Aprovado | Thiara: retornei para a aluna, foi constatado plágio, nenhum documento estava assinado. Trabalho impresso entregue dia 27/12/2018// Bárbara: Conferido e arquivado 10/09/2020")</f>
        <v>Sonia Maria De Souza Cunha | Pedagogia | Aprovado | Thiara: retornei para a aluna, foi constatado plágio, nenhum documento estava assinado. Trabalho impresso entregue dia 27/12/2018// Bárbara: Conferido e arquivado 10/09/2020</v>
      </c>
      <c r="B3810" s="93"/>
    </row>
    <row r="3811">
      <c r="A3811" s="384" t="str">
        <f>IFERROR(__xludf.DUMMYFUNCTION("""COMPUTED_VALUE"""),"Soraia Maria Batista Andrade | Pedagogia | Aprovada | Bianca: Falta carta de apresentação e termo de conclusão //Júnio: Conferido e arquivado: 05/11/2021")</f>
        <v>Soraia Maria Batista Andrade | Pedagogia | Aprovada | Bianca: Falta carta de apresentação e termo de conclusão //Júnio: Conferido e arquivado: 05/11/2021</v>
      </c>
      <c r="B3811" s="93"/>
    </row>
    <row r="3812">
      <c r="A3812" s="384" t="str">
        <f>IFERROR(__xludf.DUMMYFUNCTION("""COMPUTED_VALUE"""),"Soraia Maria Batista Andrade De Souza | Neuropsicopedagogia Institucional,Clínica E Hospitalar | Aprovado | Alexsiane: Aprovado com lançamento no Sponte")</f>
        <v>Soraia Maria Batista Andrade De Souza | Neuropsicopedagogia Institucional,Clínica E Hospitalar | Aprovado | Alexsiane: Aprovado com lançamento no Sponte</v>
      </c>
      <c r="B3812" s="93"/>
    </row>
    <row r="3813">
      <c r="A3813" s="384" t="str">
        <f>IFERROR(__xludf.DUMMYFUNCTION("""COMPUTED_VALUE"""),"Soraia Maria Batista Andrade De Souza | Psicopedagogia Institucional E Clínica | Em análise | Júnio: 22% plágio, falta ficha de registro, carta de apresentação, termo de conclusão, transcrever o estudo de caso para o modelo de pasta padrão de estágio.")</f>
        <v>Soraia Maria Batista Andrade De Souza | Psicopedagogia Institucional E Clínica | Em análise | Júnio: 22% plágio, falta ficha de registro, carta de apresentação, termo de conclusão, transcrever o estudo de caso para o modelo de pasta padrão de estágio.</v>
      </c>
      <c r="B3813" s="93"/>
    </row>
    <row r="3814">
      <c r="A3814" s="384" t="str">
        <f>IFERROR(__xludf.DUMMYFUNCTION("""COMPUTED_VALUE"""),"Soraya Aboim Freire Pereira | Musica | Em análise | Pâmela: declaração valida")</f>
        <v>Soraya Aboim Freire Pereira | Musica | Em análise | Pâmela: declaração valida</v>
      </c>
      <c r="B3814" s="93"/>
    </row>
    <row r="3815">
      <c r="A3815" s="384" t="str">
        <f>IFERROR(__xludf.DUMMYFUNCTION("""COMPUTED_VALUE"""),"Soraya Aboim Freire Pereira | Música | Aprovada | Júnio: aprovada")</f>
        <v>Soraya Aboim Freire Pereira | Música | Aprovada | Júnio: aprovada</v>
      </c>
      <c r="B3815" s="93"/>
    </row>
    <row r="3816">
      <c r="A3816" s="384" t="str">
        <f>IFERROR(__xludf.DUMMYFUNCTION("""COMPUTED_VALUE"""),"Soraya Abreu De Morais | Pedagogia | Aprovada | Bianca: falta carta de aprovação, carta de aceite, elaborou somente 1 plano de aula //Bàrbara: aprovada: 30/07/2021 //Júnio: conferido e arquivado: 09/08/21")</f>
        <v>Soraya Abreu De Morais | Pedagogia | Aprovada | Bianca: falta carta de aprovação, carta de aceite, elaborou somente 1 plano de aula //Bàrbara: aprovada: 30/07/2021 //Júnio: conferido e arquivado: 09/08/21</v>
      </c>
      <c r="B3816" s="93"/>
    </row>
    <row r="3817">
      <c r="A3817" s="384" t="str">
        <f>IFERROR(__xludf.DUMMYFUNCTION("""COMPUTED_VALUE"""),"Soren Joy César Santana Fernandes | Segunda Licenciatura Em Pedagogia | Aprovado | Rayssa pp aprovado")</f>
        <v>Soren Joy César Santana Fernandes | Segunda Licenciatura Em Pedagogia | Aprovado | Rayssa pp aprovado</v>
      </c>
      <c r="B3817" s="93"/>
    </row>
    <row r="3818">
      <c r="A3818" s="384" t="str">
        <f>IFERROR(__xludf.DUMMYFUNCTION("""COMPUTED_VALUE"""),"Stefane Rodrigo Santos | Matemática | Aprovada | Alexsiane: 13% de plágio, especificar o tipo de acompanhamento (observação,gestão e regência), colocar os dias em quadrados diferentes e corrigir as rasuras.//Alexsiane; pré aprovado ( carga horaria do alun"&amp;"o está faltando algumas horas, não foi possivel cobrar pois não foi cobrado em nenhuma das correções) // Pâmela 19/01/2023 Conferido e arquivado ")</f>
        <v>Stefane Rodrigo Santos | Matemática | Aprovada | Alexsiane: 13% de plágio, especificar o tipo de acompanhamento (observação,gestão e regência), colocar os dias em quadrados diferentes e corrigir as rasuras.//Alexsiane; pré aprovado ( carga horaria do aluno está faltando algumas horas, não foi possivel cobrar pois não foi cobrado em nenhuma das correções) // Pâmela 19/01/2023 Conferido e arquivado </v>
      </c>
      <c r="B3818" s="93"/>
    </row>
    <row r="3819">
      <c r="A3819" s="384" t="str">
        <f>IFERROR(__xludf.DUMMYFUNCTION("""COMPUTED_VALUE"""),"Stefânia De Oliveira Eugênio | Pedagogia | Aprovada | Alexsiane: pp aprovado]")</f>
        <v>Stefânia De Oliveira Eugênio | Pedagogia | Aprovada | Alexsiane: pp aprovado]</v>
      </c>
      <c r="B3819" s="93"/>
    </row>
    <row r="3820">
      <c r="A3820" s="384" t="str">
        <f>IFERROR(__xludf.DUMMYFUNCTION("""COMPUTED_VALUE"""),"Stefany Silva Dos Santos | Neuropsicopedagogia Instittucional Clínica E Hospitalar | Aprovada | Júnio: remoto antigo - aprovada")</f>
        <v>Stefany Silva Dos Santos | Neuropsicopedagogia Instittucional Clínica E Hospitalar | Aprovada | Júnio: remoto antigo - aprovada</v>
      </c>
      <c r="B3820" s="93"/>
    </row>
    <row r="3821">
      <c r="A3821" s="384" t="str">
        <f>IFERROR(__xludf.DUMMYFUNCTION("""COMPUTED_VALUE"""),"Stela Cristina Ferreira Da Silva | Pedagogia | Aprovada | Júnio: pré aprovada //Júnio: aprovada: 18/05/23")</f>
        <v>Stela Cristina Ferreira Da Silva | Pedagogia | Aprovada | Júnio: pré aprovada //Júnio: aprovada: 18/05/23</v>
      </c>
      <c r="B3821" s="93"/>
    </row>
    <row r="3822">
      <c r="A3822" s="384" t="str">
        <f>IFERROR(__xludf.DUMMYFUNCTION("""COMPUTED_VALUE"""),"Stela Maris Alves Ribeiro | Pedagogia Para Bacharéis E Tecnólogos | APROVADAAA | Alexsiane: pp tem que enviar a entrevista digitada, pcc I: Complementar a tabela com + 40 horas. PCC II:tem que fazer a tabela, PCC III:tem que fazer a tabela é enviar as eta"&amp;"pas dissertativas 19/10 extensão// PP E PCC APROVADO 25/09/24")</f>
        <v>Stela Maris Alves Ribeiro | Pedagogia Para Bacharéis E Tecnólogos | APROVADAAA | Alexsiane: pp tem que enviar a entrevista digitada, pcc I: Complementar a tabela com + 40 horas. PCC II:tem que fazer a tabela, PCC III:tem que fazer a tabela é enviar as etapas dissertativas 19/10 extensão// PP E PCC APROVADO 25/09/24</v>
      </c>
      <c r="B3822" s="93"/>
    </row>
    <row r="3823">
      <c r="A3823" s="384" t="str">
        <f>IFERROR(__xludf.DUMMYFUNCTION("""COMPUTED_VALUE"""),"Stenio De Brito Fernandes | Pedagogia | Aprovado | Júnio: PP aprovado")</f>
        <v>Stenio De Brito Fernandes | Pedagogia | Aprovado | Júnio: PP aprovado</v>
      </c>
      <c r="B3823" s="93"/>
    </row>
    <row r="3824">
      <c r="A3824" s="384" t="str">
        <f>IFERROR(__xludf.DUMMYFUNCTION("""COMPUTED_VALUE"""),"Sthefânia De Oliveira Lima Dias | Pedagogia | Aprovada  | Aline Silva: usou data anterior a matrícula, sem formatação, sem horas, não usou as fichas padrão.// Bianca aprovado em 17/05/2021 //Júnio: conferido e arquivado: 26/11/21")</f>
        <v>Sthefânia De Oliveira Lima Dias | Pedagogia | Aprovada  | Aline Silva: usou data anterior a matrícula, sem formatação, sem horas, não usou as fichas padrão.// Bianca aprovado em 17/05/2021 //Júnio: conferido e arquivado: 26/11/21</v>
      </c>
      <c r="B3824" s="93"/>
    </row>
    <row r="3825">
      <c r="A3825" s="384" t="str">
        <f>IFERROR(__xludf.DUMMYFUNCTION("""COMPUTED_VALUE"""),"Sthefany Silva | Matemática | Aprovada | Júnio: PP - 9,8% plágio parafraseado e falta responder o questionário. //Júnio: aprovada: 19/07/23")</f>
        <v>Sthefany Silva | Matemática | Aprovada | Júnio: PP - 9,8% plágio parafraseado e falta responder o questionário. //Júnio: aprovada: 19/07/23</v>
      </c>
      <c r="B3825" s="93"/>
    </row>
    <row r="3826">
      <c r="A3826" s="384" t="str">
        <f>IFERROR(__xludf.DUMMYFUNCTION("""COMPUTED_VALUE"""),"Suanne De Castro Gonçalves | Psicopedagogia Clínica, Institucional E Hospitalar | Aprovada | Júnio: pré aprovada PRAZO: 21/10/23 //Júnio: aprovada: 23/10/23")</f>
        <v>Suanne De Castro Gonçalves | Psicopedagogia Clínica, Institucional E Hospitalar | Aprovada | Júnio: pré aprovada PRAZO: 21/10/23 //Júnio: aprovada: 23/10/23</v>
      </c>
      <c r="B3826" s="93"/>
    </row>
    <row r="3827">
      <c r="A3827" s="384" t="str">
        <f>IFERROR(__xludf.DUMMYFUNCTION("""COMPUTED_VALUE"""),"Sue Ellen Regina Perinelli Orsini | Artes Visuais | Aprovada  | Júnio: 7% plágio, falta etapa 4// Bárbara: aprovada ")</f>
        <v>Sue Ellen Regina Perinelli Orsini | Artes Visuais | Aprovada  | Júnio: 7% plágio, falta etapa 4// Bárbara: aprovada </v>
      </c>
      <c r="B3827" s="93"/>
    </row>
    <row r="3828">
      <c r="A3828" s="384" t="str">
        <f>IFERROR(__xludf.DUMMYFUNCTION("""COMPUTED_VALUE"""),"Sue Hellen Cristina Pereira Ferreira | Música | Aprovada  | Júnio: falta a etapa 2.// Alexsiane: pp aprovado, a mesma já havia enviado em dezembro de 2023, estava esperando os 6 meses de curso mas ficou perdido")</f>
        <v>Sue Hellen Cristina Pereira Ferreira | Música | Aprovada  | Júnio: falta a etapa 2.// Alexsiane: pp aprovado, a mesma já havia enviado em dezembro de 2023, estava esperando os 6 meses de curso mas ficou perdido</v>
      </c>
      <c r="B3828" s="93"/>
    </row>
    <row r="3829">
      <c r="A3829" s="384" t="str">
        <f>IFERROR(__xludf.DUMMYFUNCTION("""COMPUTED_VALUE"""),"Suelem Maria Pereira Silva | Ciências Biologicas | Aprovado | Thiara: Aprovado. Entregue no Instituto dia 27/08/2019.")</f>
        <v>Suelem Maria Pereira Silva | Ciências Biologicas | Aprovado | Thiara: Aprovado. Entregue no Instituto dia 27/08/2019.</v>
      </c>
      <c r="B3829" s="93"/>
    </row>
    <row r="3830">
      <c r="A3830" s="384" t="str">
        <f>IFERROR(__xludf.DUMMYFUNCTION("""COMPUTED_VALUE"""),"Suélen Vieira Carrara | Educação Física | Aprovado | Alexsiane: pp aprovado")</f>
        <v>Suélen Vieira Carrara | Educação Física | Aprovado | Alexsiane: pp aprovado</v>
      </c>
      <c r="B3830" s="93"/>
    </row>
    <row r="3831">
      <c r="A3831" s="384" t="str">
        <f>IFERROR(__xludf.DUMMYFUNCTION("""COMPUTED_VALUE"""),"Sueli Aparecida Da Costa Anastacio | Pedagogia Para Bacharéis E Tecnólogos | Aprovado | Júnio: -Estágio I: Falta a carta de apresentação e termo de conclusão, está autorizada a recolher assinaturas da ficha de registro. -Estágio II: Falta a carta de apres"&amp;"entação e termo de conclusão, está autorizada a recolher assinaturas da ficha de registro.    -Estágio III: Falta a carta de apresentação e termo de conclusão, os lançamentos na ficha de registro não foram válidos pois a maioria das datas são iguais ao es"&amp;"tágio II e ultrapassam o limite diário de 6 horas, com isso será necessário refazê-la. -Estágio IV: Falta a carta de apresentação e termo de conclusão, está autorizada a recolher assinaturas da ficha de registro.    - Prática de Componente Curricular I: o"&amp;"k - Prática de Componente Curricular II: ok - Prática de Componente Curricular III: falta a entrevista na íntegra em forma de perguntas e respostas. - Prática de Componente Curricular IV: ok")</f>
        <v>Sueli Aparecida Da Costa Anastacio | Pedagogia Para Bacharéis E Tecnólogos | Aprovado | Júnio: -Estágio I: Falta a carta de apresentação e termo de conclusão, está autorizada a recolher assinaturas da ficha de registro. -Estágio II: Falta a carta de apresentação e termo de conclusão, está autorizada a recolher assinaturas da ficha de registro.    -Estágio III: Falta a carta de apresentação e termo de conclusão, os lançamentos na ficha de registro não foram válidos pois a maioria das datas são iguais ao estágio II e ultrapassam o limite diário de 6 horas, com isso será necessário refazê-la. -Estágio IV: Falta a carta de apresentação e termo de conclusão, está autorizada a recolher assinaturas da ficha de registro.    - Prática de Componente Curricular I: ok - Prática de Componente Curricular II: ok - Prática de Componente Curricular III: falta a entrevista na íntegra em forma de perguntas e respostas. - Prática de Componente Curricular IV: ok</v>
      </c>
      <c r="B3831" s="93"/>
    </row>
    <row r="3832">
      <c r="A3832" s="384" t="str">
        <f>IFERROR(__xludf.DUMMYFUNCTION("""COMPUTED_VALUE"""),"Sueli Aparecida Da Costa Anastacio | Pedagogia Para Bacharéis E Tecnólogos | Aprovado | Rayssa pcc aprovado")</f>
        <v>Sueli Aparecida Da Costa Anastacio | Pedagogia Para Bacharéis E Tecnólogos | Aprovado | Rayssa pcc aprovado</v>
      </c>
      <c r="B3832" s="93"/>
    </row>
    <row r="3833">
      <c r="A3833" s="384" t="str">
        <f>IFERROR(__xludf.DUMMYFUNCTION("""COMPUTED_VALUE"""),"Sueli Aparecida De Oliveira E Silva | Artes Visuais | Em análise | Thiara: não enviou carta de aceite e enviou toda a documentação sem assinatura.// Recebido dia 15/01/2020")</f>
        <v>Sueli Aparecida De Oliveira E Silva | Artes Visuais | Em análise | Thiara: não enviou carta de aceite e enviou toda a documentação sem assinatura.// Recebido dia 15/01/2020</v>
      </c>
      <c r="B3833" s="93"/>
    </row>
    <row r="3834">
      <c r="A3834" s="384" t="str">
        <f>IFERROR(__xludf.DUMMYFUNCTION("""COMPUTED_VALUE"""),"Sueli Cristina Braga | Artes Visuais | Aprovado | Thiara: Faltam assinaturas. Redução de carga horária, possui declaração de experiência. /// Enviou documentação asssinada. Entregou pessoalmente dia 27/09/2019.")</f>
        <v>Sueli Cristina Braga | Artes Visuais | Aprovado | Thiara: Faltam assinaturas. Redução de carga horária, possui declaração de experiência. /// Enviou documentação asssinada. Entregou pessoalmente dia 27/09/2019.</v>
      </c>
      <c r="B3834" s="93"/>
    </row>
    <row r="3835">
      <c r="A3835" s="384" t="str">
        <f>IFERROR(__xludf.DUMMYFUNCTION("""COMPUTED_VALUE"""),"Sueli Divina Jacinta | Pedagogia | Aprovada | Lucas: Complementar a ficha de registro  //Júnio: aprovada: 05/07/22 //Júnio: conferida e arquivada: 09/08/22")</f>
        <v>Sueli Divina Jacinta | Pedagogia | Aprovada | Lucas: Complementar a ficha de registro  //Júnio: aprovada: 05/07/22 //Júnio: conferida e arquivada: 09/08/22</v>
      </c>
      <c r="B3835" s="93"/>
    </row>
    <row r="3836">
      <c r="A3836" s="384" t="str">
        <f>IFERROR(__xludf.DUMMYFUNCTION("""COMPUTED_VALUE"""),"Sueli Martins | Artes Visuais | Aprovada | Aline: tirar fiar e recolher assinaturas e enviar digitalizado // Bianca: aprovada 22/03/2021// Bárbara: conferido e arquivado 21/05/2021")</f>
        <v>Sueli Martins | Artes Visuais | Aprovada | Aline: tirar fiar e recolher assinaturas e enviar digitalizado // Bianca: aprovada 22/03/2021// Bárbara: conferido e arquivado 21/05/2021</v>
      </c>
      <c r="B3836" s="93"/>
    </row>
    <row r="3837">
      <c r="A3837" s="384" t="str">
        <f>IFERROR(__xludf.DUMMYFUNCTION("""COMPUTED_VALUE"""),"Sueli Ramos | Artes Visuais | Aprovada | Lucas: Complementar fichas de registro, TEM ATÉ DIA 10/02/2022 PARA ENVIAR A CORREÇÃO, CASO CONTRARIO SERA COBRANDO EXTENSÃO.// Alexsaine;aprovado com lançamento no sponte //Júnio: físico conferido e arquivado: 20/"&amp;"07/22")</f>
        <v>Sueli Ramos | Artes Visuais | Aprovada | Lucas: Complementar fichas de registro, TEM ATÉ DIA 10/02/2022 PARA ENVIAR A CORREÇÃO, CASO CONTRARIO SERA COBRANDO EXTENSÃO.// Alexsaine;aprovado com lançamento no sponte //Júnio: físico conferido e arquivado: 20/07/22</v>
      </c>
      <c r="B3837" s="93"/>
    </row>
    <row r="3838">
      <c r="A3838" s="384" t="str">
        <f>IFERROR(__xludf.DUMMYFUNCTION("""COMPUTED_VALUE"""),"Suelin Roberta Ribeiro Quinol | História | Aprovada | Júnio: 8% plágio, anexar fichas da etapa 4 //Júnio: enviou fichas da etapa 4 somente impressas junto com as outras etapas, conferida e arquivada: 08/10/21")</f>
        <v>Suelin Roberta Ribeiro Quinol | História | Aprovada | Júnio: 8% plágio, anexar fichas da etapa 4 //Júnio: enviou fichas da etapa 4 somente impressas junto com as outras etapas, conferida e arquivada: 08/10/21</v>
      </c>
      <c r="B3838" s="93"/>
    </row>
    <row r="3839">
      <c r="A3839" s="384" t="str">
        <f>IFERROR(__xludf.DUMMYFUNCTION("""COMPUTED_VALUE"""),"Suelin Roberta Ribeiro Quinol | Letras | Aprovada | Júnio: anexar fichas da etapa 4 //Júnio: Enviou fichas físicas 08/10/21. Aluna confundiu os estágios antigo e atualizado, em carater excepcional seu estágio passou pro antigo, aprovada, conferida e arqui"&amp;"vada.")</f>
        <v>Suelin Roberta Ribeiro Quinol | Letras | Aprovada | Júnio: anexar fichas da etapa 4 //Júnio: Enviou fichas físicas 08/10/21. Aluna confundiu os estágios antigo e atualizado, em carater excepcional seu estágio passou pro antigo, aprovada, conferida e arquivada.</v>
      </c>
      <c r="B3839" s="93"/>
    </row>
    <row r="3840">
      <c r="A3840" s="384" t="str">
        <f>IFERROR(__xludf.DUMMYFUNCTION("""COMPUTED_VALUE"""),"Suellen Claúdia Barros | Pedagogia | Aprovada | Bárbara: aprovada nas 3 primeiras etapas do remoto, 4ª etapa fichas erradas // Bárbara: aprovada na 4ª etapa do estágio 31/03/2021")</f>
        <v>Suellen Claúdia Barros | Pedagogia | Aprovada | Bárbara: aprovada nas 3 primeiras etapas do remoto, 4ª etapa fichas erradas // Bárbara: aprovada na 4ª etapa do estágio 31/03/2021</v>
      </c>
      <c r="B3840" s="93"/>
    </row>
    <row r="3841">
      <c r="A3841" s="384" t="str">
        <f>IFERROR(__xludf.DUMMYFUNCTION("""COMPUTED_VALUE"""),"Suely Aparecida Machado | Letras Português | Aprovada | Júnio: PP - 25% plágio, fazer capa e enviar entrevista digitada.// Alexsiane; PP APROVADO")</f>
        <v>Suely Aparecida Machado | Letras Português | Aprovada | Júnio: PP - 25% plágio, fazer capa e enviar entrevista digitada.// Alexsiane; PP APROVADO</v>
      </c>
      <c r="B3841" s="93"/>
    </row>
    <row r="3842">
      <c r="A3842" s="384" t="str">
        <f>IFERROR(__xludf.DUMMYFUNCTION("""COMPUTED_VALUE"""),"Suely De Sousa Gonçalves | Pedagogia | Aprovada | Aline Silva: aprovada// Miryã: conferido e arquivado 12/03/2021")</f>
        <v>Suely De Sousa Gonçalves | Pedagogia | Aprovada | Aline Silva: aprovada// Miryã: conferido e arquivado 12/03/2021</v>
      </c>
      <c r="B3842" s="93"/>
    </row>
    <row r="3843">
      <c r="A3843" s="384" t="str">
        <f>IFERROR(__xludf.DUMMYFUNCTION("""COMPUTED_VALUE"""),"Suely Oliari Bueno | Artes Visuais | Aprovado | Bianca: Plágio 24%//Alexsiane: pré aprovado com lançamento no sponte 27/10/2022 // Pamela 19/01/2023  Conferido e arquivado. ")</f>
        <v>Suely Oliari Bueno | Artes Visuais | Aprovado | Bianca: Plágio 24%//Alexsiane: pré aprovado com lançamento no sponte 27/10/2022 // Pamela 19/01/2023  Conferido e arquivado. </v>
      </c>
      <c r="B3843" s="93"/>
    </row>
    <row r="3844">
      <c r="A3844" s="384" t="str">
        <f>IFERROR(__xludf.DUMMYFUNCTION("""COMPUTED_VALUE"""),"Suely Ribeiro Brito | Pedagogia | Aprovado | Alexsiane: pp tem que colocar a segunda etapa em formato de perguntas e respostas. 18/07/24 para reenvias/ alexsiane: pp aprovado 10/09/24")</f>
        <v>Suely Ribeiro Brito | Pedagogia | Aprovado | Alexsiane: pp tem que colocar a segunda etapa em formato de perguntas e respostas. 18/07/24 para reenvias/ alexsiane: pp aprovado 10/09/24</v>
      </c>
      <c r="B3844" s="93"/>
    </row>
    <row r="3845">
      <c r="A3845" s="384" t="str">
        <f>IFERROR(__xludf.DUMMYFUNCTION("""COMPUTED_VALUE"""),"Suély Zilda Góes | Pedagogia | Aprovada | Bárbara: planos de aula iguais // Bianca: aprovada 01/03/2021")</f>
        <v>Suély Zilda Góes | Pedagogia | Aprovada | Bárbara: planos de aula iguais // Bianca: aprovada 01/03/2021</v>
      </c>
      <c r="B3845" s="93"/>
    </row>
    <row r="3846">
      <c r="A3846" s="384" t="str">
        <f>IFERROR(__xludf.DUMMYFUNCTION("""COMPUTED_VALUE"""),"Suerli Chaves Brito Soares | Letras/ Português | Aprovada  | Bianca: falta etapa 1 e 2 do remoto atualizado// Bárbara: aprovada 08/02/2022  //Júnio:conferido e arquivado: 25/02/22")</f>
        <v>Suerli Chaves Brito Soares | Letras/ Português | Aprovada  | Bianca: falta etapa 1 e 2 do remoto atualizado// Bárbara: aprovada 08/02/2022  //Júnio:conferido e arquivado: 25/02/22</v>
      </c>
      <c r="B3846" s="93"/>
    </row>
    <row r="3847">
      <c r="A3847" s="384" t="str">
        <f>IFERROR(__xludf.DUMMYFUNCTION("""COMPUTED_VALUE"""),"Susamary Figueiredo |  | Aprovado | Mandei enviar pelo correio (30/11).")</f>
        <v>Susamary Figueiredo |  | Aprovado | Mandei enviar pelo correio (30/11).</v>
      </c>
      <c r="B3847" s="93"/>
    </row>
    <row r="3848">
      <c r="A3848" s="384" t="str">
        <f>IFERROR(__xludf.DUMMYFUNCTION("""COMPUTED_VALUE"""),"Susana Da Conceição Santos | Neuropsicopedagogia Institucional,Clínica E Hospitalar | Aprovada  | Alexsiane: especificar nas fichas o tipo de acompanhamento nas fichas e cobrir o rosto do paciente -//Júnio: pre aprovada: 22/12/22// Pamela 01/02/2023 Confe"&amp;"rido e arquivado. ")</f>
        <v>Susana Da Conceição Santos | Neuropsicopedagogia Institucional,Clínica E Hospitalar | Aprovada  | Alexsiane: especificar nas fichas o tipo de acompanhamento nas fichas e cobrir o rosto do paciente -//Júnio: pre aprovada: 22/12/22// Pamela 01/02/2023 Conferido e arquivado. </v>
      </c>
      <c r="B3848" s="93"/>
    </row>
    <row r="3849">
      <c r="A3849" s="384" t="str">
        <f>IFERROR(__xludf.DUMMYFUNCTION("""COMPUTED_VALUE"""),"Suseley Hartgers | Neuropsicopedagogia Institucional,Clínica E Hospitalar | Aprovada | Alexsiane: Especificar o tipo de acompanhamento e 31% de plágio// Alexsiane: pré aprovada com lançamento no sponte. //Pâmela 08/11/2022 Pasta física chegou nosso polo, "&amp;"porem termo de conclusão veio impresso. Solicitei a mesma o envio original. // Pâmela 21/11/22 Conferido e arquivado ")</f>
        <v>Suseley Hartgers | Neuropsicopedagogia Institucional,Clínica E Hospitalar | Aprovada | Alexsiane: Especificar o tipo de acompanhamento e 31% de plágio// Alexsiane: pré aprovada com lançamento no sponte. //Pâmela 08/11/2022 Pasta física chegou nosso polo, porem termo de conclusão veio impresso. Solicitei a mesma o envio original. // Pâmela 21/11/22 Conferido e arquivado </v>
      </c>
      <c r="B3849" s="93"/>
    </row>
    <row r="3850">
      <c r="A3850" s="384" t="str">
        <f>IFERROR(__xludf.DUMMYFUNCTION("""COMPUTED_VALUE"""),"Susiane Socorro De Paula | Educação Física | Aprovado | Thiara: aprovado // Recebido no instituto dia 27/12/2019 impresso e encadernado// Bárbara: Conferido e arquivado 15/09/2020")</f>
        <v>Susiane Socorro De Paula | Educação Física | Aprovado | Thiara: aprovado // Recebido no instituto dia 27/12/2019 impresso e encadernado// Bárbara: Conferido e arquivado 15/09/2020</v>
      </c>
      <c r="B3850" s="93"/>
    </row>
    <row r="3851">
      <c r="A3851" s="384" t="str">
        <f>IFERROR(__xludf.DUMMYFUNCTION("""COMPUTED_VALUE"""),"Suzamary Almira De Figueiredo | Pedagogia | Aprovada | Alexsiane: falta fichas de registro, termo de conclusão e carta de apresentação// Alexsiane:Pré aprovada com lançamento no jacad // Pamela 20/12/2022 Conferido e arquivado. ")</f>
        <v>Suzamary Almira De Figueiredo | Pedagogia | Aprovada | Alexsiane: falta fichas de registro, termo de conclusão e carta de apresentação// Alexsiane:Pré aprovada com lançamento no jacad // Pamela 20/12/2022 Conferido e arquivado. </v>
      </c>
      <c r="B3851" s="93"/>
    </row>
    <row r="3852">
      <c r="A3852" s="384" t="str">
        <f>IFERROR(__xludf.DUMMYFUNCTION("""COMPUTED_VALUE"""),"Suzana Gomes Gabriel Da Cruz | Pedagogia | Aprovada | PP: 13% plágio PP - aprovada: 26/12/23")</f>
        <v>Suzana Gomes Gabriel Da Cruz | Pedagogia | Aprovada | PP: 13% plágio PP - aprovada: 26/12/23</v>
      </c>
      <c r="B3852" s="93"/>
    </row>
    <row r="3853">
      <c r="A3853" s="384" t="str">
        <f>IFERROR(__xludf.DUMMYFUNCTION("""COMPUTED_VALUE"""),"Suzana Gomes Gabriel Da Cruz | Artes Visuais | Aprovada | Júnio: PP - etapas: OK Inicio: 03/08/23 Reenviar: 03/02/24 //Aprovada: 08/02/24")</f>
        <v>Suzana Gomes Gabriel Da Cruz | Artes Visuais | Aprovada | Júnio: PP - etapas: OK Inicio: 03/08/23 Reenviar: 03/02/24 //Aprovada: 08/02/24</v>
      </c>
      <c r="B3853" s="93"/>
    </row>
    <row r="3854">
      <c r="A3854" s="384" t="str">
        <f>IFERROR(__xludf.DUMMYFUNCTION("""COMPUTED_VALUE"""),"Suzana Gomes Gabriel Da Cruz | Música | Aprovada | Júnio: PP - aprovada")</f>
        <v>Suzana Gomes Gabriel Da Cruz | Música | Aprovada | Júnio: PP - aprovada</v>
      </c>
      <c r="B3854" s="93"/>
    </row>
    <row r="3855">
      <c r="A3855" s="384" t="str">
        <f>IFERROR(__xludf.DUMMYFUNCTION("""COMPUTED_VALUE"""),"Suzana Maria Lima De Alcantara | Psicopedagogia Clínica, Inst E Ludopedagogia | Pré aprovada | Bárbara: fichas de registro com 8 horas, ainda não passei o verificador de plágio, visto que o documento foi envido digitalizado, solicitei versão word. Nome do"&amp;" paciente e familiares exposto, solicitei deixar apenas as iniciais. // Alexsiane: pré aprovado com lançamento no sponte (follow)")</f>
        <v>Suzana Maria Lima De Alcantara | Psicopedagogia Clínica, Inst E Ludopedagogia | Pré aprovada | Bárbara: fichas de registro com 8 horas, ainda não passei o verificador de plágio, visto que o documento foi envido digitalizado, solicitei versão word. Nome do paciente e familiares exposto, solicitei deixar apenas as iniciais. // Alexsiane: pré aprovado com lançamento no sponte (follow)</v>
      </c>
      <c r="B3855" s="93"/>
    </row>
    <row r="3856">
      <c r="A3856" s="384" t="str">
        <f>IFERROR(__xludf.DUMMYFUNCTION("""COMPUTED_VALUE"""),"Suzana Marques Da Silva | Artes Visuais | Aprovado | Bianca: aprovada nas 4 etapas do remoto atualizado //Júnio: conferido e arquivado")</f>
        <v>Suzana Marques Da Silva | Artes Visuais | Aprovado | Bianca: aprovada nas 4 etapas do remoto atualizado //Júnio: conferido e arquivado</v>
      </c>
      <c r="B3856" s="93"/>
    </row>
    <row r="3857">
      <c r="A3857" s="384" t="str">
        <f>IFERROR(__xludf.DUMMYFUNCTION("""COMPUTED_VALUE"""),"Suzana Moura Da Silva Torres | Artes Visuais | Aprovada | Júnio: REMOTO: deve lançar os acompanhamentos de forma diária na ficha de registro e colocar no campo total diário as horas respectivas. //Júnio:PP aprovada 19/12/2023 ")</f>
        <v>Suzana Moura Da Silva Torres | Artes Visuais | Aprovada | Júnio: REMOTO: deve lançar os acompanhamentos de forma diária na ficha de registro e colocar no campo total diário as horas respectivas. //Júnio:PP aprovada 19/12/2023 </v>
      </c>
      <c r="B3857" s="93"/>
    </row>
    <row r="3858">
      <c r="A3858" s="384" t="str">
        <f>IFERROR(__xludf.DUMMYFUNCTION("""COMPUTED_VALUE"""),"Suzi Liliane Pamplona Reis Nobre | Pedagogia | Aprovado | Alexsiane: 6% de plágio// Alexsiane; aprovado no remoto antigo com lançamento no Sponte")</f>
        <v>Suzi Liliane Pamplona Reis Nobre | Pedagogia | Aprovado | Alexsiane: 6% de plágio// Alexsiane; aprovado no remoto antigo com lançamento no Sponte</v>
      </c>
      <c r="B3858" s="93"/>
    </row>
    <row r="3859">
      <c r="A3859" s="384" t="str">
        <f>IFERROR(__xludf.DUMMYFUNCTION("""COMPUTED_VALUE"""),"Suzy Carla Lima Do Nascimento | Letras Espanhol | Aprovada | Bianca: aprovada nas 4 etapas do remoto antigo")</f>
        <v>Suzy Carla Lima Do Nascimento | Letras Espanhol | Aprovada | Bianca: aprovada nas 4 etapas do remoto antigo</v>
      </c>
      <c r="B3859" s="93"/>
    </row>
    <row r="3860">
      <c r="A3860" s="384" t="str">
        <f>IFERROR(__xludf.DUMMYFUNCTION("""COMPUTED_VALUE"""),"Sybelle Teruko Abe | Pedagogia | Em análise | Júnio: PP - etapas: OK Inicio: 14/06/23 Reenviar: 14/12/23")</f>
        <v>Sybelle Teruko Abe | Pedagogia | Em análise | Júnio: PP - etapas: OK Inicio: 14/06/23 Reenviar: 14/12/23</v>
      </c>
      <c r="B3860" s="93"/>
    </row>
    <row r="3861">
      <c r="A3861" s="384" t="str">
        <f>IFERROR(__xludf.DUMMYFUNCTION("""COMPUTED_VALUE"""),"Sylzimara Teixeira Gregio | Pedagogia | Aprovada | Alexsiane: etapa 1,2,3 ok, falta 4° etapa do remoto antigo 23/04 enviar  //Júnio: aprovada 02/05/23")</f>
        <v>Sylzimara Teixeira Gregio | Pedagogia | Aprovada | Alexsiane: etapa 1,2,3 ok, falta 4° etapa do remoto antigo 23/04 enviar  //Júnio: aprovada 02/05/23</v>
      </c>
      <c r="B3861" s="93"/>
    </row>
    <row r="3862">
      <c r="A3862" s="384" t="str">
        <f>IFERROR(__xludf.DUMMYFUNCTION("""COMPUTED_VALUE"""),"Taciane Graziela Lopes Da Silva D´avila | História | Aprovada | Júnio: remoto antigo - faltam 10 planos de aula, passar os planos para o nosso modelo padrão e falta etapa 4 //Júnio: aprovada: 19/06/23")</f>
        <v>Taciane Graziela Lopes Da Silva D´avila | História | Aprovada | Júnio: remoto antigo - faltam 10 planos de aula, passar os planos para o nosso modelo padrão e falta etapa 4 //Júnio: aprovada: 19/06/23</v>
      </c>
      <c r="B3862" s="93"/>
    </row>
    <row r="3863">
      <c r="A3863" s="384" t="str">
        <f>IFERROR(__xludf.DUMMYFUNCTION("""COMPUTED_VALUE"""),"Taciara Viçoso Carlos Da Silva | Pedagogia | Aprovado | Aline Silva: aprovado.// Recebido dia 12/12/2019// Miryã: conferido e arquivado 15/03/2021")</f>
        <v>Taciara Viçoso Carlos Da Silva | Pedagogia | Aprovado | Aline Silva: aprovado.// Recebido dia 12/12/2019// Miryã: conferido e arquivado 15/03/2021</v>
      </c>
      <c r="B3863" s="93"/>
    </row>
    <row r="3864">
      <c r="A3864" s="384" t="str">
        <f>IFERROR(__xludf.DUMMYFUNCTION("""COMPUTED_VALUE"""),"Taciara Viçoso Carlos Da Silva | Psicopedagogia | Em análise | Lucas: Falta diagnostico do estágio remoto de pós ")</f>
        <v>Taciara Viçoso Carlos Da Silva | Psicopedagogia | Em análise | Lucas: Falta diagnostico do estágio remoto de pós </v>
      </c>
      <c r="B3864" s="93"/>
    </row>
    <row r="3865">
      <c r="A3865" s="384" t="str">
        <f>IFERROR(__xludf.DUMMYFUNCTION("""COMPUTED_VALUE"""),"Tacylla Lima Silva | Educação Especial | Aprovado | Alexsiane: falta carta de apresentação.// Alexsiane: pp aprovado 12/003")</f>
        <v>Tacylla Lima Silva | Educação Especial | Aprovado | Alexsiane: falta carta de apresentação.// Alexsiane: pp aprovado 12/003</v>
      </c>
      <c r="B3865" s="93"/>
    </row>
    <row r="3866">
      <c r="A3866" s="384" t="str">
        <f>IFERROR(__xludf.DUMMYFUNCTION("""COMPUTED_VALUE"""),"Tahis Helena Matos Lima | Pedagogia | Aprovada | Alexsiane: 5% de plágio e planos de aula e cobrei em nosso modelo padrão//Alexsiane: aprovado com lançamento no Jacad")</f>
        <v>Tahis Helena Matos Lima | Pedagogia | Aprovada | Alexsiane: 5% de plágio e planos de aula e cobrei em nosso modelo padrão//Alexsiane: aprovado com lançamento no Jacad</v>
      </c>
      <c r="B3866" s="93"/>
    </row>
    <row r="3867">
      <c r="A3867" s="384" t="str">
        <f>IFERROR(__xludf.DUMMYFUNCTION("""COMPUTED_VALUE"""),"Tainara Araujo Lopo | Ciências Sociais | Aprovada | Bárbara: dei preferencia apenas na 4ª etapa da aluna para o recolhimento das assinturas, após a complementação das 50 horas, a aluna pode realizar o recolhimento das assinturas. As 3 primeiras etapas ain"&amp;"da estão na fila de correção. // Bianca: Aprovada nas 4 etapas do remoto atualizado")</f>
        <v>Tainara Araujo Lopo | Ciências Sociais | Aprovada | Bárbara: dei preferencia apenas na 4ª etapa da aluna para o recolhimento das assinturas, após a complementação das 50 horas, a aluna pode realizar o recolhimento das assinturas. As 3 primeiras etapas ainda estão na fila de correção. // Bianca: Aprovada nas 4 etapas do remoto atualizado</v>
      </c>
      <c r="B3867" s="93"/>
    </row>
    <row r="3868">
      <c r="A3868" s="384" t="str">
        <f>IFERROR(__xludf.DUMMYFUNCTION("""COMPUTED_VALUE"""),"Tainara Araujo Lopo | Matemátca | Aprovada | Bárbara: aprovada // Bárbara: conferido e arquivado 22/12/2020")</f>
        <v>Tainara Araujo Lopo | Matemátca | Aprovada | Bárbara: aprovada // Bárbara: conferido e arquivado 22/12/2020</v>
      </c>
      <c r="B3868" s="93"/>
    </row>
    <row r="3869">
      <c r="A3869" s="384" t="str">
        <f>IFERROR(__xludf.DUMMYFUNCTION("""COMPUTED_VALUE"""),"Tainara Gabriele Back | Ciências Sociais | Aprovada | Júnio: PP aprovada")</f>
        <v>Tainara Gabriele Back | Ciências Sociais | Aprovada | Júnio: PP aprovada</v>
      </c>
      <c r="B3869" s="93"/>
    </row>
    <row r="3870">
      <c r="A3870" s="384" t="str">
        <f>IFERROR(__xludf.DUMMYFUNCTION("""COMPUTED_VALUE"""),"Tais Rosner Erling | Pedagogia | aprovada | Edilaine:7,21% de plágio, tem rasura na carta de apresentação, tem que realizar 100 horas, tem que especificar o tipo de acompoanhamento nas fichas, tem que recolher o carimbo do diretor, em que fazer o relatóri"&amp;"o de gestão, tem que enviar o plano de aula em word editável, a declaração de experiência não é válida.// Alexsiane: Pré aprovada, autorizada a autenticar 04/04/2023// Alexsiane: aprovado com lançamento no sponte 05/04/2023")</f>
        <v>Tais Rosner Erling | Pedagogia | aprovada | Edilaine:7,21% de plágio, tem rasura na carta de apresentação, tem que realizar 100 horas, tem que especificar o tipo de acompoanhamento nas fichas, tem que recolher o carimbo do diretor, em que fazer o relatório de gestão, tem que enviar o plano de aula em word editável, a declaração de experiência não é válida.// Alexsiane: Pré aprovada, autorizada a autenticar 04/04/2023// Alexsiane: aprovado com lançamento no sponte 05/04/2023</v>
      </c>
      <c r="B3870" s="93"/>
    </row>
    <row r="3871">
      <c r="A3871" s="384" t="str">
        <f>IFERROR(__xludf.DUMMYFUNCTION("""COMPUTED_VALUE"""),"Tais Wandeplas Leite | Artes Visuais | Aprovada | Lucas: Aprovada no estagio remoto antigo ")</f>
        <v>Tais Wandeplas Leite | Artes Visuais | Aprovada | Lucas: Aprovada no estagio remoto antigo </v>
      </c>
      <c r="B3871" s="93"/>
    </row>
    <row r="3872">
      <c r="A3872" s="384" t="str">
        <f>IFERROR(__xludf.DUMMYFUNCTION("""COMPUTED_VALUE"""),"Tales Júnior Araújo De Souza | Sociologia | Aprovado | Bárbara: alguns planos quase ou praticamente integralmente plagiados // Bárbara: aprovado 05/11/2020// Bárbara: conferido e arquivado 20/04/2021")</f>
        <v>Tales Júnior Araújo De Souza | Sociologia | Aprovado | Bárbara: alguns planos quase ou praticamente integralmente plagiados // Bárbara: aprovado 05/11/2020// Bárbara: conferido e arquivado 20/04/2021</v>
      </c>
      <c r="B3872" s="93"/>
    </row>
    <row r="3873">
      <c r="A3873" s="384" t="str">
        <f>IFERROR(__xludf.DUMMYFUNCTION("""COMPUTED_VALUE"""),"Talita De Cássia Francisco Silva | Pedagogia | Aprovada | Júnio: PP aprovada")</f>
        <v>Talita De Cássia Francisco Silva | Pedagogia | Aprovada | Júnio: PP aprovada</v>
      </c>
      <c r="B3873" s="93"/>
    </row>
    <row r="3874">
      <c r="A3874" s="384" t="str">
        <f>IFERROR(__xludf.DUMMYFUNCTION("""COMPUTED_VALUE"""),"Talita De Gracia Borges | Música | Aprovada | Alexsiane: PP aprovado")</f>
        <v>Talita De Gracia Borges | Música | Aprovada | Alexsiane: PP aprovado</v>
      </c>
      <c r="B3874" s="93"/>
    </row>
    <row r="3875">
      <c r="A3875" s="384" t="str">
        <f>IFERROR(__xludf.DUMMYFUNCTION("""COMPUTED_VALUE"""),"Talita Diane Gonçalves Da Silva | Artes Visuais | Aprovada | Júnio: PP aprovada")</f>
        <v>Talita Diane Gonçalves Da Silva | Artes Visuais | Aprovada | Júnio: PP aprovada</v>
      </c>
      <c r="B3875" s="93"/>
    </row>
    <row r="3876">
      <c r="A3876" s="384" t="str">
        <f>IFERROR(__xludf.DUMMYFUNCTION("""COMPUTED_VALUE"""),"Talita Monteiro De Freitas Dos Santos | Pedagogia | Em análise | Lucas: Falta quarta etapa e plagio 9,75%.")</f>
        <v>Talita Monteiro De Freitas Dos Santos | Pedagogia | Em análise | Lucas: Falta quarta etapa e plagio 9,75%.</v>
      </c>
      <c r="B3876" s="93"/>
    </row>
    <row r="3877">
      <c r="A3877" s="384" t="str">
        <f>IFERROR(__xludf.DUMMYFUNCTION("""COMPUTED_VALUE"""),"Talita Oliveira Moreira Goudinho | Pedagogia | Aprovada | Alexsiane: aprovado com lançamento no Sponte")</f>
        <v>Talita Oliveira Moreira Goudinho | Pedagogia | Aprovada | Alexsiane: aprovado com lançamento no Sponte</v>
      </c>
      <c r="B3877" s="93"/>
    </row>
    <row r="3878">
      <c r="A3878" s="384" t="str">
        <f>IFERROR(__xludf.DUMMYFUNCTION("""COMPUTED_VALUE"""),"Talita Pinheiro Chaves Alves | Artes Visuais | Aprovada | Júnio: remoto atualizado - declaração de expeirencia, carta de apresentação e termo de conclusão ok, fazer todo o resto ///Júnio: pre aprovada: 04/04/23 //// Edilaine: Aprovada 20/04")</f>
        <v>Talita Pinheiro Chaves Alves | Artes Visuais | Aprovada | Júnio: remoto atualizado - declaração de expeirencia, carta de apresentação e termo de conclusão ok, fazer todo o resto ///Júnio: pre aprovada: 04/04/23 //// Edilaine: Aprovada 20/04</v>
      </c>
      <c r="B3878" s="93"/>
    </row>
    <row r="3879">
      <c r="A3879" s="384" t="str">
        <f>IFERROR(__xludf.DUMMYFUNCTION("""COMPUTED_VALUE"""),"Talita Rodrigues Vieira | Matemática | Pré aprovado | Edilaine: 3,68 de plágio. Tem que especificar o tipo de acompanhamento, tema e série nas fichas de registro. Não foi possível somar a carga horária total, pois há dias com carga horária errada. Tem que"&amp;" escolher somente um plano de aula dos 153 que enviou.// Alexsiane: Pré aprovado no Jacad")</f>
        <v>Talita Rodrigues Vieira | Matemática | Pré aprovado | Edilaine: 3,68 de plágio. Tem que especificar o tipo de acompanhamento, tema e série nas fichas de registro. Não foi possível somar a carga horária total, pois há dias com carga horária errada. Tem que escolher somente um plano de aula dos 153 que enviou.// Alexsiane: Pré aprovado no Jacad</v>
      </c>
      <c r="B3879" s="93"/>
    </row>
    <row r="3880">
      <c r="A3880" s="384" t="str">
        <f>IFERROR(__xludf.DUMMYFUNCTION("""COMPUTED_VALUE"""),"Talita Varela Ferreira Hofman Freires | Música | Aprovada | Alexsiane: aprovada com lançamento")</f>
        <v>Talita Varela Ferreira Hofman Freires | Música | Aprovada | Alexsiane: aprovada com lançamento</v>
      </c>
      <c r="B3880" s="93"/>
    </row>
    <row r="3881">
      <c r="A3881" s="384" t="str">
        <f>IFERROR(__xludf.DUMMYFUNCTION("""COMPUTED_VALUE"""),"Talyta Pontes Monteiro | Pedagogia | Aprovada | Júnio: PP - falta a carta de apresentação PRAZO: 28/10/23 //Júnio: aprovada 21/11/23")</f>
        <v>Talyta Pontes Monteiro | Pedagogia | Aprovada | Júnio: PP - falta a carta de apresentação PRAZO: 28/10/23 //Júnio: aprovada 21/11/23</v>
      </c>
      <c r="B3881" s="93"/>
    </row>
    <row r="3882">
      <c r="A3882" s="384" t="str">
        <f>IFERROR(__xludf.DUMMYFUNCTION("""COMPUTED_VALUE"""),"Tamara Franken Da Silva | Pedagogia | Aprovada | Bárbara: traballho excelente e completo, agora agendar a 4ª etapa// Bárbara: aprovada 4ª etapa 22/09/2020// Bárbara: imprimido, conferiod e arquivado 18/02/2021")</f>
        <v>Tamara Franken Da Silva | Pedagogia | Aprovada | Bárbara: traballho excelente e completo, agora agendar a 4ª etapa// Bárbara: aprovada 4ª etapa 22/09/2020// Bárbara: imprimido, conferiod e arquivado 18/02/2021</v>
      </c>
      <c r="B3882" s="93"/>
    </row>
    <row r="3883">
      <c r="A3883" s="384" t="str">
        <f>IFERROR(__xludf.DUMMYFUNCTION("""COMPUTED_VALUE"""),"Tamara Lucia Angelin Figueiredo | Pedagogia | Aprovada | Júnio: 12% plágio// Alexsiane: PP aprovado 09/02")</f>
        <v>Tamara Lucia Angelin Figueiredo | Pedagogia | Aprovada | Júnio: 12% plágio// Alexsiane: PP aprovado 09/02</v>
      </c>
      <c r="B3883" s="93"/>
    </row>
    <row r="3884">
      <c r="A3884" s="384" t="str">
        <f>IFERROR(__xludf.DUMMYFUNCTION("""COMPUTED_VALUE"""),"Tâmara Maria Alves De Souza Rêgo | Pedagogia | Aprovada | Júnio: PP - 15% plágio e enviar a entrevista digitada //Júnio: PP aprovada: 03/11/23")</f>
        <v>Tâmara Maria Alves De Souza Rêgo | Pedagogia | Aprovada | Júnio: PP - 15% plágio e enviar a entrevista digitada //Júnio: PP aprovada: 03/11/23</v>
      </c>
      <c r="B3884" s="93"/>
    </row>
    <row r="3885">
      <c r="A3885" s="384" t="str">
        <f>IFERROR(__xludf.DUMMYFUNCTION("""COMPUTED_VALUE"""),"Tamires Dellajustina | Educação Especial | Aprovado | Alexsiane: pp tem que complementar, restante ok(aluna de turma retroativa)// Alexsiane: pp aprovado 30/08")</f>
        <v>Tamires Dellajustina | Educação Especial | Aprovado | Alexsiane: pp tem que complementar, restante ok(aluna de turma retroativa)// Alexsiane: pp aprovado 30/08</v>
      </c>
      <c r="B3885" s="93"/>
    </row>
    <row r="3886">
      <c r="A3886" s="384" t="str">
        <f>IFERROR(__xludf.DUMMYFUNCTION("""COMPUTED_VALUE"""),"Tamires Freitas Cruz Oliveira | Pedagogia | Aprovada | Júnio: etapas 1,2 e 3 ok //Júnio: aprovada: 08/12 apresentou declaração de experiência")</f>
        <v>Tamires Freitas Cruz Oliveira | Pedagogia | Aprovada | Júnio: etapas 1,2 e 3 ok //Júnio: aprovada: 08/12 apresentou declaração de experiência</v>
      </c>
      <c r="B3886" s="93"/>
    </row>
    <row r="3887">
      <c r="A3887" s="384" t="str">
        <f>IFERROR(__xludf.DUMMYFUNCTION("""COMPUTED_VALUE"""),"Tamires Freitas Cruz Oliveira | Psicopedagogia Int Cli | Aprovada | Bárbara: pedi algumas complementações, e falta carta de encaminhamento. // Bárbara: aprovada 18/02/2021")</f>
        <v>Tamires Freitas Cruz Oliveira | Psicopedagogia Int Cli | Aprovada | Bárbara: pedi algumas complementações, e falta carta de encaminhamento. // Bárbara: aprovada 18/02/2021</v>
      </c>
      <c r="B3887" s="93"/>
    </row>
    <row r="3888">
      <c r="A3888" s="384" t="str">
        <f>IFERROR(__xludf.DUMMYFUNCTION("""COMPUTED_VALUE"""),"Tamires Lima Ribeiro | Pedagogia | Aprovada | Bianca: Falta sumário e introdução do remoto antigo //Júnio: aprovada: 21/12/21")</f>
        <v>Tamires Lima Ribeiro | Pedagogia | Aprovada | Bianca: Falta sumário e introdução do remoto antigo //Júnio: aprovada: 21/12/21</v>
      </c>
      <c r="B3888" s="93"/>
    </row>
    <row r="3889">
      <c r="A3889" s="384" t="str">
        <f>IFERROR(__xludf.DUMMYFUNCTION("""COMPUTED_VALUE"""),"Tamires Mariano Vialonga | Letras - Inglês | Em análise | Alexsiane; falta encaminhar o trabalho em Word editável, falar das 10 competências e encaminhar a carta de apresentação.")</f>
        <v>Tamires Mariano Vialonga | Letras - Inglês | Em análise | Alexsiane; falta encaminhar o trabalho em Word editável, falar das 10 competências e encaminhar a carta de apresentação.</v>
      </c>
      <c r="B3889" s="93"/>
    </row>
    <row r="3890">
      <c r="A3890" s="384" t="str">
        <f>IFERROR(__xludf.DUMMYFUNCTION("""COMPUTED_VALUE"""),"Tamiris Campos Weigel | 2ª Licenciatura Pedagogia | Aprovada | Cris: PP aprovado")</f>
        <v>Tamiris Campos Weigel | 2ª Licenciatura Pedagogia | Aprovada | Cris: PP aprovado</v>
      </c>
      <c r="B3890" s="93"/>
    </row>
    <row r="3891">
      <c r="A3891" s="384" t="str">
        <f>IFERROR(__xludf.DUMMYFUNCTION("""COMPUTED_VALUE"""),"Tamyris Bianquini Rodrigues | Letras Inglês | Em análise | Aline Silva: faltam fichas, assinaturas e carimbos, e está fora do modelo padrão do instituto.// Aline Silva: aprovado dia 30/12/2019// Recebido dia 13/01/2020// Bárbara: Conferido e arquivado 15/"&amp;"09/2020")</f>
        <v>Tamyris Bianquini Rodrigues | Letras Inglês | Em análise | Aline Silva: faltam fichas, assinaturas e carimbos, e está fora do modelo padrão do instituto.// Aline Silva: aprovado dia 30/12/2019// Recebido dia 13/01/2020// Bárbara: Conferido e arquivado 15/09/2020</v>
      </c>
      <c r="B3891" s="93"/>
    </row>
    <row r="3892">
      <c r="A3892" s="384" t="str">
        <f>IFERROR(__xludf.DUMMYFUNCTION("""COMPUTED_VALUE"""),"Tancredo Wanderley De Carvalho Filho | Ciências Sociais | Aprovada | Alexsiane: etapa 1,2 e 4 ok, falta os 20 planos de aula da 3° etapa e 13% de plágio 05/12 para reenvia// Alexsiane: aprovado com lançamento no sponte")</f>
        <v>Tancredo Wanderley De Carvalho Filho | Ciências Sociais | Aprovada | Alexsiane: etapa 1,2 e 4 ok, falta os 20 planos de aula da 3° etapa e 13% de plágio 05/12 para reenvia// Alexsiane: aprovado com lançamento no sponte</v>
      </c>
      <c r="B3892" s="93"/>
    </row>
    <row r="3893">
      <c r="A3893" s="384" t="str">
        <f>IFERROR(__xludf.DUMMYFUNCTION("""COMPUTED_VALUE"""),"Tania Dechen Baradel Nakashima | Pedagogia | Aprovada | Alexsiane: pré aprovado no remoto atualizado// Bárbara: conferido e arquivado em 14/09/2022")</f>
        <v>Tania Dechen Baradel Nakashima | Pedagogia | Aprovada | Alexsiane: pré aprovado no remoto atualizado// Bárbara: conferido e arquivado em 14/09/2022</v>
      </c>
      <c r="B3893" s="93"/>
    </row>
    <row r="3894">
      <c r="A3894" s="384" t="str">
        <f>IFERROR(__xludf.DUMMYFUNCTION("""COMPUTED_VALUE"""),"Tânia Regina Moreira Santos | Neuropsicopedagogia Institucional,Clínica E Hospitalar | aprovada | Edilaine: 4,07% de plágio. Tem que enviar as fichas de registro. /// Edilaine: Pré-aprovada 14/03/2023//Alexsiane: aprovada com lançamento n o sponte 04/04/2"&amp;"023")</f>
        <v>Tânia Regina Moreira Santos | Neuropsicopedagogia Institucional,Clínica E Hospitalar | aprovada | Edilaine: 4,07% de plágio. Tem que enviar as fichas de registro. /// Edilaine: Pré-aprovada 14/03/2023//Alexsiane: aprovada com lançamento n o sponte 04/04/2023</v>
      </c>
      <c r="B3894" s="93"/>
    </row>
    <row r="3895">
      <c r="A3895" s="384" t="str">
        <f>IFERROR(__xludf.DUMMYFUNCTION("""COMPUTED_VALUE"""),"Tânia Regina Santini | Pedagogia | Aprovada | Bianca: aprovada nas 3 1° etapas do remoto antigo. //Júnio: aprovada na aula online: 30/11/21")</f>
        <v>Tânia Regina Santini | Pedagogia | Aprovada | Bianca: aprovada nas 3 1° etapas do remoto antigo. //Júnio: aprovada na aula online: 30/11/21</v>
      </c>
      <c r="B3895" s="93"/>
    </row>
    <row r="3896">
      <c r="A3896" s="384" t="str">
        <f>IFERROR(__xludf.DUMMYFUNCTION("""COMPUTED_VALUE"""),"Tanice Pereira | Educação Física | Aprovada | Júnio: PP - falta a etapa I e carta de apresentação// Alexsiane pp aprovado 03/05/2024")</f>
        <v>Tanice Pereira | Educação Física | Aprovada | Júnio: PP - falta a etapa I e carta de apresentação// Alexsiane pp aprovado 03/05/2024</v>
      </c>
      <c r="B3896" s="93"/>
    </row>
    <row r="3897">
      <c r="A3897" s="384" t="str">
        <f>IFERROR(__xludf.DUMMYFUNCTION("""COMPUTED_VALUE"""),"Tassiana Leal Rodrigues | Pedagogia | Aprovada | Júnio: autorizada a recolher assinaturasd da etapa 4, isenta da etapa 3 com declaração, falta capa, sumário, etapa 1, 2 e relatório geral //Bianca: aprovada: 18/08/21 //Júnio: conferido e arquivado: 15/10/2"&amp;"1")</f>
        <v>Tassiana Leal Rodrigues | Pedagogia | Aprovada | Júnio: autorizada a recolher assinaturasd da etapa 4, isenta da etapa 3 com declaração, falta capa, sumário, etapa 1, 2 e relatório geral //Bianca: aprovada: 18/08/21 //Júnio: conferido e arquivado: 15/10/21</v>
      </c>
      <c r="B3897" s="93"/>
    </row>
    <row r="3898">
      <c r="A3898" s="384" t="str">
        <f>IFERROR(__xludf.DUMMYFUNCTION("""COMPUTED_VALUE"""),"Tassiana Mara Dorneles | Neuropsicopedagogia Clínica | Aprovada | Bianca: pedi para preencher as fichas e reenviar para ser autorizada a recolher assinatura //Bianca: aprovada 21/06/2021 //Júnio:conferido e aprovado: 28/06/2021")</f>
        <v>Tassiana Mara Dorneles | Neuropsicopedagogia Clínica | Aprovada | Bianca: pedi para preencher as fichas e reenviar para ser autorizada a recolher assinatura //Bianca: aprovada 21/06/2021 //Júnio:conferido e aprovado: 28/06/2021</v>
      </c>
      <c r="B3898" s="93"/>
    </row>
    <row r="3899">
      <c r="A3899" s="384" t="str">
        <f>IFERROR(__xludf.DUMMYFUNCTION("""COMPUTED_VALUE"""),"Tatiana Brandão Dos Santos | Pedagogia | Aprovada | Bianca: falta carta de aceite, termo de conclusão, pedi para tampar rosto das crianças //Júnio: aprovada, conferido e arquivado: 26/01/2022")</f>
        <v>Tatiana Brandão Dos Santos | Pedagogia | Aprovada | Bianca: falta carta de aceite, termo de conclusão, pedi para tampar rosto das crianças //Júnio: aprovada, conferido e arquivado: 26/01/2022</v>
      </c>
      <c r="B3899" s="93"/>
    </row>
    <row r="3900">
      <c r="A3900" s="384" t="str">
        <f>IFERROR(__xludf.DUMMYFUNCTION("""COMPUTED_VALUE"""),"Tatiana Ferreira Ruas | Geografia | aprovada | Aline Silva: aprovada")</f>
        <v>Tatiana Ferreira Ruas | Geografia | aprovada | Aline Silva: aprovada</v>
      </c>
      <c r="B3900" s="93"/>
    </row>
    <row r="3901">
      <c r="A3901" s="384" t="str">
        <f>IFERROR(__xludf.DUMMYFUNCTION("""COMPUTED_VALUE"""),"Tatiana Honório Rodrigues | Pedagogia | aprovada | Júnio: autorizada a recolher assinaturas // Lucas: Aprovada  e anexada no Sponte //Alexsiane: Conferido e arquivado 06/04/2022")</f>
        <v>Tatiana Honório Rodrigues | Pedagogia | aprovada | Júnio: autorizada a recolher assinaturas // Lucas: Aprovada  e anexada no Sponte //Alexsiane: Conferido e arquivado 06/04/2022</v>
      </c>
      <c r="B3901" s="93"/>
    </row>
    <row r="3902">
      <c r="A3902" s="384" t="str">
        <f>IFERROR(__xludf.DUMMYFUNCTION("""COMPUTED_VALUE"""),"Tatiana Karina De Brito Sátiro | Neuropsicologia Cl | aprovada | Júnio: 13% plágio em vários sites// Alexsiane; aprovado com lançamento no Sponte")</f>
        <v>Tatiana Karina De Brito Sátiro | Neuropsicologia Cl | aprovada | Júnio: 13% plágio em vários sites// Alexsiane; aprovado com lançamento no Sponte</v>
      </c>
      <c r="B3902" s="93"/>
    </row>
    <row r="3903">
      <c r="A3903" s="384" t="str">
        <f>IFERROR(__xludf.DUMMYFUNCTION("""COMPUTED_VALUE"""),"Tatiana Pereira Alvarenga | Pedagogia Para Bacharéis E Tecnólogos | Aprovada | Júnio: PP: OK  PCCs: falta enviar //Júnio: aprovada: 10/11/23")</f>
        <v>Tatiana Pereira Alvarenga | Pedagogia Para Bacharéis E Tecnólogos | Aprovada | Júnio: PP: OK  PCCs: falta enviar //Júnio: aprovada: 10/11/23</v>
      </c>
      <c r="B3903" s="93"/>
    </row>
    <row r="3904">
      <c r="A3904" s="384" t="str">
        <f>IFERROR(__xludf.DUMMYFUNCTION("""COMPUTED_VALUE"""),"Tatiana Ramalho | Letras/Inglês | Aprovada | Pâmela: declaração aceita no guru //Júnio: PP aprovada: 27/09/23")</f>
        <v>Tatiana Ramalho | Letras/Inglês | Aprovada | Pâmela: declaração aceita no guru //Júnio: PP aprovada: 27/09/23</v>
      </c>
      <c r="B3904" s="93"/>
    </row>
    <row r="3905">
      <c r="A3905" s="384" t="str">
        <f>IFERROR(__xludf.DUMMYFUNCTION("""COMPUTED_VALUE"""),"Tatiana Rita Milanez De Oliveira Santos | Pedagogia | Aprovada | Aline Silva: declaração de experiência foi aceita. Bianca: aprovada 05/04/21 //Júnio: conferido e arquivado: 16/06/2021")</f>
        <v>Tatiana Rita Milanez De Oliveira Santos | Pedagogia | Aprovada | Aline Silva: declaração de experiência foi aceita. Bianca: aprovada 05/04/21 //Júnio: conferido e arquivado: 16/06/2021</v>
      </c>
      <c r="B3905" s="93"/>
    </row>
    <row r="3906">
      <c r="A3906" s="384" t="str">
        <f>IFERROR(__xludf.DUMMYFUNCTION("""COMPUTED_VALUE"""),"Tatiana Schaeffer | Psicopedagogia Inst. E Clínica | Aprovado | Júnio: aprovado no remoto")</f>
        <v>Tatiana Schaeffer | Psicopedagogia Inst. E Clínica | Aprovado | Júnio: aprovado no remoto</v>
      </c>
      <c r="B3906" s="93"/>
    </row>
    <row r="3907">
      <c r="A3907" s="384" t="str">
        <f>IFERROR(__xludf.DUMMYFUNCTION("""COMPUTED_VALUE"""),"Tatiane Aparecida De Paula Santos Magalhães | Artes Visuais | Aprovada | Lucas: Falta 19 planos de aula, 25,59% de plagio. //Júnio: aprovada: 26/01/22")</f>
        <v>Tatiane Aparecida De Paula Santos Magalhães | Artes Visuais | Aprovada | Lucas: Falta 19 planos de aula, 25,59% de plagio. //Júnio: aprovada: 26/01/22</v>
      </c>
      <c r="B3907" s="93"/>
    </row>
    <row r="3908">
      <c r="A3908" s="384" t="str">
        <f>IFERROR(__xludf.DUMMYFUNCTION("""COMPUTED_VALUE"""),"Tatiane Aparecida Maria Dos Santos Marques | Artes Visuais | Aprovada | Júnio: PP aprovada")</f>
        <v>Tatiane Aparecida Maria Dos Santos Marques | Artes Visuais | Aprovada | Júnio: PP aprovada</v>
      </c>
      <c r="B3908" s="93"/>
    </row>
    <row r="3909">
      <c r="A3909" s="384" t="str">
        <f>IFERROR(__xludf.DUMMYFUNCTION("""COMPUTED_VALUE"""),"Tatiane Estefanine Oliveira Da Silva | Neuropsicopedagogia Institucional, Clínica E Hospitalar | Aprovada | Edilaine: 5,35% de plágio. Tem que fazer os tópicos: Estratégias desenvolvidas, atividades (xerox ou fotos), relatório das ações, sugestões de estr"&amp;"atégias desenvolvidas de intervenção, síntese de conclusão do caso e avaliação pedagógica. Tem que especificar o tipo de acompanhamento nas fichas e tem que fazer mais 6 horas. /// Edilaine: Pré- aprovada 20/04/2023 //// Edilaine: Aprovada 20/04/2023")</f>
        <v>Tatiane Estefanine Oliveira Da Silva | Neuropsicopedagogia Institucional, Clínica E Hospitalar | Aprovada | Edilaine: 5,35% de plágio. Tem que fazer os tópicos: Estratégias desenvolvidas, atividades (xerox ou fotos), relatório das ações, sugestões de estratégias desenvolvidas de intervenção, síntese de conclusão do caso e avaliação pedagógica. Tem que especificar o tipo de acompanhamento nas fichas e tem que fazer mais 6 horas. /// Edilaine: Pré- aprovada 20/04/2023 //// Edilaine: Aprovada 20/04/2023</v>
      </c>
      <c r="B3909" s="93"/>
    </row>
    <row r="3910">
      <c r="A3910" s="384" t="str">
        <f>IFERROR(__xludf.DUMMYFUNCTION("""COMPUTED_VALUE"""),"Tatiane Pereira Feitosa | Filosofia | Aprovado | Júnio: estágio padrão- somente as fichas, falta toda a parte dissertativa. PRAZO: 07/07/22// Alexsiane: Pré aprovado com lançamento no sponte 08/08/2022 //Júnio: 28/09/22: físico conferido e arquivado")</f>
        <v>Tatiane Pereira Feitosa | Filosofia | Aprovado | Júnio: estágio padrão- somente as fichas, falta toda a parte dissertativa. PRAZO: 07/07/22// Alexsiane: Pré aprovado com lançamento no sponte 08/08/2022 //Júnio: 28/09/22: físico conferido e arquivado</v>
      </c>
      <c r="B3910" s="93"/>
    </row>
    <row r="3911">
      <c r="A3911" s="384" t="str">
        <f>IFERROR(__xludf.DUMMYFUNCTION("""COMPUTED_VALUE"""),"Tatiane Policarpo Vieira De Sene | História | aprovada | Aline Silva: aprovada - planos de aula")</f>
        <v>Tatiane Policarpo Vieira De Sene | História | aprovada | Aline Silva: aprovada - planos de aula</v>
      </c>
      <c r="B3911" s="93"/>
    </row>
    <row r="3912">
      <c r="A3912" s="384" t="str">
        <f>IFERROR(__xludf.DUMMYFUNCTION("""COMPUTED_VALUE"""),"Tatiane Tamires De Oliveira Cunha Pereira | Pedagogia | Aprovada | Bianca: aprovada nas 3 1ª etapas do remoto antigo //Bárbara:apresentou 4ª etapa- aprovada com lançamento no Sponte")</f>
        <v>Tatiane Tamires De Oliveira Cunha Pereira | Pedagogia | Aprovada | Bianca: aprovada nas 3 1ª etapas do remoto antigo //Bárbara:apresentou 4ª etapa- aprovada com lançamento no Sponte</v>
      </c>
      <c r="B3912" s="93"/>
    </row>
    <row r="3913">
      <c r="A3913" s="384" t="str">
        <f>IFERROR(__xludf.DUMMYFUNCTION("""COMPUTED_VALUE"""),"Tatiane Vereschini | Matemática | Aprovada | Lucas: Aprovada no remoto antigo com declaração de experiência")</f>
        <v>Tatiane Vereschini | Matemática | Aprovada | Lucas: Aprovada no remoto antigo com declaração de experiência</v>
      </c>
      <c r="B3913" s="93"/>
    </row>
    <row r="3914">
      <c r="A3914" s="384" t="str">
        <f>IFERROR(__xludf.DUMMYFUNCTION("""COMPUTED_VALUE"""),"Tatiani De Carvalho Oliveira | Pedagogia | Aprovada | Lucas: Plágio 15,35%, falta termos pré e pós textuais, etapa 1, 2, 3 //Alexsiane:pré-aprovado com lanaçamento no sponte 08/08/2022 //Júnio: conferido e arquivado: 30/08/22")</f>
        <v>Tatiani De Carvalho Oliveira | Pedagogia | Aprovada | Lucas: Plágio 15,35%, falta termos pré e pós textuais, etapa 1, 2, 3 //Alexsiane:pré-aprovado com lanaçamento no sponte 08/08/2022 //Júnio: conferido e arquivado: 30/08/22</v>
      </c>
      <c r="B3914" s="93"/>
    </row>
    <row r="3915">
      <c r="A3915" s="384" t="str">
        <f>IFERROR(__xludf.DUMMYFUNCTION("""COMPUTED_VALUE"""),"Tatiani Nascimento Serafim | Letras Português Inglês | Aprovada | Júnio: PP - precisa complementar a etapa 1 com mais páginas, na etapa 2 deve enumerar a entrevista e anexar a carta de apresentação. //Júnio:  aprovada: 20/11/23")</f>
        <v>Tatiani Nascimento Serafim | Letras Português Inglês | Aprovada | Júnio: PP - precisa complementar a etapa 1 com mais páginas, na etapa 2 deve enumerar a entrevista e anexar a carta de apresentação. //Júnio:  aprovada: 20/11/23</v>
      </c>
      <c r="B3915" s="93"/>
    </row>
    <row r="3916">
      <c r="A3916" s="384" t="str">
        <f>IFERROR(__xludf.DUMMYFUNCTION("""COMPUTED_VALUE"""),"Taurilha Maria Jancik Rey Rodrigues | Letras - Port. | Aprovado | Thiara: Falta separar as horas de Gestão e estrutura escolar e assinaturas e carimbos na documentação.// Aline Silva: aprovado dia 11/12/2019 // Recebido no instituto dia 20/12/2019// Miryã"&amp;": conferido e arquivado 15/03/2021")</f>
        <v>Taurilha Maria Jancik Rey Rodrigues | Letras - Port. | Aprovado | Thiara: Falta separar as horas de Gestão e estrutura escolar e assinaturas e carimbos na documentação.// Aline Silva: aprovado dia 11/12/2019 // Recebido no instituto dia 20/12/2019// Miryã: conferido e arquivado 15/03/2021</v>
      </c>
      <c r="B3916" s="93"/>
    </row>
    <row r="3917">
      <c r="A3917" s="384" t="str">
        <f>IFERROR(__xludf.DUMMYFUNCTION("""COMPUTED_VALUE"""),"Tayandra Freitas Faccenda | Psicopedagogia Instititucional E Clínica | Aprovada | Júnio: etapas dissertativas 69% semelhança com o estágio de Neuropsicopedagogia Institucional, clínica e hospitalar, fichas semelhantes também. //Júnio: aprovada: 16/10/23")</f>
        <v>Tayandra Freitas Faccenda | Psicopedagogia Instititucional E Clínica | Aprovada | Júnio: etapas dissertativas 69% semelhança com o estágio de Neuropsicopedagogia Institucional, clínica e hospitalar, fichas semelhantes também. //Júnio: aprovada: 16/10/23</v>
      </c>
      <c r="B3917" s="93"/>
    </row>
    <row r="3918">
      <c r="A3918" s="384" t="str">
        <f>IFERROR(__xludf.DUMMYFUNCTION("""COMPUTED_VALUE"""),"Tayandra Freitas Faccenda | Neuropsicopedagogia Institucional, Clínica E Hospitalar | Aprovada | Júnio: padrão -faltam 96 horas na ficha de registro, consertar o total diário, especificar se foi observação ou regência, falta toda a parte dissertativa, car"&amp;"ta de apresentação e termo de conclusão. //Júnio: pré aprovada: 20/06/23 //Júnio: aprovada: 30/06/23")</f>
        <v>Tayandra Freitas Faccenda | Neuropsicopedagogia Institucional, Clínica E Hospitalar | Aprovada | Júnio: padrão -faltam 96 horas na ficha de registro, consertar o total diário, especificar se foi observação ou regência, falta toda a parte dissertativa, carta de apresentação e termo de conclusão. //Júnio: pré aprovada: 20/06/23 //Júnio: aprovada: 30/06/23</v>
      </c>
      <c r="B3918" s="93"/>
    </row>
    <row r="3919">
      <c r="A3919" s="384" t="str">
        <f>IFERROR(__xludf.DUMMYFUNCTION("""COMPUTED_VALUE"""),"Tayná Barbosa Valadares | Pedagogia | Aprovada | Aline Silva: aprovada com e-mail enviado // Bárbara: conferido e arquivado 16/12/2020")</f>
        <v>Tayná Barbosa Valadares | Pedagogia | Aprovada | Aline Silva: aprovada com e-mail enviado // Bárbara: conferido e arquivado 16/12/2020</v>
      </c>
      <c r="B3919" s="93"/>
    </row>
    <row r="3920">
      <c r="A3920" s="384" t="str">
        <f>IFERROR(__xludf.DUMMYFUNCTION("""COMPUTED_VALUE"""),"Telma Galdino | Artes Visuais | Aprovada | Lucas: Aprovada no estagio remoto antigo")</f>
        <v>Telma Galdino | Artes Visuais | Aprovada | Lucas: Aprovada no estagio remoto antigo</v>
      </c>
      <c r="B3920" s="93"/>
    </row>
    <row r="3921">
      <c r="A3921" s="384" t="str">
        <f>IFERROR(__xludf.DUMMYFUNCTION("""COMPUTED_VALUE"""),"Telma Soares Damasceno |  | Aprovado | Mandei enviar pelo correio (08/01). Aguardando esclarecimento sobre endereço da escola, contagem de tempo está ok!")</f>
        <v>Telma Soares Damasceno |  | Aprovado | Mandei enviar pelo correio (08/01). Aguardando esclarecimento sobre endereço da escola, contagem de tempo está ok!</v>
      </c>
      <c r="B3921" s="93"/>
    </row>
    <row r="3922">
      <c r="A3922" s="384" t="str">
        <f>IFERROR(__xludf.DUMMYFUNCTION("""COMPUTED_VALUE"""),"Telmo Roberto Do Nascimento | Educação Física | Aprovado | Lucas: Declaração de experiencia é valida  //Júnio: aprovado: 15/02/22")</f>
        <v>Telmo Roberto Do Nascimento | Educação Física | Aprovado | Lucas: Declaração de experiencia é valida  //Júnio: aprovado: 15/02/22</v>
      </c>
      <c r="B3922" s="93"/>
    </row>
    <row r="3923">
      <c r="A3923" s="384" t="str">
        <f>IFERROR(__xludf.DUMMYFUNCTION("""COMPUTED_VALUE"""),"Teodora Lenia Bortolussi Gella Soares | Pedagogia | Aprovada | Edilaine: Partes dissertativas ok. Carga horária diária dos dias 03/08, 04/08, 16/08, 17/08, 25/07, 29/07, 01/08, 02/08 e 03/08 estão erradas.// Alexsiane: aprovada com lançamento no sponte 22"&amp;"/03/2023")</f>
        <v>Teodora Lenia Bortolussi Gella Soares | Pedagogia | Aprovada | Edilaine: Partes dissertativas ok. Carga horária diária dos dias 03/08, 04/08, 16/08, 17/08, 25/07, 29/07, 01/08, 02/08 e 03/08 estão erradas.// Alexsiane: aprovada com lançamento no sponte 22/03/2023</v>
      </c>
      <c r="B3923" s="93"/>
    </row>
    <row r="3924">
      <c r="A3924" s="384" t="str">
        <f>IFERROR(__xludf.DUMMYFUNCTION("""COMPUTED_VALUE"""),"Teófilo Gonçalves Rafael Da Silva | Formação Pedagógica Em Música10/03/2024 | Aprovada | Cris: PP falta etapa 1 e carta de apresentação//Alexsiane: aprovado 17/07/24")</f>
        <v>Teófilo Gonçalves Rafael Da Silva | Formação Pedagógica Em Música10/03/2024 | Aprovada | Cris: PP falta etapa 1 e carta de apresentação//Alexsiane: aprovado 17/07/24</v>
      </c>
      <c r="B3924" s="93"/>
    </row>
    <row r="3925">
      <c r="A3925" s="384" t="str">
        <f>IFERROR(__xludf.DUMMYFUNCTION("""COMPUTED_VALUE"""),"Teresa Cristina Hersen Monteiro | Formação Pedagógica Em Artes Visuais | Em análise | Cris: PP falta carta de apresentação")</f>
        <v>Teresa Cristina Hersen Monteiro | Formação Pedagógica Em Artes Visuais | Em análise | Cris: PP falta carta de apresentação</v>
      </c>
      <c r="B3925" s="93"/>
    </row>
    <row r="3926">
      <c r="A3926" s="384" t="str">
        <f>IFERROR(__xludf.DUMMYFUNCTION("""COMPUTED_VALUE"""),"Tereza Cristina Da Silva Nogueira | Pedagogia | Aprovada | Júnio: PP - 8,2% plágio //Júnio: aprovada: 26/09/23")</f>
        <v>Tereza Cristina Da Silva Nogueira | Pedagogia | Aprovada | Júnio: PP - 8,2% plágio //Júnio: aprovada: 26/09/23</v>
      </c>
      <c r="B3926" s="93"/>
    </row>
    <row r="3927">
      <c r="A3927" s="384" t="str">
        <f>IFERROR(__xludf.DUMMYFUNCTION("""COMPUTED_VALUE"""),"Terezinha De Fátima Da Silva Garate Ramirez | Letras Port Ing | aprovado | Aline Silva: aprovado ( Planos de aula)")</f>
        <v>Terezinha De Fátima Da Silva Garate Ramirez | Letras Port Ing | aprovado | Aline Silva: aprovado ( Planos de aula)</v>
      </c>
      <c r="B3927" s="93"/>
    </row>
    <row r="3928">
      <c r="A3928" s="384" t="str">
        <f>IFERROR(__xludf.DUMMYFUNCTION("""COMPUTED_VALUE"""),"Terezinha De Jesus Lima Moreira | História | Aprovado | Thiara: aprovado// Recebido no instituto encadernado e impresso dia 26/11/2019")</f>
        <v>Terezinha De Jesus Lima Moreira | História | Aprovado | Thiara: aprovado// Recebido no instituto encadernado e impresso dia 26/11/2019</v>
      </c>
      <c r="B3928" s="93"/>
    </row>
    <row r="3929">
      <c r="A3929" s="384" t="str">
        <f>IFERROR(__xludf.DUMMYFUNCTION("""COMPUTED_VALUE"""),"Terezinha De Jesus Rodrigues De Souza | Artes Visuais | Aprovada  | Bárbara: aluna encaminhou apenas planos de aula, carta de apresentação, termo de conclusão e declaração de experiência, falta o restante tudo do padrão //Júnio: pre aprovada: 21/12/22 / P"&amp;"amela 01/02/23 Conferido e arquivado. ")</f>
        <v>Terezinha De Jesus Rodrigues De Souza | Artes Visuais | Aprovada  | Bárbara: aluna encaminhou apenas planos de aula, carta de apresentação, termo de conclusão e declaração de experiência, falta o restante tudo do padrão //Júnio: pre aprovada: 21/12/22 / Pamela 01/02/23 Conferido e arquivado. </v>
      </c>
      <c r="B3929" s="93"/>
    </row>
    <row r="3930">
      <c r="A3930" s="384" t="str">
        <f>IFERROR(__xludf.DUMMYFUNCTION("""COMPUTED_VALUE"""),"Thaiani Medeiros Camara | Pedagogia | Aprovada | Alexsiane: Aprovada com lançamento no Jacad ( remoto antigo)")</f>
        <v>Thaiani Medeiros Camara | Pedagogia | Aprovada | Alexsiane: Aprovada com lançamento no Jacad ( remoto antigo)</v>
      </c>
      <c r="B3930" s="93"/>
    </row>
    <row r="3931">
      <c r="A3931" s="384" t="str">
        <f>IFERROR(__xludf.DUMMYFUNCTION("""COMPUTED_VALUE"""),"Thainara Aparecida Ferreira Da Silveira | Educação Física | Aprovada | Júnio: etapa 1 e 2 ok, falta o resto //Júnio: aprovada: 24/11/21 //Júnio: conferido e arquivado: 10/12/2021")</f>
        <v>Thainara Aparecida Ferreira Da Silveira | Educação Física | Aprovada | Júnio: etapa 1 e 2 ok, falta o resto //Júnio: aprovada: 24/11/21 //Júnio: conferido e arquivado: 10/12/2021</v>
      </c>
      <c r="B3931" s="93"/>
    </row>
    <row r="3932">
      <c r="A3932" s="384" t="str">
        <f>IFERROR(__xludf.DUMMYFUNCTION("""COMPUTED_VALUE"""),"Thainara Ribeiro Dos Santos | Matemática | aprovado | Alexsiane; autorizada a autenticar o termo de conclusão.// Alexsiane: pp aprovado")</f>
        <v>Thainara Ribeiro Dos Santos | Matemática | aprovado | Alexsiane; autorizada a autenticar o termo de conclusão.// Alexsiane: pp aprovado</v>
      </c>
      <c r="B3932" s="93"/>
    </row>
    <row r="3933">
      <c r="A3933" s="384" t="str">
        <f>IFERROR(__xludf.DUMMYFUNCTION("""COMPUTED_VALUE"""),"Thais Alves Aguiar | Pedagogia | Aprovada | Ana Flávia: aprovada etapas 1, 2 e 3, aguardando a última // Bárbara: aprovada na 4ª etapa 29/12/2020// Bárbara: conferido e arquivado 05/02/2021")</f>
        <v>Thais Alves Aguiar | Pedagogia | Aprovada | Ana Flávia: aprovada etapas 1, 2 e 3, aguardando a última // Bárbara: aprovada na 4ª etapa 29/12/2020// Bárbara: conferido e arquivado 05/02/2021</v>
      </c>
      <c r="B3933" s="93"/>
    </row>
    <row r="3934">
      <c r="A3934" s="384" t="str">
        <f>IFERROR(__xludf.DUMMYFUNCTION("""COMPUTED_VALUE"""),"Thaís Angélica Pires Da Rocha | Pedagogia | Aprovada | Bianca: autorizada a enviar físico")</f>
        <v>Thaís Angélica Pires Da Rocha | Pedagogia | Aprovada | Bianca: autorizada a enviar físico</v>
      </c>
      <c r="B3934" s="93"/>
    </row>
    <row r="3935">
      <c r="A3935" s="384" t="str">
        <f>IFERROR(__xludf.DUMMYFUNCTION("""COMPUTED_VALUE"""),"Thais Benedito Coelho Vieira | Pedagogia | Em análise | Bianca: Falta sumário, fontes erradas.")</f>
        <v>Thais Benedito Coelho Vieira | Pedagogia | Em análise | Bianca: Falta sumário, fontes erradas.</v>
      </c>
      <c r="B3935" s="93"/>
    </row>
    <row r="3936">
      <c r="A3936" s="384" t="str">
        <f>IFERROR(__xludf.DUMMYFUNCTION("""COMPUTED_VALUE"""),"Thais Candida Da Silva Rezende | Pedagogia | Aprovada | Alexsiane:complementar as fichas com 170 horas //Alexsiane:Pré aprovado // Pâmela 21/11/2022 Conferido e arquivado ")</f>
        <v>Thais Candida Da Silva Rezende | Pedagogia | Aprovada | Alexsiane:complementar as fichas com 170 horas //Alexsiane:Pré aprovado // Pâmela 21/11/2022 Conferido e arquivado </v>
      </c>
      <c r="B3936" s="93"/>
    </row>
    <row r="3937">
      <c r="A3937" s="384" t="str">
        <f>IFERROR(__xludf.DUMMYFUNCTION("""COMPUTED_VALUE"""),"Thais Danila Da Cunhas Silva | Pedagogia | Aprovada  | Bianca: autorizada a recolher assinaturas// Lucas: aprovada 01/03/2022//Alexsiane: Conferido e arquivado 07/04/2022")</f>
        <v>Thais Danila Da Cunhas Silva | Pedagogia | Aprovada  | Bianca: autorizada a recolher assinaturas// Lucas: aprovada 01/03/2022//Alexsiane: Conferido e arquivado 07/04/2022</v>
      </c>
      <c r="B3937" s="93"/>
    </row>
    <row r="3938">
      <c r="A3938" s="384" t="str">
        <f>IFERROR(__xludf.DUMMYFUNCTION("""COMPUTED_VALUE"""),"Thais Do Carmo Melo De Paula | Artes Visuais | Aprovada | Júnio: remoto antigo - aprovada")</f>
        <v>Thais Do Carmo Melo De Paula | Artes Visuais | Aprovada | Júnio: remoto antigo - aprovada</v>
      </c>
      <c r="B3938" s="93"/>
    </row>
    <row r="3939">
      <c r="A3939" s="384" t="str">
        <f>IFERROR(__xludf.DUMMYFUNCTION("""COMPUTED_VALUE"""),"Thaís Do Sacramento Catramby | Letras Português | Aprovada | Pamela: Declaração de experiência valida //Júnio: aprovada 02/01/24")</f>
        <v>Thaís Do Sacramento Catramby | Letras Português | Aprovada | Pamela: Declaração de experiência valida //Júnio: aprovada 02/01/24</v>
      </c>
      <c r="B3939" s="93"/>
    </row>
    <row r="3940">
      <c r="A3940" s="384" t="str">
        <f>IFERROR(__xludf.DUMMYFUNCTION("""COMPUTED_VALUE"""),"Thais Fernanda Silva Santini | Pedagogia | Aprovada | Júnio: faltando a etapa 4 //Bianca: aprovada: 22/07/21 //Júnio:conferido e arquivado: 14/01/2022")</f>
        <v>Thais Fernanda Silva Santini | Pedagogia | Aprovada | Júnio: faltando a etapa 4 //Bianca: aprovada: 22/07/21 //Júnio:conferido e arquivado: 14/01/2022</v>
      </c>
      <c r="B3940" s="93"/>
    </row>
    <row r="3941">
      <c r="A3941" s="384" t="str">
        <f>IFERROR(__xludf.DUMMYFUNCTION("""COMPUTED_VALUE"""),"Thais Júlia Moreira Luz | Artes Visuais | Aprovada | Júnio: PP- aprovada")</f>
        <v>Thais Júlia Moreira Luz | Artes Visuais | Aprovada | Júnio: PP- aprovada</v>
      </c>
      <c r="B3941" s="93"/>
    </row>
    <row r="3942">
      <c r="A3942" s="384" t="str">
        <f>IFERROR(__xludf.DUMMYFUNCTION("""COMPUTED_VALUE"""),"Thais Martins Costa | Artes Visuais | Aprovada | Lucas: Aprovada nas 3 primeiras etapas do estágio, Marcar aula ou se isentar com uma declaração de experiência //Júnio: aprovada na aula online.")</f>
        <v>Thais Martins Costa | Artes Visuais | Aprovada | Lucas: Aprovada nas 3 primeiras etapas do estágio, Marcar aula ou se isentar com uma declaração de experiência //Júnio: aprovada na aula online.</v>
      </c>
      <c r="B3942" s="93"/>
    </row>
    <row r="3943">
      <c r="A3943" s="384" t="str">
        <f>IFERROR(__xludf.DUMMYFUNCTION("""COMPUTED_VALUE"""),"Thais Ramos Caprioli | História | Aprovada | Bárbara: etapas 1,2 e 3 ok, aguardando 4 //Bárbara: aprovada 29/06/2021")</f>
        <v>Thais Ramos Caprioli | História | Aprovada | Bárbara: etapas 1,2 e 3 ok, aguardando 4 //Bárbara: aprovada 29/06/2021</v>
      </c>
      <c r="B3943" s="93"/>
    </row>
    <row r="3944">
      <c r="A3944" s="384" t="str">
        <f>IFERROR(__xludf.DUMMYFUNCTION("""COMPUTED_VALUE"""),"Thaisa Cristina Ferreira | Artes Visuais | Aprovada | Júnio: PP aprovada")</f>
        <v>Thaisa Cristina Ferreira | Artes Visuais | Aprovada | Júnio: PP aprovada</v>
      </c>
      <c r="B3944" s="93"/>
    </row>
    <row r="3945">
      <c r="A3945" s="384" t="str">
        <f>IFERROR(__xludf.DUMMYFUNCTION("""COMPUTED_VALUE"""),"Thales Douglas De Brito Almeida | Formação Pedagógica Em Pedagogia | Aprovado | Rayssa pp aprovado")</f>
        <v>Thales Douglas De Brito Almeida | Formação Pedagógica Em Pedagogia | Aprovado | Rayssa pp aprovado</v>
      </c>
      <c r="B3945" s="93"/>
    </row>
    <row r="3946">
      <c r="A3946" s="384" t="str">
        <f>IFERROR(__xludf.DUMMYFUNCTION("""COMPUTED_VALUE"""),"Thamires Almeida Pereira | Pedagogia | Aprovada | Júnio: PP - falta a carta de apresentação //Júnio: Aprovada: 16/01/24")</f>
        <v>Thamires Almeida Pereira | Pedagogia | Aprovada | Júnio: PP - falta a carta de apresentação //Júnio: Aprovada: 16/01/24</v>
      </c>
      <c r="B3946" s="93"/>
    </row>
    <row r="3947">
      <c r="A3947" s="384" t="str">
        <f>IFERROR(__xludf.DUMMYFUNCTION("""COMPUTED_VALUE"""),"Thamires Fabiana Ferreira Do Carmo | Pedagogia | Aprovada | Júnio: remoto antigo - falta etapa 4 e 28% plágio //Júnio: aprovada: 27/06/23")</f>
        <v>Thamires Fabiana Ferreira Do Carmo | Pedagogia | Aprovada | Júnio: remoto antigo - falta etapa 4 e 28% plágio //Júnio: aprovada: 27/06/23</v>
      </c>
      <c r="B3947" s="93"/>
    </row>
    <row r="3948">
      <c r="A3948" s="384" t="str">
        <f>IFERROR(__xludf.DUMMYFUNCTION("""COMPUTED_VALUE"""),"Thamiris Araújo De Lima | Pedagogia Para Bachareis E Tecnologos | Aprovada | Júnio: PCC 1: OK Falta todo o resto.//Alexsiane: pp e pcc aprovados")</f>
        <v>Thamiris Araújo De Lima | Pedagogia Para Bachareis E Tecnologos | Aprovada | Júnio: PCC 1: OK Falta todo o resto.//Alexsiane: pp e pcc aprovados</v>
      </c>
      <c r="B3948" s="93"/>
    </row>
    <row r="3949">
      <c r="A3949" s="384" t="str">
        <f>IFERROR(__xludf.DUMMYFUNCTION("""COMPUTED_VALUE"""),"Thárcia Brito Da Silva | Artes Visuais | Aprovado | Alexsiane. Aprovado com lançamento no Sponte")</f>
        <v>Thárcia Brito Da Silva | Artes Visuais | Aprovado | Alexsiane. Aprovado com lançamento no Sponte</v>
      </c>
      <c r="B3949" s="93"/>
    </row>
    <row r="3950">
      <c r="A3950" s="384" t="str">
        <f>IFERROR(__xludf.DUMMYFUNCTION("""COMPUTED_VALUE"""),"Thatiane Rocha Barbosa Da Silva | Pedagogia | Aprovada | Alexsiane: Corrigir o total de horas por dia nas partes de observação e regência  até dia 07/08/2022 para reenviar// Alexsiane: Pré aprovado com lançamento no sponte// Pâmela: encaminhou as document"&amp;"ações digitalizadas não aceito //Pâmela 10/11/22 Conferido e arquivado. 17/10/2022")</f>
        <v>Thatiane Rocha Barbosa Da Silva | Pedagogia | Aprovada | Alexsiane: Corrigir o total de horas por dia nas partes de observação e regência  até dia 07/08/2022 para reenviar// Alexsiane: Pré aprovado com lançamento no sponte// Pâmela: encaminhou as documentações digitalizadas não aceito //Pâmela 10/11/22 Conferido e arquivado. 17/10/2022</v>
      </c>
      <c r="B3950" s="93"/>
    </row>
    <row r="3951">
      <c r="A3951" s="384" t="str">
        <f>IFERROR(__xludf.DUMMYFUNCTION("""COMPUTED_VALUE"""),"Thayene De Faria Rezende | Pedagogia | Aprovado | Thiara: não enviou o cronograma separado com as horas e fez na EJA do Ensino Fundamental.// Aprovado dia 10/07/2019// Recebido dia 11/02/2020")</f>
        <v>Thayene De Faria Rezende | Pedagogia | Aprovado | Thiara: não enviou o cronograma separado com as horas e fez na EJA do Ensino Fundamental.// Aprovado dia 10/07/2019// Recebido dia 11/02/2020</v>
      </c>
      <c r="B3951" s="93"/>
    </row>
    <row r="3952">
      <c r="A3952" s="384" t="str">
        <f>IFERROR(__xludf.DUMMYFUNCTION("""COMPUTED_VALUE"""),"Thayná Viana Lanxin | Pedagogia | Aprovada | Alexsiane: falta especificar nas fichas o tema das aulas//Alexsiane: Pre- aprovada com lançamento no jacad// Pamela 27/12/2022 Conferido e arquivado. ")</f>
        <v>Thayná Viana Lanxin | Pedagogia | Aprovada | Alexsiane: falta especificar nas fichas o tema das aulas//Alexsiane: Pre- aprovada com lançamento no jacad// Pamela 27/12/2022 Conferido e arquivado. </v>
      </c>
      <c r="B3952" s="93"/>
    </row>
    <row r="3953">
      <c r="A3953" s="384" t="str">
        <f>IFERROR(__xludf.DUMMYFUNCTION("""COMPUTED_VALUE"""),"Thays Alves Rodrigues Menezes | Pedagogia | Aprovada | Alexsiane: falta somente a segunda etapa do pp// aprovada 10/05")</f>
        <v>Thays Alves Rodrigues Menezes | Pedagogia | Aprovada | Alexsiane: falta somente a segunda etapa do pp// aprovada 10/05</v>
      </c>
      <c r="B3953" s="93"/>
    </row>
    <row r="3954">
      <c r="A3954" s="384" t="str">
        <f>IFERROR(__xludf.DUMMYFUNCTION("""COMPUTED_VALUE"""),"Thays Benedito Coelho Vieira | Pedagogia | Em análise | Bianca: Falta sumário, fontes erradas.// Bianca: Aprovada nas 4 etapas do remoto antigo em 15/12/2021")</f>
        <v>Thays Benedito Coelho Vieira | Pedagogia | Em análise | Bianca: Falta sumário, fontes erradas.// Bianca: Aprovada nas 4 etapas do remoto antigo em 15/12/2021</v>
      </c>
      <c r="B3954" s="93"/>
    </row>
    <row r="3955">
      <c r="A3955" s="384" t="str">
        <f>IFERROR(__xludf.DUMMYFUNCTION("""COMPUTED_VALUE"""),"Thays Cristina Pereira | Ciências Sociais | Aprovada | Ana Flávia: aprovada nas 3 primeiras etapas do remoto, aguardando a última // Ana Flávia: Aprovada 07/01/2021// Bárbara: conferido e arquivado 28/05/2021")</f>
        <v>Thays Cristina Pereira | Ciências Sociais | Aprovada | Ana Flávia: aprovada nas 3 primeiras etapas do remoto, aguardando a última // Ana Flávia: Aprovada 07/01/2021// Bárbara: conferido e arquivado 28/05/2021</v>
      </c>
      <c r="B3955" s="93"/>
    </row>
    <row r="3956">
      <c r="A3956" s="384" t="str">
        <f>IFERROR(__xludf.DUMMYFUNCTION("""COMPUTED_VALUE"""),"Thelmo Bonanno Cruz | Música | Em análise | Alexsiane: declaração de experiencia aceita no guru")</f>
        <v>Thelmo Bonanno Cruz | Música | Em análise | Alexsiane: declaração de experiencia aceita no guru</v>
      </c>
      <c r="B3956" s="93"/>
    </row>
    <row r="3957">
      <c r="A3957" s="384" t="str">
        <f>IFERROR(__xludf.DUMMYFUNCTION("""COMPUTED_VALUE"""),"Thiago Brás De Quiroz Andrade |  | Aprovado | Mandei enviar pelo correio (11/12). ZAYN VAI ASSINAR - Faltou descrever atividades de gestão e texto impessoal (11/12) - Coloquei algumas observações a serem feitas no trabalho - está no e-mail (24/11).")</f>
        <v>Thiago Brás De Quiroz Andrade |  | Aprovado | Mandei enviar pelo correio (11/12). ZAYN VAI ASSINAR - Faltou descrever atividades de gestão e texto impessoal (11/12) - Coloquei algumas observações a serem feitas no trabalho - está no e-mail (24/11).</v>
      </c>
      <c r="B3957" s="93"/>
    </row>
    <row r="3958">
      <c r="A3958" s="384" t="str">
        <f>IFERROR(__xludf.DUMMYFUNCTION("""COMPUTED_VALUE"""),"Thiago Carlos De Andrade | Letras Port./Ing. | Aprovado | Thiara: Aprovado. Entregue no Instituto dia 10/05/2019 sem documentação original avisei o aluno dia 13/05/2019. Estágio com documentação original entregue dia 07/06/2019. // Bárbara: Conferido e ar"&amp;"quivado em 16/09/2020 o sem documentação original")</f>
        <v>Thiago Carlos De Andrade | Letras Port./Ing. | Aprovado | Thiara: Aprovado. Entregue no Instituto dia 10/05/2019 sem documentação original avisei o aluno dia 13/05/2019. Estágio com documentação original entregue dia 07/06/2019. // Bárbara: Conferido e arquivado em 16/09/2020 o sem documentação original</v>
      </c>
      <c r="B3958" s="93"/>
    </row>
    <row r="3959">
      <c r="A3959" s="384" t="str">
        <f>IFERROR(__xludf.DUMMYFUNCTION("""COMPUTED_VALUE"""),"Thiago César Ferraz | Geografia | Aprovado | Bianca: aprovado nas 3 primeiras etapas do remoto // Bianca: aprovado 29/03/2021")</f>
        <v>Thiago César Ferraz | Geografia | Aprovado | Bianca: aprovado nas 3 primeiras etapas do remoto // Bianca: aprovado 29/03/2021</v>
      </c>
      <c r="B3959" s="93"/>
    </row>
    <row r="3960">
      <c r="A3960" s="384" t="str">
        <f>IFERROR(__xludf.DUMMYFUNCTION("""COMPUTED_VALUE"""),"Thiago Faollo Pereira De Souza | Pedagogia | Aprovado | Bárbara: aprovada nas 3 primeiras etapas do remoto, aguardando a 4// Bárbara: 07/12 aprovado na 4ª etapa do estágio")</f>
        <v>Thiago Faollo Pereira De Souza | Pedagogia | Aprovado | Bárbara: aprovada nas 3 primeiras etapas do remoto, aguardando a 4// Bárbara: 07/12 aprovado na 4ª etapa do estágio</v>
      </c>
      <c r="B3960" s="93"/>
    </row>
    <row r="3961">
      <c r="A3961" s="384" t="str">
        <f>IFERROR(__xludf.DUMMYFUNCTION("""COMPUTED_VALUE"""),"Thiago Faollo Pereira De Souza | Pedagogia | Aprovado | Aline Silva: apresentou carta de apresentação e termo de compromisso.// Bárbara: Aline pediu para encaminhar e-mail de aprovação 23/11// Bárbara: conferido e arquivado 11/12/2020")</f>
        <v>Thiago Faollo Pereira De Souza | Pedagogia | Aprovado | Aline Silva: apresentou carta de apresentação e termo de compromisso.// Bárbara: Aline pediu para encaminhar e-mail de aprovação 23/11// Bárbara: conferido e arquivado 11/12/2020</v>
      </c>
      <c r="B3961" s="93"/>
    </row>
    <row r="3962">
      <c r="A3962" s="384" t="str">
        <f>IFERROR(__xludf.DUMMYFUNCTION("""COMPUTED_VALUE"""),"Thiago Henrique Gomes Medeiros | Letras Português/Inglês | Aprovado | Amélia: etapas 1 e 2 ok, planos de aula repetidos // Bárbara: aprovado na 4ª etapa 18/03/2021")</f>
        <v>Thiago Henrique Gomes Medeiros | Letras Português/Inglês | Aprovado | Amélia: etapas 1 e 2 ok, planos de aula repetidos // Bárbara: aprovado na 4ª etapa 18/03/2021</v>
      </c>
      <c r="B3962" s="93"/>
    </row>
    <row r="3963">
      <c r="A3963" s="384" t="str">
        <f>IFERROR(__xludf.DUMMYFUNCTION("""COMPUTED_VALUE"""),"Thiago Henrique Gomes Medeiros | Pedagogia Para Bacharéis E Tecnólogos | Em análise | Júnio: análise no guru declaração de experiência válida para isenção de 50% das etapas referentes a observação e regencia.")</f>
        <v>Thiago Henrique Gomes Medeiros | Pedagogia Para Bacharéis E Tecnólogos | Em análise | Júnio: análise no guru declaração de experiência válida para isenção de 50% das etapas referentes a observação e regencia.</v>
      </c>
      <c r="B3963" s="93"/>
    </row>
    <row r="3964">
      <c r="A3964" s="384" t="str">
        <f>IFERROR(__xludf.DUMMYFUNCTION("""COMPUTED_VALUE"""),"Thiago Lázaro Ferreira | Pedagogia | Aprovado | Edilaine: Assinaturas coladas, enviar carta de apresentação e termo de conclusão preenchidos manualmente e escaneados, enviarplanos de aula em formato word, enviar as fichas de registro em nosso modelo padrã"&amp;"o e especificar nas fichas o tipo de acompanhamento, tema e série. //Júnio: pre aprovado: 02/01/23 // Pamela 25/01/2023 Conferido e arquivado. ")</f>
        <v>Thiago Lázaro Ferreira | Pedagogia | Aprovado | Edilaine: Assinaturas coladas, enviar carta de apresentação e termo de conclusão preenchidos manualmente e escaneados, enviarplanos de aula em formato word, enviar as fichas de registro em nosso modelo padrão e especificar nas fichas o tipo de acompanhamento, tema e série. //Júnio: pre aprovado: 02/01/23 // Pamela 25/01/2023 Conferido e arquivado. </v>
      </c>
      <c r="B3964" s="93"/>
    </row>
    <row r="3965">
      <c r="A3965" s="384" t="str">
        <f>IFERROR(__xludf.DUMMYFUNCTION("""COMPUTED_VALUE"""),"Thiago Monteiro Dos Santos | Ed Física | Aprovado  | Bianca: aprovado nas 4 etapas do remoto atualizado")</f>
        <v>Thiago Monteiro Dos Santos | Ed Física | Aprovado  | Bianca: aprovado nas 4 etapas do remoto atualizado</v>
      </c>
      <c r="B3965" s="93"/>
    </row>
    <row r="3966">
      <c r="A3966" s="384" t="str">
        <f>IFERROR(__xludf.DUMMYFUNCTION("""COMPUTED_VALUE"""),"Thiago Oliveira Godoi | Pedagogia | Aprovado | Edilaine: Tem que fazer o relatório de gestão, tem rasuras na ficha de registro. Tem que complementar o trabalho com 40 horas de gestão, 11 horas de observação e 11 horas de regência. Tem que especificar o ti"&amp;"po de acompanahmento e série em uma das fichas de registro. Tem que fazer a bibliografia do plano de aula.// Alexsiane: pré aprovado autorizado a autenticar// Pamela: termo de conclusão autenticado 27/03/2023")</f>
        <v>Thiago Oliveira Godoi | Pedagogia | Aprovado | Edilaine: Tem que fazer o relatório de gestão, tem rasuras na ficha de registro. Tem que complementar o trabalho com 40 horas de gestão, 11 horas de observação e 11 horas de regência. Tem que especificar o tipo de acompanahmento e série em uma das fichas de registro. Tem que fazer a bibliografia do plano de aula.// Alexsiane: pré aprovado autorizado a autenticar// Pamela: termo de conclusão autenticado 27/03/2023</v>
      </c>
      <c r="B3966" s="93"/>
    </row>
    <row r="3967">
      <c r="A3967" s="384" t="str">
        <f>IFERROR(__xludf.DUMMYFUNCTION("""COMPUTED_VALUE"""),"Thiago Pessanha Correa | Pedagogia | Aprovado | Júnio: PP- etapas: ok Inicio: 31/03/23 Reenviar: 31/09/23 //Júnio: aprovado: 02/10/23")</f>
        <v>Thiago Pessanha Correa | Pedagogia | Aprovado | Júnio: PP- etapas: ok Inicio: 31/03/23 Reenviar: 31/09/23 //Júnio: aprovado: 02/10/23</v>
      </c>
      <c r="B3967" s="93"/>
    </row>
    <row r="3968">
      <c r="A3968" s="384" t="str">
        <f>IFERROR(__xludf.DUMMYFUNCTION("""COMPUTED_VALUE"""),"Thiago Vieira Da Cunha Pereira | Pedagogia | Aprovado | Lucas: Enviar termo de conclusão e carta de apresentação preenchidos, para depois serem aprovados para o recolhimento de assinatura, e recolher a asssinatura nas fichas de registro //Júnio: aprovado:"&amp;" 27/05/22 //Júnio: físico conferido e arquivado: 05/08/22")</f>
        <v>Thiago Vieira Da Cunha Pereira | Pedagogia | Aprovado | Lucas: Enviar termo de conclusão e carta de apresentação preenchidos, para depois serem aprovados para o recolhimento de assinatura, e recolher a asssinatura nas fichas de registro //Júnio: aprovado: 27/05/22 //Júnio: físico conferido e arquivado: 05/08/22</v>
      </c>
      <c r="B3968" s="93"/>
    </row>
    <row r="3969">
      <c r="A3969" s="384" t="str">
        <f>IFERROR(__xludf.DUMMYFUNCTION("""COMPUTED_VALUE"""),"Thyara Pryscyla Lima Gomes | Psicopedagogia Institucional, Clínica E Hospitalar | Aprovado | Júnio: pré aprovada PRAZO: 02/02/24// Alexsiane: termo de conclusão autenticado")</f>
        <v>Thyara Pryscyla Lima Gomes | Psicopedagogia Institucional, Clínica E Hospitalar | Aprovado | Júnio: pré aprovada PRAZO: 02/02/24// Alexsiane: termo de conclusão autenticado</v>
      </c>
      <c r="B3969" s="93"/>
    </row>
    <row r="3970">
      <c r="A3970" s="384" t="str">
        <f>IFERROR(__xludf.DUMMYFUNCTION("""COMPUTED_VALUE"""),"Tiago Augusto Gasparotto | Segunda Licenciatura Em Pedagogia | em análise | Alexsiane: etapa 1 ok, entrevista ok. Carta de apresentação com as assinaturas coladas")</f>
        <v>Tiago Augusto Gasparotto | Segunda Licenciatura Em Pedagogia | em análise | Alexsiane: etapa 1 ok, entrevista ok. Carta de apresentação com as assinaturas coladas</v>
      </c>
      <c r="B3970" s="93"/>
    </row>
    <row r="3971">
      <c r="A3971" s="384" t="str">
        <f>IFERROR(__xludf.DUMMYFUNCTION("""COMPUTED_VALUE"""),"Tiago Da Silva Borges | Pedagogia | Aprovado | Alexsiane: aprovado")</f>
        <v>Tiago Da Silva Borges | Pedagogia | Aprovado | Alexsiane: aprovado</v>
      </c>
      <c r="B3971" s="93"/>
    </row>
    <row r="3972">
      <c r="A3972" s="384" t="str">
        <f>IFERROR(__xludf.DUMMYFUNCTION("""COMPUTED_VALUE"""),"Tiago Fernandes Rosas | Formação Pedagógica Em Música | Aprovado | Cris: PP aprovado")</f>
        <v>Tiago Fernandes Rosas | Formação Pedagógica Em Música | Aprovado | Cris: PP aprovado</v>
      </c>
      <c r="B3972" s="93"/>
    </row>
    <row r="3973">
      <c r="A3973" s="384" t="str">
        <f>IFERROR(__xludf.DUMMYFUNCTION("""COMPUTED_VALUE"""),"Tiago Lopes De Melo | Ciências Sociais | Aprovado | Amélia: etapa 1 e 2 completa, 3 incompleta, 4ª etapa não é válida // Amélia: aprovado 19/02/2021")</f>
        <v>Tiago Lopes De Melo | Ciências Sociais | Aprovado | Amélia: etapa 1 e 2 completa, 3 incompleta, 4ª etapa não é válida // Amélia: aprovado 19/02/2021</v>
      </c>
      <c r="B3973" s="93"/>
    </row>
    <row r="3974">
      <c r="A3974" s="384" t="str">
        <f>IFERROR(__xludf.DUMMYFUNCTION("""COMPUTED_VALUE"""),"Tiago Martins Simões | Ciências Sociais | Aprovado | Edilaine: 3,2% de plágio, tem que fazer as considerações finais. Foi aprovado na 4ª etapa. /// Edilaine: Aprovado 15/02/2023")</f>
        <v>Tiago Martins Simões | Ciências Sociais | Aprovado | Edilaine: 3,2% de plágio, tem que fazer as considerações finais. Foi aprovado na 4ª etapa. /// Edilaine: Aprovado 15/02/2023</v>
      </c>
      <c r="B3974" s="93"/>
    </row>
    <row r="3975">
      <c r="A3975" s="384" t="str">
        <f>IFERROR(__xludf.DUMMYFUNCTION("""COMPUTED_VALUE"""),"Tiago Neves Junqueira | Matematica | Aprovado | Júnio: PP aprovado")</f>
        <v>Tiago Neves Junqueira | Matematica | Aprovado | Júnio: PP aprovado</v>
      </c>
      <c r="B3975" s="93"/>
    </row>
    <row r="3976">
      <c r="A3976" s="384" t="str">
        <f>IFERROR(__xludf.DUMMYFUNCTION("""COMPUTED_VALUE"""),"Tiago Ribeiro Batista | Música | Aprovado | Alexsiane: pp aprovado")</f>
        <v>Tiago Ribeiro Batista | Música | Aprovado | Alexsiane: pp aprovado</v>
      </c>
      <c r="B3976" s="93"/>
    </row>
    <row r="3977">
      <c r="A3977" s="384" t="str">
        <f>IFERROR(__xludf.DUMMYFUNCTION("""COMPUTED_VALUE"""),"Tiago Rissinger Pedron | Música |  aprovado | Edilaine: Pré- aprovado com lançamento no Sponte - Pamela conferido 25/11/22")</f>
        <v>Tiago Rissinger Pedron | Música |  aprovado | Edilaine: Pré- aprovado com lançamento no Sponte - Pamela conferido 25/11/22</v>
      </c>
      <c r="B3977" s="93"/>
    </row>
    <row r="3978">
      <c r="A3978" s="384" t="str">
        <f>IFERROR(__xludf.DUMMYFUNCTION("""COMPUTED_VALUE"""),"Tiago Silva Dedoné | Letras Espanhol | Aprovado | Júnio: PP - falta a carta de autorização da entrevista //Júnio: aprovado: 25/07/23")</f>
        <v>Tiago Silva Dedoné | Letras Espanhol | Aprovado | Júnio: PP - falta a carta de autorização da entrevista //Júnio: aprovado: 25/07/23</v>
      </c>
      <c r="B3978" s="93"/>
    </row>
    <row r="3979">
      <c r="A3979" s="384" t="str">
        <f>IFERROR(__xludf.DUMMYFUNCTION("""COMPUTED_VALUE"""),"Ticiana Da Cruz Lima Carelli | Pedagogia | Em análise | Lucas: Remoto antigo - Complementar os planos de aula e fazer todo o resto do trabalho.")</f>
        <v>Ticiana Da Cruz Lima Carelli | Pedagogia | Em análise | Lucas: Remoto antigo - Complementar os planos de aula e fazer todo o resto do trabalho.</v>
      </c>
      <c r="B3979" s="93"/>
    </row>
    <row r="3980">
      <c r="A3980" s="384" t="str">
        <f>IFERROR(__xludf.DUMMYFUNCTION("""COMPUTED_VALUE"""),"Ubenildo Ferreira Lesbão | Música | Em análise | Júnio: PP - falta a etapa 2.")</f>
        <v>Ubenildo Ferreira Lesbão | Música | Em análise | Júnio: PP - falta a etapa 2.</v>
      </c>
      <c r="B3980" s="93"/>
    </row>
    <row r="3981">
      <c r="A3981" s="384" t="str">
        <f>IFERROR(__xludf.DUMMYFUNCTION("""COMPUTED_VALUE"""),"Ubirajara Arede Rangel | Artes Visuais | Aprovado | Bárbara: encaminhou apenas as fichas de registro, pedi para complementar o tipo de acompanhamento, e a carga horária do dia e autorizei o recolhimento. Realizando TCE remoto atualizado  //Júnio: aprovadO"&amp;"; 19/05/22")</f>
        <v>Ubirajara Arede Rangel | Artes Visuais | Aprovado | Bárbara: encaminhou apenas as fichas de registro, pedi para complementar o tipo de acompanhamento, e a carga horária do dia e autorizei o recolhimento. Realizando TCE remoto atualizado  //Júnio: aprovadO; 19/05/22</v>
      </c>
      <c r="B3981" s="93"/>
    </row>
    <row r="3982">
      <c r="A3982" s="384" t="str">
        <f>IFERROR(__xludf.DUMMYFUNCTION("""COMPUTED_VALUE"""),"Uelica Da Silva Pires | Pedagogia | Aprovada | Júnio: autorizada a recolher assinaturas. //Júnio: aprovada: 18/10/23")</f>
        <v>Uelica Da Silva Pires | Pedagogia | Aprovada | Júnio: autorizada a recolher assinaturas. //Júnio: aprovada: 18/10/23</v>
      </c>
      <c r="B3982" s="93"/>
    </row>
    <row r="3983">
      <c r="A3983" s="384" t="str">
        <f>IFERROR(__xludf.DUMMYFUNCTION("""COMPUTED_VALUE"""),"Uenderson Wesley Rodrigues Ribeiro | Ciências Sociais | Aprovado | Júnio: PP aprovado")</f>
        <v>Uenderson Wesley Rodrigues Ribeiro | Ciências Sociais | Aprovado | Júnio: PP aprovado</v>
      </c>
      <c r="B3983" s="93"/>
    </row>
    <row r="3984">
      <c r="A3984" s="384" t="str">
        <f>IFERROR(__xludf.DUMMYFUNCTION("""COMPUTED_VALUE"""),"Ulisses Fernando De Abreu | Pedagogia Para Bachareis E Tec | Em análise | Júnio: remoto antigo - 12% plágio, falta introdução, conclusão e etapa 4")</f>
        <v>Ulisses Fernando De Abreu | Pedagogia Para Bachareis E Tec | Em análise | Júnio: remoto antigo - 12% plágio, falta introdução, conclusão e etapa 4</v>
      </c>
      <c r="B3984" s="93"/>
    </row>
    <row r="3985">
      <c r="A3985" s="384" t="str">
        <f>IFERROR(__xludf.DUMMYFUNCTION("""COMPUTED_VALUE"""),"Vagner Procópio Da Silva | Música | Aprovado | Júnio: PP - precisa enviar a entrevista digitada //Júnio: PP aprovado: 19/01/24")</f>
        <v>Vagner Procópio Da Silva | Música | Aprovado | Júnio: PP - precisa enviar a entrevista digitada //Júnio: PP aprovado: 19/01/24</v>
      </c>
      <c r="B3985" s="93"/>
    </row>
    <row r="3986">
      <c r="A3986" s="384" t="str">
        <f>IFERROR(__xludf.DUMMYFUNCTION("""COMPUTED_VALUE"""),"Vagner Silva | Ed Física | Aprovado | Andréa: aprovado nas 3 primeiras etapas do remoto// Bárbara: aprovado na 4ª etapa 11/02/2021")</f>
        <v>Vagner Silva | Ed Física | Aprovado | Andréa: aprovado nas 3 primeiras etapas do remoto// Bárbara: aprovado na 4ª etapa 11/02/2021</v>
      </c>
      <c r="B3986" s="93"/>
    </row>
    <row r="3987">
      <c r="A3987" s="384" t="str">
        <f>IFERROR(__xludf.DUMMYFUNCTION("""COMPUTED_VALUE"""),"Valda Maria Trindade |  | Aprovado | Mandei enviar pelo correio (03/01). Faltam fotos e cópia do contrato.")</f>
        <v>Valda Maria Trindade |  | Aprovado | Mandei enviar pelo correio (03/01). Faltam fotos e cópia do contrato.</v>
      </c>
      <c r="B3987" s="93"/>
    </row>
    <row r="3988">
      <c r="A3988" s="384" t="str">
        <f>IFERROR(__xludf.DUMMYFUNCTION("""COMPUTED_VALUE"""),"Valdelice Ferreira Nepomuceno | Artes Visuais | Aprovada | Júnio: remoto antigo - etapa 1,2 e 3 ok //Júnio: aprovada na aula online")</f>
        <v>Valdelice Ferreira Nepomuceno | Artes Visuais | Aprovada | Júnio: remoto antigo - etapa 1,2 e 3 ok //Júnio: aprovada na aula online</v>
      </c>
      <c r="B3988" s="93"/>
    </row>
    <row r="3989">
      <c r="A3989" s="384" t="str">
        <f>IFERROR(__xludf.DUMMYFUNCTION("""COMPUTED_VALUE"""),"Valdemira Ribeiro Campos |  | Aprovado | Mandei enviar pelo correio (24/11).")</f>
        <v>Valdemira Ribeiro Campos |  | Aprovado | Mandei enviar pelo correio (24/11).</v>
      </c>
      <c r="B3989" s="93"/>
    </row>
    <row r="3990">
      <c r="A3990" s="384" t="str">
        <f>IFERROR(__xludf.DUMMYFUNCTION("""COMPUTED_VALUE"""),"Valdenira Amancio Dos Santos Albuquerque | Pedagogia | Aprovada | Júnio: PP - 22% plágio //Júnio: aprovada: 27/10/23 ")</f>
        <v>Valdenira Amancio Dos Santos Albuquerque | Pedagogia | Aprovada | Júnio: PP - 22% plágio //Júnio: aprovada: 27/10/23 </v>
      </c>
      <c r="B3990" s="93"/>
    </row>
    <row r="3991">
      <c r="A3991" s="384" t="str">
        <f>IFERROR(__xludf.DUMMYFUNCTION("""COMPUTED_VALUE"""),"Valderesa Stefanello Possamai | História | Aprovada | Bianca: Falta carta de apresentação, termo de conclusão e sumário //Júnio: aprovada: 28/03/22")</f>
        <v>Valderesa Stefanello Possamai | História | Aprovada | Bianca: Falta carta de apresentação, termo de conclusão e sumário //Júnio: aprovada: 28/03/22</v>
      </c>
      <c r="B3991" s="93"/>
    </row>
    <row r="3992">
      <c r="A3992" s="384" t="str">
        <f>IFERROR(__xludf.DUMMYFUNCTION("""COMPUTED_VALUE"""),"Valderez Maria Coimbra | Filosofia | Em análise | Bárbara: autorizada a recolher assinaturas. A aluna iniciou o estágio padrão, e vai entregar ao remoto, devido ao covid e sua cirurgia, dessa forma, ela irá recolher as assnituras do cumprimento da carga h"&amp;"orária, mas entregará o relatório remoto.")</f>
        <v>Valderez Maria Coimbra | Filosofia | Em análise | Bárbara: autorizada a recolher assinaturas. A aluna iniciou o estágio padrão, e vai entregar ao remoto, devido ao covid e sua cirurgia, dessa forma, ela irá recolher as assnituras do cumprimento da carga horária, mas entregará o relatório remoto.</v>
      </c>
      <c r="B3992" s="93"/>
    </row>
    <row r="3993">
      <c r="A3993" s="384" t="str">
        <f>IFERROR(__xludf.DUMMYFUNCTION("""COMPUTED_VALUE"""),"Valdesia De Jesus Almeida | Neuropsicopedagogia Institucional,Clínica E Hospitalar | Aprovada | Alexsiane:falta anamnese e queixa do professor até 03/06/22 para reenviar// Bárbara: aprovada e autorizada a enviar o físico e solicitei assinatura da aluna na"&amp;"s partes respectivas ")</f>
        <v>Valdesia De Jesus Almeida | Neuropsicopedagogia Institucional,Clínica E Hospitalar | Aprovada | Alexsiane:falta anamnese e queixa do professor até 03/06/22 para reenviar// Bárbara: aprovada e autorizada a enviar o físico e solicitei assinatura da aluna nas partes respectivas </v>
      </c>
      <c r="B3993" s="93"/>
    </row>
    <row r="3994">
      <c r="A3994" s="384" t="str">
        <f>IFERROR(__xludf.DUMMYFUNCTION("""COMPUTED_VALUE"""),"Valdesia De Jesus Almeida | Pedagogia | Aprovada | Alexsiane:Mandar a declaração de experiência, termo de conclusão ,carta de apresentação escaneada e assinada e especificar nas fichas o tipo de atividade. até dia 02/06/2022 para reenviar// Bárbara: aprov"&amp;"ada e autorizada a enviar o físico")</f>
        <v>Valdesia De Jesus Almeida | Pedagogia | Aprovada | Alexsiane:Mandar a declaração de experiência, termo de conclusão ,carta de apresentação escaneada e assinada e especificar nas fichas o tipo de atividade. até dia 02/06/2022 para reenviar// Bárbara: aprovada e autorizada a enviar o físico</v>
      </c>
      <c r="B3994" s="93"/>
    </row>
    <row r="3995">
      <c r="A3995" s="384" t="str">
        <f>IFERROR(__xludf.DUMMYFUNCTION("""COMPUTED_VALUE"""),"Valdete Aparecida Da Silva | Pedagogia | Aprovada | Júnio: padrão - fichas ok, encaminhar as etapas dissertativas em word editável.")</f>
        <v>Valdete Aparecida Da Silva | Pedagogia | Aprovada | Júnio: padrão - fichas ok, encaminhar as etapas dissertativas em word editável.</v>
      </c>
      <c r="B3995" s="93"/>
    </row>
    <row r="3996">
      <c r="A3996" s="384" t="str">
        <f>IFERROR(__xludf.DUMMYFUNCTION("""COMPUTED_VALUE"""),"Valdete Dos Anjos Reis | Pedagogia | Aprovada | Bianca: Aprovada no estágio remoto")</f>
        <v>Valdete Dos Anjos Reis | Pedagogia | Aprovada | Bianca: Aprovada no estágio remoto</v>
      </c>
      <c r="B3996" s="93"/>
    </row>
    <row r="3997">
      <c r="A3997" s="384" t="str">
        <f>IFERROR(__xludf.DUMMYFUNCTION("""COMPUTED_VALUE"""),"Valdimir Andrade Lira | Pedagogia | Aprovado | Bianca: aprovado nas 4 etapas do remoto atualizado")</f>
        <v>Valdimir Andrade Lira | Pedagogia | Aprovado | Bianca: aprovado nas 4 etapas do remoto atualizado</v>
      </c>
      <c r="B3997" s="93"/>
    </row>
    <row r="3998">
      <c r="A3998" s="384" t="str">
        <f>IFERROR(__xludf.DUMMYFUNCTION("""COMPUTED_VALUE"""),"Valdimira Ferreira Dias | Psicopedagogia Inst, Clínica E Educação Infantil | Aprovada | Júnio: aprovada com lançamento no Sponte")</f>
        <v>Valdimira Ferreira Dias | Psicopedagogia Inst, Clínica E Educação Infantil | Aprovada | Júnio: aprovada com lançamento no Sponte</v>
      </c>
      <c r="B3998" s="93"/>
    </row>
    <row r="3999">
      <c r="A3999" s="384" t="str">
        <f>IFERROR(__xludf.DUMMYFUNCTION("""COMPUTED_VALUE"""),"Valdinei Dos Santos | Pedagogia | Aprovado | Bianca: fichas preenchidas incorretamente //Júnio: aprovado: 23/06/2021 //Júnio: conferido e arquivado: 06/07/2021")</f>
        <v>Valdinei Dos Santos | Pedagogia | Aprovado | Bianca: fichas preenchidas incorretamente //Júnio: aprovado: 23/06/2021 //Júnio: conferido e arquivado: 06/07/2021</v>
      </c>
      <c r="B3999" s="93"/>
    </row>
    <row r="4000">
      <c r="A4000" s="384" t="str">
        <f>IFERROR(__xludf.DUMMYFUNCTION("""COMPUTED_VALUE"""),"Valdinei Elias Dos Santos | Música | Aprovado | Júnio: remoto - aprovado")</f>
        <v>Valdinei Elias Dos Santos | Música | Aprovado | Júnio: remoto - aprovado</v>
      </c>
      <c r="B4000" s="93"/>
    </row>
    <row r="4001">
      <c r="A4001" s="384" t="str">
        <f>IFERROR(__xludf.DUMMYFUNCTION("""COMPUTED_VALUE"""),"Valdineia Rosa De Oliverira | Letras Português Inglês | Aprovada | Bianca: enviou apenas declaração de experiência, válida para isenção da etapa 4 //Júnio: aprovada: 21/03/2022")</f>
        <v>Valdineia Rosa De Oliverira | Letras Português Inglês | Aprovada | Bianca: enviou apenas declaração de experiência, válida para isenção da etapa 4 //Júnio: aprovada: 21/03/2022</v>
      </c>
      <c r="B4001" s="93"/>
    </row>
    <row r="4002">
      <c r="A4002" s="384" t="str">
        <f>IFERROR(__xludf.DUMMYFUNCTION("""COMPUTED_VALUE"""),"Valdineia Rosa De Oliverira | Neuropsicopedagogia Clínica | Aprovada | Lucas: Aprovada no estagio remoto pós")</f>
        <v>Valdineia Rosa De Oliverira | Neuropsicopedagogia Clínica | Aprovada | Lucas: Aprovada no estagio remoto pós</v>
      </c>
      <c r="B4002" s="93"/>
    </row>
    <row r="4003">
      <c r="A4003" s="384" t="str">
        <f>IFERROR(__xludf.DUMMYFUNCTION("""COMPUTED_VALUE"""),"Valdiney Ribeiro De Almeida | Artes Visuais | Aprovado | Júnio: PP aprovado")</f>
        <v>Valdiney Ribeiro De Almeida | Artes Visuais | Aprovado | Júnio: PP aprovado</v>
      </c>
      <c r="B4003" s="93"/>
    </row>
    <row r="4004">
      <c r="A4004" s="384" t="str">
        <f>IFERROR(__xludf.DUMMYFUNCTION("""COMPUTED_VALUE"""),"Valdir Rodrigues Da Silva | Neuropsicologia Clinica | Aprovado | Lucas: TCE remoto aprovado")</f>
        <v>Valdir Rodrigues Da Silva | Neuropsicologia Clinica | Aprovado | Lucas: TCE remoto aprovado</v>
      </c>
      <c r="B4004" s="93"/>
    </row>
    <row r="4005">
      <c r="A4005" s="384" t="str">
        <f>IFERROR(__xludf.DUMMYFUNCTION("""COMPUTED_VALUE"""),"Valdira Abreu Magalhães Nina Lee S | Letras Português Espanhol | Aprovada | Júnio: remoto antigo - pela análise do guru declaração de experiência válida para isenção da 4ª etapa// Alexsiane: aprovada com lançamento no sponte")</f>
        <v>Valdira Abreu Magalhães Nina Lee S | Letras Português Espanhol | Aprovada | Júnio: remoto antigo - pela análise do guru declaração de experiência válida para isenção da 4ª etapa// Alexsiane: aprovada com lançamento no sponte</v>
      </c>
      <c r="B4005" s="93"/>
    </row>
    <row r="4006">
      <c r="A4006" s="384" t="str">
        <f>IFERROR(__xludf.DUMMYFUNCTION("""COMPUTED_VALUE"""),"Valdirene Araújo Lacerda Santos | Pedagogia | Aprovada | Júnio: padrão - falta  objetivos gerais, 1 plano de aula, carta de apresentação, ficha de registro e termo de conclusão //Júnio: aprovada: 13/05/22")</f>
        <v>Valdirene Araújo Lacerda Santos | Pedagogia | Aprovada | Júnio: padrão - falta  objetivos gerais, 1 plano de aula, carta de apresentação, ficha de registro e termo de conclusão //Júnio: aprovada: 13/05/22</v>
      </c>
      <c r="B4006" s="93"/>
    </row>
    <row r="4007">
      <c r="A4007" s="384" t="str">
        <f>IFERROR(__xludf.DUMMYFUNCTION("""COMPUTED_VALUE"""),"Valdirene Da Costa Almada | Pedagogia | Aprovada | Alexsiane; colocar planos de aula em nosso modelo, 7% de plágio (Declaração de experiência valida) Até dia 27/052022 para reenviar // Alexsiane; aprovado no remoto antigo com lançamentos no sponte 05/08/2"&amp;"022")</f>
        <v>Valdirene Da Costa Almada | Pedagogia | Aprovada | Alexsiane; colocar planos de aula em nosso modelo, 7% de plágio (Declaração de experiência valida) Até dia 27/052022 para reenviar // Alexsiane; aprovado no remoto antigo com lançamentos no sponte 05/08/2022</v>
      </c>
      <c r="B4007" s="93"/>
    </row>
    <row r="4008">
      <c r="A4008" s="384" t="str">
        <f>IFERROR(__xludf.DUMMYFUNCTION("""COMPUTED_VALUE"""),"Valdomiro Alves Ribeiro | Ciências Sociais | Aprovado | Declaração de experiência valida.  //Júnio: pré aprovado: 22/09/23 //Júnio: aprovado: 29/09/23")</f>
        <v>Valdomiro Alves Ribeiro | Ciências Sociais | Aprovado | Declaração de experiência valida.  //Júnio: pré aprovado: 22/09/23 //Júnio: aprovado: 29/09/23</v>
      </c>
      <c r="B4008" s="93"/>
    </row>
    <row r="4009">
      <c r="A4009" s="384" t="str">
        <f>IFERROR(__xludf.DUMMYFUNCTION("""COMPUTED_VALUE"""),"Valéria Aparecida Chiamente | Formação Pedagógica em Pedagogia | Aprovado | Rayssa: pp aprovado")</f>
        <v>Valéria Aparecida Chiamente | Formação Pedagógica em Pedagogia | Aprovado | Rayssa: pp aprovado</v>
      </c>
      <c r="B4009" s="93"/>
    </row>
    <row r="4010">
      <c r="A4010" s="384" t="str">
        <f>IFERROR(__xludf.DUMMYFUNCTION("""COMPUTED_VALUE"""),"Valéria De Morais Ortolani | Letras Port Ing | Aprovada | Bárbara: aprovada etapas 1, 2 e 3, aguardando etapa 4ª etapa. // Bárbara: aprovada 4ª etapa 27/10/2020// Bárbara: imprimido e arquivado 08/01/2021")</f>
        <v>Valéria De Morais Ortolani | Letras Port Ing | Aprovada | Bárbara: aprovada etapas 1, 2 e 3, aguardando etapa 4ª etapa. // Bárbara: aprovada 4ª etapa 27/10/2020// Bárbara: imprimido e arquivado 08/01/2021</v>
      </c>
      <c r="B4010" s="93"/>
    </row>
    <row r="4011">
      <c r="A4011" s="384" t="str">
        <f>IFERROR(__xludf.DUMMYFUNCTION("""COMPUTED_VALUE"""),"Valeria De Oliveira Lima | Pedagogia | Aprovada | Alexsiane: 12% de plágio remoto antigo// Alexsiane: aprovada com lançamento no sponte(remoto antigo)")</f>
        <v>Valeria De Oliveira Lima | Pedagogia | Aprovada | Alexsiane: 12% de plágio remoto antigo// Alexsiane: aprovada com lançamento no sponte(remoto antigo)</v>
      </c>
      <c r="B4011" s="93"/>
    </row>
    <row r="4012">
      <c r="A4012" s="384" t="str">
        <f>IFERROR(__xludf.DUMMYFUNCTION("""COMPUTED_VALUE"""),"Valéria Henrique Corrêa | Matemática | – | Não encontrei registro de aprovação, mas na plataforma consta ""Concluiu em 24/07/18""; arquivei.// Bárbara: conferido e arquivado 14/04/2021")</f>
        <v>Valéria Henrique Corrêa | Matemática | – | Não encontrei registro de aprovação, mas na plataforma consta "Concluiu em 24/07/18"; arquivei.// Bárbara: conferido e arquivado 14/04/2021</v>
      </c>
      <c r="B4012" s="93"/>
    </row>
    <row r="4013">
      <c r="A4013" s="384" t="str">
        <f>IFERROR(__xludf.DUMMYFUNCTION("""COMPUTED_VALUE"""),"Valéria Leal De Figueiredo Tassoti | Letras Port | aprovada | Aline Silva: falta atv. Executada, plano de aula, autoav// aprovada dia 12/08/2020// Bárbara: Conferido e arquivado 15/09/2020")</f>
        <v>Valéria Leal De Figueiredo Tassoti | Letras Port | aprovada | Aline Silva: falta atv. Executada, plano de aula, autoav// aprovada dia 12/08/2020// Bárbara: Conferido e arquivado 15/09/2020</v>
      </c>
      <c r="B4013" s="93"/>
    </row>
    <row r="4014">
      <c r="A4014" s="384" t="str">
        <f>IFERROR(__xludf.DUMMYFUNCTION("""COMPUTED_VALUE"""),"Valéria Lube Machado | Pedagogia | Aprovada | Remoto antigo: falta a etapa 4 //Júnio: aprovada: 19/07/23")</f>
        <v>Valéria Lube Machado | Pedagogia | Aprovada | Remoto antigo: falta a etapa 4 //Júnio: aprovada: 19/07/23</v>
      </c>
      <c r="B4014" s="93"/>
    </row>
    <row r="4015">
      <c r="A4015" s="384" t="str">
        <f>IFERROR(__xludf.DUMMYFUNCTION("""COMPUTED_VALUE"""),"Valéria Martins Figueiredo | Pedagogia | Aprovada | Amélia: aprovada aprovada nas 3  primeiras etapas do estágio// Bárbara: aluna apresentou a aula online dia 10/11 e devido a pendêncoa documental foi aprovada nessa etapa formamalmente dia 02/12/2021")</f>
        <v>Valéria Martins Figueiredo | Pedagogia | Aprovada | Amélia: aprovada aprovada nas 3  primeiras etapas do estágio// Bárbara: aluna apresentou a aula online dia 10/11 e devido a pendêncoa documental foi aprovada nessa etapa formamalmente dia 02/12/2021</v>
      </c>
      <c r="B4015" s="93"/>
    </row>
    <row r="4016">
      <c r="A4016" s="384" t="str">
        <f>IFERROR(__xludf.DUMMYFUNCTION("""COMPUTED_VALUE"""),"Valéria Oliveira De Macedo | Ciências Biológicas | Aprovada | Alexsiane: pp aprovado")</f>
        <v>Valéria Oliveira De Macedo | Ciências Biológicas | Aprovada | Alexsiane: pp aprovado</v>
      </c>
      <c r="B4016" s="93"/>
    </row>
    <row r="4017">
      <c r="A4017" s="384" t="str">
        <f>IFERROR(__xludf.DUMMYFUNCTION("""COMPUTED_VALUE"""),"Valéria Pereira De Freitas | Educação Física | Em análise | Júnio: PP - enviar as etapas dissertativas digitadas.")</f>
        <v>Valéria Pereira De Freitas | Educação Física | Em análise | Júnio: PP - enviar as etapas dissertativas digitadas.</v>
      </c>
      <c r="B4017" s="93"/>
    </row>
    <row r="4018">
      <c r="A4018" s="384" t="str">
        <f>IFERROR(__xludf.DUMMYFUNCTION("""COMPUTED_VALUE"""),"Valéria Pereira De Freitas | Segunda Licenciatura Em Educação Física | Aprovado | Alexsiane: pp aprovado")</f>
        <v>Valéria Pereira De Freitas | Segunda Licenciatura Em Educação Física | Aprovado | Alexsiane: pp aprovado</v>
      </c>
      <c r="B4018" s="93"/>
    </row>
    <row r="4019">
      <c r="A4019" s="384" t="str">
        <f>IFERROR(__xludf.DUMMYFUNCTION("""COMPUTED_VALUE"""),"Valéria Pupin Ferreira | História | Aprovada | Bianca: aprovada no TCE padrão")</f>
        <v>Valéria Pupin Ferreira | História | Aprovada | Bianca: aprovada no TCE padrão</v>
      </c>
      <c r="B4019" s="93"/>
    </row>
    <row r="4020">
      <c r="A4020" s="384" t="str">
        <f>IFERROR(__xludf.DUMMYFUNCTION("""COMPUTED_VALUE"""),"Valéria Raduy | Pedagogia | Aprovada | Bárbara: faltou sumário, 3 etapas ok// Bárbara: aluna pediu para anexar sumário pra ela, já estava em outro trabalho, aguardando 4ª etapa// Bárbara: aprovada 4ª etapa 18/02/2021")</f>
        <v>Valéria Raduy | Pedagogia | Aprovada | Bárbara: faltou sumário, 3 etapas ok// Bárbara: aluna pediu para anexar sumário pra ela, já estava em outro trabalho, aguardando 4ª etapa// Bárbara: aprovada 4ª etapa 18/02/2021</v>
      </c>
      <c r="B4020" s="93"/>
    </row>
    <row r="4021">
      <c r="A4021" s="384" t="str">
        <f>IFERROR(__xludf.DUMMYFUNCTION("""COMPUTED_VALUE"""),"Valéria Ribeiro Vaciloto Gomes | Letras - Português Espanhol | Aprovada | Bianca: faltou declaração de experiência, fichas de estágio, termo de conclusão e carta de aceite //Júnio: conferido e arquivado: 06/07/21")</f>
        <v>Valéria Ribeiro Vaciloto Gomes | Letras - Português Espanhol | Aprovada | Bianca: faltou declaração de experiência, fichas de estágio, termo de conclusão e carta de aceite //Júnio: conferido e arquivado: 06/07/21</v>
      </c>
      <c r="B4021" s="93"/>
    </row>
    <row r="4022">
      <c r="A4022" s="384" t="str">
        <f>IFERROR(__xludf.DUMMYFUNCTION("""COMPUTED_VALUE"""),"Valéria Ribeiro Vaciloto Gomes | Psicopedagogia Institucional E Clínica | Em análise | Bianca: não enviou o caso acompanhado, anaminese, fichas preenchidas e carta de encaminhamento")</f>
        <v>Valéria Ribeiro Vaciloto Gomes | Psicopedagogia Institucional E Clínica | Em análise | Bianca: não enviou o caso acompanhado, anaminese, fichas preenchidas e carta de encaminhamento</v>
      </c>
      <c r="B4022" s="93"/>
    </row>
    <row r="4023">
      <c r="A4023" s="384" t="str">
        <f>IFERROR(__xludf.DUMMYFUNCTION("""COMPUTED_VALUE"""),"Valéria Rocha Mantelli | Pedagogia | Aprovado | Júnio: aprovada no padrão   //Júnio: físico conferido e arquivado: 10/06/22")</f>
        <v>Valéria Rocha Mantelli | Pedagogia | Aprovado | Júnio: aprovada no padrão   //Júnio: físico conferido e arquivado: 10/06/22</v>
      </c>
      <c r="B4023" s="93"/>
    </row>
    <row r="4024">
      <c r="A4024" s="384" t="str">
        <f>IFERROR(__xludf.DUMMYFUNCTION("""COMPUTED_VALUE"""),"Valéria Santos Ribeiro Felix | Letras – Português E Inglês | em análise | Alexsiane: 11% De plágio etem que enviar a segunda etap em formato de pergunta e resposta. 12/08 reenviar")</f>
        <v>Valéria Santos Ribeiro Felix | Letras – Português E Inglês | em análise | Alexsiane: 11% De plágio etem que enviar a segunda etap em formato de pergunta e resposta. 12/08 reenviar</v>
      </c>
      <c r="B4024" s="93"/>
    </row>
    <row r="4025">
      <c r="A4025" s="384" t="str">
        <f>IFERROR(__xludf.DUMMYFUNCTION("""COMPUTED_VALUE"""),"Valéssia Rodrigues Nascimento Da Silva | História | Aprovado | Alexsiane: pp aprovado")</f>
        <v>Valéssia Rodrigues Nascimento Da Silva | História | Aprovado | Alexsiane: pp aprovado</v>
      </c>
      <c r="B4025" s="93"/>
    </row>
    <row r="4026">
      <c r="A4026" s="384" t="str">
        <f>IFERROR(__xludf.DUMMYFUNCTION("""COMPUTED_VALUE"""),"Valkiria Gutierres Dos Santos | Ed. Física | Aprovado | Thiara: Aprovado // Recebido no instituto. // Bárbara: Conferido e arquivado 10/09/2020")</f>
        <v>Valkiria Gutierres Dos Santos | Ed. Física | Aprovado | Thiara: Aprovado // Recebido no instituto. // Bárbara: Conferido e arquivado 10/09/2020</v>
      </c>
      <c r="B4026" s="93"/>
    </row>
    <row r="4027">
      <c r="A4027" s="384" t="str">
        <f>IFERROR(__xludf.DUMMYFUNCTION("""COMPUTED_VALUE"""),"Valmira Ferreira Dias | Psicopedagogia Inst, Cl E Ed. Inf. | Aprovada | Júnio: aprovada. //Júnio: 28/01/22 conferida e arquivada")</f>
        <v>Valmira Ferreira Dias | Psicopedagogia Inst, Cl E Ed. Inf. | Aprovada | Júnio: aprovada. //Júnio: 28/01/22 conferida e arquivada</v>
      </c>
      <c r="B4027" s="93"/>
    </row>
    <row r="4028">
      <c r="A4028" s="384" t="str">
        <f>IFERROR(__xludf.DUMMYFUNCTION("""COMPUTED_VALUE"""),"Valquíria Henrique Dos Santos Wilken | Educação Física | Em análise  | Alexsiane: 50% de plágio nos planos de aula e falta toda estapa dissertativa do padrão")</f>
        <v>Valquíria Henrique Dos Santos Wilken | Educação Física | Em análise  | Alexsiane: 50% de plágio nos planos de aula e falta toda estapa dissertativa do padrão</v>
      </c>
      <c r="B4028" s="93"/>
    </row>
    <row r="4029">
      <c r="A4029" s="384" t="str">
        <f>IFERROR(__xludf.DUMMYFUNCTION("""COMPUTED_VALUE"""),"Valquíria Lopes De Souto | Pedagogia | Em análise | Júnio: PP - falta a carta de apresentação")</f>
        <v>Valquíria Lopes De Souto | Pedagogia | Em análise | Júnio: PP - falta a carta de apresentação</v>
      </c>
      <c r="B4029" s="93"/>
    </row>
    <row r="4030">
      <c r="A4030" s="384" t="str">
        <f>IFERROR(__xludf.DUMMYFUNCTION("""COMPUTED_VALUE"""),"Valquiria Regina Santos Ferreira | Neuropsicopedagogia Instittucional Clínica E Hospitalar | Aprovada | Júnio: pré aprovada -PRAZO: 14/07/23 //Júnio: aprovada: 06/07/23")</f>
        <v>Valquiria Regina Santos Ferreira | Neuropsicopedagogia Instittucional Clínica E Hospitalar | Aprovada | Júnio: pré aprovada -PRAZO: 14/07/23 //Júnio: aprovada: 06/07/23</v>
      </c>
      <c r="B4030" s="93"/>
    </row>
    <row r="4031">
      <c r="A4031" s="384" t="str">
        <f>IFERROR(__xludf.DUMMYFUNCTION("""COMPUTED_VALUE"""),"Vandemar Alves De Almeida | Pedagogia | Aprovado | Edilaine: Aprovado com lançamento no Jacad")</f>
        <v>Vandemar Alves De Almeida | Pedagogia | Aprovado | Edilaine: Aprovado com lançamento no Jacad</v>
      </c>
      <c r="B4031" s="93"/>
    </row>
    <row r="4032">
      <c r="A4032" s="384" t="str">
        <f>IFERROR(__xludf.DUMMYFUNCTION("""COMPUTED_VALUE"""),"Vandenilson Gomes Da Paixão | Form. Pedagógica Música | Aprovado | Cris: falta 2ª etapa e carta de apresentação//Alexsiane: pp aprovado 15/08")</f>
        <v>Vandenilson Gomes Da Paixão | Form. Pedagógica Música | Aprovado | Cris: falta 2ª etapa e carta de apresentação//Alexsiane: pp aprovado 15/08</v>
      </c>
      <c r="B4032" s="93"/>
    </row>
    <row r="4033">
      <c r="A4033" s="384" t="str">
        <f>IFERROR(__xludf.DUMMYFUNCTION("""COMPUTED_VALUE"""),"Vanderlânia Cavalcanti Dias Alves Da Silva | Segunda Licenciatura Em Pedagogia | Aprovado | Rayssa pp aprovado")</f>
        <v>Vanderlânia Cavalcanti Dias Alves Da Silva | Segunda Licenciatura Em Pedagogia | Aprovado | Rayssa pp aprovado</v>
      </c>
      <c r="B4033" s="93"/>
    </row>
    <row r="4034">
      <c r="A4034" s="384" t="str">
        <f>IFERROR(__xludf.DUMMYFUNCTION("""COMPUTED_VALUE"""),"Vanderlei Tibúrcio Teixeira | Pedagogia | Aprovado | Bianca: Fez igual ao Marcelo Tibúrcio 10% de plágio, planos de aula ok// Junio: aprovado em 25/05/2021")</f>
        <v>Vanderlei Tibúrcio Teixeira | Pedagogia | Aprovado | Bianca: Fez igual ao Marcelo Tibúrcio 10% de plágio, planos de aula ok// Junio: aprovado em 25/05/2021</v>
      </c>
      <c r="B4034" s="93"/>
    </row>
    <row r="4035">
      <c r="A4035" s="384" t="str">
        <f>IFERROR(__xludf.DUMMYFUNCTION("""COMPUTED_VALUE"""),"Vanderleia Da Rosa De Deus | Artes Visuais | - | Fez curso de capacitação.")</f>
        <v>Vanderleia Da Rosa De Deus | Artes Visuais | - | Fez curso de capacitação.</v>
      </c>
      <c r="B4035" s="93"/>
    </row>
    <row r="4036">
      <c r="A4036" s="384" t="str">
        <f>IFERROR(__xludf.DUMMYFUNCTION("""COMPUTED_VALUE"""),"Vanderléia Pereira De Souza | Letras Port. Esp. | Aprovado | Thiara: aprovado Recebido dia 12/08/2019")</f>
        <v>Vanderléia Pereira De Souza | Letras Port. Esp. | Aprovado | Thiara: aprovado Recebido dia 12/08/2019</v>
      </c>
      <c r="B4036" s="93"/>
    </row>
    <row r="4037">
      <c r="A4037" s="384" t="str">
        <f>IFERROR(__xludf.DUMMYFUNCTION("""COMPUTED_VALUE"""),"Vandira Damásio Miranda | Neuropsicopedagogia Inst. | Aprovada | Júnio: aprovada com lançamentro no sponte")</f>
        <v>Vandira Damásio Miranda | Neuropsicopedagogia Inst. | Aprovada | Júnio: aprovada com lançamentro no sponte</v>
      </c>
      <c r="B4037" s="93"/>
    </row>
    <row r="4038">
      <c r="A4038" s="384" t="str">
        <f>IFERROR(__xludf.DUMMYFUNCTION("""COMPUTED_VALUE"""),"Vanessa Angulo Barros | Pedagogia | Em análise | Edilaine: Enviou uma declaração de experiência que não é válida.")</f>
        <v>Vanessa Angulo Barros | Pedagogia | Em análise | Edilaine: Enviou uma declaração de experiência que não é válida.</v>
      </c>
      <c r="B4038" s="93"/>
    </row>
    <row r="4039">
      <c r="A4039" s="384" t="str">
        <f>IFERROR(__xludf.DUMMYFUNCTION("""COMPUTED_VALUE"""),"Vanessa Barros Angulo | Pedagogia | Em análise | Alexsiane: declaração não válida pois é de estágiaria.")</f>
        <v>Vanessa Barros Angulo | Pedagogia | Em análise | Alexsiane: declaração não válida pois é de estágiaria.</v>
      </c>
      <c r="B4039" s="93"/>
    </row>
    <row r="4040">
      <c r="A4040" s="384" t="str">
        <f>IFERROR(__xludf.DUMMYFUNCTION("""COMPUTED_VALUE"""),"Vanessa Bonifácio Furlán | Neuropsicopedagogia Cl, Ins E Hospitalar | Aprovada | Júnio: 15% plágio //// Edilaine: Aprovada 01/03/2023")</f>
        <v>Vanessa Bonifácio Furlán | Neuropsicopedagogia Cl, Ins E Hospitalar | Aprovada | Júnio: 15% plágio //// Edilaine: Aprovada 01/03/2023</v>
      </c>
      <c r="B4040" s="93"/>
    </row>
    <row r="4041">
      <c r="A4041" s="384" t="str">
        <f>IFERROR(__xludf.DUMMYFUNCTION("""COMPUTED_VALUE"""),"Vanessa Capizani Campos | Matemática | Pré- aprovada | Edilaine: Pré- aprovada com lançamento no Sponte")</f>
        <v>Vanessa Capizani Campos | Matemática | Pré- aprovada | Edilaine: Pré- aprovada com lançamento no Sponte</v>
      </c>
      <c r="B4041" s="93"/>
    </row>
    <row r="4042">
      <c r="A4042" s="384" t="str">
        <f>IFERROR(__xludf.DUMMYFUNCTION("""COMPUTED_VALUE"""),"Vanessa Da Silva | Neuropsicopedagogia Institucional, Clínica E Hospitalar | Aprovada | Júnio: pré aprovada PRAZO:  10/12/23 //Aprovada: 01/12/23")</f>
        <v>Vanessa Da Silva | Neuropsicopedagogia Institucional, Clínica E Hospitalar | Aprovada | Júnio: pré aprovada PRAZO:  10/12/23 //Aprovada: 01/12/23</v>
      </c>
      <c r="B4042" s="93"/>
    </row>
    <row r="4043">
      <c r="A4043" s="384" t="str">
        <f>IFERROR(__xludf.DUMMYFUNCTION("""COMPUTED_VALUE"""),"Vanessa De Medeiros Figueiredo Tavares | Letras Espanhol | Aprovada | Júnio: PP aprovada")</f>
        <v>Vanessa De Medeiros Figueiredo Tavares | Letras Espanhol | Aprovada | Júnio: PP aprovada</v>
      </c>
      <c r="B4043" s="93"/>
    </row>
    <row r="4044">
      <c r="A4044" s="384" t="str">
        <f>IFERROR(__xludf.DUMMYFUNCTION("""COMPUTED_VALUE"""),"Vanessa De Souza Reis | Artes Visuais | Aprovada | Edilaine: Falta da 4ª etapa do remoto antigo e as considerações finais. /// Edilaine: Aprovada.")</f>
        <v>Vanessa De Souza Reis | Artes Visuais | Aprovada | Edilaine: Falta da 4ª etapa do remoto antigo e as considerações finais. /// Edilaine: Aprovada.</v>
      </c>
      <c r="B4044" s="93"/>
    </row>
    <row r="4045">
      <c r="A4045" s="384" t="str">
        <f>IFERROR(__xludf.DUMMYFUNCTION("""COMPUTED_VALUE"""),"Vanessa Domingues Pinto | Matemática | aprovada | Aline Silva: aprovada // Bárbara: Conferido e arquivado 15/09/2020")</f>
        <v>Vanessa Domingues Pinto | Matemática | aprovada | Aline Silva: aprovada // Bárbara: Conferido e arquivado 15/09/2020</v>
      </c>
      <c r="B4045" s="93"/>
    </row>
    <row r="4046">
      <c r="A4046" s="384" t="str">
        <f>IFERROR(__xludf.DUMMYFUNCTION("""COMPUTED_VALUE"""),"Vanessa Ferreira Do Amaral Santos | Pedagogia | Em análise | Júnio: PP  Etapas: OK Inicio: 26/07/23 Reenviar: 26/01/2024")</f>
        <v>Vanessa Ferreira Do Amaral Santos | Pedagogia | Em análise | Júnio: PP  Etapas: OK Inicio: 26/07/23 Reenviar: 26/01/2024</v>
      </c>
      <c r="B4046" s="93"/>
    </row>
    <row r="4047">
      <c r="A4047" s="384" t="str">
        <f>IFERROR(__xludf.DUMMYFUNCTION("""COMPUTED_VALUE"""),"Vanessa Karoline De Lima Pientka | Letras Português | Aprovada | Júnio - PP: aprovada")</f>
        <v>Vanessa Karoline De Lima Pientka | Letras Português | Aprovada | Júnio - PP: aprovada</v>
      </c>
      <c r="B4047" s="93"/>
    </row>
    <row r="4048">
      <c r="A4048" s="384" t="str">
        <f>IFERROR(__xludf.DUMMYFUNCTION("""COMPUTED_VALUE"""),"Vanessa Lopes Da Silva | Música | Aprovada | Edilaine/Júnio: declaração de experiência foi válida. //Júnio: PP aprovada 18/09/23")</f>
        <v>Vanessa Lopes Da Silva | Música | Aprovada | Edilaine/Júnio: declaração de experiência foi válida. //Júnio: PP aprovada 18/09/23</v>
      </c>
      <c r="B4048" s="93"/>
    </row>
    <row r="4049">
      <c r="A4049" s="384" t="str">
        <f>IFERROR(__xludf.DUMMYFUNCTION("""COMPUTED_VALUE"""),"Vanessa Luiz | Pedagogia | Aprovada | Bárbara: trabalho muito bom, contudo aluna enviou docuemnto não editável, e declaração de experiência da aluna não é válida, não possue os níveis de ensino trabalhados. // Bárbara: aprovada 24/02/2021")</f>
        <v>Vanessa Luiz | Pedagogia | Aprovada | Bárbara: trabalho muito bom, contudo aluna enviou docuemnto não editável, e declaração de experiência da aluna não é válida, não possue os níveis de ensino trabalhados. // Bárbara: aprovada 24/02/2021</v>
      </c>
      <c r="B4049" s="93"/>
    </row>
    <row r="4050">
      <c r="A4050" s="384" t="str">
        <f>IFERROR(__xludf.DUMMYFUNCTION("""COMPUTED_VALUE"""),"Vanessa Salles Emerick | Artes Visuais | Aprovado | VOLTOU PARA CORREÇÃO, organização de acordo com o modelo atual e está faltando horas, 20-08. Recebido em 01/02/2019 sem encadernação. Encadernado em 04/02/2019.")</f>
        <v>Vanessa Salles Emerick | Artes Visuais | Aprovado | VOLTOU PARA CORREÇÃO, organização de acordo com o modelo atual e está faltando horas, 20-08. Recebido em 01/02/2019 sem encadernação. Encadernado em 04/02/2019.</v>
      </c>
      <c r="B4050" s="93"/>
    </row>
    <row r="4051">
      <c r="A4051" s="384" t="str">
        <f>IFERROR(__xludf.DUMMYFUNCTION("""COMPUTED_VALUE"""),"Vanessa Salles Emerick | Filosofia | Aprovada | Aline: aprovada com e-mail enviado Bianca: aprovada 29/06/2021")</f>
        <v>Vanessa Salles Emerick | Filosofia | Aprovada | Aline: aprovada com e-mail enviado Bianca: aprovada 29/06/2021</v>
      </c>
      <c r="B4051" s="93"/>
    </row>
    <row r="4052">
      <c r="A4052" s="384" t="str">
        <f>IFERROR(__xludf.DUMMYFUNCTION("""COMPUTED_VALUE"""),"Vanessa Valença De Morais | Letras Por Ing | Aprovada  | Bárbara: aprovada nas 3 primeiras etapas// Bianca: aluna apresentou 4ª etapa 14/05/2021")</f>
        <v>Vanessa Valença De Morais | Letras Por Ing | Aprovada  | Bárbara: aprovada nas 3 primeiras etapas// Bianca: aluna apresentou 4ª etapa 14/05/2021</v>
      </c>
      <c r="B4052" s="93"/>
    </row>
    <row r="4053">
      <c r="A4053" s="384" t="str">
        <f>IFERROR(__xludf.DUMMYFUNCTION("""COMPUTED_VALUE"""),"Vânia Amaral Bispo Silva | História | Aprovada | Júnio: aprovada no Remoto Antigo")</f>
        <v>Vânia Amaral Bispo Silva | História | Aprovada | Júnio: aprovada no Remoto Antigo</v>
      </c>
      <c r="B4053" s="93"/>
    </row>
    <row r="4054">
      <c r="A4054" s="384" t="str">
        <f>IFERROR(__xludf.DUMMYFUNCTION("""COMPUTED_VALUE"""),"Vania Aparecida Da Silva | Pedagogia C/ Ênf. | Aprovado | Estella: Esperando correções /// Aprovado enviou horas restantes e pasta completa. // Recebido dia 12/12/2019// Bárbara: Conferido e arquivado 10/09/2020")</f>
        <v>Vania Aparecida Da Silva | Pedagogia C/ Ênf. | Aprovado | Estella: Esperando correções /// Aprovado enviou horas restantes e pasta completa. // Recebido dia 12/12/2019// Bárbara: Conferido e arquivado 10/09/2020</v>
      </c>
      <c r="B4054" s="93"/>
    </row>
    <row r="4055">
      <c r="A4055" s="384" t="str">
        <f>IFERROR(__xludf.DUMMYFUNCTION("""COMPUTED_VALUE"""),"Vania Aparecida Dos Santos Dutra | Matemática | Aprovada  | Bianca: aprovada nas 3 1° etapas do remoto antigo// Bárbara: aprovada 15/02/2022 //Júnio:conferido e arquivado: 25/02/22")</f>
        <v>Vania Aparecida Dos Santos Dutra | Matemática | Aprovada  | Bianca: aprovada nas 3 1° etapas do remoto antigo// Bárbara: aprovada 15/02/2022 //Júnio:conferido e arquivado: 25/02/22</v>
      </c>
      <c r="B4055" s="93"/>
    </row>
    <row r="4056">
      <c r="A4056" s="384" t="str">
        <f>IFERROR(__xludf.DUMMYFUNCTION("""COMPUTED_VALUE"""),"Vania Aparecida Ferreira Barbosa | Matemática | Aprovada | Júnio: precisa enviar etapas dissertativas digitadas e nas fichas varios dias ultrapassam 6 hs. PRAZO:27/08/23 //Júnio: aprovada: 15/09/23")</f>
        <v>Vania Aparecida Ferreira Barbosa | Matemática | Aprovada | Júnio: precisa enviar etapas dissertativas digitadas e nas fichas varios dias ultrapassam 6 hs. PRAZO:27/08/23 //Júnio: aprovada: 15/09/23</v>
      </c>
      <c r="B4056" s="93"/>
    </row>
    <row r="4057">
      <c r="A4057" s="384" t="str">
        <f>IFERROR(__xludf.DUMMYFUNCTION("""COMPUTED_VALUE"""),"Vânia Cristina G. Fernandes | Pedagogia | Aprovada | Amélia: Aprovada em 3 etapas do remoto")</f>
        <v>Vânia Cristina G. Fernandes | Pedagogia | Aprovada | Amélia: Aprovada em 3 etapas do remoto</v>
      </c>
      <c r="B4057" s="93"/>
    </row>
    <row r="4058">
      <c r="A4058" s="384" t="str">
        <f>IFERROR(__xludf.DUMMYFUNCTION("""COMPUTED_VALUE"""),"Vânia Cristina Gomes Fernanda | Pedagogia | Aprovada | Bárbara: etapas 1 e 2 ok, faltando planos da educação infantil e apresentou declaração de ezxperiência válida.")</f>
        <v>Vânia Cristina Gomes Fernanda | Pedagogia | Aprovada | Bárbara: etapas 1 e 2 ok, faltando planos da educação infantil e apresentou declaração de ezxperiência válida.</v>
      </c>
      <c r="B4058" s="93"/>
    </row>
    <row r="4059">
      <c r="A4059" s="384" t="str">
        <f>IFERROR(__xludf.DUMMYFUNCTION("""COMPUTED_VALUE"""),"Vania Da Silva Moreira | Artes Visuais | Aprovada | Júnio: PP aprovada")</f>
        <v>Vania Da Silva Moreira | Artes Visuais | Aprovada | Júnio: PP aprovada</v>
      </c>
      <c r="B4059" s="93"/>
    </row>
    <row r="4060">
      <c r="A4060" s="384" t="str">
        <f>IFERROR(__xludf.DUMMYFUNCTION("""COMPUTED_VALUE"""),"Vania De Souza Santos Armani | Letras Português Inglês | Aprovada | Júnio: PP - precisa complementar a etapa 1 com mais páginas, enumerar a entrevista e anexar a carta de apresentação. //Júnio: aprovada: 20/11/23")</f>
        <v>Vania De Souza Santos Armani | Letras Português Inglês | Aprovada | Júnio: PP - precisa complementar a etapa 1 com mais páginas, enumerar a entrevista e anexar a carta de apresentação. //Júnio: aprovada: 20/11/23</v>
      </c>
      <c r="B4060" s="93"/>
    </row>
    <row r="4061">
      <c r="A4061" s="384" t="str">
        <f>IFERROR(__xludf.DUMMYFUNCTION("""COMPUTED_VALUE"""),"Vânia Márcia G. B. Almeida | Pedagogia | Aprovada | Amélia: Aprovada nas 4 etapas")</f>
        <v>Vânia Márcia G. B. Almeida | Pedagogia | Aprovada | Amélia: Aprovada nas 4 etapas</v>
      </c>
      <c r="B4061" s="93"/>
    </row>
    <row r="4062">
      <c r="A4062" s="384" t="str">
        <f>IFERROR(__xludf.DUMMYFUNCTION("""COMPUTED_VALUE"""),"Vania Maria Lima Da Silva | Neuropsicologia Clínica | Aprovada | Edilaine: Marca de lápis no termo de conclusão, tem que especificar o tipo de acompanhamento na ficha de registro.//Alexsiane: pré aprovado, autorizada a autenticar //Júnio: aprovada: 18/05/"&amp;"23")</f>
        <v>Vania Maria Lima Da Silva | Neuropsicologia Clínica | Aprovada | Edilaine: Marca de lápis no termo de conclusão, tem que especificar o tipo de acompanhamento na ficha de registro.//Alexsiane: pré aprovado, autorizada a autenticar //Júnio: aprovada: 18/05/23</v>
      </c>
      <c r="B4062" s="93"/>
    </row>
    <row r="4063">
      <c r="A4063" s="384" t="str">
        <f>IFERROR(__xludf.DUMMYFUNCTION("""COMPUTED_VALUE"""),"Vânia Maria Silva Portugal | Pedagogia | Aprovada | Alexsiane; Enviou somente a BNCC, e o curriculo escolar e o perigo da história única e complementar corrigir os planos de aula( enviar em nosso modelo) //Júnio: aprovada: 12/08/22")</f>
        <v>Vânia Maria Silva Portugal | Pedagogia | Aprovada | Alexsiane; Enviou somente a BNCC, e o curriculo escolar e o perigo da história única e complementar corrigir os planos de aula( enviar em nosso modelo) //Júnio: aprovada: 12/08/22</v>
      </c>
      <c r="B4063" s="93"/>
    </row>
    <row r="4064">
      <c r="A4064" s="384" t="str">
        <f>IFERROR(__xludf.DUMMYFUNCTION("""COMPUTED_VALUE"""),"Vanice Freitas Da Silva | História | Em análise | Aline Silva: erros de formatção, comentário deixadoao longo do documento")</f>
        <v>Vanice Freitas Da Silva | História | Em análise | Aline Silva: erros de formatção, comentário deixadoao longo do documento</v>
      </c>
      <c r="B4064" s="93"/>
    </row>
    <row r="4065">
      <c r="A4065" s="384" t="str">
        <f>IFERROR(__xludf.DUMMYFUNCTION("""COMPUTED_VALUE"""),"Vaniele Pena Da Silva | Pedagogia | Aprovada | Bianca: aprovada nas 4 etapas do remoto")</f>
        <v>Vaniele Pena Da Silva | Pedagogia | Aprovada | Bianca: aprovada nas 4 etapas do remoto</v>
      </c>
      <c r="B4065" s="93"/>
    </row>
    <row r="4066">
      <c r="A4066" s="384" t="str">
        <f>IFERROR(__xludf.DUMMYFUNCTION("""COMPUTED_VALUE"""),"Vanires Vânia Francisco Perrut Saboia | Artes Visuais | Aprovada | Bárbara: aprovada as 3 primeiras do remoto// Bárbara: aprovada na 4ª etapa 10/02/2021// Bárbara: conferido e arquivado 15/02/2021")</f>
        <v>Vanires Vânia Francisco Perrut Saboia | Artes Visuais | Aprovada | Bárbara: aprovada as 3 primeiras do remoto// Bárbara: aprovada na 4ª etapa 10/02/2021// Bárbara: conferido e arquivado 15/02/2021</v>
      </c>
      <c r="B4066" s="93"/>
    </row>
    <row r="4067">
      <c r="A4067" s="384" t="str">
        <f>IFERROR(__xludf.DUMMYFUNCTION("""COMPUTED_VALUE"""),"Vaniula Aparecida Dos Santos Costas | Artes Visuais | Aprovada  | Bárbara: aprovada em todas as etapas do remoto antigo ")</f>
        <v>Vaniula Aparecida Dos Santos Costas | Artes Visuais | Aprovada  | Bárbara: aprovada em todas as etapas do remoto antigo </v>
      </c>
      <c r="B4067" s="93"/>
    </row>
    <row r="4068">
      <c r="A4068" s="384" t="str">
        <f>IFERROR(__xludf.DUMMYFUNCTION("""COMPUTED_VALUE"""),"Vanúcia Simões Péricles Faria | Artes Visuais | Aprovada | Ana Flávia: aprovada nas 3 primeiras etapas do remoto, e faltou última// Bárbara: aprovada na 4ª etapa 30/12/2020 //Júnio: conferido e arquivado: 16/06/2021")</f>
        <v>Vanúcia Simões Péricles Faria | Artes Visuais | Aprovada | Ana Flávia: aprovada nas 3 primeiras etapas do remoto, e faltou última// Bárbara: aprovada na 4ª etapa 30/12/2020 //Júnio: conferido e arquivado: 16/06/2021</v>
      </c>
      <c r="B4068" s="93"/>
    </row>
    <row r="4069">
      <c r="A4069" s="384" t="str">
        <f>IFERROR(__xludf.DUMMYFUNCTION("""COMPUTED_VALUE"""),"Vanusa Da Silva | Artes Visuais | Aprovada | Aline Silva: apresentou declaração de experiência vália.// Aline Silva: Sem formatação adequada, sem dados da esola preenchidos. // Aline Silva: aprovada 19/10/2020// Bárbara: conferido e arquivado 13/11/2020 o"&amp;" estágio sem encadernar")</f>
        <v>Vanusa Da Silva | Artes Visuais | Aprovada | Aline Silva: apresentou declaração de experiência vália.// Aline Silva: Sem formatação adequada, sem dados da esola preenchidos. // Aline Silva: aprovada 19/10/2020// Bárbara: conferido e arquivado 13/11/2020 o estágio sem encadernar</v>
      </c>
      <c r="B4069" s="93"/>
    </row>
    <row r="4070">
      <c r="A4070" s="384" t="str">
        <f>IFERROR(__xludf.DUMMYFUNCTION("""COMPUTED_VALUE"""),"Vanuza Aparecida De Oliveira Aguiar | Letras / Português | aprovado | Aline Silva: ensino fundamental ok, e ensino médio apresentação de 15 planos de aula, conforme acordado com Ana Lúcia.")</f>
        <v>Vanuza Aparecida De Oliveira Aguiar | Letras / Português | aprovado | Aline Silva: ensino fundamental ok, e ensino médio apresentação de 15 planos de aula, conforme acordado com Ana Lúcia.</v>
      </c>
      <c r="B4070" s="93"/>
    </row>
    <row r="4071">
      <c r="A4071" s="384" t="str">
        <f>IFERROR(__xludf.DUMMYFUNCTION("""COMPUTED_VALUE"""),"Vera Lúcia Borges | Pedagogia | Aprovada | Bianca: Falta carta de apresntação, termo de conclusão e fichas de registro preenchidas de forma ilegível //Júnio: conferido e arquivado: 05/10/2021")</f>
        <v>Vera Lúcia Borges | Pedagogia | Aprovada | Bianca: Falta carta de apresntação, termo de conclusão e fichas de registro preenchidas de forma ilegível //Júnio: conferido e arquivado: 05/10/2021</v>
      </c>
      <c r="B4071" s="93"/>
    </row>
    <row r="4072">
      <c r="A4072" s="384" t="str">
        <f>IFERROR(__xludf.DUMMYFUNCTION("""COMPUTED_VALUE"""),"Vera Lúcia De Freitas Alves | Geografia | Aprovada | Bianca: enviou fichas preenchidas de forma incorreta //Bianca: aprovada: 28/10/21")</f>
        <v>Vera Lúcia De Freitas Alves | Geografia | Aprovada | Bianca: enviou fichas preenchidas de forma incorreta //Bianca: aprovada: 28/10/21</v>
      </c>
      <c r="B4072" s="93"/>
    </row>
    <row r="4073">
      <c r="A4073" s="384" t="str">
        <f>IFERROR(__xludf.DUMMYFUNCTION("""COMPUTED_VALUE"""),"Vera Lucia Favini De Lima | Pedagogia Segunda Licenciatura R2/2019 | Aprovada  | Lucas: Pedi para completar a etapa 2 com o perigo da historia unica// Bárbara: aprovada com lançamento no sponte 19/09/2022")</f>
        <v>Vera Lucia Favini De Lima | Pedagogia Segunda Licenciatura R2/2019 | Aprovada  | Lucas: Pedi para completar a etapa 2 com o perigo da historia unica// Bárbara: aprovada com lançamento no sponte 19/09/2022</v>
      </c>
      <c r="B4073" s="93"/>
    </row>
    <row r="4074">
      <c r="A4074" s="384" t="str">
        <f>IFERROR(__xludf.DUMMYFUNCTION("""COMPUTED_VALUE"""),"Vera Lucia Fernandes De Paula | Artes Visuais | Aprovada | Júnio: PP aprovada")</f>
        <v>Vera Lucia Fernandes De Paula | Artes Visuais | Aprovada | Júnio: PP aprovada</v>
      </c>
      <c r="B4074" s="93"/>
    </row>
    <row r="4075">
      <c r="A4075" s="384" t="str">
        <f>IFERROR(__xludf.DUMMYFUNCTION("""COMPUTED_VALUE"""),"Vera Lúcia Freitas Alves | Geografia | Em análise | Bianca: autorizada a recolher assinatura")</f>
        <v>Vera Lúcia Freitas Alves | Geografia | Em análise | Bianca: autorizada a recolher assinatura</v>
      </c>
      <c r="B4075" s="93"/>
    </row>
    <row r="4076">
      <c r="A4076" s="384" t="str">
        <f>IFERROR(__xludf.DUMMYFUNCTION("""COMPUTED_VALUE"""),"Vera Lúcia Guimarães Andrade | Letras Português-Espanhol | Aprovada | Alexsiane: Falta contracapa, súmario e autoavaliação. Padrão 300h  até dia 06/06 para reenviar // Alexsiane: aprovado com lançamento no Sponte")</f>
        <v>Vera Lúcia Guimarães Andrade | Letras Português-Espanhol | Aprovada | Alexsiane: Falta contracapa, súmario e autoavaliação. Padrão 300h  até dia 06/06 para reenviar // Alexsiane: aprovado com lançamento no Sponte</v>
      </c>
      <c r="B4076" s="93"/>
    </row>
    <row r="4077">
      <c r="A4077" s="384" t="str">
        <f>IFERROR(__xludf.DUMMYFUNCTION("""COMPUTED_VALUE"""),"Vera Lucia Neto | Artes Visuais | Aprovada | Amélia: pedi para completar etapas 1 e 2, etapa 3 ok// Bárbara: aprovada 29/03/2021")</f>
        <v>Vera Lucia Neto | Artes Visuais | Aprovada | Amélia: pedi para completar etapas 1 e 2, etapa 3 ok// Bárbara: aprovada 29/03/2021</v>
      </c>
      <c r="B4077" s="93"/>
    </row>
    <row r="4078">
      <c r="A4078" s="384" t="str">
        <f>IFERROR(__xludf.DUMMYFUNCTION("""COMPUTED_VALUE"""),"Vera Lúcia Pinheiro | Artes Visuais | Aprovada | Júnio: autorizada a recolher assinaturas //Júnio: aprovada: 08/06/22 //Júnio: físico conferido e arquivado: 06/07/22")</f>
        <v>Vera Lúcia Pinheiro | Artes Visuais | Aprovada | Júnio: autorizada a recolher assinaturas //Júnio: aprovada: 08/06/22 //Júnio: físico conferido e arquivado: 06/07/22</v>
      </c>
      <c r="B4078" s="93"/>
    </row>
    <row r="4079">
      <c r="A4079" s="384" t="str">
        <f>IFERROR(__xludf.DUMMYFUNCTION("""COMPUTED_VALUE"""),"Vera Lúcia Santos De Almeida | Pedagogia | Em análise | Júnio: falta carta de apresentação, termo de conclusão, especificar tema e série nas fichas, lançar mais 100 horas ( 30 hs  obs no fundamental I + 30 hs de reg no Fundamental I + 40 hs de gestão) PRA"&amp;"ZO: 31/06/23 lembrete: avisar ela no guru quando corrigir")</f>
        <v>Vera Lúcia Santos De Almeida | Pedagogia | Em análise | Júnio: falta carta de apresentação, termo de conclusão, especificar tema e série nas fichas, lançar mais 100 horas ( 30 hs  obs no fundamental I + 30 hs de reg no Fundamental I + 40 hs de gestão) PRAZO: 31/06/23 lembrete: avisar ela no guru quando corrigir</v>
      </c>
      <c r="B4079" s="93"/>
    </row>
    <row r="4080">
      <c r="A4080" s="384" t="str">
        <f>IFERROR(__xludf.DUMMYFUNCTION("""COMPUTED_VALUE"""),"Verajane Cardoso Da Mata Silva | Psicopedagogia Institucional,Clínica E Ludopedagogia | Pré aprovado | Alexsiane: Pré aprovado com lançamento no sponte (estágio de 90 horas)")</f>
        <v>Verajane Cardoso Da Mata Silva | Psicopedagogia Institucional,Clínica E Ludopedagogia | Pré aprovado | Alexsiane: Pré aprovado com lançamento no sponte (estágio de 90 horas)</v>
      </c>
      <c r="B4080" s="93"/>
    </row>
    <row r="4081">
      <c r="A4081" s="384" t="str">
        <f>IFERROR(__xludf.DUMMYFUNCTION("""COMPUTED_VALUE"""),"Verana Salustino Do Nascimento Freire | Neuropsicopedagogia Inst. Cllínica E Hospitalar | Aprovada | Júnio: Remoto antigo - aprovada com lançamento no Sponte")</f>
        <v>Verana Salustino Do Nascimento Freire | Neuropsicopedagogia Inst. Cllínica E Hospitalar | Aprovada | Júnio: Remoto antigo - aprovada com lançamento no Sponte</v>
      </c>
      <c r="B4081" s="93"/>
    </row>
    <row r="4082">
      <c r="A4082" s="384" t="str">
        <f>IFERROR(__xludf.DUMMYFUNCTION("""COMPUTED_VALUE"""),"Veranice Fátima De Oliveira | História | Aprovada | Aline Silva: declaração de experiência foi aceita.// Bárbara: aprovada 18/12/2020 //Amélia 05/02 Trabalho carimbado e entregue a secretaria. //Júnio:conferido e arquivado: 16/06/2021")</f>
        <v>Veranice Fátima De Oliveira | História | Aprovada | Aline Silva: declaração de experiência foi aceita.// Bárbara: aprovada 18/12/2020 //Amélia 05/02 Trabalho carimbado e entregue a secretaria. //Júnio:conferido e arquivado: 16/06/2021</v>
      </c>
      <c r="B4082" s="93"/>
    </row>
    <row r="4083">
      <c r="A4083" s="384" t="str">
        <f>IFERROR(__xludf.DUMMYFUNCTION("""COMPUTED_VALUE"""),"Veranice Fátima De Oliveira | Matemática | Aprovada | Lucas: Falta realizar: Capa, Resumo, Sumario, Introdução, Finalizar a etapa 2, Conclusão, Referencias //Alexsiane: pré aprovado no remoto atualizado 12/08/2//Pamela: recebido fisico, conferido e arquiv"&amp;"ado 21/09/22.")</f>
        <v>Veranice Fátima De Oliveira | Matemática | Aprovada | Lucas: Falta realizar: Capa, Resumo, Sumario, Introdução, Finalizar a etapa 2, Conclusão, Referencias //Alexsiane: pré aprovado no remoto atualizado 12/08/2//Pamela: recebido fisico, conferido e arquivado 21/09/22.</v>
      </c>
      <c r="B4083" s="93"/>
    </row>
    <row r="4084">
      <c r="A4084" s="384" t="str">
        <f>IFERROR(__xludf.DUMMYFUNCTION("""COMPUTED_VALUE"""),"Veranice Fátima De Oliveira | Letras Português Inglês | Em análise | Júnio: remoto antigo - falta apenas a etapa I.")</f>
        <v>Veranice Fátima De Oliveira | Letras Português Inglês | Em análise | Júnio: remoto antigo - falta apenas a etapa I.</v>
      </c>
      <c r="B4084" s="93"/>
    </row>
    <row r="4085">
      <c r="A4085" s="384" t="str">
        <f>IFERROR(__xludf.DUMMYFUNCTION("""COMPUTED_VALUE"""),"Veronica Cherizoli Valmorbida | Neuropsicopedagogia Institucional,Clínica E Hospitalar | aprovado | Alexsiane: Pré aprovado com lançamento no sponte//Alexsiane: aprovada no envio físico")</f>
        <v>Veronica Cherizoli Valmorbida | Neuropsicopedagogia Institucional,Clínica E Hospitalar | aprovado | Alexsiane: Pré aprovado com lançamento no sponte//Alexsiane: aprovada no envio físico</v>
      </c>
      <c r="B4085" s="93"/>
    </row>
    <row r="4086">
      <c r="A4086" s="384" t="str">
        <f>IFERROR(__xludf.DUMMYFUNCTION("""COMPUTED_VALUE"""),"Veronica Lopes Bonfim | Artes Visuais | Em análise | Júnio: declaração de experi~encia válida para isenção de 50% de observação e regencia")</f>
        <v>Veronica Lopes Bonfim | Artes Visuais | Em análise | Júnio: declaração de experi~encia válida para isenção de 50% de observação e regencia</v>
      </c>
      <c r="B4086" s="93"/>
    </row>
    <row r="4087">
      <c r="A4087" s="384" t="str">
        <f>IFERROR(__xludf.DUMMYFUNCTION("""COMPUTED_VALUE"""),"Vicência Coelho Da Silva Soares | Pedagogia | Aprovada | Júnio: etapa 4 correta, falta 1,2 e 3 Bianca: aprovada: 17/06/2021 //Júnio: conferido e arquivado 09/07/21")</f>
        <v>Vicência Coelho Da Silva Soares | Pedagogia | Aprovada | Júnio: etapa 4 correta, falta 1,2 e 3 Bianca: aprovada: 17/06/2021 //Júnio: conferido e arquivado 09/07/21</v>
      </c>
      <c r="B4087" s="93"/>
    </row>
    <row r="4088">
      <c r="A4088" s="384" t="str">
        <f>IFERROR(__xludf.DUMMYFUNCTION("""COMPUTED_VALUE"""),"Victor Constante Oliveira | Educação Física | Aprovado | Estella: aprovado.")</f>
        <v>Victor Constante Oliveira | Educação Física | Aprovado | Estella: aprovado.</v>
      </c>
      <c r="B4088" s="93"/>
    </row>
    <row r="4089">
      <c r="A4089" s="384" t="str">
        <f>IFERROR(__xludf.DUMMYFUNCTION("""COMPUTED_VALUE"""),"Victor Hugo Souza Nunes Do Nascimento | Filosofia | Aprovado | Amélia: aprovado nos planos + curso de capacitação")</f>
        <v>Victor Hugo Souza Nunes Do Nascimento | Filosofia | Aprovado | Amélia: aprovado nos planos + curso de capacitação</v>
      </c>
      <c r="B4089" s="93"/>
    </row>
    <row r="4090">
      <c r="A4090" s="384" t="str">
        <f>IFERROR(__xludf.DUMMYFUNCTION("""COMPUTED_VALUE"""),"Victor Hugo Souza Nunes Do Nascimento | Pedagogia | Aprovado | Amélia: aprovado nas 3 primeiras etapas do remoto // Bárbara: aprovado 25/03/2021")</f>
        <v>Victor Hugo Souza Nunes Do Nascimento | Pedagogia | Aprovado | Amélia: aprovado nas 3 primeiras etapas do remoto // Bárbara: aprovado 25/03/2021</v>
      </c>
      <c r="B4090" s="93"/>
    </row>
    <row r="4091">
      <c r="A4091" s="384" t="str">
        <f>IFERROR(__xludf.DUMMYFUNCTION("""COMPUTED_VALUE"""),"Vilma Alves Gonçalves De Souza | Pedagogia | Aprovada | Júnio: etapa 1 e 2 ok, falta 10 planos na etapa 3 (TCE remoto antigo) // Bárbara: 11/10/2022 aprovada no vídeo ")</f>
        <v>Vilma Alves Gonçalves De Souza | Pedagogia | Aprovada | Júnio: etapa 1 e 2 ok, falta 10 planos na etapa 3 (TCE remoto antigo) // Bárbara: 11/10/2022 aprovada no vídeo </v>
      </c>
      <c r="B4091" s="93"/>
    </row>
    <row r="4092">
      <c r="A4092" s="384" t="str">
        <f>IFERROR(__xludf.DUMMYFUNCTION("""COMPUTED_VALUE"""),"Vilma Ferreira De Souza | Artes Visuais | Aprovada | Bianca: Aprovada no estágio remoto")</f>
        <v>Vilma Ferreira De Souza | Artes Visuais | Aprovada | Bianca: Aprovada no estágio remoto</v>
      </c>
      <c r="B4092" s="93"/>
    </row>
    <row r="4093">
      <c r="A4093" s="384" t="str">
        <f>IFERROR(__xludf.DUMMYFUNCTION("""COMPUTED_VALUE"""),"Vilmar Carvalho | 2ª Licenciatura Em Pedagogia | Aprovado | Cris: PP falta etapa 2// pp aprovado( obs: Cristiane cobrou do aluno somente o questionario na plataforma e ela já respondeu, diante disso aluno foi aprovado sem encaminhar a entrevista de forma "&amp;"correta att:Alexsiane 07/06/24")</f>
        <v>Vilmar Carvalho | 2ª Licenciatura Em Pedagogia | Aprovado | Cris: PP falta etapa 2// pp aprovado( obs: Cristiane cobrou do aluno somente o questionario na plataforma e ela já respondeu, diante disso aluno foi aprovado sem encaminhar a entrevista de forma correta att:Alexsiane 07/06/24</v>
      </c>
      <c r="B4093" s="93"/>
    </row>
    <row r="4094">
      <c r="A4094" s="384" t="str">
        <f>IFERROR(__xludf.DUMMYFUNCTION("""COMPUTED_VALUE"""),"Vilobaldo Da Conceição | Música | Em análise | Júnio: pelo guru declaração de experiência válida")</f>
        <v>Vilobaldo Da Conceição | Música | Em análise | Júnio: pelo guru declaração de experiência válida</v>
      </c>
      <c r="B4094" s="93"/>
    </row>
    <row r="4095">
      <c r="A4095" s="384" t="str">
        <f>IFERROR(__xludf.DUMMYFUNCTION("""COMPUTED_VALUE"""),"Vinícius Caires Duarte | Matematica | Aprovado | Alexsiane: falta somente 238 horas nas fichas o restante está certo e sem plágio.//Alexsiane: Pré aprovado com lançamento no jacad // Pamela 03/02/2023 Conferido e arquivado. ")</f>
        <v>Vinícius Caires Duarte | Matematica | Aprovado | Alexsiane: falta somente 238 horas nas fichas o restante está certo e sem plágio.//Alexsiane: Pré aprovado com lançamento no jacad // Pamela 03/02/2023 Conferido e arquivado. </v>
      </c>
      <c r="B4095" s="93"/>
    </row>
    <row r="4096">
      <c r="A4096" s="384" t="str">
        <f>IFERROR(__xludf.DUMMYFUNCTION("""COMPUTED_VALUE"""),"Vinícius Da Silva Pimentel | Ed Física | Aprovado | Bárbara: aprovado e autorizado a realizar o envio físico// Bárbara: conferido e arquivado 15/02/2021")</f>
        <v>Vinícius Da Silva Pimentel | Ed Física | Aprovado | Bárbara: aprovado e autorizado a realizar o envio físico// Bárbara: conferido e arquivado 15/02/2021</v>
      </c>
      <c r="B4096" s="93"/>
    </row>
    <row r="4097">
      <c r="A4097" s="384" t="str">
        <f>IFERROR(__xludf.DUMMYFUNCTION("""COMPUTED_VALUE"""),"Vinicius De Andrade Floriano | Música | Aprovado | Júnio: PP aprovado")</f>
        <v>Vinicius De Andrade Floriano | Música | Aprovado | Júnio: PP aprovado</v>
      </c>
      <c r="B4097" s="93"/>
    </row>
    <row r="4098">
      <c r="A4098" s="384" t="str">
        <f>IFERROR(__xludf.DUMMYFUNCTION("""COMPUTED_VALUE"""),"Vinicius De Souza Campos | Letras Português | Aprovado | ")</f>
        <v>Vinicius De Souza Campos | Letras Português | Aprovado | </v>
      </c>
      <c r="B4098" s="93"/>
    </row>
    <row r="4099">
      <c r="A4099" s="384" t="str">
        <f>IFERROR(__xludf.DUMMYFUNCTION("""COMPUTED_VALUE""")," |  |  | ")</f>
        <v> |  |  | </v>
      </c>
      <c r="B4099" s="93"/>
    </row>
    <row r="4100">
      <c r="A4100" s="384" t="str">
        <f>IFERROR(__xludf.DUMMYFUNCTION("""COMPUTED_VALUE"""),"Vinícius Rodrigues Da Silva | Letras - Português/Espanhol | Aprovado | Bianca: pedi para especificar os temas das aulas observadas e as turmas// Bianca: aprovado em 07/01/2022 //Júnio: conferido e arquivado: 21/01/22")</f>
        <v>Vinícius Rodrigues Da Silva | Letras - Português/Espanhol | Aprovado | Bianca: pedi para especificar os temas das aulas observadas e as turmas// Bianca: aprovado em 07/01/2022 //Júnio: conferido e arquivado: 21/01/22</v>
      </c>
      <c r="B4100" s="93"/>
    </row>
    <row r="4101">
      <c r="A4101" s="384" t="str">
        <f>IFERROR(__xludf.DUMMYFUNCTION("""COMPUTED_VALUE"""),"Virgínia Maria Vilani Gil | Pedagogia | Aprovada | Alexsiane: etapa 1,2,3 ok, falta 4° etapa no remoto antigo /// Edilaine: Aprovada 28/02/2023")</f>
        <v>Virgínia Maria Vilani Gil | Pedagogia | Aprovada | Alexsiane: etapa 1,2,3 ok, falta 4° etapa no remoto antigo /// Edilaine: Aprovada 28/02/2023</v>
      </c>
      <c r="B4101" s="93"/>
    </row>
    <row r="4102">
      <c r="A4102" s="384" t="str">
        <f>IFERROR(__xludf.DUMMYFUNCTION("""COMPUTED_VALUE"""),"Virginia Rosso De Campos | Artes Visuais | Aprovada  | Alexsiane: 32% de plágio, falta: fichas de registro, carta de apresentação,termo de conclusão. Ela enviou 3 planos de aula porém deu plágio, cobrei novamente os 20 planos.Até dia 25/04/2022 para rennv"&amp;"iar// Bárbara: aprovada em 12/07/2022")</f>
        <v>Virginia Rosso De Campos | Artes Visuais | Aprovada  | Alexsiane: 32% de plágio, falta: fichas de registro, carta de apresentação,termo de conclusão. Ela enviou 3 planos de aula porém deu plágio, cobrei novamente os 20 planos.Até dia 25/04/2022 para rennviar// Bárbara: aprovada em 12/07/2022</v>
      </c>
      <c r="B4102" s="93"/>
    </row>
    <row r="4103">
      <c r="A4103" s="384" t="str">
        <f>IFERROR(__xludf.DUMMYFUNCTION("""COMPUTED_VALUE"""),"Vitania Cota | Ciências Biologicas | Aprovado | Estella: estava incompleto, mas aluna reenviou e foi aprovado em 21/12/2018.")</f>
        <v>Vitania Cota | Ciências Biologicas | Aprovado | Estella: estava incompleto, mas aluna reenviou e foi aprovado em 21/12/2018.</v>
      </c>
      <c r="B4103" s="93"/>
    </row>
    <row r="4104">
      <c r="A4104" s="384" t="str">
        <f>IFERROR(__xludf.DUMMYFUNCTION("""COMPUTED_VALUE"""),"Vitor De Carvalho Rufino | Filosofia | Aprovado | APROVADO, e-mail qui 04/10/2018 14:12 (secretaria1@institutozayn.com.br)")</f>
        <v>Vitor De Carvalho Rufino | Filosofia | Aprovado | APROVADO, e-mail qui 04/10/2018 14:12 (secretaria1@institutozayn.com.br)</v>
      </c>
      <c r="B4104" s="93"/>
    </row>
    <row r="4105">
      <c r="A4105" s="384" t="str">
        <f>IFERROR(__xludf.DUMMYFUNCTION("""COMPUTED_VALUE"""),"Vitor Grigoleto Oliveira | 2ª Licenciatura Pedagogia | Aprovado | Cris: PP aprovado")</f>
        <v>Vitor Grigoleto Oliveira | 2ª Licenciatura Pedagogia | Aprovado | Cris: PP aprovado</v>
      </c>
      <c r="B4105" s="93"/>
    </row>
    <row r="4106">
      <c r="A4106" s="384" t="str">
        <f>IFERROR(__xludf.DUMMYFUNCTION("""COMPUTED_VALUE"""),"Vitória Rodrigues Montalvao | Artes Visuais | Aprovado | Alexsiane: pp aprovado")</f>
        <v>Vitória Rodrigues Montalvao | Artes Visuais | Aprovado | Alexsiane: pp aprovado</v>
      </c>
      <c r="B4106" s="93"/>
    </row>
    <row r="4107">
      <c r="A4107" s="384" t="str">
        <f>IFERROR(__xludf.DUMMYFUNCTION("""COMPUTED_VALUE"""),"Vivaldo Olímpio Duarte | Pedagogia | Em análise | Bianca: aprovada nas 3 1° etapas do remoto antigo// Bianca: aprovado nas 4 etapas do remoto antigo em 15/1082021")</f>
        <v>Vivaldo Olímpio Duarte | Pedagogia | Em análise | Bianca: aprovada nas 3 1° etapas do remoto antigo// Bianca: aprovado nas 4 etapas do remoto antigo em 15/1082021</v>
      </c>
      <c r="B4107" s="93"/>
    </row>
    <row r="4108">
      <c r="A4108" s="384" t="str">
        <f>IFERROR(__xludf.DUMMYFUNCTION("""COMPUTED_VALUE"""),"Viviane Da Rocha Devestern | Port Inglês | aprovado | Aline Silva: falta recolher assinaturas e carimbos. // Aline Silva: aprovado dia 18/12/2019 // Recebido no instituto dia 30/12/2019// Bárbara: Conferido e arquivado 15/09/2020")</f>
        <v>Viviane Da Rocha Devestern | Port Inglês | aprovado | Aline Silva: falta recolher assinaturas e carimbos. // Aline Silva: aprovado dia 18/12/2019 // Recebido no instituto dia 30/12/2019// Bárbara: Conferido e arquivado 15/09/2020</v>
      </c>
      <c r="B4108" s="93"/>
    </row>
    <row r="4109">
      <c r="A4109" s="384" t="str">
        <f>IFERROR(__xludf.DUMMYFUNCTION("""COMPUTED_VALUE"""),"Viviane de Araújo Nascimento | Segunda Licenciatura em Pedagogia | Aprovado | Rayssa: pp aprovado")</f>
        <v>Viviane de Araújo Nascimento | Segunda Licenciatura em Pedagogia | Aprovado | Rayssa: pp aprovado</v>
      </c>
      <c r="B4109" s="93"/>
    </row>
    <row r="4110">
      <c r="A4110" s="384" t="str">
        <f>IFERROR(__xludf.DUMMYFUNCTION("""COMPUTED_VALUE"""),"Viviane De Fátima Leite | Pedagogia | Aprovada | Bárbara: apresentou declaração de experiência válida para isenção de 50%, deve fazer 120 horas //Júnio: aprovada: 27/07/23")</f>
        <v>Viviane De Fátima Leite | Pedagogia | Aprovada | Bárbara: apresentou declaração de experiência válida para isenção de 50%, deve fazer 120 horas //Júnio: aprovada: 27/07/23</v>
      </c>
      <c r="B4110" s="93"/>
    </row>
    <row r="4111">
      <c r="A4111" s="384" t="str">
        <f>IFERROR(__xludf.DUMMYFUNCTION("""COMPUTED_VALUE"""),"Viviane Espírito Santo Dos Santos | Educação Especial | Aprovada | Júnio: PP aprovada")</f>
        <v>Viviane Espírito Santo Dos Santos | Educação Especial | Aprovada | Júnio: PP aprovada</v>
      </c>
      <c r="B4111" s="93"/>
    </row>
    <row r="4112">
      <c r="A4112" s="384" t="str">
        <f>IFERROR(__xludf.DUMMYFUNCTION("""COMPUTED_VALUE"""),"Viviane Espírito Santo Dos Santos | Letras Lingua Portuguesa E Libras | Aprovada | Júnio: PP- - falta a carta de apresentação// Alexsiane: pp aprovado 21/06")</f>
        <v>Viviane Espírito Santo Dos Santos | Letras Lingua Portuguesa E Libras | Aprovada | Júnio: PP- - falta a carta de apresentação// Alexsiane: pp aprovado 21/06</v>
      </c>
      <c r="B4112" s="93"/>
    </row>
    <row r="4113">
      <c r="A4113" s="384" t="str">
        <f>IFERROR(__xludf.DUMMYFUNCTION("""COMPUTED_VALUE"""),"Viviane Grance Garcia | Geografia | Aprovada | Bianca: falta carta de apresentação e termo de conclusão //Lucas: Aprovada, aguardando Sponte. ")</f>
        <v>Viviane Grance Garcia | Geografia | Aprovada | Bianca: falta carta de apresentação e termo de conclusão //Lucas: Aprovada, aguardando Sponte. </v>
      </c>
      <c r="B4113" s="93"/>
    </row>
    <row r="4114">
      <c r="A4114" s="384" t="str">
        <f>IFERROR(__xludf.DUMMYFUNCTION("""COMPUTED_VALUE"""),"Viviane Gueiros Fernandes | Letrasportuguês Inglês | Aprovada | Júnio: aprovada com lançamento no Sponte")</f>
        <v>Viviane Gueiros Fernandes | Letrasportuguês Inglês | Aprovada | Júnio: aprovada com lançamento no Sponte</v>
      </c>
      <c r="B4114" s="93"/>
    </row>
    <row r="4115">
      <c r="A4115" s="384" t="str">
        <f>IFERROR(__xludf.DUMMYFUNCTION("""COMPUTED_VALUE"""),"Viviane Kellen Rocha Do Vale | Pedagogia | Aprovada | Alexsiane: encaminhar o trabalho em word editável,corrigir as datas que realizou o estágio pois esta antes de ser matrículada no zayn. (aluna é de turma retroativas,por não ter anotação informando Júni"&amp;"o passou o estágio presencial, desse modo não vamos solicitar nenhum tipo de correção nas fichas de registeo.) //Júnio: aprovada: 20/09/2023")</f>
        <v>Viviane Kellen Rocha Do Vale | Pedagogia | Aprovada | Alexsiane: encaminhar o trabalho em word editável,corrigir as datas que realizou o estágio pois esta antes de ser matrículada no zayn. (aluna é de turma retroativas,por não ter anotação informando Júnio passou o estágio presencial, desse modo não vamos solicitar nenhum tipo de correção nas fichas de registeo.) //Júnio: aprovada: 20/09/2023</v>
      </c>
      <c r="B4115" s="93"/>
    </row>
    <row r="4116">
      <c r="A4116" s="384" t="str">
        <f>IFERROR(__xludf.DUMMYFUNCTION("""COMPUTED_VALUE"""),"Viviane Leão Ferreira Leite | Matemática | aprovada | Aline Silva: falta apresentar metade das horas em cada etapa, falta fichas obrigatórias, justificar o texto.// aprovada dia 23/03/2020")</f>
        <v>Viviane Leão Ferreira Leite | Matemática | aprovada | Aline Silva: falta apresentar metade das horas em cada etapa, falta fichas obrigatórias, justificar o texto.// aprovada dia 23/03/2020</v>
      </c>
      <c r="B4116" s="93"/>
    </row>
    <row r="4117">
      <c r="A4117" s="384" t="str">
        <f>IFERROR(__xludf.DUMMYFUNCTION("""COMPUTED_VALUE"""),"Viviane Leite De Castro Rodrigues | Letras/Português | Aprovada | Alexsiane: falta especificar nas fichas de registo o tipo de acompanhamento e serie, restante ok // Pamela: tem até dia 28/04 para reenvio //Júnio: pre aprovada: 09/05/23")</f>
        <v>Viviane Leite De Castro Rodrigues | Letras/Português | Aprovada | Alexsiane: falta especificar nas fichas de registo o tipo de acompanhamento e serie, restante ok // Pamela: tem até dia 28/04 para reenvio //Júnio: pre aprovada: 09/05/23</v>
      </c>
      <c r="B4117" s="93"/>
    </row>
    <row r="4118">
      <c r="A4118" s="384" t="str">
        <f>IFERROR(__xludf.DUMMYFUNCTION("""COMPUTED_VALUE"""),"Viviane Maria Nogueira | Pedagogia | Aprovada | Júnio: PP- falta a etapa 2 //Júnio: aprovada: 26/10/23")</f>
        <v>Viviane Maria Nogueira | Pedagogia | Aprovada | Júnio: PP- falta a etapa 2 //Júnio: aprovada: 26/10/23</v>
      </c>
      <c r="B4118" s="93"/>
    </row>
    <row r="4119">
      <c r="A4119" s="384" t="str">
        <f>IFERROR(__xludf.DUMMYFUNCTION("""COMPUTED_VALUE"""),"Viviane Rosa Pires | Segunda Licenciatura Em Pedagogia | Em análise | Rayssa PP Falta pesquisa")</f>
        <v>Viviane Rosa Pires | Segunda Licenciatura Em Pedagogia | Em análise | Rayssa PP Falta pesquisa</v>
      </c>
      <c r="B4119" s="93"/>
    </row>
    <row r="4120">
      <c r="A4120" s="384" t="str">
        <f>IFERROR(__xludf.DUMMYFUNCTION("""COMPUTED_VALUE"""),"Viviane Souza Gama De Andrade | Artes Visuais | Em análise | Alexsiane: declaclaração de experiencia aceita no e-mail")</f>
        <v>Viviane Souza Gama De Andrade | Artes Visuais | Em análise | Alexsiane: declaclaração de experiencia aceita no e-mail</v>
      </c>
      <c r="B4120" s="93"/>
    </row>
    <row r="4121">
      <c r="A4121" s="384" t="str">
        <f>IFERROR(__xludf.DUMMYFUNCTION("""COMPUTED_VALUE"""),"Wagner Galesco Novaes | Letras Português | Aprovado | Júnio: PP - falta responder o questionário PRAZO: 17/08/23 //Júnio: aprovado: 08/08/23")</f>
        <v>Wagner Galesco Novaes | Letras Português | Aprovado | Júnio: PP - falta responder o questionário PRAZO: 17/08/23 //Júnio: aprovado: 08/08/23</v>
      </c>
      <c r="B4121" s="93"/>
    </row>
    <row r="4122">
      <c r="A4122" s="384" t="str">
        <f>IFERROR(__xludf.DUMMYFUNCTION("""COMPUTED_VALUE"""),"Wagner Giongo |  | Aprovado | Mandei enviar pelo correio (03/01).")</f>
        <v>Wagner Giongo |  | Aprovado | Mandei enviar pelo correio (03/01).</v>
      </c>
      <c r="B4122" s="93"/>
    </row>
    <row r="4123">
      <c r="A4123" s="384" t="str">
        <f>IFERROR(__xludf.DUMMYFUNCTION("""COMPUTED_VALUE"""),"Wagner Giongo | Formação Pedagógica Educação Física | Aprovado | Rayssa: pp aprovado")</f>
        <v>Wagner Giongo | Formação Pedagógica Educação Física | Aprovado | Rayssa: pp aprovado</v>
      </c>
      <c r="B4123" s="93"/>
    </row>
    <row r="4124">
      <c r="A4124" s="384" t="str">
        <f>IFERROR(__xludf.DUMMYFUNCTION("""COMPUTED_VALUE"""),"Wagner Tavares De Lira | Música | Aprovado | Júnio: PP - anexar a entrevista em forma de perguntas e respostas. //Júnio: aprovado: 03/10/23")</f>
        <v>Wagner Tavares De Lira | Música | Aprovado | Júnio: PP - anexar a entrevista em forma de perguntas e respostas. //Júnio: aprovado: 03/10/23</v>
      </c>
      <c r="B4124" s="93"/>
    </row>
    <row r="4125">
      <c r="A4125" s="384" t="str">
        <f>IFERROR(__xludf.DUMMYFUNCTION("""COMPUTED_VALUE"""),"Wagner Wanderley Do Nascimento | Pedagogia Sl | Aprovado | Alexsiane: pré aprovado com lançamento no Jacad // Pâmela 23/01/2023 Conferido e arquivado. ")</f>
        <v>Wagner Wanderley Do Nascimento | Pedagogia Sl | Aprovado | Alexsiane: pré aprovado com lançamento no Jacad // Pâmela 23/01/2023 Conferido e arquivado. </v>
      </c>
      <c r="B4125" s="93"/>
    </row>
    <row r="4126">
      <c r="A4126" s="384" t="str">
        <f>IFERROR(__xludf.DUMMYFUNCTION("""COMPUTED_VALUE"""),"Wagner Wanderley Do Nascimento | Educação Especial | Aprovado | Júnio: PP - etapas: ok Inicio: 30/08/2023 Reenviar: 01/03/24 //Aprovado: 01/03/24")</f>
        <v>Wagner Wanderley Do Nascimento | Educação Especial | Aprovado | Júnio: PP - etapas: ok Inicio: 30/08/2023 Reenviar: 01/03/24 //Aprovado: 01/03/24</v>
      </c>
      <c r="B4126" s="93"/>
    </row>
    <row r="4127">
      <c r="A4127" s="384" t="str">
        <f>IFERROR(__xludf.DUMMYFUNCTION("""COMPUTED_VALUE"""),"Wagno Sérgio | Música | Em análise | Júnio: PP etapas ok - ínicio: 15/05/23, reenviar 15/11/23")</f>
        <v>Wagno Sérgio | Música | Em análise | Júnio: PP etapas ok - ínicio: 15/05/23, reenviar 15/11/23</v>
      </c>
      <c r="B4127" s="93"/>
    </row>
    <row r="4128">
      <c r="A4128" s="384" t="str">
        <f>IFERROR(__xludf.DUMMYFUNCTION("""COMPUTED_VALUE"""),"Waldemar Alvarenga Lapoente | Música | Em análise | Júnio: PP - falta a carta de apresentação.")</f>
        <v>Waldemar Alvarenga Lapoente | Música | Em análise | Júnio: PP - falta a carta de apresentação.</v>
      </c>
      <c r="B4128" s="93"/>
    </row>
    <row r="4129">
      <c r="A4129" s="384" t="str">
        <f>IFERROR(__xludf.DUMMYFUNCTION("""COMPUTED_VALUE"""),"Waldemar Alvarenga Lapoente | Segunda Licenciatura Em Pedagogia | Aprovada | Rayssa pp aprovado")</f>
        <v>Waldemar Alvarenga Lapoente | Segunda Licenciatura Em Pedagogia | Aprovada | Rayssa pp aprovado</v>
      </c>
      <c r="B4129" s="93"/>
    </row>
    <row r="4130">
      <c r="A4130" s="384" t="str">
        <f>IFERROR(__xludf.DUMMYFUNCTION("""COMPUTED_VALUE"""),"Walderes Martins Vieira | Artes Visuais | Aprovado | Lucas: Falta a etapa 3 do remoto atualizado // Lucas: Aprovada. Declaração de exeriência apresendada e vlaida para a isenção da 4 etapa.  //Lucas: aprovado: 02/02/22 //Júnio: conferido e arquivado: 27/0"&amp;"9/22")</f>
        <v>Walderes Martins Vieira | Artes Visuais | Aprovado | Lucas: Falta a etapa 3 do remoto atualizado // Lucas: Aprovada. Declaração de exeriência apresendada e vlaida para a isenção da 4 etapa.  //Lucas: aprovado: 02/02/22 //Júnio: conferido e arquivado: 27/09/22</v>
      </c>
      <c r="B4130" s="93"/>
    </row>
    <row r="4131">
      <c r="A4131" s="384" t="str">
        <f>IFERROR(__xludf.DUMMYFUNCTION("""COMPUTED_VALUE"""),"Waldionísio Cesar De Sousa | Ed Física | Aprovado | Bárbara: aprovado nas 3 primeiras etapas do remoto //Bianca: aprovado: 30/01/2021")</f>
        <v>Waldionísio Cesar De Sousa | Ed Física | Aprovado | Bárbara: aprovado nas 3 primeiras etapas do remoto //Bianca: aprovado: 30/01/2021</v>
      </c>
      <c r="B4131" s="93"/>
    </row>
    <row r="4132">
      <c r="A4132" s="384" t="str">
        <f>IFERROR(__xludf.DUMMYFUNCTION("""COMPUTED_VALUE"""),"Waldionisio Cesar De Souza | Educação Física | Aprovado | Bianca: aprovado com lançamento no Sponte //Júnio: conferido e arquivado: 15/10/21")</f>
        <v>Waldionisio Cesar De Souza | Educação Física | Aprovado | Bianca: aprovado com lançamento no Sponte //Júnio: conferido e arquivado: 15/10/21</v>
      </c>
      <c r="B4132" s="93"/>
    </row>
    <row r="4133">
      <c r="A4133" s="384" t="str">
        <f>IFERROR(__xludf.DUMMYFUNCTION("""COMPUTED_VALUE"""),"Walef Kesse Coelho De Almeida | Matemática | Aprovado | Thiara: Falta preencher todas as fichas e as assinaturas com carimbos. /// Aprovado dia 28/06/2019. Recebio em 02/07/2019.")</f>
        <v>Walef Kesse Coelho De Almeida | Matemática | Aprovado | Thiara: Falta preencher todas as fichas e as assinaturas com carimbos. /// Aprovado dia 28/06/2019. Recebio em 02/07/2019.</v>
      </c>
      <c r="B4133" s="93"/>
    </row>
    <row r="4134">
      <c r="A4134" s="384" t="str">
        <f>IFERROR(__xludf.DUMMYFUNCTION("""COMPUTED_VALUE"""),"Wallace De Lima Faria | Pedagogia | Aprovado | Júnio: aprovado")</f>
        <v>Wallace De Lima Faria | Pedagogia | Aprovado | Júnio: aprovado</v>
      </c>
      <c r="B4134" s="93"/>
    </row>
    <row r="4135">
      <c r="A4135" s="384" t="str">
        <f>IFERROR(__xludf.DUMMYFUNCTION("""COMPUTED_VALUE"""),"Wallace Estevão Honorato | Ciências Sociais |  aprovado | Edilaine: 34,55% de plágio, tem que especificar o tema na ficha de gestão. //Alexsiane: Pré aprovado com lançamento no jacad //Alexsiane: Aprovado com lançamento no jacad")</f>
        <v>Wallace Estevão Honorato | Ciências Sociais |  aprovado | Edilaine: 34,55% de plágio, tem que especificar o tema na ficha de gestão. //Alexsiane: Pré aprovado com lançamento no jacad //Alexsiane: Aprovado com lançamento no jacad</v>
      </c>
      <c r="B4135" s="93"/>
    </row>
    <row r="4136">
      <c r="A4136" s="384" t="str">
        <f>IFERROR(__xludf.DUMMYFUNCTION("""COMPUTED_VALUE"""),"Walquiria Catarina De Souza Gabriel | Artes Visuais |  aprovado | Júnio: PP - falta a carta e entrevista// Alexsiane: pp aprovado 13/03")</f>
        <v>Walquiria Catarina De Souza Gabriel | Artes Visuais |  aprovado | Júnio: PP - falta a carta e entrevista// Alexsiane: pp aprovado 13/03</v>
      </c>
      <c r="B4136" s="93"/>
    </row>
    <row r="4137">
      <c r="A4137" s="384" t="str">
        <f>IFERROR(__xludf.DUMMYFUNCTION("""COMPUTED_VALUE"""),"Walquíria Gomes Miranda | Geografia | Aprovado | Thiara: Aguardando reenvio - declaração de experiência profissional não se aplica - faltam horas de gestão e estrutura escolar.// Conferido e arquivado 16/09/2020")</f>
        <v>Walquíria Gomes Miranda | Geografia | Aprovado | Thiara: Aguardando reenvio - declaração de experiência profissional não se aplica - faltam horas de gestão e estrutura escolar.// Conferido e arquivado 16/09/2020</v>
      </c>
      <c r="B4137" s="93"/>
    </row>
    <row r="4138">
      <c r="A4138" s="384" t="str">
        <f>IFERROR(__xludf.DUMMYFUNCTION("""COMPUTED_VALUE"""),"Wanda Valéria Sá Fortes Antunes Guimarães | Pedagogia | Aprovada | Bianca: pedi para completar considerações finais //Bianca: aprovada: 30/08/2021")</f>
        <v>Wanda Valéria Sá Fortes Antunes Guimarães | Pedagogia | Aprovada | Bianca: pedi para completar considerações finais //Bianca: aprovada: 30/08/2021</v>
      </c>
      <c r="B4138" s="93"/>
    </row>
    <row r="4139">
      <c r="A4139" s="384" t="str">
        <f>IFERROR(__xludf.DUMMYFUNCTION("""COMPUTED_VALUE"""),"Wander Brandão De Paula | Ed Física | Aprovado | Bárbara: aluno estava querendo cancelar, então encaminhou apenas uma parte para unir e verificar o que faltava. Parte teórica, apenas relatório de regência, resto falta tudo, fichas de registro autorizado a"&amp;" recolher assinaturas, falta do PPP, orientei em como não exceder 6 horas. Apresentou declaração de experiência válida. //Alexsiane: pré aprovado com lançamento no sponte 10/01/23 // Pamela 17/01/2023 Conferido e arquivado. ")</f>
        <v>Wander Brandão De Paula | Ed Física | Aprovado | Bárbara: aluno estava querendo cancelar, então encaminhou apenas uma parte para unir e verificar o que faltava. Parte teórica, apenas relatório de regência, resto falta tudo, fichas de registro autorizado a recolher assinaturas, falta do PPP, orientei em como não exceder 6 horas. Apresentou declaração de experiência válida. //Alexsiane: pré aprovado com lançamento no sponte 10/01/23 // Pamela 17/01/2023 Conferido e arquivado. </v>
      </c>
      <c r="B4139" s="93"/>
    </row>
    <row r="4140">
      <c r="A4140" s="384" t="str">
        <f>IFERROR(__xludf.DUMMYFUNCTION("""COMPUTED_VALUE"""),"Wander Mariano Evangelista | Geografia | Aprovado  | Lucas: Falta elementos pré e pós textuais, etapas 3 e 4, capa e contra capa.// Bárbara: aprovado em 21/06")</f>
        <v>Wander Mariano Evangelista | Geografia | Aprovado  | Lucas: Falta elementos pré e pós textuais, etapas 3 e 4, capa e contra capa.// Bárbara: aprovado em 21/06</v>
      </c>
      <c r="B4140" s="93"/>
    </row>
    <row r="4141">
      <c r="A4141" s="384" t="str">
        <f>IFERROR(__xludf.DUMMYFUNCTION("""COMPUTED_VALUE"""),"Wanderson Fernandes Fonseca | Música | Aprovado | Alexsiane: pp falta a carta de apresentação// Alexsiane; pp aprovado 14/05")</f>
        <v>Wanderson Fernandes Fonseca | Música | Aprovado | Alexsiane: pp falta a carta de apresentação// Alexsiane; pp aprovado 14/05</v>
      </c>
      <c r="B4141" s="93"/>
    </row>
    <row r="4142">
      <c r="A4142" s="384" t="str">
        <f>IFERROR(__xludf.DUMMYFUNCTION("""COMPUTED_VALUE"""),"Wandervany Gomes De Carvalho | Ciências Biologicas | Aprovado | Thiara: Fez TDG 360h.")</f>
        <v>Wandervany Gomes De Carvalho | Ciências Biologicas | Aprovado | Thiara: Fez TDG 360h.</v>
      </c>
      <c r="B4142" s="93"/>
    </row>
    <row r="4143">
      <c r="A4143" s="384" t="str">
        <f>IFERROR(__xludf.DUMMYFUNCTION("""COMPUTED_VALUE"""),"Wanessa De Oliveira Souza Leite | Letras Português | Aprovada | Lucas: Autorizada a recolher assinaturas //Júnio: físico conferido e arquivado: 26/07/22")</f>
        <v>Wanessa De Oliveira Souza Leite | Letras Português | Aprovada | Lucas: Autorizada a recolher assinaturas //Júnio: físico conferido e arquivado: 26/07/22</v>
      </c>
      <c r="B4143" s="93"/>
    </row>
    <row r="4144">
      <c r="A4144" s="384" t="str">
        <f>IFERROR(__xludf.DUMMYFUNCTION("""COMPUTED_VALUE"""),"Wanessa Walcrafe De Oliveira | Ciências Sociais | Aprovada | Júnio: PP - falta o carimbo na carta de apresentação PRAZO: 20/10/23 //Júnio: PP aprovada: 08/11/23")</f>
        <v>Wanessa Walcrafe De Oliveira | Ciências Sociais | Aprovada | Júnio: PP - falta o carimbo na carta de apresentação PRAZO: 20/10/23 //Júnio: PP aprovada: 08/11/23</v>
      </c>
      <c r="B4144" s="93"/>
    </row>
    <row r="4145">
      <c r="A4145" s="384" t="str">
        <f>IFERROR(__xludf.DUMMYFUNCTION("""COMPUTED_VALUE"""),"Wania Faria De Carvalho Avelino Cardoso | Pedagogia | Aprovada | Alexsiane: 11,97% de plágio, falta segunda etapa do PP e citar uma competência// Alexsiane: pp aprovado 26/02")</f>
        <v>Wania Faria De Carvalho Avelino Cardoso | Pedagogia | Aprovada | Alexsiane: 11,97% de plágio, falta segunda etapa do PP e citar uma competência// Alexsiane: pp aprovado 26/02</v>
      </c>
      <c r="B4145" s="93"/>
    </row>
    <row r="4146">
      <c r="A4146" s="384" t="str">
        <f>IFERROR(__xludf.DUMMYFUNCTION("""COMPUTED_VALUE"""),"Warlem Miguel Da Silva | Letras-Português | Aprovado | Alexsiane: Aprovado com lançamento no Sponte ( Estágio Padrão) //Júnio: físico conferido e arquivado: 27/06/22")</f>
        <v>Warlem Miguel Da Silva | Letras-Português | Aprovado | Alexsiane: Aprovado com lançamento no Sponte ( Estágio Padrão) //Júnio: físico conferido e arquivado: 27/06/22</v>
      </c>
      <c r="B4146" s="93"/>
    </row>
    <row r="4147">
      <c r="A4147" s="384" t="str">
        <f>IFERROR(__xludf.DUMMYFUNCTION("""COMPUTED_VALUE"""),"Wedson Veloso Silva | Pedagogia | Aprovado | Bianca: aprovado nas 3 primeiras etapas do remoto")</f>
        <v>Wedson Veloso Silva | Pedagogia | Aprovado | Bianca: aprovado nas 3 primeiras etapas do remoto</v>
      </c>
      <c r="B4147" s="93"/>
    </row>
    <row r="4148">
      <c r="A4148" s="384" t="str">
        <f>IFERROR(__xludf.DUMMYFUNCTION("""COMPUTED_VALUE"""),"Welhyngton Ribeiro Teodoro | Física | Aprovado | Júnio: enviou só plano de aula e fichas de registro, falta todo o resto. Nas fichas precisa preencher o cabeçalho e pode recolher assinaturas.  //Júnio: tce aprovado")</f>
        <v>Welhyngton Ribeiro Teodoro | Física | Aprovado | Júnio: enviou só plano de aula e fichas de registro, falta todo o resto. Nas fichas precisa preencher o cabeçalho e pode recolher assinaturas.  //Júnio: tce aprovado</v>
      </c>
      <c r="B4148" s="93"/>
    </row>
    <row r="4149">
      <c r="A4149" s="384" t="str">
        <f>IFERROR(__xludf.DUMMYFUNCTION("""COMPUTED_VALUE"""),"Weliomar Antônio De Oliveira | Pedagogia | Aprovado | Júnio: falta objetivos gerais e específicos, as fichas precisa lançar os acompanhamentos de forma diária, especificar tipo de acompanhamento e série. Declaração de experiencia não foi válida, precisa e"&amp;"nviar declaração válida ou mais 160 hs. //Júnio: aprovado: 07/11/23")</f>
        <v>Weliomar Antônio De Oliveira | Pedagogia | Aprovado | Júnio: falta objetivos gerais e específicos, as fichas precisa lançar os acompanhamentos de forma diária, especificar tipo de acompanhamento e série. Declaração de experiencia não foi válida, precisa enviar declaração válida ou mais 160 hs. //Júnio: aprovado: 07/11/23</v>
      </c>
      <c r="B4149" s="93"/>
    </row>
    <row r="4150">
      <c r="A4150" s="384" t="str">
        <f>IFERROR(__xludf.DUMMYFUNCTION("""COMPUTED_VALUE"""),"Weliton José Soares Da Costa | Música | Aprovado | Alexsiane: pp aprovado")</f>
        <v>Weliton José Soares Da Costa | Música | Aprovado | Alexsiane: pp aprovado</v>
      </c>
      <c r="B4150" s="93"/>
    </row>
    <row r="4151">
      <c r="A4151" s="384" t="str">
        <f>IFERROR(__xludf.DUMMYFUNCTION("""COMPUTED_VALUE"""),"Welligton Martins De Oliveira | Pedagogia | aprovado | Bárbara: aprovado com ressalva de retroativa")</f>
        <v>Welligton Martins De Oliveira | Pedagogia | aprovado | Bárbara: aprovado com ressalva de retroativa</v>
      </c>
      <c r="B4151" s="93"/>
    </row>
    <row r="4152">
      <c r="A4152" s="384" t="str">
        <f>IFERROR(__xludf.DUMMYFUNCTION("""COMPUTED_VALUE"""),"Wellington Luiz Zoca | Música | Aprovado | Júnio: PP - falta a etapa 2. //Júnio: aprovado: 02/01/24")</f>
        <v>Wellington Luiz Zoca | Música | Aprovado | Júnio: PP - falta a etapa 2. //Júnio: aprovado: 02/01/24</v>
      </c>
      <c r="B4152" s="93"/>
    </row>
    <row r="4153">
      <c r="A4153" s="384" t="str">
        <f>IFERROR(__xludf.DUMMYFUNCTION("""COMPUTED_VALUE"""),"Welton Santana Da Silva | Pedagogia | Aprovado | Júnio: aprovado")</f>
        <v>Welton Santana Da Silva | Pedagogia | Aprovado | Júnio: aprovado</v>
      </c>
      <c r="B4153" s="93"/>
    </row>
    <row r="4154">
      <c r="A4154" s="384" t="str">
        <f>IFERROR(__xludf.DUMMYFUNCTION("""COMPUTED_VALUE"""),"Welton Tácio De Souza Santos | Ciências Sociais | Aprovado | Júnio: especificar tema e séire de forma diária //Júnio: pré aprovado 05/07/23 //Júnio: aprovado: 06/07/23")</f>
        <v>Welton Tácio De Souza Santos | Ciências Sociais | Aprovado | Júnio: especificar tema e séire de forma diária //Júnio: pré aprovado 05/07/23 //Júnio: aprovado: 06/07/23</v>
      </c>
      <c r="B4154" s="93"/>
    </row>
    <row r="4155">
      <c r="A4155" s="384" t="str">
        <f>IFERROR(__xludf.DUMMYFUNCTION("""COMPUTED_VALUE"""),"Wemerson Ferreira Da Cruz | Artes Visuais | Aprovado | Bianca: apenas 2 planos de aula //Bianca: aprovado: 01/07/2021")</f>
        <v>Wemerson Ferreira Da Cruz | Artes Visuais | Aprovado | Bianca: apenas 2 planos de aula //Bianca: aprovado: 01/07/2021</v>
      </c>
      <c r="B4155" s="93"/>
    </row>
    <row r="4156">
      <c r="A4156" s="384" t="str">
        <f>IFERROR(__xludf.DUMMYFUNCTION("""COMPUTED_VALUE"""),"Wendel Da Silva E Silva | Educação Física | Aprovado | Alexsiane: etapa 1,2,3 ok, falta etapa 4 do remoto atualizado //Júnio: aprovado: 23/06/22 //Júnio: físico conferido e arquivado: 11/07/22")</f>
        <v>Wendel Da Silva E Silva | Educação Física | Aprovado | Alexsiane: etapa 1,2,3 ok, falta etapa 4 do remoto atualizado //Júnio: aprovado: 23/06/22 //Júnio: físico conferido e arquivado: 11/07/22</v>
      </c>
      <c r="B4156" s="93"/>
    </row>
    <row r="4157">
      <c r="A4157" s="384" t="str">
        <f>IFERROR(__xludf.DUMMYFUNCTION("""COMPUTED_VALUE"""),"Wendel Da Silva Manga | Música | Aprovado | Alexsiane: pp esta faltando responder a entrevista e recolher a assinatura do diretor e carimbo")</f>
        <v>Wendel Da Silva Manga | Música | Aprovado | Alexsiane: pp esta faltando responder a entrevista e recolher a assinatura do diretor e carimbo</v>
      </c>
      <c r="B4157" s="93"/>
    </row>
    <row r="4158">
      <c r="A4158" s="384" t="str">
        <f>IFERROR(__xludf.DUMMYFUNCTION("""COMPUTED_VALUE"""),"Wenderson Fabiano De Souza | Pedagogia | em análise | Alexsiane: etapa 1ok, tem que enviar a entrevista digitada 04/08reenviar")</f>
        <v>Wenderson Fabiano De Souza | Pedagogia | em análise | Alexsiane: etapa 1ok, tem que enviar a entrevista digitada 04/08reenviar</v>
      </c>
      <c r="B4158" s="93"/>
    </row>
    <row r="4159">
      <c r="A4159" s="384" t="str">
        <f>IFERROR(__xludf.DUMMYFUNCTION("""COMPUTED_VALUE"""),"Wenderson Fabiano De Souza | Formação Pedagógica Em Pedagogia | Aprovado | Rayssa pp aprovado")</f>
        <v>Wenderson Fabiano De Souza | Formação Pedagógica Em Pedagogia | Aprovado | Rayssa pp aprovado</v>
      </c>
      <c r="B4159" s="93"/>
    </row>
    <row r="4160">
      <c r="A4160" s="384" t="str">
        <f>IFERROR(__xludf.DUMMYFUNCTION("""COMPUTED_VALUE"""),"Wendrell Elias Dos Santos Gomes | Neuropsicopedagogia Instittucional Clínica E Hospitalar | Aprovado | Bianca: 60 horas OK, parte teórica incompleta // Aprovado no estagio remoto lançado no sponte")</f>
        <v>Wendrell Elias Dos Santos Gomes | Neuropsicopedagogia Instittucional Clínica E Hospitalar | Aprovado | Bianca: 60 horas OK, parte teórica incompleta // Aprovado no estagio remoto lançado no sponte</v>
      </c>
      <c r="B4160" s="93"/>
    </row>
    <row r="4161">
      <c r="A4161" s="384" t="str">
        <f>IFERROR(__xludf.DUMMYFUNCTION("""COMPUTED_VALUE"""),"Werberson Simplício Da Silva | Música | Aprovado | Júnio - PP: falta a carta de autorização da entrevista //Júnio: PP aprovado - 04/09/23")</f>
        <v>Werberson Simplício Da Silva | Música | Aprovado | Júnio - PP: falta a carta de autorização da entrevista //Júnio: PP aprovado - 04/09/23</v>
      </c>
      <c r="B4161" s="93"/>
    </row>
    <row r="4162">
      <c r="A4162" s="384" t="str">
        <f>IFERROR(__xludf.DUMMYFUNCTION("""COMPUTED_VALUE"""),"Werica Sousa Veloso | Educação Física | Aprovada | Alexsiane: Trabalho aprovado exclusivamnente para o envio físico 31/03/2022")</f>
        <v>Werica Sousa Veloso | Educação Física | Aprovada | Alexsiane: Trabalho aprovado exclusivamnente para o envio físico 31/03/2022</v>
      </c>
      <c r="B4162" s="93"/>
    </row>
    <row r="4163">
      <c r="A4163" s="384" t="str">
        <f>IFERROR(__xludf.DUMMYFUNCTION("""COMPUTED_VALUE"""),"Weslei Pasqualini | Formação Ped. Em História | Em análise | Cris: falta carta de apresentação no PP")</f>
        <v>Weslei Pasqualini | Formação Ped. Em História | Em análise | Cris: falta carta de apresentação no PP</v>
      </c>
      <c r="B4163" s="93"/>
    </row>
    <row r="4164">
      <c r="A4164" s="384" t="str">
        <f>IFERROR(__xludf.DUMMYFUNCTION("""COMPUTED_VALUE"""),"Weslei Pasqualino | História | Em análise | Alexsiane: falta 2° etapa// Aluno deu problema e doi enviado o diploma sem a aprovação")</f>
        <v>Weslei Pasqualino | História | Em análise | Alexsiane: falta 2° etapa// Aluno deu problema e doi enviado o diploma sem a aprovação</v>
      </c>
      <c r="B4164" s="93"/>
    </row>
    <row r="4165">
      <c r="A4165" s="384" t="str">
        <f>IFERROR(__xludf.DUMMYFUNCTION("""COMPUTED_VALUE"""),"Wesler Bruno Barbosa Vailan | Letras – Português E Espanhol | Aprovado | Alexsiane: falta etapa 1 e na segunda tem que encaminhar a entrevista digitada e falta carta de apresentação.//Alexsiane: pp aprovado 04/06")</f>
        <v>Wesler Bruno Barbosa Vailan | Letras – Português E Espanhol | Aprovado | Alexsiane: falta etapa 1 e na segunda tem que encaminhar a entrevista digitada e falta carta de apresentação.//Alexsiane: pp aprovado 04/06</v>
      </c>
      <c r="B4165" s="93"/>
    </row>
    <row r="4166">
      <c r="A4166" s="384" t="str">
        <f>IFERROR(__xludf.DUMMYFUNCTION("""COMPUTED_VALUE"""),"Wesley Raposo Lopes | Música | Aprovado | Alexsiane: pp tem que enviar a entrevista digitada e 6% de plágio// Rayssa: pp aprovado 13/09/2024")</f>
        <v>Wesley Raposo Lopes | Música | Aprovado | Alexsiane: pp tem que enviar a entrevista digitada e 6% de plágio// Rayssa: pp aprovado 13/09/2024</v>
      </c>
      <c r="B4166" s="93"/>
    </row>
    <row r="4167">
      <c r="A4167" s="384" t="str">
        <f>IFERROR(__xludf.DUMMYFUNCTION("""COMPUTED_VALUE"""),"Wesley Souza De Oliveira | Letras Libras | Aprovado | Júnio: PP - 20% plágio// A lexsiane: pp aprovado 05/03")</f>
        <v>Wesley Souza De Oliveira | Letras Libras | Aprovado | Júnio: PP - 20% plágio// A lexsiane: pp aprovado 05/03</v>
      </c>
      <c r="B4167" s="93"/>
    </row>
    <row r="4168">
      <c r="A4168" s="384" t="str">
        <f>IFERROR(__xludf.DUMMYFUNCTION("""COMPUTED_VALUE"""),"Wesley Tinoco Esteves | Música | Em análise | Alexsiane: 15% de plágio e falta a segunda etapa do pp")</f>
        <v>Wesley Tinoco Esteves | Música | Em análise | Alexsiane: 15% de plágio e falta a segunda etapa do pp</v>
      </c>
      <c r="B4168" s="93"/>
    </row>
    <row r="4169">
      <c r="A4169" s="384" t="str">
        <f>IFERROR(__xludf.DUMMYFUNCTION("""COMPUTED_VALUE"""),"Wesliane Antunes Da Silva Fernandes | Pedagogia | Aprovado | Aline Silva: conforme conversa por whatts, solicitei que a aluna fizesse adequações, descrevesse mais o que foi observado, apresentasse as assinaturas e carimbos, e demais detalhes combinados co"&amp;"m a mesma.// Aline Silva: aprovado dia 06/12/2019// Recebido dia 11/02/2020")</f>
        <v>Wesliane Antunes Da Silva Fernandes | Pedagogia | Aprovado | Aline Silva: conforme conversa por whatts, solicitei que a aluna fizesse adequações, descrevesse mais o que foi observado, apresentasse as assinaturas e carimbos, e demais detalhes combinados com a mesma.// Aline Silva: aprovado dia 06/12/2019// Recebido dia 11/02/2020</v>
      </c>
      <c r="B4169" s="93"/>
    </row>
    <row r="4170">
      <c r="A4170" s="384" t="str">
        <f>IFERROR(__xludf.DUMMYFUNCTION("""COMPUTED_VALUE"""),"Weslley Alexandre De Lima | Psicopedagogia Institucional, Clínica E Hospitalar | Em análise | Júnio: remoto - 77% plágio")</f>
        <v>Weslley Alexandre De Lima | Psicopedagogia Institucional, Clínica E Hospitalar | Em análise | Júnio: remoto - 77% plágio</v>
      </c>
      <c r="B4170" s="93"/>
    </row>
    <row r="4171">
      <c r="A4171" s="384" t="str">
        <f>IFERROR(__xludf.DUMMYFUNCTION("""COMPUTED_VALUE"""),"Weslley Alexandre De Lima | Artes Visuais | Aprovado | Júnio: preencher cabeçalhos nas fichas de registro e pode recolher assinaturas, faltam carta de apresentação, termo de conclusão e todas as etapas dissertativas. //Júnio: aprovado: 19/10/23")</f>
        <v>Weslley Alexandre De Lima | Artes Visuais | Aprovado | Júnio: preencher cabeçalhos nas fichas de registro e pode recolher assinaturas, faltam carta de apresentação, termo de conclusão e todas as etapas dissertativas. //Júnio: aprovado: 19/10/23</v>
      </c>
      <c r="B4171" s="93"/>
    </row>
    <row r="4172">
      <c r="A4172" s="384" t="str">
        <f>IFERROR(__xludf.DUMMYFUNCTION("""COMPUTED_VALUE"""),"Wesly Neves Souza Ricardo | Geografia | Aprovado | Thiara: Falta 12 horas de gestão e estrutura escolar. /// Enviou horas aprovei. Recebido dia 30/07/2019")</f>
        <v>Wesly Neves Souza Ricardo | Geografia | Aprovado | Thiara: Falta 12 horas de gestão e estrutura escolar. /// Enviou horas aprovei. Recebido dia 30/07/2019</v>
      </c>
      <c r="B4172" s="93"/>
    </row>
    <row r="4173">
      <c r="A4173" s="384" t="str">
        <f>IFERROR(__xludf.DUMMYFUNCTION("""COMPUTED_VALUE"""),"Wiber Lucas De Souza Silva | Ciências Sociais | Aprovado | Bárbara: aprovado em todas as etapas// Miryã: conferido e arquivado 10/03/2021")</f>
        <v>Wiber Lucas De Souza Silva | Ciências Sociais | Aprovado | Bárbara: aprovado em todas as etapas// Miryã: conferido e arquivado 10/03/2021</v>
      </c>
      <c r="B4173" s="93"/>
    </row>
    <row r="4174">
      <c r="A4174" s="384" t="str">
        <f>IFERROR(__xludf.DUMMYFUNCTION("""COMPUTED_VALUE"""),"Wildson Vicente De Paula | Pedagogia | Aprovado | Júnio: PP aprovado")</f>
        <v>Wildson Vicente De Paula | Pedagogia | Aprovado | Júnio: PP aprovado</v>
      </c>
      <c r="B4174" s="93"/>
    </row>
    <row r="4175">
      <c r="A4175" s="384" t="str">
        <f>IFERROR(__xludf.DUMMYFUNCTION("""COMPUTED_VALUE"""),"Wiliam Magela Da Mota | Pedagogia | Aprovado | Thiara: aprovado com ressalva. Pedi correção de plágio e após poderia enviar. (Conversei sobre com o Helder). Pasta de estágio em Carmopolis.")</f>
        <v>Wiliam Magela Da Mota | Pedagogia | Aprovado | Thiara: aprovado com ressalva. Pedi correção de plágio e após poderia enviar. (Conversei sobre com o Helder). Pasta de estágio em Carmopolis.</v>
      </c>
      <c r="B4175" s="93"/>
    </row>
    <row r="4176">
      <c r="A4176" s="384" t="str">
        <f>IFERROR(__xludf.DUMMYFUNCTION("""COMPUTED_VALUE"""),"Wiliam Magela Da Mota | Pedagogia | Aprovado | Bianca: autorizada a recolher assinatura //Júnio: conferido e arquivado: 18/06/2021")</f>
        <v>Wiliam Magela Da Mota | Pedagogia | Aprovado | Bianca: autorizada a recolher assinatura //Júnio: conferido e arquivado: 18/06/2021</v>
      </c>
      <c r="B4176" s="93"/>
    </row>
    <row r="4177">
      <c r="A4177" s="384" t="str">
        <f>IFERROR(__xludf.DUMMYFUNCTION("""COMPUTED_VALUE"""),"Wiliam Magela Da Mota | Pedagogia | Aprovada | Bianca: aprovada nas 4 etapas")</f>
        <v>Wiliam Magela Da Mota | Pedagogia | Aprovada | Bianca: aprovada nas 4 etapas</v>
      </c>
      <c r="B4177" s="93"/>
    </row>
    <row r="4178">
      <c r="A4178" s="384" t="str">
        <f>IFERROR(__xludf.DUMMYFUNCTION("""COMPUTED_VALUE"""),"Wiliana Da Silva Fernandes | Pedagogia | Aprovada | Alexsiane: 30% de plágio, falta especificar nas fichs de registro o tipo de acompanhamento e a serie, fazer o relatório de observação// Alexsiane: pré aprovada, autorizada a autenticar  //Júnio: aprovada"&amp;": 12/05/23")</f>
        <v>Wiliana Da Silva Fernandes | Pedagogia | Aprovada | Alexsiane: 30% de plágio, falta especificar nas fichs de registro o tipo de acompanhamento e a serie, fazer o relatório de observação// Alexsiane: pré aprovada, autorizada a autenticar  //Júnio: aprovada: 12/05/23</v>
      </c>
      <c r="B4178" s="93"/>
    </row>
    <row r="4179">
      <c r="A4179" s="384" t="str">
        <f>IFERROR(__xludf.DUMMYFUNCTION("""COMPUTED_VALUE"""),"William Folhaça Ferreira | Educação Física | Em análise | Júnio: PP - falta a etapa 1")</f>
        <v>William Folhaça Ferreira | Educação Física | Em análise | Júnio: PP - falta a etapa 1</v>
      </c>
      <c r="B4179" s="93"/>
    </row>
    <row r="4180">
      <c r="A4180" s="384" t="str">
        <f>IFERROR(__xludf.DUMMYFUNCTION("""COMPUTED_VALUE"""),"William Gustavo Farias Viana | Música | Aprovado | Júnio: PP - falta responder o questionário. //Júnio: aprovado: 19/10/23")</f>
        <v>William Gustavo Farias Viana | Música | Aprovado | Júnio: PP - falta responder o questionário. //Júnio: aprovado: 19/10/23</v>
      </c>
      <c r="B4180" s="93"/>
    </row>
    <row r="4181">
      <c r="A4181" s="384" t="str">
        <f>IFERROR(__xludf.DUMMYFUNCTION("""COMPUTED_VALUE"""),"Willyara Cristina Santos | Pedagogia | Aprovada | Bianca: ultrapassou as 6 horas por dia em suas fichas //Lucas: aprovada: 25/02/22 -Júnio: 27/04/22 - físico conferido e arquivado")</f>
        <v>Willyara Cristina Santos | Pedagogia | Aprovada | Bianca: ultrapassou as 6 horas por dia em suas fichas //Lucas: aprovada: 25/02/22 -Júnio: 27/04/22 - físico conferido e arquivado</v>
      </c>
      <c r="B4181" s="93"/>
    </row>
    <row r="4182">
      <c r="A4182" s="384" t="str">
        <f>IFERROR(__xludf.DUMMYFUNCTION("""COMPUTED_VALUE"""),"Wilma Lima Dino Da Silva | Pedagogia | Aprovado | Alexsiane: pp aprovado")</f>
        <v>Wilma Lima Dino Da Silva | Pedagogia | Aprovado | Alexsiane: pp aprovado</v>
      </c>
      <c r="B4182" s="93"/>
    </row>
    <row r="4183">
      <c r="A4183" s="384" t="str">
        <f>IFERROR(__xludf.DUMMYFUNCTION("""COMPUTED_VALUE"""),"Wilmara Rios Liberato | Pedagogia | Aprovada | Júnio: PP aprovada")</f>
        <v>Wilmara Rios Liberato | Pedagogia | Aprovada | Júnio: PP aprovada</v>
      </c>
      <c r="B4183" s="93"/>
    </row>
    <row r="4184">
      <c r="A4184" s="384" t="str">
        <f>IFERROR(__xludf.DUMMYFUNCTION("""COMPUTED_VALUE"""),"Wilson Alexandre Dos Santos | Pedagogia | Em análise | Júnio: PP - 23% plágio, complementar a etapa I com mais páginas e enviar a entrevista digitada")</f>
        <v>Wilson Alexandre Dos Santos | Pedagogia | Em análise | Júnio: PP - 23% plágio, complementar a etapa I com mais páginas e enviar a entrevista digitada</v>
      </c>
      <c r="B4184" s="93"/>
    </row>
    <row r="4185">
      <c r="A4185" s="384" t="str">
        <f>IFERROR(__xludf.DUMMYFUNCTION("""COMPUTED_VALUE"""),"Wilson Alves Pacheco | Artes Visuais | Aprovado | Júnio: PP - falta a carta e entrevista")</f>
        <v>Wilson Alves Pacheco | Artes Visuais | Aprovado | Júnio: PP - falta a carta e entrevista</v>
      </c>
      <c r="B4185" s="93"/>
    </row>
    <row r="4186">
      <c r="A4186" s="384" t="str">
        <f>IFERROR(__xludf.DUMMYFUNCTION("""COMPUTED_VALUE"""),"Wilson Raphael Monteiro Da Silva | 2ª Licenciatura Música | Aprovado | Cris: aguardando o envio da Etapa 1 do PP//Alexsiane: PP aprovado20/06/24")</f>
        <v>Wilson Raphael Monteiro Da Silva | 2ª Licenciatura Música | Aprovado | Cris: aguardando o envio da Etapa 1 do PP//Alexsiane: PP aprovado20/06/24</v>
      </c>
      <c r="B4186" s="93"/>
    </row>
    <row r="4187">
      <c r="A4187" s="384" t="str">
        <f>IFERROR(__xludf.DUMMYFUNCTION("""COMPUTED_VALUE"""),"Wilson Rodrigues Carvalho | Matemática | Aprovado | Thiara: Aprovado. Recebido no Instituto dia 06/09/2019.")</f>
        <v>Wilson Rodrigues Carvalho | Matemática | Aprovado | Thiara: Aprovado. Recebido no Instituto dia 06/09/2019.</v>
      </c>
      <c r="B4187" s="93"/>
    </row>
    <row r="4188">
      <c r="A4188" s="384" t="str">
        <f>IFERROR(__xludf.DUMMYFUNCTION("""COMPUTED_VALUE"""),"Wirginia De Paula Ferreira | Pedagogia | Aprovada  | Bianca: falta etapa 3 e 4// Bárbara: aprovada 17/06/22")</f>
        <v>Wirginia De Paula Ferreira | Pedagogia | Aprovada  | Bianca: falta etapa 3 e 4// Bárbara: aprovada 17/06/22</v>
      </c>
      <c r="B4188" s="93"/>
    </row>
    <row r="4189">
      <c r="A4189" s="384" t="str">
        <f>IFERROR(__xludf.DUMMYFUNCTION("""COMPUTED_VALUE"""),"Wlademir Aguiar Piva | Música | Aprovada | Júnio: PP - falta responder o questionário/Alexsiane: aprovado 21/03")</f>
        <v>Wlademir Aguiar Piva | Música | Aprovada | Júnio: PP - falta responder o questionário/Alexsiane: aprovado 21/03</v>
      </c>
      <c r="B4189" s="93"/>
    </row>
    <row r="4190">
      <c r="A4190" s="384" t="str">
        <f>IFERROR(__xludf.DUMMYFUNCTION("""COMPUTED_VALUE"""),"Wolhfagon Costa De Araújo | Ciências Sociais | Em análise | Lucas: Complementar etaqpa 2 com perigo da historia unica, Plagio: 8,4%")</f>
        <v>Wolhfagon Costa De Araújo | Ciências Sociais | Em análise | Lucas: Complementar etaqpa 2 com perigo da historia unica, Plagio: 8,4%</v>
      </c>
      <c r="B4190" s="93"/>
    </row>
    <row r="4191">
      <c r="A4191" s="384" t="str">
        <f>IFERROR(__xludf.DUMMYFUNCTION("""COMPUTED_VALUE"""),"Wolhfagon Costa De Araújo | Letras Português | Aprovado | Aline Silva: aprovado nas 3 primeiras etapas do estágio remoto. Agendar a útima agora.// Bárbara: aprovado 4ª etapa 23/09/2020")</f>
        <v>Wolhfagon Costa De Araújo | Letras Português | Aprovado | Aline Silva: aprovado nas 3 primeiras etapas do estágio remoto. Agendar a útima agora.// Bárbara: aprovado 4ª etapa 23/09/2020</v>
      </c>
      <c r="B4191" s="93"/>
    </row>
    <row r="4192">
      <c r="A4192" s="384" t="str">
        <f>IFERROR(__xludf.DUMMYFUNCTION("""COMPUTED_VALUE"""),"Wolhfagon Costa De Araújo | Pedagogia | Aprovada | Amélia: aprovada nas 3 primeiras etapas // Bárbara: aprovada na 4 etapa 23/02/2021")</f>
        <v>Wolhfagon Costa De Araújo | Pedagogia | Aprovada | Amélia: aprovada nas 3 primeiras etapas // Bárbara: aprovada na 4 etapa 23/02/2021</v>
      </c>
      <c r="B4192" s="93"/>
    </row>
    <row r="4193">
      <c r="A4193" s="384" t="str">
        <f>IFERROR(__xludf.DUMMYFUNCTION("""COMPUTED_VALUE"""),"Xenia Lucilio Amorim | Pedagógia Para Bachareís E Tecnólogos | Aprovado | Júnio: //Estágio I: 13% plágio, falta sumário, introdução, objetivos gerais e específicos, dados gerais da escola, especificar na ficha de registro o tipo de acompanhento e série, f"&amp;"alta relatório de observação e autoavaliação. //Estágio II: 13% plágio, falta sumário, introdução, objetivos gerais e específicos, dados gerais, especificar na ficha de registro o tipo de acompanhemento e série, complementar com mais 6 horas, falta também"&amp;" relatório de observação e autoavaliação. //Estágio III: 13% plágio, falta sumáriointrodção, objetivos gerais e específicos, dados gerais, especificar na ficha de registro se a gestão foi na administração, orientação ou supervisão, falta também a autoaval"&amp;"iação.  //Estágio IV: 13% plágio, falta sumário, introdução, objetivos gerais e específicos, dados gerais, especificar na ficha de registro o tipo de acompanhamento, falta também relatório de regência e autoavaliação. //Práticas de componentes curriculare"&amp;"s I: falta tudo  //Práticas de componentes curriculares II: falta tudo  //Práticas de componentes curriculares III: falta tudo  //Práticas de componentes curriculares IV: falta tudo // Alexsiane: Pré aprovado // Pamela 16/01/2023Conferido e arquivado.l ")</f>
        <v>Xenia Lucilio Amorim | Pedagógia Para Bachareís E Tecnólogos | Aprovado | Júnio: //Estágio I: 13% plágio, falta sumário, introdução, objetivos gerais e específicos, dados gerais da escola, especificar na ficha de registro o tipo de acompanhento e série, falta relatório de observação e autoavaliação. //Estágio II: 13% plágio, falta sumário, introdução, objetivos gerais e específicos, dados gerais, especificar na ficha de registro o tipo de acompanhemento e série, complementar com mais 6 horas, falta também relatório de observação e autoavaliação. //Estágio III: 13% plágio, falta sumáriointrodção, objetivos gerais e específicos, dados gerais, especificar na ficha de registro se a gestão foi na administração, orientação ou supervisão, falta também a autoavaliação.  //Estágio IV: 13% plágio, falta sumário, introdução, objetivos gerais e específicos, dados gerais, especificar na ficha de registro o tipo de acompanhamento, falta também relatório de regência e autoavaliação. //Práticas de componentes curriculares I: falta tudo  //Práticas de componentes curriculares II: falta tudo  //Práticas de componentes curriculares III: falta tudo  //Práticas de componentes curriculares IV: falta tudo // Alexsiane: Pré aprovado // Pamela 16/01/2023Conferido e arquivado.l </v>
      </c>
      <c r="B4193" s="93"/>
    </row>
    <row r="4194">
      <c r="A4194" s="384" t="str">
        <f>IFERROR(__xludf.DUMMYFUNCTION("""COMPUTED_VALUE"""),"Xenia Vivian Reis | 2ª Licenciatura Pedagogia | Análise | Cris: Falta carta de apresentação")</f>
        <v>Xenia Vivian Reis | 2ª Licenciatura Pedagogia | Análise | Cris: Falta carta de apresentação</v>
      </c>
      <c r="B4194" s="93"/>
    </row>
    <row r="4195">
      <c r="A4195" s="384" t="str">
        <f>IFERROR(__xludf.DUMMYFUNCTION("""COMPUTED_VALUE"""),"Yara Aparecida Seisl | Artes Visuais | Aprovada | Júnio: especificar nas fichas tema e série e complementar com mais 30 horas. //Júnio: pré aprovada: 21/07/23 //Júnio: aprovada: 31/07/2023")</f>
        <v>Yara Aparecida Seisl | Artes Visuais | Aprovada | Júnio: especificar nas fichas tema e série e complementar com mais 30 horas. //Júnio: pré aprovada: 21/07/23 //Júnio: aprovada: 31/07/2023</v>
      </c>
      <c r="B4195" s="93"/>
    </row>
    <row r="4196">
      <c r="A4196" s="384" t="str">
        <f>IFERROR(__xludf.DUMMYFUNCTION("""COMPUTED_VALUE"""),"Yara Cristina Gomes Da Silva | Ciências Sociais | Aprovada | Lucas: Complementar etapa 2  // Lucas: Aprovada e autorizada a realizar o envio")</f>
        <v>Yara Cristina Gomes Da Silva | Ciências Sociais | Aprovada | Lucas: Complementar etapa 2  // Lucas: Aprovada e autorizada a realizar o envio</v>
      </c>
      <c r="B4196" s="93"/>
    </row>
    <row r="4197">
      <c r="A4197" s="384" t="str">
        <f>IFERROR(__xludf.DUMMYFUNCTION("""COMPUTED_VALUE"""),"Yasmim Figueira Ferreira | Formação Pedagógica Pedagogia | Aprovado | Cris: PP aprovado")</f>
        <v>Yasmim Figueira Ferreira | Formação Pedagógica Pedagogia | Aprovado | Cris: PP aprovado</v>
      </c>
      <c r="B4197" s="93"/>
    </row>
    <row r="4198">
      <c r="A4198" s="384" t="str">
        <f>IFERROR(__xludf.DUMMYFUNCTION("""COMPUTED_VALUE"""),"Yonei Marcos Almeida De Sousa | Pedagogia Para Bachareis E Tecnologos | Aprovado | Júnio: TCE Antigo 300 horas: fichas estão com rasuras de caneta, uma ficha com data incorreta e dia 23/05 está ultrapassando o limite de 6 hs. //Júnio: aprovado: 11/01/24")</f>
        <v>Yonei Marcos Almeida De Sousa | Pedagogia Para Bachareis E Tecnologos | Aprovado | Júnio: TCE Antigo 300 horas: fichas estão com rasuras de caneta, uma ficha com data incorreta e dia 23/05 está ultrapassando o limite de 6 hs. //Júnio: aprovado: 11/01/24</v>
      </c>
      <c r="B4198" s="93"/>
    </row>
    <row r="4199">
      <c r="A4199" s="384" t="str">
        <f>IFERROR(__xludf.DUMMYFUNCTION("""COMPUTED_VALUE"""),"Zenilda Barbosa Vilela Dos Santos | Pedagogia | Aprovada | Bianca: aprovada nas 4 etapas do remoto atualizado //Júnio: conferido e arquivado 21/01/22")</f>
        <v>Zenilda Barbosa Vilela Dos Santos | Pedagogia | Aprovada | Bianca: aprovada nas 4 etapas do remoto atualizado //Júnio: conferido e arquivado 21/01/22</v>
      </c>
      <c r="B4199" s="93"/>
    </row>
    <row r="4200">
      <c r="A4200" s="384" t="str">
        <f>IFERROR(__xludf.DUMMYFUNCTION("""COMPUTED_VALUE"""),"Zenilda Neto Silva | Pedagogia | Aprovada | Bárbara: Em caso excepcional aprovei, tinha ficado para tras nas correções, o trabalho tem informações a mais e a menos, diante disso deu para aceitat")</f>
        <v>Zenilda Neto Silva | Pedagogia | Aprovada | Bárbara: Em caso excepcional aprovei, tinha ficado para tras nas correções, o trabalho tem informações a mais e a menos, diante disso deu para aceitat</v>
      </c>
      <c r="B4200" s="93"/>
    </row>
    <row r="4201">
      <c r="A4201" s="384" t="str">
        <f>IFERROR(__xludf.DUMMYFUNCTION("""COMPUTED_VALUE"""),"Zilda Patricio Rudiniski | Pedagogia | Aprovada | Júnio: PP - Inicio: 10/08/2023 Reenviar: 10/02/2024 //Aprovada: 20/02/24")</f>
        <v>Zilda Patricio Rudiniski | Pedagogia | Aprovada | Júnio: PP - Inicio: 10/08/2023 Reenviar: 10/02/2024 //Aprovada: 20/02/24</v>
      </c>
      <c r="B4201" s="93"/>
    </row>
    <row r="4202">
      <c r="A4202" s="384" t="str">
        <f>IFERROR(__xludf.DUMMYFUNCTION("""COMPUTED_VALUE"""),"Zildene Martins Pereira Vasconcelos | Letras Inglês | Aprovada | Júnio: PP: falta a carta de apresentação. //Júnio: aprovada: 06/10/2023")</f>
        <v>Zildene Martins Pereira Vasconcelos | Letras Inglês | Aprovada | Júnio: PP: falta a carta de apresentação. //Júnio: aprovada: 06/10/2023</v>
      </c>
      <c r="B4202" s="93"/>
    </row>
    <row r="4203">
      <c r="A4203" s="384" t="str">
        <f>IFERROR(__xludf.DUMMYFUNCTION("""COMPUTED_VALUE"""),"Zilmar Rosa Dos Santos Medeiro | Artes Visuais | Aprovada | Alexsiane: enviou somente declaração de experiência. Falta todo o restante do trabalho. remoto padrão.//Júnio: físico conferido e arquivado: 19/08/22")</f>
        <v>Zilmar Rosa Dos Santos Medeiro | Artes Visuais | Aprovada | Alexsiane: enviou somente declaração de experiência. Falta todo o restante do trabalho. remoto padrão.//Júnio: físico conferido e arquivado: 19/08/22</v>
      </c>
      <c r="B4203" s="93"/>
    </row>
    <row r="4204">
      <c r="A4204" s="384" t="str">
        <f>IFERROR(__xludf.DUMMYFUNCTION("""COMPUTED_VALUE"""),"Zuleide Martins De Souza | Neuropsicopedagogia Institucional, Clínica E Hospitalar | Em análise | Júnio: 37% plágio e faltam carta de apresentação, fichas de registro e termo de conclusão.")</f>
        <v>Zuleide Martins De Souza | Neuropsicopedagogia Institucional, Clínica E Hospitalar | Em análise | Júnio: 37% plágio e faltam carta de apresentação, fichas de registro e termo de conclusão.</v>
      </c>
      <c r="B4204" s="93"/>
    </row>
    <row r="4205">
      <c r="A4205" s="384" t="str">
        <f>IFERROR(__xludf.DUMMYFUNCTION("""COMPUTED_VALUE"""),"Luziane Cruz de Azevedo | Segunda Licenciatura Em Matemática | Aprovada | Rayssa: pp aprovado")</f>
        <v>Luziane Cruz de Azevedo | Segunda Licenciatura Em Matemática | Aprovada | Rayssa: pp aprovado</v>
      </c>
      <c r="B4205" s="93"/>
    </row>
    <row r="4206">
      <c r="A4206" s="384" t="str">
        <f>IFERROR(__xludf.DUMMYFUNCTION("""COMPUTED_VALUE"""),"Juliana Luzia Dias | Segunda Licenciatura em Pedagogia | Aprovada | Alexsiane: tem que enviar a carta de apresentação nítida, restante ok//Alexsiane: pp aprovado 04/11")</f>
        <v>Juliana Luzia Dias | Segunda Licenciatura em Pedagogia | Aprovada | Alexsiane: tem que enviar a carta de apresentação nítida, restante ok//Alexsiane: pp aprovado 04/11</v>
      </c>
      <c r="B4206" s="93"/>
    </row>
    <row r="4207">
      <c r="A4207" s="384" t="str">
        <f>IFERROR(__xludf.DUMMYFUNCTION("""COMPUTED_VALUE"""),"David Xavier Martins |  Formação Pedagógica em Música | Aprovada | Rayssa: pp aprovado")</f>
        <v>David Xavier Martins |  Formação Pedagógica em Música | Aprovada | Rayssa: pp aprovado</v>
      </c>
      <c r="B4207" s="93"/>
    </row>
    <row r="4208">
      <c r="A4208" s="384" t="str">
        <f>IFERROR(__xludf.DUMMYFUNCTION("""COMPUTED_VALUE"""),"José Edilson Da Costa |  Formação Pedagógica em Filosofia | Aprovada | Rayssa: pp aprovado")</f>
        <v>José Edilson Da Costa |  Formação Pedagógica em Filosofia | Aprovada | Rayssa: pp aprovado</v>
      </c>
      <c r="B4208" s="93"/>
    </row>
    <row r="4209">
      <c r="A4209" s="384" t="str">
        <f>IFERROR(__xludf.DUMMYFUNCTION("""COMPUTED_VALUE"""),"Carlos Edinei de Oliveira | Formação Pedagógica em Artes Visuais | Aprovada | Rayssa: pp aprovado")</f>
        <v>Carlos Edinei de Oliveira | Formação Pedagógica em Artes Visuais | Aprovada | Rayssa: pp aprovado</v>
      </c>
      <c r="B4209" s="93"/>
    </row>
    <row r="4210">
      <c r="A4210" s="384" t="str">
        <f>IFERROR(__xludf.DUMMYFUNCTION("""COMPUTED_VALUE"""),"Marlon Nunes Silva | Segunda Licenciatura Em Letras – Português E Inglês | Aprovada | Rayssa: pp aprovado ( obs: ela estava no meu usuarui alexsiane)")</f>
        <v>Marlon Nunes Silva | Segunda Licenciatura Em Letras – Português E Inglês | Aprovada | Rayssa: pp aprovado ( obs: ela estava no meu usuarui alexsiane)</v>
      </c>
      <c r="B4210" s="93"/>
    </row>
    <row r="4211">
      <c r="A4211" s="384" t="str">
        <f>IFERROR(__xludf.DUMMYFUNCTION("""COMPUTED_VALUE"""),"Emerson Sousa de Holanda | Segunda Licenciatura Música | Aprovada | Alexsiane: pp aprovado")</f>
        <v>Emerson Sousa de Holanda | Segunda Licenciatura Música | Aprovada | Alexsiane: pp aprovado</v>
      </c>
      <c r="B4211" s="93"/>
    </row>
    <row r="4212">
      <c r="A4212" s="384" t="str">
        <f>IFERROR(__xludf.DUMMYFUNCTION("""COMPUTED_VALUE"""),"Bárbara de Oliveira Borges | Pedagogia para Bacharéis e Tecnólogos | Aprovada | Rayssa: PCCs e PP aprovados")</f>
        <v>Bárbara de Oliveira Borges | Pedagogia para Bacharéis e Tecnólogos | Aprovada | Rayssa: PCCs e PP aprovados</v>
      </c>
      <c r="B4212" s="93"/>
    </row>
    <row r="4213">
      <c r="A4213" s="384" t="str">
        <f>IFERROR(__xludf.DUMMYFUNCTION("""COMPUTED_VALUE"""),"Luciane Ribeiro dos Santos | Segunda Licenciatura em Artes Visuais | Aprovada | Alexsiane: pp tem que complementar a primeira etapa, etapa 2 ok")</f>
        <v>Luciane Ribeiro dos Santos | Segunda Licenciatura em Artes Visuais | Aprovada | Alexsiane: pp tem que complementar a primeira etapa, etapa 2 ok</v>
      </c>
      <c r="B4213" s="93"/>
    </row>
    <row r="4214">
      <c r="A4214" s="384" t="str">
        <f>IFERROR(__xludf.DUMMYFUNCTION("""COMPUTED_VALUE"""),"Érica Fernanda Camargo Fogaça | Segunda Licenciatura em História | Aprovada | Rayssa: pp aprovado no protocolo 10838")</f>
        <v>Érica Fernanda Camargo Fogaça | Segunda Licenciatura em História | Aprovada | Rayssa: pp aprovado no protocolo 10838</v>
      </c>
      <c r="B4214" s="93"/>
    </row>
    <row r="4215">
      <c r="A4215" s="384" t="str">
        <f>IFERROR(__xludf.DUMMYFUNCTION("""COMPUTED_VALUE"""),"José Valdir Soares Filho | Segunda Licenciatura em Artes Visuais | Aprovada | Rayssa: pp aprovado no protocolo 10841")</f>
        <v>José Valdir Soares Filho | Segunda Licenciatura em Artes Visuais | Aprovada | Rayssa: pp aprovado no protocolo 10841</v>
      </c>
      <c r="B4215" s="93"/>
    </row>
    <row r="4216">
      <c r="A4216" s="384" t="str">
        <f>IFERROR(__xludf.DUMMYFUNCTION("""COMPUTED_VALUE"""),"Luiz José Mesquita Fratini | Segunda Licenciatura em Geografia | Aprovado | Alexsiane: pp falta a carta de apresentação")</f>
        <v>Luiz José Mesquita Fratini | Segunda Licenciatura em Geografia | Aprovado | Alexsiane: pp falta a carta de apresentação</v>
      </c>
      <c r="B4216" s="93"/>
    </row>
    <row r="4217">
      <c r="A4217" s="384" t="str">
        <f>IFERROR(__xludf.DUMMYFUNCTION("""COMPUTED_VALUE"""),"Cristiane Francisca Frandelind | Segunda Licenciatura em Artes Visuais | Aprovada | Alexsiane: pp aprovado")</f>
        <v>Cristiane Francisca Frandelind | Segunda Licenciatura em Artes Visuais | Aprovada | Alexsiane: pp aprovado</v>
      </c>
      <c r="B4217" s="93"/>
    </row>
    <row r="4218">
      <c r="A4218" s="384" t="str">
        <f>IFERROR(__xludf.DUMMYFUNCTION("""COMPUTED_VALUE"""),"Adilson Norberto da Silva | Segunda Licenciatura em Música | Aprovada | Alexsiane: pp falta a entrevista, carta e bncc ok// alexsiane: pp aprovado")</f>
        <v>Adilson Norberto da Silva | Segunda Licenciatura em Música | Aprovada | Alexsiane: pp falta a entrevista, carta e bncc ok// alexsiane: pp aprovado</v>
      </c>
      <c r="B4218" s="93"/>
    </row>
    <row r="4219">
      <c r="A4219" s="384" t="str">
        <f>IFERROR(__xludf.DUMMYFUNCTION("""COMPUTED_VALUE"""),"Valdemir Marcelino Cabral | Segunda Licenciatura em Artes Visuais  | Aprovada | Rayssa: pp aprovado no protocolo 11131")</f>
        <v>Valdemir Marcelino Cabral | Segunda Licenciatura em Artes Visuais  | Aprovada | Rayssa: pp aprovado no protocolo 11131</v>
      </c>
      <c r="B4219" s="93"/>
    </row>
    <row r="4220">
      <c r="A4220" s="384" t="str">
        <f>IFERROR(__xludf.DUMMYFUNCTION("""COMPUTED_VALUE"""),"Tarcisia Nascimento de Carvalho |  Segunda Licenciatura Letras - Português | Aprovada | Rayssa: pp aprovado no protocolo 10701")</f>
        <v>Tarcisia Nascimento de Carvalho |  Segunda Licenciatura Letras - Português | Aprovada | Rayssa: pp aprovado no protocolo 10701</v>
      </c>
      <c r="B4220" s="93"/>
    </row>
    <row r="4221">
      <c r="A4221" s="384" t="str">
        <f>IFERROR(__xludf.DUMMYFUNCTION("""COMPUTED_VALUE"""),"Romero da Silva | Segunda Licenciatura Em História | Aprovada | Rayssa: pp aprovado no protocolo 11353")</f>
        <v>Romero da Silva | Segunda Licenciatura Em História | Aprovada | Rayssa: pp aprovado no protocolo 11353</v>
      </c>
      <c r="B4221" s="93"/>
    </row>
    <row r="4222">
      <c r="A4222" s="384" t="str">
        <f>IFERROR(__xludf.DUMMYFUNCTION("""COMPUTED_VALUE"""),"Priscila Almeida Da Cruz Brito | Segunda Licenciatura em Artes Visuais | Aprovada | Rayssa: pp aprovado no protocolo 10491")</f>
        <v>Priscila Almeida Da Cruz Brito | Segunda Licenciatura em Artes Visuais | Aprovada | Rayssa: pp aprovado no protocolo 10491</v>
      </c>
      <c r="B4222" s="93"/>
    </row>
    <row r="4223">
      <c r="A4223" s="384" t="str">
        <f>IFERROR(__xludf.DUMMYFUNCTION("""COMPUTED_VALUE"""),"Silvana Campos de Faria | Formação pedagógica em Pedagogia | Aprovado | Alexsiane: pp aprovado")</f>
        <v>Silvana Campos de Faria | Formação pedagógica em Pedagogia | Aprovado | Alexsiane: pp aprovado</v>
      </c>
      <c r="B4223" s="93"/>
    </row>
    <row r="4224">
      <c r="A4224" s="384" t="str">
        <f>IFERROR(__xludf.DUMMYFUNCTION("""COMPUTED_VALUE"""),"Rayane Kelly Santos Souza | Pós-Graduação em Psicopedagogia Clinica, Institucional e Hospitalar | Aprovado | Alexsiane: TEC aprovado")</f>
        <v>Rayane Kelly Santos Souza | Pós-Graduação em Psicopedagogia Clinica, Institucional e Hospitalar | Aprovado | Alexsiane: TEC aprovado</v>
      </c>
      <c r="B4224" s="93"/>
    </row>
    <row r="4225">
      <c r="A4225" s="384" t="str">
        <f>IFERROR(__xludf.DUMMYFUNCTION("""COMPUTED_VALUE"""),"Carlos Cleber Borges Silva | Segunda Licenciatura em Música | Aprovado | Rayssa: plágio no trabalho")</f>
        <v>Carlos Cleber Borges Silva | Segunda Licenciatura em Música | Aprovado | Rayssa: plágio no trabalho</v>
      </c>
      <c r="B4225" s="93"/>
    </row>
    <row r="4226">
      <c r="A4226" s="384" t="str">
        <f>IFERROR(__xludf.DUMMYFUNCTION("""COMPUTED_VALUE"""),"Vanessa Domingues Pinto | Formação Pedagógica em Artes Visuais | Aprovado | Alexsiane: pp aprovado")</f>
        <v>Vanessa Domingues Pinto | Formação Pedagógica em Artes Visuais | Aprovado | Alexsiane: pp aprovado</v>
      </c>
      <c r="B4226" s="93"/>
    </row>
    <row r="4227">
      <c r="A4227" s="384" t="str">
        <f>IFERROR(__xludf.DUMMYFUNCTION("""COMPUTED_VALUE"""),"Danilo Dias Paes Landim | Segunda Licenciatura Em Pedagogia | Aprovado | Alexsiane: pp falta etapa 2, extensão até 06/12/24")</f>
        <v>Danilo Dias Paes Landim | Segunda Licenciatura Em Pedagogia | Aprovado | Alexsiane: pp falta etapa 2, extensão até 06/12/24</v>
      </c>
      <c r="B4227" s="93"/>
    </row>
    <row r="4228">
      <c r="A4228" s="384" t="str">
        <f>IFERROR(__xludf.DUMMYFUNCTION("""COMPUTED_VALUE"""),"Kaina Weiber Waisbek | Segunda Licenciatura em Artes Visuais  | Aprovado | Alexsiane: pp aprovado a pedido da Ana Lúcia")</f>
        <v>Kaina Weiber Waisbek | Segunda Licenciatura em Artes Visuais  | Aprovado | Alexsiane: pp aprovado a pedido da Ana Lúcia</v>
      </c>
      <c r="B4228" s="93"/>
    </row>
    <row r="4229">
      <c r="A4229" s="384" t="str">
        <f>IFERROR(__xludf.DUMMYFUNCTION("""COMPUTED_VALUE"""),"Jovani Pinheiro Alves  | Segunda Graduação em Pedagogia | Aprovado | Alexsiane: pp aprovdo")</f>
        <v>Jovani Pinheiro Alves  | Segunda Graduação em Pedagogia | Aprovado | Alexsiane: pp aprovdo</v>
      </c>
      <c r="B4229" s="93"/>
    </row>
    <row r="4230">
      <c r="A4230" s="384" t="str">
        <f>IFERROR(__xludf.DUMMYFUNCTION("""COMPUTED_VALUE"""),"Lusineide Carvalho De Matos | Segunda Licenciatura em Música | Aprovado | Alexsiane: pp aprovado")</f>
        <v>Lusineide Carvalho De Matos | Segunda Licenciatura em Música | Aprovado | Alexsiane: pp aprovado</v>
      </c>
      <c r="B4230" s="93"/>
    </row>
    <row r="4231">
      <c r="A4231" s="384" t="str">
        <f>IFERROR(__xludf.DUMMYFUNCTION("""COMPUTED_VALUE"""),"Lusineide Carvalho De Matos | Pós-Graduação em Neuropsicologia Clínica | Aprovado | Alexsiane: estágio aprovado")</f>
        <v>Lusineide Carvalho De Matos | Pós-Graduação em Neuropsicologia Clínica | Aprovado | Alexsiane: estágio aprovado</v>
      </c>
      <c r="B4231" s="93"/>
    </row>
    <row r="4232">
      <c r="A4232" s="384" t="str">
        <f>IFERROR(__xludf.DUMMYFUNCTION("""COMPUTED_VALUE"""),"Letúzia Filomena dos Reis Costa | Segunda Licenciatura em Pedagogia | Aprovado | Alexsiane: pp aprovado")</f>
        <v>Letúzia Filomena dos Reis Costa | Segunda Licenciatura em Pedagogia | Aprovado | Alexsiane: pp aprovado</v>
      </c>
      <c r="B4232" s="93"/>
    </row>
    <row r="4233">
      <c r="A4233" s="384" t="str">
        <f>IFERROR(__xludf.DUMMYFUNCTION("""COMPUTED_VALUE"""),"Lidiene Cristina de Oliveira santos  | Segunda Licenciatura em Ciências Da Religião | Em análise | Alexsiane: pp, orimeira etapa está igual o guia de orientações, aluna deve alterar.  Etapa 2 ok")</f>
        <v>Lidiene Cristina de Oliveira santos  | Segunda Licenciatura em Ciências Da Religião | Em análise | Alexsiane: pp, orimeira etapa está igual o guia de orientações, aluna deve alterar.  Etapa 2 ok</v>
      </c>
      <c r="B4233" s="93"/>
    </row>
    <row r="4234">
      <c r="A4234" s="384" t="str">
        <f>IFERROR(__xludf.DUMMYFUNCTION("""COMPUTED_VALUE"""),"Glauber Babosa Guardengui | Segunda Licenciatura em Pedagogia | Aprovado | Alexsiane: pp aprovado")</f>
        <v>Glauber Babosa Guardengui | Segunda Licenciatura em Pedagogia | Aprovado | Alexsiane: pp aprovado</v>
      </c>
      <c r="B4234" s="93"/>
    </row>
    <row r="4235">
      <c r="A4235" s="384" t="str">
        <f>IFERROR(__xludf.DUMMYFUNCTION("""COMPUTED_VALUE"""),"Renata Pires Tavares | Pós-Graduação em Neuropsicopedagogia Institucional, Clínica e Hospitalar  | Aprovado | Alexsiane: tce aprovado")</f>
        <v>Renata Pires Tavares | Pós-Graduação em Neuropsicopedagogia Institucional, Clínica e Hospitalar  | Aprovado | Alexsiane: tce aprovado</v>
      </c>
      <c r="B4235" s="93"/>
    </row>
    <row r="4236">
      <c r="A4236" s="384" t="str">
        <f>IFERROR(__xludf.DUMMYFUNCTION("""COMPUTED_VALUE"""),"Bruno Soares da Silva | Formação Pedagógica em Matemática | Aprovado | Tais: pp aprovado por Franciele")</f>
        <v>Bruno Soares da Silva | Formação Pedagógica em Matemática | Aprovado | Tais: pp aprovado por Franciele</v>
      </c>
      <c r="B4236" s="93"/>
    </row>
    <row r="4237">
      <c r="A4237" s="384" t="str">
        <f>IFERROR(__xludf.DUMMYFUNCTION("""COMPUTED_VALUE"""),"CARINA COSTA VELOSO | Pedagogia para Bacharéis e Tecnólogos (2022) | Aprovado | Alexsiane: pp e pcc aprovados")</f>
        <v>CARINA COSTA VELOSO | Pedagogia para Bacharéis e Tecnólogos (2022) | Aprovado | Alexsiane: pp e pcc aprovados</v>
      </c>
      <c r="B4237" s="93"/>
    </row>
    <row r="4238">
      <c r="A4238" s="384" t="str">
        <f>IFERROR(__xludf.DUMMYFUNCTION("""COMPUTED_VALUE"""),"Laurene Vieira Cardoso Braz | Pedagogia para Bacharéis | Em análise | Alexsiane: pp tem que responder algumas perguntas da entrevista e tem que enviar os trabalhos de práticas de componentes curriculares. 25/11 para enviar")</f>
        <v>Laurene Vieira Cardoso Braz | Pedagogia para Bacharéis | Em análise | Alexsiane: pp tem que responder algumas perguntas da entrevista e tem que enviar os trabalhos de práticas de componentes curriculares. 25/11 para enviar</v>
      </c>
      <c r="B4238" s="93"/>
    </row>
    <row r="4239">
      <c r="A4239" s="384" t="str">
        <f>IFERROR(__xludf.DUMMYFUNCTION("""COMPUTED_VALUE"""),"Laurianne Camargo Ferreira De Souza Santos | Formação Pedagógica Educação Física | Aprovada | Alexsiane: falta carta de apresentação. 24/11 reenviar")</f>
        <v>Laurianne Camargo Ferreira De Souza Santos | Formação Pedagógica Educação Física | Aprovada | Alexsiane: falta carta de apresentação. 24/11 reenviar</v>
      </c>
      <c r="B4239" s="93"/>
    </row>
    <row r="4240">
      <c r="A4240" s="384" t="str">
        <f>IFERROR(__xludf.DUMMYFUNCTION("""COMPUTED_VALUE"""),"Elen Marcia Ferreira Américo | Segunda Licenciatura em Matemática | Aprovado | Alexsiane; pp aprovado")</f>
        <v>Elen Marcia Ferreira Américo | Segunda Licenciatura em Matemática | Aprovado | Alexsiane; pp aprovado</v>
      </c>
      <c r="B4240" s="93"/>
    </row>
    <row r="4241">
      <c r="A4241" s="384" t="str">
        <f>IFERROR(__xludf.DUMMYFUNCTION("""COMPUTED_VALUE"""),"Sérgio Da Silva Gonçalves | Segunda Licenciatura em Música | Aprovado | Rayssa: pp aprovado")</f>
        <v>Sérgio Da Silva Gonçalves | Segunda Licenciatura em Música | Aprovado | Rayssa: pp aprovado</v>
      </c>
      <c r="B4241" s="93"/>
    </row>
    <row r="4242">
      <c r="A4242" s="384" t="str">
        <f>IFERROR(__xludf.DUMMYFUNCTION("""COMPUTED_VALUE"""),"Nânci De Negri Silva | Segunda Licenciatura Educação Física | Em análise | Alexsiane: plágio e o trabalho não é praticas nem estágio, orientei a fazer as práticas que é mais facil")</f>
        <v>Nânci De Negri Silva | Segunda Licenciatura Educação Física | Em análise | Alexsiane: plágio e o trabalho não é praticas nem estágio, orientei a fazer as práticas que é mais facil</v>
      </c>
      <c r="B4242" s="93"/>
    </row>
    <row r="4243">
      <c r="A4243" s="384" t="str">
        <f>IFERROR(__xludf.DUMMYFUNCTION("""COMPUTED_VALUE"""),"Nânci De Negri Silva | Segunda Licenciatura em Artes Visuais | Em análise | Alexsiane: o trabalho não é praticas nem estágio, orientei a fazer as práticas que é mais facil")</f>
        <v>Nânci De Negri Silva | Segunda Licenciatura em Artes Visuais | Em análise | Alexsiane: o trabalho não é praticas nem estágio, orientei a fazer as práticas que é mais facil</v>
      </c>
      <c r="B4243" s="93"/>
    </row>
    <row r="4244">
      <c r="A4244" s="384" t="str">
        <f>IFERROR(__xludf.DUMMYFUNCTION("""COMPUTED_VALUE"""),"George Lucas Maforte Machado | Pedagogia | Aprovado | Alexsiane: pp aprovado")</f>
        <v>George Lucas Maforte Machado | Pedagogia | Aprovado | Alexsiane: pp aprovado</v>
      </c>
      <c r="B4244" s="93"/>
    </row>
    <row r="4245">
      <c r="A4245" s="384" t="str">
        <f>IFERROR(__xludf.DUMMYFUNCTION("""COMPUTED_VALUE"""),"Alessandra Jussara Santos da Silva Oliveira | Formação Pedagógica Em Pedagogia- | Aprovado | Alexsiane: pp aprovado")</f>
        <v>Alessandra Jussara Santos da Silva Oliveira | Formação Pedagógica Em Pedagogia- | Aprovado | Alexsiane: pp aprovado</v>
      </c>
      <c r="B4245" s="93"/>
    </row>
    <row r="4246">
      <c r="A4246" s="384" t="str">
        <f>IFERROR(__xludf.DUMMYFUNCTION("""COMPUTED_VALUE"""),"Orleide Alves de Matos Silva | Segunda Licenciatura em Pedagogia | Aprovado | Alexsiane: pp aprovado")</f>
        <v>Orleide Alves de Matos Silva | Segunda Licenciatura em Pedagogia | Aprovado | Alexsiane: pp aprovado</v>
      </c>
      <c r="B4246" s="93"/>
    </row>
    <row r="4247">
      <c r="A4247" s="384" t="str">
        <f>IFERROR(__xludf.DUMMYFUNCTION("""COMPUTED_VALUE"""),"Larissa Costa Da Silva | Formação Pedagógica Educação Física | Aprovado | Alexsiane: pp aprovado")</f>
        <v>Larissa Costa Da Silva | Formação Pedagógica Educação Física | Aprovado | Alexsiane: pp aprovado</v>
      </c>
      <c r="B4247" s="93"/>
    </row>
    <row r="4248">
      <c r="A4248" s="384" t="str">
        <f>IFERROR(__xludf.DUMMYFUNCTION("""COMPUTED_VALUE"""),"Rafaella Moreira de Lima | Segunda Licenciatura em História | Em análise | Alexsiane: trabalho igual o de geografia, terá que refazer")</f>
        <v>Rafaella Moreira de Lima | Segunda Licenciatura em História | Em análise | Alexsiane: trabalho igual o de geografia, terá que refazer</v>
      </c>
      <c r="B4248" s="93"/>
    </row>
    <row r="4249">
      <c r="A4249" s="384" t="str">
        <f>IFERROR(__xludf.DUMMYFUNCTION("""COMPUTED_VALUE"""),"Rafaella Moreira de Lima | Segunda Licenciatura em Geografia | Em análise | Alexsiane: trabalho igual o de história, terá que refazer")</f>
        <v>Rafaella Moreira de Lima | Segunda Licenciatura em Geografia | Em análise | Alexsiane: trabalho igual o de história, terá que refazer</v>
      </c>
      <c r="B4249" s="93"/>
    </row>
    <row r="4250">
      <c r="A4250" s="384" t="str">
        <f>IFERROR(__xludf.DUMMYFUNCTION("""COMPUTED_VALUE"""),"Jusley Caroliny Santos Rocha | Educação Especial | Aprovado | Alexsiane: pp aprovado")</f>
        <v>Jusley Caroliny Santos Rocha | Educação Especial | Aprovado | Alexsiane: pp aprovado</v>
      </c>
      <c r="B4250" s="93"/>
    </row>
    <row r="4251">
      <c r="A4251" s="384" t="str">
        <f>IFERROR(__xludf.DUMMYFUNCTION("""COMPUTED_VALUE"""),"Jusley Caroliny Santos Rocha | Sociologia | Aprovado | Alexsiane: pp aprovado")</f>
        <v>Jusley Caroliny Santos Rocha | Sociologia | Aprovado | Alexsiane: pp aprovado</v>
      </c>
      <c r="B4251" s="93"/>
    </row>
    <row r="4252">
      <c r="A4252" s="384" t="str">
        <f>IFERROR(__xludf.DUMMYFUNCTION("""COMPUTED_VALUE"""),"Jusley Caroliny Santos Rocha | Ciências Da Religião | Aprovado | Alexsiane: pp aprovado")</f>
        <v>Jusley Caroliny Santos Rocha | Ciências Da Religião | Aprovado | Alexsiane: pp aprovado</v>
      </c>
      <c r="B4252" s="93"/>
    </row>
    <row r="4253">
      <c r="A4253" s="384" t="str">
        <f>IFERROR(__xludf.DUMMYFUNCTION("""COMPUTED_VALUE"""),"Juliana Martins Pinheiro Gonçalves | Formação Pedagógica Em Pedagogia | Aprovado | Alexsiane: pp com 25% de plágio 05/12 reenviar// Alexsiane: pp aprovado 06/12")</f>
        <v>Juliana Martins Pinheiro Gonçalves | Formação Pedagógica Em Pedagogia | Aprovado | Alexsiane: pp com 25% de plágio 05/12 reenviar// Alexsiane: pp aprovado 06/12</v>
      </c>
      <c r="B4253" s="93"/>
    </row>
    <row r="4254">
      <c r="A4254" s="384" t="str">
        <f>IFERROR(__xludf.DUMMYFUNCTION("""COMPUTED_VALUE"""),"Carlos Soares da Costa | Segunda Licenciatura em Filosofia | Aprovado | Alexsiane: pp aprovado")</f>
        <v>Carlos Soares da Costa | Segunda Licenciatura em Filosofia | Aprovado | Alexsiane: pp aprovado</v>
      </c>
      <c r="B4254" s="93"/>
    </row>
    <row r="4255">
      <c r="A4255" s="384" t="str">
        <f>IFERROR(__xludf.DUMMYFUNCTION("""COMPUTED_VALUE"""),"Valquiria Rodrigues dos Santos | Segunda Licenciatura em Artes Visuais | Aprovado | Alexsiane: pp aprovado")</f>
        <v>Valquiria Rodrigues dos Santos | Segunda Licenciatura em Artes Visuais | Aprovado | Alexsiane: pp aprovado</v>
      </c>
      <c r="B4255" s="93"/>
    </row>
    <row r="4256">
      <c r="A4256" s="384" t="str">
        <f>IFERROR(__xludf.DUMMYFUNCTION("""COMPUTED_VALUE"""),"Simone Rosa da Silva Adelino | Segunda Licenciatura em Pedagogia | Aprovado | Alexsiane: pp aprovado")</f>
        <v>Simone Rosa da Silva Adelino | Segunda Licenciatura em Pedagogia | Aprovado | Alexsiane: pp aprovado</v>
      </c>
      <c r="B4256" s="93"/>
    </row>
    <row r="4257">
      <c r="A4257" s="384" t="str">
        <f>IFERROR(__xludf.DUMMYFUNCTION("""COMPUTED_VALUE"""),"Bianca Batista Torres | Segunda Licenciatura em Pedagogia | Em análise | Alexsiane: pp falta promeira etapa")</f>
        <v>Bianca Batista Torres | Segunda Licenciatura em Pedagogia | Em análise | Alexsiane: pp falta promeira etapa</v>
      </c>
      <c r="B4257" s="93"/>
    </row>
    <row r="4258">
      <c r="A4258" s="384" t="str">
        <f>IFERROR(__xludf.DUMMYFUNCTION("""COMPUTED_VALUE"""),"Maria dos Santos Cardoso | Formação Pedagógica em Pedagogia | Em análise | Alexsiane: 25% de plágio, até dia 07/12 reenviar")</f>
        <v>Maria dos Santos Cardoso | Formação Pedagógica em Pedagogia | Em análise | Alexsiane: 25% de plágio, até dia 07/12 reenviar</v>
      </c>
      <c r="B4258" s="93"/>
    </row>
    <row r="4259">
      <c r="A4259" s="384" t="str">
        <f>IFERROR(__xludf.DUMMYFUNCTION("""COMPUTED_VALUE"""),"Danilo Dias Paes Landim | Segunda Licenciatura em Pedagogia | Aprovado | Alexsiane: pp aprovado")</f>
        <v>Danilo Dias Paes Landim | Segunda Licenciatura em Pedagogia | Aprovado | Alexsiane: pp aprovado</v>
      </c>
      <c r="B4259" s="93"/>
    </row>
    <row r="4260">
      <c r="A4260" s="384" t="str">
        <f>IFERROR(__xludf.DUMMYFUNCTION("""COMPUTED_VALUE"""),"Bruno Pontes da Costa | Formação Pedagógica Em Letras – Língua Portuguesa E Libras- U | Aprovado | Alexsiane: falta primeira etapa, entrevista ok 12/12 reenviar")</f>
        <v>Bruno Pontes da Costa | Formação Pedagógica Em Letras – Língua Portuguesa E Libras- U | Aprovado | Alexsiane: falta primeira etapa, entrevista ok 12/12 reenviar</v>
      </c>
      <c r="B4260" s="93"/>
    </row>
    <row r="4261">
      <c r="A4261" s="384" t="str">
        <f>IFERROR(__xludf.DUMMYFUNCTION("""COMPUTED_VALUE"""),"Regina Célia De Araújo Jacob | Segunda Licenciatura em Educação Especial | Aprovado | Alexsiane: pp aprovado")</f>
        <v>Regina Célia De Araújo Jacob | Segunda Licenciatura em Educação Especial | Aprovado | Alexsiane: pp aprovado</v>
      </c>
      <c r="B4261" s="93"/>
    </row>
    <row r="4262">
      <c r="A4262" s="384" t="str">
        <f>IFERROR(__xludf.DUMMYFUNCTION("""COMPUTED_VALUE"""),"Luciana Grossi Villa Anzolin | Formação Pedagógica em Música | Aprovado | Alexsiane: pp aprovado")</f>
        <v>Luciana Grossi Villa Anzolin | Formação Pedagógica em Música | Aprovado | Alexsiane: pp aprovado</v>
      </c>
      <c r="B4262" s="93"/>
    </row>
    <row r="4263">
      <c r="A4263" s="384" t="str">
        <f>IFERROR(__xludf.DUMMYFUNCTION("""COMPUTED_VALUE"""),"Leonardo Inácio Pereira | Segunda Licenciatura em Pedagogia | Aprovado | Alexsiane: pp aprovado")</f>
        <v>Leonardo Inácio Pereira | Segunda Licenciatura em Pedagogia | Aprovado | Alexsiane: pp aprovado</v>
      </c>
      <c r="B4263" s="93"/>
    </row>
    <row r="4264">
      <c r="A4264" s="384" t="str">
        <f>IFERROR(__xludf.DUMMYFUNCTION("""COMPUTED_VALUE"""),"Valberto Ferreira da Silva | SEGUNDA LICENCIATURA EM MÚSICA | Em análise | Franciele: Solicitou para complementar o trabalho. ")</f>
        <v>Valberto Ferreira da Silva | SEGUNDA LICENCIATURA EM MÚSICA | Em análise | Franciele: Solicitou para complementar o trabalho. </v>
      </c>
      <c r="B4264" s="93"/>
    </row>
    <row r="4265">
      <c r="A4265" s="384" t="str">
        <f>IFERROR(__xludf.DUMMYFUNCTION("""COMPUTED_VALUE"""),"Jackelinne Brasileiro Ferreira | SEGUNDA LICENCIATURA EM PEDAGOGIA | Em análise | Aguardando Analise do Financeiro e Documental")</f>
        <v>Jackelinne Brasileiro Ferreira | SEGUNDA LICENCIATURA EM PEDAGOGIA | Em análise | Aguardando Analise do Financeiro e Documental</v>
      </c>
      <c r="B4265" s="93"/>
    </row>
    <row r="4266">
      <c r="A4266" s="384" t="str">
        <f>IFERROR(__xludf.DUMMYFUNCTION("""COMPUTED_VALUE"""),"Gleriston Marcos de Lima | FORMAÇÃO PEDAGÓGICA EM GEOGRAFIA | Em análise | Aguardando Analise do Financeiro e Documental")</f>
        <v>Gleriston Marcos de Lima | FORMAÇÃO PEDAGÓGICA EM GEOGRAFIA | Em análise | Aguardando Analise do Financeiro e Documental</v>
      </c>
      <c r="B4266" s="93"/>
    </row>
    <row r="4267">
      <c r="A4267" s="384" t="str">
        <f>IFERROR(__xludf.DUMMYFUNCTION("""COMPUTED_VALUE"""),"Johanna Meury Oliveira de Freitas | Pós-Graduação em Neuropsicologia Clínica 2022 | Em análise | Aguardando Analise do Financeiro e Documental")</f>
        <v>Johanna Meury Oliveira de Freitas | Pós-Graduação em Neuropsicologia Clínica 2022 | Em análise | Aguardando Analise do Financeiro e Documental</v>
      </c>
      <c r="B4267" s="93"/>
    </row>
    <row r="4268">
      <c r="A4268" s="384" t="str">
        <f>IFERROR(__xludf.DUMMYFUNCTION("""COMPUTED_VALUE"""),"Rita de Cássia Bertoldo Vendite | SEGUNDA LICENCIATURA EM PEDAGOGIA | Aprovada | Aguardando Analise das disciplinas")</f>
        <v>Rita de Cássia Bertoldo Vendite | SEGUNDA LICENCIATURA EM PEDAGOGIA | Aprovada | Aguardando Analise das disciplinas</v>
      </c>
      <c r="B4268" s="93"/>
    </row>
    <row r="4269">
      <c r="A4269" s="384" t="str">
        <f>IFERROR(__xludf.DUMMYFUNCTION("""COMPUTED_VALUE"""),"Aline Ferreira dos Santos | SEGUNDA LICENCIATURA EM PEDAGOGIA | Aprovada | ")</f>
        <v>Aline Ferreira dos Santos | SEGUNDA LICENCIATURA EM PEDAGOGIA | Aprovada | </v>
      </c>
      <c r="B4269" s="93"/>
    </row>
    <row r="4270">
      <c r="A4270" s="384" t="str">
        <f>IFERROR(__xludf.DUMMYFUNCTION("""COMPUTED_VALUE"""),"Juliana Maria Corallo Quinan | Segunda Licenciatura em Ciências Sociais | Em análise | ")</f>
        <v>Juliana Maria Corallo Quinan | Segunda Licenciatura em Ciências Sociais | Em análise | </v>
      </c>
      <c r="B4270" s="93"/>
    </row>
    <row r="4271">
      <c r="A4271" s="384" t="str">
        <f>IFERROR(__xludf.DUMMYFUNCTION("""COMPUTED_VALUE"""),"Mirislei Soares Madalena  |  | Em análise | Aguardando Analise do Financeiro e Documental")</f>
        <v>Mirislei Soares Madalena  |  | Em análise | Aguardando Analise do Financeiro e Documental</v>
      </c>
      <c r="B4271" s="93"/>
    </row>
    <row r="4272">
      <c r="A4272" s="384" t="str">
        <f>IFERROR(__xludf.DUMMYFUNCTION("""COMPUTED_VALUE"""),"Helena Silvia Mathei Sather |  |  | Aguardando Analise do Financeiro e Documental")</f>
        <v>Helena Silvia Mathei Sather |  |  | Aguardando Analise do Financeiro e Documental</v>
      </c>
      <c r="B4272" s="93"/>
    </row>
    <row r="4273">
      <c r="A4273" s="384" t="str">
        <f>IFERROR(__xludf.DUMMYFUNCTION("""COMPUTED_VALUE"""),"João Batista Fontenele Veras | SEGUNDA LICENCIATURA EM MÚSICA - 52M | Aprovado | Franciele: PPs Aprovadas")</f>
        <v>João Batista Fontenele Veras | SEGUNDA LICENCIATURA EM MÚSICA - 52M | Aprovado | Franciele: PPs Aprovadas</v>
      </c>
      <c r="B4273" s="93"/>
    </row>
    <row r="4274">
      <c r="A4274" s="384" t="str">
        <f>IFERROR(__xludf.DUMMYFUNCTION("""COMPUTED_VALUE"""),"Rúbia de Souza Silva | SEGUNDA LICENCIATURA EM SOCIOLOGIA - 55M | Reprovado | Franciele: Aluna encaminhou o trabalho de artes para ser aprovada em sociologia.")</f>
        <v>Rúbia de Souza Silva | SEGUNDA LICENCIATURA EM SOCIOLOGIA - 55M | Reprovado | Franciele: Aluna encaminhou o trabalho de artes para ser aprovada em sociologia.</v>
      </c>
      <c r="B4274" s="93"/>
    </row>
    <row r="4275">
      <c r="A4275" s="384" t="str">
        <f>IFERROR(__xludf.DUMMYFUNCTION("""COMPUTED_VALUE"""),"Fábio José Reis da Silva | #SLMF - Segunda Licenciatura em Música 1320Horas | Em análise | Franciele: Encaminhado para análise, falta a carta de apresentação.")</f>
        <v>Fábio José Reis da Silva | #SLMF - Segunda Licenciatura em Música 1320Horas | Em análise | Franciele: Encaminhado para análise, falta a carta de apresentação.</v>
      </c>
      <c r="B4275" s="93"/>
    </row>
    <row r="4276">
      <c r="A4276" s="384" t="str">
        <f>IFERROR(__xludf.DUMMYFUNCTION("""COMPUTED_VALUE"""),"Jocival Oliveira Melo | #SLHA - Segunda Licenciatura em História | Em análise | Franciele: ""PP I aprovada protocolo respondido 11705
PP II pronta para análise  protocolo 12339
Encaminhado para análise para liberação da correção""")</f>
        <v>Jocival Oliveira Melo | #SLHA - Segunda Licenciatura em História | Em análise | Franciele: "PP I aprovada protocolo respondido 11705
PP II pronta para análise  protocolo 12339
Encaminhado para análise para liberação da correção"</v>
      </c>
      <c r="B4276" s="93"/>
    </row>
    <row r="4277">
      <c r="A4277" s="384" t="str">
        <f>IFERROR(__xludf.DUMMYFUNCTION("""COMPUTED_VALUE"""),"SILVÂNIA CORRÊIA VELOSO | Língua Portuguesa/ Libras | Aprovado | Franciele: PPs aprovadas Aguardando análise do segundo curso para liberar correção pois estão no mesmo email. Resultado não disponibilizado, aluna não tem 6 meses de curso.")</f>
        <v>SILVÂNIA CORRÊIA VELOSO | Língua Portuguesa/ Libras | Aprovado | Franciele: PPs aprovadas Aguardando análise do segundo curso para liberar correção pois estão no mesmo email. Resultado não disponibilizado, aluna não tem 6 meses de curso.</v>
      </c>
      <c r="B4277" s="93"/>
    </row>
    <row r="4278">
      <c r="A4278" s="384" t="str">
        <f>IFERROR(__xludf.DUMMYFUNCTION("""COMPUTED_VALUE"""),"Felipe Reis Rodrigues | Segunda Licenciatura em Musica  | Aprovado | Franciele: PPs aprovadas. Faltam duas parcelas para a quitação Ana liberou a correção.")</f>
        <v>Felipe Reis Rodrigues | Segunda Licenciatura em Musica  | Aprovado | Franciele: PPs aprovadas. Faltam duas parcelas para a quitação Ana liberou a correção.</v>
      </c>
      <c r="B4278" s="93"/>
    </row>
    <row r="4279">
      <c r="A4279" s="384" t="str">
        <f>IFERROR(__xludf.DUMMYFUNCTION("""COMPUTED_VALUE"""),"Antônio Alberto Prata Teodoro | Formação pedagógica em Filosofia | Reprovado | Franciele: Mandou o mesmo trabalho e a carta de apresentação está alterada.")</f>
        <v>Antônio Alberto Prata Teodoro | Formação pedagógica em Filosofia | Reprovado | Franciele: Mandou o mesmo trabalho e a carta de apresentação está alterada.</v>
      </c>
      <c r="B4279" s="93"/>
    </row>
    <row r="4280">
      <c r="A4280" s="384" t="str">
        <f>IFERROR(__xludf.DUMMYFUNCTION("""COMPUTED_VALUE"""),"Antônio Alberto Prata Teodoro | Formação pedagógica em Sociologia | Reprovado | Franciele: Mandou o mesmo trabalho e a carta de apresentação está alterada.")</f>
        <v>Antônio Alberto Prata Teodoro | Formação pedagógica em Sociologia | Reprovado | Franciele: Mandou o mesmo trabalho e a carta de apresentação está alterada.</v>
      </c>
      <c r="B4280" s="93"/>
    </row>
    <row r="4281">
      <c r="A4281" s="384" t="str">
        <f>IFERROR(__xludf.DUMMYFUNCTION("""COMPUTED_VALUE"""),"Antônio Alberto Prata Teodoro | Formação pedagógica em Educação Física | Reprovado | Franciele: Mandou o mesmo trabalho e a carta de apresentação está alterada.")</f>
        <v>Antônio Alberto Prata Teodoro | Formação pedagógica em Educação Física | Reprovado | Franciele: Mandou o mesmo trabalho e a carta de apresentação está alterada.</v>
      </c>
      <c r="B4281" s="93"/>
    </row>
    <row r="4282">
      <c r="A4282" s="384" t="str">
        <f>IFERROR(__xludf.DUMMYFUNCTION("""COMPUTED_VALUE"""),"Antônio Alberto Prata Teodoro | Formação pedagógica em Geografia | Reprovado | Franciele: Mandou o mesmo trabalho e a carta de apresentação está alterada.")</f>
        <v>Antônio Alberto Prata Teodoro | Formação pedagógica em Geografia | Reprovado | Franciele: Mandou o mesmo trabalho e a carta de apresentação está alterada.</v>
      </c>
      <c r="B4282" s="93"/>
    </row>
    <row r="4283">
      <c r="A4283" s="384" t="str">
        <f>IFERROR(__xludf.DUMMYFUNCTION("""COMPUTED_VALUE"""),"Antônio Alberto Prata Teodoro | Formação pedagógica em Ciências da Religião | Reprovado | Franciele: Mandou o mesmo trabalho e a carta de apresentação está alterada.")</f>
        <v>Antônio Alberto Prata Teodoro | Formação pedagógica em Ciências da Religião | Reprovado | Franciele: Mandou o mesmo trabalho e a carta de apresentação está alterada.</v>
      </c>
      <c r="B4283" s="93"/>
    </row>
    <row r="4284">
      <c r="A4284" s="384" t="str">
        <f>IFERROR(__xludf.DUMMYFUNCTION("""COMPUTED_VALUE"""),"Antônio Alberto Prata Teodoro | Formação pedagógica em Educação Especial | Reprovado | Franciele: Mandou o mesmo trabalho e a carta de apresentação está alterada.")</f>
        <v>Antônio Alberto Prata Teodoro | Formação pedagógica em Educação Especial | Reprovado | Franciele: Mandou o mesmo trabalho e a carta de apresentação está alterada.</v>
      </c>
      <c r="B4284" s="93"/>
    </row>
    <row r="4285">
      <c r="A4285" s="384" t="str">
        <f>IFERROR(__xludf.DUMMYFUNCTION("""COMPUTED_VALUE"""),"Wagno Sérgio | Neuropsicopedagogia | Aprovado | Franciele: Faltam parcelas para quitar aguardando o aluno quitar para aprovar o documento e liberar para certificação.")</f>
        <v>Wagno Sérgio | Neuropsicopedagogia | Aprovado | Franciele: Faltam parcelas para quitar aguardando o aluno quitar para aprovar o documento e liberar para certificação.</v>
      </c>
      <c r="B4285" s="93"/>
    </row>
    <row r="4286">
      <c r="A4286" s="384" t="str">
        <f>IFERROR(__xludf.DUMMYFUNCTION("""COMPUTED_VALUE"""),"José Micael Ferreira da Costa | SEGUNDA LICENCIATURA EM MATEMÁTICA - 48M | Aprovado | Franciele: PPs Aprovadas")</f>
        <v>José Micael Ferreira da Costa | SEGUNDA LICENCIATURA EM MATEMÁTICA - 48M | Aprovado | Franciele: PPs Aprovadas</v>
      </c>
      <c r="B4286" s="93"/>
    </row>
    <row r="4287">
      <c r="A4287" s="384" t="str">
        <f>IFERROR(__xludf.DUMMYFUNCTION("""COMPUTED_VALUE"""),"Thais Cristina costa barbosa | #SLPT- Segunda Licenciatura em Pedagogia | Aprovado | Franciele: Sinalizado a aprovação em 28/01/2025")</f>
        <v>Thais Cristina costa barbosa | #SLPT- Segunda Licenciatura em Pedagogia | Aprovado | Franciele: Sinalizado a aprovação em 28/01/2025</v>
      </c>
      <c r="B4287" s="93"/>
    </row>
    <row r="4288">
      <c r="A4288" s="384" t="str">
        <f>IFERROR(__xludf.DUMMYFUNCTION("""COMPUTED_VALUE"""),"Karina Silva de Souza | #SLUP - SEGUNDA LICENCIATURA EM PEDAGOGIA | Aprovado | Franciele: PPs Aprovadas")</f>
        <v>Karina Silva de Souza | #SLUP - SEGUNDA LICENCIATURA EM PEDAGOGIA | Aprovado | Franciele: PPs Aprovadas</v>
      </c>
      <c r="B4288" s="93"/>
    </row>
    <row r="4289">
      <c r="A4289" s="384" t="str">
        <f>IFERROR(__xludf.DUMMYFUNCTION("""COMPUTED_VALUE"""),"Maria do Carmo Rodrigues Pinheiro | Segunda licenciatura em música | Aprovado | Franciele: PPs Aprovadas")</f>
        <v>Maria do Carmo Rodrigues Pinheiro | Segunda licenciatura em música | Aprovado | Franciele: PPs Aprovadas</v>
      </c>
      <c r="B4289" s="93"/>
    </row>
    <row r="4290">
      <c r="A4290" s="384" t="str">
        <f>IFERROR(__xludf.DUMMYFUNCTION("""COMPUTED_VALUE"""),"Ketlin Naiara Machado Pedretti | #FPUM Formação Pedagógica em Matemática | PPaprovadas | Fran: PPaprovadas")</f>
        <v>Ketlin Naiara Machado Pedretti | #FPUM Formação Pedagógica em Matemática | PPaprovadas | Fran: PPaprovadas</v>
      </c>
      <c r="B4290" s="93"/>
    </row>
    <row r="4291">
      <c r="A4291" s="384" t="str">
        <f>IFERROR(__xludf.DUMMYFUNCTION("""COMPUTED_VALUE"""),"Ketlin Naiara Machado Pedretti | #FPUM Formação Pedagógica em Matemática | Feedback enviado com solicitação de correções | Fran: Feedback enviado com solicitação de correções")</f>
        <v>Ketlin Naiara Machado Pedretti | #FPUM Formação Pedagógica em Matemática | Feedback enviado com solicitação de correções | Fran: Feedback enviado com solicitação de correções</v>
      </c>
      <c r="B4291" s="93"/>
    </row>
    <row r="4292">
      <c r="A4292" s="384" t="str">
        <f>IFERROR(__xludf.DUMMYFUNCTION("""COMPUTED_VALUE"""),"Ana Paula dos Santos Dias Braga | #FPULPI- Formação Pedagógica em Letras – Português e Inglês | Orientação pelo chat | Fran: Orientação pelo chat")</f>
        <v>Ana Paula dos Santos Dias Braga | #FPULPI- Formação Pedagógica em Letras – Português e Inglês | Orientação pelo chat | Fran: Orientação pelo chat</v>
      </c>
      <c r="B4292" s="93"/>
    </row>
    <row r="4293">
      <c r="A4293" s="384" t="str">
        <f>IFERROR(__xludf.DUMMYFUNCTION("""COMPUTED_VALUE"""),"Alex Moraes Oliveira | SEGUNDA LICENCIATURA EM MÚSICA - 2024 | Feedback enviado com solicitação de correções | Fran: Feedback enviado com solicitação de correções")</f>
        <v>Alex Moraes Oliveira | SEGUNDA LICENCIATURA EM MÚSICA - 2024 | Feedback enviado com solicitação de correções | Fran: Feedback enviado com solicitação de correções</v>
      </c>
      <c r="B4293" s="93"/>
    </row>
    <row r="4294">
      <c r="A4294" s="384" t="str">
        <f>IFERROR(__xludf.DUMMYFUNCTION("""COMPUTED_VALUE"""),"Elizabete Lima Sousa | Pós-Graduação em Neuropsicopedagogia Institucional, Clínica e Hospitalar 850h | Documento anexado naõ é o relatório de estágio, feedeback enviado a aluna | Fran: Documento anexado naõ é o relatório de estágio, feedeback enviado a al"&amp;"una")</f>
        <v>Elizabete Lima Sousa | Pós-Graduação em Neuropsicopedagogia Institucional, Clínica e Hospitalar 850h | Documento anexado naõ é o relatório de estágio, feedeback enviado a aluna | Fran: Documento anexado naõ é o relatório de estágio, feedeback enviado a aluna</v>
      </c>
      <c r="B4294" s="93"/>
    </row>
    <row r="4295">
      <c r="A4295" s="384" t="str">
        <f>IFERROR(__xludf.DUMMYFUNCTION("""COMPUTED_VALUE"""),"Ana Paula dos Santos Dias Braga | #FPULPI- Formação Pedagógica em Letras – Português e Inglês | Correção feita, trabalho marcado como concluído feedback encaminhado a aluna | Fran: Correção feita, trabalho marcado como concluído feedback encaminhado a alu"&amp;"na")</f>
        <v>Ana Paula dos Santos Dias Braga | #FPULPI- Formação Pedagógica em Letras – Português e Inglês | Correção feita, trabalho marcado como concluído feedback encaminhado a aluna | Fran: Correção feita, trabalho marcado como concluído feedback encaminhado a aluna</v>
      </c>
      <c r="B4295" s="93"/>
    </row>
    <row r="4296">
      <c r="A4296" s="384" t="str">
        <f>IFERROR(__xludf.DUMMYFUNCTION("""COMPUTED_VALUE"""),"Jusley Caroliny Santos Rocha | SEGUNDA LICENCIATURA EM EDUCAÇÃO ESPECIAL  | Aprovada | Fran: Aprovada")</f>
        <v>Jusley Caroliny Santos Rocha | SEGUNDA LICENCIATURA EM EDUCAÇÃO ESPECIAL  | Aprovada | Fran: Aprovada</v>
      </c>
      <c r="B4296" s="93"/>
    </row>
    <row r="4297">
      <c r="A4297" s="384" t="str">
        <f>IFERROR(__xludf.DUMMYFUNCTION("""COMPUTED_VALUE"""),"Jusley Caroliny Santos Rocha |  SEGUNDA LICENCIATURA EM SOCIOLOGIA - 55M | Aprovada | Fran: Aprovada")</f>
        <v>Jusley Caroliny Santos Rocha |  SEGUNDA LICENCIATURA EM SOCIOLOGIA - 55M | Aprovada | Fran: Aprovada</v>
      </c>
      <c r="B4297" s="93"/>
    </row>
    <row r="4298">
      <c r="A4298" s="384" t="str">
        <f>IFERROR(__xludf.DUMMYFUNCTION("""COMPUTED_VALUE"""),"Jusley Caroliny Santos Rocha |  SEGUNDA LICENCIATURA EM CIÊNCIAS DA RELIGIÃO - 66M | Aprovada | Fran: Aprovada")</f>
        <v>Jusley Caroliny Santos Rocha |  SEGUNDA LICENCIATURA EM CIÊNCIAS DA RELIGIÃO - 66M | Aprovada | Fran: Aprovada</v>
      </c>
      <c r="B4298" s="93"/>
    </row>
    <row r="4299">
      <c r="A4299" s="384" t="str">
        <f>IFERROR(__xludf.DUMMYFUNCTION("""COMPUTED_VALUE"""),"Ivone dos Santos Poltranieri Ferreira |  FORMAÇÃO PEDAGÓGICA EM PEDAGOGIA - 40M | Trabalho incompleto, somente entrevista. Aluna orientada a fazer a parte da dissertação. | Fran: Trabalho incompleto, somente entrevista. Aluna orientada a fazer a parte da "&amp;"dissertação.")</f>
        <v>Ivone dos Santos Poltranieri Ferreira |  FORMAÇÃO PEDAGÓGICA EM PEDAGOGIA - 40M | Trabalho incompleto, somente entrevista. Aluna orientada a fazer a parte da dissertação. | Fran: Trabalho incompleto, somente entrevista. Aluna orientada a fazer a parte da dissertação.</v>
      </c>
      <c r="B4299" s="93"/>
    </row>
    <row r="4300">
      <c r="A4300" s="384" t="str">
        <f>IFERROR(__xludf.DUMMYFUNCTION("""COMPUTED_VALUE"""),"Marlla Angélica dos Santos da Costa | SEGUNDA LICENCIATURA HISTÓRIA - 46M | Trabalho corrigido e aprovado. | Fran: Trabalho corrigido e aprovado.")</f>
        <v>Marlla Angélica dos Santos da Costa | SEGUNDA LICENCIATURA HISTÓRIA - 46M | Trabalho corrigido e aprovado. | Fran: Trabalho corrigido e aprovado.</v>
      </c>
      <c r="B4300" s="93"/>
    </row>
    <row r="4301">
      <c r="A4301" s="384" t="str">
        <f>IFERROR(__xludf.DUMMYFUNCTION("""COMPUTED_VALUE"""),"Elaine Cristina Barros | FORMAÇÃO LIVRE EM PSICANÁLISE | Trabalho anexo não se trata do documento solicitado, msg de orientação enviada a aluna. | Fran: Trabalho anexo não se trata do documento solicitado, msg de orientação enviada a aluna.")</f>
        <v>Elaine Cristina Barros | FORMAÇÃO LIVRE EM PSICANÁLISE | Trabalho anexo não se trata do documento solicitado, msg de orientação enviada a aluna. | Fran: Trabalho anexo não se trata do documento solicitado, msg de orientação enviada a aluna.</v>
      </c>
      <c r="B4301" s="93"/>
    </row>
    <row r="4302">
      <c r="A4302" s="384" t="str">
        <f>IFERROR(__xludf.DUMMYFUNCTION("""COMPUTED_VALUE"""),"Santiago dos Santos Santarém | FORMAÇÃO PEDAGÓGICA EM ARTES VISUAIS | O trabalho não está anexo, mas está marcado como conluído no sistema.Mgs enviada ao aluno informando a falta do anexo. | Fran: O trabalho não está anexo, mas está marcado como conluído "&amp;"no sistema.Mgs enviada ao aluno informando a falta do anexo.")</f>
        <v>Santiago dos Santos Santarém | FORMAÇÃO PEDAGÓGICA EM ARTES VISUAIS | O trabalho não está anexo, mas está marcado como conluído no sistema.Mgs enviada ao aluno informando a falta do anexo. | Fran: O trabalho não está anexo, mas está marcado como conluído no sistema.Mgs enviada ao aluno informando a falta do anexo.</v>
      </c>
      <c r="B4302" s="93"/>
    </row>
    <row r="4303">
      <c r="A4303" s="384" t="str">
        <f>IFERROR(__xludf.DUMMYFUNCTION("""COMPUTED_VALUE"""),"Gabriela Ferrari | SEGUNDA LICENCIATURA EM ARTES VISUAIS - 47M | Aprovada | Fran: Aprovada")</f>
        <v>Gabriela Ferrari | SEGUNDA LICENCIATURA EM ARTES VISUAIS - 47M | Aprovada | Fran: Aprovada</v>
      </c>
      <c r="B4303" s="93"/>
    </row>
    <row r="4304">
      <c r="A4304" s="384" t="str">
        <f>IFERROR(__xludf.DUMMYFUNCTION("""COMPUTED_VALUE"""),"Anderson Thiago Passos Veloso | #FPMF- Formação Pedagógica em Música 1200Horas | PP aprovada feedback enviado a aluno | Fran: PP aprovada feedback enviado a aluno")</f>
        <v>Anderson Thiago Passos Veloso | #FPMF- Formação Pedagógica em Música 1200Horas | PP aprovada feedback enviado a aluno | Fran: PP aprovada feedback enviado a aluno</v>
      </c>
      <c r="B4304" s="93"/>
    </row>
    <row r="4305">
      <c r="A4305" s="384" t="str">
        <f>IFERROR(__xludf.DUMMYFUNCTION("""COMPUTED_VALUE"""),"Elisangela Coutinho da Cunha |  SEGUNDA LICENCIATURA EM EDUCAÇÃO ESPECIAL | PP aprovada feedback enviado a aluno | Fran: PP aprovada feedback enviado a aluno")</f>
        <v>Elisangela Coutinho da Cunha |  SEGUNDA LICENCIATURA EM EDUCAÇÃO ESPECIAL | PP aprovada feedback enviado a aluno | Fran: PP aprovada feedback enviado a aluno</v>
      </c>
      <c r="B4305" s="93"/>
    </row>
    <row r="4306">
      <c r="A4306" s="384" t="str">
        <f>IFERROR(__xludf.DUMMYFUNCTION("""COMPUTED_VALUE"""),"Kelley Adriana Lopes Martins | Pós-Graduação Educação Especial e Inclusiva | Falta a bibliografia e os alterar documentos em formato PDF. | Fran: Falta a bibliografia e os alterar documentos em formato PDF.")</f>
        <v>Kelley Adriana Lopes Martins | Pós-Graduação Educação Especial e Inclusiva | Falta a bibliografia e os alterar documentos em formato PDF. | Fran: Falta a bibliografia e os alterar documentos em formato PDF.</v>
      </c>
      <c r="B4306" s="93"/>
    </row>
    <row r="4307">
      <c r="A4307" s="384" t="str">
        <f>IFERROR(__xludf.DUMMYFUNCTION("""COMPUTED_VALUE"""),"Antônio Alberto Prata Teodoro | Vários cursos | O trabalho anexado não se refere a nenhum curso que o estudante esteja matriculado. | Fran: O trabalho anexado não se refere a nenhum curso que o estudante esteja matriculado.")</f>
        <v>Antônio Alberto Prata Teodoro | Vários cursos | O trabalho anexado não se refere a nenhum curso que o estudante esteja matriculado. | Fran: O trabalho anexado não se refere a nenhum curso que o estudante esteja matriculado.</v>
      </c>
      <c r="B4307" s="93"/>
    </row>
    <row r="4308">
      <c r="A4308" s="384" t="str">
        <f>IFERROR(__xludf.DUMMYFUNCTION("""COMPUTED_VALUE"""),"Anderson José Francisco Silva | SEGUNDA LICENCIATURA EM FILOSOFIA - 72M | Solicitação de correção  | Fran: Solicitação de correção ")</f>
        <v>Anderson José Francisco Silva | SEGUNDA LICENCIATURA EM FILOSOFIA - 72M | Solicitação de correção  | Fran: Solicitação de correção </v>
      </c>
      <c r="B4308" s="93"/>
    </row>
    <row r="4309">
      <c r="A4309" s="384" t="str">
        <f>IFERROR(__xludf.DUMMYFUNCTION("""COMPUTED_VALUE"""),"Leonardo Inácio Pereira | Pedagogia | Solicitação de verificação do financeiro/ LIberado em 19/12 | Fran: Solicitação de verificação do financeiro/ LIberado em 19/12")</f>
        <v>Leonardo Inácio Pereira | Pedagogia | Solicitação de verificação do financeiro/ LIberado em 19/12 | Fran: Solicitação de verificação do financeiro/ LIberado em 19/12</v>
      </c>
      <c r="B4309" s="93"/>
    </row>
    <row r="4310">
      <c r="A4310" s="384" t="str">
        <f>IFERROR(__xludf.DUMMYFUNCTION("""COMPUTED_VALUE"""),"GIOVANA CRISTIANE DOS SANTOS FERREIRA | Pós-Graduação em Neuropsicopedagogia Institucional, Clínica e Hospitalar 850h | ok Financeiro. Não mandou a documentação completa de estágio. Orientação enviada no chat e por email. | Fran: ok Financeiro. Não mandou"&amp;" a documentação completa de estágio. Orientação enviada no chat e por email.")</f>
        <v>GIOVANA CRISTIANE DOS SANTOS FERREIRA | Pós-Graduação em Neuropsicopedagogia Institucional, Clínica e Hospitalar 850h | ok Financeiro. Não mandou a documentação completa de estágio. Orientação enviada no chat e por email. | Fran: ok Financeiro. Não mandou a documentação completa de estágio. Orientação enviada no chat e por email.</v>
      </c>
      <c r="B4310" s="93"/>
    </row>
    <row r="4311">
      <c r="A4311" s="384" t="str">
        <f>IFERROR(__xludf.DUMMYFUNCTION("""COMPUTED_VALUE"""),"Acidália Vaz Sampaio Neta Moura | Pedagogia | Solicitação de verificação do financeiro | Fran: Solicitação de verificação do financeiro")</f>
        <v>Acidália Vaz Sampaio Neta Moura | Pedagogia | Solicitação de verificação do financeiro | Fran: Solicitação de verificação do financeiro</v>
      </c>
      <c r="B4311" s="93"/>
    </row>
    <row r="4312">
      <c r="A4312" s="384" t="str">
        <f>IFERROR(__xludf.DUMMYFUNCTION("""COMPUTED_VALUE"""),"Pollyanna Sela | #FPMF- Formação Pedagógica em Música 1200Horas | Solicitação de verificação do financeiro/Liberado em 05/12 | Fran: Solicitação de verificação do financeiro/Liberado em 05/12")</f>
        <v>Pollyanna Sela | #FPMF- Formação Pedagógica em Música 1200Horas | Solicitação de verificação do financeiro/Liberado em 05/12 | Fran: Solicitação de verificação do financeiro/Liberado em 05/12</v>
      </c>
      <c r="B4312" s="93"/>
    </row>
    <row r="4313">
      <c r="A4313" s="384" t="str">
        <f>IFERROR(__xludf.DUMMYFUNCTION("""COMPUTED_VALUE"""),"Anderson José Francisco Silva | SEGUNDA LICENCIATURA EM FILOSOFIA - 72M | PP aprovadas I e II | Fran: PP aprovadas I e II")</f>
        <v>Anderson José Francisco Silva | SEGUNDA LICENCIATURA EM FILOSOFIA - 72M | PP aprovadas I e II | Fran: PP aprovadas I e II</v>
      </c>
      <c r="B4313" s="93"/>
    </row>
    <row r="4314">
      <c r="A4314" s="384" t="str">
        <f>IFERROR(__xludf.DUMMYFUNCTION("""COMPUTED_VALUE"""),"Luciano Machado da Silva | SEGUNDA LICENCIATURA EM Música | Aprovado | Fran: Aprovado")</f>
        <v>Luciano Machado da Silva | SEGUNDA LICENCIATURA EM Música | Aprovado | Fran: Aprovado</v>
      </c>
      <c r="B4314" s="93"/>
    </row>
    <row r="4315">
      <c r="A4315" s="384" t="str">
        <f>IFERROR(__xludf.DUMMYFUNCTION("""COMPUTED_VALUE"""),"Valberto Ferreira da Silva | SEGUNDA LICENCIATURA EM MÚSICA - 2024 | Soliitação de verificação financeiro Há trechos de plágio no trabalho. Além disso, falta capa e referências bibliográficas feedback enviado ao aluno. | Fran: Soliitação de verificação fi"&amp;"nanceiro Há trechos de plágio no trabalho. Além disso, falta capa e referências bibliográficas feedback enviado ao aluno.")</f>
        <v>Valberto Ferreira da Silva | SEGUNDA LICENCIATURA EM MÚSICA - 2024 | Soliitação de verificação financeiro Há trechos de plágio no trabalho. Além disso, falta capa e referências bibliográficas feedback enviado ao aluno. | Fran: Soliitação de verificação financeiro Há trechos de plágio no trabalho. Além disso, falta capa e referências bibliográficas feedback enviado ao aluno.</v>
      </c>
      <c r="B4315" s="93"/>
    </row>
    <row r="4316">
      <c r="A4316" s="384" t="str">
        <f>IFERROR(__xludf.DUMMYFUNCTION("""COMPUTED_VALUE"""),"Pollyanna Sela | #FPMF- Formação Pedagógica em Música 2022 | Feedback enviado a estudante conteúdo não anexado na plataforma. Plataforma ok. | Fran: Feedback enviado a estudante conteúdo não anexado na plataforma. Plataforma ok.")</f>
        <v>Pollyanna Sela | #FPMF- Formação Pedagógica em Música 2022 | Feedback enviado a estudante conteúdo não anexado na plataforma. Plataforma ok. | Fran: Feedback enviado a estudante conteúdo não anexado na plataforma. Plataforma ok.</v>
      </c>
      <c r="B4316" s="93"/>
    </row>
    <row r="4317">
      <c r="A4317" s="384" t="str">
        <f>IFERROR(__xludf.DUMMYFUNCTION("""COMPUTED_VALUE"""),"Vinícius de Oliveira Melo | #SLLET1 - SEGUNDA LICENCIATURA EM LETRAS-PORTUGUÊS/ESPANHOL | Solicitação de encaminhamento de documentos comprobatórios feita ao estudante | Fran: Solicitação de encaminhamento de documentos comprobatórios feita ao estudante")</f>
        <v>Vinícius de Oliveira Melo | #SLLET1 - SEGUNDA LICENCIATURA EM LETRAS-PORTUGUÊS/ESPANHOL | Solicitação de encaminhamento de documentos comprobatórios feita ao estudante | Fran: Solicitação de encaminhamento de documentos comprobatórios feita ao estudante</v>
      </c>
      <c r="B4317" s="93"/>
    </row>
    <row r="4318">
      <c r="A4318" s="384" t="str">
        <f>IFERROR(__xludf.DUMMYFUNCTION("""COMPUTED_VALUE"""),"Vinícius de Oliveira Melo | #SLLET1 - SEGUNDA LICENCIATURA EM LETRAS-PORTUGUÊS/ESPANHOL | Solicitação de verificação de financeiro, ok correção realizada hoje. | Fran: Solicitação de verificação de financeiro, ok correção realizada hoje.")</f>
        <v>Vinícius de Oliveira Melo | #SLLET1 - SEGUNDA LICENCIATURA EM LETRAS-PORTUGUÊS/ESPANHOL | Solicitação de verificação de financeiro, ok correção realizada hoje. | Fran: Solicitação de verificação de financeiro, ok correção realizada hoje.</v>
      </c>
      <c r="B4318" s="93"/>
    </row>
    <row r="4319">
      <c r="A4319" s="384" t="str">
        <f>IFERROR(__xludf.DUMMYFUNCTION("""COMPUTED_VALUE"""),"William Marques de Souza | Segunda licenciatura em física | Reclamações sobre os documentos necessários para conclusão de estágio. | Fran: Reclamações sobre os documentos necessários para conclusão de estágio.")</f>
        <v>William Marques de Souza | Segunda licenciatura em física | Reclamações sobre os documentos necessários para conclusão de estágio. | Fran: Reclamações sobre os documentos necessários para conclusão de estágio.</v>
      </c>
      <c r="B4319" s="93"/>
    </row>
    <row r="4320">
      <c r="A4320" s="384" t="str">
        <f>IFERROR(__xludf.DUMMYFUNCTION("""COMPUTED_VALUE"""),"GIOVANA CRISTIANE DOS SANTOS FERREIRA | PÓS-GRADUAÇÃO EM NEUROPSICOLOGIA CLÍNICA | Faltam documentos comprobatórios, solicitação encaminhada a aluna. | Fran: Faltam documentos comprobatórios, solicitação encaminhada a aluna.")</f>
        <v>GIOVANA CRISTIANE DOS SANTOS FERREIRA | PÓS-GRADUAÇÃO EM NEUROPSICOLOGIA CLÍNICA | Faltam documentos comprobatórios, solicitação encaminhada a aluna. | Fran: Faltam documentos comprobatórios, solicitação encaminhada a aluna.</v>
      </c>
      <c r="B4320" s="93"/>
    </row>
    <row r="4321">
      <c r="A4321" s="384" t="str">
        <f>IFERROR(__xludf.DUMMYFUNCTION("""COMPUTED_VALUE"""),"Bruno Pontes da Costa | Letras Português e LIBRAS | Aprovado | Fran: Aprovado")</f>
        <v>Bruno Pontes da Costa | Letras Português e LIBRAS | Aprovado | Fran: Aprovado</v>
      </c>
      <c r="B4321" s="93"/>
    </row>
    <row r="4322">
      <c r="A4322" s="384" t="str">
        <f>IFERROR(__xludf.DUMMYFUNCTION("""COMPUTED_VALUE"""),"Paulo Henrique Antonini | #FPMF- Formação Pedagógica em Música 2022 | Solicitação de verificação de financeiro. | Fran: Solicitação de verificação de financeiro.")</f>
        <v>Paulo Henrique Antonini | #FPMF- Formação Pedagógica em Música 2022 | Solicitação de verificação de financeiro. | Fran: Solicitação de verificação de financeiro.</v>
      </c>
      <c r="B4322" s="93"/>
    </row>
    <row r="4323">
      <c r="A4323" s="384" t="str">
        <f>IFERROR(__xludf.DUMMYFUNCTION("""COMPUTED_VALUE"""),"Jusley Caroliny Santos Rocha | SEGUNDA LICENCIATURA EM CIÊNCIAS DA RELIGIÃO - 66M | Aprovado | Fran: Aprovado")</f>
        <v>Jusley Caroliny Santos Rocha | SEGUNDA LICENCIATURA EM CIÊNCIAS DA RELIGIÃO - 66M | Aprovado | Fran: Aprovado</v>
      </c>
      <c r="B4323" s="93"/>
    </row>
    <row r="4324">
      <c r="A4324" s="384" t="str">
        <f>IFERROR(__xludf.DUMMYFUNCTION("""COMPUTED_VALUE"""),"Jusley Caroliny Santos Rocha | SEGUNDA LICENCIATURA EM SOCIOLOGIA - 55M | Aprovado | Fran: Aprovado")</f>
        <v>Jusley Caroliny Santos Rocha | SEGUNDA LICENCIATURA EM SOCIOLOGIA - 55M | Aprovado | Fran: Aprovado</v>
      </c>
      <c r="B4324" s="93"/>
    </row>
    <row r="4325">
      <c r="A4325" s="384" t="str">
        <f>IFERROR(__xludf.DUMMYFUNCTION("""COMPUTED_VALUE"""),"Jusley Caroliny Santos Rocha | SEGUNDA LICENCIATURA EM EDUCAÇÃO ESPECIAL - 41M | Aprovado | Fran: Aprovado")</f>
        <v>Jusley Caroliny Santos Rocha | SEGUNDA LICENCIATURA EM EDUCAÇÃO ESPECIAL - 41M | Aprovado | Fran: Aprovado</v>
      </c>
      <c r="B4325" s="93"/>
    </row>
    <row r="4326">
      <c r="A4326" s="384" t="str">
        <f>IFERROR(__xludf.DUMMYFUNCTION("""COMPUTED_VALUE"""),"Pollyanna Sela | #FPMF- Formação Pedagógica em Música 2022 | Aprovado práticas pedagógicas II- Práticas I e TCC arquivo não abre. Feedback para aluna na plataforma e no chat. | Fran: Aprovado práticas pedagógicas II- Práticas I e TCC arquivo não abre. Fee"&amp;"dback para aluna na plataforma e no chat.")</f>
        <v>Pollyanna Sela | #FPMF- Formação Pedagógica em Música 2022 | Aprovado práticas pedagógicas II- Práticas I e TCC arquivo não abre. Feedback para aluna na plataforma e no chat. | Fran: Aprovado práticas pedagógicas II- Práticas I e TCC arquivo não abre. Feedback para aluna na plataforma e no chat.</v>
      </c>
      <c r="B4326" s="93"/>
    </row>
    <row r="4327">
      <c r="A4327" s="384" t="str">
        <f>IFERROR(__xludf.DUMMYFUNCTION("""COMPUTED_VALUE"""),"Luciana Villela Patrício | Pedagogia para Bacharéis | Correção do quadro de atividades e orientação para finalização do portifólio no Chat e na plataforma em resposta ao protocolo. | Fran: Correção do quadro de atividades e orientação para finalização do "&amp;"portifólio no Chat e na plataforma em resposta ao protocolo.")</f>
        <v>Luciana Villela Patrício | Pedagogia para Bacharéis | Correção do quadro de atividades e orientação para finalização do portifólio no Chat e na plataforma em resposta ao protocolo. | Fran: Correção do quadro de atividades e orientação para finalização do portifólio no Chat e na plataforma em resposta ao protocolo.</v>
      </c>
      <c r="B4327" s="93"/>
    </row>
    <row r="4328">
      <c r="A4328" s="384" t="str">
        <f>IFERROR(__xludf.DUMMYFUNCTION("""COMPUTED_VALUE"""),"Tania Carneiro da Rosa Dias | Pedagogia segunda licenciatura | Trabalho corrigido e aprovado | Fran: Trabalho corrigido e aprovado")</f>
        <v>Tania Carneiro da Rosa Dias | Pedagogia segunda licenciatura | Trabalho corrigido e aprovado | Fran: Trabalho corrigido e aprovado</v>
      </c>
      <c r="B4328" s="93"/>
    </row>
    <row r="4329">
      <c r="A4329" s="384" t="str">
        <f>IFERROR(__xludf.DUMMYFUNCTION("""COMPUTED_VALUE"""),"Jusley Caroliny Santos Rocha | #SLUPI - SEGUNDA LICENCIATURA EM LETRAS – PORTUGUÊS E INGLÊS | Corrigido Aprovada | Fran: Corrigido Aprovada")</f>
        <v>Jusley Caroliny Santos Rocha | #SLUPI - SEGUNDA LICENCIATURA EM LETRAS – PORTUGUÊS E INGLÊS | Corrigido Aprovada | Fran: Corrigido Aprovada</v>
      </c>
      <c r="B4329" s="93"/>
    </row>
    <row r="4330">
      <c r="A4330" s="384" t="str">
        <f>IFERROR(__xludf.DUMMYFUNCTION("""COMPUTED_VALUE"""),"Vanessa de Mauro Pitta | #FPP- Formação Pedagógica em Pedagogia R2	 | PP I e II corrigida aluna aprovada | Fran: PP I e II corrigida aluna aprovada")</f>
        <v>Vanessa de Mauro Pitta | #FPP- Formação Pedagógica em Pedagogia R2	 | PP I e II corrigida aluna aprovada | Fran: PP I e II corrigida aluna aprovada</v>
      </c>
      <c r="B4330" s="93"/>
    </row>
    <row r="4331">
      <c r="A4331" s="384" t="str">
        <f>IFERROR(__xludf.DUMMYFUNCTION("""COMPUTED_VALUE"""),"Vanessa de Mauro Pitta | #FPP- Formação Pedagógica em Pedagogia R2	 | Comunicação de aprovação | Fran: Comunicação de aprovação")</f>
        <v>Vanessa de Mauro Pitta | #FPP- Formação Pedagógica em Pedagogia R2	 | Comunicação de aprovação | Fran: Comunicação de aprovação</v>
      </c>
      <c r="B4331" s="93"/>
    </row>
    <row r="4332">
      <c r="A4332" s="384" t="str">
        <f>IFERROR(__xludf.DUMMYFUNCTION("""COMPUTED_VALUE"""),"Pollyanna Sela | #FPMF- Formação Pedagógica em Música 2022	 | Correção de TCC Feedback encaminhado ao aluno e encaminhamento para certificação. | Fran: Correção de TCC Feedback encaminhado ao aluno e encaminhamento para certificação.")</f>
        <v>Pollyanna Sela | #FPMF- Formação Pedagógica em Música 2022	 | Correção de TCC Feedback encaminhado ao aluno e encaminhamento para certificação. | Fran: Correção de TCC Feedback encaminhado ao aluno e encaminhamento para certificação.</v>
      </c>
      <c r="B4332" s="93"/>
    </row>
    <row r="4333">
      <c r="A4333" s="384" t="str">
        <f>IFERROR(__xludf.DUMMYFUNCTION("""COMPUTED_VALUE"""),"Pollyanna Sela | #FPMF- Formação Pedagógica em Música 2022	 | Correção realizada aluna Aprovada feedback encaminhado. | Fran: Correção realizada aluna Aprovada feedback encaminhado.")</f>
        <v>Pollyanna Sela | #FPMF- Formação Pedagógica em Música 2022	 | Correção realizada aluna Aprovada feedback encaminhado. | Fran: Correção realizada aluna Aprovada feedback encaminhado.</v>
      </c>
      <c r="B4333" s="93"/>
    </row>
    <row r="4334">
      <c r="A4334" s="384" t="str">
        <f>IFERROR(__xludf.DUMMYFUNCTION("""COMPUTED_VALUE"""),"Marlene Barbosa Lima | #SLMF - Segunda Licenciatura em Música 1320Horas | Corrigido e aprovado. Feedback enviado e encaminhamento para certificação. | Fran: Corrigido e aprovado. Feedback enviado e encaminhamento para certificação.")</f>
        <v>Marlene Barbosa Lima | #SLMF - Segunda Licenciatura em Música 1320Horas | Corrigido e aprovado. Feedback enviado e encaminhamento para certificação. | Fran: Corrigido e aprovado. Feedback enviado e encaminhamento para certificação.</v>
      </c>
      <c r="B4334" s="93"/>
    </row>
    <row r="4335">
      <c r="A4335" s="384" t="str">
        <f>IFERROR(__xludf.DUMMYFUNCTION("""COMPUTED_VALUE"""),"Marlene Barbosa Lima | #SLMF - Segunda Licenciatura em Música 1320Horas | Retorno sobre correções. | Fran: Retorno sobre correções.")</f>
        <v>Marlene Barbosa Lima | #SLMF - Segunda Licenciatura em Música 1320Horas | Retorno sobre correções. | Fran: Retorno sobre correções.</v>
      </c>
      <c r="B4335" s="93"/>
    </row>
    <row r="4336">
      <c r="A4336" s="384" t="str">
        <f>IFERROR(__xludf.DUMMYFUNCTION("""COMPUTED_VALUE"""),"Arnaldo Barros dos Santos | Educação Física | Solicitação de correção de PP encaminhado para análise financeiro  | Fran: Solicitação de correção de PP encaminhado para análise financeiro ")</f>
        <v>Arnaldo Barros dos Santos | Educação Física | Solicitação de correção de PP encaminhado para análise financeiro  | Fran: Solicitação de correção de PP encaminhado para análise financeiro </v>
      </c>
      <c r="B4336" s="93"/>
    </row>
    <row r="4337">
      <c r="A4337" s="384" t="str">
        <f>IFERROR(__xludf.DUMMYFUNCTION("""COMPUTED_VALUE"""),"Marcio Vinicius de carvalho dias | Pedagogia  | Solicitação de correção aluno apenas preencheu o guia e manteve todo o texto original. | Fran: Solicitação de correção aluno apenas preencheu o guia e manteve todo o texto original.")</f>
        <v>Marcio Vinicius de carvalho dias | Pedagogia  | Solicitação de correção aluno apenas preencheu o guia e manteve todo o texto original. | Fran: Solicitação de correção aluno apenas preencheu o guia e manteve todo o texto original.</v>
      </c>
      <c r="B4337" s="93"/>
    </row>
    <row r="4338">
      <c r="A4338" s="384" t="str">
        <f>IFERROR(__xludf.DUMMYFUNCTION("""COMPUTED_VALUE"""),"Gabriela Ortiz da Rosa Barbosa Jacoby | Licenciatura em Pedagogia e Licenciatura em Letras portugês/inglês. | Aluna enviou um único trabalho para os dois cursos. A aluna foi orientada a encaminhar trabalhos distintos conforme as orientações. | Fran: Aluna"&amp;" enviou um único trabalho para os dois cursos. A aluna foi orientada a encaminhar trabalhos distintos conforme as orientações.")</f>
        <v>Gabriela Ortiz da Rosa Barbosa Jacoby | Licenciatura em Pedagogia e Licenciatura em Letras portugês/inglês. | Aluna enviou um único trabalho para os dois cursos. A aluna foi orientada a encaminhar trabalhos distintos conforme as orientações. | Fran: Aluna enviou um único trabalho para os dois cursos. A aluna foi orientada a encaminhar trabalhos distintos conforme as orientações.</v>
      </c>
      <c r="B4338" s="93"/>
    </row>
    <row r="4339">
      <c r="A4339" s="384" t="str">
        <f>IFERROR(__xludf.DUMMYFUNCTION("""COMPUTED_VALUE"""),"Ana Paula dos Santos Dias Braga. | Formação pedagógica em letras - português, inglês | Correção realizada aluna Aprovada | Fran: Correção realizada aluna Aprovada")</f>
        <v>Ana Paula dos Santos Dias Braga. | Formação pedagógica em letras - português, inglês | Correção realizada aluna Aprovada | Fran: Correção realizada aluna Aprovada</v>
      </c>
      <c r="B4339" s="93"/>
    </row>
    <row r="4340">
      <c r="A4340" s="384" t="str">
        <f>IFERROR(__xludf.DUMMYFUNCTION("""COMPUTED_VALUE"""),"Acidália Vaz Sampaio Neta Moura | #FPUP-FORMAÇÃO PEDAGÓGICA EM PEDAGOGIA | Aluna ok com financeiro encaminhada pelo chat | Fran: Aluna ok com financeiro encaminhada pelo chat")</f>
        <v>Acidália Vaz Sampaio Neta Moura | #FPUP-FORMAÇÃO PEDAGÓGICA EM PEDAGOGIA | Aluna ok com financeiro encaminhada pelo chat | Fran: Aluna ok com financeiro encaminhada pelo chat</v>
      </c>
      <c r="B4340" s="93"/>
    </row>
    <row r="4341">
      <c r="A4341" s="384" t="str">
        <f>IFERROR(__xludf.DUMMYFUNCTION("""COMPUTED_VALUE"""),"Acidália Vaz Sampaio Neta Moura | #FPUP-FORMAÇÃO PEDAGÓGICA EM PEDAGOGIA | Aluna Aprovada PP I e II feedback no sistema e para a aluna no chat | Fran: Aluna Aprovada PP I e II feedback no sistema e para a aluna no chat")</f>
        <v>Acidália Vaz Sampaio Neta Moura | #FPUP-FORMAÇÃO PEDAGÓGICA EM PEDAGOGIA | Aluna Aprovada PP I e II feedback no sistema e para a aluna no chat | Fran: Aluna Aprovada PP I e II feedback no sistema e para a aluna no chat</v>
      </c>
      <c r="B4341" s="93"/>
    </row>
    <row r="4342">
      <c r="A4342" s="384" t="str">
        <f>IFERROR(__xludf.DUMMYFUNCTION("""COMPUTED_VALUE"""),"Ketlin Naiara Machado Pedretti | #FPUM Formação Pedagógica em Matemática | Aluna ok com financeiro encaminhada pelo chat | Fran: Aluna ok com financeiro encaminhada pelo chat")</f>
        <v>Ketlin Naiara Machado Pedretti | #FPUM Formação Pedagógica em Matemática | Aluna ok com financeiro encaminhada pelo chat | Fran: Aluna ok com financeiro encaminhada pelo chat</v>
      </c>
      <c r="B4342" s="93"/>
    </row>
    <row r="4343">
      <c r="A4343" s="384" t="str">
        <f>IFERROR(__xludf.DUMMYFUNCTION("""COMPUTED_VALUE"""),"Ketlin Naiara Machado Pedretti | #FPUM Formação Pedagógica em Matemática | Aluna Aprovada PP I e II feedback no sistema e para a aluna no chat | Fran: Aluna Aprovada PP I e II feedback no sistema e para a aluna no chat")</f>
        <v>Ketlin Naiara Machado Pedretti | #FPUM Formação Pedagógica em Matemática | Aluna Aprovada PP I e II feedback no sistema e para a aluna no chat | Fran: Aluna Aprovada PP I e II feedback no sistema e para a aluna no chat</v>
      </c>
      <c r="B4343" s="93"/>
    </row>
    <row r="4344">
      <c r="A4344" s="384" t="str">
        <f>IFERROR(__xludf.DUMMYFUNCTION("""COMPUTED_VALUE"""),"Leonardo Inácio Pereira | SEGUNDA LICENCIATURA PEDAGOGIA - 2024 | Horas complementares aprovadas, feedback na plataforma e para o aluno. | Fran: Horas complementares aprovadas, feedback na plataforma e para o aluno.")</f>
        <v>Leonardo Inácio Pereira | SEGUNDA LICENCIATURA PEDAGOGIA - 2024 | Horas complementares aprovadas, feedback na plataforma e para o aluno. | Fran: Horas complementares aprovadas, feedback na plataforma e para o aluno.</v>
      </c>
      <c r="B4344" s="93"/>
    </row>
    <row r="4345">
      <c r="A4345" s="384" t="str">
        <f>IFERROR(__xludf.DUMMYFUNCTION("""COMPUTED_VALUE"""),"Juliana Martins Pinheiro Gonçalves | #FPUP-FORMAÇÃO PEDAGÓGICA EM PEDAGOGIA- U | Já havia sido corrigido e aprovado. | Fran: Já havia sido corrigido e aprovado.")</f>
        <v>Juliana Martins Pinheiro Gonçalves | #FPUP-FORMAÇÃO PEDAGÓGICA EM PEDAGOGIA- U | Já havia sido corrigido e aprovado. | Fran: Já havia sido corrigido e aprovado.</v>
      </c>
      <c r="B4345" s="93"/>
    </row>
    <row r="4346">
      <c r="A4346" s="384" t="str">
        <f>IFERROR(__xludf.DUMMYFUNCTION("""COMPUTED_VALUE"""),"Siro de oliveira santos | #SLMF - Segunda Licenciatura em Música 1320Horas | Solicitação de análise financeiro  | Fran: Solicitação de análise financeiro ")</f>
        <v>Siro de oliveira santos | #SLMF - Segunda Licenciatura em Música 1320Horas | Solicitação de análise financeiro  | Fran: Solicitação de análise financeiro </v>
      </c>
      <c r="B4346" s="93"/>
    </row>
    <row r="4347">
      <c r="A4347" s="384" t="str">
        <f>IFERROR(__xludf.DUMMYFUNCTION("""COMPUTED_VALUE"""),"Edna Fernandes de Queiroz | #SLPA- Segunda Licenciatura em Pedagogia 01 | Envio do guia e orientação para postagem TCC 6,6 | Fran: Envio do guia e orientação para postagem TCC 6,6")</f>
        <v>Edna Fernandes de Queiroz | #SLPA- Segunda Licenciatura em Pedagogia 01 | Envio do guia e orientação para postagem TCC 6,6 | Fran: Envio do guia e orientação para postagem TCC 6,6</v>
      </c>
      <c r="B4347" s="93"/>
    </row>
    <row r="4348">
      <c r="A4348" s="384" t="str">
        <f>IFERROR(__xludf.DUMMYFUNCTION("""COMPUTED_VALUE"""),"Natália Fernandes Birches Lopes | #FPUP-FORMAÇÃO PEDAGÓGICA EM PEDAGOGIA- U | Aluna fez as correções necessárias e anexou o documento necessário. | Fran: Aluna fez as correções necessárias e anexou o documento necessário.")</f>
        <v>Natália Fernandes Birches Lopes | #FPUP-FORMAÇÃO PEDAGÓGICA EM PEDAGOGIA- U | Aluna fez as correções necessárias e anexou o documento necessário. | Fran: Aluna fez as correções necessárias e anexou o documento necessário.</v>
      </c>
      <c r="B4348" s="93"/>
    </row>
    <row r="4349">
      <c r="A4349" s="384" t="str">
        <f>IFERROR(__xludf.DUMMYFUNCTION("""COMPUTED_VALUE"""),"Guilherme Martinez Freire | Pós-Graduação em Educação Física Escolar e Treinamento Desportivo
#FPEEF- Formação Pedagógica Educação Física	 | Aluno aprovado encaminhado para a certificação. | Fran: Aluno aprovado encaminhado para a certificação.")</f>
        <v>Guilherme Martinez Freire | Pós-Graduação em Educação Física Escolar e Treinamento Desportivo
#FPEEF- Formação Pedagógica Educação Física	 | Aluno aprovado encaminhado para a certificação. | Fran: Aluno aprovado encaminhado para a certificação.</v>
      </c>
      <c r="B4349" s="93"/>
    </row>
    <row r="4350">
      <c r="A4350" s="384" t="str">
        <f>IFERROR(__xludf.DUMMYFUNCTION("""COMPUTED_VALUE"""),"Elizabete Lima Sousa | Pós-Graduação em Neuropsicopedagogia Institucional, Clínica e Hospitalar 850h | Não foi encaminhada a documentação completa. 57,7% de plágio no relatório. | Fran: Não foi encaminhada a documentação completa. 57,7% de plágio no relat"&amp;"ório.")</f>
        <v>Elizabete Lima Sousa | Pós-Graduação em Neuropsicopedagogia Institucional, Clínica e Hospitalar 850h | Não foi encaminhada a documentação completa. 57,7% de plágio no relatório. | Fran: Não foi encaminhada a documentação completa. 57,7% de plágio no relatório.</v>
      </c>
      <c r="B4350" s="93"/>
    </row>
    <row r="4351">
      <c r="A4351" s="384" t="str">
        <f>IFERROR(__xludf.DUMMYFUNCTION("""COMPUTED_VALUE"""),"Tiago Augusto Gasparotto
 | Formação Livre Psicanálise  e #SLPT- Segunda Licenciatura em Pedagogia | PP I e II aprovadas. | Fran: PP I e II aprovadas.")</f>
        <v>Tiago Augusto Gasparotto
 | Formação Livre Psicanálise  e #SLPT- Segunda Licenciatura em Pedagogia | PP I e II aprovadas. | Fran: PP I e II aprovadas.</v>
      </c>
      <c r="B4351" s="93"/>
    </row>
    <row r="4352">
      <c r="A4352" s="384" t="str">
        <f>IFERROR(__xludf.DUMMYFUNCTION("""COMPUTED_VALUE"""),"Flavio Roberto Dutra de Oliveira
 | SEGUNDA LICENCIATURA EM PEDAGOGIA - 37M | PPs I e II reprovadas. Documento sem formatação muitos erros de ortografia. Enviado com comentários para correção e reenvio pelo aluno. | Fran: PPs I e II reprovadas. Documento "&amp;"sem formatação muitos erros de ortografia. Enviado com comentários para correção e reenvio pelo aluno.")</f>
        <v>Flavio Roberto Dutra de Oliveira
 | SEGUNDA LICENCIATURA EM PEDAGOGIA - 37M | PPs I e II reprovadas. Documento sem formatação muitos erros de ortografia. Enviado com comentários para correção e reenvio pelo aluno. | Fran: PPs I e II reprovadas. Documento sem formatação muitos erros de ortografia. Enviado com comentários para correção e reenvio pelo aluno.</v>
      </c>
      <c r="B4352" s="93"/>
    </row>
    <row r="4353">
      <c r="A4353" s="384" t="str">
        <f>IFERROR(__xludf.DUMMYFUNCTION("""COMPUTED_VALUE"""),"Fabiane Jevinski | 	#SLLIA - Segunda Licenciatura em Letras Inglês 760Horas | PPI Aprovado PP II falata carta de apresentação cmunicado a aluna. | Fran: PPI Aprovado PP II falata carta de apresentação cmunicado a aluna.")</f>
        <v>Fabiane Jevinski | 	#SLLIA - Segunda Licenciatura em Letras Inglês 760Horas | PPI Aprovado PP II falata carta de apresentação cmunicado a aluna. | Fran: PPI Aprovado PP II falata carta de apresentação cmunicado a aluna.</v>
      </c>
      <c r="B4353" s="93"/>
    </row>
    <row r="4354">
      <c r="A4354" s="384" t="str">
        <f>IFERROR(__xludf.DUMMYFUNCTION("""COMPUTED_VALUE"""),"Josemir José da Silva | #FPUH- Formação Pedagógica em História | PPs Aprovadas | Fran: PPs Aprovadas")</f>
        <v>Josemir José da Silva | #FPUH- Formação Pedagógica em História | PPs Aprovadas | Fran: PPs Aprovadas</v>
      </c>
      <c r="B4354" s="93"/>
    </row>
    <row r="4355">
      <c r="A4355" s="384" t="str">
        <f>IFERROR(__xludf.DUMMYFUNCTION("""COMPUTED_VALUE"""),"Patrícia Vieira Mendes | 	#SLAA - Segunda Licenciatura em Artes Visuais | PPs Aprovadas | Fran: PPs Aprovadas")</f>
        <v>Patrícia Vieira Mendes | 	#SLAA - Segunda Licenciatura em Artes Visuais | PPs Aprovadas | Fran: PPs Aprovadas</v>
      </c>
      <c r="B4355" s="93"/>
    </row>
    <row r="4356">
      <c r="A4356" s="384" t="str">
        <f>IFERROR(__xludf.DUMMYFUNCTION("""COMPUTED_VALUE"""),"Everaldo José Da Cruz
 | Música | PPs aprovadas | Fran: PPs aprovadas")</f>
        <v>Everaldo José Da Cruz
 | Música | PPs aprovadas | Fran: PPs aprovadas</v>
      </c>
      <c r="B4356" s="93"/>
    </row>
    <row r="4357">
      <c r="A4357" s="384" t="str">
        <f>IFERROR(__xludf.DUMMYFUNCTION("""COMPUTED_VALUE"""),"Juliana Luzia Dias | #SLUP - SEGUNDA LICENCIATURA EM PEDAGOGIA | PPs Aprovadas | Fran: PPs Aprovadas")</f>
        <v>Juliana Luzia Dias | #SLUP - SEGUNDA LICENCIATURA EM PEDAGOGIA | PPs Aprovadas | Fran: PPs Aprovadas</v>
      </c>
      <c r="B4357" s="93"/>
    </row>
    <row r="4358">
      <c r="A4358" s="384" t="str">
        <f>IFERROR(__xludf.DUMMYFUNCTION("""COMPUTED_VALUE"""),"Arnaldo Barros dos Santos | Formação Pedagogica em Geografia | Solicitação de verificação de pendências com tutoria, aluno aprovado ainda em 2023. | Fran: Solicitação de verificação de pendências com tutoria, aluno aprovado ainda em 2023.")</f>
        <v>Arnaldo Barros dos Santos | Formação Pedagogica em Geografia | Solicitação de verificação de pendências com tutoria, aluno aprovado ainda em 2023. | Fran: Solicitação de verificação de pendências com tutoria, aluno aprovado ainda em 2023.</v>
      </c>
      <c r="B4358" s="93"/>
    </row>
    <row r="4359">
      <c r="A4359" s="384" t="str">
        <f>IFERROR(__xludf.DUMMYFUNCTION("""COMPUTED_VALUE"""),"Joana de Souza Tupan | #SLUC - SEGUNDA LICENCIATURA EM CIÊNCIAS DA RELIGIÃO- U | Aprovada | Fran: Aprovada")</f>
        <v>Joana de Souza Tupan | #SLUC - SEGUNDA LICENCIATURA EM CIÊNCIAS DA RELIGIÃO- U | Aprovada | Fran: Aprovada</v>
      </c>
      <c r="B4359" s="93"/>
    </row>
    <row r="4360">
      <c r="A4360" s="384" t="str">
        <f>IFERROR(__xludf.DUMMYFUNCTION("""COMPUTED_VALUE"""),"Joana de Souza Tupan | #SLUF- Segunda Licenciatura em Filosofia | Aprovada | Fran: Aprovada")</f>
        <v>Joana de Souza Tupan | #SLUF- Segunda Licenciatura em Filosofia | Aprovada | Fran: Aprovada</v>
      </c>
      <c r="B4360" s="93"/>
    </row>
    <row r="4361">
      <c r="A4361" s="384" t="str">
        <f>IFERROR(__xludf.DUMMYFUNCTION("""COMPUTED_VALUE"""),"Waldemar Alvarenga Lapoente | Pós-Graduação em FARMACOLOGIA CLÍNICA 840h | Aluno aprovado nota 9 | Fran: Aluno aprovado nota 9")</f>
        <v>Waldemar Alvarenga Lapoente | Pós-Graduação em FARMACOLOGIA CLÍNICA 840h | Aluno aprovado nota 9 | Fran: Aluno aprovado nota 9</v>
      </c>
      <c r="B4361" s="93"/>
    </row>
    <row r="4362">
      <c r="A4362" s="384" t="str">
        <f>IFERROR(__xludf.DUMMYFUNCTION("""COMPUTED_VALUE"""),"GIOVANA CRISTIANE DOS SANTOS FERREIRA | Pós-Graduação em Neuropsicopedagogia Institucional, Clínica e Hospitalar 850h | Pré aprovado para autenticação de documentos; | Fran: Pré aprovado para autenticação de documentos;")</f>
        <v>GIOVANA CRISTIANE DOS SANTOS FERREIRA | Pós-Graduação em Neuropsicopedagogia Institucional, Clínica e Hospitalar 850h | Pré aprovado para autenticação de documentos; | Fran: Pré aprovado para autenticação de documentos;</v>
      </c>
      <c r="B4362" s="93"/>
    </row>
    <row r="4363">
      <c r="A4363" s="384" t="str">
        <f>IFERROR(__xludf.DUMMYFUNCTION("""COMPUTED_VALUE"""),"Fabiane Jevinski | #SLLIA - Segunda Licenciatura em Letras Inglês 760Horas | PP II Aprovada | Fran: PP II Aprovada")</f>
        <v>Fabiane Jevinski | #SLLIA - Segunda Licenciatura em Letras Inglês 760Horas | PP II Aprovada | Fran: PP II Aprovada</v>
      </c>
      <c r="B4363" s="93"/>
    </row>
    <row r="4364">
      <c r="A4364" s="384" t="str">
        <f>IFERROR(__xludf.DUMMYFUNCTION("""COMPUTED_VALUE"""),"Anelise Porn | #SLUP - SEGUNDA LICENCIATURA EM PEDAGOGIA	 | PPs Aprovadas | Fran: PPs Aprovadas")</f>
        <v>Anelise Porn | #SLUP - SEGUNDA LICENCIATURA EM PEDAGOGIA	 | PPs Aprovadas | Fran: PPs Aprovadas</v>
      </c>
      <c r="B4364" s="93"/>
    </row>
    <row r="4365">
      <c r="A4365" s="384" t="str">
        <f>IFERROR(__xludf.DUMMYFUNCTION("""COMPUTED_VALUE"""),"Cristiane de Lazari Poli | #FPUP-FORMAÇÃO PEDAGÓGICA EM PEDAGOGIA- U	 | PPs corrigidas falta carta de apresentação. | Fran: PPs corrigidas falta carta de apresentação.")</f>
        <v>Cristiane de Lazari Poli | #FPUP-FORMAÇÃO PEDAGÓGICA EM PEDAGOGIA- U	 | PPs corrigidas falta carta de apresentação. | Fran: PPs corrigidas falta carta de apresentação.</v>
      </c>
      <c r="B4365" s="93"/>
    </row>
    <row r="4366">
      <c r="A4366" s="384" t="str">
        <f>IFERROR(__xludf.DUMMYFUNCTION("""COMPUTED_VALUE"""),"Bruno Soares da Silva | #FPM+ Formação Pedagógica em Matemática-760 Horas | PPs corrigidas Aprovado | Fran: PPs corrigidas Aprovado")</f>
        <v>Bruno Soares da Silva | #FPM+ Formação Pedagógica em Matemática-760 Horas | PPs corrigidas Aprovado | Fran: PPs corrigidas Aprovado</v>
      </c>
      <c r="B4366" s="93"/>
    </row>
    <row r="4367">
      <c r="A4367" s="384" t="str">
        <f>IFERROR(__xludf.DUMMYFUNCTION("""COMPUTED_VALUE"""),"Alan Maxi de Paula Dionísio | SEGUNDA LICENCIATURA EM MATEMÁTICA - 2024 | Envio de feedback para correções | Fran: Envio de feedback para correções")</f>
        <v>Alan Maxi de Paula Dionísio | SEGUNDA LICENCIATURA EM MATEMÁTICA - 2024 | Envio de feedback para correções | Fran: Envio de feedback para correções</v>
      </c>
      <c r="B4367" s="93"/>
    </row>
    <row r="4368">
      <c r="A4368" s="384" t="str">
        <f>IFERROR(__xludf.DUMMYFUNCTION("""COMPUTED_VALUE"""),"Jozinete Vinhas de Deus | Pós-Graduação em Metodologia do Ensino de Filosofia e Sociologia | Aluna aprovada planilha de certificação | Fran: Aluna aprovada planilha de certificação")</f>
        <v>Jozinete Vinhas de Deus | Pós-Graduação em Metodologia do Ensino de Filosofia e Sociologia | Aluna aprovada planilha de certificação | Fran: Aluna aprovada planilha de certificação</v>
      </c>
      <c r="B4368" s="93"/>
    </row>
    <row r="4369">
      <c r="A4369" s="384" t="str">
        <f>IFERROR(__xludf.DUMMYFUNCTION("""COMPUTED_VALUE"""),"Carlos Soares da Costa | Segunda Licenciatura em Filosofia | Aluna aprovada planilha de certificação | Fran: Aluna aprovada planilha de certificação")</f>
        <v>Carlos Soares da Costa | Segunda Licenciatura em Filosofia | Aluna aprovada planilha de certificação | Fran: Aluna aprovada planilha de certificação</v>
      </c>
      <c r="B4369" s="93"/>
    </row>
    <row r="4370">
      <c r="A4370" s="384" t="str">
        <f>IFERROR(__xludf.DUMMYFUNCTION("""COMPUTED_VALUE"""),"Ana Paula dos Santos Dias Braga | Formação Pedagógica em Letras – Português e Inglês | Aluna aprovada planilha de certificação | Fran: Aluna aprovada planilha de certificação")</f>
        <v>Ana Paula dos Santos Dias Braga | Formação Pedagógica em Letras – Português e Inglês | Aluna aprovada planilha de certificação | Fran: Aluna aprovada planilha de certificação</v>
      </c>
      <c r="B4370" s="93"/>
    </row>
    <row r="4371">
      <c r="A4371" s="384" t="str">
        <f>IFERROR(__xludf.DUMMYFUNCTION("""COMPUTED_VALUE"""),"Edna Fernandes de Queiroz | #SLPA- Segunda Licenciatura em Pedagogia 01 | Questina PPs e mandou um estágio sem documentação de comprovação.Conversou o dia todo. | Fran: Questina PPs e mandou um estágio sem documentação de comprovação.Conversou o dia todo.")</f>
        <v>Edna Fernandes de Queiroz | #SLPA- Segunda Licenciatura em Pedagogia 01 | Questina PPs e mandou um estágio sem documentação de comprovação.Conversou o dia todo. | Fran: Questina PPs e mandou um estágio sem documentação de comprovação.Conversou o dia todo.</v>
      </c>
      <c r="B4371" s="93"/>
    </row>
    <row r="4372">
      <c r="A4372" s="384" t="str">
        <f>IFERROR(__xludf.DUMMYFUNCTION("""COMPUTED_VALUE"""),"Tiago Augusto Gasparotto
 | #SLPT- Segunda Licenciatura em Pedagogia | TCC aprovado nota 9 | Fran: TCC aprovado nota 9")</f>
        <v>Tiago Augusto Gasparotto
 | #SLPT- Segunda Licenciatura em Pedagogia | TCC aprovado nota 9 | Fran: TCC aprovado nota 9</v>
      </c>
      <c r="B4372" s="93"/>
    </row>
    <row r="4373">
      <c r="A4373" s="384" t="str">
        <f>IFERROR(__xludf.DUMMYFUNCTION("""COMPUTED_VALUE"""),"Wesley Violetti Evangelista
 | #FPMF- Formação Pedagógica em Música 1200Horas | PPs aprovadas | Fran: PPs aprovadas")</f>
        <v>Wesley Violetti Evangelista
 | #FPMF- Formação Pedagógica em Música 1200Horas | PPs aprovadas | Fran: PPs aprovadas</v>
      </c>
      <c r="B4373" s="93"/>
    </row>
    <row r="4374">
      <c r="A4374" s="384" t="str">
        <f>IFERROR(__xludf.DUMMYFUNCTION("""COMPUTED_VALUE"""),"Gabriela Ortiz da Rosa Barboza Jacoby | Pedagogia e letras |  Queria mandar um trabalho para os dois cursos. | Fran:  Queria mandar um trabalho para os dois cursos.")</f>
        <v>Gabriela Ortiz da Rosa Barboza Jacoby | Pedagogia e letras |  Queria mandar um trabalho para os dois cursos. | Fran:  Queria mandar um trabalho para os dois cursos.</v>
      </c>
      <c r="B4374" s="93"/>
    </row>
    <row r="4375">
      <c r="A4375" s="384" t="str">
        <f>IFERROR(__xludf.DUMMYFUNCTION("""COMPUTED_VALUE"""),"JENEFFER VILELA DE SOUZA ALMEIDA
 | #FPP- Formação Pedagógica em Pedagogia R2 | PPs aprovadas | Fran: PPs aprovadas")</f>
        <v>JENEFFER VILELA DE SOUZA ALMEIDA
 | #FPP- Formação Pedagógica em Pedagogia R2 | PPs aprovadas | Fran: PPs aprovadas</v>
      </c>
      <c r="B4375" s="93"/>
    </row>
    <row r="4376">
      <c r="A4376" s="384" t="str">
        <f>IFERROR(__xludf.DUMMYFUNCTION("""COMPUTED_VALUE"""),"SAULO ARAUJO DE MENEZES | #SLUP - SEGUNDA LICENCIATURA EM PEDAGOGIA | Orientações enviadas, correção solicitada e reenvio. | Fran: Orientações enviadas, correção solicitada e reenvio.")</f>
        <v>SAULO ARAUJO DE MENEZES | #SLUP - SEGUNDA LICENCIATURA EM PEDAGOGIA | Orientações enviadas, correção solicitada e reenvio. | Fran: Orientações enviadas, correção solicitada e reenvio.</v>
      </c>
      <c r="B4376" s="93"/>
    </row>
    <row r="4377">
      <c r="A4377" s="384" t="str">
        <f>IFERROR(__xludf.DUMMYFUNCTION("""COMPUTED_VALUE"""),"Carlos Cleber Borges Silva |  #SLMF - Segunda Licenciatura em Música 1320Horas | PPs aprovadas. | Fran: PPs aprovadas.")</f>
        <v>Carlos Cleber Borges Silva |  #SLMF - Segunda Licenciatura em Música 1320Horas | PPs aprovadas. | Fran: PPs aprovadas.</v>
      </c>
      <c r="B4377" s="93"/>
    </row>
    <row r="4378">
      <c r="A4378" s="384" t="str">
        <f>IFERROR(__xludf.DUMMYFUNCTION("""COMPUTED_VALUE"""),"Gabriela Ortiz da Rosa Barboza Jacoby | Pedagogia e inglês/portugues | Solicitação de análise do finaceiro para liberar correção. Pend~encias de financeiro na planilha - Se liberar aprovada nas duas. | Fran: Solicitação de análise do finaceiro para libera"&amp;"r correção. Pend~encias de financeiro na planilha - Se liberar aprovada nas duas.")</f>
        <v>Gabriela Ortiz da Rosa Barboza Jacoby | Pedagogia e inglês/portugues | Solicitação de análise do finaceiro para liberar correção. Pend~encias de financeiro na planilha - Se liberar aprovada nas duas. | Fran: Solicitação de análise do finaceiro para liberar correção. Pend~encias de financeiro na planilha - Se liberar aprovada nas duas.</v>
      </c>
      <c r="B4378" s="93"/>
    </row>
    <row r="4379">
      <c r="A4379" s="384" t="str">
        <f>IFERROR(__xludf.DUMMYFUNCTION("""COMPUTED_VALUE"""),"Rosilaine Aparecida de Asunção
 | 2 L música
 | Solicitação de análise do finaceiro para liberar correção. | Fran: Solicitação de análise do finaceiro para liberar correção.")</f>
        <v>Rosilaine Aparecida de Asunção
 | 2 L música
 | Solicitação de análise do finaceiro para liberar correção. | Fran: Solicitação de análise do finaceiro para liberar correção.</v>
      </c>
      <c r="B4379" s="93"/>
    </row>
    <row r="4380">
      <c r="A4380" s="384" t="str">
        <f>IFERROR(__xludf.DUMMYFUNCTION("""COMPUTED_VALUE"""),"Isaquiel dos Santos de Sousa
 | #SLPA- Segunda Licenciatura em Pedagogia 01 | PPS corrigidas: Aprovado encaminhado para certificação. | Fran: PPS corrigidas: Aprovado encaminhado para certificação.")</f>
        <v>Isaquiel dos Santos de Sousa
 | #SLPA- Segunda Licenciatura em Pedagogia 01 | PPS corrigidas: Aprovado encaminhado para certificação. | Fran: PPS corrigidas: Aprovado encaminhado para certificação.</v>
      </c>
      <c r="B4380" s="93"/>
    </row>
    <row r="4381">
      <c r="A4381" s="384" t="str">
        <f>IFERROR(__xludf.DUMMYFUNCTION("""COMPUTED_VALUE"""),"Caroline Regina Custódio
 | #SLPA- Segunda Licenciatura em Música | Solicitação de análise do finaceiro para liberar correção. | Fran: Solicitação de análise do finaceiro para liberar correção.")</f>
        <v>Caroline Regina Custódio
 | #SLPA- Segunda Licenciatura em Música | Solicitação de análise do finaceiro para liberar correção. | Fran: Solicitação de análise do finaceiro para liberar correção.</v>
      </c>
      <c r="B4381" s="93"/>
    </row>
    <row r="4382">
      <c r="A4382" s="384" t="str">
        <f>IFERROR(__xludf.DUMMYFUNCTION("""COMPUTED_VALUE"""),"Kelly Cristina Ferreira dos Santos | #FPUP-FORMAÇÃO PEDAGÓGICA EM PEDAGOGIA- U	 | PPs corrigidas e aprovadas. | Fran: PPs corrigidas e aprovadas.")</f>
        <v>Kelly Cristina Ferreira dos Santos | #FPUP-FORMAÇÃO PEDAGÓGICA EM PEDAGOGIA- U	 | PPs corrigidas e aprovadas. | Fran: PPs corrigidas e aprovadas.</v>
      </c>
      <c r="B4382" s="93"/>
    </row>
    <row r="4383">
      <c r="A4383" s="384" t="str">
        <f>IFERROR(__xludf.DUMMYFUNCTION("""COMPUTED_VALUE"""),"Marcileia Ana Dos Santos | #SLEEA - Segunda Licenciatura em Educação Especial | PPs corrigidas e aprovadas.  | Fran: PPs corrigidas e aprovadas. ")</f>
        <v>Marcileia Ana Dos Santos | #SLEEA - Segunda Licenciatura em Educação Especial | PPs corrigidas e aprovadas.  | Fran: PPs corrigidas e aprovadas. </v>
      </c>
      <c r="B4383" s="93"/>
    </row>
    <row r="4384">
      <c r="A4384" s="384" t="str">
        <f>IFERROR(__xludf.DUMMYFUNCTION("""COMPUTED_VALUE"""),"Paulo Henrique Antonini | #FPMF- Formação Pedagógica em Música 2023 | PP II pronta para aprovação PP I ainda não entregue. Aguardando análise do financeiro para dar retorno ao aluno. Curso expirado. | Fran: PP II pronta para aprovação PP I ainda não entre"&amp;"gue. Aguardando análise do financeiro para dar retorno ao aluno. Curso expirado.")</f>
        <v>Paulo Henrique Antonini | #FPMF- Formação Pedagógica em Música 2023 | PP II pronta para aprovação PP I ainda não entregue. Aguardando análise do financeiro para dar retorno ao aluno. Curso expirado. | Fran: PP II pronta para aprovação PP I ainda não entregue. Aguardando análise do financeiro para dar retorno ao aluno. Curso expirado.</v>
      </c>
      <c r="B4384" s="93"/>
    </row>
    <row r="4385">
      <c r="A4385" s="384" t="str">
        <f>IFERROR(__xludf.DUMMYFUNCTION("""COMPUTED_VALUE"""),"ELENICE ALVES DA LUZ BOSI | #SLTLE1- Segunda Licenciatura em Letras - Espanhol | PP II corrigida pronta para aprovação 
PP I falata entrevista feedback enviado a aluna 
Solicitação de análise do financeiro. | Fran: PP II corrigida pronta para aprovação 
P"&amp;"P I falata entrevista feedback enviado a aluna 
Solicitação de análise do financeiro.")</f>
        <v>ELENICE ALVES DA LUZ BOSI | #SLTLE1- Segunda Licenciatura em Letras - Espanhol | PP II corrigida pronta para aprovação 
PP I falata entrevista feedback enviado a aluna 
Solicitação de análise do financeiro. | Fran: PP II corrigida pronta para aprovação 
PP I falata entrevista feedback enviado a aluna 
Solicitação de análise do financeiro.</v>
      </c>
      <c r="B4385" s="93"/>
    </row>
    <row r="4386">
      <c r="A4386" s="384" t="str">
        <f>IFERROR(__xludf.DUMMYFUNCTION("""COMPUTED_VALUE"""),"Cristiane de Lazari Poli | #FPUP-FORMAÇÃO PEDAGÓGICA EM PEDAGOGIA- U	 | Solicitação de correção PP II | Fran: Solicitação de correção PP II")</f>
        <v>Cristiane de Lazari Poli | #FPUP-FORMAÇÃO PEDAGÓGICA EM PEDAGOGIA- U	 | Solicitação de correção PP II | Fran: Solicitação de correção PP II</v>
      </c>
      <c r="B4386" s="93"/>
    </row>
    <row r="4387">
      <c r="A4387" s="384" t="str">
        <f>IFERROR(__xludf.DUMMYFUNCTION("""COMPUTED_VALUE"""),"Cristiane de Lazari Poli | #FPUP-FORMAÇÃO PEDAGÓGICA EM PEDAGOGIA- U	 | Correção PP II Aprovada | Fran: Correção PP II Aprovada")</f>
        <v>Cristiane de Lazari Poli | #FPUP-FORMAÇÃO PEDAGÓGICA EM PEDAGOGIA- U	 | Correção PP II Aprovada | Fran: Correção PP II Aprovada</v>
      </c>
      <c r="B4387" s="93"/>
    </row>
    <row r="4388">
      <c r="A4388" s="384" t="str">
        <f>IFERROR(__xludf.DUMMYFUNCTION("""COMPUTED_VALUE"""),"Fabiola Manoela Simões de alcantara | SEGUNDA LICENCIATURA PEDAGOGIA - 2024 | Solicitação de correção e reenvio para análise. | Fran: Solicitação de correção e reenvio para análise.")</f>
        <v>Fabiola Manoela Simões de alcantara | SEGUNDA LICENCIATURA PEDAGOGIA - 2024 | Solicitação de correção e reenvio para análise. | Fran: Solicitação de correção e reenvio para análise.</v>
      </c>
      <c r="B4388" s="93"/>
    </row>
    <row r="4389">
      <c r="A4389" s="384" t="str">
        <f>IFERROR(__xludf.DUMMYFUNCTION("""COMPUTED_VALUE"""),"Carla de Cássia Vieira Socca | #SLAA - Segunda Licenciatura em Artes Visuais | Correção PP I e II email aguardando analise financeiro para dar retrono | Fran: Correção PP I e II email aguardando analise financeiro para dar retrono")</f>
        <v>Carla de Cássia Vieira Socca | #SLAA - Segunda Licenciatura em Artes Visuais | Correção PP I e II email aguardando analise financeiro para dar retrono | Fran: Correção PP I e II email aguardando analise financeiro para dar retrono</v>
      </c>
      <c r="B4389" s="93"/>
    </row>
    <row r="4390">
      <c r="A4390" s="384" t="str">
        <f>IFERROR(__xludf.DUMMYFUNCTION("""COMPUTED_VALUE"""),"Kauana Alves Oliveira | SEGUNDA LICENCIATURA EM ARTES VISUAIS - 2024 | Solicitação de correção. Solicitação de análise do financeiro. | Fran: Solicitação de correção. Solicitação de análise do financeiro.")</f>
        <v>Kauana Alves Oliveira | SEGUNDA LICENCIATURA EM ARTES VISUAIS - 2024 | Solicitação de correção. Solicitação de análise do financeiro. | Fran: Solicitação de correção. Solicitação de análise do financeiro.</v>
      </c>
      <c r="B4390" s="93"/>
    </row>
    <row r="4391">
      <c r="A4391" s="384" t="str">
        <f>IFERROR(__xludf.DUMMYFUNCTION("""COMPUTED_VALUE"""),"Rita de Cássia Bertoldo Vendite | #SLUP - SEGUNDA LICENCIATURA EM PEDAGOGIA | Aprovado financeiro. Ver PPs | Fran: Aprovado financeiro. Ver PPs")</f>
        <v>Rita de Cássia Bertoldo Vendite | #SLUP - SEGUNDA LICENCIATURA EM PEDAGOGIA | Aprovado financeiro. Ver PPs | Fran: Aprovado financeiro. Ver PPs</v>
      </c>
      <c r="B4391" s="93"/>
    </row>
    <row r="4392">
      <c r="A4392" s="384" t="str">
        <f>IFERROR(__xludf.DUMMYFUNCTION("""COMPUTED_VALUE"""),"Saulo Araujo de Menezes | #SLUP - SEGUNDA LICENCIATURA EM PEDAGOGIA | Aprovado. | Fran: Aprovado.")</f>
        <v>Saulo Araujo de Menezes | #SLUP - SEGUNDA LICENCIATURA EM PEDAGOGIA | Aprovado. | Fran: Aprovado.</v>
      </c>
      <c r="B4392" s="93"/>
    </row>
    <row r="4393">
      <c r="A4393" s="384" t="str">
        <f>IFERROR(__xludf.DUMMYFUNCTION("""COMPUTED_VALUE"""),"Rosana Cristina de Souza Siqueira | Formação Pedagógica em Educação Especial	 | PPs aprovadas. | Fran: PPs aprovadas.")</f>
        <v>Rosana Cristina de Souza Siqueira | Formação Pedagógica em Educação Especial	 | PPs aprovadas. | Fran: PPs aprovadas.</v>
      </c>
      <c r="B4393" s="93"/>
    </row>
    <row r="4394">
      <c r="A4394" s="384" t="str">
        <f>IFERROR(__xludf.DUMMYFUNCTION("""COMPUTED_VALUE"""),"Álvaro José Gonçalves Neto | Licenciatura em música | Reprovado plágio 72% | Fran: Reprovado plágio 72%")</f>
        <v>Álvaro José Gonçalves Neto | Licenciatura em música | Reprovado plágio 72% | Fran: Reprovado plágio 72%</v>
      </c>
      <c r="B4394" s="93"/>
    </row>
    <row r="4395">
      <c r="A4395" s="384" t="str">
        <f>IFERROR(__xludf.DUMMYFUNCTION("""COMPUTED_VALUE"""),"Beatriz Feliciano Fabri | #SLUEE - SEGUNDA LICENCIATURA EM EDUCAÇÃO ESPECIAL | Aprovadas. | Fran: Aprovadas.")</f>
        <v>Beatriz Feliciano Fabri | #SLUEE - SEGUNDA LICENCIATURA EM EDUCAÇÃO ESPECIAL | Aprovadas. | Fran: Aprovadas.</v>
      </c>
      <c r="B4395" s="93"/>
    </row>
    <row r="4396">
      <c r="A4396" s="384" t="str">
        <f>IFERROR(__xludf.DUMMYFUNCTION("""COMPUTED_VALUE"""),"Vanessa Batista Almeida da Silva | Geografia | Solicitação de análise financeira. | Fran: Solicitação de análise financeira.")</f>
        <v>Vanessa Batista Almeida da Silva | Geografia | Solicitação de análise financeira. | Fran: Solicitação de análise financeira.</v>
      </c>
      <c r="B4396" s="93"/>
    </row>
    <row r="4397">
      <c r="A4397" s="384" t="str">
        <f>IFERROR(__xludf.DUMMYFUNCTION("""COMPUTED_VALUE"""),"Alex Moraes Oliveira | Segunda Graduação em Música | PPs Aprovadas | Fran: PPs Aprovadas")</f>
        <v>Alex Moraes Oliveira | Segunda Graduação em Música | PPs Aprovadas | Fran: PPs Aprovadas</v>
      </c>
      <c r="B4397" s="93"/>
    </row>
    <row r="4398">
      <c r="A4398" s="384" t="str">
        <f>IFERROR(__xludf.DUMMYFUNCTION("""COMPUTED_VALUE"""),"Antoninho José Augusto da Silva | #SLMF - Segunda Licenciatura em Música 1320Horas | PPs aprovadas. | Fran: PPs aprovadas.")</f>
        <v>Antoninho José Augusto da Silva | #SLMF - Segunda Licenciatura em Música 1320Horas | PPs aprovadas. | Fran: PPs aprovadas.</v>
      </c>
      <c r="B4398" s="93"/>
    </row>
    <row r="4399">
      <c r="A4399" s="384" t="str">
        <f>IFERROR(__xludf.DUMMYFUNCTION("""COMPUTED_VALUE"""),"Paulo Sávio Vieira Fernandes Saturnino | FORMAÇÃO PEDAGÓGICA EM GEOGRAFIA - 2024 | PPs aprovadas. | Fran: PPs aprovadas.")</f>
        <v>Paulo Sávio Vieira Fernandes Saturnino | FORMAÇÃO PEDAGÓGICA EM GEOGRAFIA - 2024 | PPs aprovadas. | Fran: PPs aprovadas.</v>
      </c>
      <c r="B4399" s="93"/>
    </row>
    <row r="4400">
      <c r="A4400" s="384" t="str">
        <f>IFERROR(__xludf.DUMMYFUNCTION("""COMPUTED_VALUE"""),"Priscila Almeida da Cruz Brito | #SLLPA - Segunda Licenciatura Letras - Português | PPs aprovadas. | Fran: PPs aprovadas.")</f>
        <v>Priscila Almeida da Cruz Brito | #SLLPA - Segunda Licenciatura Letras - Português | PPs aprovadas. | Fran: PPs aprovadas.</v>
      </c>
      <c r="B4400" s="93"/>
    </row>
    <row r="4401">
      <c r="A4401" s="384" t="str">
        <f>IFERROR(__xludf.DUMMYFUNCTION("""COMPUTED_VALUE"""),"Francisco Antônio Silva Araújo | Formação pedagógica em pedagogia | PPS II prontas e corretas PP I não enviada, orientação dada. Correção não divulgada ao aluno, pendências financeiro. | Fran: PPS II prontas e corretas PP I não enviada, orientação dada. C"&amp;"orreção não divulgada ao aluno, pendências financeiro.")</f>
        <v>Francisco Antônio Silva Araújo | Formação pedagógica em pedagogia | PPS II prontas e corretas PP I não enviada, orientação dada. Correção não divulgada ao aluno, pendências financeiro. | Fran: PPS II prontas e corretas PP I não enviada, orientação dada. Correção não divulgada ao aluno, pendências financeiro.</v>
      </c>
      <c r="B4401" s="93"/>
    </row>
    <row r="4402">
      <c r="A4402" s="384" t="str">
        <f>IFERROR(__xludf.DUMMYFUNCTION("""COMPUTED_VALUE"""),"Cinthia Ferreira Arcanjo Silva | Música | PPs prontas para aprovação solicitação de análise do financeiro. | Fran: PPs prontas para aprovação solicitação de análise do financeiro.")</f>
        <v>Cinthia Ferreira Arcanjo Silva | Música | PPs prontas para aprovação solicitação de análise do financeiro. | Fran: PPs prontas para aprovação solicitação de análise do financeiro.</v>
      </c>
      <c r="B4402" s="93"/>
    </row>
    <row r="4403">
      <c r="A4403" s="384" t="str">
        <f>IFERROR(__xludf.DUMMYFUNCTION("""COMPUTED_VALUE"""),"Kelly Cristina Rodrigues da Silva
 | Pedagogia | PPs prontas para aprovação solicitação de análise do financeiro. | Fran: PPs prontas para aprovação solicitação de análise do financeiro.")</f>
        <v>Kelly Cristina Rodrigues da Silva
 | Pedagogia | PPs prontas para aprovação solicitação de análise do financeiro. | Fran: PPs prontas para aprovação solicitação de análise do financeiro.</v>
      </c>
      <c r="B4403" s="93"/>
    </row>
    <row r="4404">
      <c r="A4404" s="384" t="str">
        <f>IFERROR(__xludf.DUMMYFUNCTION("""COMPUTED_VALUE"""),"Flavio Roberto Dutra de Oliveira | SEGUNDA LICENCIATURA EM PEDAGOGIA - 37M | Aluno reenviou por email para correção pronto para aprovação, aguardo financeiro. | Fran: Aluno reenviou por email para correção pronto para aprovação, aguardo financeiro.")</f>
        <v>Flavio Roberto Dutra de Oliveira | SEGUNDA LICENCIATURA EM PEDAGOGIA - 37M | Aluno reenviou por email para correção pronto para aprovação, aguardo financeiro. | Fran: Aluno reenviou por email para correção pronto para aprovação, aguardo financeiro.</v>
      </c>
      <c r="B4404" s="93"/>
    </row>
    <row r="4405">
      <c r="A4405" s="384" t="str">
        <f>IFERROR(__xludf.DUMMYFUNCTION("""COMPUTED_VALUE"""),"Luiz Henrique Soares Fontes | Curso de música | PPs prontas para aprovação solicitação de análise do financeiro. | Fran: PPs prontas para aprovação solicitação de análise do financeiro.")</f>
        <v>Luiz Henrique Soares Fontes | Curso de música | PPs prontas para aprovação solicitação de análise do financeiro. | Fran: PPs prontas para aprovação solicitação de análise do financeiro.</v>
      </c>
      <c r="B4405" s="93"/>
    </row>
    <row r="4406">
      <c r="A4406" s="384" t="str">
        <f>IFERROR(__xludf.DUMMYFUNCTION("""COMPUTED_VALUE"""),"Roziane Barreto dos Santos Távora | Pós-Graduação Psicopedagogia Clínica, Institucional e Hospitalar | Estágio corrigido e aprovado.  | Fran: Estágio corrigido e aprovado. ")</f>
        <v>Roziane Barreto dos Santos Távora | Pós-Graduação Psicopedagogia Clínica, Institucional e Hospitalar | Estágio corrigido e aprovado.  | Fran: Estágio corrigido e aprovado. </v>
      </c>
      <c r="B4406" s="93"/>
    </row>
    <row r="4407">
      <c r="A4407" s="384" t="str">
        <f>IFERROR(__xludf.DUMMYFUNCTION("""COMPUTED_VALUE"""),"Bruna Jennifer Barbosa dos Santos | Segunda licenciatura em artes visuais | Enacaminhado para análise do financeiro | Fran: Enacaminhado para análise do financeiro")</f>
        <v>Bruna Jennifer Barbosa dos Santos | Segunda licenciatura em artes visuais | Enacaminhado para análise do financeiro | Fran: Enacaminhado para análise do financeiro</v>
      </c>
      <c r="B4407" s="93"/>
    </row>
    <row r="4408">
      <c r="A4408" s="384" t="str">
        <f>IFERROR(__xludf.DUMMYFUNCTION("""COMPUTED_VALUE"""),"VANESSA BATISTA ALMEIDA DA SILVA | FORMAÇÃO PEDAGÓGICA EM GEOGRAFIA- U | Práticas pedagógicas corrigidas e aprovadas. Encaminhada para o grupo de certificação.  | Fran: Práticas pedagógicas corrigidas e aprovadas. Encaminhada para o grupo de certificação."&amp;" ")</f>
        <v>VANESSA BATISTA ALMEIDA DA SILVA | FORMAÇÃO PEDAGÓGICA EM GEOGRAFIA- U | Práticas pedagógicas corrigidas e aprovadas. Encaminhada para o grupo de certificação.  | Fran: Práticas pedagógicas corrigidas e aprovadas. Encaminhada para o grupo de certificação. </v>
      </c>
      <c r="B4408" s="93"/>
    </row>
    <row r="4409">
      <c r="A4409" s="384" t="str">
        <f>IFERROR(__xludf.DUMMYFUNCTION("""COMPUTED_VALUE"""),"Viviane Rosa Pires | #SLPA- Segunda Licenciatura em Pedagogia 01 | PPs corrigidas e aprovadas | Fran: PPs corrigidas e aprovadas")</f>
        <v>Viviane Rosa Pires | #SLPA- Segunda Licenciatura em Pedagogia 01 | PPs corrigidas e aprovadas | Fran: PPs corrigidas e aprovadas</v>
      </c>
      <c r="B4409" s="93"/>
    </row>
    <row r="4410">
      <c r="A4410" s="384" t="str">
        <f>IFERROR(__xludf.DUMMYFUNCTION("""COMPUTED_VALUE"""),"Yennifer Andrea Escobar Restrepo | FORMAÇÃO PEDAGÓGICA EM LETRAS PORTUGUÊS / ESPANHOL | PPs corrigidas e aprovadas | Fran: PPs corrigidas e aprovadas")</f>
        <v>Yennifer Andrea Escobar Restrepo | FORMAÇÃO PEDAGÓGICA EM LETRAS PORTUGUÊS / ESPANHOL | PPs corrigidas e aprovadas | Fran: PPs corrigidas e aprovadas</v>
      </c>
      <c r="B4410" s="93"/>
    </row>
    <row r="4411">
      <c r="A4411" s="384" t="str">
        <f>IFERROR(__xludf.DUMMYFUNCTION("""COMPUTED_VALUE"""),"Joel Darlan Demarchi | Licenciatura em música | Solicitação de análise financeira. | Fran: Solicitação de análise financeira.")</f>
        <v>Joel Darlan Demarchi | Licenciatura em música | Solicitação de análise financeira. | Fran: Solicitação de análise financeira.</v>
      </c>
      <c r="B4411" s="93"/>
    </row>
    <row r="4412">
      <c r="A4412" s="384" t="str">
        <f>IFERROR(__xludf.DUMMYFUNCTION("""COMPUTED_VALUE"""),"Miguel Portilho Lobo | Segunda licenciatura em pedagogia | Dúvida encaminhada ao finaceiro sobre anotação da planilha de certificação para liberar correção. | Fran: Dúvida encaminhada ao finaceiro sobre anotação da planilha de certificação para liberar co"&amp;"rreção.")</f>
        <v>Miguel Portilho Lobo | Segunda licenciatura em pedagogia | Dúvida encaminhada ao finaceiro sobre anotação da planilha de certificação para liberar correção. | Fran: Dúvida encaminhada ao finaceiro sobre anotação da planilha de certificação para liberar correção.</v>
      </c>
      <c r="B4412" s="93"/>
    </row>
    <row r="4413">
      <c r="A4413" s="384" t="str">
        <f>IFERROR(__xludf.DUMMYFUNCTION("""COMPUTED_VALUE"""),"Laurianne Camargo Ferreira de Souza Santos | Educação Física licenciatura | PPs corrigidas e aprovadas, falta a carta de apresentação assinada PPs II. Planilha de certificação. | Fran: PPs corrigidas e aprovadas, falta a carta de apresentação assinada PPs"&amp;" II. Planilha de certificação.")</f>
        <v>Laurianne Camargo Ferreira de Souza Santos | Educação Física licenciatura | PPs corrigidas e aprovadas, falta a carta de apresentação assinada PPs II. Planilha de certificação. | Fran: PPs corrigidas e aprovadas, falta a carta de apresentação assinada PPs II. Planilha de certificação.</v>
      </c>
      <c r="B4413" s="93"/>
    </row>
    <row r="4414">
      <c r="A4414" s="384" t="str">
        <f>IFERROR(__xludf.DUMMYFUNCTION("""COMPUTED_VALUE"""),"William Marques De Souza | SLEEF- Segunda Licenciatura Educação Física | Estágio pré aprovado liberado para autenticação final. | Fran: Estágio pré aprovado liberado para autenticação final.")</f>
        <v>William Marques De Souza | SLEEF- Segunda Licenciatura Educação Física | Estágio pré aprovado liberado para autenticação final. | Fran: Estágio pré aprovado liberado para autenticação final.</v>
      </c>
      <c r="B4414" s="93"/>
    </row>
    <row r="4415">
      <c r="A4415" s="384" t="str">
        <f>IFERROR(__xludf.DUMMYFUNCTION("""COMPUTED_VALUE"""),"Marcos Silva Lima | Formação Pedagógica em Música | Solicitação de correção de PPs. Análise financeira encaminhada. Aprovado aguardando | Fran: Solicitação de correção de PPs. Análise financeira encaminhada. Aprovado aguardando")</f>
        <v>Marcos Silva Lima | Formação Pedagógica em Música | Solicitação de correção de PPs. Análise financeira encaminhada. Aprovado aguardando | Fran: Solicitação de correção de PPs. Análise financeira encaminhada. Aprovado aguardando</v>
      </c>
      <c r="B4415" s="93"/>
    </row>
    <row r="4416">
      <c r="A4416" s="384" t="str">
        <f>IFERROR(__xludf.DUMMYFUNCTION("""COMPUTED_VALUE"""),"Hamilton Portella Jr | #FPMF- Formação Pedagógica em Música 1200Horas | Solicitação de correção de PPs. Análise financeira encaminhada. Aprovado aguardando | Fran: Solicitação de correção de PPs. Análise financeira encaminhada. Aprovado aguardando")</f>
        <v>Hamilton Portella Jr | #FPMF- Formação Pedagógica em Música 1200Horas | Solicitação de correção de PPs. Análise financeira encaminhada. Aprovado aguardando | Fran: Solicitação de correção de PPs. Análise financeira encaminhada. Aprovado aguardando</v>
      </c>
      <c r="B4416" s="93"/>
    </row>
    <row r="4417">
      <c r="A4417" s="384" t="str">
        <f>IFERROR(__xludf.DUMMYFUNCTION("""COMPUTED_VALUE"""),"Arthur Veloso Leal Ardizzoni | #SLUEF - Segunda Licenciatura em Educação Física | PPs aprovadas encaminhado para certificação. | Fran: PPs aprovadas encaminhado para certificação.")</f>
        <v>Arthur Veloso Leal Ardizzoni | #SLUEF - Segunda Licenciatura em Educação Física | PPs aprovadas encaminhado para certificação. | Fran: PPs aprovadas encaminhado para certificação.</v>
      </c>
      <c r="B4417" s="93"/>
    </row>
    <row r="4418">
      <c r="A4418" s="384" t="str">
        <f>IFERROR(__xludf.DUMMYFUNCTION("""COMPUTED_VALUE"""),"Gilvan Herbert de Freitas | Música | Solicitação de correção de PPs. Análise financeira encaminhada. Aprovado aguardando | Fran: Solicitação de correção de PPs. Análise financeira encaminhada. Aprovado aguardando")</f>
        <v>Gilvan Herbert de Freitas | Música | Solicitação de correção de PPs. Análise financeira encaminhada. Aprovado aguardando | Fran: Solicitação de correção de PPs. Análise financeira encaminhada. Aprovado aguardando</v>
      </c>
      <c r="B4418" s="93"/>
    </row>
    <row r="4419">
      <c r="A4419" s="384" t="str">
        <f>IFERROR(__xludf.DUMMYFUNCTION("""COMPUTED_VALUE"""),"Edriane Araújo serra Sousa | Pós-Graduação em Neuropsicopedagogia Institucional, Clínica e Hospitalar 850h | Aprovada, solicitação de autenticação do termo. | Fran: Aprovada, solicitação de autenticação do termo.")</f>
        <v>Edriane Araújo serra Sousa | Pós-Graduação em Neuropsicopedagogia Institucional, Clínica e Hospitalar 850h | Aprovada, solicitação de autenticação do termo. | Fran: Aprovada, solicitação de autenticação do termo.</v>
      </c>
      <c r="B4419" s="93"/>
    </row>
    <row r="4420">
      <c r="A4420" s="384" t="str">
        <f>IFERROR(__xludf.DUMMYFUNCTION("""COMPUTED_VALUE"""),"Edriane Araújo serra Sousa | Pós-Graduação em Neuropsicopedagogia Institucional, Clínica e Hospitalar 850h | PPs aprovadas encaminhado para certificação. | Fran: PPs aprovadas encaminhado para certificação.")</f>
        <v>Edriane Araújo serra Sousa | Pós-Graduação em Neuropsicopedagogia Institucional, Clínica e Hospitalar 850h | PPs aprovadas encaminhado para certificação. | Fran: PPs aprovadas encaminhado para certificação.</v>
      </c>
      <c r="B4420" s="93"/>
    </row>
    <row r="4421">
      <c r="A4421" s="384" t="str">
        <f>IFERROR(__xludf.DUMMYFUNCTION("""COMPUTED_VALUE"""),"Miguel Portilho Lobo | Segunda licenciatura em pedagogia | `PPs aprovadas encaminhado para certificação. | Fran: `PPs aprovadas encaminhado para certificação.")</f>
        <v>Miguel Portilho Lobo | Segunda licenciatura em pedagogia | `PPs aprovadas encaminhado para certificação. | Fran: `PPs aprovadas encaminhado para certificação.</v>
      </c>
      <c r="B4421" s="93"/>
    </row>
    <row r="4422">
      <c r="A4422" s="384" t="str">
        <f>IFERROR(__xludf.DUMMYFUNCTION("""COMPUTED_VALUE"""),"Beatriz Cristina Batista Rodrigues | Segunda licenciatura em pedagogia | `PPs aprovadas encaminhado para certificação. | Fran: `PPs aprovadas encaminhado para certificação.")</f>
        <v>Beatriz Cristina Batista Rodrigues | Segunda licenciatura em pedagogia | `PPs aprovadas encaminhado para certificação. | Fran: `PPs aprovadas encaminhado para certificação.</v>
      </c>
      <c r="B4422" s="93"/>
    </row>
    <row r="4423">
      <c r="A4423" s="384" t="str">
        <f>IFERROR(__xludf.DUMMYFUNCTION("""COMPUTED_VALUE"""),"Renata de Melo Pereira Zacarias
 | Segunda licenciatura em sociologia | `PPs aprovadas encaminhado para certificação.Atualizada na planilha de certificação. | Fran: `PPs aprovadas encaminhado para certificação.Atualizada na planilha de certificação.")</f>
        <v>Renata de Melo Pereira Zacarias
 | Segunda licenciatura em sociologia | `PPs aprovadas encaminhado para certificação.Atualizada na planilha de certificação. | Fran: `PPs aprovadas encaminhado para certificação.Atualizada na planilha de certificação.</v>
      </c>
      <c r="B4423" s="93"/>
    </row>
    <row r="4424">
      <c r="A4424" s="384" t="str">
        <f>IFERROR(__xludf.DUMMYFUNCTION("""COMPUTED_VALUE"""),"MARCOS ANTONIO DE FARIAS | #SLUP - SEGUNDA LICENCIATURA EM PEDAGOGIA | Solicitação de correção de PPs. Análise financeira encaminhada. Aprovado aguardando | Fran: Solicitação de correção de PPs. Análise financeira encaminhada. Aprovado aguardando")</f>
        <v>MARCOS ANTONIO DE FARIAS | #SLUP - SEGUNDA LICENCIATURA EM PEDAGOGIA | Solicitação de correção de PPs. Análise financeira encaminhada. Aprovado aguardando | Fran: Solicitação de correção de PPs. Análise financeira encaminhada. Aprovado aguardando</v>
      </c>
      <c r="B4424" s="93"/>
    </row>
    <row r="4425">
      <c r="A4425" s="384" t="str">
        <f>IFERROR(__xludf.DUMMYFUNCTION("""COMPUTED_VALUE"""),"Lucas Gomes Ramos | #SLMF - Segunda Licenciatura em Música 1320Horas | Solicitação de correção de PPs. Análise financeira encaminhada. Aprovado aguardando | Fran: Solicitação de correção de PPs. Análise financeira encaminhada. Aprovado aguardando")</f>
        <v>Lucas Gomes Ramos | #SLMF - Segunda Licenciatura em Música 1320Horas | Solicitação de correção de PPs. Análise financeira encaminhada. Aprovado aguardando | Fran: Solicitação de correção de PPs. Análise financeira encaminhada. Aprovado aguardando</v>
      </c>
      <c r="B4425" s="93"/>
    </row>
    <row r="4426">
      <c r="A4426" s="384" t="str">
        <f>IFERROR(__xludf.DUMMYFUNCTION("""COMPUTED_VALUE"""),"Fabiano Luciano Pessoa | #FPMF- Formação Pedagógica em Música 1200Horas |  Aprovado. | Fran:  Aprovado.")</f>
        <v>Fabiano Luciano Pessoa | #FPMF- Formação Pedagógica em Música 1200Horas |  Aprovado. | Fran:  Aprovado.</v>
      </c>
      <c r="B4426" s="93"/>
    </row>
    <row r="4427">
      <c r="A4427" s="384" t="str">
        <f>IFERROR(__xludf.DUMMYFUNCTION("""COMPUTED_VALUE"""),"João Dias de Almeida | #SLMF- Segunda Licenciatura em Música 2022 880Horas | PPs Aprovadas planilga de certificação atualizada. | Fran: PPs Aprovadas planilga de certificação atualizada.")</f>
        <v>João Dias de Almeida | #SLMF- Segunda Licenciatura em Música 2022 880Horas | PPs Aprovadas planilga de certificação atualizada. | Fran: PPs Aprovadas planilga de certificação atualizada.</v>
      </c>
      <c r="B4427" s="93"/>
    </row>
    <row r="4428">
      <c r="A4428" s="384" t="str">
        <f>IFERROR(__xludf.DUMMYFUNCTION("""COMPUTED_VALUE"""),"Marcio Vinicius de carvalho dias | SEGUNDA LICENCIATURA EM PEDAGOGIA - 37M | Alunos fez as correções solicitadas no trabalho. Corrigido e aprovado. | Fran: Alunos fez as correções solicitadas no trabalho. Corrigido e aprovado.")</f>
        <v>Marcio Vinicius de carvalho dias | SEGUNDA LICENCIATURA EM PEDAGOGIA - 37M | Alunos fez as correções solicitadas no trabalho. Corrigido e aprovado. | Fran: Alunos fez as correções solicitadas no trabalho. Corrigido e aprovado.</v>
      </c>
      <c r="B4428" s="93"/>
    </row>
    <row r="4429">
      <c r="A4429" s="384" t="str">
        <f>IFERROR(__xludf.DUMMYFUNCTION("""COMPUTED_VALUE"""),"Edson Cabral de Oliveira | #FPMF- Formação Pedagógica em Música 1200Horas | PPs aprovadas encaminhado para processo de certificação. | Fran: PPs aprovadas encaminhado para processo de certificação.")</f>
        <v>Edson Cabral de Oliveira | #FPMF- Formação Pedagógica em Música 1200Horas | PPs aprovadas encaminhado para processo de certificação. | Fran: PPs aprovadas encaminhado para processo de certificação.</v>
      </c>
      <c r="B4429" s="93"/>
    </row>
    <row r="4430">
      <c r="A4430" s="384" t="str">
        <f>IFERROR(__xludf.DUMMYFUNCTION("""COMPUTED_VALUE"""),"Gabriela Ortiz da Rosa Barboza Jacoby | FORMAÇÃO PEDAGÓGICA EM LETRAS PORTUGUÊS/INGLÊS - 50M | PPs aprovadas encaminhado para processo de certificação. | Fran: PPs aprovadas encaminhado para processo de certificação.")</f>
        <v>Gabriela Ortiz da Rosa Barboza Jacoby | FORMAÇÃO PEDAGÓGICA EM LETRAS PORTUGUÊS/INGLÊS - 50M | PPs aprovadas encaminhado para processo de certificação. | Fran: PPs aprovadas encaminhado para processo de certificação.</v>
      </c>
      <c r="B4430" s="93"/>
    </row>
    <row r="4431">
      <c r="A4431" s="384" t="str">
        <f>IFERROR(__xludf.DUMMYFUNCTION("""COMPUTED_VALUE"""),"Gabriela Ortiz da Rosa Barboza Jacoby | FORMAÇÃO PEDAGÓGICA EM PEDAGOGIA - 40M | PPs aprovadas encaminhado para processo de certificação. | Fran: PPs aprovadas encaminhado para processo de certificação.")</f>
        <v>Gabriela Ortiz da Rosa Barboza Jacoby | FORMAÇÃO PEDAGÓGICA EM PEDAGOGIA - 40M | PPs aprovadas encaminhado para processo de certificação. | Fran: PPs aprovadas encaminhado para processo de certificação.</v>
      </c>
      <c r="B4431" s="93"/>
    </row>
    <row r="4432">
      <c r="A4432" s="384" t="str">
        <f>IFERROR(__xludf.DUMMYFUNCTION("""COMPUTED_VALUE"""),"GIOVANA CRISTIANE DOS SANTOS FERREIRA | PÓS-GRADUAÇÃO EM NEUROPSICOLOGIA CLÍNICA | Validação do documento de conclusão do estágio. Encaminhada para certificação. | Fran: Validação do documento de conclusão do estágio. Encaminhada para certificação.")</f>
        <v>GIOVANA CRISTIANE DOS SANTOS FERREIRA | PÓS-GRADUAÇÃO EM NEUROPSICOLOGIA CLÍNICA | Validação do documento de conclusão do estágio. Encaminhada para certificação. | Fran: Validação do documento de conclusão do estágio. Encaminhada para certificação.</v>
      </c>
      <c r="B4432" s="93"/>
    </row>
    <row r="4433">
      <c r="A4433" s="384" t="str">
        <f>IFERROR(__xludf.DUMMYFUNCTION("""COMPUTED_VALUE"""),"Dileide Ferreira Camilo | #SLUP - SEGUNDA LICENCIATURA EM PEDAGOGIA | Solicitação de correção de PPs. Análise financeira encaminhada. Aprovado aguardando | Fran: Solicitação de correção de PPs. Análise financeira encaminhada. Aprovado aguardando")</f>
        <v>Dileide Ferreira Camilo | #SLUP - SEGUNDA LICENCIATURA EM PEDAGOGIA | Solicitação de correção de PPs. Análise financeira encaminhada. Aprovado aguardando | Fran: Solicitação de correção de PPs. Análise financeira encaminhada. Aprovado aguardando</v>
      </c>
      <c r="B4433" s="93"/>
    </row>
    <row r="4434">
      <c r="A4434" s="384" t="str">
        <f>IFERROR(__xludf.DUMMYFUNCTION("""COMPUTED_VALUE"""),"Gabriel pigosso ribeiro | #SLHA - Segunda Licenciatura em História | Solicitação de correção de PPs. Análise financeira encaminhada. Aprovado aguardando | Fran: Solicitação de correção de PPs. Análise financeira encaminhada. Aprovado aguardando")</f>
        <v>Gabriel pigosso ribeiro | #SLHA - Segunda Licenciatura em História | Solicitação de correção de PPs. Análise financeira encaminhada. Aprovado aguardando | Fran: Solicitação de correção de PPs. Análise financeira encaminhada. Aprovado aguardando</v>
      </c>
      <c r="B4434" s="93"/>
    </row>
    <row r="4435">
      <c r="A4435" s="384" t="str">
        <f>IFERROR(__xludf.DUMMYFUNCTION("""COMPUTED_VALUE"""),"Edmar da Mota Ferreira | #FPUEF - Formação Pedagógica em Educação Física - 1200 Horas | PPs prontas para aprovação, financeiro ok. Falta a carta de apresentação solicitada ao aluno. | Fran: PPs prontas para aprovação, financeiro ok. Falta a carta de apres"&amp;"entação solicitada ao aluno.")</f>
        <v>Edmar da Mota Ferreira | #FPUEF - Formação Pedagógica em Educação Física - 1200 Horas | PPs prontas para aprovação, financeiro ok. Falta a carta de apresentação solicitada ao aluno. | Fran: PPs prontas para aprovação, financeiro ok. Falta a carta de apresentação solicitada ao aluno.</v>
      </c>
      <c r="B4435" s="93"/>
    </row>
    <row r="4436">
      <c r="A4436" s="384" t="str">
        <f>IFERROR(__xludf.DUMMYFUNCTION("""COMPUTED_VALUE"""),"Patrícia Pimenta Prado | #SLCBA - Segunda Licenciatura em Ciências Biológicas | Solicitação de correção de PPs. Análise financeira encaminhada. Aprovado aguardando | Fran: Solicitação de correção de PPs. Análise financeira encaminhada. Aprovado aguardando")</f>
        <v>Patrícia Pimenta Prado | #SLCBA - Segunda Licenciatura em Ciências Biológicas | Solicitação de correção de PPs. Análise financeira encaminhada. Aprovado aguardando | Fran: Solicitação de correção de PPs. Análise financeira encaminhada. Aprovado aguardando</v>
      </c>
      <c r="B4436" s="93"/>
    </row>
    <row r="4437">
      <c r="A4437" s="384" t="str">
        <f>IFERROR(__xludf.DUMMYFUNCTION("""COMPUTED_VALUE""")," Cosmo Ferreira do Nascimento | DIPLOMAÇÃO POR COMPETÊNCIA - MÚSICA | Aprovado, atualizado na plataforma.  | Fran: Aprovado, atualizado na plataforma. ")</f>
        <v> Cosmo Ferreira do Nascimento | DIPLOMAÇÃO POR COMPETÊNCIA - MÚSICA | Aprovado, atualizado na plataforma.  | Fran: Aprovado, atualizado na plataforma. </v>
      </c>
      <c r="B4437" s="93"/>
    </row>
    <row r="4438">
      <c r="A4438" s="384" t="str">
        <f>IFERROR(__xludf.DUMMYFUNCTION("""COMPUTED_VALUE"""),"DÉBORA MASCARENHAS MEDEIROS | SEGUNDA LICENCIATURA EM PEDAGOGIA - 37M | Solicitação de correção de PPs. Análise financeira encaminhada. Aprovado aguardando | Fran: Solicitação de correção de PPs. Análise financeira encaminhada. Aprovado aguardando")</f>
        <v>DÉBORA MASCARENHAS MEDEIROS | SEGUNDA LICENCIATURA EM PEDAGOGIA - 37M | Solicitação de correção de PPs. Análise financeira encaminhada. Aprovado aguardando | Fran: Solicitação de correção de PPs. Análise financeira encaminhada. Aprovado aguardando</v>
      </c>
      <c r="B4438" s="93"/>
    </row>
    <row r="4439">
      <c r="A4439" s="384" t="str">
        <f>IFERROR(__xludf.DUMMYFUNCTION("""COMPUTED_VALUE"""),"Aline Ferreira dos Santos | SEGUNDA LICENCIATURA EM PEDAGOGIA - 37M | Solicitação de correção de PPs. Análise financeira encaminhada. Aprovado aguardando | Fran: Solicitação de correção de PPs. Análise financeira encaminhada. Aprovado aguardando")</f>
        <v>Aline Ferreira dos Santos | SEGUNDA LICENCIATURA EM PEDAGOGIA - 37M | Solicitação de correção de PPs. Análise financeira encaminhada. Aprovado aguardando | Fran: Solicitação de correção de PPs. Análise financeira encaminhada. Aprovado aguardando</v>
      </c>
      <c r="B4439" s="93"/>
    </row>
    <row r="4440">
      <c r="A4440" s="384" t="str">
        <f>IFERROR(__xludf.DUMMYFUNCTION("""COMPUTED_VALUE"""),"Roni Raggi Teixeira | SEGUNDA LICENCIATURA EM MÚSICA - 52M | Solicitação de correção de PPs. Análise financeira encaminhada. Aprovado aguardando | Fran: Solicitação de correção de PPs. Análise financeira encaminhada. Aprovado aguardando")</f>
        <v>Roni Raggi Teixeira | SEGUNDA LICENCIATURA EM MÚSICA - 52M | Solicitação de correção de PPs. Análise financeira encaminhada. Aprovado aguardando | Fran: Solicitação de correção de PPs. Análise financeira encaminhada. Aprovado aguardando</v>
      </c>
      <c r="B4440" s="93"/>
    </row>
    <row r="4441">
      <c r="A4441" s="384" t="str">
        <f>IFERROR(__xludf.DUMMYFUNCTION("""COMPUTED_VALUE"""),"José Idalácio de Sousa Galvão | FORMAÇÃO PEDAGÓGICA EM HISTÓRIA - 116M | PP I Corrigida e aprovada | Fran: PP I Corrigida e aprovada")</f>
        <v>José Idalácio de Sousa Galvão | FORMAÇÃO PEDAGÓGICA EM HISTÓRIA - 116M | PP I Corrigida e aprovada | Fran: PP I Corrigida e aprovada</v>
      </c>
      <c r="B4441" s="93"/>
    </row>
    <row r="4442">
      <c r="A4442" s="384" t="str">
        <f>IFERROR(__xludf.DUMMYFUNCTION("""COMPUTED_VALUE"""),"Salete Tereza Holdefer Siqueira | #SLUEE - SEGUNDA LICENCIATURA EM EDUCAÇÃO ESPECIAL | Solicitação de correção de PPs. Análise financeira encaminhada. Aprovado aguardando | Fran: Solicitação de correção de PPs. Análise financeira encaminhada. Aprovado agu"&amp;"ardando")</f>
        <v>Salete Tereza Holdefer Siqueira | #SLUEE - SEGUNDA LICENCIATURA EM EDUCAÇÃO ESPECIAL | Solicitação de correção de PPs. Análise financeira encaminhada. Aprovado aguardando | Fran: Solicitação de correção de PPs. Análise financeira encaminhada. Aprovado aguardando</v>
      </c>
      <c r="B4442" s="93"/>
    </row>
    <row r="4443">
      <c r="A4443" s="384" t="str">
        <f>IFERROR(__xludf.DUMMYFUNCTION("""COMPUTED_VALUE"""),"Paulo Henrique Antonini | #FPMF- Formação Pedagógica em Música 2022 | TCC aprovado  | Fran: TCC aprovado ")</f>
        <v>Paulo Henrique Antonini | #FPMF- Formação Pedagógica em Música 2022 | TCC aprovado  | Fran: TCC aprovado </v>
      </c>
      <c r="B4443" s="93"/>
    </row>
    <row r="4444">
      <c r="A4444" s="384" t="str">
        <f>IFERROR(__xludf.DUMMYFUNCTION("""COMPUTED_VALUE"""),"Siro de oliveira santos | #SLMF - Segunda Licenciatura em Música 1320Horas | PPs aprovadas. | Fran: PPs aprovadas.")</f>
        <v>Siro de oliveira santos | #SLMF - Segunda Licenciatura em Música 1320Horas | PPs aprovadas. | Fran: PPs aprovadas.</v>
      </c>
      <c r="B4444" s="93"/>
    </row>
    <row r="4445">
      <c r="A4445" s="384" t="str">
        <f>IFERROR(__xludf.DUMMYFUNCTION("""COMPUTED_VALUE"""),"Suelen Ferreira Barbosa | #SLMF- Segunda Licenciatura em Música 2022 880Horas | Solicitação de correção de PPs. Análise financeira encaminhada. Aprovado aguardando | Fran: Solicitação de correção de PPs. Análise financeira encaminhada. Aprovado aguardando")</f>
        <v>Suelen Ferreira Barbosa | #SLMF- Segunda Licenciatura em Música 2022 880Horas | Solicitação de correção de PPs. Análise financeira encaminhada. Aprovado aguardando | Fran: Solicitação de correção de PPs. Análise financeira encaminhada. Aprovado aguardando</v>
      </c>
      <c r="B4445" s="93"/>
    </row>
    <row r="4446">
      <c r="A4446" s="384" t="str">
        <f>IFERROR(__xludf.DUMMYFUNCTION("""COMPUTED_VALUE"""),"Amanda Cristina Reis Clauzen | Pedagogia | Solicitação de correção de PPs. Análise financeira encaminhada. Aprovado aguardando | Fran: Solicitação de correção de PPs. Análise financeira encaminhada. Aprovado aguardando")</f>
        <v>Amanda Cristina Reis Clauzen | Pedagogia | Solicitação de correção de PPs. Análise financeira encaminhada. Aprovado aguardando | Fran: Solicitação de correção de PPs. Análise financeira encaminhada. Aprovado aguardando</v>
      </c>
      <c r="B4446" s="93"/>
    </row>
    <row r="4447">
      <c r="A4447" s="384" t="str">
        <f>IFERROR(__xludf.DUMMYFUNCTION("""COMPUTED_VALUE"""),"Liliane Pinto | FORMAÇÃO PEDAGÓGICA EM PEDAGOGIA - 2024 | Falta a entrevista, parte I e carta ok | Fran: Falta a entrevista, parte I e carta ok")</f>
        <v>Liliane Pinto | FORMAÇÃO PEDAGÓGICA EM PEDAGOGIA - 2024 | Falta a entrevista, parte I e carta ok | Fran: Falta a entrevista, parte I e carta ok</v>
      </c>
      <c r="B4447" s="93"/>
    </row>
    <row r="4448">
      <c r="A4448" s="384" t="str">
        <f>IFERROR(__xludf.DUMMYFUNCTION("""COMPUTED_VALUE"""),"Sergio Alves Muniz | #SLMF - Segunda Licenciatura em Música 1320Horas |  Aprovado  | Fran:  Aprovado ")</f>
        <v>Sergio Alves Muniz | #SLMF - Segunda Licenciatura em Música 1320Horas |  Aprovado  | Fran:  Aprovado </v>
      </c>
      <c r="B4448" s="93"/>
    </row>
    <row r="4449">
      <c r="A4449" s="384" t="str">
        <f>IFERROR(__xludf.DUMMYFUNCTION("""COMPUTED_VALUE"""),"Anacélia da Silva Brito | #SLH+1- Segunda Licenciatura em História | PPs aprovadas. | Fran: PPs aprovadas.")</f>
        <v>Anacélia da Silva Brito | #SLH+1- Segunda Licenciatura em História | PPs aprovadas. | Fran: PPs aprovadas.</v>
      </c>
      <c r="B4449" s="93"/>
    </row>
    <row r="4450">
      <c r="A4450" s="384" t="str">
        <f>IFERROR(__xludf.DUMMYFUNCTION("""COMPUTED_VALUE"""),"THIAGO ALEXANDRE GOMES FAVARIS | FORMAÇÃO PEDAGÓGICA EM LETRAS - PORTUGUES E ESPANHOL | Enviou agora em dezembro ofereci apressamento. | Fran: Enviou agora em dezembro ofereci apressamento.")</f>
        <v>THIAGO ALEXANDRE GOMES FAVARIS | FORMAÇÃO PEDAGÓGICA EM LETRAS - PORTUGUES E ESPANHOL | Enviou agora em dezembro ofereci apressamento. | Fran: Enviou agora em dezembro ofereci apressamento.</v>
      </c>
      <c r="B4450" s="93"/>
    </row>
    <row r="4451">
      <c r="A4451" s="384" t="str">
        <f>IFERROR(__xludf.DUMMYFUNCTION("""COMPUTED_VALUE"""),"Thays karoline da Silva Xavier | #SLUA- Segunda Licenciatura em Artes Visuais | PP I aprovadas. | Fran: PP I aprovadas.")</f>
        <v>Thays karoline da Silva Xavier | #SLUA- Segunda Licenciatura em Artes Visuais | PP I aprovadas. | Fran: PP I aprovadas.</v>
      </c>
      <c r="B4451" s="93"/>
    </row>
    <row r="4452">
      <c r="A4452" s="384" t="str">
        <f>IFERROR(__xludf.DUMMYFUNCTION("""COMPUTED_VALUE"""),"Bernadete Eloi Bottoli | Formação Pedagógica História e Sociologia | PPs, aprovadas.  | Fran: PPs, aprovadas. ")</f>
        <v>Bernadete Eloi Bottoli | Formação Pedagógica História e Sociologia | PPs, aprovadas.  | Fran: PPs, aprovadas. </v>
      </c>
      <c r="B4452" s="93"/>
    </row>
    <row r="4453">
      <c r="A4453" s="384" t="str">
        <f>IFERROR(__xludf.DUMMYFUNCTION("""COMPUTED_VALUE"""),"Carla de Cássia Vieira Socca | Artes Visuais | Solicitação de análise de financeiro para correção. PPs Aprovadas. | Fran: Solicitação de análise de financeiro para correção. PPs Aprovadas.")</f>
        <v>Carla de Cássia Vieira Socca | Artes Visuais | Solicitação de análise de financeiro para correção. PPs Aprovadas. | Fran: Solicitação de análise de financeiro para correção. PPs Aprovadas.</v>
      </c>
      <c r="B4453" s="93"/>
    </row>
    <row r="4454">
      <c r="A4454" s="384" t="str">
        <f>IFERROR(__xludf.DUMMYFUNCTION("""COMPUTED_VALUE"""),"Lorrayne Raika Oliveira Marques de Figueiredo | SEGUNDA LICENCIATURA EM HISTÓRIA | Reprovadas. Envio de feedback para correção para a estudante. | Fran: Reprovadas. Envio de feedback para correção para a estudante.")</f>
        <v>Lorrayne Raika Oliveira Marques de Figueiredo | SEGUNDA LICENCIATURA EM HISTÓRIA | Reprovadas. Envio de feedback para correção para a estudante. | Fran: Reprovadas. Envio de feedback para correção para a estudante.</v>
      </c>
      <c r="B4454" s="93"/>
    </row>
    <row r="4455">
      <c r="A4455" s="384" t="str">
        <f>IFERROR(__xludf.DUMMYFUNCTION("""COMPUTED_VALUE"""),"FILIPE LOPES DE OLIVEIRA | FORMAÇÃO PEDAGÓGICA EM MÚSICA | Encaminhado para análise financeiro. Aprovado. | Fran: Encaminhado para análise financeiro. Aprovado.")</f>
        <v>FILIPE LOPES DE OLIVEIRA | FORMAÇÃO PEDAGÓGICA EM MÚSICA | Encaminhado para análise financeiro. Aprovado. | Fran: Encaminhado para análise financeiro. Aprovado.</v>
      </c>
      <c r="B4455" s="93"/>
    </row>
    <row r="4456">
      <c r="A4456" s="384" t="str">
        <f>IFERROR(__xludf.DUMMYFUNCTION("""COMPUTED_VALUE"""),"Patricia Maria Da Silva Soares | Não encontrada nas plataformas | Reprovadas. Envio de feedback para correção para a estudante. | Fran: Reprovadas. Envio de feedback para correção para a estudante.")</f>
        <v>Patricia Maria Da Silva Soares | Não encontrada nas plataformas | Reprovadas. Envio de feedback para correção para a estudante. | Fran: Reprovadas. Envio de feedback para correção para a estudante.</v>
      </c>
      <c r="B4456" s="93"/>
    </row>
    <row r="4457">
      <c r="A4457" s="384" t="str">
        <f>IFERROR(__xludf.DUMMYFUNCTION("""COMPUTED_VALUE"""),"Eraldo Loures dos Santos
 | FORMAÇÃO PEDAGÓGICA EM HISTÓRIA - 2024 | Reprovadas. Envio de feedback para correção para a estudante. | Fran: Reprovadas. Envio de feedback para correção para a estudante.")</f>
        <v>Eraldo Loures dos Santos
 | FORMAÇÃO PEDAGÓGICA EM HISTÓRIA - 2024 | Reprovadas. Envio de feedback para correção para a estudante. | Fran: Reprovadas. Envio de feedback para correção para a estudante.</v>
      </c>
      <c r="B4457" s="93"/>
    </row>
    <row r="4458">
      <c r="A4458" s="384" t="str">
        <f>IFERROR(__xludf.DUMMYFUNCTION("""COMPUTED_VALUE"""),"SAUINY DA SILVA BENTO | Segunda LICENCIATURA EM GEOGRAFIA | Solicitação de correções e reenvio da aluna. Solicitação de analise de financeiro encaminhada. | Fran: Solicitação de correções e reenvio da aluna. Solicitação de analise de financeiro encaminhad"&amp;"a.")</f>
        <v>SAUINY DA SILVA BENTO | Segunda LICENCIATURA EM GEOGRAFIA | Solicitação de correções e reenvio da aluna. Solicitação de analise de financeiro encaminhada. | Fran: Solicitação de correções e reenvio da aluna. Solicitação de analise de financeiro encaminhada.</v>
      </c>
      <c r="B4458" s="93"/>
    </row>
    <row r="4459">
      <c r="A4459" s="384" t="str">
        <f>IFERROR(__xludf.DUMMYFUNCTION("""COMPUTED_VALUE"""),"Luiz Henrique Soares Fontes | Segunda Licenciatura em Música 1320Horas | PPs aprovadas encaminhado para certificação. | Fran: PPs aprovadas encaminhado para certificação.")</f>
        <v>Luiz Henrique Soares Fontes | Segunda Licenciatura em Música 1320Horas | PPs aprovadas encaminhado para certificação. | Fran: PPs aprovadas encaminhado para certificação.</v>
      </c>
      <c r="B4459" s="93"/>
    </row>
    <row r="4460">
      <c r="A4460" s="384" t="str">
        <f>IFERROR(__xludf.DUMMYFUNCTION("""COMPUTED_VALUE"""),"Cinthia Ferreira Arcanjo Silva | #SLMF- Segunda Licenciatura Música  | PPs aprovadas encaminhado para certificação. | Fran: PPs aprovadas encaminhado para certificação.")</f>
        <v>Cinthia Ferreira Arcanjo Silva | #SLMF- Segunda Licenciatura Música  | PPs aprovadas encaminhado para certificação. | Fran: PPs aprovadas encaminhado para certificação.</v>
      </c>
      <c r="B4460" s="93"/>
    </row>
    <row r="4461">
      <c r="A4461" s="384" t="str">
        <f>IFERROR(__xludf.DUMMYFUNCTION("""COMPUTED_VALUE"""),"Karla Patrícia Menezes Costa | Segunda Licenciatura em Pedagogia | PPs aprovadas encaminhado para certificação. | Fran: PPs aprovadas encaminhado para certificação.")</f>
        <v>Karla Patrícia Menezes Costa | Segunda Licenciatura em Pedagogia | PPs aprovadas encaminhado para certificação. | Fran: PPs aprovadas encaminhado para certificação.</v>
      </c>
      <c r="B4461" s="93"/>
    </row>
    <row r="4462">
      <c r="A4462" s="384" t="str">
        <f>IFERROR(__xludf.DUMMYFUNCTION("""COMPUTED_VALUE"""),"Marcos Silva Lima | Formação Pedagógica em Música | Solicitação de correção. Solicitação de análise financeira feita novamente. | Fran: Solicitação de correção. Solicitação de análise financeira feita novamente.")</f>
        <v>Marcos Silva Lima | Formação Pedagógica em Música | Solicitação de correção. Solicitação de análise financeira feita novamente. | Fran: Solicitação de correção. Solicitação de análise financeira feita novamente.</v>
      </c>
      <c r="B4462" s="93"/>
    </row>
    <row r="4463">
      <c r="A4463" s="384" t="str">
        <f>IFERROR(__xludf.DUMMYFUNCTION("""COMPUTED_VALUE"""),"Álvaro José Gonçalves Neto | SEGUNDA LICENCIATURA EM MÚSICA - 2024 | PP I aprovada- Encaminhado material para PP II | Fran: PP I aprovada- Encaminhado material para PP II")</f>
        <v>Álvaro José Gonçalves Neto | SEGUNDA LICENCIATURA EM MÚSICA - 2024 | PP I aprovada- Encaminhado material para PP II | Fran: PP I aprovada- Encaminhado material para PP II</v>
      </c>
      <c r="B4463" s="93"/>
    </row>
    <row r="4464">
      <c r="A4464" s="384" t="str">
        <f>IFERROR(__xludf.DUMMYFUNCTION("""COMPUTED_VALUE"""),"Rafaela Macedo de Araújo | Pós-Graduação em Neuropsicologia Clínica | Apenas parte teórica, solicitação de encaminhamento para assinaturas. | Fran: Apenas parte teórica, solicitação de encaminhamento para assinaturas.")</f>
        <v>Rafaela Macedo de Araújo | Pós-Graduação em Neuropsicologia Clínica | Apenas parte teórica, solicitação de encaminhamento para assinaturas. | Fran: Apenas parte teórica, solicitação de encaminhamento para assinaturas.</v>
      </c>
      <c r="B4464" s="93"/>
    </row>
    <row r="4465">
      <c r="A4465" s="384" t="str">
        <f>IFERROR(__xludf.DUMMYFUNCTION("""COMPUTED_VALUE"""),"Rafael Radke Nascimento | FORMAÇÃO PEDAGÓGICA EM MÚSICA - 53M | Correção do TCC e orientações encaminhadas ao aluno. | Fran: Correção do TCC e orientações encaminhadas ao aluno.")</f>
        <v>Rafael Radke Nascimento | FORMAÇÃO PEDAGÓGICA EM MÚSICA - 53M | Correção do TCC e orientações encaminhadas ao aluno. | Fran: Correção do TCC e orientações encaminhadas ao aluno.</v>
      </c>
      <c r="B4465" s="93"/>
    </row>
    <row r="4466">
      <c r="A4466" s="384" t="str">
        <f>IFERROR(__xludf.DUMMYFUNCTION("""COMPUTED_VALUE"""),"Guilherme de Jesus Straccini | #SLMF - Segunda Licenciatura em Música 1320Horas | PPs Aprovadas encaminhado para certificação. | Fran: PPs Aprovadas encaminhado para certificação.")</f>
        <v>Guilherme de Jesus Straccini | #SLMF - Segunda Licenciatura em Música 1320Horas | PPs Aprovadas encaminhado para certificação. | Fran: PPs Aprovadas encaminhado para certificação.</v>
      </c>
      <c r="B4466" s="93"/>
    </row>
    <row r="4467">
      <c r="A4467" s="384" t="str">
        <f>IFERROR(__xludf.DUMMYFUNCTION("""COMPUTED_VALUE"""),"Carla Lopes da Silva Vieira | Faço educação especial a distância e liguei na Unicv | Solicitação de correção de TCC. Não localizado. | Fran: Solicitação de correção de TCC. Não localizado.")</f>
        <v>Carla Lopes da Silva Vieira | Faço educação especial a distância e liguei na Unicv | Solicitação de correção de TCC. Não localizado. | Fran: Solicitação de correção de TCC. Não localizado.</v>
      </c>
      <c r="B4467" s="93"/>
    </row>
    <row r="4468">
      <c r="A4468" s="384" t="str">
        <f>IFERROR(__xludf.DUMMYFUNCTION("""COMPUTED_VALUE"""),"MARIA ANGELICA CARVALHO DOS SANTOS SILVA | Segunda licenciatura em Música | Não localizada em nenhuma das duas plataformas. | Fran: Não localizada em nenhuma das duas plataformas.")</f>
        <v>MARIA ANGELICA CARVALHO DOS SANTOS SILVA | Segunda licenciatura em Música | Não localizada em nenhuma das duas plataformas. | Fran: Não localizada em nenhuma das duas plataformas.</v>
      </c>
      <c r="B4468" s="93"/>
    </row>
    <row r="4469">
      <c r="A4469" s="384" t="str">
        <f>IFERROR(__xludf.DUMMYFUNCTION("""COMPUTED_VALUE"""),"MARIA ANGELICA CARVALHO DOS SANTOS SILVA | Segunda licenciatura em Música | PPs Aprovadas. Solicitação dde verificação da aluna no sistema e análise financeira. | Fran: PPs Aprovadas. Solicitação dde verificação da aluna no sistema e análise financeira.")</f>
        <v>MARIA ANGELICA CARVALHO DOS SANTOS SILVA | Segunda licenciatura em Música | PPs Aprovadas. Solicitação dde verificação da aluna no sistema e análise financeira. | Fran: PPs Aprovadas. Solicitação dde verificação da aluna no sistema e análise financeira.</v>
      </c>
      <c r="B4469" s="93"/>
    </row>
    <row r="4470">
      <c r="A4470" s="384" t="str">
        <f>IFERROR(__xludf.DUMMYFUNCTION("""COMPUTED_VALUE"""),"Bruna Jennifer Barbosa dos Santos | Segunda licenciatura em artes visuais | PPs Aprovadas encaminhado para certificação. | Fran: PPs Aprovadas encaminhado para certificação.")</f>
        <v>Bruna Jennifer Barbosa dos Santos | Segunda licenciatura em artes visuais | PPs Aprovadas encaminhado para certificação. | Fran: PPs Aprovadas encaminhado para certificação.</v>
      </c>
      <c r="B4470" s="93"/>
    </row>
    <row r="4471">
      <c r="A4471" s="384" t="str">
        <f>IFERROR(__xludf.DUMMYFUNCTION("""COMPUTED_VALUE"""),"Glaucia Regina Piveta Marques | DIPLOMAÇÃO POR COMPETÊNCIA - PEDAGOGIA | Projeto aprovado.Nota 7,5 | Fran: Projeto aprovado.Nota 7,5")</f>
        <v>Glaucia Regina Piveta Marques | DIPLOMAÇÃO POR COMPETÊNCIA - PEDAGOGIA | Projeto aprovado.Nota 7,5 | Fran: Projeto aprovado.Nota 7,5</v>
      </c>
      <c r="B4471" s="93"/>
    </row>
    <row r="4472">
      <c r="A4472" s="384" t="str">
        <f>IFERROR(__xludf.DUMMYFUNCTION("""COMPUTED_VALUE"""),"Francineide Costa de Oliveira | SEGUNDA LICENCIATURA EM EDUCAÇÃO ESPECIAL - 41M | PPs Aprovadas. Solicitação dde verificação da aluna no sistema e análise financeira. | Fran: PPs Aprovadas. Solicitação dde verificação da aluna no sistema e análise finance"&amp;"ira.")</f>
        <v>Francineide Costa de Oliveira | SEGUNDA LICENCIATURA EM EDUCAÇÃO ESPECIAL - 41M | PPs Aprovadas. Solicitação dde verificação da aluna no sistema e análise financeira. | Fran: PPs Aprovadas. Solicitação dde verificação da aluna no sistema e análise financeira.</v>
      </c>
      <c r="B4472" s="93"/>
    </row>
    <row r="4473">
      <c r="A4473" s="384" t="str">
        <f>IFERROR(__xludf.DUMMYFUNCTION("""COMPUTED_VALUE"""),"Márcia Cristina Borges de Sousa | Pós-Graduação em Coordenação e Orientação Escolar | PPs Aprovadas. Solicitação dde verificação da aluna no sistema e análise financeira. | Fran: PPs Aprovadas. Solicitação dde verificação da aluna no sistema e análise fin"&amp;"anceira.")</f>
        <v>Márcia Cristina Borges de Sousa | Pós-Graduação em Coordenação e Orientação Escolar | PPs Aprovadas. Solicitação dde verificação da aluna no sistema e análise financeira. | Fran: PPs Aprovadas. Solicitação dde verificação da aluna no sistema e análise financeira.</v>
      </c>
      <c r="B4473" s="93"/>
    </row>
    <row r="4474">
      <c r="A4474" s="384" t="str">
        <f>IFERROR(__xludf.DUMMYFUNCTION("""COMPUTED_VALUE"""),"Marco Túlio de Abreu | Segunda graduação pedagogia licenciatura | PPs I aprovadas orientação para fazer as PPs II | Fran: PPs I aprovadas orientação para fazer as PPs II")</f>
        <v>Marco Túlio de Abreu | Segunda graduação pedagogia licenciatura | PPs I aprovadas orientação para fazer as PPs II | Fran: PPs I aprovadas orientação para fazer as PPs II</v>
      </c>
      <c r="B4474" s="93"/>
    </row>
    <row r="4475">
      <c r="A4475" s="384" t="str">
        <f>IFERROR(__xludf.DUMMYFUNCTION("""COMPUTED_VALUE"""),"Dineia Braga da Silva | #SLMF - Segunda Licenciatura em Música 1320Horas | PPs Aprovadas. Solicitação dde verificação da aluna no sistema e análise financeira. | Fran: PPs Aprovadas. Solicitação dde verificação da aluna no sistema e análise financeira.")</f>
        <v>Dineia Braga da Silva | #SLMF - Segunda Licenciatura em Música 1320Horas | PPs Aprovadas. Solicitação dde verificação da aluna no sistema e análise financeira. | Fran: PPs Aprovadas. Solicitação dde verificação da aluna no sistema e análise financeira.</v>
      </c>
      <c r="B4475" s="93"/>
    </row>
    <row r="4476">
      <c r="A4476" s="384" t="str">
        <f>IFERROR(__xludf.DUMMYFUNCTION("""COMPUTED_VALUE"""),"Marines Paifer martins | #FPUA- Formação Pedagógica em Artes Visuais | PPs Aprovadas. Solicitação dde verificação da aluna no sistema e análise financeira. | Fran: PPs Aprovadas. Solicitação dde verificação da aluna no sistema e análise financeira.")</f>
        <v>Marines Paifer martins | #FPUA- Formação Pedagógica em Artes Visuais | PPs Aprovadas. Solicitação dde verificação da aluna no sistema e análise financeira. | Fran: PPs Aprovadas. Solicitação dde verificação da aluna no sistema e análise financeira.</v>
      </c>
      <c r="B4476" s="93"/>
    </row>
    <row r="4477">
      <c r="A4477" s="384" t="str">
        <f>IFERROR(__xludf.DUMMYFUNCTION("""COMPUTED_VALUE"""),"Marines Paifer martins | #FPT1-Pedagogia para Bacharéis e Tecnólogos (2022) | PPs Aprovadas. Solicitação dde verificação da aluna no sistema e análise financeira. | Fran: PPs Aprovadas. Solicitação dde verificação da aluna no sistema e análise financeira.")</f>
        <v>Marines Paifer martins | #FPT1-Pedagogia para Bacharéis e Tecnólogos (2022) | PPs Aprovadas. Solicitação dde verificação da aluna no sistema e análise financeira. | Fran: PPs Aprovadas. Solicitação dde verificação da aluna no sistema e análise financeira.</v>
      </c>
      <c r="B4477" s="93"/>
    </row>
    <row r="4478">
      <c r="A4478" s="384" t="str">
        <f>IFERROR(__xludf.DUMMYFUNCTION("""COMPUTED_VALUE"""),"Hamilton Portella Jr | #FPMF- Formação Pedagógica em Música 1200Horas | Análise financeira efetuada. Correção liberada. | Fran: Análise financeira efetuada. Correção liberada.")</f>
        <v>Hamilton Portella Jr | #FPMF- Formação Pedagógica em Música 1200Horas | Análise financeira efetuada. Correção liberada. | Fran: Análise financeira efetuada. Correção liberada.</v>
      </c>
      <c r="B4478" s="93"/>
    </row>
    <row r="4479">
      <c r="A4479" s="384" t="str">
        <f>IFERROR(__xludf.DUMMYFUNCTION("""COMPUTED_VALUE"""),"Alexandre Lima Da Silva | #SLUEF - Segunda Licenciatura em Educação Física | PPs Aprovadas, financeiro não liberou, pois há parcelas em aberto. | Fran: PPs Aprovadas, financeiro não liberou, pois há parcelas em aberto.")</f>
        <v>Alexandre Lima Da Silva | #SLUEF - Segunda Licenciatura em Educação Física | PPs Aprovadas, financeiro não liberou, pois há parcelas em aberto. | Fran: PPs Aprovadas, financeiro não liberou, pois há parcelas em aberto.</v>
      </c>
      <c r="B4479" s="93"/>
    </row>
    <row r="4480">
      <c r="A4480" s="384" t="str">
        <f>IFERROR(__xludf.DUMMYFUNCTION("""COMPUTED_VALUE"""),"Jaci Ribeiro de Jesus | #SLUEF - Segunda Licenciatura em Educação Física | Verificar Plágio e dar retorno. | Fran: Verificar Plágio e dar retorno.")</f>
        <v>Jaci Ribeiro de Jesus | #SLUEF - Segunda Licenciatura em Educação Física | Verificar Plágio e dar retorno. | Fran: Verificar Plágio e dar retorno.</v>
      </c>
      <c r="B4480" s="93"/>
    </row>
    <row r="4481">
      <c r="A4481" s="384" t="str">
        <f>IFERROR(__xludf.DUMMYFUNCTION("""COMPUTED_VALUE"""),"Kelley Adriana Lopes Martins | #FPUP-FORMAÇÃO PEDAGÓGICA EM PEDAGOGIA- U | PPs Aprovadas encaminhado para certificação. | Fran: PPs Aprovadas encaminhado para certificação.")</f>
        <v>Kelley Adriana Lopes Martins | #FPUP-FORMAÇÃO PEDAGÓGICA EM PEDAGOGIA- U | PPs Aprovadas encaminhado para certificação. | Fran: PPs Aprovadas encaminhado para certificação.</v>
      </c>
      <c r="B4481" s="93"/>
    </row>
    <row r="4482">
      <c r="A4482" s="384" t="str">
        <f>IFERROR(__xludf.DUMMYFUNCTION("""COMPUTED_VALUE"""),"Maria Angélica Carvalho dos Santos Silva | #SLUEF - Segunda Licenciatura em Educação Física | PPs Aprovadas. Solicitação dde verificação da aluna no sistema e análise financeira. | Fran: PPs Aprovadas. Solicitação dde verificação da aluna no sistema e aná"&amp;"lise financeira.")</f>
        <v>Maria Angélica Carvalho dos Santos Silva | #SLUEF - Segunda Licenciatura em Educação Física | PPs Aprovadas. Solicitação dde verificação da aluna no sistema e análise financeira. | Fran: PPs Aprovadas. Solicitação dde verificação da aluna no sistema e análise financeira.</v>
      </c>
      <c r="B4482" s="93"/>
    </row>
    <row r="4483">
      <c r="A4483" s="384" t="str">
        <f>IFERROR(__xludf.DUMMYFUNCTION("""COMPUTED_VALUE"""),"Marcos Antonio de Farias | Pedagogia 2a. Lic | PPs Aprovadas. Solicitação dde verificação da aluna no sistema e análise financeira. | Fran: PPs Aprovadas. Solicitação dde verificação da aluna no sistema e análise financeira.")</f>
        <v>Marcos Antonio de Farias | Pedagogia 2a. Lic | PPs Aprovadas. Solicitação dde verificação da aluna no sistema e análise financeira. | Fran: PPs Aprovadas. Solicitação dde verificação da aluna no sistema e análise financeira.</v>
      </c>
      <c r="B4483" s="93"/>
    </row>
    <row r="4484">
      <c r="A4484" s="384" t="str">
        <f>IFERROR(__xludf.DUMMYFUNCTION("""COMPUTED_VALUE"""),"Caroline Regina Custódio | #FPMF- Formação Pedagógica em Música 1200Horas | PPs Aprovadas. Solicitação dde verificação da aluna no sistema e análise financeira. | Fran: PPs Aprovadas. Solicitação dde verificação da aluna no sistema e análise financeira.")</f>
        <v>Caroline Regina Custódio | #FPMF- Formação Pedagógica em Música 1200Horas | PPs Aprovadas. Solicitação dde verificação da aluna no sistema e análise financeira. | Fran: PPs Aprovadas. Solicitação dde verificação da aluna no sistema e análise financeira.</v>
      </c>
      <c r="B4484" s="93"/>
    </row>
    <row r="4485">
      <c r="A4485" s="384" t="str">
        <f>IFERROR(__xludf.DUMMYFUNCTION("""COMPUTED_VALUE"""),"Rúbia de Souza Silva | Sociologia | Aluna solicitou a correção,mas não foiencontrado o trabalho referente a este curso somente outros. | Fran: Aluna solicitou a correção,mas não foiencontrado o trabalho referente a este curso somente outros.")</f>
        <v>Rúbia de Souza Silva | Sociologia | Aluna solicitou a correção,mas não foiencontrado o trabalho referente a este curso somente outros. | Fran: Aluna solicitou a correção,mas não foiencontrado o trabalho referente a este curso somente outros.</v>
      </c>
      <c r="B4485" s="93"/>
    </row>
    <row r="4486">
      <c r="A4486" s="384" t="str">
        <f>IFERROR(__xludf.DUMMYFUNCTION("""COMPUTED_VALUE"""),"Edriane Araújo Serra Sousa | Pós-Graduação em Neuropsicopedagogia Institucional, Clínica e Hospitalar 850h | Validação do documento final de estágio. | Fran: Validação do documento final de estágio.")</f>
        <v>Edriane Araújo Serra Sousa | Pós-Graduação em Neuropsicopedagogia Institucional, Clínica e Hospitalar 850h | Validação do documento final de estágio. | Fran: Validação do documento final de estágio.</v>
      </c>
      <c r="B4486" s="93"/>
    </row>
    <row r="4487">
      <c r="A4487" s="384" t="str">
        <f>IFERROR(__xludf.DUMMYFUNCTION("""COMPUTED_VALUE"""),"Santiago dos Santos Santarém | FORMAÇÃO PEDAGÓGICA EM ARTES VISUAIS | PPs Aprovadas. Solicitação dde verificação da aluna no sistema e análise financeira. | Fran: PPs Aprovadas. Solicitação dde verificação da aluna no sistema e análise financeira.")</f>
        <v>Santiago dos Santos Santarém | FORMAÇÃO PEDAGÓGICA EM ARTES VISUAIS | PPs Aprovadas. Solicitação dde verificação da aluna no sistema e análise financeira. | Fran: PPs Aprovadas. Solicitação dde verificação da aluna no sistema e análise financeira.</v>
      </c>
      <c r="B4487" s="93"/>
    </row>
    <row r="4488">
      <c r="A4488" s="384" t="str">
        <f>IFERROR(__xludf.DUMMYFUNCTION("""COMPUTED_VALUE"""),"Andreza Luana de Andrade Santos | #SLPA- Segunda Licenciatura em Pedagogia 01 | PPs já haviam sido corrigidas e aprovadas encaminhada para certificação. | Fran: PPs já haviam sido corrigidas e aprovadas encaminhada para certificação.")</f>
        <v>Andreza Luana de Andrade Santos | #SLPA- Segunda Licenciatura em Pedagogia 01 | PPs já haviam sido corrigidas e aprovadas encaminhada para certificação. | Fran: PPs já haviam sido corrigidas e aprovadas encaminhada para certificação.</v>
      </c>
      <c r="B4488" s="93"/>
    </row>
    <row r="4489">
      <c r="A4489" s="384" t="str">
        <f>IFERROR(__xludf.DUMMYFUNCTION("""COMPUTED_VALUE"""),"Maiza Moreira da Silva | #FPMF- Formação Pedagógica em Música 1200Horas | PPs aprovadas encaminhada para certificação. | Fran: PPs aprovadas encaminhada para certificação.")</f>
        <v>Maiza Moreira da Silva | #FPMF- Formação Pedagógica em Música 1200Horas | PPs aprovadas encaminhada para certificação. | Fran: PPs aprovadas encaminhada para certificação.</v>
      </c>
      <c r="B4489" s="93"/>
    </row>
    <row r="4490">
      <c r="A4490" s="384" t="str">
        <f>IFERROR(__xludf.DUMMYFUNCTION("""COMPUTED_VALUE"""),"Adilson de Sousa | #FPMF- Formação Pedagógica em Música 1200Horas | Já havia sido corrigido. | Fran: Já havia sido corrigido.")</f>
        <v>Adilson de Sousa | #FPMF- Formação Pedagógica em Música 1200Horas | Já havia sido corrigido. | Fran: Já havia sido corrigido.</v>
      </c>
      <c r="B4490" s="93"/>
    </row>
    <row r="4491">
      <c r="A4491" s="384" t="str">
        <f>IFERROR(__xludf.DUMMYFUNCTION("""COMPUTED_VALUE"""),"DILEIDE FERREIRA CAMILO | #SLUP - SEGUNDA LICENCIATURA EM PEDAGOGIA | PPs Aprovadas. Solicitação de verificação da aluna no sistema e análise financeira. | Fran: PPs Aprovadas. Solicitação de verificação da aluna no sistema e análise financeira.")</f>
        <v>DILEIDE FERREIRA CAMILO | #SLUP - SEGUNDA LICENCIATURA EM PEDAGOGIA | PPs Aprovadas. Solicitação de verificação da aluna no sistema e análise financeira. | Fran: PPs Aprovadas. Solicitação de verificação da aluna no sistema e análise financeira.</v>
      </c>
      <c r="B4491" s="93"/>
    </row>
    <row r="4492">
      <c r="A4492" s="384" t="str">
        <f>IFERROR(__xludf.DUMMYFUNCTION("""COMPUTED_VALUE"""),"Rúbia de Souza Silva | SEGUNDA LICENCIATURA EM SOCIOLOGIA - 55M | Já havia sido corrigido o que ela enviou. | Fran: Já havia sido corrigido o que ela enviou.")</f>
        <v>Rúbia de Souza Silva | SEGUNDA LICENCIATURA EM SOCIOLOGIA - 55M | Já havia sido corrigido o que ela enviou. | Fran: Já havia sido corrigido o que ela enviou.</v>
      </c>
      <c r="B4492" s="93"/>
    </row>
    <row r="4493">
      <c r="A4493" s="384" t="str">
        <f>IFERROR(__xludf.DUMMYFUNCTION("""COMPUTED_VALUE"""),"Marcelo Leandro Pereira Lopes | #SLUP - SEGUNDA LICENCIATURA EM PEDAGOGIA | PPs aprovadas orientação para certificação. | Fran: PPs aprovadas orientação para certificação.")</f>
        <v>Marcelo Leandro Pereira Lopes | #SLUP - SEGUNDA LICENCIATURA EM PEDAGOGIA | PPs aprovadas orientação para certificação. | Fran: PPs aprovadas orientação para certificação.</v>
      </c>
      <c r="B4493" s="93"/>
    </row>
    <row r="4494">
      <c r="A4494" s="384" t="str">
        <f>IFERROR(__xludf.DUMMYFUNCTION("""COMPUTED_VALUE"""),"Luis Dagmar da Rocha | #SLMF - Segunda Licenciatura em Música 1320Horas | PPs aprovadas atualizado na planilha de certificação. | Fran: PPs aprovadas atualizado na planilha de certificação.")</f>
        <v>Luis Dagmar da Rocha | #SLMF - Segunda Licenciatura em Música 1320Horas | PPs aprovadas atualizado na planilha de certificação. | Fran: PPs aprovadas atualizado na planilha de certificação.</v>
      </c>
      <c r="B4494" s="93"/>
    </row>
    <row r="4495">
      <c r="A4495" s="384" t="str">
        <f>IFERROR(__xludf.DUMMYFUNCTION("""COMPUTED_VALUE"""),"Kauana Alves Oliveira | FORMAÇÃO PEDAGÓGICA EM ARTES VISUAIS | PPs aprovadas atualizado na planilha de certificação. | Fran: PPs aprovadas atualizado na planilha de certificação.")</f>
        <v>Kauana Alves Oliveira | FORMAÇÃO PEDAGÓGICA EM ARTES VISUAIS | PPs aprovadas atualizado na planilha de certificação. | Fran: PPs aprovadas atualizado na planilha de certificação.</v>
      </c>
      <c r="B4495" s="93"/>
    </row>
    <row r="4496">
      <c r="A4496" s="384" t="str">
        <f>IFERROR(__xludf.DUMMYFUNCTION("""COMPUTED_VALUE"""),"Roni Pereira das Virgens | Formação Pedagógica História | Aluno expirado,mas enviou trabalho dentro do prazo Claudinei liberou correção.  | Fran: Aluno expirado,mas enviou trabalho dentro do prazo Claudinei liberou correção. ")</f>
        <v>Roni Pereira das Virgens | Formação Pedagógica História | Aluno expirado,mas enviou trabalho dentro do prazo Claudinei liberou correção.  | Fran: Aluno expirado,mas enviou trabalho dentro do prazo Claudinei liberou correção. </v>
      </c>
      <c r="B4496" s="93"/>
    </row>
    <row r="4497">
      <c r="A4497" s="384" t="str">
        <f>IFERROR(__xludf.DUMMYFUNCTION("""COMPUTED_VALUE"""),"Gilvan Herbert de Freitas | #SLMF - Segunda Licenciatura em Música 1320Horas | Aprovado. Atualizado na planilha de certificação. | Fran: Aprovado. Atualizado na planilha de certificação.")</f>
        <v>Gilvan Herbert de Freitas | #SLMF - Segunda Licenciatura em Música 1320Horas | Aprovado. Atualizado na planilha de certificação. | Fran: Aprovado. Atualizado na planilha de certificação.</v>
      </c>
      <c r="B4497" s="93"/>
    </row>
    <row r="4498">
      <c r="A4498" s="384" t="str">
        <f>IFERROR(__xludf.DUMMYFUNCTION("""COMPUTED_VALUE"""),"Leandro Roberto De Morais | #FPMF- Formação Pedagógica em Música 2022 | Aprovado. Atualizado na planilha de certificação. | Fran: Aprovado. Atualizado na planilha de certificação.")</f>
        <v>Leandro Roberto De Morais | #FPMF- Formação Pedagógica em Música 2022 | Aprovado. Atualizado na planilha de certificação. | Fran: Aprovado. Atualizado na planilha de certificação.</v>
      </c>
      <c r="B4498" s="93"/>
    </row>
    <row r="4499">
      <c r="A4499" s="384" t="str">
        <f>IFERROR(__xludf.DUMMYFUNCTION("""COMPUTED_VALUE"""),"Rafael radke nascimento | FORMAÇÃO PEDAGÓGICA EM MÚSICA - 53M | Tcc aprovado Nota 9 | Fran: Tcc aprovado Nota 9")</f>
        <v>Rafael radke nascimento | FORMAÇÃO PEDAGÓGICA EM MÚSICA - 53M | Tcc aprovado Nota 9 | Fran: Tcc aprovado Nota 9</v>
      </c>
      <c r="B4499" s="93"/>
    </row>
    <row r="4500">
      <c r="A4500" s="384" t="str">
        <f>IFERROR(__xludf.DUMMYFUNCTION("""COMPUTED_VALUE"""),"José Ademir de Medeiros | 2° Licenciatura Música | PPs não localizadas na platafrma nem no email. Solicitações e questionamentos encaminhados ao aluno. Atualizado contato na planilha de acompanhamento de certificação. | Fran: PPs não localizadas na plataf"&amp;"rma nem no email. Solicitações e questionamentos encaminhados ao aluno. Atualizado contato na planilha de acompanhamento de certificação.")</f>
        <v>José Ademir de Medeiros | 2° Licenciatura Música | PPs não localizadas na platafrma nem no email. Solicitações e questionamentos encaminhados ao aluno. Atualizado contato na planilha de acompanhamento de certificação. | Fran: PPs não localizadas na platafrma nem no email. Solicitações e questionamentos encaminhados ao aluno. Atualizado contato na planilha de acompanhamento de certificação.</v>
      </c>
      <c r="B4500" s="93"/>
    </row>
    <row r="4501">
      <c r="A4501" s="384" t="str">
        <f>IFERROR(__xludf.DUMMYFUNCTION("""COMPUTED_VALUE"""),"Lidia Maria Borges da Silva | Segunda Licenciatura | PPs aprovadas. Não localizada na planilha de analise para certificação. | Fran: PPs aprovadas. Não localizada na planilha de analise para certificação.")</f>
        <v>Lidia Maria Borges da Silva | Segunda Licenciatura | PPs aprovadas. Não localizada na planilha de analise para certificação. | Fran: PPs aprovadas. Não localizada na planilha de analise para certificação.</v>
      </c>
      <c r="B4501" s="93"/>
    </row>
    <row r="4502">
      <c r="A4502" s="384" t="str">
        <f>IFERROR(__xludf.DUMMYFUNCTION("""COMPUTED_VALUE"""),"Lucas Gomes Ramos | Segunda Licenciatura | PPs aprovadas. Encaminhado para certificação. Não localizado na planilha de certificação. | Fran: PPs aprovadas. Encaminhado para certificação. Não localizado na planilha de certificação.")</f>
        <v>Lucas Gomes Ramos | Segunda Licenciatura | PPs aprovadas. Encaminhado para certificação. Não localizado na planilha de certificação. | Fran: PPs aprovadas. Encaminhado para certificação. Não localizado na planilha de certificação.</v>
      </c>
      <c r="B4502" s="93"/>
    </row>
    <row r="4503">
      <c r="A4503" s="384" t="str">
        <f>IFERROR(__xludf.DUMMYFUNCTION("""COMPUTED_VALUE"""),"Marines Paifer martins | #FPUA- Formação Pedagógica em Artes Visuais | PPs aprovadas. Encaminhado para certificação.  | Fran: PPs aprovadas. Encaminhado para certificação. ")</f>
        <v>Marines Paifer martins | #FPUA- Formação Pedagógica em Artes Visuais | PPs aprovadas. Encaminhado para certificação.  | Fran: PPs aprovadas. Encaminhado para certificação. </v>
      </c>
      <c r="B4503" s="93"/>
    </row>
    <row r="4504">
      <c r="A4504" s="384" t="str">
        <f>IFERROR(__xludf.DUMMYFUNCTION("""COMPUTED_VALUE"""),"Cristina  da Costa pereira | Segunda licenciatura música | PPs aprovadas. Encaminhado para certificação.  | Fran: PPs aprovadas. Encaminhado para certificação. ")</f>
        <v>Cristina  da Costa pereira | Segunda licenciatura música | PPs aprovadas. Encaminhado para certificação.  | Fran: PPs aprovadas. Encaminhado para certificação. </v>
      </c>
      <c r="B4504" s="93"/>
    </row>
    <row r="4505">
      <c r="A4505" s="384" t="str">
        <f>IFERROR(__xludf.DUMMYFUNCTION("""COMPUTED_VALUE"""),"Wagno Sérgio | Neuropsicopedagogia | Orientações para correção e encaminhamento | Fran: Orientações para correção e encaminhamento")</f>
        <v>Wagno Sérgio | Neuropsicopedagogia | Orientações para correção e encaminhamento | Fran: Orientações para correção e encaminhamento</v>
      </c>
      <c r="B4505" s="93"/>
    </row>
    <row r="4506">
      <c r="A4506" s="384" t="str">
        <f>IFERROR(__xludf.DUMMYFUNCTION("""COMPUTED_VALUE"""),"Cristiane Souza da Silva | #SLPA- Segunda Licenciatura em Pedagogia 01 | PPs Aprovadas encaminhado para certificação. | Fran: PPs Aprovadas encaminhado para certificação.")</f>
        <v>Cristiane Souza da Silva | #SLPA- Segunda Licenciatura em Pedagogia 01 | PPs Aprovadas encaminhado para certificação. | Fran: PPs Aprovadas encaminhado para certificação.</v>
      </c>
      <c r="B4506" s="93"/>
    </row>
    <row r="4507">
      <c r="A4507" s="384" t="str">
        <f>IFERROR(__xludf.DUMMYFUNCTION("""COMPUTED_VALUE"""),"Elma Tertuliano de Paiva | Formação Livre em Psicanálise. | Solicitação de análise da aluna. e solicitação para aluna de reenvio do TCC. | Fran: Solicitação de análise da aluna. e solicitação para aluna de reenvio do TCC.")</f>
        <v>Elma Tertuliano de Paiva | Formação Livre em Psicanálise. | Solicitação de análise da aluna. e solicitação para aluna de reenvio do TCC. | Fran: Solicitação de análise da aluna. e solicitação para aluna de reenvio do TCC.</v>
      </c>
      <c r="B4507" s="93"/>
    </row>
    <row r="4508">
      <c r="A4508" s="384" t="str">
        <f>IFERROR(__xludf.DUMMYFUNCTION("""COMPUTED_VALUE"""),"Bernadete Eloi Bottoli | Formação Pedagógica História e Sociologia | PPs entregues. | Fran: PPs entregues.")</f>
        <v>Bernadete Eloi Bottoli | Formação Pedagógica História e Sociologia | PPs entregues. | Fran: PPs entregues.</v>
      </c>
      <c r="B4508" s="93"/>
    </row>
    <row r="4509">
      <c r="A4509" s="384" t="str">
        <f>IFERROR(__xludf.DUMMYFUNCTION("""COMPUTED_VALUE"""),"Maria Angélica Carvalho dos Santos Silva | Música | PPs aprovadas planilha de certificação atualizada. | Fran: PPs aprovadas planilha de certificação atualizada.")</f>
        <v>Maria Angélica Carvalho dos Santos Silva | Música | PPs aprovadas planilha de certificação atualizada. | Fran: PPs aprovadas planilha de certificação atualizada.</v>
      </c>
      <c r="B4509" s="93"/>
    </row>
    <row r="4510">
      <c r="A4510" s="384" t="str">
        <f>IFERROR(__xludf.DUMMYFUNCTION("""COMPUTED_VALUE"""),"Débora Mascarenhas Medeiros | Segunda Licenciatura em Pedagogia | PPs aprovadas planilha de certificação atualizada. | Fran: PPs aprovadas planilha de certificação atualizada.")</f>
        <v>Débora Mascarenhas Medeiros | Segunda Licenciatura em Pedagogia | PPs aprovadas planilha de certificação atualizada. | Fran: PPs aprovadas planilha de certificação atualizada.</v>
      </c>
      <c r="B4510" s="93"/>
    </row>
    <row r="4511">
      <c r="A4511" s="384" t="str">
        <f>IFERROR(__xludf.DUMMYFUNCTION("""COMPUTED_VALUE"""),"Elisangela Maria da Silva | Segunda licenciatura em geografia | PPs aprovadas planilha de certificação atualizada. | Fran: PPs aprovadas planilha de certificação atualizada.")</f>
        <v>Elisangela Maria da Silva | Segunda licenciatura em geografia | PPs aprovadas planilha de certificação atualizada. | Fran: PPs aprovadas planilha de certificação atualizada.</v>
      </c>
      <c r="B4511" s="93"/>
    </row>
    <row r="4512">
      <c r="A4512" s="384" t="str">
        <f>IFERROR(__xludf.DUMMYFUNCTION("""COMPUTED_VALUE"""),"Mayara de Souza Silva | Educação especial | PPs aprovadas planilha de certificação atualizada. | Fran: PPs aprovadas planilha de certificação atualizada.")</f>
        <v>Mayara de Souza Silva | Educação especial | PPs aprovadas planilha de certificação atualizada. | Fran: PPs aprovadas planilha de certificação atualizada.</v>
      </c>
      <c r="B4512" s="93"/>
    </row>
    <row r="4513">
      <c r="A4513" s="384" t="str">
        <f>IFERROR(__xludf.DUMMYFUNCTION("""COMPUTED_VALUE"""),"Marlene Barbosa Lima |  | TCC aprovado. PPs ok planilha de certificação atualizada. | Fran: TCC aprovado. PPs ok planilha de certificação atualizada.")</f>
        <v>Marlene Barbosa Lima |  | TCC aprovado. PPs ok planilha de certificação atualizada. | Fran: TCC aprovado. PPs ok planilha de certificação atualizada.</v>
      </c>
      <c r="B4513" s="93"/>
    </row>
    <row r="4514">
      <c r="A4514" s="384" t="str">
        <f>IFERROR(__xludf.DUMMYFUNCTION("""COMPUTED_VALUE"""),"Thiago Alexandre Gomes Favaris | FORMAÇÃO PEDAGÓGICA EM LETRAS – PORTUGUÊS E ESPANHOL- U | Reprovado, alterações solicitadas ao aluno. | Fran: Reprovado, alterações solicitadas ao aluno.")</f>
        <v>Thiago Alexandre Gomes Favaris | FORMAÇÃO PEDAGÓGICA EM LETRAS – PORTUGUÊS E ESPANHOL- U | Reprovado, alterações solicitadas ao aluno. | Fran: Reprovado, alterações solicitadas ao aluno.</v>
      </c>
      <c r="B4514" s="93"/>
    </row>
    <row r="4515">
      <c r="A4515" s="384" t="str">
        <f>IFERROR(__xludf.DUMMYFUNCTION("""COMPUTED_VALUE"""),"Daniel da Silva Garcia | #FPUM Formação Pedagógica em Matemática | PPs aprovadas aguardando posisionamento do financeiro aluno precisa de extensão. | Fran: PPs aprovadas aguardando posisionamento do financeiro aluno precisa de extensão.")</f>
        <v>Daniel da Silva Garcia | #FPUM Formação Pedagógica em Matemática | PPs aprovadas aguardando posisionamento do financeiro aluno precisa de extensão. | Fran: PPs aprovadas aguardando posisionamento do financeiro aluno precisa de extensão.</v>
      </c>
      <c r="B4515" s="93"/>
    </row>
    <row r="4516">
      <c r="A4516" s="384" t="str">
        <f>IFERROR(__xludf.DUMMYFUNCTION("""COMPUTED_VALUE"""),"Letícia Trambini Corrêa | Terapia em Aba Clínica | Estagio corrigido solicitação de autenticação de documento de estágio. | Fran: Estagio corrigido solicitação de autenticação de documento de estágio.")</f>
        <v>Letícia Trambini Corrêa | Terapia em Aba Clínica | Estagio corrigido solicitação de autenticação de documento de estágio. | Fran: Estagio corrigido solicitação de autenticação de documento de estágio.</v>
      </c>
      <c r="B4516" s="93"/>
    </row>
    <row r="4517">
      <c r="A4517" s="384" t="str">
        <f>IFERROR(__xludf.DUMMYFUNCTION("""COMPUTED_VALUE"""),"Sauiny da Silva Bento | História e Geografia | PPs aprovadas planilha de certificação atualizada. | Fran: PPs aprovadas planilha de certificação atualizada.")</f>
        <v>Sauiny da Silva Bento | História e Geografia | PPs aprovadas planilha de certificação atualizada. | Fran: PPs aprovadas planilha de certificação atualizada.</v>
      </c>
      <c r="B4517" s="93"/>
    </row>
    <row r="4518">
      <c r="A4518" s="384" t="str">
        <f>IFERROR(__xludf.DUMMYFUNCTION("""COMPUTED_VALUE"""),"Felipe Reis Rodrigues | #FPMF- Formação Pedagógica em Música 1200Horas | PPs aprovadas solicitação de financeiro. | Fran: PPs aprovadas solicitação de financeiro.")</f>
        <v>Felipe Reis Rodrigues | #FPMF- Formação Pedagógica em Música 1200Horas | PPs aprovadas solicitação de financeiro. | Fran: PPs aprovadas solicitação de financeiro.</v>
      </c>
      <c r="B4518" s="93"/>
    </row>
    <row r="4519">
      <c r="A4519" s="384" t="str">
        <f>IFERROR(__xludf.DUMMYFUNCTION("""COMPUTED_VALUE"""),"Valéria Santos Ribeiro Felix | #SLUPI - SEGUNDA LICENCIATURA EM LETRAS – PORTUGUÊS E INGLÊS | PPs aprovadas solicitação de financeiro. | Fran: PPs aprovadas solicitação de financeiro.")</f>
        <v>Valéria Santos Ribeiro Felix | #SLUPI - SEGUNDA LICENCIATURA EM LETRAS – PORTUGUÊS E INGLÊS | PPs aprovadas solicitação de financeiro. | Fran: PPs aprovadas solicitação de financeiro.</v>
      </c>
      <c r="B4519" s="93"/>
    </row>
    <row r="4520">
      <c r="A4520" s="384" t="str">
        <f>IFERROR(__xludf.DUMMYFUNCTION("""COMPUTED_VALUE"""),"Wagno Sérgio | Neuropsicopedagogia | Estágio aprovado encaminhado para autenticação de documento de finalização. Retorno do financeiro ainda não quitado. | Fran: Estágio aprovado encaminhado para autenticação de documento de finalização. Retorno do financ"&amp;"eiro ainda não quitado.")</f>
        <v>Wagno Sérgio | Neuropsicopedagogia | Estágio aprovado encaminhado para autenticação de documento de finalização. Retorno do financeiro ainda não quitado. | Fran: Estágio aprovado encaminhado para autenticação de documento de finalização. Retorno do financeiro ainda não quitado.</v>
      </c>
      <c r="B4520" s="93"/>
    </row>
    <row r="4521">
      <c r="A4521" s="384" t="str">
        <f>IFERROR(__xludf.DUMMYFUNCTION("""COMPUTED_VALUE"""),"Rainer Costa Ferreira | #FPUA- Formação Pedagógica em Artes Visuais | PPs aprovadas. Não encontrado na planilha de análise para certificação. | Fran: PPs aprovadas. Não encontrado na planilha de análise para certificação.")</f>
        <v>Rainer Costa Ferreira | #FPUA- Formação Pedagógica em Artes Visuais | PPs aprovadas. Não encontrado na planilha de análise para certificação. | Fran: PPs aprovadas. Não encontrado na planilha de análise para certificação.</v>
      </c>
      <c r="B4521" s="93"/>
    </row>
    <row r="4522">
      <c r="A4522" s="384" t="str">
        <f>IFERROR(__xludf.DUMMYFUNCTION("""COMPUTED_VALUE"""),"Sônia América da Cunha | #SLMF - Segunda Licenciatura em Música 1320Horas | PPs aprovadas. Não encontrado na planilha de análise para certificação. | Fran: PPs aprovadas. Não encontrado na planilha de análise para certificação.")</f>
        <v>Sônia América da Cunha | #SLMF - Segunda Licenciatura em Música 1320Horas | PPs aprovadas. Não encontrado na planilha de análise para certificação. | Fran: PPs aprovadas. Não encontrado na planilha de análise para certificação.</v>
      </c>
      <c r="B4522" s="93"/>
    </row>
    <row r="4523">
      <c r="A4523" s="384" t="str">
        <f>IFERROR(__xludf.DUMMYFUNCTION("""COMPUTED_VALUE"""),"MARCOS ANTONIO DE FARIAS | #SLUP - SEGUNDA LICENCIATURA EM PEDAGOGIA | Resultado liberado ao aluno. | Fran: Resultado liberado ao aluno.")</f>
        <v>MARCOS ANTONIO DE FARIAS | #SLUP - SEGUNDA LICENCIATURA EM PEDAGOGIA | Resultado liberado ao aluno. | Fran: Resultado liberado ao aluno.</v>
      </c>
      <c r="B4523" s="93"/>
    </row>
    <row r="4524">
      <c r="A4524" s="384" t="str">
        <f>IFERROR(__xludf.DUMMYFUNCTION("""COMPUTED_VALUE"""),"Maurício Fogli Cruzeiro Machado | Pedagogia 3.200h | PC Aprovadas | Fran: PC Aprovadas")</f>
        <v>Maurício Fogli Cruzeiro Machado | Pedagogia 3.200h | PC Aprovadas | Fran: PC Aprovadas</v>
      </c>
      <c r="B4524" s="93"/>
    </row>
    <row r="4525">
      <c r="A4525" s="384" t="str">
        <f>IFERROR(__xludf.DUMMYFUNCTION("""COMPUTED_VALUE"""),"Caroline Regina Custódio | #FPMF- Formação Pedagógica em Música 1200Horas | PPs Aprovadaas encaminhado para análise de financeiro. | Fran: PPs Aprovadaas encaminhado para análise de financeiro.")</f>
        <v>Caroline Regina Custódio | #FPMF- Formação Pedagógica em Música 1200Horas | PPs Aprovadaas encaminhado para análise de financeiro. | Fran: PPs Aprovadaas encaminhado para análise de financeiro.</v>
      </c>
      <c r="B4525" s="93"/>
    </row>
    <row r="4526">
      <c r="A4526" s="384" t="str">
        <f>IFERROR(__xludf.DUMMYFUNCTION("""COMPUTED_VALUE"""),"Eli Cristiane Aparecida de Oliveira | Formação Pedagógica em Física | PPs aprovadas atualizada na planilha de certificação | Fran: PPs aprovadas atualizada na planilha de certificação")</f>
        <v>Eli Cristiane Aparecida de Oliveira | Formação Pedagógica em Física | PPs aprovadas atualizada na planilha de certificação | Fran: PPs aprovadas atualizada na planilha de certificação</v>
      </c>
      <c r="B4526" s="93"/>
    </row>
    <row r="4527">
      <c r="A4527" s="384" t="str">
        <f>IFERROR(__xludf.DUMMYFUNCTION("""COMPUTED_VALUE"""),"Patrícia Maria da Silva Soares | Pedagogia segunda licenciatura | Correções formalizadas trabalho aprovado. | Fran: Correções formalizadas trabalho aprovado.")</f>
        <v>Patrícia Maria da Silva Soares | Pedagogia segunda licenciatura | Correções formalizadas trabalho aprovado. | Fran: Correções formalizadas trabalho aprovado.</v>
      </c>
      <c r="B4527" s="93"/>
    </row>
    <row r="4528">
      <c r="A4528" s="384" t="str">
        <f>IFERROR(__xludf.DUMMYFUNCTION("""COMPUTED_VALUE"""),"MARCELO PEREIRA DO NASCIMENTO | FORMAÇÃO PEDAGÓGICA EM ARTES VISUAIS - 2024 | PPs aprovadas falta a carta de apresentação assinada. | Fran: PPs aprovadas falta a carta de apresentação assinada.")</f>
        <v>MARCELO PEREIRA DO NASCIMENTO | FORMAÇÃO PEDAGÓGICA EM ARTES VISUAIS - 2024 | PPs aprovadas falta a carta de apresentação assinada. | Fran: PPs aprovadas falta a carta de apresentação assinada.</v>
      </c>
      <c r="B4528" s="93"/>
    </row>
    <row r="4529">
      <c r="A4529" s="384" t="str">
        <f>IFERROR(__xludf.DUMMYFUNCTION("""COMPUTED_VALUE"""),"Jaci Ribeiro de Jesus | #FPUA- Formação Pedagógica em Artes Visuais | PPs aprovadas encaminhado para análise financeiro. | Fran: PPs aprovadas encaminhado para análise financeiro.")</f>
        <v>Jaci Ribeiro de Jesus | #FPUA- Formação Pedagógica em Artes Visuais | PPs aprovadas encaminhado para análise financeiro. | Fran: PPs aprovadas encaminhado para análise financeiro.</v>
      </c>
      <c r="B4529" s="93"/>
    </row>
    <row r="4530">
      <c r="A4530" s="384" t="str">
        <f>IFERROR(__xludf.DUMMYFUNCTION("""COMPUTED_VALUE"""),"Francisco Antonio Silva Araújo | #FPUP-FORMAÇÃO PEDAGÓGICA EM PEDAGOGIA- U | PPs aprovadas encaminhado para análise financeiro. | Fran: PPs aprovadas encaminhado para análise financeiro.")</f>
        <v>Francisco Antonio Silva Araújo | #FPUP-FORMAÇÃO PEDAGÓGICA EM PEDAGOGIA- U | PPs aprovadas encaminhado para análise financeiro. | Fran: PPs aprovadas encaminhado para análise financeiro.</v>
      </c>
      <c r="B4530" s="93"/>
    </row>
    <row r="4531">
      <c r="A4531" s="384" t="str">
        <f>IFERROR(__xludf.DUMMYFUNCTION("""COMPUTED_VALUE"""),"Marília Selva dos Santos | #SLLIA - Segunda Licenciatura em Letras Inglês 760Horas | PPa aprovadas. Protocolo enviado no sistema. | Fran: PPa aprovadas. Protocolo enviado no sistema.")</f>
        <v>Marília Selva dos Santos | #SLLIA - Segunda Licenciatura em Letras Inglês 760Horas | PPa aprovadas. Protocolo enviado no sistema. | Fran: PPa aprovadas. Protocolo enviado no sistema.</v>
      </c>
      <c r="B4531" s="93"/>
    </row>
    <row r="4532">
      <c r="A4532" s="384" t="str">
        <f>IFERROR(__xludf.DUMMYFUNCTION("""COMPUTED_VALUE"""),"Cláudio Emir Bergmann | #SLGA - Segunda Licenciatura em Geografia | PPa aprovadas. Protocolo enviado no sistema. | Fran: PPa aprovadas. Protocolo enviado no sistema.")</f>
        <v>Cláudio Emir Bergmann | #SLGA - Segunda Licenciatura em Geografia | PPa aprovadas. Protocolo enviado no sistema. | Fran: PPa aprovadas. Protocolo enviado no sistema.</v>
      </c>
      <c r="B4532" s="93"/>
    </row>
    <row r="4533">
      <c r="A4533" s="384" t="str">
        <f>IFERROR(__xludf.DUMMYFUNCTION("""COMPUTED_VALUE"""),"Lisandra de Oliveira Santana | Pós-Graduação em Neuropsicopedagogia Institucional, Clínica e Hospitalar 850h | Estágio aprovado. Solicitação de análise do financeiro.Solicitar autenticação do termo final de estágio. | Fran: Estágio aprovado. Solicitação d"&amp;"e análise do financeiro.Solicitar autenticação do termo final de estágio.")</f>
        <v>Lisandra de Oliveira Santana | Pós-Graduação em Neuropsicopedagogia Institucional, Clínica e Hospitalar 850h | Estágio aprovado. Solicitação de análise do financeiro.Solicitar autenticação do termo final de estágio. | Fran: Estágio aprovado. Solicitação de análise do financeiro.Solicitar autenticação do termo final de estágio.</v>
      </c>
      <c r="B4533" s="93"/>
    </row>
    <row r="4534">
      <c r="A4534" s="384" t="str">
        <f>IFERROR(__xludf.DUMMYFUNCTION("""COMPUTED_VALUE"""),"Daniele Tauane Souza de Melo | #SLCSA - Segunda Licenciatura em Ciências Sociais | PPa aprovadas. Protocolo enviado no sistema. | Fran: PPa aprovadas. Protocolo enviado no sistema.")</f>
        <v>Daniele Tauane Souza de Melo | #SLCSA - Segunda Licenciatura em Ciências Sociais | PPa aprovadas. Protocolo enviado no sistema. | Fran: PPa aprovadas. Protocolo enviado no sistema.</v>
      </c>
      <c r="B4534" s="93"/>
    </row>
    <row r="4535">
      <c r="A4535" s="384" t="str">
        <f>IFERROR(__xludf.DUMMYFUNCTION("""COMPUTED_VALUE"""),"Jackelinne Brasileiro | #SLUP - SEGUNDA LICENCIATURA EM PEDAGOGIA | PPs aprovadas solicitação de análise encaminhada ao financeiro. | Fran: PPs aprovadas solicitação de análise encaminhada ao financeiro.")</f>
        <v>Jackelinne Brasileiro | #SLUP - SEGUNDA LICENCIATURA EM PEDAGOGIA | PPs aprovadas solicitação de análise encaminhada ao financeiro. | Fran: PPs aprovadas solicitação de análise encaminhada ao financeiro.</v>
      </c>
      <c r="B4535" s="93"/>
    </row>
    <row r="4536">
      <c r="A4536" s="384" t="str">
        <f>IFERROR(__xludf.DUMMYFUNCTION("""COMPUTED_VALUE"""),"SAMARA SOARES FERNANDES | #SLUPE- Segunda Licenciatura em Letras – Português e Espanhol | PPa aprovadas. Protocolo enviado no sistema. | Fran: PPa aprovadas. Protocolo enviado no sistema.")</f>
        <v>SAMARA SOARES FERNANDES | #SLUPE- Segunda Licenciatura em Letras – Português e Espanhol | PPa aprovadas. Protocolo enviado no sistema. | Fran: PPa aprovadas. Protocolo enviado no sistema.</v>
      </c>
      <c r="B4536" s="93"/>
    </row>
    <row r="4537">
      <c r="A4537" s="384" t="str">
        <f>IFERROR(__xludf.DUMMYFUNCTION("""COMPUTED_VALUE"""),"Tatiane Freitas da Silva | #SLEEA - Segunda Licenciatura em Educação Especial | PPs aprovadas. Resultado não liberado curso expirado em 2023. Falta carta de apresentação. | Fran: PPs aprovadas. Resultado não liberado curso expirado em 2023. Falta carta de"&amp;" apresentação.")</f>
        <v>Tatiane Freitas da Silva | #SLEEA - Segunda Licenciatura em Educação Especial | PPs aprovadas. Resultado não liberado curso expirado em 2023. Falta carta de apresentação. | Fran: PPs aprovadas. Resultado não liberado curso expirado em 2023. Falta carta de apresentação.</v>
      </c>
      <c r="B4537" s="93"/>
    </row>
    <row r="4538">
      <c r="A4538" s="384" t="str">
        <f>IFERROR(__xludf.DUMMYFUNCTION("""COMPUTED_VALUE"""),"Danielly Sousa Campelo | Segunda Licenciatura | PPs Aprovadas | Fran: PPs Aprovadas")</f>
        <v>Danielly Sousa Campelo | Segunda Licenciatura | PPs Aprovadas | Fran: PPs Aprovadas</v>
      </c>
      <c r="B4538" s="93"/>
    </row>
    <row r="4539">
      <c r="A4539" s="384" t="str">
        <f>IFERROR(__xludf.DUMMYFUNCTION("""COMPUTED_VALUE"""),"Fabiana Hames | #SLUEF - Segunda Licenciatura em Educação Física | PPs aprovadas protocolo respondido; | Fran: PPs aprovadas protocolo respondido;")</f>
        <v>Fabiana Hames | #SLUEF - Segunda Licenciatura em Educação Física | PPs aprovadas protocolo respondido; | Fran: PPs aprovadas protocolo respondido;</v>
      </c>
      <c r="B4539" s="93"/>
    </row>
    <row r="4540">
      <c r="A4540" s="384" t="str">
        <f>IFERROR(__xludf.DUMMYFUNCTION("""COMPUTED_VALUE"""),"Wilson Alexandre dos Santos | #FPUP-FORMAÇÃO PEDAGÓGICA EM PEDAGOGIA- U | PPs aprovadas protocolo respondido; | Fran: PPs aprovadas protocolo respondido;")</f>
        <v>Wilson Alexandre dos Santos | #FPUP-FORMAÇÃO PEDAGÓGICA EM PEDAGOGIA- U | PPs aprovadas protocolo respondido; | Fran: PPs aprovadas protocolo respondido;</v>
      </c>
      <c r="B4540" s="93"/>
    </row>
    <row r="4541">
      <c r="A4541" s="384" t="str">
        <f>IFERROR(__xludf.DUMMYFUNCTION("""COMPUTED_VALUE"""),"Caroline Regina Custódio | #FPMF- Formação Pedagógica em Música 1200Horas | PPs aprovadas.  | Fran: PPs aprovadas. ")</f>
        <v>Caroline Regina Custódio | #FPMF- Formação Pedagógica em Música 1200Horas | PPs aprovadas.  | Fran: PPs aprovadas. </v>
      </c>
      <c r="B4541" s="93"/>
    </row>
    <row r="4542">
      <c r="A4542" s="384" t="str">
        <f>IFERROR(__xludf.DUMMYFUNCTION("""COMPUTED_VALUE"""),"José idalecio de sousa galvao | Formação Pedagógica em história | PPs I aprovadas | Fran: PPs I aprovadas")</f>
        <v>José idalecio de sousa galvao | Formação Pedagógica em história | PPs I aprovadas | Fran: PPs I aprovadas</v>
      </c>
      <c r="B4542" s="93"/>
    </row>
    <row r="4543">
      <c r="A4543" s="384" t="str">
        <f>IFERROR(__xludf.DUMMYFUNCTION("""COMPUTED_VALUE"""),"Joel Darlan Demarchi | #SLMF - Segunda Licenciatura em Música 1320Horas | PPs I aprovadas. PPs dois reprovadas, cvarta de apresentação Ok mas entrevista digitada Aluno expirado verificar contrato de extenção se encaminhar a correção. | Fran: PPs I aprovad"&amp;"as. PPs dois reprovadas, cvarta de apresentação Ok mas entrevista digitada Aluno expirado verificar contrato de extenção se encaminhar a correção.")</f>
        <v>Joel Darlan Demarchi | #SLMF - Segunda Licenciatura em Música 1320Horas | PPs I aprovadas. PPs dois reprovadas, cvarta de apresentação Ok mas entrevista digitada Aluno expirado verificar contrato de extenção se encaminhar a correção. | Fran: PPs I aprovadas. PPs dois reprovadas, cvarta de apresentação Ok mas entrevista digitada Aluno expirado verificar contrato de extenção se encaminhar a correção.</v>
      </c>
      <c r="B4543" s="93"/>
    </row>
    <row r="4544">
      <c r="A4544" s="384" t="str">
        <f>IFERROR(__xludf.DUMMYFUNCTION("""COMPUTED_VALUE"""),"Bruno Renato Paschoal | #SLMF - Segunda Licenciatura em Música 1320Horas | PPas aprovadas atualizado na planilha de certificação. | Fran: PPas aprovadas atualizado na planilha de certificação.")</f>
        <v>Bruno Renato Paschoal | #SLMF - Segunda Licenciatura em Música 1320Horas | PPas aprovadas atualizado na planilha de certificação. | Fran: PPas aprovadas atualizado na planilha de certificação.</v>
      </c>
      <c r="B4544" s="93"/>
    </row>
    <row r="4545">
      <c r="A4545" s="384" t="str">
        <f>IFERROR(__xludf.DUMMYFUNCTION("""COMPUTED_VALUE"""),"Thais Cristina Costa Barbosa | #SLPT- Segunda Licenciatura em Pedagogia | TCC aprovado nota 8, não liberado aluna bloqueda parcelas em atraso. | Fran: TCC aprovado nota 8, não liberado aluna bloqueda parcelas em atraso.")</f>
        <v>Thais Cristina Costa Barbosa | #SLPT- Segunda Licenciatura em Pedagogia | TCC aprovado nota 8, não liberado aluna bloqueda parcelas em atraso. | Fran: TCC aprovado nota 8, não liberado aluna bloqueda parcelas em atraso.</v>
      </c>
      <c r="B4545" s="93"/>
    </row>
    <row r="4546">
      <c r="A4546" s="384" t="str">
        <f>IFERROR(__xludf.DUMMYFUNCTION("""COMPUTED_VALUE"""),"Fernanda Bastos Rezende Siqueira | #FPP- Formação Pedagógica em Pedagogia R2 | PPs aprovadas. Não liberada aluna com parcelas em atraso. | Fran: PPs aprovadas. Não liberada aluna com parcelas em atraso.")</f>
        <v>Fernanda Bastos Rezende Siqueira | #FPP- Formação Pedagógica em Pedagogia R2 | PPs aprovadas. Não liberada aluna com parcelas em atraso. | Fran: PPs aprovadas. Não liberada aluna com parcelas em atraso.</v>
      </c>
      <c r="B4546" s="93"/>
    </row>
    <row r="4547">
      <c r="A4547" s="384" t="str">
        <f>IFERROR(__xludf.DUMMYFUNCTION("""COMPUTED_VALUE"""),"Beatriz Cristina Batista Rodrigues | #SLPA- Segunda Licenciatura em Pedagogia 01 | PPs aprovadas. Não liberado contrato expirado. | Fran: PPs aprovadas. Não liberado contrato expirado.")</f>
        <v>Beatriz Cristina Batista Rodrigues | #SLPA- Segunda Licenciatura em Pedagogia 01 | PPs aprovadas. Não liberado contrato expirado. | Fran: PPs aprovadas. Não liberado contrato expirado.</v>
      </c>
      <c r="B4547" s="93"/>
    </row>
    <row r="4548">
      <c r="A4548" s="384" t="str">
        <f>IFERROR(__xludf.DUMMYFUNCTION("""COMPUTED_VALUE"""),"Dejailson Luiz Carolino | #SLMF- Segunda Licenciatura em Música 2022 880Horas | PPs aprovadas | Fran: PPs aprovadas")</f>
        <v>Dejailson Luiz Carolino | #SLMF- Segunda Licenciatura em Música 2022 880Horas | PPs aprovadas | Fran: PPs aprovadas</v>
      </c>
      <c r="B4548" s="93"/>
    </row>
    <row r="4549">
      <c r="A4549" s="384" t="str">
        <f>IFERROR(__xludf.DUMMYFUNCTION("""COMPUTED_VALUE"""),"Delcia Cristina de Oliveira | FORMAÇÃO PEDAGÓGICA EM GEOGRAFIA- U | PPs aprovadas | Fran: PPs aprovadas")</f>
        <v>Delcia Cristina de Oliveira | FORMAÇÃO PEDAGÓGICA EM GEOGRAFIA- U | PPs aprovadas | Fran: PPs aprovadas</v>
      </c>
      <c r="B4549" s="93"/>
    </row>
    <row r="4550">
      <c r="A4550" s="384" t="str">
        <f>IFERROR(__xludf.DUMMYFUNCTION("""COMPUTED_VALUE"""),"Luiz José Mesquita Fratini | #SLGA - Segunda Licenciatura em Geografia | PPs aprovadas | Fran: PPs aprovadas")</f>
        <v>Luiz José Mesquita Fratini | #SLGA - Segunda Licenciatura em Geografia | PPs aprovadas | Fran: PPs aprovadas</v>
      </c>
      <c r="B4550" s="93"/>
    </row>
    <row r="4551">
      <c r="A4551" s="384" t="str">
        <f>IFERROR(__xludf.DUMMYFUNCTION("""COMPUTED_VALUE"""),"Heitor Dias Antunes Pereira | #FPMF- Formação Pedagógica em Música 2022 | PPs aprovadas | Fran: PPs aprovadas")</f>
        <v>Heitor Dias Antunes Pereira | #FPMF- Formação Pedagógica em Música 2022 | PPs aprovadas | Fran: PPs aprovadas</v>
      </c>
      <c r="B4551" s="93"/>
    </row>
    <row r="4552">
      <c r="A4552" s="384" t="str">
        <f>IFERROR(__xludf.DUMMYFUNCTION("""COMPUTED_VALUE"""),"Heitor Dias Antunes Pereira | #FPMF- Formação Pedagógica em Música 2022 | Tcc aprovado nota 8,5. | Fran: Tcc aprovado nota 8,5.")</f>
        <v>Heitor Dias Antunes Pereira | #FPMF- Formação Pedagógica em Música 2022 | Tcc aprovado nota 8,5. | Fran: Tcc aprovado nota 8,5.</v>
      </c>
      <c r="B4552" s="93"/>
    </row>
    <row r="4553">
      <c r="A4553" s="384" t="str">
        <f>IFERROR(__xludf.DUMMYFUNCTION("""COMPUTED_VALUE"""),"Tatiane Freitas da Silva | #SLEEA - Segunda Licenciatura em Educação Especial | PPs aprovadas | Fran: PPs aprovadas")</f>
        <v>Tatiane Freitas da Silva | #SLEEA - Segunda Licenciatura em Educação Especial | PPs aprovadas | Fran: PPs aprovadas</v>
      </c>
      <c r="B4553" s="93"/>
    </row>
    <row r="4554">
      <c r="A4554" s="384" t="str">
        <f>IFERROR(__xludf.DUMMYFUNCTION("""COMPUTED_VALUE"""),"Nilton aparecido da silva | #SLAA - Segunda Licenciatura em Artes Visuais | PPs aprovadas | Fran: PPs aprovadas")</f>
        <v>Nilton aparecido da silva | #SLAA - Segunda Licenciatura em Artes Visuais | PPs aprovadas | Fran: PPs aprovadas</v>
      </c>
      <c r="B4554" s="93"/>
    </row>
    <row r="4555">
      <c r="A4555" s="384" t="str">
        <f>IFERROR(__xludf.DUMMYFUNCTION("""COMPUTED_VALUE"""),"Robson Prati Neves de Oliveira | Pós-Graduação em Psicanálise | TCC aprovado nota 8,7 | Fran: TCC aprovado nota 8,7")</f>
        <v>Robson Prati Neves de Oliveira | Pós-Graduação em Psicanálise | TCC aprovado nota 8,7 | Fran: TCC aprovado nota 8,7</v>
      </c>
      <c r="B4555" s="93"/>
    </row>
    <row r="4556">
      <c r="A4556" s="384" t="str">
        <f>IFERROR(__xludf.DUMMYFUNCTION("""COMPUTED_VALUE"""),"Evanilde de Sousa Lima | SEGUNDA LICENCIATURA EM HISTÓRIA - 2024 | PPs aprovadas planilha de análise atualizada. | Fran: PPs aprovadas planilha de análise atualizada.")</f>
        <v>Evanilde de Sousa Lima | SEGUNDA LICENCIATURA EM HISTÓRIA - 2024 | PPs aprovadas planilha de análise atualizada. | Fran: PPs aprovadas planilha de análise atualizada.</v>
      </c>
      <c r="B4556" s="93"/>
    </row>
    <row r="4557">
      <c r="A4557" s="384" t="str">
        <f>IFERROR(__xludf.DUMMYFUNCTION("""COMPUTED_VALUE"""),"Ramire de Oliveira Silva | diplomação em música  | Trabalho prático aprovado nota 8.2 | Fran: Trabalho prático aprovado nota 8.2")</f>
        <v>Ramire de Oliveira Silva | diplomação em música  | Trabalho prático aprovado nota 8.2 | Fran: Trabalho prático aprovado nota 8.2</v>
      </c>
      <c r="B4557" s="93"/>
    </row>
    <row r="4558">
      <c r="A4558" s="384" t="str">
        <f>IFERROR(__xludf.DUMMYFUNCTION("""COMPUTED_VALUE"""),"Adão Lima Felix | #FPUEF - Formação Pedagógica em Educação Física - 1200 Horas | PPs aprovadas planilha de análise atualizada. | Fran: PPs aprovadas planilha de análise atualizada.")</f>
        <v>Adão Lima Felix | #FPUEF - Formação Pedagógica em Educação Física - 1200 Horas | PPs aprovadas planilha de análise atualizada. | Fran: PPs aprovadas planilha de análise atualizada.</v>
      </c>
      <c r="B4558" s="93"/>
    </row>
    <row r="4559">
      <c r="A4559" s="384" t="str">
        <f>IFERROR(__xludf.DUMMYFUNCTION("""COMPUTED_VALUE"""),"Carlândia Alves da Silva | SEGUNDA LICENCIATURA EM GEOGRAFIA - 61M | PPs aprovadas. | Fran: PPs aprovadas.")</f>
        <v>Carlândia Alves da Silva | SEGUNDA LICENCIATURA EM GEOGRAFIA - 61M | PPs aprovadas. | Fran: PPs aprovadas.</v>
      </c>
      <c r="B4559" s="93"/>
    </row>
    <row r="4560">
      <c r="A4560" s="384" t="str">
        <f>IFERROR(__xludf.DUMMYFUNCTION("""COMPUTED_VALUE"""),"Lucas de Campos Silva | DIPLOMAÇÃO POR COMPETÊNCIA - PEDAGOGIA | Aprovado. | Fran: Aprovado.")</f>
        <v>Lucas de Campos Silva | DIPLOMAÇÃO POR COMPETÊNCIA - PEDAGOGIA | Aprovado. | Fran: Aprovado.</v>
      </c>
      <c r="B4560" s="93"/>
    </row>
    <row r="4561">
      <c r="A4561" s="384" t="str">
        <f>IFERROR(__xludf.DUMMYFUNCTION("""COMPUTED_VALUE"""),"Jacy Krissly de Oliveira Silva | #SLPT- Segunda Licenciatura em Pedagogia | PPs aprovadas. Aguardando orientação para análise de aluna. | Fran: PPs aprovadas. Aguardando orientação para análise de aluna.")</f>
        <v>Jacy Krissly de Oliveira Silva | #SLPT- Segunda Licenciatura em Pedagogia | PPs aprovadas. Aguardando orientação para análise de aluna. | Fran: PPs aprovadas. Aguardando orientação para análise de aluna.</v>
      </c>
      <c r="B4561" s="93"/>
    </row>
    <row r="4562">
      <c r="A4562" s="384" t="str">
        <f>IFERROR(__xludf.DUMMYFUNCTION("""COMPUTED_VALUE"""),"Felene Mônica Soares da Costa | #SLLPA - Segunda Licenciatura Letras - Português | PPs aprovadas.  | Fran: PPs aprovadas. ")</f>
        <v>Felene Mônica Soares da Costa | #SLLPA - Segunda Licenciatura Letras - Português | PPs aprovadas.  | Fran: PPs aprovadas. </v>
      </c>
      <c r="B4562" s="93"/>
    </row>
    <row r="4563">
      <c r="A4563" s="384" t="str">
        <f>IFERROR(__xludf.DUMMYFUNCTION("""COMPUTED_VALUE"""),"Karine Alves de Lima Bittencourt | Segunda Licenciatura em Pedagogia | Reprovado | Tais: Feedback falta da entrevista e da carta de apresentação")</f>
        <v>Karine Alves de Lima Bittencourt | Segunda Licenciatura em Pedagogia | Reprovado | Tais: Feedback falta da entrevista e da carta de apresentação</v>
      </c>
      <c r="B4563" s="93"/>
    </row>
    <row r="4564">
      <c r="A4564" s="384" t="str">
        <f>IFERROR(__xludf.DUMMYFUNCTION("""COMPUTED_VALUE"""),"Diego Souza Arruda | Formação pedagógica em Musica | Aprovado | Tais: PPs Aprovadas")</f>
        <v>Diego Souza Arruda | Formação pedagógica em Musica | Aprovado | Tais: PPs Aprovadas</v>
      </c>
      <c r="B4564" s="93"/>
    </row>
    <row r="4565">
      <c r="A4565" s="384" t="str">
        <f>IFERROR(__xludf.DUMMYFUNCTION("""COMPUTED_VALUE"""),"Allanis Gluck Thomaz Franzini | egunda Licenciatura em Música | Aprovado | Tais: PPs Aprovadas")</f>
        <v>Allanis Gluck Thomaz Franzini | egunda Licenciatura em Música | Aprovado | Tais: PPs Aprovadas</v>
      </c>
      <c r="B4565" s="93"/>
    </row>
    <row r="4566">
      <c r="A4566" s="384" t="str">
        <f>IFERROR(__xludf.DUMMYFUNCTION("""COMPUTED_VALUE"""),"Tânia Regina do Sacramento | Formação pedagógica em Musica | Aprovado | Tais: PPs Aprovadas")</f>
        <v>Tânia Regina do Sacramento | Formação pedagógica em Musica | Aprovado | Tais: PPs Aprovadas</v>
      </c>
      <c r="B4566" s="93"/>
    </row>
    <row r="4567">
      <c r="A4567" s="384" t="str">
        <f>IFERROR(__xludf.DUMMYFUNCTION("""COMPUTED_VALUE"""),"Thays karoline da Silva Xavier | Segunda Licenciatura em Artes Visuais | Aprovado | Tais: PPs Aprovadas")</f>
        <v>Thays karoline da Silva Xavier | Segunda Licenciatura em Artes Visuais | Aprovado | Tais: PPs Aprovadas</v>
      </c>
      <c r="B4567" s="93"/>
    </row>
    <row r="4568">
      <c r="A4568" s="384" t="str">
        <f>IFERROR(__xludf.DUMMYFUNCTION("""COMPUTED_VALUE"""),"Elizabete Lima Sousa | Pós-Graduação em Neuropsicopedagogia Institucional, Clínica e Hospitalar | Reprovado | Tais: Feedback falta documentos para a complementação do estágio e partes do texto com plágio.")</f>
        <v>Elizabete Lima Sousa | Pós-Graduação em Neuropsicopedagogia Institucional, Clínica e Hospitalar | Reprovado | Tais: Feedback falta documentos para a complementação do estágio e partes do texto com plágio.</v>
      </c>
      <c r="B4568" s="93"/>
    </row>
    <row r="4569">
      <c r="A4569" s="384" t="str">
        <f>IFERROR(__xludf.DUMMYFUNCTION("""COMPUTED_VALUE"""),"Ivone Maria Da Silva Souza | Segunda Licenciatura em Música | Aprovado | Tais: PPs Aprovadas")</f>
        <v>Ivone Maria Da Silva Souza | Segunda Licenciatura em Música | Aprovado | Tais: PPs Aprovadas</v>
      </c>
      <c r="B4569" s="93"/>
    </row>
    <row r="4570">
      <c r="A4570" s="384" t="str">
        <f>IFERROR(__xludf.DUMMYFUNCTION("""COMPUTED_VALUE"""),"Angela Maria da Silva |  | Reprovado | Tais: Faltou a carta de apresentação")</f>
        <v>Angela Maria da Silva |  | Reprovado | Tais: Faltou a carta de apresentação</v>
      </c>
      <c r="B4570" s="93"/>
    </row>
    <row r="4571">
      <c r="A4571" s="384" t="str">
        <f>IFERROR(__xludf.DUMMYFUNCTION("""COMPUTED_VALUE"""),"Ricardo Luiz Rodrigues | SEGUNDA LICENCIATURA EM PEDAGOGIA | Aprovado | Tais: PPs Aprovadas")</f>
        <v>Ricardo Luiz Rodrigues | SEGUNDA LICENCIATURA EM PEDAGOGIA | Aprovado | Tais: PPs Aprovadas</v>
      </c>
      <c r="B4571" s="93"/>
    </row>
    <row r="4572">
      <c r="A4572" s="384" t="str">
        <f>IFERROR(__xludf.DUMMYFUNCTION("""COMPUTED_VALUE"""),"Gessirlane de Almeida Amarante | Formação Pedagógica em Pedagogia | Aprovado | Tais: PPs Aprovadas")</f>
        <v>Gessirlane de Almeida Amarante | Formação Pedagógica em Pedagogia | Aprovado | Tais: PPs Aprovadas</v>
      </c>
      <c r="B4572" s="93"/>
    </row>
    <row r="4573">
      <c r="A4573" s="384" t="str">
        <f>IFERROR(__xludf.DUMMYFUNCTION("""COMPUTED_VALUE"""),"Diego Rodrigues de Oliveira | Formação Pedagógica em Pedagogia | Aprovado | Tais: PPs Aprovadas")</f>
        <v>Diego Rodrigues de Oliveira | Formação Pedagógica em Pedagogia | Aprovado | Tais: PPs Aprovadas</v>
      </c>
      <c r="B4573" s="93"/>
    </row>
    <row r="4574">
      <c r="A4574" s="384" t="str">
        <f>IFERROR(__xludf.DUMMYFUNCTION("""COMPUTED_VALUE"""),"Ceci Medeiros de Oliveira | Segunda Licenciatura em Música | Aprovada | Tais: PPs Aprovadas")</f>
        <v>Ceci Medeiros de Oliveira | Segunda Licenciatura em Música | Aprovada | Tais: PPs Aprovadas</v>
      </c>
      <c r="B4574" s="93"/>
    </row>
    <row r="4575">
      <c r="A4575" s="384" t="str">
        <f>IFERROR(__xludf.DUMMYFUNCTION("""COMPUTED_VALUE"""),"Bianca Batista Torres | SEGUNDA LICENCIATURA PEDAGOGIA | Aprovada em Rec 2 | Tais: feedback falta o trabalho da etapa 1 sobre a BNCC, o protocolo veio sem o anexo")</f>
        <v>Bianca Batista Torres | SEGUNDA LICENCIATURA PEDAGOGIA | Aprovada em Rec 2 | Tais: feedback falta o trabalho da etapa 1 sobre a BNCC, o protocolo veio sem o anexo</v>
      </c>
      <c r="B4575" s="93"/>
    </row>
    <row r="4576">
      <c r="A4576" s="384" t="str">
        <f>IFERROR(__xludf.DUMMYFUNCTION("""COMPUTED_VALUE"""),"Daniela Aparecida de Oliveira | Segunda Licenciatura Letras - Português | Aprovada em Rec 2 | Tais: feedback entrevista incompleta ")</f>
        <v>Daniela Aparecida de Oliveira | Segunda Licenciatura Letras - Português | Aprovada em Rec 2 | Tais: feedback entrevista incompleta </v>
      </c>
      <c r="B4576" s="93"/>
    </row>
    <row r="4577">
      <c r="A4577" s="384" t="str">
        <f>IFERROR(__xludf.DUMMYFUNCTION("""COMPUTED_VALUE"""),"Diogo Reis Vieira | FORMAÇÃO PEDAGÓGICA EM MÚSICA | Aprovado | Tais: PPs Aprovadas")</f>
        <v>Diogo Reis Vieira | FORMAÇÃO PEDAGÓGICA EM MÚSICA | Aprovado | Tais: PPs Aprovadas</v>
      </c>
      <c r="B4577" s="93"/>
    </row>
    <row r="4578">
      <c r="A4578" s="384" t="str">
        <f>IFERROR(__xludf.DUMMYFUNCTION("""COMPUTED_VALUE"""),"Paula de Espindola Martins Albino | Segunda Licenciatura em Artes Visuais | Aprovado em Rec 2 | Tais: feedback falta assinatura do diretor na carta de aoresentação")</f>
        <v>Paula de Espindola Martins Albino | Segunda Licenciatura em Artes Visuais | Aprovado em Rec 2 | Tais: feedback falta assinatura do diretor na carta de aoresentação</v>
      </c>
      <c r="B4578" s="93"/>
    </row>
    <row r="4579">
      <c r="A4579" s="384" t="str">
        <f>IFERROR(__xludf.DUMMYFUNCTION("""COMPUTED_VALUE"""),"Fabiane Bastos Freire | SEGUNDA LICENCIATURA EM SOCIOLOGIA | Aprovado | Tais: PPs Aprovadas")</f>
        <v>Fabiane Bastos Freire | SEGUNDA LICENCIATURA EM SOCIOLOGIA | Aprovado | Tais: PPs Aprovadas</v>
      </c>
      <c r="B4579" s="93"/>
    </row>
    <row r="4580">
      <c r="A4580" s="384" t="str">
        <f>IFERROR(__xludf.DUMMYFUNCTION("""COMPUTED_VALUE"""),"Simone Barbosa Pontes Beltrão | Pós-Graduação em Neuropsicologia Clínica | Aprovado | Tais: PPs Aprovadas")</f>
        <v>Simone Barbosa Pontes Beltrão | Pós-Graduação em Neuropsicologia Clínica | Aprovado | Tais: PPs Aprovadas</v>
      </c>
      <c r="B4580" s="93"/>
    </row>
    <row r="4581">
      <c r="A4581" s="384" t="str">
        <f>IFERROR(__xludf.DUMMYFUNCTION("""COMPUTED_VALUE"""),"Patrícia Pimenta Prado | Segunda Licenciatura em Ciências Biológicas | Aprovado | Tais: PPs Aprovadas")</f>
        <v>Patrícia Pimenta Prado | Segunda Licenciatura em Ciências Biológicas | Aprovado | Tais: PPs Aprovadas</v>
      </c>
      <c r="B4581" s="93"/>
    </row>
    <row r="4582">
      <c r="A4582" s="384" t="str">
        <f>IFERROR(__xludf.DUMMYFUNCTION("""COMPUTED_VALUE"""),"Elizete Soares de Jesus Lima | SEGUNDA LICENCIATURA EM EDUCAÇÃO FÍSICA | Aprovado | Tais: PPs Aprovadas")</f>
        <v>Elizete Soares de Jesus Lima | SEGUNDA LICENCIATURA EM EDUCAÇÃO FÍSICA | Aprovado | Tais: PPs Aprovadas</v>
      </c>
      <c r="B4582" s="93"/>
    </row>
    <row r="4583">
      <c r="A4583" s="384" t="str">
        <f>IFERROR(__xludf.DUMMYFUNCTION("""COMPUTED_VALUE"""),"Rafaella Moreira de Lima | Geografia | Aprovado | Tais: PPs Aprovadas")</f>
        <v>Rafaella Moreira de Lima | Geografia | Aprovado | Tais: PPs Aprovadas</v>
      </c>
      <c r="B4583" s="93"/>
    </row>
    <row r="4584">
      <c r="A4584" s="384" t="str">
        <f>IFERROR(__xludf.DUMMYFUNCTION("""COMPUTED_VALUE"""),"Josinete Pereira Passos dos Santos Felipe |  Segunda Licenciatura em Música | Aprovado | Tais: PPs Aprovadas")</f>
        <v>Josinete Pereira Passos dos Santos Felipe |  Segunda Licenciatura em Música | Aprovado | Tais: PPs Aprovadas</v>
      </c>
      <c r="B4584" s="93"/>
    </row>
    <row r="4585">
      <c r="A4585" s="384" t="str">
        <f>IFERROR(__xludf.DUMMYFUNCTION("""COMPUTED_VALUE"""),"Juliana Maria Corallo Quinan | Segunda Licenciatura em Ciências Sociais | Aprovada | Tais: PPs aprovadas")</f>
        <v>Juliana Maria Corallo Quinan | Segunda Licenciatura em Ciências Sociais | Aprovada | Tais: PPs aprovadas</v>
      </c>
      <c r="B4585" s="93"/>
    </row>
    <row r="4586">
      <c r="A4586" s="384" t="str">
        <f>IFERROR(__xludf.DUMMYFUNCTION("""COMPUTED_VALUE"""),"Alan Maxi de Paula Dionísio | EGUNDA LICENCIATURA EM MATEMÁTICA | Aprovado 2 envio | Tais: PPs aprovadas")</f>
        <v>Alan Maxi de Paula Dionísio | EGUNDA LICENCIATURA EM MATEMÁTICA | Aprovado 2 envio | Tais: PPs aprovadas</v>
      </c>
      <c r="B4586" s="93"/>
    </row>
    <row r="4587">
      <c r="A4587" s="384" t="str">
        <f>IFERROR(__xludf.DUMMYFUNCTION("""COMPUTED_VALUE"""),"Monique Ribeiro dos Santos | Segunda Licenciatura em Letras Português-Inglês | Aprovada | Tais: PPs aprovadas")</f>
        <v>Monique Ribeiro dos Santos | Segunda Licenciatura em Letras Português-Inglês | Aprovada | Tais: PPs aprovadas</v>
      </c>
      <c r="B4587" s="93"/>
    </row>
    <row r="4588">
      <c r="A4588" s="384" t="str">
        <f>IFERROR(__xludf.DUMMYFUNCTION("""COMPUTED_VALUE"""),"Alison Rosado Pinheiro | SEGUNDA LICENCIATURA EM PEDAGOGIA | Aprovado | Tais: PPs aprovadas")</f>
        <v>Alison Rosado Pinheiro | SEGUNDA LICENCIATURA EM PEDAGOGIA | Aprovado | Tais: PPs aprovadas</v>
      </c>
      <c r="B4588" s="93"/>
    </row>
    <row r="4589">
      <c r="A4589" s="384" t="str">
        <f>IFERROR(__xludf.DUMMYFUNCTION("""COMPUTED_VALUE"""),"Filipe Lopes de Oliveira | Formação Pedagógica em Música 1200Horas | Aprovado | Tais: PPS aprovadas")</f>
        <v>Filipe Lopes de Oliveira | Formação Pedagógica em Música 1200Horas | Aprovado | Tais: PPS aprovadas</v>
      </c>
      <c r="B4589" s="93"/>
    </row>
    <row r="4590">
      <c r="A4590" s="384" t="str">
        <f>IFERROR(__xludf.DUMMYFUNCTION("""COMPUTED_VALUE"""),"Helena Silvia Mathei Sather | Segunda Licenciatura em Pedagogia  | Aprovado 2 envio | Tais: Falta carta de apresentação.")</f>
        <v>Helena Silvia Mathei Sather | Segunda Licenciatura em Pedagogia  | Aprovado 2 envio | Tais: Falta carta de apresentação.</v>
      </c>
      <c r="B4590" s="93"/>
    </row>
    <row r="4591">
      <c r="A4591" s="384" t="str">
        <f>IFERROR(__xludf.DUMMYFUNCTION("""COMPUTED_VALUE"""),"Ricardo Alves Ribeiro | Formação Pedagógica em Matemática | Aprovado | Tais: PPs aprovadas")</f>
        <v>Ricardo Alves Ribeiro | Formação Pedagógica em Matemática | Aprovado | Tais: PPs aprovadas</v>
      </c>
      <c r="B4591" s="93"/>
    </row>
    <row r="4592">
      <c r="A4592" s="384" t="str">
        <f>IFERROR(__xludf.DUMMYFUNCTION("""COMPUTED_VALUE"""),"Johanna Meury Oliveira de Freitas | Pós-Graduação em Neuropsicologia Clínica | Aprovada | Tais: Estagio aprovado")</f>
        <v>Johanna Meury Oliveira de Freitas | Pós-Graduação em Neuropsicologia Clínica | Aprovada | Tais: Estagio aprovado</v>
      </c>
      <c r="B4592" s="93"/>
    </row>
    <row r="4593">
      <c r="A4593" s="384" t="str">
        <f>IFERROR(__xludf.DUMMYFUNCTION("""COMPUTED_VALUE"""),"Vanessa machado de sousa de Lima | SEGUNDA LICENCIATURA EM PEDAGOGIA | Aprovada | Tais: PPs aprovadas")</f>
        <v>Vanessa machado de sousa de Lima | SEGUNDA LICENCIATURA EM PEDAGOGIA | Aprovada | Tais: PPs aprovadas</v>
      </c>
      <c r="B4593" s="93"/>
    </row>
    <row r="4594">
      <c r="A4594" s="384" t="str">
        <f>IFERROR(__xludf.DUMMYFUNCTION("""COMPUTED_VALUE"""),"Viviane Santos Natal Silva | Formação Pedagógica em Educação Especial | Aprovada | Tais: PPs aprovadas")</f>
        <v>Viviane Santos Natal Silva | Formação Pedagógica em Educação Especial | Aprovada | Tais: PPs aprovadas</v>
      </c>
      <c r="B4594" s="93"/>
    </row>
    <row r="4595">
      <c r="A4595" s="384" t="str">
        <f>IFERROR(__xludf.DUMMYFUNCTION("""COMPUTED_VALUE"""),"Benedito Antônio dos Santos | Segunda Licenciatura em Música 1320Horas | Aprovada | Tais: PPs aprovadas")</f>
        <v>Benedito Antônio dos Santos | Segunda Licenciatura em Música 1320Horas | Aprovada | Tais: PPs aprovadas</v>
      </c>
      <c r="B4595" s="93"/>
    </row>
    <row r="4596">
      <c r="A4596" s="384" t="str">
        <f>IFERROR(__xludf.DUMMYFUNCTION("""COMPUTED_VALUE"""),"Jeane Mendes da Silva Muniz | Segunda Licenciatura Letras - Inglês | Aprovada | Tais: PPs aprovadas")</f>
        <v>Jeane Mendes da Silva Muniz | Segunda Licenciatura Letras - Inglês | Aprovada | Tais: PPs aprovadas</v>
      </c>
      <c r="B4596" s="93"/>
    </row>
    <row r="4597">
      <c r="A4597" s="384" t="str">
        <f>IFERROR(__xludf.DUMMYFUNCTION("""COMPUTED_VALUE"""),"PATRÍCIA DA SILVA MATURANA FREIRE | SEGUNDA LICENCIATURA EM PEDAGOGIA | Aprovada | Tais: PPs aprovadas")</f>
        <v>PATRÍCIA DA SILVA MATURANA FREIRE | SEGUNDA LICENCIATURA EM PEDAGOGIA | Aprovada | Tais: PPs aprovadas</v>
      </c>
      <c r="B4597" s="93"/>
    </row>
    <row r="4598">
      <c r="A4598" s="384" t="str">
        <f>IFERROR(__xludf.DUMMYFUNCTION("""COMPUTED_VALUE"""),"Marco Túlio de Abreu | Segunda Licenciatura em Pedagogia | Aprovado | Tais: PPs aprovadas")</f>
        <v>Marco Túlio de Abreu | Segunda Licenciatura em Pedagogia | Aprovado | Tais: PPs aprovadas</v>
      </c>
      <c r="B4598" s="93"/>
    </row>
    <row r="4599">
      <c r="A4599" s="384" t="str">
        <f>IFERROR(__xludf.DUMMYFUNCTION("""COMPUTED_VALUE"""),"Pedro Batista de Andrade | Segunda Licenciatura em História | Aprovado | Tais: PPs aprovadas")</f>
        <v>Pedro Batista de Andrade | Segunda Licenciatura em História | Aprovado | Tais: PPs aprovadas</v>
      </c>
      <c r="B4599" s="93"/>
    </row>
    <row r="4600">
      <c r="A4600" s="384" t="str">
        <f>IFERROR(__xludf.DUMMYFUNCTION("""COMPUTED_VALUE"""),"William Alves da Silva | Segunda Licenciatura Em Pedagogia | Aprovado | Tais: PPs aprovadas")</f>
        <v>William Alves da Silva | Segunda Licenciatura Em Pedagogia | Aprovado | Tais: PPs aprovadas</v>
      </c>
      <c r="B4600" s="93"/>
    </row>
    <row r="4601">
      <c r="A4601" s="384" t="str">
        <f>IFERROR(__xludf.DUMMYFUNCTION("""COMPUTED_VALUE"""),"Ivone dos Santos Poltranieri Ferreira  | Formação Pedagógica Em Pedagogia | Aprovada Rec 3 | Tais: Falta envio da pratica pedagógica I, atividade II sem resposta em algumas perguntas. ")</f>
        <v>Ivone dos Santos Poltranieri Ferreira  | Formação Pedagógica Em Pedagogia | Aprovada Rec 3 | Tais: Falta envio da pratica pedagógica I, atividade II sem resposta em algumas perguntas. </v>
      </c>
      <c r="B4601" s="93"/>
    </row>
    <row r="4602">
      <c r="A4602" s="384" t="str">
        <f>IFERROR(__xludf.DUMMYFUNCTION("""COMPUTED_VALUE"""),"José idalecio de Sousa galvao | FORMAÇÃO PEDAGÓGICA EM HISTÓRIA - 116M | Aprovado | Tais: PPs aprovadas")</f>
        <v>José idalecio de Sousa galvao | FORMAÇÃO PEDAGÓGICA EM HISTÓRIA - 116M | Aprovado | Tais: PPs aprovadas</v>
      </c>
      <c r="B4602" s="93"/>
    </row>
    <row r="4603">
      <c r="A4603" s="384" t="str">
        <f>IFERROR(__xludf.DUMMYFUNCTION("""COMPUTED_VALUE"""),"Gabriel Pigosso Ribeiro | Segunda Licenciatura em História | Aprovado | Tais: PPs aprovadas")</f>
        <v>Gabriel Pigosso Ribeiro | Segunda Licenciatura em História | Aprovado | Tais: PPs aprovadas</v>
      </c>
      <c r="B4603" s="93"/>
    </row>
    <row r="4604">
      <c r="A4604" s="384" t="str">
        <f>IFERROR(__xludf.DUMMYFUNCTION("""COMPUTED_VALUE"""),"Davi Gomes de Souza dos Santos | Formação Pedagógica em Música | Aprovado | Tais: PPs aprovadas")</f>
        <v>Davi Gomes de Souza dos Santos | Formação Pedagógica em Música | Aprovado | Tais: PPs aprovadas</v>
      </c>
      <c r="B4604" s="93"/>
    </row>
    <row r="4605">
      <c r="A4605" s="384" t="str">
        <f>IFERROR(__xludf.DUMMYFUNCTION("""COMPUTED_VALUE"""),"Patrícia de Sousa Gomes | Formação Pedagógica em Música  | Aprovada | Tais: PPs aprovadas")</f>
        <v>Patrícia de Sousa Gomes | Formação Pedagógica em Música  | Aprovada | Tais: PPs aprovadas</v>
      </c>
      <c r="B4605" s="93"/>
    </row>
    <row r="4606">
      <c r="A4606" s="384" t="str">
        <f>IFERROR(__xludf.DUMMYFUNCTION("""COMPUTED_VALUE"""),"Reila Regia da Silva | Segunda Licenciatura em Música | Aprovada | Tais: PPs aprovadas")</f>
        <v>Reila Regia da Silva | Segunda Licenciatura em Música | Aprovada | Tais: PPs aprovadas</v>
      </c>
      <c r="B4606" s="93"/>
    </row>
    <row r="4607">
      <c r="A4607" s="384" t="str">
        <f>IFERROR(__xludf.DUMMYFUNCTION("""COMPUTED_VALUE"""),"Hélio Gustavo Carvalho Araújo | Segunda Licenciatura em Música | Aprovada | Tais: PPs aprovadas")</f>
        <v>Hélio Gustavo Carvalho Araújo | Segunda Licenciatura em Música | Aprovada | Tais: PPs aprovadas</v>
      </c>
      <c r="B4607" s="93"/>
    </row>
    <row r="4608">
      <c r="A4608" s="384" t="str">
        <f>IFERROR(__xludf.DUMMYFUNCTION("""COMPUTED_VALUE"""),"Amanda Velloso Nogueira Cordeiro | SEGUNDA LICENCIATURA EM PEDAGOGIA | Aprovada | Tais: PPs aprovadas")</f>
        <v>Amanda Velloso Nogueira Cordeiro | SEGUNDA LICENCIATURA EM PEDAGOGIA | Aprovada | Tais: PPs aprovadas</v>
      </c>
      <c r="B4608" s="93"/>
    </row>
    <row r="4609">
      <c r="A4609" s="384" t="str">
        <f>IFERROR(__xludf.DUMMYFUNCTION("""COMPUTED_VALUE"""),"MARINETE DOS SANTOS PEREIRA | SEGUNDA LICENCIATURA EM PEDAGOGIA | Aprovada | Tais: PPs aprovadas")</f>
        <v>MARINETE DOS SANTOS PEREIRA | SEGUNDA LICENCIATURA EM PEDAGOGIA | Aprovada | Tais: PPs aprovadas</v>
      </c>
      <c r="B4609" s="93"/>
    </row>
    <row r="4610">
      <c r="A4610" s="384" t="str">
        <f>IFERROR(__xludf.DUMMYFUNCTION("""COMPUTED_VALUE"""),"Dineia Braga da Silva | Segunda Licenciatura em Música | Aprovada | Tais: PPs aprovadas")</f>
        <v>Dineia Braga da Silva | Segunda Licenciatura em Música | Aprovada | Tais: PPs aprovadas</v>
      </c>
      <c r="B4610" s="93"/>
    </row>
    <row r="4611">
      <c r="A4611" s="384" t="str">
        <f>IFERROR(__xludf.DUMMYFUNCTION("""COMPUTED_VALUE"""),"Mikaele de Brito Lima | Formação Pedagógica em Historia | Aprovada | Tais: PPs aprovadas")</f>
        <v>Mikaele de Brito Lima | Formação Pedagógica em Historia | Aprovada | Tais: PPs aprovadas</v>
      </c>
      <c r="B4611" s="93"/>
    </row>
    <row r="4612">
      <c r="A4612" s="384" t="str">
        <f>IFERROR(__xludf.DUMMYFUNCTION("""COMPUTED_VALUE"""),"Maria Helena Alves Ramos  | SEGUNDA LICENCIATURA EM PEDAGOGIA | Aprovada em Rec 2 | Tais: Plagio 77%, dissertação com 2 paginas")</f>
        <v>Maria Helena Alves Ramos  | SEGUNDA LICENCIATURA EM PEDAGOGIA | Aprovada em Rec 2 | Tais: Plagio 77%, dissertação com 2 paginas</v>
      </c>
      <c r="B4612" s="93"/>
    </row>
    <row r="4613">
      <c r="A4613" s="384" t="str">
        <f>IFERROR(__xludf.DUMMYFUNCTION("""COMPUTED_VALUE"""),"Elton Souza Costa | Segunda Licenciatura em Pedagogia | Reprovada | Tais: Falta envio da PPI")</f>
        <v>Elton Souza Costa | Segunda Licenciatura em Pedagogia | Reprovada | Tais: Falta envio da PPI</v>
      </c>
      <c r="B4613" s="93"/>
    </row>
    <row r="4614">
      <c r="A4614" s="384" t="str">
        <f>IFERROR(__xludf.DUMMYFUNCTION("""COMPUTED_VALUE"""),"Francisca Dantas de Almeida | Formação Pedagógica em Pedagogia | Aprovada | Tais: PPs aprovadas")</f>
        <v>Francisca Dantas de Almeida | Formação Pedagógica em Pedagogia | Aprovada | Tais: PPs aprovadas</v>
      </c>
      <c r="B4614" s="93"/>
    </row>
    <row r="4615">
      <c r="A4615" s="384" t="str">
        <f>IFERROR(__xludf.DUMMYFUNCTION("""COMPUTED_VALUE"""),"Patrícia de Cássia Ramos Barbosa | Segunda Licenciatura em Pedagogia | Aprovada | Tais: PPs aprovadas")</f>
        <v>Patrícia de Cássia Ramos Barbosa | Segunda Licenciatura em Pedagogia | Aprovada | Tais: PPs aprovadas</v>
      </c>
      <c r="B4615" s="93"/>
    </row>
    <row r="4616">
      <c r="A4616" s="384" t="str">
        <f>IFERROR(__xludf.DUMMYFUNCTION("""COMPUTED_VALUE"""),"Alessandra Bento da Silva dos Santos | FORMAÇÃO PEDAGÓGICA EM PEDAGOGIA | Aprovado  | Tais: PPs aprovadas")</f>
        <v>Alessandra Bento da Silva dos Santos | FORMAÇÃO PEDAGÓGICA EM PEDAGOGIA | Aprovado  | Tais: PPs aprovadas</v>
      </c>
      <c r="B4616" s="93"/>
    </row>
    <row r="4617">
      <c r="A4617" s="384" t="str">
        <f>IFERROR(__xludf.DUMMYFUNCTION("""COMPUTED_VALUE"""),"Jackson Luiz Henrique | SEGUNDA LICENCIATURA EM EDUCAÇÃO FÍSICA - 2024 | Aprovado  | Alana: PPs aprovadas")</f>
        <v>Jackson Luiz Henrique | SEGUNDA LICENCIATURA EM EDUCAÇÃO FÍSICA - 2024 | Aprovado  | Alana: PPs aprovadas</v>
      </c>
      <c r="B4617" s="93"/>
    </row>
    <row r="4618">
      <c r="A4618" s="384" t="str">
        <f>IFERROR(__xludf.DUMMYFUNCTION("""COMPUTED_VALUE"""),"Tatiana Marcillino Felácio Oliveira | Pós-graduação em Neuropsicologia | Aprovado  | Tais: TCC aprovadas")</f>
        <v>Tatiana Marcillino Felácio Oliveira | Pós-graduação em Neuropsicologia | Aprovado  | Tais: TCC aprovadas</v>
      </c>
      <c r="B4618" s="93"/>
    </row>
    <row r="4619">
      <c r="A4619" s="384" t="str">
        <f>IFERROR(__xludf.DUMMYFUNCTION("""COMPUTED_VALUE"""),"MARINETE DOS SANTOS PEREIRA | SEGUNDA LICENCIATURA EM PEDAGOGIA | Aprovado  | Tais: PPs aprovadas")</f>
        <v>MARINETE DOS SANTOS PEREIRA | SEGUNDA LICENCIATURA EM PEDAGOGIA | Aprovado  | Tais: PPs aprovadas</v>
      </c>
      <c r="B4619" s="93"/>
    </row>
    <row r="4620">
      <c r="A4620" s="384" t="str">
        <f>IFERROR(__xludf.DUMMYFUNCTION("""COMPUTED_VALUE"""),"Fabio Borda de Vuono | FORMAÇÃO PEDAGÓGICA EM MÚSICA - 2024 | Aprovado  | Tais: PPs aprovadas")</f>
        <v>Fabio Borda de Vuono | FORMAÇÃO PEDAGÓGICA EM MÚSICA - 2024 | Aprovado  | Tais: PPs aprovadas</v>
      </c>
      <c r="B4620" s="93"/>
    </row>
    <row r="4621">
      <c r="A4621" s="384" t="str">
        <f>IFERROR(__xludf.DUMMYFUNCTION("""COMPUTED_VALUE"""),"Gabriela Queiroz Saraiva | SEGUNDA LICENCIATURA EM PEDAGOGIA | Aprovado  | Tais: PPs aprovadas")</f>
        <v>Gabriela Queiroz Saraiva | SEGUNDA LICENCIATURA EM PEDAGOGIA | Aprovado  | Tais: PPs aprovadas</v>
      </c>
      <c r="B4621" s="93"/>
    </row>
    <row r="4622">
      <c r="A4622" s="384" t="str">
        <f>IFERROR(__xludf.DUMMYFUNCTION("""COMPUTED_VALUE"""),"José Idalácio de Sousa Galvão | FORMAÇÃO PEDAGÓGICA EM HISTÓRIA | Aprovado  | Tais: PPs aprovadas")</f>
        <v>José Idalácio de Sousa Galvão | FORMAÇÃO PEDAGÓGICA EM HISTÓRIA | Aprovado  | Tais: PPs aprovadas</v>
      </c>
      <c r="B4622" s="93"/>
    </row>
    <row r="4623">
      <c r="A4623" s="384" t="str">
        <f>IFERROR(__xludf.DUMMYFUNCTION("""COMPUTED_VALUE"""),"Jeane Mendes da Silva Muniz | Segunda Licenciatura Letras - Inglês | Aprovado  | Tais: Estagio aprovado")</f>
        <v>Jeane Mendes da Silva Muniz | Segunda Licenciatura Letras - Inglês | Aprovado  | Tais: Estagio aprovado</v>
      </c>
      <c r="B4623" s="93"/>
    </row>
    <row r="4624">
      <c r="A4624" s="384" t="str">
        <f>IFERROR(__xludf.DUMMYFUNCTION("""COMPUTED_VALUE"""),"Wendson cleber cardoso da cruz | Segunda Licenciatura em Educação física | Aprovado em Rec 2 | Tais: Falta adequações no aluno")</f>
        <v>Wendson cleber cardoso da cruz | Segunda Licenciatura em Educação física | Aprovado em Rec 2 | Tais: Falta adequações no aluno</v>
      </c>
      <c r="B4624" s="93"/>
    </row>
    <row r="4625">
      <c r="A4625" s="384" t="str">
        <f>IFERROR(__xludf.DUMMYFUNCTION("""COMPUTED_VALUE"""),"Santiago dos Santos Santarém | FORMAÇÃO PEDAGÓGICA EM ARTES VISUAIS | Aprovado  | Tais: PPs aprovadas")</f>
        <v>Santiago dos Santos Santarém | FORMAÇÃO PEDAGÓGICA EM ARTES VISUAIS | Aprovado  | Tais: PPs aprovadas</v>
      </c>
      <c r="B4625" s="93"/>
    </row>
    <row r="4626">
      <c r="A4626" s="384" t="str">
        <f>IFERROR(__xludf.DUMMYFUNCTION("""COMPUTED_VALUE"""),"Silvania Moraes Mascarin Bezerra | Segunda Licenciatura em Música | Aprovado  | Tais: PPs aprovadas")</f>
        <v>Silvania Moraes Mascarin Bezerra | Segunda Licenciatura em Música | Aprovado  | Tais: PPs aprovadas</v>
      </c>
      <c r="B4626" s="93"/>
    </row>
    <row r="4627">
      <c r="A4627" s="384" t="str">
        <f>IFERROR(__xludf.DUMMYFUNCTION("""COMPUTED_VALUE"""),"Nivaldo da Silva Lima | Pós-Graduação em Psicanálise | Aprovado  | Tais: TCC aprovado.")</f>
        <v>Nivaldo da Silva Lima | Pós-Graduação em Psicanálise | Aprovado  | Tais: TCC aprovado.</v>
      </c>
      <c r="B4627" s="93"/>
    </row>
    <row r="4628">
      <c r="A4628" s="384" t="str">
        <f>IFERROR(__xludf.DUMMYFUNCTION("""COMPUTED_VALUE"""),"Sara Nikayse da Silva Marinho Mota | Segunda Licenciatura em Pedagogia | Aprovado | Tais: PPs aprovadas")</f>
        <v>Sara Nikayse da Silva Marinho Mota | Segunda Licenciatura em Pedagogia | Aprovado | Tais: PPs aprovadas</v>
      </c>
      <c r="B4628" s="93"/>
    </row>
    <row r="4629">
      <c r="A4629" s="384" t="str">
        <f>IFERROR(__xludf.DUMMYFUNCTION("""COMPUTED_VALUE"""),"Rafaella Moreira de Lima | Segunda licenciatura em História | Aprovada | Tais: PPs aprovadas")</f>
        <v>Rafaella Moreira de Lima | Segunda licenciatura em História | Aprovada | Tais: PPs aprovadas</v>
      </c>
      <c r="B4629" s="93"/>
    </row>
    <row r="4630">
      <c r="A4630" s="384" t="str">
        <f>IFERROR(__xludf.DUMMYFUNCTION("""COMPUTED_VALUE"""),"Valéria Coelho dos Santos | Segunda Licenciatura em Educação Especial | Aprovada | Tais: PPs aprovadas")</f>
        <v>Valéria Coelho dos Santos | Segunda Licenciatura em Educação Especial | Aprovada | Tais: PPs aprovadas</v>
      </c>
      <c r="B4630" s="93"/>
    </row>
    <row r="4631">
      <c r="A4631" s="384" t="str">
        <f>IFERROR(__xludf.DUMMYFUNCTION("""COMPUTED_VALUE"""),"Aldir Silva Aragão | Formação pedagógica Letras - Português | Reprovada  | Tais: Dissertação da PPI com somente 2 paginas;")</f>
        <v>Aldir Silva Aragão | Formação pedagógica Letras - Português | Reprovada  | Tais: Dissertação da PPI com somente 2 paginas;</v>
      </c>
      <c r="B4631" s="93"/>
    </row>
    <row r="4632">
      <c r="A4632" s="384" t="str">
        <f>IFERROR(__xludf.DUMMYFUNCTION("""COMPUTED_VALUE"""),"Rafaela Vitor de Carvalho | Pós-Graduação em Neuropsicopedagogia Institucional, Clínica e Hospitalar 850h | Pré Aprovada Rec 4 | Tais: Falta o envio da Ficha de Registro de Atividades, e precisa adequar o relatório com no minimo 10 a 15 paginas. ")</f>
        <v>Rafaela Vitor de Carvalho | Pós-Graduação em Neuropsicopedagogia Institucional, Clínica e Hospitalar 850h | Pré Aprovada Rec 4 | Tais: Falta o envio da Ficha de Registro de Atividades, e precisa adequar o relatório com no minimo 10 a 15 paginas. </v>
      </c>
      <c r="B4632" s="93"/>
    </row>
    <row r="4633">
      <c r="A4633" s="384" t="str">
        <f>IFERROR(__xludf.DUMMYFUNCTION("""COMPUTED_VALUE"""),"Jonnhy Pierri Oliveira Mota | Formação Pedagógica em Pedagogia | Aprovada | Tais: PPs aprovadas")</f>
        <v>Jonnhy Pierri Oliveira Mota | Formação Pedagógica em Pedagogia | Aprovada | Tais: PPs aprovadas</v>
      </c>
      <c r="B4633" s="93"/>
    </row>
    <row r="4634">
      <c r="A4634" s="384" t="str">
        <f>IFERROR(__xludf.DUMMYFUNCTION("""COMPUTED_VALUE"""),"Cristino Renato da Silva | Segunda Licenciatura em Música  | Aprovada | Tais: PPs aprovadas")</f>
        <v>Cristino Renato da Silva | Segunda Licenciatura em Música  | Aprovada | Tais: PPs aprovadas</v>
      </c>
      <c r="B4634" s="93"/>
    </row>
    <row r="4635">
      <c r="A4635" s="384" t="str">
        <f>IFERROR(__xludf.DUMMYFUNCTION("""COMPUTED_VALUE"""),"Willian Barbosa da Silva Pinheiro | FORMAÇÃO PEDAGÓGICA EM PEDAGOGIA | Aprovada | Tais: PPs aprovadas")</f>
        <v>Willian Barbosa da Silva Pinheiro | FORMAÇÃO PEDAGÓGICA EM PEDAGOGIA | Aprovada | Tais: PPs aprovadas</v>
      </c>
      <c r="B4635" s="93"/>
    </row>
    <row r="4636">
      <c r="A4636" s="384" t="str">
        <f>IFERROR(__xludf.DUMMYFUNCTION("""COMPUTED_VALUE"""),"Jefferson Pereira Vilaronga | Formação Pedagógica em Música | Aprovada | Tais: PPs aprovadas")</f>
        <v>Jefferson Pereira Vilaronga | Formação Pedagógica em Música | Aprovada | Tais: PPs aprovadas</v>
      </c>
      <c r="B4636" s="93"/>
    </row>
    <row r="4637">
      <c r="A4637" s="384" t="str">
        <f>IFERROR(__xludf.DUMMYFUNCTION("""COMPUTED_VALUE"""),"Cristiano Ares Ramos | Formação Pedagógica em Música | Aprovado em Rec 3 | Tais: Falta envio da PP II")</f>
        <v>Cristiano Ares Ramos | Formação Pedagógica em Música | Aprovado em Rec 3 | Tais: Falta envio da PP II</v>
      </c>
      <c r="B4637" s="93"/>
    </row>
    <row r="4638">
      <c r="A4638" s="384" t="str">
        <f>IFERROR(__xludf.DUMMYFUNCTION("""COMPUTED_VALUE"""),"Isaias Martins da Conceição | Segunda Licenciatura em Música 1320 Horas | Aprovado | Tais: PPs aprovadas")</f>
        <v>Isaias Martins da Conceição | Segunda Licenciatura em Música 1320 Horas | Aprovado | Tais: PPs aprovadas</v>
      </c>
      <c r="B4638" s="93"/>
    </row>
    <row r="4639">
      <c r="A4639" s="384" t="str">
        <f>IFERROR(__xludf.DUMMYFUNCTION("""COMPUTED_VALUE"""),"Elizangela Coutinho da Cunha | SEGUNDA LICENCIATURA EM EDUCAÇÃO ESPECIAL | Aprovada | Tais: PPs aprovadas")</f>
        <v>Elizangela Coutinho da Cunha | SEGUNDA LICENCIATURA EM EDUCAÇÃO ESPECIAL | Aprovada | Tais: PPs aprovadas</v>
      </c>
      <c r="B4639" s="93"/>
    </row>
    <row r="4640">
      <c r="A4640" s="384" t="str">
        <f>IFERROR(__xludf.DUMMYFUNCTION("""COMPUTED_VALUE"""),"Luciano da Silva Carneiro | FORMAÇÃO PEDAGÓGICA EM MÚSICA - | Aprovado em Rec 2 | Tais: Falta adequações do aluno, não enviou a carta de apresentação")</f>
        <v>Luciano da Silva Carneiro | FORMAÇÃO PEDAGÓGICA EM MÚSICA - | Aprovado em Rec 2 | Tais: Falta adequações do aluno, não enviou a carta de apresentação</v>
      </c>
      <c r="B4640" s="93"/>
    </row>
    <row r="4641">
      <c r="A4641" s="384" t="str">
        <f>IFERROR(__xludf.DUMMYFUNCTION("""COMPUTED_VALUE"""),"Everson Gomes de Oliveira | #FPMF- Formação Pedagógica em Música 1200Horas | Aprovado  | Tais: PPS aprovadas")</f>
        <v>Everson Gomes de Oliveira | #FPMF- Formação Pedagógica em Música 1200Horas | Aprovado  | Tais: PPS aprovadas</v>
      </c>
      <c r="B4641" s="93"/>
    </row>
    <row r="4642">
      <c r="A4642" s="384" t="str">
        <f>IFERROR(__xludf.DUMMYFUNCTION("""COMPUTED_VALUE"""),"Stela Paula Felix | #SLUP - SEGUNDA LICENCIATURA EM PEDAGOGIA | Aprovada | Tais: PPs aprovadas")</f>
        <v>Stela Paula Felix | #SLUP - SEGUNDA LICENCIATURA EM PEDAGOGIA | Aprovada | Tais: PPs aprovadas</v>
      </c>
      <c r="B4642" s="93"/>
    </row>
    <row r="4643">
      <c r="A4643" s="384" t="str">
        <f>IFERROR(__xludf.DUMMYFUNCTION("""COMPUTED_VALUE"""),"Davi Gomes de Souza dos Santos | Formação Pedagógica em Música 1200 Horas | Aprovado | Tais: PPs aprovadas")</f>
        <v>Davi Gomes de Souza dos Santos | Formação Pedagógica em Música 1200 Horas | Aprovado | Tais: PPs aprovadas</v>
      </c>
      <c r="B4643" s="93"/>
    </row>
    <row r="4644">
      <c r="A4644" s="384" t="str">
        <f>IFERROR(__xludf.DUMMYFUNCTION("""COMPUTED_VALUE"""),"Silvânia Corrêia Veloso | Segunda licenciatura em letras português/inglês | Aprovada | Tais: PPs aprovadas")</f>
        <v>Silvânia Corrêia Veloso | Segunda licenciatura em letras português/inglês | Aprovada | Tais: PPs aprovadas</v>
      </c>
      <c r="B4644" s="93"/>
    </row>
    <row r="4645">
      <c r="A4645" s="384" t="str">
        <f>IFERROR(__xludf.DUMMYFUNCTION("""COMPUTED_VALUE"""),"Silvânia Corrêia Veloso | Segunda licenciatura em letras português/libras | Aprovada | Tais: PPs aprovadas")</f>
        <v>Silvânia Corrêia Veloso | Segunda licenciatura em letras português/libras | Aprovada | Tais: PPs aprovadas</v>
      </c>
      <c r="B4645" s="93"/>
    </row>
    <row r="4646">
      <c r="A4646" s="384" t="str">
        <f>IFERROR(__xludf.DUMMYFUNCTION("""COMPUTED_VALUE"""),"Cleber Claus Garcia Salvatico | Segunda Licenciatura em Música 2022 - 880 Horas | Aprovado | Tais: PPII correta, aluno informou que enviou as PPI no entanto não foi encontrada, e se negou a enviar novamente, por ser plataforma antiga Alana autorizou a apr"&amp;"ovação do ALuno.")</f>
        <v>Cleber Claus Garcia Salvatico | Segunda Licenciatura em Música 2022 - 880 Horas | Aprovado | Tais: PPII correta, aluno informou que enviou as PPI no entanto não foi encontrada, e se negou a enviar novamente, por ser plataforma antiga Alana autorizou a aprovação do ALuno.</v>
      </c>
      <c r="B4646" s="93"/>
    </row>
    <row r="4647">
      <c r="A4647" s="384" t="str">
        <f>IFERROR(__xludf.DUMMYFUNCTION("""COMPUTED_VALUE"""),"Salete Tereza Holdefer Siqueira | SEGUNDA LICENCIATURA EM EDUCAÇÃO ESPECIAL | Aprovado | Tais: PPs aprovadas")</f>
        <v>Salete Tereza Holdefer Siqueira | SEGUNDA LICENCIATURA EM EDUCAÇÃO ESPECIAL | Aprovado | Tais: PPs aprovadas</v>
      </c>
      <c r="B4647" s="93"/>
    </row>
    <row r="4648">
      <c r="A4648" s="384" t="str">
        <f>IFERROR(__xludf.DUMMYFUNCTION("""COMPUTED_VALUE"""),"Ranina Santos da Silva | Segunda Licenciatura em História | Aprovada | Tais: Dispensada da realização das PPs, enviou comprovante de 200h de estágio.")</f>
        <v>Ranina Santos da Silva | Segunda Licenciatura em História | Aprovada | Tais: Dispensada da realização das PPs, enviou comprovante de 200h de estágio.</v>
      </c>
      <c r="B4648" s="93"/>
    </row>
    <row r="4649">
      <c r="A4649" s="384" t="str">
        <f>IFERROR(__xludf.DUMMYFUNCTION("""COMPUTED_VALUE"""),"José Genildo Araújo Silva Junior | Segunda Licenciatura em Educação Física | Aprovada | Tais: Estagio aprovado, só faltava o envio fisico do trabalho, porém não é mais obrigatório, desta forma sem pendencias da Tutoria.")</f>
        <v>José Genildo Araújo Silva Junior | Segunda Licenciatura em Educação Física | Aprovada | Tais: Estagio aprovado, só faltava o envio fisico do trabalho, porém não é mais obrigatório, desta forma sem pendencias da Tutoria.</v>
      </c>
      <c r="B4649" s="93"/>
    </row>
    <row r="4650">
      <c r="A4650" s="384" t="str">
        <f>IFERROR(__xludf.DUMMYFUNCTION("""COMPUTED_VALUE"""),"Eny Andrade | Pós-Graduação em Psicanálise | Aprovada | Tais: TCC aprovado")</f>
        <v>Eny Andrade | Pós-Graduação em Psicanálise | Aprovada | Tais: TCC aprovado</v>
      </c>
      <c r="B4650" s="93"/>
    </row>
    <row r="4651">
      <c r="A4651" s="384" t="str">
        <f>IFERROR(__xludf.DUMMYFUNCTION("""COMPUTED_VALUE"""),"Gabriela Ferrari | Segunda Licenciatura em Artes Visuais | Em analise | Tais: PPs aprovadas")</f>
        <v>Gabriela Ferrari | Segunda Licenciatura em Artes Visuais | Em analise | Tais: PPs aprovadas</v>
      </c>
      <c r="B4651" s="93"/>
    </row>
    <row r="4652">
      <c r="A4652" s="384" t="str">
        <f>IFERROR(__xludf.DUMMYFUNCTION("""COMPUTED_VALUE"""),"FRANCIMARA DE SOUSA LIMA | #SLPA- Segunda Licenciatura em Pedagogia 01 | Aprovada  | Tais: PPs aprovadas")</f>
        <v>FRANCIMARA DE SOUSA LIMA | #SLPA- Segunda Licenciatura em Pedagogia 01 | Aprovada  | Tais: PPs aprovadas</v>
      </c>
      <c r="B4652" s="93"/>
    </row>
    <row r="4653">
      <c r="A4653" s="384" t="str">
        <f>IFERROR(__xludf.DUMMYFUNCTION("""COMPUTED_VALUE"""),"Claudio Wesley Ferreira Costa | SEGUNDA LICENCIATURA EM LETRAS – PORTUGUÊS E INGLÊS | Aprovado | Tais: PPS aprovadas")</f>
        <v>Claudio Wesley Ferreira Costa | SEGUNDA LICENCIATURA EM LETRAS – PORTUGUÊS E INGLÊS | Aprovado | Tais: PPS aprovadas</v>
      </c>
      <c r="B4653" s="93"/>
    </row>
    <row r="4654">
      <c r="A4654" s="384" t="str">
        <f>IFERROR(__xludf.DUMMYFUNCTION("""COMPUTED_VALUE"""),"Wallyson Klleuver Silva dos Santos  | Segunda Licenciatura em Música | Aprovada | Tais: PPs aprovadas")</f>
        <v>Wallyson Klleuver Silva dos Santos  | Segunda Licenciatura em Música | Aprovada | Tais: PPs aprovadas</v>
      </c>
      <c r="B4654" s="93"/>
    </row>
    <row r="4655">
      <c r="A4655" s="384" t="str">
        <f>IFERROR(__xludf.DUMMYFUNCTION("""COMPUTED_VALUE"""),"Madequier Jesus Naressi | Pedagogia | Em analise | A correção por parte do aluno ainda estava pendente, contudo em outra conversa, tem a sinalização de certificação em processo de certificação. Devido a isso, para não gerar insatisfação no aluno, sinaliza"&amp;"mos que conseguimos verificar a assinatura das PPs e para considerar o que foi informado no áudio. ")</f>
        <v>Madequier Jesus Naressi | Pedagogia | Em analise | A correção por parte do aluno ainda estava pendente, contudo em outra conversa, tem a sinalização de certificação em processo de certificação. Devido a isso, para não gerar insatisfação no aluno, sinalizamos que conseguimos verificar a assinatura das PPs e para considerar o que foi informado no áudio. </v>
      </c>
      <c r="B4655" s="93"/>
    </row>
    <row r="4656">
      <c r="A4656" s="384" t="str">
        <f>IFERROR(__xludf.DUMMYFUNCTION("""COMPUTED_VALUE"""),"Sheila Siqueira Lontra | SEGUNDA LICENCIATURA EM PEDAGOGIA  | Aprovada | Tais: Falta regularização dos documentos pessoais para formalização da aprovação. ")</f>
        <v>Sheila Siqueira Lontra | SEGUNDA LICENCIATURA EM PEDAGOGIA  | Aprovada | Tais: Falta regularização dos documentos pessoais para formalização da aprovação. </v>
      </c>
      <c r="B4656" s="93"/>
    </row>
    <row r="4657">
      <c r="A4657" s="384" t="str">
        <f>IFERROR(__xludf.DUMMYFUNCTION("""COMPUTED_VALUE"""),"Marcos José Ferreira | SEGUNDA LICENCIATURA EM MÚSICA - 2024 | Aprovada | Tais: PPs aprovadas")</f>
        <v>Marcos José Ferreira | SEGUNDA LICENCIATURA EM MÚSICA - 2024 | Aprovada | Tais: PPs aprovadas</v>
      </c>
      <c r="B4657" s="93"/>
    </row>
    <row r="4658">
      <c r="A4658" s="384" t="str">
        <f>IFERROR(__xludf.DUMMYFUNCTION("""COMPUTED_VALUE"""),"Rafael Alves da Silva | #FPUEF - Formação Pedagógica em Educação Física - 1200 Horas | Aprovada | Tais: PPs aprovadas")</f>
        <v>Rafael Alves da Silva | #FPUEF - Formação Pedagógica em Educação Física - 1200 Horas | Aprovada | Tais: PPs aprovadas</v>
      </c>
      <c r="B4658" s="93"/>
    </row>
    <row r="4659">
      <c r="A4659" s="384" t="str">
        <f>IFERROR(__xludf.DUMMYFUNCTION("""COMPUTED_VALUE""")," Antônio Alberto Prata Teodoro | Formação Pedagógica em Educação Física | Aprovada | Tais: PPs aprovadas")</f>
        <v> Antônio Alberto Prata Teodoro | Formação Pedagógica em Educação Física | Aprovada | Tais: PPs aprovadas</v>
      </c>
      <c r="B4659" s="93"/>
    </row>
    <row r="4660">
      <c r="A4660" s="384" t="str">
        <f>IFERROR(__xludf.DUMMYFUNCTION("""COMPUTED_VALUE""")," Antônio Alberto Prata Teodoro | Formação Pedagógica em Geografia | Aprovada | Tais: PPs aprovadas")</f>
        <v> Antônio Alberto Prata Teodoro | Formação Pedagógica em Geografia | Aprovada | Tais: PPs aprovadas</v>
      </c>
      <c r="B4660" s="93"/>
    </row>
    <row r="4661">
      <c r="A4661" s="384" t="str">
        <f>IFERROR(__xludf.DUMMYFUNCTION("""COMPUTED_VALUE""")," Antônio Alberto Prata Teodoro | Formação Pedagógica em Ciencias da Religião | Aprovada | Tais: PPs aprovadas")</f>
        <v> Antônio Alberto Prata Teodoro | Formação Pedagógica em Ciencias da Religião | Aprovada | Tais: PPs aprovadas</v>
      </c>
      <c r="B4661" s="93"/>
    </row>
    <row r="4662">
      <c r="A4662" s="384" t="str">
        <f>IFERROR(__xludf.DUMMYFUNCTION("""COMPUTED_VALUE""")," Antônio Alberto Prata Teodoro | Formação Pedagógica em Filosofia | Aprovada | Tais: PPs aprovadas")</f>
        <v> Antônio Alberto Prata Teodoro | Formação Pedagógica em Filosofia | Aprovada | Tais: PPs aprovadas</v>
      </c>
      <c r="B4662" s="93"/>
    </row>
    <row r="4663">
      <c r="A4663" s="384" t="str">
        <f>IFERROR(__xludf.DUMMYFUNCTION("""COMPUTED_VALUE""")," Antônio Alberto Prata Teodoro | Formação Pedagógica em Sociologia | Aprovada | Tais: PPs aprovadas")</f>
        <v> Antônio Alberto Prata Teodoro | Formação Pedagógica em Sociologia | Aprovada | Tais: PPs aprovadas</v>
      </c>
      <c r="B4663" s="93"/>
    </row>
    <row r="4664">
      <c r="A4664" s="384" t="str">
        <f>IFERROR(__xludf.DUMMYFUNCTION("""COMPUTED_VALUE""")," Antônio Alberto Prata Teodoro | Formação Pedagógica em Educação Especial | Aprovada | Tais: PPs aprovadas")</f>
        <v> Antônio Alberto Prata Teodoro | Formação Pedagógica em Educação Especial | Aprovada | Tais: PPs aprovadas</v>
      </c>
      <c r="B4664" s="93"/>
    </row>
    <row r="4665">
      <c r="A4665" s="384" t="str">
        <f>IFERROR(__xludf.DUMMYFUNCTION("""COMPUTED_VALUE""")," Antônio Alberto Prata Teodoro | Formação Pedagógica em Artes | Aprovada | Tais: PPs aprovadas")</f>
        <v> Antônio Alberto Prata Teodoro | Formação Pedagógica em Artes | Aprovada | Tais: PPs aprovadas</v>
      </c>
      <c r="B4665" s="93"/>
    </row>
    <row r="4666">
      <c r="A4666" s="384" t="str">
        <f>IFERROR(__xludf.DUMMYFUNCTION("""COMPUTED_VALUE"""),"Yennifer Andrea Escobar Restrepo | FORMAÇÃO PEDAGÓGICA EM LETRAS PORTUGUÊS / INGLÊS - 2024 | Em análise | Tais: PPs pré aprovadas, falta regularizar documentação. ")</f>
        <v>Yennifer Andrea Escobar Restrepo | FORMAÇÃO PEDAGÓGICA EM LETRAS PORTUGUÊS / INGLÊS - 2024 | Em análise | Tais: PPs pré aprovadas, falta regularizar documentação. </v>
      </c>
      <c r="B4666" s="93"/>
    </row>
    <row r="4667">
      <c r="A4667" s="384" t="str">
        <f>IFERROR(__xludf.DUMMYFUNCTION("""COMPUTED_VALUE"""),"Diordan Ramon Pinheiro Santos  | FORMAÇÃO PEDAGÓGICA EM HISTÓRIA | Em análise | Tais: Aluno terá que fazer correções, entrevista está em formato texto, deve ser em formato perguntas e respostas, e falta a carta de apresentação. PPI pré aprovada, falta ade"&amp;"quações na PPII")</f>
        <v>Diordan Ramon Pinheiro Santos  | FORMAÇÃO PEDAGÓGICA EM HISTÓRIA | Em análise | Tais: Aluno terá que fazer correções, entrevista está em formato texto, deve ser em formato perguntas e respostas, e falta a carta de apresentação. PPI pré aprovada, falta adequações na PPII</v>
      </c>
      <c r="B4667" s="93"/>
    </row>
    <row r="4668">
      <c r="A4668" s="384" t="str">
        <f>IFERROR(__xludf.DUMMYFUNCTION("""COMPUTED_VALUE"""),"Paulo Lourenço Filho |  PÓS-GRADUAÇÃO EM PSICANÁLISE  |  | Tais: TCC  localizadas, aguardando análise para correção")</f>
        <v>Paulo Lourenço Filho |  PÓS-GRADUAÇÃO EM PSICANÁLISE  |  | Tais: TCC  localizadas, aguardando análise para correção</v>
      </c>
      <c r="B4668" s="93"/>
    </row>
    <row r="4669">
      <c r="A4669" s="384" t="str">
        <f>IFERROR(__xludf.DUMMYFUNCTION("""COMPUTED_VALUE"""),"Efrain Rael de Eron Silva de Azevedo  | PÓS-GRADUAÇÃO EM MUSICOTERAPIA  | Em análise | Tais: TCC pré aprovado, aguardando análise para correção")</f>
        <v>Efrain Rael de Eron Silva de Azevedo  | PÓS-GRADUAÇÃO EM MUSICOTERAPIA  | Em análise | Tais: TCC pré aprovado, aguardando análise para correção</v>
      </c>
      <c r="B4669" s="93"/>
    </row>
    <row r="4670">
      <c r="A4670" s="384" t="str">
        <f>IFERROR(__xludf.DUMMYFUNCTION("""COMPUTED_VALUE"""),"Maria do Carmo Rodrigues Pinheiro  | FORMAÇÃO PEDAGÓGICA EM FILOSOFIA | Aprovada | Tais: PPs aprovadas")</f>
        <v>Maria do Carmo Rodrigues Pinheiro  | FORMAÇÃO PEDAGÓGICA EM FILOSOFIA | Aprovada | Tais: PPs aprovadas</v>
      </c>
      <c r="B4670" s="93"/>
    </row>
    <row r="4671">
      <c r="A4671" s="384" t="str">
        <f>IFERROR(__xludf.DUMMYFUNCTION("""COMPUTED_VALUE"""),"Monalikyson Fernanda Rodrigues Barrozo  |  FORMAÇÃO PEDAGÓGICA EM PEDAGOGIA  | Aprovada | Tais: PPs aprovadas")</f>
        <v>Monalikyson Fernanda Rodrigues Barrozo  |  FORMAÇÃO PEDAGÓGICA EM PEDAGOGIA  | Aprovada | Tais: PPs aprovadas</v>
      </c>
      <c r="B4671" s="93"/>
    </row>
    <row r="4672">
      <c r="A4672" s="384" t="str">
        <f>IFERROR(__xludf.DUMMYFUNCTION("""COMPUTED_VALUE"""),"Katiucia Severino da Silva Lottermann  | SEGUNDA LICENCIATURA EM ARTES VISUAIS  | pré aprovada | Tais: PPS pré aprovadas, aguardando análise para correção")</f>
        <v>Katiucia Severino da Silva Lottermann  | SEGUNDA LICENCIATURA EM ARTES VISUAIS  | pré aprovada | Tais: PPS pré aprovadas, aguardando análise para correção</v>
      </c>
      <c r="B4672" s="93"/>
    </row>
    <row r="4673">
      <c r="A4673" s="384" t="str">
        <f>IFERROR(__xludf.DUMMYFUNCTION("""COMPUTED_VALUE"""),"Vandelson Silva Cabral | #SLMF - Segunda Licenciatura em Música 1320Horas | Aprovado | Tais: PPs aprovadas")</f>
        <v>Vandelson Silva Cabral | #SLMF - Segunda Licenciatura em Música 1320Horas | Aprovado | Tais: PPs aprovadas</v>
      </c>
      <c r="B4673" s="93"/>
    </row>
    <row r="4674">
      <c r="A4674" s="384" t="str">
        <f>IFERROR(__xludf.DUMMYFUNCTION("""COMPUTED_VALUE"""),"Elizeu Rocha dos Santos Júnior | SEGUNDA LICENCIATURA EM MATEMÁTICA - 2024 | Aprovado | Tais: PPs aprovadas")</f>
        <v>Elizeu Rocha dos Santos Júnior | SEGUNDA LICENCIATURA EM MATEMÁTICA - 2024 | Aprovado | Tais: PPs aprovadas</v>
      </c>
      <c r="B4674" s="93"/>
    </row>
    <row r="4675">
      <c r="A4675" s="384" t="str">
        <f>IFERROR(__xludf.DUMMYFUNCTION("""COMPUTED_VALUE"""),"Libiane Cristine Barroso | SEGUNDA LICENCIATURA EM ARTES VISUAIS - 2024 | Aprovada Rec 2 | Tais: Dissertação com somente 3 folhas")</f>
        <v>Libiane Cristine Barroso | SEGUNDA LICENCIATURA EM ARTES VISUAIS - 2024 | Aprovada Rec 2 | Tais: Dissertação com somente 3 folhas</v>
      </c>
      <c r="B4675" s="93"/>
    </row>
    <row r="4676">
      <c r="A4676" s="384" t="str">
        <f>IFERROR(__xludf.DUMMYFUNCTION("""COMPUTED_VALUE"""),"Beatriz de Godoi Impallatore | #SLUP - SEGUNDA LICENCIATURA EM PEDAGOGIA | Aprovado | Tais: Dissertação com somente 3 folhas")</f>
        <v>Beatriz de Godoi Impallatore | #SLUP - SEGUNDA LICENCIATURA EM PEDAGOGIA | Aprovado | Tais: Dissertação com somente 3 folhas</v>
      </c>
      <c r="B4676" s="93"/>
    </row>
    <row r="4677">
      <c r="A4677" s="384" t="str">
        <f>IFERROR(__xludf.DUMMYFUNCTION("""COMPUTED_VALUE"""),"Luana Benaia Lora Matos Hangui | Pós-Graduação em Neuropsicopedagogia | Aprovado | Tais: TCC aprovadas")</f>
        <v>Luana Benaia Lora Matos Hangui | Pós-Graduação em Neuropsicopedagogia | Aprovado | Tais: TCC aprovadas</v>
      </c>
      <c r="B4677" s="93"/>
    </row>
    <row r="4678">
      <c r="A4678" s="384" t="str">
        <f>IFERROR(__xludf.DUMMYFUNCTION("""COMPUTED_VALUE"""),"Carla Bovo Fernandes | #SLLPI- Segunda Licenciatura em Letras-Português/Inglês | Aprovada | Tais: PPs aprovadas")</f>
        <v>Carla Bovo Fernandes | #SLLPI- Segunda Licenciatura em Letras-Português/Inglês | Aprovada | Tais: PPs aprovadas</v>
      </c>
      <c r="B4678" s="93"/>
    </row>
    <row r="4679">
      <c r="A4679" s="384" t="str">
        <f>IFERROR(__xludf.DUMMYFUNCTION("""COMPUTED_VALUE"""),"Railena Pereira Braga | #SLPT- Segunda Licenciatura em Pedagogia | Reprovada | Tais: Plagio 15% e falta carta de apresentação.")</f>
        <v>Railena Pereira Braga | #SLPT- Segunda Licenciatura em Pedagogia | Reprovada | Tais: Plagio 15% e falta carta de apresentação.</v>
      </c>
      <c r="B4679" s="93"/>
    </row>
    <row r="4680">
      <c r="A4680" s="384" t="str">
        <f>IFERROR(__xludf.DUMMYFUNCTION("""COMPUTED_VALUE"""),"Josué Fiaz Canazza | #FPMF- Formação Pedagógica em Música 1200Horas | Aprovado | Alana: PPs aprovadas")</f>
        <v>Josué Fiaz Canazza | #FPMF- Formação Pedagógica em Música 1200Horas | Aprovado | Alana: PPs aprovadas</v>
      </c>
      <c r="B4680" s="93"/>
    </row>
    <row r="4681">
      <c r="A4681" s="384" t="str">
        <f>IFERROR(__xludf.DUMMYFUNCTION("""COMPUTED_VALUE"""),"Eduardo De Sousa Caldas | #FPMF- Formação Pedagógica em Música 1200Horas | Aprovado  | Tais: PPs aprovadas")</f>
        <v>Eduardo De Sousa Caldas | #FPMF- Formação Pedagógica em Música 1200Horas | Aprovado  | Tais: PPs aprovadas</v>
      </c>
      <c r="B4681" s="93"/>
    </row>
    <row r="4682">
      <c r="A4682" s="384" t="str">
        <f>IFERROR(__xludf.DUMMYFUNCTION("""COMPUTED_VALUE"""),"Alex Rodrigo Pereira | #FPMF- Formação Pedagógica em Música 1200Horas | Aprovado | Tais: Dispensa aprovada nas PPs, aluno com 1920 horas complementares.")</f>
        <v>Alex Rodrigo Pereira | #FPMF- Formação Pedagógica em Música 1200Horas | Aprovado | Tais: Dispensa aprovada nas PPs, aluno com 1920 horas complementares.</v>
      </c>
      <c r="B4682" s="93"/>
    </row>
    <row r="4683">
      <c r="A4683" s="384" t="str">
        <f>IFERROR(__xludf.DUMMYFUNCTION("""COMPUTED_VALUE"""),"Roberto Antônio Ruiz de Melo Carvalho | #SLMF - Segunda Licenciatura em Música 1320Horas | Aprovado | Tais: PPs aprovadas")</f>
        <v>Roberto Antônio Ruiz de Melo Carvalho | #SLMF - Segunda Licenciatura em Música 1320Horas | Aprovado | Tais: PPs aprovadas</v>
      </c>
      <c r="B4683" s="93"/>
    </row>
    <row r="4684">
      <c r="A4684" s="384" t="str">
        <f>IFERROR(__xludf.DUMMYFUNCTION("""COMPUTED_VALUE"""),"Mislene Silva | Diplomação por Competência em Pedagogia | Aprovado | Alana: Aprovado em 21/03/2025")</f>
        <v>Mislene Silva | Diplomação por Competência em Pedagogia | Aprovado | Alana: Aprovado em 21/03/2025</v>
      </c>
      <c r="B4684" s="93"/>
    </row>
    <row r="4685">
      <c r="A4685" s="384" t="str">
        <f>IFERROR(__xludf.DUMMYFUNCTION("""COMPUTED_VALUE"""),"Patrícia Costa Almeida | Diplomação por Competência em Pedagogia | Aprovado | Alana: Reprovada no primeiro envio. Mas APROVADA no segundo envio - Aprovação em 27/05/2025 via e-mail")</f>
        <v>Patrícia Costa Almeida | Diplomação por Competência em Pedagogia | Aprovado | Alana: Reprovada no primeiro envio. Mas APROVADA no segundo envio - Aprovação em 27/05/2025 via e-mail</v>
      </c>
      <c r="B4685" s="93"/>
    </row>
    <row r="4686">
      <c r="A4686" s="384" t="str">
        <f>IFERROR(__xludf.DUMMYFUNCTION("""COMPUTED_VALUE"""),"Carlosnaik Martins Veras Filho | Pós-Graduação em Psicanálise 2/2023 | Aprovado  | Tais: TCC aprovado")</f>
        <v>Carlosnaik Martins Veras Filho | Pós-Graduação em Psicanálise 2/2023 | Aprovado  | Tais: TCC aprovado</v>
      </c>
      <c r="B4686" s="93"/>
    </row>
    <row r="4687">
      <c r="A4687" s="384" t="str">
        <f>IFERROR(__xludf.DUMMYFUNCTION("""COMPUTED_VALUE"""),"Alice Bernardi Braga | Formação Pedagógica em Música  | Aprovada | Tais: PPs aprovadas")</f>
        <v>Alice Bernardi Braga | Formação Pedagógica em Música  | Aprovada | Tais: PPs aprovadas</v>
      </c>
      <c r="B4687" s="93"/>
    </row>
    <row r="4688">
      <c r="A4688" s="384" t="str">
        <f>IFERROR(__xludf.DUMMYFUNCTION("""COMPUTED_VALUE"""),"Liliane Pinto | Formação Pedagógica em Pedagogia | Aprovada Rec 2 | Tais: Falta questões na entrevista. ")</f>
        <v>Liliane Pinto | Formação Pedagógica em Pedagogia | Aprovada Rec 2 | Tais: Falta questões na entrevista. </v>
      </c>
      <c r="B4688" s="93"/>
    </row>
    <row r="4689">
      <c r="A4689" s="384" t="str">
        <f>IFERROR(__xludf.DUMMYFUNCTION("""COMPUTED_VALUE"""),"Murilo José da Silva. | #SLMF - Segunda Licenciatura em Música 1320Horas | Aprovado | Tais: PPs aprovadas")</f>
        <v>Murilo José da Silva. | #SLMF - Segunda Licenciatura em Música 1320Horas | Aprovado | Tais: PPs aprovadas</v>
      </c>
      <c r="B4689" s="93"/>
    </row>
    <row r="4690">
      <c r="A4690" s="384" t="str">
        <f>IFERROR(__xludf.DUMMYFUNCTION("""COMPUTED_VALUE"""),"Jéssica Queiróz |  Formação Pedagógica em Música | Aprovada | Tais: PPs aprovadas")</f>
        <v>Jéssica Queiróz |  Formação Pedagógica em Música | Aprovada | Tais: PPs aprovadas</v>
      </c>
      <c r="B4690" s="93"/>
    </row>
    <row r="4691">
      <c r="A4691" s="384" t="str">
        <f>IFERROR(__xludf.DUMMYFUNCTION("""COMPUTED_VALUE"""),"Olandim de Sousa Sueth | SEGUNDA LICENCIATURA EM PEDAGOGIA | Aprovado | Tais: PPs aprovadas")</f>
        <v>Olandim de Sousa Sueth | SEGUNDA LICENCIATURA EM PEDAGOGIA | Aprovado | Tais: PPs aprovadas</v>
      </c>
      <c r="B4691" s="93"/>
    </row>
    <row r="4692">
      <c r="A4692" s="384" t="str">
        <f>IFERROR(__xludf.DUMMYFUNCTION("""COMPUTED_VALUE""")," Roni Raggi Teixeira | SEGUNDA LICENCIATURA EM MÚSICA | Aprovado | Tais: PPS aprovadas")</f>
        <v> Roni Raggi Teixeira | SEGUNDA LICENCIATURA EM MÚSICA | Aprovado | Tais: PPS aprovadas</v>
      </c>
      <c r="B4692" s="93"/>
    </row>
    <row r="4693">
      <c r="A4693" s="384" t="str">
        <f>IFERROR(__xludf.DUMMYFUNCTION("""COMPUTED_VALUE"""),"Amanda Gusmão de Souza Goebel | #FPUP-FORMAÇÃO PEDAGÓGICA EM PEDAGOGIA- U | Aprovada | Tais: PPs aprovadas")</f>
        <v>Amanda Gusmão de Souza Goebel | #FPUP-FORMAÇÃO PEDAGÓGICA EM PEDAGOGIA- U | Aprovada | Tais: PPs aprovadas</v>
      </c>
      <c r="B4693" s="93"/>
    </row>
    <row r="4694">
      <c r="A4694" s="384" t="str">
        <f>IFERROR(__xludf.DUMMYFUNCTION("""COMPUTED_VALUE"""),"Édney Sander Aquino Leite | #SLMF- Segunda Licenciatura Música 1200Horas 1 | Aprovado | Alana: PPs aprovadas")</f>
        <v>Édney Sander Aquino Leite | #SLMF- Segunda Licenciatura Música 1200Horas 1 | Aprovado | Alana: PPs aprovadas</v>
      </c>
      <c r="B4694" s="93"/>
    </row>
    <row r="4695">
      <c r="A4695" s="384" t="str">
        <f>IFERROR(__xludf.DUMMYFUNCTION("""COMPUTED_VALUE"""),"Cleverson Moreira Lino | #SLUP - SEGUNDA LICENCIATURA EM PEDAGOGIA | Aprovado  | Tais: PPs aprovadas")</f>
        <v>Cleverson Moreira Lino | #SLUP - SEGUNDA LICENCIATURA EM PEDAGOGIA | Aprovado  | Tais: PPs aprovadas</v>
      </c>
      <c r="B4695" s="93"/>
    </row>
    <row r="4696">
      <c r="A4696" s="384" t="str">
        <f>IFERROR(__xludf.DUMMYFUNCTION("""COMPUTED_VALUE"""),"Iara Rocha Pereira | #SLAV+1 - Segunda Licenciatura em Artes Visuais 1000 Horas | Aprovado  | Tais: PPs aprovadas")</f>
        <v>Iara Rocha Pereira | #SLAV+1 - Segunda Licenciatura em Artes Visuais 1000 Horas | Aprovado  | Tais: PPs aprovadas</v>
      </c>
      <c r="B4696" s="93"/>
    </row>
    <row r="4697">
      <c r="A4697" s="384" t="str">
        <f>IFERROR(__xludf.DUMMYFUNCTION("""COMPUTED_VALUE"""),"Amanda Cristina Reis Clauzen | FORMAÇÃO PEDAGÓGICA EM PEDAGOGIA | Aprovada  | Tais: PPs aprovadas")</f>
        <v>Amanda Cristina Reis Clauzen | FORMAÇÃO PEDAGÓGICA EM PEDAGOGIA | Aprovada  | Tais: PPs aprovadas</v>
      </c>
      <c r="B4697" s="93"/>
    </row>
    <row r="4698">
      <c r="A4698" s="384" t="str">
        <f>IFERROR(__xludf.DUMMYFUNCTION("""COMPUTED_VALUE"""),"Sirmária Brito Dias | SEGUNDA LICENCIATURA PEDAGOGIA - 2024 | Pré aprovada Rec 2 | Tais: Dissertação com apenas 3 laudas, foi solicitada correção. (falta documentos pessoais)")</f>
        <v>Sirmária Brito Dias | SEGUNDA LICENCIATURA PEDAGOGIA - 2024 | Pré aprovada Rec 2 | Tais: Dissertação com apenas 3 laudas, foi solicitada correção. (falta documentos pessoais)</v>
      </c>
      <c r="B4698" s="93"/>
    </row>
    <row r="4699">
      <c r="A4699" s="384" t="str">
        <f>IFERROR(__xludf.DUMMYFUNCTION("""COMPUTED_VALUE""")," Isac Alves Batista | SEGUNDA LICENCIATURA EM MÚSICA - 2024 | Aprovado | Tais: PPs aprovadas")</f>
        <v> Isac Alves Batista | SEGUNDA LICENCIATURA EM MÚSICA - 2024 | Aprovado | Tais: PPs aprovadas</v>
      </c>
      <c r="B4699" s="93"/>
    </row>
    <row r="4700">
      <c r="A4700" s="384" t="str">
        <f>IFERROR(__xludf.DUMMYFUNCTION("""COMPUTED_VALUE"""),"Luis Eduardo Kreling Vanzella | FORMAÇÃO PEDAGÓGICA EM PEDAGOGIA - 2024 | Aprovado | Tais: PPs aprovadas")</f>
        <v>Luis Eduardo Kreling Vanzella | FORMAÇÃO PEDAGÓGICA EM PEDAGOGIA - 2024 | Aprovado | Tais: PPs aprovadas</v>
      </c>
      <c r="B4700" s="93"/>
    </row>
    <row r="4701">
      <c r="A4701" s="384" t="str">
        <f>IFERROR(__xludf.DUMMYFUNCTION("""COMPUTED_VALUE"""),"Rafael Radke Nascimento |  FORMAÇÃO PEDAGÓGICA EM MÚSICA - 53M | Aprovado em Rec 2 | Alana: Falta assinatura na carta de apresentação")</f>
        <v>Rafael Radke Nascimento |  FORMAÇÃO PEDAGÓGICA EM MÚSICA - 53M | Aprovado em Rec 2 | Alana: Falta assinatura na carta de apresentação</v>
      </c>
      <c r="B4701" s="93"/>
    </row>
    <row r="4702">
      <c r="A4702" s="384" t="str">
        <f>IFERROR(__xludf.DUMMYFUNCTION("""COMPUTED_VALUE"""),"Antonio José Ferreira Junior | Formação Pedagógica em Ciências Sociais | Aprovado | Tais: PPs aprovadas")</f>
        <v>Antonio José Ferreira Junior | Formação Pedagógica em Ciências Sociais | Aprovado | Tais: PPs aprovadas</v>
      </c>
      <c r="B4702" s="93"/>
    </row>
    <row r="4703">
      <c r="A4703" s="384" t="str">
        <f>IFERROR(__xludf.DUMMYFUNCTION("""COMPUTED_VALUE"""),"Janathan Firmino Dos Santos | #SLEF- Segunda Licenciatura Educação Física 1200Horas | Aprovado | Tais: PPs aprovadas")</f>
        <v>Janathan Firmino Dos Santos | #SLEF- Segunda Licenciatura Educação Física 1200Horas | Aprovado | Tais: PPs aprovadas</v>
      </c>
      <c r="B4703" s="93"/>
    </row>
    <row r="4704">
      <c r="A4704" s="384" t="str">
        <f>IFERROR(__xludf.DUMMYFUNCTION("""COMPUTED_VALUE"""),"Mara Gonçalves Marchesin | #SLAA - Segunda Licenciatura em Artes Visuais | Aprovada | Tais: PPs aprovadas")</f>
        <v>Mara Gonçalves Marchesin | #SLAA - Segunda Licenciatura em Artes Visuais | Aprovada | Tais: PPs aprovadas</v>
      </c>
      <c r="B4704" s="93"/>
    </row>
    <row r="4705">
      <c r="A4705" s="384" t="str">
        <f>IFERROR(__xludf.DUMMYFUNCTION("""COMPUTED_VALUE"""),"Marina de Freitas Rodrigues Andrade | #SLUP - SEGUNDA LICENCIATURA EM PEDAGOGIA | Aprovada | Tais: PPS aprovadas")</f>
        <v>Marina de Freitas Rodrigues Andrade | #SLUP - SEGUNDA LICENCIATURA EM PEDAGOGIA | Aprovada | Tais: PPS aprovadas</v>
      </c>
      <c r="B4705" s="93"/>
    </row>
    <row r="4706">
      <c r="A4706" s="384" t="str">
        <f>IFERROR(__xludf.DUMMYFUNCTION("""COMPUTED_VALUE"""),"Bruno Wilwert Tomio | #SLGA - Segunda Licenciatura em Geografia | Aprovada | Tais: PPS aprovadas")</f>
        <v>Bruno Wilwert Tomio | #SLGA - Segunda Licenciatura em Geografia | Aprovada | Tais: PPS aprovadas</v>
      </c>
      <c r="B4706" s="93"/>
    </row>
    <row r="4707">
      <c r="A4707" s="384" t="str">
        <f>IFERROR(__xludf.DUMMYFUNCTION("""COMPUTED_VALUE"""),"Viviane Márcia Gonçalves Silva | #FPUP-FORMAÇÃO PEDAGÓGICA EM PEDAGOGIA- U | Aprovada | Tais: PPs aprovadas")</f>
        <v>Viviane Márcia Gonçalves Silva | #FPUP-FORMAÇÃO PEDAGÓGICA EM PEDAGOGIA- U | Aprovada | Tais: PPs aprovadas</v>
      </c>
      <c r="B4707" s="93"/>
    </row>
    <row r="4708">
      <c r="A4708" s="384" t="str">
        <f>IFERROR(__xludf.DUMMYFUNCTION("""COMPUTED_VALUE"""),"Marina Nunes Batista | #SLPA- Segunda Licenciatura em Pedagogia 01 | Aprovada | Tais: PPs aprovadas")</f>
        <v>Marina Nunes Batista | #SLPA- Segunda Licenciatura em Pedagogia 01 | Aprovada | Tais: PPs aprovadas</v>
      </c>
      <c r="B4708" s="93"/>
    </row>
    <row r="4709">
      <c r="A4709" s="384" t="str">
        <f>IFERROR(__xludf.DUMMYFUNCTION("""COMPUTED_VALUE"""),"Tarcísia Nascimento de Carvalho | SEGUNDA LICENCIATURA EM ARTES VISUAIS - 47M | Em análise | Tais: Falta parte da entrevista e carta de apresentação inelegivel. ")</f>
        <v>Tarcísia Nascimento de Carvalho | SEGUNDA LICENCIATURA EM ARTES VISUAIS - 47M | Em análise | Tais: Falta parte da entrevista e carta de apresentação inelegivel. </v>
      </c>
      <c r="B4709" s="93"/>
    </row>
    <row r="4710">
      <c r="A4710" s="384" t="str">
        <f>IFERROR(__xludf.DUMMYFUNCTION("""COMPUTED_VALUE"""),"Glaibe Martins de Souza | FORMAÇÃO PEDAGÓGICA EM EDUCAÇÃO FÍSICA - 2024 | Pré aprovado | Tais: Falta regularização dos documentos pessoais para formalização da aprovação. ")</f>
        <v>Glaibe Martins de Souza | FORMAÇÃO PEDAGÓGICA EM EDUCAÇÃO FÍSICA - 2024 | Pré aprovado | Tais: Falta regularização dos documentos pessoais para formalização da aprovação. </v>
      </c>
      <c r="B4710" s="93"/>
    </row>
    <row r="4711">
      <c r="A4711" s="384" t="str">
        <f>IFERROR(__xludf.DUMMYFUNCTION("""COMPUTED_VALUE"""),"Gesiane Silva Damacena | #SLUP - SEGUNDA LICENCIATURA EM PEDAGOGIA | Aprovada | Tais: PPs aprovadas")</f>
        <v>Gesiane Silva Damacena | #SLUP - SEGUNDA LICENCIATURA EM PEDAGOGIA | Aprovada | Tais: PPs aprovadas</v>
      </c>
      <c r="B4711" s="93"/>
    </row>
    <row r="4712">
      <c r="A4712" s="384" t="str">
        <f>IFERROR(__xludf.DUMMYFUNCTION("""COMPUTED_VALUE"""),"Edilson Furtado Farias | SEGUNDA LICENCIATURA PEDAGOGIA - 2024 | Aprovada | Tais: Dissertação com 3 laudas e entrevista faltando perguntas sobre Gestão Escolar")</f>
        <v>Edilson Furtado Farias | SEGUNDA LICENCIATURA PEDAGOGIA - 2024 | Aprovada | Tais: Dissertação com 3 laudas e entrevista faltando perguntas sobre Gestão Escolar</v>
      </c>
      <c r="B4712" s="93"/>
    </row>
    <row r="4713">
      <c r="A4713" s="384" t="str">
        <f>IFERROR(__xludf.DUMMYFUNCTION("""COMPUTED_VALUE"""),"Benedito garcia reboucas filho | Segunda Licenciatura em Pedagogia | Aprovado | Tais: PPS aprovadas (Aguardando analise documentos para formalizar). - Curso Expirado")</f>
        <v>Benedito garcia reboucas filho | Segunda Licenciatura em Pedagogia | Aprovado | Tais: PPS aprovadas (Aguardando analise documentos para formalizar). - Curso Expirado</v>
      </c>
      <c r="B4713" s="93"/>
    </row>
    <row r="4714">
      <c r="A4714" s="384" t="str">
        <f>IFERROR(__xludf.DUMMYFUNCTION("""COMPUTED_VALUE"""),"Vanessa Bensa de Oliveira Neves | Pós-Graduação em Neuropsicologia Clínica | Aprovada Rec 2 | Tais: Falta recolher assinaturas do estagio")</f>
        <v>Vanessa Bensa de Oliveira Neves | Pós-Graduação em Neuropsicologia Clínica | Aprovada Rec 2 | Tais: Falta recolher assinaturas do estagio</v>
      </c>
      <c r="B4714" s="93"/>
    </row>
    <row r="4715">
      <c r="A4715" s="384" t="str">
        <f>IFERROR(__xludf.DUMMYFUNCTION("""COMPUTED_VALUE"""),"Vanessa Bensa de Oliveira Neves | Pós-Graduação em Psicopedagogia Clinica, Institucional e Hospitalar 660Horas | Aprovada Rec 2 | Tais: Falta recolher assinaturas do estagio")</f>
        <v>Vanessa Bensa de Oliveira Neves | Pós-Graduação em Psicopedagogia Clinica, Institucional e Hospitalar 660Horas | Aprovada Rec 2 | Tais: Falta recolher assinaturas do estagio</v>
      </c>
      <c r="B4715" s="93"/>
    </row>
    <row r="4716">
      <c r="A4716" s="384" t="str">
        <f>IFERROR(__xludf.DUMMYFUNCTION("""COMPUTED_VALUE"""),"Jeane Carla da Silveira | #SLEEA - Segunda Licenciatura em Educação Especial | Aprovada Rec 2 | Tais: Dissertação não tem 4 laudas, e não atende as normas da ABNT (Aguardando analise para sinalizar a aluna). ")</f>
        <v>Jeane Carla da Silveira | #SLEEA - Segunda Licenciatura em Educação Especial | Aprovada Rec 2 | Tais: Dissertação não tem 4 laudas, e não atende as normas da ABNT (Aguardando analise para sinalizar a aluna). </v>
      </c>
      <c r="B4716" s="93"/>
    </row>
    <row r="4717">
      <c r="A4717" s="384" t="str">
        <f>IFERROR(__xludf.DUMMYFUNCTION("""COMPUTED_VALUE"""),"Luis Carlos Bereta Botelho | Segunda Licenciatura em Música 1320Horas | Aprovada Rec 2 | Tais: Não enviou a carta de apresentação. ")</f>
        <v>Luis Carlos Bereta Botelho | Segunda Licenciatura em Música 1320Horas | Aprovada Rec 2 | Tais: Não enviou a carta de apresentação. </v>
      </c>
      <c r="B4717" s="93"/>
    </row>
    <row r="4718">
      <c r="A4718" s="384" t="str">
        <f>IFERROR(__xludf.DUMMYFUNCTION("""COMPUTED_VALUE"""),"Adriano Borges Botura | Pós-graduação em Musicoterapia | Aprovado | Alana: TCC aprovado (Foi aberto exceção para o aluno sobre prazo e pendências de disciplinas, sinalizado no skype)")</f>
        <v>Adriano Borges Botura | Pós-graduação em Musicoterapia | Aprovado | Alana: TCC aprovado (Foi aberto exceção para o aluno sobre prazo e pendências de disciplinas, sinalizado no skype)</v>
      </c>
      <c r="B4718" s="93"/>
    </row>
    <row r="4719">
      <c r="A4719" s="384" t="str">
        <f>IFERROR(__xludf.DUMMYFUNCTION("""COMPUTED_VALUE"""),"Andria Paula Costa Rodrigues Dresch | #FPMF- Formação Pedagógica em Música 1200Horas | Aprovada Rec 2 | Tais: Falta carta de apresentação. ")</f>
        <v>Andria Paula Costa Rodrigues Dresch | #FPMF- Formação Pedagógica em Música 1200Horas | Aprovada Rec 2 | Tais: Falta carta de apresentação. </v>
      </c>
      <c r="B4719" s="93"/>
    </row>
    <row r="4720">
      <c r="A4720" s="384" t="str">
        <f>IFERROR(__xludf.DUMMYFUNCTION("""COMPUTED_VALUE"""),"Janaciara Moreira Ribas | FORMAÇÃO PEDAGÓGICA EM PEDAGOGIA | Aprovada Rec 2 | Tais: A dissertação não tem as 4 laudas exigidas. ")</f>
        <v>Janaciara Moreira Ribas | FORMAÇÃO PEDAGÓGICA EM PEDAGOGIA | Aprovada Rec 2 | Tais: A dissertação não tem as 4 laudas exigidas. </v>
      </c>
      <c r="B4720" s="93"/>
    </row>
    <row r="4721">
      <c r="A4721" s="384" t="str">
        <f>IFERROR(__xludf.DUMMYFUNCTION("""COMPUTED_VALUE"""),"Rúbia de Souza Silva | SEGUNDA LICENCIATURA EM SOCIOLOGIA - 55M | Aprovada Rec 2 | Tais: Carta de apresentação sem assinatura do diretor, e dissertação não tem 4 laudas completas.")</f>
        <v>Rúbia de Souza Silva | SEGUNDA LICENCIATURA EM SOCIOLOGIA - 55M | Aprovada Rec 2 | Tais: Carta de apresentação sem assinatura do diretor, e dissertação não tem 4 laudas completas.</v>
      </c>
      <c r="B4721" s="93"/>
    </row>
    <row r="4722">
      <c r="A4722" s="384" t="str">
        <f>IFERROR(__xludf.DUMMYFUNCTION("""COMPUTED_VALUE"""),"Geni Gomes da Rocha | Segunda Licenciatura em Artes Visuais | Aprovada | Tais: PPs aprovadas")</f>
        <v>Geni Gomes da Rocha | Segunda Licenciatura em Artes Visuais | Aprovada | Tais: PPs aprovadas</v>
      </c>
      <c r="B4722" s="93"/>
    </row>
    <row r="4723">
      <c r="A4723" s="384" t="str">
        <f>IFERROR(__xludf.DUMMYFUNCTION("""COMPUTED_VALUE"""),"Henrique Fumagali | PÓS-GRADUAÇÃO EM ENGENHARIA DE SEGURANÇA DO TRABALHO | Pré Aprovado | Tais: TCC aprovado (Aguardando analise para aprovação)")</f>
        <v>Henrique Fumagali | PÓS-GRADUAÇÃO EM ENGENHARIA DE SEGURANÇA DO TRABALHO | Pré Aprovado | Tais: TCC aprovado (Aguardando analise para aprovação)</v>
      </c>
      <c r="B4723" s="93"/>
    </row>
    <row r="4724">
      <c r="A4724" s="384" t="str">
        <f>IFERROR(__xludf.DUMMYFUNCTION("""COMPUTED_VALUE"""),"Mayara Rodrigues de Brito | Formação Pedagógica em Pedagogia. | Aprovada | Tais: PPI pré aprovada, falta envio da PPII (Aguardando analise) - OBSERVAÇÃO ALANA: PELA URGÊNCIA FOI CONSIDERADO APROVADA (VERIFICAR CONVERSA NO KINBOX)")</f>
        <v>Mayara Rodrigues de Brito | Formação Pedagógica em Pedagogia. | Aprovada | Tais: PPI pré aprovada, falta envio da PPII (Aguardando analise) - OBSERVAÇÃO ALANA: PELA URGÊNCIA FOI CONSIDERADO APROVADA (VERIFICAR CONVERSA NO KINBOX)</v>
      </c>
      <c r="B4724" s="93"/>
    </row>
    <row r="4725">
      <c r="A4725" s="384" t="str">
        <f>IFERROR(__xludf.DUMMYFUNCTION("""COMPUTED_VALUE"""),"Lisandra de Oliveira Santana | Pós-Graduação em Neuropsicopedagogia Institucional, Clínica e Hospitalar 850h | Aprovada | Tais: Estagio Aprovado")</f>
        <v>Lisandra de Oliveira Santana | Pós-Graduação em Neuropsicopedagogia Institucional, Clínica e Hospitalar 850h | Aprovada | Tais: Estagio Aprovado</v>
      </c>
      <c r="B4725" s="93"/>
    </row>
    <row r="4726">
      <c r="A4726" s="384" t="str">
        <f>IFERROR(__xludf.DUMMYFUNCTION("""COMPUTED_VALUE"""),"Gabriel Ortiz Hübner | FORMAÇÃO PEDAGÓGICA EM GEOGRAFIA- U | Aprovada | Tais: PPs aprovadas")</f>
        <v>Gabriel Ortiz Hübner | FORMAÇÃO PEDAGÓGICA EM GEOGRAFIA- U | Aprovada | Tais: PPs aprovadas</v>
      </c>
      <c r="B4726" s="93"/>
    </row>
    <row r="4727">
      <c r="A4727" s="384" t="str">
        <f>IFERROR(__xludf.DUMMYFUNCTION("""COMPUTED_VALUE"""),"Antonio César Nunes de Oliveira | SEGUNDA LICENCIATURA EM MATEMÁTICA (36) | Pré aprovado | Tais: TCC pré aprovado, falta analise")</f>
        <v>Antonio César Nunes de Oliveira | SEGUNDA LICENCIATURA EM MATEMÁTICA (36) | Pré aprovado | Tais: TCC pré aprovado, falta analise</v>
      </c>
      <c r="B4727" s="93"/>
    </row>
    <row r="4728">
      <c r="A4728" s="384" t="str">
        <f>IFERROR(__xludf.DUMMYFUNCTION("""COMPUTED_VALUE""")," Janaína Karla Duarte Barbosa  | PÓS-GRADUAÇÃO EM NEUROPSICOPEDAGOGIA | Aprovada | TCC pré aprovado, falta analise")</f>
        <v> Janaína Karla Duarte Barbosa  | PÓS-GRADUAÇÃO EM NEUROPSICOPEDAGOGIA | Aprovada | TCC pré aprovado, falta analise</v>
      </c>
      <c r="B4728" s="93"/>
    </row>
    <row r="4729">
      <c r="A4729" s="384" t="str">
        <f>IFERROR(__xludf.DUMMYFUNCTION("""COMPUTED_VALUE"""),"Marly Gonçalves Lima | #SLUA- Segunda Licenciatura em Artes Visuais | Aprovada | Tais: PPs aprovadas")</f>
        <v>Marly Gonçalves Lima | #SLUA- Segunda Licenciatura em Artes Visuais | Aprovada | Tais: PPs aprovadas</v>
      </c>
      <c r="B4729" s="93"/>
    </row>
    <row r="4730">
      <c r="A4730" s="384" t="str">
        <f>IFERROR(__xludf.DUMMYFUNCTION("""COMPUTED_VALUE"""),"Josy Michelly Ferreira da Costa | Formação Pedagógica em Educação Especial | Aprovada | Tais: PPs aprovadas")</f>
        <v>Josy Michelly Ferreira da Costa | Formação Pedagógica em Educação Especial | Aprovada | Tais: PPs aprovadas</v>
      </c>
      <c r="B4730" s="93"/>
    </row>
    <row r="4731">
      <c r="A4731" s="384" t="str">
        <f>IFERROR(__xludf.DUMMYFUNCTION("""COMPUTED_VALUE"""),"Williams Crystian Tanoeiro Melo | #FPMF- Formação Pedagógica em Música 1200Horas | Aprovado | Tais: PPs aprovadas")</f>
        <v>Williams Crystian Tanoeiro Melo | #FPMF- Formação Pedagógica em Música 1200Horas | Aprovado | Tais: PPs aprovadas</v>
      </c>
      <c r="B4731" s="93"/>
    </row>
    <row r="4732">
      <c r="A4732" s="384" t="str">
        <f>IFERROR(__xludf.DUMMYFUNCTION("""COMPUTED_VALUE"""),"Gabriela Queiroz Saraiva | #SLMF - Segunda Licenciatura em Música 1320Horas | Aprovada | Tais: PPs aprovadas")</f>
        <v>Gabriela Queiroz Saraiva | #SLMF - Segunda Licenciatura em Música 1320Horas | Aprovada | Tais: PPs aprovadas</v>
      </c>
      <c r="B4732" s="93"/>
    </row>
    <row r="4733">
      <c r="A4733" s="384" t="str">
        <f>IFERROR(__xludf.DUMMYFUNCTION("""COMPUTED_VALUE"""),"Ubenildo Ferreira Lesbão | Segunda Licenciatura em Música  | Reprovado | Tais: PPI aprovada, falta envio PPII.")</f>
        <v>Ubenildo Ferreira Lesbão | Segunda Licenciatura em Música  | Reprovado | Tais: PPI aprovada, falta envio PPII.</v>
      </c>
      <c r="B4733" s="93"/>
    </row>
    <row r="4734">
      <c r="A4734" s="384" t="str">
        <f>IFERROR(__xludf.DUMMYFUNCTION("""COMPUTED_VALUE"""),"Evanine Borges Pizani | FORMAÇÃO PEDAGÓGICA EM MÚSICA - 2024 | Em analise | Tais: Falta carta de apresentação. (Falta analise do aluno para informar sobre as correções)")</f>
        <v>Evanine Borges Pizani | FORMAÇÃO PEDAGÓGICA EM MÚSICA - 2024 | Em analise | Tais: Falta carta de apresentação. (Falta analise do aluno para informar sobre as correções)</v>
      </c>
      <c r="B4734" s="93"/>
    </row>
    <row r="4735">
      <c r="A4735" s="384" t="str">
        <f>IFERROR(__xludf.DUMMYFUNCTION("""COMPUTED_VALUE"""),"Joane Faustino Araújo | Segunda Licenciatura em Música 1200Horas | Em analise | Tais: Carta de apresentação com assinatura digitada, não enviou a PPI (BNCC) e a entrevista precisa de formatação correta em formato perguntas e respostas em word. (Falta anal"&amp;"ise do aluno para informar sobre as correções)")</f>
        <v>Joane Faustino Araújo | Segunda Licenciatura em Música 1200Horas | Em analise | Tais: Carta de apresentação com assinatura digitada, não enviou a PPI (BNCC) e a entrevista precisa de formatação correta em formato perguntas e respostas em word. (Falta analise do aluno para informar sobre as correções)</v>
      </c>
      <c r="B4735" s="93"/>
    </row>
    <row r="4736">
      <c r="A4736" s="384" t="str">
        <f>IFERROR(__xludf.DUMMYFUNCTION("""COMPUTED_VALUE"""),"Ricardo Alexandre da Silva Lima | Formação Pedagógica em Música  | Em analise | Tais: PPI pré aprovada, falta envio da PPII (Aguardando analise para informar ao aluno)")</f>
        <v>Ricardo Alexandre da Silva Lima | Formação Pedagógica em Música  | Em analise | Tais: PPI pré aprovada, falta envio da PPII (Aguardando analise para informar ao aluno)</v>
      </c>
      <c r="B4736" s="93"/>
    </row>
    <row r="4737">
      <c r="A4737" s="384" t="str">
        <f>IFERROR(__xludf.DUMMYFUNCTION("""COMPUTED_VALUE"""),"Nivaldo dos Santos Pereira Júnior | Segunda Licenciatura em Música  | Em analise | Tais: PPI Pré aprovada, PPII entrevista no modelo antigo, carta de apresentação sem carimbo do diretor (Aguardando análise para informar correções ao aluno)")</f>
        <v>Nivaldo dos Santos Pereira Júnior | Segunda Licenciatura em Música  | Em analise | Tais: PPI Pré aprovada, PPII entrevista no modelo antigo, carta de apresentação sem carimbo do diretor (Aguardando análise para informar correções ao aluno)</v>
      </c>
      <c r="B4737" s="93"/>
    </row>
    <row r="4738">
      <c r="A4738" s="384" t="str">
        <f>IFERROR(__xludf.DUMMYFUNCTION("""COMPUTED_VALUE"""),"Joyci Pereira Lima | Pós-Graduação Terapia em TDAH Clínica 920Horas | Aprovada | Tais: Aprovada")</f>
        <v>Joyci Pereira Lima | Pós-Graduação Terapia em TDAH Clínica 920Horas | Aprovada | Tais: Aprovada</v>
      </c>
      <c r="B4738" s="93"/>
    </row>
    <row r="4739">
      <c r="A4739" s="384" t="str">
        <f>IFERROR(__xludf.DUMMYFUNCTION("""COMPUTED_VALUE"""),"Samuel Elói dos Santos | SEGUNDA LICENCIATURA EM HISTÓRIA - 2024 | Aprovado | Tais: PPS aprovadas")</f>
        <v>Samuel Elói dos Santos | SEGUNDA LICENCIATURA EM HISTÓRIA - 2024 | Aprovado | Tais: PPS aprovadas</v>
      </c>
      <c r="B4739" s="93"/>
    </row>
    <row r="4740">
      <c r="A4740" s="384" t="str">
        <f>IFERROR(__xludf.DUMMYFUNCTION("""COMPUTED_VALUE"""),"ROSA MARIA CAVALCANTI BRITO | NEUROPSICOLOGIA CLÍNICA | Aprovada | Tais: EStagio aprovado")</f>
        <v>ROSA MARIA CAVALCANTI BRITO | NEUROPSICOLOGIA CLÍNICA | Aprovada | Tais: EStagio aprovado</v>
      </c>
      <c r="B4740" s="93"/>
    </row>
    <row r="4741">
      <c r="A4741" s="384" t="str">
        <f>IFERROR(__xludf.DUMMYFUNCTION("""COMPUTED_VALUE"""),"Joarles Oliveira Silva | #FPT1-Pedagogia para Bacharéis e Tecnólogos (2022) | Aprovado | Tais: Entrevista ok, carta de apresentação ok, dissertação não tem as 4 laudas exigidas. ")</f>
        <v>Joarles Oliveira Silva | #FPT1-Pedagogia para Bacharéis e Tecnólogos (2022) | Aprovado | Tais: Entrevista ok, carta de apresentação ok, dissertação não tem as 4 laudas exigidas. </v>
      </c>
      <c r="B4741" s="93"/>
    </row>
    <row r="4742">
      <c r="A4742" s="384" t="str">
        <f>IFERROR(__xludf.DUMMYFUNCTION("""COMPUTED_VALUE"""),"Jaci Ribeiro de Jesus | Formação Pedagógica em Artes Visuais | em analise | Tais: Carta de apresentação com assinatura digitada, (aguardando analise para informar a aluna).")</f>
        <v>Jaci Ribeiro de Jesus | Formação Pedagógica em Artes Visuais | em analise | Tais: Carta de apresentação com assinatura digitada, (aguardando analise para informar a aluna).</v>
      </c>
      <c r="B4742" s="93"/>
    </row>
    <row r="4743">
      <c r="A4743" s="384" t="str">
        <f>IFERROR(__xludf.DUMMYFUNCTION("""COMPUTED_VALUE"""),"JULIO CEZAR DE OLIVEIRA SANTOS | Segunda Licenciatura em Música | Aprovado | Tais: Aprovado")</f>
        <v>JULIO CEZAR DE OLIVEIRA SANTOS | Segunda Licenciatura em Música | Aprovado | Tais: Aprovado</v>
      </c>
      <c r="B4743" s="93"/>
    </row>
    <row r="4744">
      <c r="A4744" s="384" t="str">
        <f>IFERROR(__xludf.DUMMYFUNCTION("""COMPUTED_VALUE"""),"Inácia Maria Silva Freire | #SLPT- Segunda Licenciatura em Pedagogia | Aprovada Rec 2 | Tais: PPII correta, PPI com plágio de 50% e não tem as 4 laudas solicitadas.")</f>
        <v>Inácia Maria Silva Freire | #SLPT- Segunda Licenciatura em Pedagogia | Aprovada Rec 2 | Tais: PPII correta, PPI com plágio de 50% e não tem as 4 laudas solicitadas.</v>
      </c>
      <c r="B4744" s="93"/>
    </row>
    <row r="4745">
      <c r="A4745" s="384" t="str">
        <f>IFERROR(__xludf.DUMMYFUNCTION("""COMPUTED_VALUE"""),"Alexandre Lessa Pereira da Silva | Formação Pedagógica História | Em analise | Tais: PPs aprovadas")</f>
        <v>Alexandre Lessa Pereira da Silva | Formação Pedagógica História | Em analise | Tais: PPs aprovadas</v>
      </c>
      <c r="B4745" s="93"/>
    </row>
    <row r="4746">
      <c r="A4746" s="384" t="str">
        <f>IFERROR(__xludf.DUMMYFUNCTION("""COMPUTED_VALUE"""),"Alexandre Lessa Pereira da Silva | Formação Pedagógica em Pedagogia | Em analise | Tais: PPs aprovadas")</f>
        <v>Alexandre Lessa Pereira da Silva | Formação Pedagógica em Pedagogia | Em analise | Tais: PPs aprovadas</v>
      </c>
      <c r="B4746" s="93"/>
    </row>
    <row r="4747">
      <c r="A4747" s="384" t="str">
        <f>IFERROR(__xludf.DUMMYFUNCTION("""COMPUTED_VALUE""")," Fernanda Viana Azevedo Protasio | #SLUP - SEGUNDA LICENCIATURA EM PEDAGOGIA | Aprovada | Tais: PPS aprovadas")</f>
        <v> Fernanda Viana Azevedo Protasio | #SLUP - SEGUNDA LICENCIATURA EM PEDAGOGIA | Aprovada | Tais: PPS aprovadas</v>
      </c>
      <c r="B4747" s="93"/>
    </row>
    <row r="4748">
      <c r="A4748" s="384" t="str">
        <f>IFERROR(__xludf.DUMMYFUNCTION("""COMPUTED_VALUE""")," Paulo Henrique Teixeira | SEGUNDA LICENCIATURA EM LETRAS – PORTUGUÊS E INGLÊS | Aprovado | Tais: PPs aprovadas")</f>
        <v> Paulo Henrique Teixeira | SEGUNDA LICENCIATURA EM LETRAS – PORTUGUÊS E INGLÊS | Aprovado | Tais: PPs aprovadas</v>
      </c>
      <c r="B4748" s="93"/>
    </row>
    <row r="4749">
      <c r="A4749" s="384" t="str">
        <f>IFERROR(__xludf.DUMMYFUNCTION("""COMPUTED_VALUE"""),"Edaildes Brandão de Sousa | SEGUNDA LICENCIATURA EM FILOSOFIA - 2024 |  | Tais: PPI aprovada, falta a PPII")</f>
        <v>Edaildes Brandão de Sousa | SEGUNDA LICENCIATURA EM FILOSOFIA - 2024 |  | Tais: PPI aprovada, falta a PPII</v>
      </c>
      <c r="B4749" s="93"/>
    </row>
    <row r="4750">
      <c r="A4750" s="384" t="str">
        <f>IFERROR(__xludf.DUMMYFUNCTION("""COMPUTED_VALUE""")," Aline de Fátima Borges Martins | SEGUNDA LICENCIATURA PEDAGOGIA - 2024 | Aprovado | Tais: PPs aprovadas")</f>
        <v> Aline de Fátima Borges Martins | SEGUNDA LICENCIATURA PEDAGOGIA - 2024 | Aprovado | Tais: PPs aprovadas</v>
      </c>
      <c r="B4750" s="93"/>
    </row>
    <row r="4751">
      <c r="A4751" s="384" t="str">
        <f>IFERROR(__xludf.DUMMYFUNCTION("""COMPUTED_VALUE"""),"Rodrigo Silva Ambrósio | SEGUNDA LICENCIATURA EM SOCIOLOGIA - 2024 | Aprovado | Tais: PPS aprovadas")</f>
        <v>Rodrigo Silva Ambrósio | SEGUNDA LICENCIATURA EM SOCIOLOGIA - 2024 | Aprovado | Tais: PPS aprovadas</v>
      </c>
      <c r="B4751" s="93"/>
    </row>
    <row r="4752">
      <c r="A4752" s="384" t="str">
        <f>IFERROR(__xludf.DUMMYFUNCTION("""COMPUTED_VALUE"""),"Rodrigo Silva Ambrósio | SEGUNDA LICENCIATURA EM SOCIOLOGIA - 2024 | Aprovado | Tais: TCC aprovado")</f>
        <v>Rodrigo Silva Ambrósio | SEGUNDA LICENCIATURA EM SOCIOLOGIA - 2024 | Aprovado | Tais: TCC aprovado</v>
      </c>
      <c r="B4752" s="93"/>
    </row>
    <row r="4753">
      <c r="A4753" s="384" t="str">
        <f>IFERROR(__xludf.DUMMYFUNCTION("""COMPUTED_VALUE"""),"Hitalo Wedemberg de Andrade Santos | #SLUP - SEGUNDA LICENCIATURA EM PEDAGOGIA | Aprovado | Tais: PPS aprovadas")</f>
        <v>Hitalo Wedemberg de Andrade Santos | #SLUP - SEGUNDA LICENCIATURA EM PEDAGOGIA | Aprovado | Tais: PPS aprovadas</v>
      </c>
      <c r="B4753" s="93"/>
    </row>
    <row r="4754">
      <c r="A4754" s="384" t="str">
        <f>IFERROR(__xludf.DUMMYFUNCTION("""COMPUTED_VALUE"""),"Rafael Fernandes Ferreira  | #FPUEF - Formação Pedagógica em Educação Física - 1200 Horas | Pré aprovado | Tais: PPS aprovadas")</f>
        <v>Rafael Fernandes Ferreira  | #FPUEF - Formação Pedagógica em Educação Física - 1200 Horas | Pré aprovado | Tais: PPS aprovadas</v>
      </c>
      <c r="B4754" s="93"/>
    </row>
    <row r="4755">
      <c r="A4755" s="384" t="str">
        <f>IFERROR(__xludf.DUMMYFUNCTION("""COMPUTED_VALUE"""),"Izabella Dias Basso Aragão | #SLUP - SEGUNDA LICENCIATURA EM PEDAGOGIA | Aprovado | Tais: PPS aprovadas")</f>
        <v>Izabella Dias Basso Aragão | #SLUP - SEGUNDA LICENCIATURA EM PEDAGOGIA | Aprovado | Tais: PPS aprovadas</v>
      </c>
      <c r="B4755" s="93"/>
    </row>
    <row r="4756">
      <c r="A4756" s="384" t="str">
        <f>IFERROR(__xludf.DUMMYFUNCTION("""COMPUTED_VALUE"""),"Elaine Meza Ortiz Schulte Rocha | Pós-Graduação Educação Especial e Inclusiva | Aprovado | Tais: TCC aprovadas")</f>
        <v>Elaine Meza Ortiz Schulte Rocha | Pós-Graduação Educação Especial e Inclusiva | Aprovado | Tais: TCC aprovadas</v>
      </c>
      <c r="B4756" s="93"/>
    </row>
    <row r="4757">
      <c r="A4757" s="384" t="str">
        <f>IFERROR(__xludf.DUMMYFUNCTION("""COMPUTED_VALUE"""),"Marcos de Jesus Alves | SEGUNDA LICENCIATURA EM HISTÓRIA - 2024 | Pré aprovado | Tais: PPs pré aprovadas, aguardando extensão para formalizar.")</f>
        <v>Marcos de Jesus Alves | SEGUNDA LICENCIATURA EM HISTÓRIA - 2024 | Pré aprovado | Tais: PPs pré aprovadas, aguardando extensão para formalizar.</v>
      </c>
      <c r="B4757" s="93"/>
    </row>
    <row r="4758">
      <c r="A4758" s="384" t="str">
        <f>IFERROR(__xludf.DUMMYFUNCTION("""COMPUTED_VALUE"""),"Matheus Quessada Cardoso de Matos | #SLUP - SEGUNDA LICENCIATURA EM PEDAGOGIA | Em analise | Tais: Falta o envio da PPI")</f>
        <v>Matheus Quessada Cardoso de Matos | #SLUP - SEGUNDA LICENCIATURA EM PEDAGOGIA | Em analise | Tais: Falta o envio da PPI</v>
      </c>
      <c r="B4758" s="93"/>
    </row>
    <row r="4759">
      <c r="A4759" s="384" t="str">
        <f>IFERROR(__xludf.DUMMYFUNCTION("""COMPUTED_VALUE"""),"Letícia Aparecida dos Reis e Silva David | Segunda Licenciatura em Pedagogia
 | Aprovado | Tais: PPS aprovadax, sinalizado via email no dia 25 de junho de 2025.")</f>
        <v>Letícia Aparecida dos Reis e Silva David | Segunda Licenciatura em Pedagogia
 | Aprovado | Tais: PPS aprovadax, sinalizado via email no dia 25 de junho de 2025.</v>
      </c>
      <c r="B4759" s="93"/>
    </row>
    <row r="4760">
      <c r="A4760" s="384" t="str">
        <f>IFERROR(__xludf.DUMMYFUNCTION("""COMPUTED_VALUE"""),"Jacqueline Helen de Lima | SEGUNDA LICENCIATURA EM EDUCAÇÃO ESPECIAL - 41M  | Em análise  | Tais: TCC aprovado")</f>
        <v>Jacqueline Helen de Lima | SEGUNDA LICENCIATURA EM EDUCAÇÃO ESPECIAL - 41M  | Em análise  | Tais: TCC aprovado</v>
      </c>
      <c r="B4760" s="93"/>
    </row>
    <row r="4761">
      <c r="A4761" s="384" t="str">
        <f>IFERROR(__xludf.DUMMYFUNCTION("""COMPUTED_VALUE"""),"Jacqueline Helen de Lima | SEGUNDA LICENCIATURA EM PEDAGOGIA - 37M | Em análise  | Tais: PPI não tem as 4 laudas exigidas (aguardando analise para informar sobre a correção para a aluna)")</f>
        <v>Jacqueline Helen de Lima | SEGUNDA LICENCIATURA EM PEDAGOGIA - 37M | Em análise  | Tais: PPI não tem as 4 laudas exigidas (aguardando analise para informar sobre a correção para a aluna)</v>
      </c>
      <c r="B4761" s="93"/>
    </row>
    <row r="4762">
      <c r="A4762" s="384" t="str">
        <f>IFERROR(__xludf.DUMMYFUNCTION("""COMPUTED_VALUE"""),"Suelen Ferreira Barbosa | #SLMF- Segunda Licenciatura em Música 2022 880Horas | Pré aprovado | Tais: PPS pré aprovada, falta analise completa para formalizar")</f>
        <v>Suelen Ferreira Barbosa | #SLMF- Segunda Licenciatura em Música 2022 880Horas | Pré aprovado | Tais: PPS pré aprovada, falta analise completa para formalizar</v>
      </c>
      <c r="B4762" s="93"/>
    </row>
    <row r="4763">
      <c r="A4763" s="384" t="str">
        <f>IFERROR(__xludf.DUMMYFUNCTION("""COMPUTED_VALUE"""),"Emanuelle Reis de Melo | #SLAA - Segunda Licenciatura em Artes Visuais | Aprovado | Tais: PPS aprovadas")</f>
        <v>Emanuelle Reis de Melo | #SLAA - Segunda Licenciatura em Artes Visuais | Aprovado | Tais: PPS aprovadas</v>
      </c>
      <c r="B4763" s="93"/>
    </row>
    <row r="4764">
      <c r="A4764" s="384" t="str">
        <f>IFERROR(__xludf.DUMMYFUNCTION("""COMPUTED_VALUE"""),"Nayara Tallita Moreno Rodrigues | Pós-Graduação em Educação Musical | Aprovada | Tais: TCC aprovado")</f>
        <v>Nayara Tallita Moreno Rodrigues | Pós-Graduação em Educação Musical | Aprovada | Tais: TCC aprovado</v>
      </c>
      <c r="B4764" s="93"/>
    </row>
    <row r="4765">
      <c r="A4765" s="384" t="str">
        <f>IFERROR(__xludf.DUMMYFUNCTION("""COMPUTED_VALUE"""),"Damaris Ramos Mendes Chagas | Segunda Licenciatura em Música 1320Horas | Em análise | Tais: PPI não tem as 4 laudas exigidas, PPII aprovada")</f>
        <v>Damaris Ramos Mendes Chagas | Segunda Licenciatura em Música 1320Horas | Em análise | Tais: PPI não tem as 4 laudas exigidas, PPII aprovada</v>
      </c>
      <c r="B4765" s="93"/>
    </row>
    <row r="4766">
      <c r="A4766" s="384" t="str">
        <f>IFERROR(__xludf.DUMMYFUNCTION("""COMPUTED_VALUE"""),"Ananda Inácia de Meneses Costa | SEGUNDA LICENCIATURA EM ARTES VISUAIS (38 | Em analise | Tais: PPI aprovada, falta envio PPII (falta analise completa)")</f>
        <v>Ananda Inácia de Meneses Costa | SEGUNDA LICENCIATURA EM ARTES VISUAIS (38 | Em analise | Tais: PPI aprovada, falta envio PPII (falta analise completa)</v>
      </c>
      <c r="B4766" s="93"/>
    </row>
    <row r="4767">
      <c r="A4767" s="384" t="str">
        <f>IFERROR(__xludf.DUMMYFUNCTION("""COMPUTED_VALUE"""),"João Paulo Reis Costa | #SLH+1- Segunda Licenciatura em História | Aprovado | Tais: PPs aprovadas")</f>
        <v>João Paulo Reis Costa | #SLH+1- Segunda Licenciatura em História | Aprovado | Tais: PPs aprovadas</v>
      </c>
      <c r="B4767" s="93"/>
    </row>
    <row r="4768">
      <c r="A4768" s="384" t="str">
        <f>IFERROR(__xludf.DUMMYFUNCTION("""COMPUTED_VALUE"""),"Uiara Castorina Pereira de Sousa Martins | #FPMF- Formação Pedagógica em Música 1200Horas | Pré Aprovada | Tais: PPs  pré aprovadas")</f>
        <v>Uiara Castorina Pereira de Sousa Martins | #FPMF- Formação Pedagógica em Música 1200Horas | Pré Aprovada | Tais: PPs  pré aprovadas</v>
      </c>
      <c r="B4768" s="93"/>
    </row>
    <row r="4769">
      <c r="A4769" s="384" t="str">
        <f>IFERROR(__xludf.DUMMYFUNCTION("""COMPUTED_VALUE"""),"Thagyne Cristina Lima de Souza Silveira | #FPULPI- Formação Pedagógica em Letras – Português e Inglês | Pré Aprovada | Tais: PPs pré aprovadas, falta regularizar documentação.")</f>
        <v>Thagyne Cristina Lima de Souza Silveira | #FPULPI- Formação Pedagógica em Letras – Português e Inglês | Pré Aprovada | Tais: PPs pré aprovadas, falta regularizar documentação.</v>
      </c>
      <c r="B4769" s="93"/>
    </row>
    <row r="4770">
      <c r="A4770" s="384" t="str">
        <f>IFERROR(__xludf.DUMMYFUNCTION("""COMPUTED_VALUE"""),"Rodrigo Alves | FORMAÇÃO PEDAGÓGICA EM ARTES VISUAIS | Pré Aprovada | Tais: PPI aprovada, falta envio da PPII (aguardando analise completa)")</f>
        <v>Rodrigo Alves | FORMAÇÃO PEDAGÓGICA EM ARTES VISUAIS | Pré Aprovada | Tais: PPI aprovada, falta envio da PPII (aguardando analise completa)</v>
      </c>
      <c r="B4770" s="93"/>
    </row>
    <row r="4771">
      <c r="A4771" s="384" t="str">
        <f>IFERROR(__xludf.DUMMYFUNCTION("""COMPUTED_VALUE"""),"Marlla Angélica dos Santos da Costa  | #FPP- Formação Pedagógica em Pedagogia R2 | Aprovada | Tais: Aprovada")</f>
        <v>Marlla Angélica dos Santos da Costa  | #FPP- Formação Pedagógica em Pedagogia R2 | Aprovada | Tais: Aprovada</v>
      </c>
      <c r="B4771" s="93"/>
    </row>
    <row r="4772">
      <c r="A4772" s="384" t="str">
        <f>IFERROR(__xludf.DUMMYFUNCTION("""COMPUTED_VALUE"""),"Alex Bonfim Siqueira | SEGUNDA LICENCIATURA EM EDUCAÇÃO FÍSICA - 2024 | Pré aprovado | Tais: PPs Aprovadas")</f>
        <v>Alex Bonfim Siqueira | SEGUNDA LICENCIATURA EM EDUCAÇÃO FÍSICA - 2024 | Pré aprovado | Tais: PPs Aprovadas</v>
      </c>
      <c r="B4772" s="93"/>
    </row>
    <row r="4773">
      <c r="A4773" s="384" t="str">
        <f>IFERROR(__xludf.DUMMYFUNCTION("""COMPUTED_VALUE"""),"Alex Bonfim Siqueira | SEGUNDA LICENCIATURA EM EDUCAÇÃO FÍSICA - 2024 | Pré aprovado | Tais: TCC Aprovado")</f>
        <v>Alex Bonfim Siqueira | SEGUNDA LICENCIATURA EM EDUCAÇÃO FÍSICA - 2024 | Pré aprovado | Tais: TCC Aprovado</v>
      </c>
      <c r="B4773" s="93"/>
    </row>
    <row r="4774">
      <c r="A4774" s="384" t="str">
        <f>IFERROR(__xludf.DUMMYFUNCTION("""COMPUTED_VALUE"""),"Lairce Ferreira Lopes | #SLUA- Segunda Licenciatura em Artes Visuais | Reprovada | Tais: Entrevista e carta de apresentação no nome de outra aluna. (esperando regularização de documentos para dar retorno para aluna).")</f>
        <v>Lairce Ferreira Lopes | #SLUA- Segunda Licenciatura em Artes Visuais | Reprovada | Tais: Entrevista e carta de apresentação no nome de outra aluna. (esperando regularização de documentos para dar retorno para aluna).</v>
      </c>
      <c r="B4774" s="93"/>
    </row>
    <row r="4775">
      <c r="A4775" s="384" t="str">
        <f>IFERROR(__xludf.DUMMYFUNCTION("""COMPUTED_VALUE"""),"Fabiana Ferreira Neves Goveia | SEGUNDA LICENCIATURA EM MATEMÁTICA | Aprovada em Rec 2 | Tais: Carta de Apresentação sem a assinatura da instituição concedente")</f>
        <v>Fabiana Ferreira Neves Goveia | SEGUNDA LICENCIATURA EM MATEMÁTICA | Aprovada em Rec 2 | Tais: Carta de Apresentação sem a assinatura da instituição concedente</v>
      </c>
      <c r="B4775" s="93"/>
    </row>
    <row r="4776">
      <c r="A4776" s="384" t="str">
        <f>IFERROR(__xludf.DUMMYFUNCTION("""COMPUTED_VALUE"""),"Maria Alcivana Alves Pessoa | SEGUNDA LICENCIATURA EM LETRAS PORTUGUÊS - ESPANHOL - 147M | Pré Aprovada | Tais: PPs pré aprovadas, falta regularizar documentos. ")</f>
        <v>Maria Alcivana Alves Pessoa | SEGUNDA LICENCIATURA EM LETRAS PORTUGUÊS - ESPANHOL - 147M | Pré Aprovada | Tais: PPs pré aprovadas, falta regularizar documentos. </v>
      </c>
      <c r="B4776" s="93"/>
    </row>
    <row r="4777">
      <c r="A4777" s="384" t="str">
        <f>IFERROR(__xludf.DUMMYFUNCTION("""COMPUTED_VALUE"""),"Djulia Suellen da Silva otonio | #FPUP-FORMAÇÃO PEDAGÓGICA EM PEDAGOGIA- U | Em analise | Tais: PPs pré aprovadas, aguardando analise completa")</f>
        <v>Djulia Suellen da Silva otonio | #FPUP-FORMAÇÃO PEDAGÓGICA EM PEDAGOGIA- U | Em analise | Tais: PPs pré aprovadas, aguardando analise completa</v>
      </c>
      <c r="B4777" s="93"/>
    </row>
    <row r="4778">
      <c r="A4778" s="384" t="str">
        <f>IFERROR(__xludf.DUMMYFUNCTION("""COMPUTED_VALUE"""),"Marcus Wilson Seixas do Nascimento | Segunda Licenciatura em Pedagogia | Em analise | Tais: PPs pré aprovadas, aguardando analise completa")</f>
        <v>Marcus Wilson Seixas do Nascimento | Segunda Licenciatura em Pedagogia | Em analise | Tais: PPs pré aprovadas, aguardando analise completa</v>
      </c>
      <c r="B4778" s="93"/>
    </row>
    <row r="4779">
      <c r="A4779" s="384" t="str">
        <f>IFERROR(__xludf.DUMMYFUNCTION("""COMPUTED_VALUE"""),"Sandra da Silva Bovolato Machado | #FPMF- Formação Pedagógica em Música 1200Horas | Aprovada | Tais: PPS aprovadas")</f>
        <v>Sandra da Silva Bovolato Machado | #FPMF- Formação Pedagógica em Música 1200Horas | Aprovada | Tais: PPS aprovadas</v>
      </c>
      <c r="B4779" s="93"/>
    </row>
    <row r="4780">
      <c r="A4780" s="384" t="str">
        <f>IFERROR(__xludf.DUMMYFUNCTION("""COMPUTED_VALUE"""),"Jackelinne Brasileiro Nascimento | #SLUP - SEGUNDA LICENCIATURA EM PEDAGOGIA | Pré Aprovada | Tais: PPs pré aprovadas, falta regularizar documentos. ")</f>
        <v>Jackelinne Brasileiro Nascimento | #SLUP - SEGUNDA LICENCIATURA EM PEDAGOGIA | Pré Aprovada | Tais: PPs pré aprovadas, falta regularizar documentos. </v>
      </c>
      <c r="B4780" s="93"/>
    </row>
    <row r="4781">
      <c r="A4781" s="384" t="str">
        <f>IFERROR(__xludf.DUMMYFUNCTION("""COMPUTED_VALUE"""),"Valdineia Rosa de Oliveira | SEGUNDA LICENCIATURA EM GEOGRAFIA | Aprovado | Tais: PPs pré aprovadas, falta regularizar documentos. ")</f>
        <v>Valdineia Rosa de Oliveira | SEGUNDA LICENCIATURA EM GEOGRAFIA | Aprovado | Tais: PPs pré aprovadas, falta regularizar documentos. </v>
      </c>
      <c r="B4781" s="93"/>
    </row>
    <row r="4782">
      <c r="A4782" s="384" t="str">
        <f>IFERROR(__xludf.DUMMYFUNCTION("""COMPUTED_VALUE"""),"Felipe da Silva Carvalho | #FPMF- Formação Pedagógica em Música 1200Horas | Em analise  | Tais: PPI pré aprovada, falta envio PPII (aguardando regularizar documentos).")</f>
        <v>Felipe da Silva Carvalho | #FPMF- Formação Pedagógica em Música 1200Horas | Em analise  | Tais: PPI pré aprovada, falta envio PPII (aguardando regularizar documentos).</v>
      </c>
      <c r="B4782" s="93"/>
    </row>
    <row r="4783">
      <c r="A4783" s="384" t="str">
        <f>IFERROR(__xludf.DUMMYFUNCTION("""COMPUTED_VALUE""")," Joanil Maria da Silva | SEGUNDA LICENCIATURA EM ARTES VISUAIS - 47M | Aprovada em Rec 2 | Tais: PPS aprovadas")</f>
        <v> Joanil Maria da Silva | SEGUNDA LICENCIATURA EM ARTES VISUAIS - 47M | Aprovada em Rec 2 | Tais: PPS aprovadas</v>
      </c>
      <c r="B4783" s="93"/>
    </row>
    <row r="4784">
      <c r="A4784" s="384" t="str">
        <f>IFERROR(__xludf.DUMMYFUNCTION("""COMPUTED_VALUE"""),"Valdecir Ferreira da Cruz | #SLMF - Segunda Licenciatura em Música 1320Horas | Aprovada | Tais: PPS aprovadas")</f>
        <v>Valdecir Ferreira da Cruz | #SLMF - Segunda Licenciatura em Música 1320Horas | Aprovada | Tais: PPS aprovadas</v>
      </c>
      <c r="B4784" s="93"/>
    </row>
    <row r="4785">
      <c r="A4785" s="384" t="str">
        <f>IFERROR(__xludf.DUMMYFUNCTION("""COMPUTED_VALUE"""),"Ana Cristina Silva Coimbra Miguel | #SLUEF - Segunda Licenciatura em Educação Física | Reprovada | Tais: Carta de apresentação com assinatura colada, dissertação não atende as normas da ABNT")</f>
        <v>Ana Cristina Silva Coimbra Miguel | #SLUEF - Segunda Licenciatura em Educação Física | Reprovada | Tais: Carta de apresentação com assinatura colada, dissertação não atende as normas da ABNT</v>
      </c>
      <c r="B4785" s="93"/>
    </row>
    <row r="4786">
      <c r="A4786" s="384" t="str">
        <f>IFERROR(__xludf.DUMMYFUNCTION("""COMPUTED_VALUE"""),"Cristiane Giamberardino Rochavetz Rosa | FORMAÇÃO PEDAGÓGICA EM PEDAGOGIA | Pré aprovado | Tais: PPs pré aprovadas, falta regularizar documentos. ")</f>
        <v>Cristiane Giamberardino Rochavetz Rosa | FORMAÇÃO PEDAGÓGICA EM PEDAGOGIA | Pré aprovado | Tais: PPs pré aprovadas, falta regularizar documentos. </v>
      </c>
      <c r="B4786" s="93"/>
    </row>
    <row r="4787">
      <c r="A4787" s="384" t="str">
        <f>IFERROR(__xludf.DUMMYFUNCTION("""COMPUTED_VALUE"""),"Beatriz Rosa de Souza | Formação Pedagógica em Pedagogia | Pré aprovado | Tais: PPI pré aprovada, falta envio da PPI e documentação incompleta e falta uma disciplina.")</f>
        <v>Beatriz Rosa de Souza | Formação Pedagógica em Pedagogia | Pré aprovado | Tais: PPI pré aprovada, falta envio da PPI e documentação incompleta e falta uma disciplina.</v>
      </c>
      <c r="B4787" s="93"/>
    </row>
    <row r="4788">
      <c r="A4788" s="384" t="str">
        <f>IFERROR(__xludf.DUMMYFUNCTION("""COMPUTED_VALUE"""),"Rachel Menezes Batista | Licenciatura em Artes Visuais | Reprovada | Tais: PPI não possui as 4 laudas exigidas.(falta analise completa)")</f>
        <v>Rachel Menezes Batista | Licenciatura em Artes Visuais | Reprovada | Tais: PPI não possui as 4 laudas exigidas.(falta analise completa)</v>
      </c>
      <c r="B4788" s="93"/>
    </row>
    <row r="4789">
      <c r="A4789" s="384" t="str">
        <f>IFERROR(__xludf.DUMMYFUNCTION("""COMPUTED_VALUE"""),"Rosiane Gomes Alves | #FPUM Formação Pedagógica em Matemática | Pré aprovado | Tais: PPS pré aprovadas, falta analise completa")</f>
        <v>Rosiane Gomes Alves | #FPUM Formação Pedagógica em Matemática | Pré aprovado | Tais: PPS pré aprovadas, falta analise completa</v>
      </c>
      <c r="B4789" s="93"/>
    </row>
    <row r="4790">
      <c r="A4790" s="384" t="str">
        <f>IFERROR(__xludf.DUMMYFUNCTION("""COMPUTED_VALUE"""),"Renato Lopes Almeida | #SLEEA - Segunda Licenciatura em Educação Especial | Aprovado em Rec 2 | Tais: Carta de apresentação incorreta")</f>
        <v>Renato Lopes Almeida | #SLEEA - Segunda Licenciatura em Educação Especial | Aprovado em Rec 2 | Tais: Carta de apresentação incorreta</v>
      </c>
      <c r="B4790" s="93"/>
    </row>
    <row r="4791">
      <c r="A4791" s="384" t="str">
        <f>IFERROR(__xludf.DUMMYFUNCTION("""COMPUTED_VALUE"""),"Augusto Sérgio meireles | #SLUP - SEGUNDA LICENCIATURA EM PEDAGOGIA | Pré aprovado | Tais: Estagio de 200h pré aprovado, falta regularizar documentos.")</f>
        <v>Augusto Sérgio meireles | #SLUP - SEGUNDA LICENCIATURA EM PEDAGOGIA | Pré aprovado | Tais: Estagio de 200h pré aprovado, falta regularizar documentos.</v>
      </c>
      <c r="B4791" s="93"/>
    </row>
    <row r="4792">
      <c r="A4792" s="384" t="str">
        <f>IFERROR(__xludf.DUMMYFUNCTION("""COMPUTED_VALUE"""),"Augusto Sérgio meireles | Segunda Licenciatura em História | Pré aprovado | Tais: Estagio de 200h pré aprovado, falta regularizar documentos.")</f>
        <v>Augusto Sérgio meireles | Segunda Licenciatura em História | Pré aprovado | Tais: Estagio de 200h pré aprovado, falta regularizar documentos.</v>
      </c>
      <c r="B4792" s="93"/>
    </row>
    <row r="4793">
      <c r="A4793" s="384" t="str">
        <f>IFERROR(__xludf.DUMMYFUNCTION("""COMPUTED_VALUE"""),"Vanessa Moura Cotrin | #SLUA- Segunda Licenciatura em Artes Visuais | Aprovado | Tais: PPs aprovadas")</f>
        <v>Vanessa Moura Cotrin | #SLUA- Segunda Licenciatura em Artes Visuais | Aprovado | Tais: PPs aprovadas</v>
      </c>
      <c r="B4793" s="93"/>
    </row>
    <row r="4794">
      <c r="A4794" s="384" t="str">
        <f>IFERROR(__xludf.DUMMYFUNCTION("""COMPUTED_VALUE"""),"Luiz Fernando de Oliveira | #SLMF- Segunda Licenciatura em Música 2022 880Horas | Aprovado em Rec 2 | Tais: Mandou o mesmo trabalho do curso de ciencias da religião (aguardando analise completa)")</f>
        <v>Luiz Fernando de Oliveira | #SLMF- Segunda Licenciatura em Música 2022 880Horas | Aprovado em Rec 2 | Tais: Mandou o mesmo trabalho do curso de ciencias da religião (aguardando analise completa)</v>
      </c>
      <c r="B4794" s="93"/>
    </row>
    <row r="4795">
      <c r="A4795" s="384" t="str">
        <f>IFERROR(__xludf.DUMMYFUNCTION("""COMPUTED_VALUE"""),"Luiz Fernando de Oliveira | #SLUA- Segunda Licenciatura em Artes Visuais | Aprovado em Rec 2 | Tais: Mandou o mesmo trabalho do curso de ciencias da religião (aguardando analise completa)")</f>
        <v>Luiz Fernando de Oliveira | #SLUA- Segunda Licenciatura em Artes Visuais | Aprovado em Rec 2 | Tais: Mandou o mesmo trabalho do curso de ciencias da religião (aguardando analise completa)</v>
      </c>
      <c r="B4795" s="93"/>
    </row>
    <row r="4796">
      <c r="A4796" s="384" t="str">
        <f>IFERROR(__xludf.DUMMYFUNCTION("""COMPUTED_VALUE"""),"Luiz Fernando de Oliveira | #SLUC - SEGUNDA LICENCIATURA EM CIÊNCIAS DA RELIGIÃO- U | Aprovado em Rec 2 | Tais: Mandou o mesmo trabalho do curso de ciencias da religião (aguardando analise completa)")</f>
        <v>Luiz Fernando de Oliveira | #SLUC - SEGUNDA LICENCIATURA EM CIÊNCIAS DA RELIGIÃO- U | Aprovado em Rec 2 | Tais: Mandou o mesmo trabalho do curso de ciencias da religião (aguardando analise completa)</v>
      </c>
      <c r="B4796" s="93"/>
    </row>
    <row r="4797">
      <c r="A4797" s="384" t="str">
        <f>IFERROR(__xludf.DUMMYFUNCTION("""COMPUTED_VALUE"""),"Flávio da Silva Chagas | #SLPA- Segunda Licenciatura em Pedagogia 01 | Pré aprovado | Tais: PPII pré aprovada, falta envio da PPI (falta documentos e disciplinas).")</f>
        <v>Flávio da Silva Chagas | #SLPA- Segunda Licenciatura em Pedagogia 01 | Pré aprovado | Tais: PPII pré aprovada, falta envio da PPI (falta documentos e disciplinas).</v>
      </c>
      <c r="B4797" s="93"/>
    </row>
    <row r="4798">
      <c r="A4798" s="384" t="str">
        <f>IFERROR(__xludf.DUMMYFUNCTION("""COMPUTED_VALUE"""),"Lúcia de Fátima Meirelles | SEGUNDA LICENCIATURA EM EDUCAÇÃO ESPECIAL - 2024 | Aprovada | Tais: Dispensada da realização de PPS, envivou declaração de 200h de estágio.")</f>
        <v>Lúcia de Fátima Meirelles | SEGUNDA LICENCIATURA EM EDUCAÇÃO ESPECIAL - 2024 | Aprovada | Tais: Dispensada da realização de PPS, envivou declaração de 200h de estágio.</v>
      </c>
      <c r="B4798" s="93"/>
    </row>
    <row r="4799">
      <c r="A4799" s="384" t="str">
        <f>IFERROR(__xludf.DUMMYFUNCTION("""COMPUTED_VALUE"""),"Jairo dos Santos Castro | SEGUNDA LICENCIATURA EM PEDAGOGIA - 139M | Em analise | Tais: Enviou o trabalho na gringa sem anexo (falta analise completa)")</f>
        <v>Jairo dos Santos Castro | SEGUNDA LICENCIATURA EM PEDAGOGIA - 139M | Em analise | Tais: Enviou o trabalho na gringa sem anexo (falta analise completa)</v>
      </c>
      <c r="B4799" s="93"/>
    </row>
    <row r="4800">
      <c r="A4800" s="384" t="str">
        <f>IFERROR(__xludf.DUMMYFUNCTION("""COMPUTED_VALUE"""),"Fernanda Cruz Machado | SEGUNDA LICENCIATURA EM EDUCAÇÃO FÍSICA - 44M | Em analise | Tais: PPS pré aprovadas, falta analise completa (falta analise completa)")</f>
        <v>Fernanda Cruz Machado | SEGUNDA LICENCIATURA EM EDUCAÇÃO FÍSICA - 44M | Em analise | Tais: PPS pré aprovadas, falta analise completa (falta analise completa)</v>
      </c>
      <c r="B4800" s="93"/>
    </row>
    <row r="4801">
      <c r="A4801" s="384" t="str">
        <f>IFERROR(__xludf.DUMMYFUNCTION("""COMPUTED_VALUE"""),"Gabriel Linhares Alves Quintão | SEGUNDA LICENCIATURA EM MUSICA | Aprovado | Tais: DIspensado da realização de PPs, mandou comprovante de experiencia profissional.")</f>
        <v>Gabriel Linhares Alves Quintão | SEGUNDA LICENCIATURA EM MUSICA | Aprovado | Tais: DIspensado da realização de PPs, mandou comprovante de experiencia profissional.</v>
      </c>
      <c r="B4801" s="93"/>
    </row>
    <row r="4802">
      <c r="A4802" s="384" t="str">
        <f>IFERROR(__xludf.DUMMYFUNCTION("""COMPUTED_VALUE"""),"Antonio Hugo Moreira de Brito | SEGUNDA LICENCIATURA EM GEOGRAFIA | Pré Aprovado | Tais: PPs pré aprovadas, falta regularizar documentação.")</f>
        <v>Antonio Hugo Moreira de Brito | SEGUNDA LICENCIATURA EM GEOGRAFIA | Pré Aprovado | Tais: PPs pré aprovadas, falta regularizar documentação.</v>
      </c>
      <c r="B4802" s="93"/>
    </row>
    <row r="4803">
      <c r="A4803" s="384" t="str">
        <f>IFERROR(__xludf.DUMMYFUNCTION("""COMPUTED_VALUE"""),"Antonio Hugo Moreira de Brito | SEGUNDA LICENCIATURA EM GEOGRAFIA | Em analise | Tais: TCC escaneado, precisa enviar em word editavel. ")</f>
        <v>Antonio Hugo Moreira de Brito | SEGUNDA LICENCIATURA EM GEOGRAFIA | Em analise | Tais: TCC escaneado, precisa enviar em word editavel. </v>
      </c>
      <c r="B4803" s="93"/>
    </row>
    <row r="4804">
      <c r="A4804" s="384" t="str">
        <f>IFERROR(__xludf.DUMMYFUNCTION("""COMPUTED_VALUE"""),"EDERSON LEIFER DE SOUZA | FORMAÇÃO PEDAGÓGICA EM MATEMÁTICA | Em analise | Tais: PPI pré aprovada, falta realizar a PPII (aguardando regularizar documentação).")</f>
        <v>EDERSON LEIFER DE SOUZA | FORMAÇÃO PEDAGÓGICA EM MATEMÁTICA | Em analise | Tais: PPI pré aprovada, falta realizar a PPII (aguardando regularizar documentação).</v>
      </c>
      <c r="B4804" s="93"/>
    </row>
    <row r="4805">
      <c r="A4805" s="384" t="str">
        <f>IFERROR(__xludf.DUMMYFUNCTION("""COMPUTED_VALUE"""),"Rawllinson Cícero Silva de Lima | FORMAÇÃO PEDAGÓGICA EM MÚSICA - 2024 | Pré Aprovado | Tais: PPS pré aprovadas, falta regularizar financeiro e documentos para formalização.")</f>
        <v>Rawllinson Cícero Silva de Lima | FORMAÇÃO PEDAGÓGICA EM MÚSICA - 2024 | Pré Aprovado | Tais: PPS pré aprovadas, falta regularizar financeiro e documentos para formalização.</v>
      </c>
      <c r="B4805" s="93"/>
    </row>
    <row r="4806">
      <c r="A4806" s="384" t="str">
        <f>IFERROR(__xludf.DUMMYFUNCTION("""COMPUTED_VALUE"""),"Rachel Menezes Oliveira dos Santos | Segunda Licenciatura em Artes Visuais | Pré Aprovado | Tais: PPS pré aprovadas, falta regularizar financeiro e documentos para formalização.")</f>
        <v>Rachel Menezes Oliveira dos Santos | Segunda Licenciatura em Artes Visuais | Pré Aprovado | Tais: PPS pré aprovadas, falta regularizar financeiro e documentos para formalização.</v>
      </c>
      <c r="B4806" s="93"/>
    </row>
    <row r="4807">
      <c r="A4807" s="384" t="str">
        <f>IFERROR(__xludf.DUMMYFUNCTION("""COMPUTED_VALUE"""),"Vanessa Bensa de Oliveira Neves | Formação Pedagógica em História | Aprovado em Rec 2 | Tais: Plágio de 8% nas PPs, e carta de apresentação com assinatura cortada.")</f>
        <v>Vanessa Bensa de Oliveira Neves | Formação Pedagógica em História | Aprovado em Rec 2 | Tais: Plágio de 8% nas PPs, e carta de apresentação com assinatura cortada.</v>
      </c>
      <c r="B4807" s="93"/>
    </row>
    <row r="4808">
      <c r="A4808" s="384" t="str">
        <f>IFERROR(__xludf.DUMMYFUNCTION("""COMPUTED_VALUE"""),"Adauto Freire Filho | #SLLET1 - SEGUNDA LICENCIATURA EM LETRAS-PORTUGUÊS/ESPANHOL | Pré Aprovado | Tais: PPS pré aprovadas, aguardando análise ")</f>
        <v>Adauto Freire Filho | #SLLET1 - SEGUNDA LICENCIATURA EM LETRAS-PORTUGUÊS/ESPANHOL | Pré Aprovado | Tais: PPS pré aprovadas, aguardando análise </v>
      </c>
      <c r="B4808" s="93"/>
    </row>
    <row r="4809">
      <c r="A4809" s="384" t="str">
        <f>IFERROR(__xludf.DUMMYFUNCTION("""COMPUTED_VALUE"""),"Adauto Freire Filho | #SLLET1 - SEGUNDA LICENCIATURA EM LETRAS-PORTUGUÊS/ESPANHOL | Pré Aprovado | Tais: TCC pré aprovadas, aguardando análise ")</f>
        <v>Adauto Freire Filho | #SLLET1 - SEGUNDA LICENCIATURA EM LETRAS-PORTUGUÊS/ESPANHOL | Pré Aprovado | Tais: TCC pré aprovadas, aguardando análise </v>
      </c>
      <c r="B4809" s="93"/>
    </row>
    <row r="4810">
      <c r="A4810" s="384" t="str">
        <f>IFERROR(__xludf.DUMMYFUNCTION("""COMPUTED_VALUE"""),"Diomarques Amancio de Jesus | #SLUG - SEGUNDA LICENCIATURA EM GEOGRAFIA | Pré aprovado | Tais: PPS pré aprovada, falta analise completa para formalizar")</f>
        <v>Diomarques Amancio de Jesus | #SLUG - SEGUNDA LICENCIATURA EM GEOGRAFIA | Pré aprovado | Tais: PPS pré aprovada, falta analise completa para formalizar</v>
      </c>
      <c r="B4810" s="93"/>
    </row>
    <row r="4811">
      <c r="A4811" s="384" t="str">
        <f>IFERROR(__xludf.DUMMYFUNCTION("""COMPUTED_VALUE"""),"Maria Victoria González Peña | SEGUNDA LICENCIATURA EM PEDAGOGIA - 37M | Aprovado | Tais: PPS aprovadas")</f>
        <v>Maria Victoria González Peña | SEGUNDA LICENCIATURA EM PEDAGOGIA - 37M | Aprovado | Tais: PPS aprovadas</v>
      </c>
      <c r="B4811" s="93"/>
    </row>
    <row r="4812">
      <c r="A4812" s="384" t="str">
        <f>IFERROR(__xludf.DUMMYFUNCTION("""COMPUTED_VALUE"""),"Arnaldo Barros dos Santos | SEGUNDA LICENCIATURA EM EDUCAÇÃO FÍSICA - 44M | Aprovado | Tais: PPS aprovadas por email")</f>
        <v>Arnaldo Barros dos Santos | SEGUNDA LICENCIATURA EM EDUCAÇÃO FÍSICA - 44M | Aprovado | Tais: PPS aprovadas por email</v>
      </c>
      <c r="B4812" s="93"/>
    </row>
    <row r="4813">
      <c r="A4813" s="384" t="str">
        <f>IFERROR(__xludf.DUMMYFUNCTION("""COMPUTED_VALUE"""),"Sullivan Cândido Laurindo | #FPUP-FORMAÇÃO PEDAGÓGICA EM PEDAGOGIA- U | Aprovado em Rec 2 | Tais: Foi solicitado correções na dissertação.")</f>
        <v>Sullivan Cândido Laurindo | #FPUP-FORMAÇÃO PEDAGÓGICA EM PEDAGOGIA- U | Aprovado em Rec 2 | Tais: Foi solicitado correções na dissertação.</v>
      </c>
      <c r="B4813" s="93"/>
    </row>
    <row r="4814">
      <c r="A4814" s="384" t="str">
        <f>IFERROR(__xludf.DUMMYFUNCTION("""COMPUTED_VALUE"""),"Maria Elvira Pereira Tremonte | SEGUNDA LICENCIATURA EM PEDAGOGIA | Aprovada | Tais: Apresentou declaração de experiencia. Não precisa realizar PPs.")</f>
        <v>Maria Elvira Pereira Tremonte | SEGUNDA LICENCIATURA EM PEDAGOGIA | Aprovada | Tais: Apresentou declaração de experiencia. Não precisa realizar PPs.</v>
      </c>
      <c r="B4814" s="93"/>
    </row>
    <row r="4815">
      <c r="A4815" s="384" t="str">
        <f>IFERROR(__xludf.DUMMYFUNCTION("""COMPUTED_VALUE"""),"Núbia Souza | SEGUNDA LICENCIATURA EM PEDAGOGIA | Em análise | Tais: PPs pré aprovadas, aguardando analise financeiro para informar aprovação.")</f>
        <v>Núbia Souza | SEGUNDA LICENCIATURA EM PEDAGOGIA | Em análise | Tais: PPs pré aprovadas, aguardando analise financeiro para informar aprovação.</v>
      </c>
      <c r="B4815" s="93"/>
    </row>
    <row r="4816">
      <c r="A4816" s="384" t="str">
        <f>IFERROR(__xludf.DUMMYFUNCTION("""COMPUTED_VALUE"""),"Vera Lúcia Souza | SEGUNDA LICENCIATURA EM PEDAGOGIA | Em análise | Tais: PPs pré aprovadas, aguardando analise financeiro para informar aprovação.")</f>
        <v>Vera Lúcia Souza | SEGUNDA LICENCIATURA EM PEDAGOGIA | Em análise | Tais: PPs pré aprovadas, aguardando analise financeiro para informar aprovação.</v>
      </c>
      <c r="B4816" s="93"/>
    </row>
    <row r="4817">
      <c r="A4817" s="384" t="str">
        <f>IFERROR(__xludf.DUMMYFUNCTION("""COMPUTED_VALUE"""),"Laércio Hernane Amorim Gonçalves | #SLMF - Segunda Licenciatura em Música 1320Horas | Aprovado | Tais: PPs aprovadas")</f>
        <v>Laércio Hernane Amorim Gonçalves | #SLMF - Segunda Licenciatura em Música 1320Horas | Aprovado | Tais: PPs aprovadas</v>
      </c>
      <c r="B4817" s="93"/>
    </row>
    <row r="4818">
      <c r="A4818" s="384" t="str">
        <f>IFERROR(__xludf.DUMMYFUNCTION("""COMPUTED_VALUE"""),"Jayni Sampaio dos Santos | #SLUPI - SEGUNDA LICENCIATURA EM LETRAS – PORTUGUÊS E INGLÊS | Em análise | Tais: PPI pré aprovada, falta envio da PPII")</f>
        <v>Jayni Sampaio dos Santos | #SLUPI - SEGUNDA LICENCIATURA EM LETRAS – PORTUGUÊS E INGLÊS | Em análise | Tais: PPI pré aprovada, falta envio da PPII</v>
      </c>
      <c r="B4818" s="93"/>
    </row>
    <row r="4819">
      <c r="A4819" s="384" t="str">
        <f>IFERROR(__xludf.DUMMYFUNCTION("""COMPUTED_VALUE"""),"Ana Angélica da Silva | SEGUNDA LICENCIATURA HISTÓRIA - 46M | Reprovada | Tais: Carta de apresentação sem assinatura, entrevista escaneada, e não mandou a PPI (aguardando analise completa)")</f>
        <v>Ana Angélica da Silva | SEGUNDA LICENCIATURA HISTÓRIA - 46M | Reprovada | Tais: Carta de apresentação sem assinatura, entrevista escaneada, e não mandou a PPI (aguardando analise completa)</v>
      </c>
      <c r="B4819" s="93"/>
    </row>
    <row r="4820">
      <c r="A4820" s="384" t="str">
        <f>IFERROR(__xludf.DUMMYFUNCTION("""COMPUTED_VALUE"""),"Mateus Cardoso Soares dos Santos | #FPMF- Formação Pedagógica em Música 1200Horas | Aprovado | Tais: PPS aprovadas")</f>
        <v>Mateus Cardoso Soares dos Santos | #FPMF- Formação Pedagógica em Música 1200Horas | Aprovado | Tais: PPS aprovadas</v>
      </c>
      <c r="B4820" s="93"/>
    </row>
    <row r="4821">
      <c r="A4821" s="384" t="str">
        <f>IFERROR(__xludf.DUMMYFUNCTION("""COMPUTED_VALUE"""),"Sarah Estevão Da Costa Teixeira | Psicopedagogia | Aprovada | Tais: Estágio aprovado.")</f>
        <v>Sarah Estevão Da Costa Teixeira | Psicopedagogia | Aprovada | Tais: Estágio aprovado.</v>
      </c>
      <c r="B4821" s="93"/>
    </row>
    <row r="4822">
      <c r="A4822" s="384" t="str">
        <f>IFERROR(__xludf.DUMMYFUNCTION("""COMPUTED_VALUE"""),"Charles Araújo Oliveira | Educação Física | Aprovado | Tais: Dispensado da realização de PPS, encaminhou estágio de 200h.")</f>
        <v>Charles Araújo Oliveira | Educação Física | Aprovado | Tais: Dispensado da realização de PPS, encaminhou estágio de 200h.</v>
      </c>
      <c r="B4822" s="93"/>
    </row>
    <row r="4823">
      <c r="A4823" s="384" t="str">
        <f>IFERROR(__xludf.DUMMYFUNCTION("""COMPUTED_VALUE"""),"José Roberto Martins | FORMAÇÃO PEDAGÓGICA EM FILOSOFIA | Aprovado | Tais: PPS aprovadas.")</f>
        <v>José Roberto Martins | FORMAÇÃO PEDAGÓGICA EM FILOSOFIA | Aprovado | Tais: PPS aprovadas.</v>
      </c>
      <c r="B4823" s="93"/>
    </row>
    <row r="4824">
      <c r="A4824" s="384" t="str">
        <f>IFERROR(__xludf.DUMMYFUNCTION("""COMPUTED_VALUE"""),"Adly Gaby | SEGUNDA LICENCIATURA EM ARTES VISUAIS (38) | Reprovado | Tais: Carta de apresentação com assinatura da aluna, precisa ser do diretor. Além disso assinatura digitada. Aguardando análise financeira. (ainda não tem 6 meses de curso)")</f>
        <v>Adly Gaby | SEGUNDA LICENCIATURA EM ARTES VISUAIS (38) | Reprovado | Tais: Carta de apresentação com assinatura da aluna, precisa ser do diretor. Além disso assinatura digitada. Aguardando análise financeira. (ainda não tem 6 meses de curso)</v>
      </c>
      <c r="B4824" s="93"/>
    </row>
    <row r="4825">
      <c r="A4825" s="384" t="str">
        <f>IFERROR(__xludf.DUMMYFUNCTION("""COMPUTED_VALUE"""),"Artur Charczuk | SEGUNDA LICENCIATURA EM CIÊNCIAS DA RELIGIÃO (493) | Pré Aprovada | Tais: Pré Aprovado, aguardando analise completa.")</f>
        <v>Artur Charczuk | SEGUNDA LICENCIATURA EM CIÊNCIAS DA RELIGIÃO (493) | Pré Aprovada | Tais: Pré Aprovado, aguardando analise completa.</v>
      </c>
      <c r="B4825" s="93"/>
    </row>
    <row r="4826">
      <c r="A4826" s="384" t="str">
        <f>IFERROR(__xludf.DUMMYFUNCTION("""COMPUTED_VALUE"""),"Ulisses Fernando de Abreu | PEDAGOGIA PARA BACHAREIS E TECNÓLOGOS (pedagogia-para-bachareis-e-tecnologos) | Aprovado | Tais: PPs aprovadas")</f>
        <v>Ulisses Fernando de Abreu | PEDAGOGIA PARA BACHAREIS E TECNÓLOGOS (pedagogia-para-bachareis-e-tecnologos) | Aprovado | Tais: PPs aprovadas</v>
      </c>
      <c r="B4826" s="93"/>
    </row>
    <row r="4827">
      <c r="A4827" s="384" t="str">
        <f>IFERROR(__xludf.DUMMYFUNCTION("""COMPUTED_VALUE"""),"Sebastião Jorge Siqueira | #SLMF- Segunda Licenciatura em Música 2022 880Horas | Aprovado | Tais: PPs aprovadas")</f>
        <v>Sebastião Jorge Siqueira | #SLMF- Segunda Licenciatura em Música 2022 880Horas | Aprovado | Tais: PPs aprovadas</v>
      </c>
      <c r="B4827" s="93"/>
    </row>
    <row r="4828">
      <c r="A4828" s="384" t="str">
        <f>IFERROR(__xludf.DUMMYFUNCTION("""COMPUTED_VALUE"""),"Bruno da Silva Freire | SEGUNDA LICENCIATURA EM GEOGRAFIA (592) | Aprovado | Tais: PPs aprovadas")</f>
        <v>Bruno da Silva Freire | SEGUNDA LICENCIATURA EM GEOGRAFIA (592) | Aprovado | Tais: PPs aprovadas</v>
      </c>
      <c r="B4828" s="93"/>
    </row>
    <row r="4829">
      <c r="A4829" s="384" t="str">
        <f>IFERROR(__xludf.DUMMYFUNCTION("""COMPUTED_VALUE"""),"Bruno da Silva Freire | SEGUNDA LICENCIATURA EM HISTÓRIA | Aprovado | Tais: PPs aprovadas")</f>
        <v>Bruno da Silva Freire | SEGUNDA LICENCIATURA EM HISTÓRIA | Aprovado | Tais: PPs aprovadas</v>
      </c>
      <c r="B4829" s="93"/>
    </row>
    <row r="4830">
      <c r="A4830" s="384" t="str">
        <f>IFERROR(__xludf.DUMMYFUNCTION("""COMPUTED_VALUE"""),"Raphael Oliveira de Lima | #SLUP - SEGUNDA LICENCIATURA EM PEDAGOGIA | Aprovado | Tais: PPs aprovadas")</f>
        <v>Raphael Oliveira de Lima | #SLUP - SEGUNDA LICENCIATURA EM PEDAGOGIA | Aprovado | Tais: PPs aprovadas</v>
      </c>
      <c r="B4830" s="93"/>
    </row>
    <row r="4831">
      <c r="A4831" s="384" t="str">
        <f>IFERROR(__xludf.DUMMYFUNCTION("""COMPUTED_VALUE"""),"Ediana dos Santos Ramos | SEGUNDA LICENCIATURA EM ARTES VISUAIS (38) | Aprovado | Tais: PPs aprovadas")</f>
        <v>Ediana dos Santos Ramos | SEGUNDA LICENCIATURA EM ARTES VISUAIS (38) | Aprovado | Tais: PPs aprovadas</v>
      </c>
      <c r="B4831" s="93"/>
    </row>
    <row r="4832">
      <c r="A4832" s="384" t="str">
        <f>IFERROR(__xludf.DUMMYFUNCTION("""COMPUTED_VALUE"""),"Washington Jesus de Azevedo | #SLUEF - Segunda Licenciatura em Educação Física | Em analise  | Tais: PPI pré aprovada, falta envio PPII.")</f>
        <v>Washington Jesus de Azevedo | #SLUEF - Segunda Licenciatura em Educação Física | Em analise  | Tais: PPI pré aprovada, falta envio PPII.</v>
      </c>
      <c r="B4832" s="93"/>
    </row>
    <row r="4833">
      <c r="A4833" s="384" t="str">
        <f>IFERROR(__xludf.DUMMYFUNCTION("""COMPUTED_VALUE"""),"José Holanda Venâncio Santos | SEGUNDA LICENCIATURA EM MÚSICA | Aprovado | Tais: PPs aprovadas")</f>
        <v>José Holanda Venâncio Santos | SEGUNDA LICENCIATURA EM MÚSICA | Aprovado | Tais: PPs aprovadas</v>
      </c>
      <c r="B4833" s="93"/>
    </row>
    <row r="4834">
      <c r="A4834" s="384" t="str">
        <f>IFERROR(__xludf.DUMMYFUNCTION("""COMPUTED_VALUE"""),"JOÃO PAULO BERNARDO | Licenciatura em Geografia. | Pré Aprovada | Tais: Pré Aprovado, aguardando analise completa.")</f>
        <v>JOÃO PAULO BERNARDO | Licenciatura em Geografia. | Pré Aprovada | Tais: Pré Aprovado, aguardando analise completa.</v>
      </c>
      <c r="B4834" s="93"/>
    </row>
    <row r="4835">
      <c r="A4835" s="384" t="str">
        <f>IFERROR(__xludf.DUMMYFUNCTION("""COMPUTED_VALUE"""),"Pabline de Sales Santos Oliveira | Educação Especial | Pré Aprovada | Tais: Pré Aprovado, aguardando analise completa.")</f>
        <v>Pabline de Sales Santos Oliveira | Educação Especial | Pré Aprovada | Tais: Pré Aprovado, aguardando analise completa.</v>
      </c>
      <c r="B4835" s="93"/>
    </row>
    <row r="4836">
      <c r="A4836" s="384" t="str">
        <f>IFERROR(__xludf.DUMMYFUNCTION("""COMPUTED_VALUE"""),"Leonardo da Silva Oliveira dos Santos | FORMAÇÃO PEDAGÓGICA EM PEDAGOGIA | Pré Aprovada | Tais: Pré Aprovado, aguardando regularizar documentação.")</f>
        <v>Leonardo da Silva Oliveira dos Santos | FORMAÇÃO PEDAGÓGICA EM PEDAGOGIA | Pré Aprovada | Tais: Pré Aprovado, aguardando regularizar documentação.</v>
      </c>
      <c r="B4836" s="93"/>
    </row>
    <row r="4837">
      <c r="A4837" s="384" t="str">
        <f>IFERROR(__xludf.DUMMYFUNCTION("""COMPUTED_VALUE"""),"Rainatinen Kely de Oliveira Neves | FORMAÇÃO PEDAGÓGICA EM LETRAS PORTUGUÊS/INGLÊS - 50M (formacaopedagogicaemletrasportuguesingles50m) | Reprovada | Tais: Carta de apresentação inelegivel.")</f>
        <v>Rainatinen Kely de Oliveira Neves | FORMAÇÃO PEDAGÓGICA EM LETRAS PORTUGUÊS/INGLÊS - 50M (formacaopedagogicaemletrasportuguesingles50m) | Reprovada | Tais: Carta de apresentação inelegivel.</v>
      </c>
      <c r="B4837" s="93"/>
    </row>
    <row r="4838">
      <c r="A4838" s="384" t="str">
        <f>IFERROR(__xludf.DUMMYFUNCTION("""COMPUTED_VALUE"""),"Wagner Aparecido de Moura | FORMAÇÃO PEDAGÓGICA EM SOCIOLOGIA | Aprovado | Tais: PPs aprovadas")</f>
        <v>Wagner Aparecido de Moura | FORMAÇÃO PEDAGÓGICA EM SOCIOLOGIA | Aprovado | Tais: PPs aprovadas</v>
      </c>
      <c r="B4838" s="93"/>
    </row>
    <row r="4839">
      <c r="A4839" s="384" t="str">
        <f>IFERROR(__xludf.DUMMYFUNCTION("""COMPUTED_VALUE"""),"Samara de Oliveira Santos Pereira | #SLLPI- Segunda Licenciatura em Letras-Português/Inglês | Em análise | Tais: PPI aprovada, falta envio da PPII. ")</f>
        <v>Samara de Oliveira Santos Pereira | #SLLPI- Segunda Licenciatura em Letras-Português/Inglês | Em análise | Tais: PPI aprovada, falta envio da PPII. </v>
      </c>
      <c r="B4839" s="93"/>
    </row>
    <row r="4840">
      <c r="A4840" s="384" t="str">
        <f>IFERROR(__xludf.DUMMYFUNCTION("""COMPUTED_VALUE"""),"Rodrigo Pereira Silva | FORMAÇÃO PEDAGÓGICA EM MÚSICA | Em análise | Tais: PPI faltam referências, falta enviar PPII - Feedback encaminhado via e-mail em 25/06/2025")</f>
        <v>Rodrigo Pereira Silva | FORMAÇÃO PEDAGÓGICA EM MÚSICA | Em análise | Tais: PPI faltam referências, falta enviar PPII - Feedback encaminhado via e-mail em 25/06/2025</v>
      </c>
      <c r="B4840" s="93"/>
    </row>
    <row r="4841">
      <c r="A4841" s="384" t="str">
        <f>IFERROR(__xludf.DUMMYFUNCTION("""COMPUTED_VALUE"""),"Emanuele Alexandra de Jesus Touça  | Segunda Licenciatura em Filosofia | Em analise | Tais: PPs pré aprovadas")</f>
        <v>Emanuele Alexandra de Jesus Touça  | Segunda Licenciatura em Filosofia | Em analise | Tais: PPs pré aprovadas</v>
      </c>
      <c r="B4841" s="93"/>
    </row>
    <row r="4842">
      <c r="A4842" s="384" t="str">
        <f>IFERROR(__xludf.DUMMYFUNCTION("""COMPUTED_VALUE"""),"Rodrigo Alexandre Alves | #FPUEF - Formação Pedagógica em Educação Física - 1200 Horas | Aprovado | Tais: PPs aprovadas")</f>
        <v>Rodrigo Alexandre Alves | #FPUEF - Formação Pedagógica em Educação Física - 1200 Horas | Aprovado | Tais: PPs aprovadas</v>
      </c>
      <c r="B4842" s="93"/>
    </row>
    <row r="4843">
      <c r="A4843" s="384" t="str">
        <f>IFERROR(__xludf.DUMMYFUNCTION("""COMPUTED_VALUE"""),"Túlio Arcelino | FORMAÇÃO PEDAGÓGICA EM MATEMÁTICA (41) | Pré aprovado | Tais: PPS pré aprovadas, aguardando analise completa")</f>
        <v>Túlio Arcelino | FORMAÇÃO PEDAGÓGICA EM MATEMÁTICA (41) | Pré aprovado | Tais: PPS pré aprovadas, aguardando analise completa</v>
      </c>
      <c r="B4843" s="93"/>
    </row>
    <row r="4844">
      <c r="A4844" s="384" t="str">
        <f>IFERROR(__xludf.DUMMYFUNCTION("""COMPUTED_VALUE"""),"Diego magela Magalhães | #SLEF- Segunda Licenciatura Educação Física 1200Horas | Aprovado | Tais: PPS aprovadas")</f>
        <v>Diego magela Magalhães | #SLEF- Segunda Licenciatura Educação Física 1200Horas | Aprovado | Tais: PPS aprovadas</v>
      </c>
      <c r="B4844" s="93"/>
    </row>
    <row r="4845">
      <c r="A4845" s="384" t="str">
        <f>IFERROR(__xludf.DUMMYFUNCTION("""COMPUTED_VALUE"""),"Evandro dos Santos Carlos Nolasco | SEGUNDA LICENCIATURA EM SOCIOLOGIA (34) | Aprovada em Rec 3 | Tais: Dissertação igual ao do curso de Sociologia")</f>
        <v>Evandro dos Santos Carlos Nolasco | SEGUNDA LICENCIATURA EM SOCIOLOGIA (34) | Aprovada em Rec 3 | Tais: Dissertação igual ao do curso de Sociologia</v>
      </c>
      <c r="B4845" s="93"/>
    </row>
    <row r="4846">
      <c r="A4846" s="384" t="str">
        <f>IFERROR(__xludf.DUMMYFUNCTION("""COMPUTED_VALUE"""),"Evandro dos Santos Carlos Nolasco | SEGUNDA LICENCIATURA EM FILOSOFIA (470) | Aprovada em Rec 3 | Tais: Dissertação igual a do curso de Filosofia")</f>
        <v>Evandro dos Santos Carlos Nolasco | SEGUNDA LICENCIATURA EM FILOSOFIA (470) | Aprovada em Rec 3 | Tais: Dissertação igual a do curso de Filosofia</v>
      </c>
      <c r="B4846" s="93"/>
    </row>
    <row r="4847">
      <c r="A4847" s="384" t="str">
        <f>IFERROR(__xludf.DUMMYFUNCTION("""COMPUTED_VALUE"""),"Juciara Maciel | SEGUNDA LICENCIATURA EM GEOGRAFIA | Em analise  | Tais: Arquivo corrompido não abre")</f>
        <v>Juciara Maciel | SEGUNDA LICENCIATURA EM GEOGRAFIA | Em analise  | Tais: Arquivo corrompido não abre</v>
      </c>
      <c r="B4847" s="93"/>
    </row>
    <row r="4848">
      <c r="A4848" s="384" t="str">
        <f>IFERROR(__xludf.DUMMYFUNCTION("""COMPUTED_VALUE"""),"Larah Pedro Forte | #FPEEF- Formação Pedagógica Educação Física | Aprovada | Tais: PPS aprovadas")</f>
        <v>Larah Pedro Forte | #FPEEF- Formação Pedagógica Educação Física | Aprovada | Tais: PPS aprovadas</v>
      </c>
      <c r="B4848" s="93"/>
    </row>
    <row r="4849">
      <c r="A4849" s="384" t="str">
        <f>IFERROR(__xludf.DUMMYFUNCTION("""COMPUTED_VALUE"""),"José Roberto Martins | FORMAÇÃO PEDAGÓGICA EM SOCIOLOGIA | Aprovada em Rec 2 | Tais: Mandou a carta de apresentação do curso de Filosofia, dissertação igual a do curso de Filosofia.")</f>
        <v>José Roberto Martins | FORMAÇÃO PEDAGÓGICA EM SOCIOLOGIA | Aprovada em Rec 2 | Tais: Mandou a carta de apresentação do curso de Filosofia, dissertação igual a do curso de Filosofia.</v>
      </c>
      <c r="B4849" s="93"/>
    </row>
    <row r="4850">
      <c r="A4850" s="384" t="str">
        <f>IFERROR(__xludf.DUMMYFUNCTION("""COMPUTED_VALUE"""),"Caroline da Silva Cezar | Psicopedagogia Clínica e Institucional. | Aprovada em Rec 2 | Tais: Falta carimbo nas assinaturas, e terá que autenticar termo de conclusão.")</f>
        <v>Caroline da Silva Cezar | Psicopedagogia Clínica e Institucional. | Aprovada em Rec 2 | Tais: Falta carimbo nas assinaturas, e terá que autenticar termo de conclusão.</v>
      </c>
      <c r="B4850" s="93"/>
    </row>
    <row r="4851">
      <c r="A4851" s="384" t="str">
        <f>IFERROR(__xludf.DUMMYFUNCTION("""COMPUTED_VALUE"""),"Juciara Maciel | SEGUNDA LICENCIATURA EM GEOGRAFIA | Aprovada | Tais: PPS aprovadas")</f>
        <v>Juciara Maciel | SEGUNDA LICENCIATURA EM GEOGRAFIA | Aprovada | Tais: PPS aprovadas</v>
      </c>
      <c r="B4851" s="93"/>
    </row>
    <row r="4852">
      <c r="A4852" s="384" t="str">
        <f>IFERROR(__xludf.DUMMYFUNCTION("""COMPUTED_VALUE"""),"Eliane Dantas Silva | Pedagogia. | Reprovada | Tais: PPI não menciona as normas da BNCC, PPII ok (aguardando analise completa)")</f>
        <v>Eliane Dantas Silva | Pedagogia. | Reprovada | Tais: PPI não menciona as normas da BNCC, PPII ok (aguardando analise completa)</v>
      </c>
      <c r="B4852" s="93"/>
    </row>
    <row r="4853">
      <c r="A4853" s="384" t="str">
        <f>IFERROR(__xludf.DUMMYFUNCTION("""COMPUTED_VALUE"""),"Flavio Pereira da Silva Oliveira | #FPMF- Formação Pedagógica em Música 1200Horas | Em analise | Tais: PPS pré aprovadas (aguardando analise completa)")</f>
        <v>Flavio Pereira da Silva Oliveira | #FPMF- Formação Pedagógica em Música 1200Horas | Em analise | Tais: PPS pré aprovadas (aguardando analise completa)</v>
      </c>
      <c r="B4853" s="93"/>
    </row>
    <row r="4854">
      <c r="A4854" s="384" t="str">
        <f>IFERROR(__xludf.DUMMYFUNCTION("""COMPUTED_VALUE"""),"Alex Bonfim Siqueira | SEGUNDA LICENCIATURA EM MATEMÁTICA | Pré aprovado | Tais: PPs pré aprovadas, falta analise completa")</f>
        <v>Alex Bonfim Siqueira | SEGUNDA LICENCIATURA EM MATEMÁTICA | Pré aprovado | Tais: PPs pré aprovadas, falta analise completa</v>
      </c>
      <c r="B4854" s="93"/>
    </row>
    <row r="4855">
      <c r="A4855" s="384" t="str">
        <f>IFERROR(__xludf.DUMMYFUNCTION("""COMPUTED_VALUE"""),"Samara Fernandes Costa  |  SEGUNDA LICENCIATURA EM LETRAS PORTUGUÊS / INGLES | Pré aprovado | Tais: PPs pré aprovadas, falta analise completa")</f>
        <v>Samara Fernandes Costa  |  SEGUNDA LICENCIATURA EM LETRAS PORTUGUÊS / INGLES | Pré aprovado | Tais: PPs pré aprovadas, falta analise completa</v>
      </c>
      <c r="B4855" s="93"/>
    </row>
    <row r="4856">
      <c r="A4856" s="384" t="str">
        <f>IFERROR(__xludf.DUMMYFUNCTION("""COMPUTED_VALUE"""),"Geniana Mônica de Oliveira | FORMAÇÃO PEDAGÓGICA EM LETRAS PORTUGUÊS / INGLÊS - 2024
 | Em análise | Tais: PPI pré aprovada,carta de apresentação ok, falta entrevista (aguardando análise completa).")</f>
        <v>Geniana Mônica de Oliveira | FORMAÇÃO PEDAGÓGICA EM LETRAS PORTUGUÊS / INGLÊS - 2024
 | Em análise | Tais: PPI pré aprovada,carta de apresentação ok, falta entrevista (aguardando análise completa).</v>
      </c>
      <c r="B4856" s="93"/>
    </row>
    <row r="4857">
      <c r="A4857" s="384" t="str">
        <f>IFERROR(__xludf.DUMMYFUNCTION("""COMPUTED_VALUE"""),"Edlene Cristina Pereira Rodrigues dos Santos | SEGUNDA LICENCIATURA EM PEDAGOGIA | Em analise | Tais: Falta PPI")</f>
        <v>Edlene Cristina Pereira Rodrigues dos Santos | SEGUNDA LICENCIATURA EM PEDAGOGIA | Em analise | Tais: Falta PPI</v>
      </c>
      <c r="B4857" s="93"/>
    </row>
    <row r="4858">
      <c r="A4858" s="384" t="str">
        <f>IFERROR(__xludf.DUMMYFUNCTION("""COMPUTED_VALUE"""),"Raquel Soares dos Reis Santos | #FPUM Formação Pedagógica em Matemática | Reprovada | Tais: Plágio de 96%, dissertação não tem 4 laudas e falta carta de apresentação . (Aguardando analise)")</f>
        <v>Raquel Soares dos Reis Santos | #FPUM Formação Pedagógica em Matemática | Reprovada | Tais: Plágio de 96%, dissertação não tem 4 laudas e falta carta de apresentação . (Aguardando analise)</v>
      </c>
      <c r="B4858" s="93"/>
    </row>
    <row r="4859">
      <c r="A4859" s="384" t="str">
        <f>IFERROR(__xludf.DUMMYFUNCTION("""COMPUTED_VALUE"""),"PATRICIA RODRIGUES MARAN | PEDAGOGIA | Aprovado | Tais: PPs aprovadas")</f>
        <v>PATRICIA RODRIGUES MARAN | PEDAGOGIA | Aprovado | Tais: PPs aprovadas</v>
      </c>
      <c r="B4859" s="93"/>
    </row>
    <row r="4860">
      <c r="A4860" s="384" t="str">
        <f>IFERROR(__xludf.DUMMYFUNCTION("""COMPUTED_VALUE"""),"Sarah Holanda Uchôa Carvalho | Formação pedagógica em música | Pré aprovado | Tais: PPs pré aprovadas, falta analise completa")</f>
        <v>Sarah Holanda Uchôa Carvalho | Formação pedagógica em música | Pré aprovado | Tais: PPs pré aprovadas, falta analise completa</v>
      </c>
      <c r="B4860" s="93"/>
    </row>
    <row r="4861">
      <c r="A4861" s="384" t="str">
        <f>IFERROR(__xludf.DUMMYFUNCTION("""COMPUTED_VALUE"""),"Rosineia Corrêa da Silva Aires | SEGUNDA LICENCIATURA EM EDUCAÇÃO ESPECIAL - 162M (segundalicenciaturaemeducacaoespecial162m) | Aprovada | Tais: PPS aprovadas")</f>
        <v>Rosineia Corrêa da Silva Aires | SEGUNDA LICENCIATURA EM EDUCAÇÃO ESPECIAL - 162M (segundalicenciaturaemeducacaoespecial162m) | Aprovada | Tais: PPS aprovadas</v>
      </c>
      <c r="B4861" s="93"/>
    </row>
    <row r="4862">
      <c r="A4862" s="384" t="str">
        <f>IFERROR(__xludf.DUMMYFUNCTION("""COMPUTED_VALUE"""),"Edlenne Cristina Pereira Rodrigues dos Santos
 | SEGUNDA LICENCIATURA EM PEDAGOGIA | Aprovado | Tais: PPS aprovadas")</f>
        <v>Edlenne Cristina Pereira Rodrigues dos Santos
 | SEGUNDA LICENCIATURA EM PEDAGOGIA | Aprovado | Tais: PPS aprovadas</v>
      </c>
      <c r="B4862" s="93"/>
    </row>
    <row r="4863">
      <c r="A4863" s="384" t="str">
        <f>IFERROR(__xludf.DUMMYFUNCTION("""COMPUTED_VALUE"""),"Petrônio Dias da Silva | FORMAÇÃO PEDAGÓGICA EM EDUCAÇÃO FÍSICA - 204M | Aprovado | Tais: PPs Aprovadas")</f>
        <v>Petrônio Dias da Silva | FORMAÇÃO PEDAGÓGICA EM EDUCAÇÃO FÍSICA - 204M | Aprovado | Tais: PPs Aprovadas</v>
      </c>
      <c r="B4863" s="93"/>
    </row>
    <row r="4864">
      <c r="A4864" s="384" t="str">
        <f>IFERROR(__xludf.DUMMYFUNCTION("""COMPUTED_VALUE"""),"Sabrina Ligneul Macedo de Victa | SEGUNDA LICENCIATURA EM MÚSICA - 2024 | Reprovada | Tais: Plágio de 100% nas PPs")</f>
        <v>Sabrina Ligneul Macedo de Victa | SEGUNDA LICENCIATURA EM MÚSICA - 2024 | Reprovada | Tais: Plágio de 100% nas PPs</v>
      </c>
      <c r="B4864" s="93"/>
    </row>
    <row r="4865">
      <c r="A4865" s="384" t="str">
        <f>IFERROR(__xludf.DUMMYFUNCTION("""COMPUTED_VALUE"""),"Daniela Souza de Oliveira | PÓS-GRADUAÇÃO EM NEUROPSICOPEDAGOGIA INSTITUCIONAL, CLÍNICA E HOSPITALAR - 96M | Reprovada | Tais: Não mandou os anexos obrigatórios que pede no guia. ")</f>
        <v>Daniela Souza de Oliveira | PÓS-GRADUAÇÃO EM NEUROPSICOPEDAGOGIA INSTITUCIONAL, CLÍNICA E HOSPITALAR - 96M | Reprovada | Tais: Não mandou os anexos obrigatórios que pede no guia. </v>
      </c>
      <c r="B4865" s="93"/>
    </row>
    <row r="4866">
      <c r="A4866" s="384" t="str">
        <f>IFERROR(__xludf.DUMMYFUNCTION("""COMPUTED_VALUE"""),"Clodoaldo Bezerra da Silva | 2'LICENCIATURA EM MÚSICA | Aprovado | Tais: PPS aprovadas")</f>
        <v>Clodoaldo Bezerra da Silva | 2'LICENCIATURA EM MÚSICA | Aprovado | Tais: PPS aprovadas</v>
      </c>
      <c r="B4866" s="93"/>
    </row>
    <row r="4867">
      <c r="A4867" s="384" t="str">
        <f>IFERROR(__xludf.DUMMYFUNCTION("""COMPUTED_VALUE"""),"Tiago da Costa Santos  | #SLMF - Segunda Licenciatura em Música 1320Horas | Aprovado | Tais: PPS aprovadas")</f>
        <v>Tiago da Costa Santos  | #SLMF - Segunda Licenciatura em Música 1320Horas | Aprovado | Tais: PPS aprovadas</v>
      </c>
      <c r="B4867" s="93"/>
    </row>
    <row r="4868">
      <c r="A4868" s="384" t="str">
        <f>IFERROR(__xludf.DUMMYFUNCTION("""COMPUTED_VALUE"""),"Zoraia de Jesus Pereira dos Santos | #SLUEE - SEGUNDA LICENCIATURA EM EDUCAÇÃO ESPECIAL | Aprovado | Tais: PPS aprovadas")</f>
        <v>Zoraia de Jesus Pereira dos Santos | #SLUEE - SEGUNDA LICENCIATURA EM EDUCAÇÃO ESPECIAL | Aprovado | Tais: PPS aprovadas</v>
      </c>
      <c r="B4868" s="93"/>
    </row>
    <row r="4869">
      <c r="A4869" s="384" t="str">
        <f>IFERROR(__xludf.DUMMYFUNCTION("""COMPUTED_VALUE"""),"Robson Rodrigues de Siqueira | Segunda Licenciatura em Música | Aprovado | Tais: PPS aprovadas")</f>
        <v>Robson Rodrigues de Siqueira | Segunda Licenciatura em Música | Aprovado | Tais: PPS aprovadas</v>
      </c>
      <c r="B4869" s="93"/>
    </row>
    <row r="4870">
      <c r="A4870" s="384" t="str">
        <f>IFERROR(__xludf.DUMMYFUNCTION("""COMPUTED_VALUE"""),"Lúcia Margareth Bezerra | Formação Pedagógica em Letras | Em analise | Tais: PPS aprovadas")</f>
        <v>Lúcia Margareth Bezerra | Formação Pedagógica em Letras | Em analise | Tais: PPS aprovadas</v>
      </c>
      <c r="B4870" s="93"/>
    </row>
    <row r="4871">
      <c r="A4871" s="384" t="str">
        <f>IFERROR(__xludf.DUMMYFUNCTION("""COMPUTED_VALUE"""),"Davyson Vieira de Oliveira | SEGUNDA LICENCIATURA EM LETRAS INGLÊS - 282M | Aprovado | Tais: PPII aprovada")</f>
        <v>Davyson Vieira de Oliveira | SEGUNDA LICENCIATURA EM LETRAS INGLÊS - 282M | Aprovado | Tais: PPII aprovada</v>
      </c>
      <c r="B4871" s="93"/>
    </row>
    <row r="4872">
      <c r="A4872" s="384" t="str">
        <f>IFERROR(__xludf.DUMMYFUNCTION("""COMPUTED_VALUE"""),"Nadja Jeane MS | PÓS-GRADUAÇÃO EM PSICANÁLISE | Em analise | Tais: TCC aprovado")</f>
        <v>Nadja Jeane MS | PÓS-GRADUAÇÃO EM PSICANÁLISE | Em analise | Tais: TCC aprovado</v>
      </c>
      <c r="B4872" s="93"/>
    </row>
    <row r="4873">
      <c r="A4873" s="384" t="str">
        <f>IFERROR(__xludf.DUMMYFUNCTION("""COMPUTED_VALUE"""),"Ediana dos Santos Ramos | SEGUNDA LICENCIATURA EM LETRAS | Aprovado | Tais: PPs aprovadas")</f>
        <v>Ediana dos Santos Ramos | SEGUNDA LICENCIATURA EM LETRAS | Aprovado | Tais: PPs aprovadas</v>
      </c>
      <c r="B4873" s="93"/>
    </row>
    <row r="4874">
      <c r="A4874" s="384" t="str">
        <f>IFERROR(__xludf.DUMMYFUNCTION("""COMPUTED_VALUE"""),"SAULO MACIEL DA SILVA | FORMAÇÃO PEDAGÓGICA EM EDUCAÇÃO FÍSICA | Em análise | Tais: Pré aprovado, falta análise completa")</f>
        <v>SAULO MACIEL DA SILVA | FORMAÇÃO PEDAGÓGICA EM EDUCAÇÃO FÍSICA | Em análise | Tais: Pré aprovado, falta análise completa</v>
      </c>
      <c r="B4874" s="93"/>
    </row>
    <row r="4875">
      <c r="A4875" s="384" t="str">
        <f>IFERROR(__xludf.DUMMYFUNCTION("""COMPUTED_VALUE"""),"Jhonathan Antonny de Sousa Santos Machado | Segunda Licenciatura em pedagogia | Aprovado | Tais: PPS aprovadas")</f>
        <v>Jhonathan Antonny de Sousa Santos Machado | Segunda Licenciatura em pedagogia | Aprovado | Tais: PPS aprovadas</v>
      </c>
      <c r="B4875" s="93"/>
    </row>
    <row r="4876">
      <c r="A4876" s="384" t="str">
        <f>IFERROR(__xludf.DUMMYFUNCTION("""COMPUTED_VALUE"""),"Soraia Maria Batista Andrade de Sousa | Segunda Licenciatura em Ciências da Religião | Reprovada | Tais Falta carta de apresentação e entrevista feita a caneta.")</f>
        <v>Soraia Maria Batista Andrade de Sousa | Segunda Licenciatura em Ciências da Religião | Reprovada | Tais Falta carta de apresentação e entrevista feita a caneta.</v>
      </c>
      <c r="B4876" s="93"/>
    </row>
    <row r="4877">
      <c r="A4877" s="384" t="str">
        <f>IFERROR(__xludf.DUMMYFUNCTION("""COMPUTED_VALUE"""),"Pollyanna Esteves da Cruz Marques | FORMAÇÃO PEDAGÓGICA EM PEDAGOGIA | Aprovada | Tais: PPs aprovadas - Sinalizada no e-mail em 25/06/2025")</f>
        <v>Pollyanna Esteves da Cruz Marques | FORMAÇÃO PEDAGÓGICA EM PEDAGOGIA | Aprovada | Tais: PPs aprovadas - Sinalizada no e-mail em 25/06/2025</v>
      </c>
      <c r="B4877" s="93"/>
    </row>
    <row r="4878">
      <c r="A4878" s="384" t="str">
        <f>IFERROR(__xludf.DUMMYFUNCTION("""COMPUTED_VALUE"""),"Saulo Maciel da Silva  | Formação Pedagógica em Educação Física | Pré aprovado | Tais: PPs pré aprovadas, falta analise completa")</f>
        <v>Saulo Maciel da Silva  | Formação Pedagógica em Educação Física | Pré aprovado | Tais: PPs pré aprovadas, falta analise completa</v>
      </c>
      <c r="B4878" s="93"/>
    </row>
    <row r="4879">
      <c r="A4879" s="384" t="str">
        <f>IFERROR(__xludf.DUMMYFUNCTION("""COMPUTED_VALUE"""),"Vilma da Cruz | 2ª licenciatura em Pedagogia | Aprovada | Tais: PPs aprovadas via email no dia 21 de maio de 2025")</f>
        <v>Vilma da Cruz | 2ª licenciatura em Pedagogia | Aprovada | Tais: PPs aprovadas via email no dia 21 de maio de 2025</v>
      </c>
      <c r="B4879" s="93"/>
    </row>
    <row r="4880">
      <c r="A4880" s="384" t="str">
        <f>IFERROR(__xludf.DUMMYFUNCTION("""COMPUTED_VALUE"""),"Helena Maria Borges do Nascimento | SEGUNDA LICENCIATURA EM SOCIOLOGIA (34) | Em analise | Tais: Falta carta de apresentação;")</f>
        <v>Helena Maria Borges do Nascimento | SEGUNDA LICENCIATURA EM SOCIOLOGIA (34) | Em analise | Tais: Falta carta de apresentação;</v>
      </c>
      <c r="B4880" s="93"/>
    </row>
    <row r="4881">
      <c r="A4881" s="384" t="str">
        <f>IFERROR(__xludf.DUMMYFUNCTION("""COMPUTED_VALUE"""),"Suzana Moura da Silva Torres | SEGUNDA LICENCIATURA EM LETRAS PORTUGUÊS - INGLÊS (454) | Pré aprovado | Tais: PPs pré aprovadas, falta analise completa")</f>
        <v>Suzana Moura da Silva Torres | SEGUNDA LICENCIATURA EM LETRAS PORTUGUÊS - INGLÊS (454) | Pré aprovado | Tais: PPs pré aprovadas, falta analise completa</v>
      </c>
      <c r="B4881" s="93"/>
    </row>
    <row r="4882">
      <c r="A4882" s="384" t="str">
        <f>IFERROR(__xludf.DUMMYFUNCTION("""COMPUTED_VALUE"""),"Rosimeyre Soares Neiva | #SLUPI - SEGUNDA LICENCIATURA EM LETRAS – PORTUGUÊS E INGLÊS | Pré aprovado | Tais: PPs pré aprovadas, falta analise completa")</f>
        <v>Rosimeyre Soares Neiva | #SLUPI - SEGUNDA LICENCIATURA EM LETRAS – PORTUGUÊS E INGLÊS | Pré aprovado | Tais: PPs pré aprovadas, falta analise completa</v>
      </c>
      <c r="B4882" s="93"/>
    </row>
    <row r="4883">
      <c r="A4883" s="384" t="str">
        <f>IFERROR(__xludf.DUMMYFUNCTION("""COMPUTED_VALUE"""),"Flaviana dos Santos Silva | SEGUNDA LICENCIATURA EM PEDAGOGIA - 139M (fppuaformacaopedagogicapedagogia1000horas139m) | Aprovado | Tais: PPs aprovadas")</f>
        <v>Flaviana dos Santos Silva | SEGUNDA LICENCIATURA EM PEDAGOGIA - 139M (fppuaformacaopedagogicapedagogia1000horas139m) | Aprovado | Tais: PPs aprovadas</v>
      </c>
      <c r="B4883" s="93"/>
    </row>
    <row r="4884">
      <c r="A4884" s="384" t="str">
        <f>IFERROR(__xludf.DUMMYFUNCTION("""COMPUTED_VALUE"""),"Nivaldo Lisboa da Silva | SEGUNDA LICENCIATURA EM EDUCAÇÃO ESPECIAL | Pré aprovado | Tais: PPs pré aprovadas, falta analise completa")</f>
        <v>Nivaldo Lisboa da Silva | SEGUNDA LICENCIATURA EM EDUCAÇÃO ESPECIAL | Pré aprovado | Tais: PPs pré aprovadas, falta analise completa</v>
      </c>
      <c r="B4884" s="93"/>
    </row>
    <row r="4885">
      <c r="A4885" s="384" t="str">
        <f>IFERROR(__xludf.DUMMYFUNCTION("""COMPUTED_VALUE"""),"Alvacy Moreira Pinheiro | SEGUNDA LICENCIATURA EM EDUCAÇÃO ESPECIAL | Pré aprovado | Tais: PPs pré aprovadas, falta analise completa")</f>
        <v>Alvacy Moreira Pinheiro | SEGUNDA LICENCIATURA EM EDUCAÇÃO ESPECIAL | Pré aprovado | Tais: PPs pré aprovadas, falta analise completa</v>
      </c>
      <c r="B4885" s="93"/>
    </row>
    <row r="4886">
      <c r="A4886" s="384" t="str">
        <f>IFERROR(__xludf.DUMMYFUNCTION("""COMPUTED_VALUE"""),"Fábio Zanussi Mortol | #FPMF- Formação Pedagógica em Música 1200Horas | Em analise  | Tais: PRé aprovado na PPI, falta enviar a PPII")</f>
        <v>Fábio Zanussi Mortol | #FPMF- Formação Pedagógica em Música 1200Horas | Em analise  | Tais: PRé aprovado na PPI, falta enviar a PPII</v>
      </c>
      <c r="B4886" s="93"/>
    </row>
    <row r="4887">
      <c r="A4887" s="384" t="str">
        <f>IFERROR(__xludf.DUMMYFUNCTION("""COMPUTED_VALUE"""),"Caroline Voigt | Segunda Licenciatura em Música - 2024 | Pré aprovado | Tais: PPs pré aprovadas, falta analise completa")</f>
        <v>Caroline Voigt | Segunda Licenciatura em Música - 2024 | Pré aprovado | Tais: PPs pré aprovadas, falta analise completa</v>
      </c>
      <c r="B4887" s="93"/>
    </row>
    <row r="4888">
      <c r="A4888" s="384" t="str">
        <f>IFERROR(__xludf.DUMMYFUNCTION("""COMPUTED_VALUE""")," Maria José da Silva Duarte | SEGUNDA LICENCIATURA EM ARTES VISUAIS | Em analise  | Tais: Falta carta de apresentação, falta analise financeira e documentos.")</f>
        <v> Maria José da Silva Duarte | SEGUNDA LICENCIATURA EM ARTES VISUAIS | Em analise  | Tais: Falta carta de apresentação, falta analise financeira e documentos.</v>
      </c>
      <c r="B4888" s="93"/>
    </row>
    <row r="4889">
      <c r="A4889" s="384" t="str">
        <f>IFERROR(__xludf.DUMMYFUNCTION("""COMPUTED_VALUE"""),"Rosani Gonçalves | SEGUNDA LICENCIATURA EM ARTES VISUAIS - 47M | Em analise | Tais: TCC não tem o quantitativo de paginas ")</f>
        <v>Rosani Gonçalves | SEGUNDA LICENCIATURA EM ARTES VISUAIS - 47M | Em analise | Tais: TCC não tem o quantitativo de paginas </v>
      </c>
      <c r="B4889" s="93"/>
    </row>
    <row r="4890">
      <c r="A4890" s="384" t="str">
        <f>IFERROR(__xludf.DUMMYFUNCTION("""COMPUTED_VALUE"""),"Kelly Mastrogiovanni | Pós-Graduação em Psicanálise | Pré aprovada | Tais: PPs pré aprovadas, falta analise completa")</f>
        <v>Kelly Mastrogiovanni | Pós-Graduação em Psicanálise | Pré aprovada | Tais: PPs pré aprovadas, falta analise completa</v>
      </c>
      <c r="B4890" s="93"/>
    </row>
    <row r="4891">
      <c r="A4891" s="384" t="str">
        <f>IFERROR(__xludf.DUMMYFUNCTION("""COMPUTED_VALUE"""),"Francieli de Freitas Silva | SEGUNDA LICENCIATURA EM PEDAGOGIA - 37M (segunda-licenciatura-pedagogia-migracao) | Pré aprovado | Tais: PPs pré aprovadas, falta analise completa")</f>
        <v>Francieli de Freitas Silva | SEGUNDA LICENCIATURA EM PEDAGOGIA - 37M (segunda-licenciatura-pedagogia-migracao) | Pré aprovado | Tais: PPs pré aprovadas, falta analise completa</v>
      </c>
      <c r="B4891" s="93"/>
    </row>
    <row r="4892">
      <c r="A4892" s="384" t="str">
        <f>IFERROR(__xludf.DUMMYFUNCTION("""COMPUTED_VALUE"""),"Wamberson Adelino | Segunda Licenciatura em Música 2022 - 880 Horas | Aprovado | Tais: PPs Aprovadas")</f>
        <v>Wamberson Adelino | Segunda Licenciatura em Música 2022 - 880 Horas | Aprovado | Tais: PPs Aprovadas</v>
      </c>
      <c r="B4892" s="93"/>
    </row>
    <row r="4893">
      <c r="A4893" s="384" t="str">
        <f>IFERROR(__xludf.DUMMYFUNCTION("""COMPUTED_VALUE"""),"Wamberson Adelino | Segunda Licenciatura em Música 2022 - 880 Horas | Aprovado | Tais: TCC Aprovadas")</f>
        <v>Wamberson Adelino | Segunda Licenciatura em Música 2022 - 880 Horas | Aprovado | Tais: TCC Aprovadas</v>
      </c>
      <c r="B4893" s="93"/>
    </row>
    <row r="4894">
      <c r="A4894" s="384" t="str">
        <f>IFERROR(__xludf.DUMMYFUNCTION("""COMPUTED_VALUE"""),"Jesmey Bruno Pereira | Formação Pedagógica em Música 2022 | Em analise | Tais: Nenhum documentos do estagio de 400h preenchido e assinado (Aguardando analise documentos e disciplinas)&gt;")</f>
        <v>Jesmey Bruno Pereira | Formação Pedagógica em Música 2022 | Em analise | Tais: Nenhum documentos do estagio de 400h preenchido e assinado (Aguardando analise documentos e disciplinas)&gt;</v>
      </c>
      <c r="B4894" s="93"/>
    </row>
    <row r="4895">
      <c r="A4895" s="384" t="str">
        <f>IFERROR(__xludf.DUMMYFUNCTION("""COMPUTED_VALUE"""),"Ulsthayley Wandherson Benjamin | FORMAÇÃO PEDAGÓGICA EM EDUCAÇÃO FÍSICA - 71M | Aprovado | Tais: PPs Aprovadas")</f>
        <v>Ulsthayley Wandherson Benjamin | FORMAÇÃO PEDAGÓGICA EM EDUCAÇÃO FÍSICA - 71M | Aprovado | Tais: PPs Aprovadas</v>
      </c>
      <c r="B4895" s="93"/>
    </row>
    <row r="4896">
      <c r="A4896" s="384" t="str">
        <f>IFERROR(__xludf.DUMMYFUNCTION("""COMPUTED_VALUE"""),"Nivaldo Lisboa da Silva | SEGUNDA LICENCIATURA EM EDUCAÇÃO ESPECIAL | Aprovado | Tais: PPs Aprovadas")</f>
        <v>Nivaldo Lisboa da Silva | SEGUNDA LICENCIATURA EM EDUCAÇÃO ESPECIAL | Aprovado | Tais: PPs Aprovadas</v>
      </c>
      <c r="B4896" s="93"/>
    </row>
    <row r="4897">
      <c r="A4897" s="384" t="str">
        <f>IFERROR(__xludf.DUMMYFUNCTION("""COMPUTED_VALUE"""),"Ezequiel Teixeira Cruz |  Formação Pedagógica em Música 1200Horas | Pré aprovado | Tais: PPs pré aprovadas, falta analise completa")</f>
        <v>Ezequiel Teixeira Cruz |  Formação Pedagógica em Música 1200Horas | Pré aprovado | Tais: PPs pré aprovadas, falta analise completa</v>
      </c>
      <c r="B4897" s="93"/>
    </row>
    <row r="4898">
      <c r="A4898" s="384" t="str">
        <f>IFERROR(__xludf.DUMMYFUNCTION("""COMPUTED_VALUE"""),"Diógenes de Oliveira Costa | Segunda Licenciatura em Letras Inglês 760 Horas
 | Em analise | Tais: Ficha de registro sem assinatura, termo de conclusão não está autenticado e precisa completar com 36 horas de gestão as fichas de registro.")</f>
        <v>Diógenes de Oliveira Costa | Segunda Licenciatura em Letras Inglês 760 Horas
 | Em analise | Tais: Ficha de registro sem assinatura, termo de conclusão não está autenticado e precisa completar com 36 horas de gestão as fichas de registro.</v>
      </c>
      <c r="B4898" s="93"/>
    </row>
    <row r="4899">
      <c r="A4899" s="384" t="str">
        <f>IFERROR(__xludf.DUMMYFUNCTION("""COMPUTED_VALUE"""),"Vilson Inácio Reis | SEGUNDA LICENCIATURA EM MÚSICA - 52M | Pré aprovado | Tais: PPs pré aprovadas, falta analise completa")</f>
        <v>Vilson Inácio Reis | SEGUNDA LICENCIATURA EM MÚSICA - 52M | Pré aprovado | Tais: PPs pré aprovadas, falta analise completa</v>
      </c>
      <c r="B4899" s="93"/>
    </row>
    <row r="4900">
      <c r="A4900" s="384" t="str">
        <f>IFERROR(__xludf.DUMMYFUNCTION("""COMPUTED_VALUE"""),"Ludymilla Aparecida Mendes Ribeiro | SEGUNDA LICENCIATURA EM EDUCAÇÃO ESPECIAL | Em analise | Tais: Falta carta de apresentação, e dissertação sobre a BNCC")</f>
        <v>Ludymilla Aparecida Mendes Ribeiro | SEGUNDA LICENCIATURA EM EDUCAÇÃO ESPECIAL | Em analise | Tais: Falta carta de apresentação, e dissertação sobre a BNCC</v>
      </c>
      <c r="B4900" s="93"/>
    </row>
    <row r="4901">
      <c r="A4901" s="384" t="str">
        <f>IFERROR(__xludf.DUMMYFUNCTION("""COMPUTED_VALUE"""),"Francisca Maria Cunha Viana | Segunda Licenciatura em Artes Visuais | Em analise  | Tais: TCC pré aprovado, aguardando regularizar documentos para formalizar. ")</f>
        <v>Francisca Maria Cunha Viana | Segunda Licenciatura em Artes Visuais | Em analise  | Tais: TCC pré aprovado, aguardando regularizar documentos para formalizar. </v>
      </c>
      <c r="B4901" s="93"/>
    </row>
    <row r="4902">
      <c r="A4902" s="384" t="str">
        <f>IFERROR(__xludf.DUMMYFUNCTION("""COMPUTED_VALUE"""),"Francisca Maria Cunha Viana | Segunda Licenciatura em Matemática | Em analise  | Tais: TCC pré aprovado, aguardando regularizar documentos para formalizar. ")</f>
        <v>Francisca Maria Cunha Viana | Segunda Licenciatura em Matemática | Em analise  | Tais: TCC pré aprovado, aguardando regularizar documentos para formalizar. </v>
      </c>
      <c r="B4902" s="93"/>
    </row>
    <row r="4903">
      <c r="A4903" s="384" t="str">
        <f>IFERROR(__xludf.DUMMYFUNCTION("""COMPUTED_VALUE"""),"Rodrigo dos Santos Dutra | SEGUNDA LICENCIATURA EM ARTES VISUAIS (38) | Em analise  | Tais: PPI pré aprovada, falta enviar PPII. Aguardando analise completa")</f>
        <v>Rodrigo dos Santos Dutra | SEGUNDA LICENCIATURA EM ARTES VISUAIS (38) | Em analise  | Tais: PPI pré aprovada, falta enviar PPII. Aguardando analise completa</v>
      </c>
      <c r="B4903" s="93"/>
    </row>
    <row r="4904">
      <c r="A4904" s="384" t="str">
        <f>IFERROR(__xludf.DUMMYFUNCTION("""COMPUTED_VALUE"""),"Giovana Cristiane dos Santos Ferreira | Pós-Graduação em Neuropsicopedagogia Institucional, Clínica e Hospitalar 850h | PPs pré aprovadas | Tais: Estágio pré aprovado")</f>
        <v>Giovana Cristiane dos Santos Ferreira | Pós-Graduação em Neuropsicopedagogia Institucional, Clínica e Hospitalar 850h | PPs pré aprovadas | Tais: Estágio pré aprovado</v>
      </c>
      <c r="B4904" s="93"/>
    </row>
    <row r="4905">
      <c r="A4905" s="384" t="str">
        <f>IFERROR(__xludf.DUMMYFUNCTION("""COMPUTED_VALUE"""),"Ailton Ricardo Gomes | SEGUNDA LICENCIATURA EM LETRAS PORTUGUÊS - INGLÊS (454) | Em análise | Tais: PPs pré aprovadas, ainda não tem 6 meses de curso. ")</f>
        <v>Ailton Ricardo Gomes | SEGUNDA LICENCIATURA EM LETRAS PORTUGUÊS - INGLÊS (454) | Em análise | Tais: PPs pré aprovadas, ainda não tem 6 meses de curso. </v>
      </c>
      <c r="B4905" s="93"/>
    </row>
    <row r="4906">
      <c r="A4906" s="384" t="str">
        <f>IFERROR(__xludf.DUMMYFUNCTION("""COMPUTED_VALUE"""),"Breno Sozinho Pinheiro | SEGUNDA LICENCIATURA EM PEDAGOGIA - 139M | Aprovado | Tais: PPS aprovadas.")</f>
        <v>Breno Sozinho Pinheiro | SEGUNDA LICENCIATURA EM PEDAGOGIA - 139M | Aprovado | Tais: PPS aprovadas.</v>
      </c>
      <c r="B4906" s="93"/>
    </row>
    <row r="4907">
      <c r="A4907" s="384" t="str">
        <f>IFERROR(__xludf.DUMMYFUNCTION("""COMPUTED_VALUE"""),"Laís Natália Nogueira Pedrosa | #SLMF - Segunda Licenciatura em Música 1320Horas | Aprovado | Tais: PPs aprovadas")</f>
        <v>Laís Natália Nogueira Pedrosa | #SLMF - Segunda Licenciatura em Música 1320Horas | Aprovado | Tais: PPs aprovadas</v>
      </c>
      <c r="B4907" s="93"/>
    </row>
    <row r="4908">
      <c r="A4908" s="384" t="str">
        <f>IFERROR(__xludf.DUMMYFUNCTION("""COMPUTED_VALUE"""),"Iara Lázara Batista de Souza | SEGUNDA LICENCIATURA EM PEDAGOGIA - 37M | Aprovado | Tais: PPs Aprovadas")</f>
        <v>Iara Lázara Batista de Souza | SEGUNDA LICENCIATURA EM PEDAGOGIA - 37M | Aprovado | Tais: PPs Aprovadas</v>
      </c>
      <c r="B4908" s="93"/>
    </row>
    <row r="4909">
      <c r="A4909" s="384" t="str">
        <f>IFERROR(__xludf.DUMMYFUNCTION("""COMPUTED_VALUE"""),"Maione Vieira Teixeira Souza | SEGUNDA LICENCIATURA EM EDUCAÇÃO ESPECIAL - 162M (segundalicenciaturaemeducacaoespecial162m) | Pré aprovado | Tais: PPs pré aprovadas, falta analise completa")</f>
        <v>Maione Vieira Teixeira Souza | SEGUNDA LICENCIATURA EM EDUCAÇÃO ESPECIAL - 162M (segundalicenciaturaemeducacaoespecial162m) | Pré aprovado | Tais: PPs pré aprovadas, falta analise completa</v>
      </c>
      <c r="B4909" s="93"/>
    </row>
    <row r="4910">
      <c r="A4910" s="384" t="str">
        <f>IFERROR(__xludf.DUMMYFUNCTION("""COMPUTED_VALUE"""),"Janaína Marchioretto Mella | SEGUNDA LICENCIATURA EM LETRAS PORTUGUÊS - ESPANHOL (456) | Aprovada Rec 2 | Tais: PPI ok, falta carta de apresentação.")</f>
        <v>Janaína Marchioretto Mella | SEGUNDA LICENCIATURA EM LETRAS PORTUGUÊS - ESPANHOL (456) | Aprovada Rec 2 | Tais: PPI ok, falta carta de apresentação.</v>
      </c>
      <c r="B4910" s="93"/>
    </row>
    <row r="4911">
      <c r="A4911" s="384" t="str">
        <f>IFERROR(__xludf.DUMMYFUNCTION("""COMPUTED_VALUE"""),"Glauber Lúcio Alves Santiago | #FPMF- Formação Pedagógica em Música 1200Horas | Pré Aprovado | Tais: PPS pré aprovadas - Sinalizado a aprovação no e-mail em 05/06/2025")</f>
        <v>Glauber Lúcio Alves Santiago | #FPMF- Formação Pedagógica em Música 1200Horas | Pré Aprovado | Tais: PPS pré aprovadas - Sinalizado a aprovação no e-mail em 05/06/2025</v>
      </c>
      <c r="B4911" s="93"/>
    </row>
    <row r="4912">
      <c r="A4912" s="384" t="str">
        <f>IFERROR(__xludf.DUMMYFUNCTION("""COMPUTED_VALUE"""),"JONATHAN FELIPE BRESSAN | FORMAÇÃO PEDAGÓGICA EM EDUCAÇÃO FÍSICA | Pré aprovado | Tais: PPS pré aprovadas (aguardando analise completa) &gt;&gt; Sinalizado aprovação em 06/06/2025 via e-mail")</f>
        <v>JONATHAN FELIPE BRESSAN | FORMAÇÃO PEDAGÓGICA EM EDUCAÇÃO FÍSICA | Pré aprovado | Tais: PPS pré aprovadas (aguardando analise completa) &gt;&gt; Sinalizado aprovação em 06/06/2025 via e-mail</v>
      </c>
      <c r="B4912" s="93"/>
    </row>
    <row r="4913">
      <c r="A4913" s="384" t="str">
        <f>IFERROR(__xludf.DUMMYFUNCTION("""COMPUTED_VALUE"""),"Jose Deilson Moreira da Silva | FORMAÇÃO PEDAGÓGICA EM EDUCAÇÃO ESPECIAL. | Em analise | Tais: PPII ok, falta envio da PPI aguardando analise completa")</f>
        <v>Jose Deilson Moreira da Silva | FORMAÇÃO PEDAGÓGICA EM EDUCAÇÃO ESPECIAL. | Em analise | Tais: PPII ok, falta envio da PPI aguardando analise completa</v>
      </c>
      <c r="B4913" s="93"/>
    </row>
    <row r="4914">
      <c r="A4914" s="384" t="str">
        <f>IFERROR(__xludf.DUMMYFUNCTION("""COMPUTED_VALUE"""),"Rua Rosa Neiva | SEGUNDA LICENCIATURA EM PEDAGOGIA (segunda-licenciatura-em-pedagogia) | Pré aprovado | Tais: PPS pré aprovadas (aguardando analise completa)")</f>
        <v>Rua Rosa Neiva | SEGUNDA LICENCIATURA EM PEDAGOGIA (segunda-licenciatura-em-pedagogia) | Pré aprovado | Tais: PPS pré aprovadas (aguardando analise completa)</v>
      </c>
      <c r="B4914" s="93"/>
    </row>
    <row r="4915">
      <c r="A4915" s="384" t="str">
        <f>IFERROR(__xludf.DUMMYFUNCTION("""COMPUTED_VALUE"""),"Suellen Mendes Lamarão dos Santos | SEGUNDA LICENCIATURA EM LETRAS PORTUGUÊS - INGLÊS (454) | Reprovado | Tais: Carta de apresentação sem assinatura")</f>
        <v>Suellen Mendes Lamarão dos Santos | SEGUNDA LICENCIATURA EM LETRAS PORTUGUÊS - INGLÊS (454) | Reprovado | Tais: Carta de apresentação sem assinatura</v>
      </c>
      <c r="B4915" s="93"/>
    </row>
    <row r="4916">
      <c r="A4916" s="384" t="str">
        <f>IFERROR(__xludf.DUMMYFUNCTION("""COMPUTED_VALUE"""),"Gabriela Aguiar Seole | SEGUNDA LICENCIATURA EM LETRAS PORTUGUÊS - INGLÊS (454) | Aprovada | Tais: PPs Aprovadas")</f>
        <v>Gabriela Aguiar Seole | SEGUNDA LICENCIATURA EM LETRAS PORTUGUÊS - INGLÊS (454) | Aprovada | Tais: PPs Aprovadas</v>
      </c>
      <c r="B4916" s="93"/>
    </row>
    <row r="4917">
      <c r="A4917" s="384" t="str">
        <f>IFERROR(__xludf.DUMMYFUNCTION("""COMPUTED_VALUE"""),"Rafael de Oliveira Orlof | #SLUF- Segunda Licenciatura em Filosofia | Aprovada | Tais: PPs Aprovadas")</f>
        <v>Rafael de Oliveira Orlof | #SLUF- Segunda Licenciatura em Filosofia | Aprovada | Tais: PPs Aprovadas</v>
      </c>
      <c r="B4917" s="93"/>
    </row>
    <row r="4918">
      <c r="A4918" s="384" t="str">
        <f>IFERROR(__xludf.DUMMYFUNCTION("""COMPUTED_VALUE"""),"Jhonathan Antonny de Sousa Santos Machado | Segunda Licenciatura em pedagogia | Aprovado | Tais: TCC ")</f>
        <v>Jhonathan Antonny de Sousa Santos Machado | Segunda Licenciatura em pedagogia | Aprovado | Tais: TCC </v>
      </c>
      <c r="B4918" s="93"/>
    </row>
    <row r="4919">
      <c r="A4919" s="384" t="str">
        <f>IFERROR(__xludf.DUMMYFUNCTION("""COMPUTED_VALUE"""),"Flávio Teixeira de Melo | FORMAÇÃO PEDAGÓGICA EM MÚSICA - 53M | Aprovado | Tais: PPS aprovadas")</f>
        <v>Flávio Teixeira de Melo | FORMAÇÃO PEDAGÓGICA EM MÚSICA - 53M | Aprovado | Tais: PPS aprovadas</v>
      </c>
      <c r="B4919" s="93"/>
    </row>
    <row r="4920">
      <c r="A4920" s="384" t="str">
        <f>IFERROR(__xludf.DUMMYFUNCTION("""COMPUTED_VALUE"""),"Christianno Ikemiyashiro | #SLUEF - Segunda Licenciatura em Educação Física | Em analise | Tais: TCC pré aprovado, não mandou praticas pedagógicas")</f>
        <v>Christianno Ikemiyashiro | #SLUEF - Segunda Licenciatura em Educação Física | Em analise | Tais: TCC pré aprovado, não mandou praticas pedagógicas</v>
      </c>
      <c r="B4920" s="93"/>
    </row>
    <row r="4921">
      <c r="A4921" s="384" t="str">
        <f>IFERROR(__xludf.DUMMYFUNCTION("""COMPUTED_VALUE"""),"Bruna Raquel de Oliveira Castello Branco | Baicharel em Pedagogia | Aprovado | Tais: PPS aprovadas via email em 20 de maio")</f>
        <v>Bruna Raquel de Oliveira Castello Branco | Baicharel em Pedagogia | Aprovado | Tais: PPS aprovadas via email em 20 de maio</v>
      </c>
      <c r="B4921" s="93"/>
    </row>
    <row r="4922">
      <c r="A4922" s="384" t="str">
        <f>IFERROR(__xludf.DUMMYFUNCTION("""COMPUTED_VALUE"""),"Luana Ribeiro Matos Rosa | Segunda Licenciatura em Artes Visuais | Aprovado | Tais: Dispensada da realização de PPS.")</f>
        <v>Luana Ribeiro Matos Rosa | Segunda Licenciatura em Artes Visuais | Aprovado | Tais: Dispensada da realização de PPS.</v>
      </c>
      <c r="B4922" s="93"/>
    </row>
    <row r="4923">
      <c r="A4923" s="384" t="str">
        <f>IFERROR(__xludf.DUMMYFUNCTION("""COMPUTED_VALUE"""),"Ketlyn Aparecida Silva Mendes | PÓS-GRADUAÇÃO EM PSICOPEDAGOGIA CLÍNICA, INSTITUCIONAL E HOSPITALAR - 198M | Em analise | Tais: Formatação incorreta, terá que ajustar.")</f>
        <v>Ketlyn Aparecida Silva Mendes | PÓS-GRADUAÇÃO EM PSICOPEDAGOGIA CLÍNICA, INSTITUCIONAL E HOSPITALAR - 198M | Em analise | Tais: Formatação incorreta, terá que ajustar.</v>
      </c>
      <c r="B4923" s="93"/>
    </row>
    <row r="4924">
      <c r="A4924" s="384" t="str">
        <f>IFERROR(__xludf.DUMMYFUNCTION("""COMPUTED_VALUE"""),"Marlla Angélica dos Santos da Costa  | SEGUNDA LICENCIATURA HISTÓRIA  | Aprovado | Tais: PP I localizada e pré aprovada, falta a PPII (aluna sem análise) ")</f>
        <v>Marlla Angélica dos Santos da Costa  | SEGUNDA LICENCIATURA HISTÓRIA  | Aprovado | Tais: PP I localizada e pré aprovada, falta a PPII (aluna sem análise) </v>
      </c>
      <c r="B4924" s="93"/>
    </row>
    <row r="4925">
      <c r="A4925" s="384" t="str">
        <f>IFERROR(__xludf.DUMMYFUNCTION("""COMPUTED_VALUE"""),"Anilady Cris Godoi  | SEGUNDA LICENCIATURA HISTÓRIA | Aprovado | Tais: PPS localizadas, aguardando análise para formalização da aprovação. (pré aprovadas, PPs corretas)")</f>
        <v>Anilady Cris Godoi  | SEGUNDA LICENCIATURA HISTÓRIA | Aprovado | Tais: PPS localizadas, aguardando análise para formalização da aprovação. (pré aprovadas, PPs corretas)</v>
      </c>
      <c r="B4925" s="93"/>
    </row>
    <row r="4926">
      <c r="A4926" s="384" t="str">
        <f>IFERROR(__xludf.DUMMYFUNCTION("""COMPUTED_VALUE"""),"Valdice Querem Silva Freire | FORMAÇÃO PEDAGÓGICA EM MATEMÁTICA - 59M (formacaopedagogicaemmatematica59m) | Aprovado | Tais: PPS Aprovados via email no dia 22 de maio de 2025.")</f>
        <v>Valdice Querem Silva Freire | FORMAÇÃO PEDAGÓGICA EM MATEMÁTICA - 59M (formacaopedagogicaemmatematica59m) | Aprovado | Tais: PPS Aprovados via email no dia 22 de maio de 2025.</v>
      </c>
      <c r="B4926" s="93"/>
    </row>
    <row r="4927">
      <c r="A4927" s="384" t="str">
        <f>IFERROR(__xludf.DUMMYFUNCTION("""COMPUTED_VALUE"""),"Carlândia Alves da Silva  | SEGUNDA LICENCIATURA EM GEOGRAFIA | Aprovado | Tais: PPS Aprovados via email no dia 22 de maio de 2025.")</f>
        <v>Carlândia Alves da Silva  | SEGUNDA LICENCIATURA EM GEOGRAFIA | Aprovado | Tais: PPS Aprovados via email no dia 22 de maio de 2025.</v>
      </c>
      <c r="B4927" s="93"/>
    </row>
    <row r="4928">
      <c r="A4928" s="384" t="str">
        <f>IFERROR(__xludf.DUMMYFUNCTION("""COMPUTED_VALUE"""),"Ibraim Sales Magalhães Júnior | FORMAÇÃO PEDAGÓGICA EM PEDAGOGIA - 40M | Aprovado | Tais: PPS Aprovados via email no dia 22 de maio de 2025.")</f>
        <v>Ibraim Sales Magalhães Júnior | FORMAÇÃO PEDAGÓGICA EM PEDAGOGIA - 40M | Aprovado | Tais: PPS Aprovados via email no dia 22 de maio de 2025.</v>
      </c>
      <c r="B4928" s="93"/>
    </row>
    <row r="4929">
      <c r="A4929" s="384" t="str">
        <f>IFERROR(__xludf.DUMMYFUNCTION("""COMPUTED_VALUE"""),"Rafaela Macedo de Araújo | PÓS-GRADUAÇÃO EM NEUROPSICOLOGIA CLÍNICA - 80M (posgraduacaoemneuropsicologiaclinica) | Em analise | Tais: Aguardando analise para solicitar documentos obrigatorios")</f>
        <v>Rafaela Macedo de Araújo | PÓS-GRADUAÇÃO EM NEUROPSICOLOGIA CLÍNICA - 80M (posgraduacaoemneuropsicologiaclinica) | Em analise | Tais: Aguardando analise para solicitar documentos obrigatorios</v>
      </c>
      <c r="B4929" s="93"/>
    </row>
    <row r="4930">
      <c r="A4930" s="384" t="str">
        <f>IFERROR(__xludf.DUMMYFUNCTION("""COMPUTED_VALUE"""),"Eduardo Francisco Sobral da Silva | SEGUNDA LICENCIATURA EM HISTÓRIA - 143M | Aprovado | Tais: PPs Aprovadas em 23 de maio de 2025")</f>
        <v>Eduardo Francisco Sobral da Silva | SEGUNDA LICENCIATURA EM HISTÓRIA - 143M | Aprovado | Tais: PPs Aprovadas em 23 de maio de 2025</v>
      </c>
      <c r="B4930" s="93"/>
    </row>
    <row r="4931">
      <c r="A4931" s="384" t="str">
        <f>IFERROR(__xludf.DUMMYFUNCTION("""COMPUTED_VALUE"""),"IGOR TAVARES FARIAS COSTA | SEGUNDA LICENCIATURA EM PEDAGOGIA - 2024 | Aprovado | Tais: PPs Aprovadas em 23 de maio de 2025")</f>
        <v>IGOR TAVARES FARIAS COSTA | SEGUNDA LICENCIATURA EM PEDAGOGIA - 2024 | Aprovado | Tais: PPs Aprovadas em 23 de maio de 2025</v>
      </c>
      <c r="B4931" s="93"/>
    </row>
    <row r="4932">
      <c r="A4932" s="384" t="str">
        <f>IFERROR(__xludf.DUMMYFUNCTION("""COMPUTED_VALUE"""),"Eduarda Schütz |  FORMAÇÃO PEDAGÓGICA EM CIÊNCIAS DA RELIGIÃO | Aprovado | Tais: PPs Aprovadas em 23 de maio de 2025")</f>
        <v>Eduarda Schütz |  FORMAÇÃO PEDAGÓGICA EM CIÊNCIAS DA RELIGIÃO | Aprovado | Tais: PPs Aprovadas em 23 de maio de 2025</v>
      </c>
      <c r="B4932" s="93"/>
    </row>
    <row r="4933">
      <c r="A4933" s="384" t="str">
        <f>IFERROR(__xludf.DUMMYFUNCTION("""COMPUTED_VALUE"""),"Nara Elizama Machado da Silveira Rodrigues	 | FORMAÇÃO PEDAGÓGICA EM PEDAGOGIA | Aprovado | Tais: PPs aprovadas via email ")</f>
        <v>Nara Elizama Machado da Silveira Rodrigues	 | FORMAÇÃO PEDAGÓGICA EM PEDAGOGIA | Aprovado | Tais: PPs aprovadas via email </v>
      </c>
      <c r="B4933" s="93"/>
    </row>
    <row r="4934">
      <c r="A4934" s="384" t="str">
        <f>IFERROR(__xludf.DUMMYFUNCTION("""COMPUTED_VALUE"""),"Júnio César Oliveira Martins | SEGUNDA LICENCIATURA EM PEDAGOGIA - 37M | Aprovado | Tais: PPs Aprovadas em 26 de maio de 2025 via email")</f>
        <v>Júnio César Oliveira Martins | SEGUNDA LICENCIATURA EM PEDAGOGIA - 37M | Aprovado | Tais: PPs Aprovadas em 26 de maio de 2025 via email</v>
      </c>
      <c r="B4934" s="93"/>
    </row>
    <row r="4935">
      <c r="A4935" s="384" t="str">
        <f>IFERROR(__xludf.DUMMYFUNCTION("""COMPUTED_VALUE"""),"Carla de Cássia Vieira Socca | Segunda Licenciatura em Artes Visuais | Em analise | Tais: PPI com plagio de 70%, e PPII ok , falta documentação")</f>
        <v>Carla de Cássia Vieira Socca | Segunda Licenciatura em Artes Visuais | Em analise | Tais: PPI com plagio de 70%, e PPII ok , falta documentação</v>
      </c>
      <c r="B4935" s="93"/>
    </row>
    <row r="4936">
      <c r="A4936" s="384" t="str">
        <f>IFERROR(__xludf.DUMMYFUNCTION("""COMPUTED_VALUE"""),"Gilberto Cássio Cesário da Silva
 | Segunda Licenciatura em Música - 1320 Horas | Aprovado | Tais: PPs Aprovadas em 26 de maio de 2025 via email")</f>
        <v>Gilberto Cássio Cesário da Silva
 | Segunda Licenciatura em Música - 1320 Horas | Aprovado | Tais: PPs Aprovadas em 26 de maio de 2025 via email</v>
      </c>
      <c r="B4936" s="93"/>
    </row>
    <row r="4937">
      <c r="A4937" s="384" t="str">
        <f>IFERROR(__xludf.DUMMYFUNCTION("""COMPUTED_VALUE"""),"Nivaldo dos Santos Pereira Júnior  | Segunda Licenciatura em Música | Pré aprovada | Tais: PPS pré aprovadas, falta regularizar pendencias.")</f>
        <v>Nivaldo dos Santos Pereira Júnior  | Segunda Licenciatura em Música | Pré aprovada | Tais: PPS pré aprovadas, falta regularizar pendencias.</v>
      </c>
      <c r="B4937" s="93"/>
    </row>
    <row r="4938">
      <c r="A4938" s="384" t="str">
        <f>IFERROR(__xludf.DUMMYFUNCTION("""COMPUTED_VALUE"""),"Flávio Luiz Souza dos Santos | SEGUNDA LICENCIATURA EM MÚSICA - 154M | Em analise | Tais: PPI reprovado, não tem 4 laudas de dissertação e falta a PPII, falta documentação")</f>
        <v>Flávio Luiz Souza dos Santos | SEGUNDA LICENCIATURA EM MÚSICA - 154M | Em analise | Tais: PPI reprovado, não tem 4 laudas de dissertação e falta a PPII, falta documentação</v>
      </c>
      <c r="B4938" s="93"/>
    </row>
    <row r="4939">
      <c r="A4939" s="384" t="str">
        <f>IFERROR(__xludf.DUMMYFUNCTION("""COMPUTED_VALUE"""),"Júnio César Oliveira Martins | SEGUNDA LICENCIATURA EM PEDAGOGIA - 37M | Aprovado | Tais: TCC Aprovado em 27 de maio de 2025 via email")</f>
        <v>Júnio César Oliveira Martins | SEGUNDA LICENCIATURA EM PEDAGOGIA - 37M | Aprovado | Tais: TCC Aprovado em 27 de maio de 2025 via email</v>
      </c>
      <c r="B4939" s="93"/>
    </row>
    <row r="4940">
      <c r="A4940" s="384" t="str">
        <f>IFERROR(__xludf.DUMMYFUNCTION("""COMPUTED_VALUE"""),"João Pedro amorim de oliveira araujo | #FPM+ Formação Pedagógica em Matemática-760 Horas | Em analise | Tais: PPI ok, falta enviar a PPII.")</f>
        <v>João Pedro amorim de oliveira araujo | #FPM+ Formação Pedagógica em Matemática-760 Horas | Em analise | Tais: PPI ok, falta enviar a PPII.</v>
      </c>
      <c r="B4940" s="93"/>
    </row>
    <row r="4941">
      <c r="A4941" s="384" t="str">
        <f>IFERROR(__xludf.DUMMYFUNCTION("""COMPUTED_VALUE"""),"Sonize Herculino Bernardo | 2º Licenciatura em pedagogia. | Aprovado | Tais: PPs Aprovadas em 27 de maio de 2025 via email")</f>
        <v>Sonize Herculino Bernardo | 2º Licenciatura em pedagogia. | Aprovado | Tais: PPs Aprovadas em 27 de maio de 2025 via email</v>
      </c>
      <c r="B4941" s="93"/>
    </row>
    <row r="4942">
      <c r="A4942" s="384" t="str">
        <f>IFERROR(__xludf.DUMMYFUNCTION("""COMPUTED_VALUE"""),"Felipe Nazário da Silva | #SLMF - Segunda Licenciatura em Música 1320Horas | Em analise | Tais: PPI ok, falta envio da PPII ")</f>
        <v>Felipe Nazário da Silva | #SLMF - Segunda Licenciatura em Música 1320Horas | Em analise | Tais: PPI ok, falta envio da PPII </v>
      </c>
      <c r="B4942" s="93"/>
    </row>
    <row r="4943">
      <c r="A4943" s="384" t="str">
        <f>IFERROR(__xludf.DUMMYFUNCTION("""COMPUTED_VALUE"""),"Carla Emiliane da Costa Magela | Segunda Licenciatura Pedagogia  | Em analise | Tais: PPS pré aprovadas (falta plataforma)")</f>
        <v>Carla Emiliane da Costa Magela | Segunda Licenciatura Pedagogia  | Em analise | Tais: PPS pré aprovadas (falta plataforma)</v>
      </c>
      <c r="B4943" s="93"/>
    </row>
    <row r="4944">
      <c r="A4944" s="384" t="str">
        <f>IFERROR(__xludf.DUMMYFUNCTION("""COMPUTED_VALUE"""),"Edneya Aparecida da Silva | LICENCIATURA EM PEDAGOGIA | Em analise | Tais: PPI ok, falta envio da PPII (falta documentação para sinalizar)")</f>
        <v>Edneya Aparecida da Silva | LICENCIATURA EM PEDAGOGIA | Em analise | Tais: PPI ok, falta envio da PPII (falta documentação para sinalizar)</v>
      </c>
      <c r="B4944" s="93"/>
    </row>
    <row r="4945">
      <c r="A4945" s="384" t="str">
        <f>IFERROR(__xludf.DUMMYFUNCTION("""COMPUTED_VALUE"""),"IVANILDE HELENA BRAGA | Segunda Licenciatura em Educação Física. | Aprovado | Tais: PPs Aprovadas em 27 de maio de 2025 via email")</f>
        <v>IVANILDE HELENA BRAGA | Segunda Licenciatura em Educação Física. | Aprovado | Tais: PPs Aprovadas em 27 de maio de 2025 via email</v>
      </c>
      <c r="B4945" s="93"/>
    </row>
    <row r="4946">
      <c r="A4946" s="384" t="str">
        <f>IFERROR(__xludf.DUMMYFUNCTION("""COMPUTED_VALUE"""),"Mariana Marques Perina | Diplomação por Competência em Pedagogia | Em analise | Alana: Comprovação de Experiência e Avaliação Prática Pré-Aprovados - Aguardando envio de documentação para formalizar aprovação ")</f>
        <v>Mariana Marques Perina | Diplomação por Competência em Pedagogia | Em analise | Alana: Comprovação de Experiência e Avaliação Prática Pré-Aprovados - Aguardando envio de documentação para formalizar aprovação </v>
      </c>
      <c r="B4946" s="93"/>
    </row>
    <row r="4947">
      <c r="A4947" s="384" t="str">
        <f>IFERROR(__xludf.DUMMYFUNCTION("""COMPUTED_VALUE"""),"Angela Maria Rosa | Diplomação por Competência em Pedagogia | Em analise | Alana: Enviou apenas Comprovação de Experiência (Pré-Aprovado), aguardando envio da Avaliação Prática e do retorno da análise, falta documentação")</f>
        <v>Angela Maria Rosa | Diplomação por Competência em Pedagogia | Em analise | Alana: Enviou apenas Comprovação de Experiência (Pré-Aprovado), aguardando envio da Avaliação Prática e do retorno da análise, falta documentação</v>
      </c>
      <c r="B4947" s="93"/>
    </row>
    <row r="4948">
      <c r="A4948" s="384" t="str">
        <f>IFERROR(__xludf.DUMMYFUNCTION("""COMPUTED_VALUE"""),"Patrícia Rocha Lopes da Silva | Segunda Licenciatura Pedagogia  | Pré aprovada | Tais: PPS pré aprovadas, falta analise completa")</f>
        <v>Patrícia Rocha Lopes da Silva | Segunda Licenciatura Pedagogia  | Pré aprovada | Tais: PPS pré aprovadas, falta analise completa</v>
      </c>
      <c r="B4948" s="93"/>
    </row>
    <row r="4949">
      <c r="A4949" s="384" t="str">
        <f>IFERROR(__xludf.DUMMYFUNCTION("""COMPUTED_VALUE"""),"vanessa rodrigues alves | #SLPT- Segunda Licenciatura em Pedagogia | Aprovada | Tais: PPS aprovadas via email 30-06-2025")</f>
        <v>vanessa rodrigues alves | #SLPT- Segunda Licenciatura em Pedagogia | Aprovada | Tais: PPS aprovadas via email 30-06-2025</v>
      </c>
      <c r="B4949" s="93"/>
    </row>
    <row r="4950">
      <c r="A4950" s="384" t="str">
        <f>IFERROR(__xludf.DUMMYFUNCTION("""COMPUTED_VALUE"""),"vanessa rodrigues alves | #SLUPI - SEGUNDA LICENCIATURA EM LETRAS – PORTUGUÊS E INGLÊS | Aprovada | Tais: PPS aprovadas via email 30-06-2025")</f>
        <v>vanessa rodrigues alves | #SLUPI - SEGUNDA LICENCIATURA EM LETRAS – PORTUGUÊS E INGLÊS | Aprovada | Tais: PPS aprovadas via email 30-06-2025</v>
      </c>
      <c r="B4950" s="93"/>
    </row>
    <row r="4951">
      <c r="A4951" s="384" t="str">
        <f>IFERROR(__xludf.DUMMYFUNCTION("""COMPUTED_VALUE"""),"Vinicius Barros Noman | ENSINO FUNDAMENTAL E MÉDIO - EJA EAD (ensino-fundamental-e-medio-eja-ead) | Em analise | Tais: Trabalho sobre papel da cidadania pré aprovado, falta documentação")</f>
        <v>Vinicius Barros Noman | ENSINO FUNDAMENTAL E MÉDIO - EJA EAD (ensino-fundamental-e-medio-eja-ead) | Em analise | Tais: Trabalho sobre papel da cidadania pré aprovado, falta documentação</v>
      </c>
      <c r="B4951" s="93"/>
    </row>
    <row r="4952">
      <c r="A4952" s="384" t="str">
        <f>IFERROR(__xludf.DUMMYFUNCTION("""COMPUTED_VALUE"""),"Vinicius Barros Noman | ENSINO FUNDAMENTAL E MÉDIO - EJA EAD (ensino-fundamental-e-medio-eja-ead) | Em analise | Tais: Trabalho sobre Como adotar práticas sustentáveis pré aprovado, falta documentação")</f>
        <v>Vinicius Barros Noman | ENSINO FUNDAMENTAL E MÉDIO - EJA EAD (ensino-fundamental-e-medio-eja-ead) | Em analise | Tais: Trabalho sobre Como adotar práticas sustentáveis pré aprovado, falta documentação</v>
      </c>
      <c r="B4952" s="93"/>
    </row>
    <row r="4953">
      <c r="A4953" s="384" t="str">
        <f>IFERROR(__xludf.DUMMYFUNCTION("""COMPUTED_VALUE"""),"Leandro Teodoro | SEGUNDA LICENCIATURA EM MÚSICA - 52M (segundalicenciaturaemmusica52m) | Aprovada | Tais: PPS aprovadas via email 02-07-2025")</f>
        <v>Leandro Teodoro | SEGUNDA LICENCIATURA EM MÚSICA - 52M (segundalicenciaturaemmusica52m) | Aprovada | Tais: PPS aprovadas via email 02-07-2025</v>
      </c>
      <c r="B4953" s="93"/>
    </row>
    <row r="4954">
      <c r="A4954" s="384" t="str">
        <f>IFERROR(__xludf.DUMMYFUNCTION("""COMPUTED_VALUE""")," |  |  | ")</f>
        <v> |  |  | </v>
      </c>
      <c r="B4954" s="93"/>
    </row>
    <row r="4955">
      <c r="A4955" s="384" t="str">
        <f>IFERROR(__xludf.DUMMYFUNCTION("""COMPUTED_VALUE"""),"Bianca clemencia Teixeira da Silva de Freitas | SEGUNDA LICENCIATURA EM PEDAGOGIA | Pré aprovada | Tais: PPS pré aprovadas, aguardando documentação")</f>
        <v>Bianca clemencia Teixeira da Silva de Freitas | SEGUNDA LICENCIATURA EM PEDAGOGIA | Pré aprovada | Tais: PPS pré aprovadas, aguardando documentação</v>
      </c>
      <c r="B4955" s="93"/>
    </row>
    <row r="4956">
      <c r="A4956" s="384" t="str">
        <f>IFERROR(__xludf.DUMMYFUNCTION("""COMPUTED_VALUE"""),"Ana Cristina Oliveira dos Santos | Segunda Licenciatura em Pedagogia | Reprovado | Tais: Plágio de 50% na dissertação, PPII pré aprovada. ")</f>
        <v>Ana Cristina Oliveira dos Santos | Segunda Licenciatura em Pedagogia | Reprovado | Tais: Plágio de 50% na dissertação, PPII pré aprovada. </v>
      </c>
      <c r="B4956" s="93"/>
    </row>
    <row r="4957">
      <c r="A4957" s="384" t="str">
        <f>IFERROR(__xludf.DUMMYFUNCTION("""COMPUTED_VALUE"""),"Jenyffer Nicodemos Fraga | PÓS-GRADUAÇÃO EM NEUROPSICOPEDAGOGIA CLÍNICA E INSTITUCIONAL - 85M | Aprovado | Tais: Aprovada em 2 de junho 2025 via email")</f>
        <v>Jenyffer Nicodemos Fraga | PÓS-GRADUAÇÃO EM NEUROPSICOPEDAGOGIA CLÍNICA E INSTITUCIONAL - 85M | Aprovado | Tais: Aprovada em 2 de junho 2025 via email</v>
      </c>
      <c r="B4957" s="93"/>
    </row>
    <row r="4958">
      <c r="A4958" s="384" t="str">
        <f>IFERROR(__xludf.DUMMYFUNCTION("""COMPUTED_VALUE"""),"Lais Vargas Rann | #FPULPI- Formação Pedagógica em Letras – Português e Inglês | Aprovado | Tais: PPs Aprovadas em 2 de junho 2025 via email")</f>
        <v>Lais Vargas Rann | #FPULPI- Formação Pedagógica em Letras – Português e Inglês | Aprovado | Tais: PPs Aprovadas em 2 de junho 2025 via email</v>
      </c>
      <c r="B4958" s="93"/>
    </row>
    <row r="4959">
      <c r="A4959" s="384" t="str">
        <f>IFERROR(__xludf.DUMMYFUNCTION("""COMPUTED_VALUE"""),"Dejivane Marla Lúcia dos Santos | #FPUP-FORMAÇÃO PEDAGÓGICA EM PEDAGOGIA- U | Aprovado | Tais: PPs Aprovadas em 2 de junho 2025 via email")</f>
        <v>Dejivane Marla Lúcia dos Santos | #FPUP-FORMAÇÃO PEDAGÓGICA EM PEDAGOGIA- U | Aprovado | Tais: PPs Aprovadas em 2 de junho 2025 via email</v>
      </c>
      <c r="B4959" s="93"/>
    </row>
    <row r="4960">
      <c r="A4960" s="384" t="str">
        <f>IFERROR(__xludf.DUMMYFUNCTION("""COMPUTED_VALUE"""),"Luis Davi Cucco Avelar de Freitas | FORMAÇÃO PEDAGÓGICA EM LETRAS PORTUGUÊS - INGLÊS | Aprovado | Tais: Aprovado")</f>
        <v>Luis Davi Cucco Avelar de Freitas | FORMAÇÃO PEDAGÓGICA EM LETRAS PORTUGUÊS - INGLÊS | Aprovado | Tais: Aprovado</v>
      </c>
      <c r="B4960" s="93"/>
    </row>
    <row r="4961">
      <c r="A4961" s="384" t="str">
        <f>IFERROR(__xludf.DUMMYFUNCTION("""COMPUTED_VALUE"""),"Maiza Deca Dos Reis | Educação Física | Em análise | Tais: PPII pré aprovada, falta realizar a PPI ")</f>
        <v>Maiza Deca Dos Reis | Educação Física | Em análise | Tais: PPII pré aprovada, falta realizar a PPI </v>
      </c>
      <c r="B4961" s="93"/>
    </row>
    <row r="4962">
      <c r="A4962" s="384" t="str">
        <f>IFERROR(__xludf.DUMMYFUNCTION("""COMPUTED_VALUE"""),"Renata Moreira Goulart da Silveira Guerra | #SLMF - Segunda Licenciatura em Música 1320Horas | Aprovado | Tais: PPs Aprovadas em 3 de junho 2025 via email")</f>
        <v>Renata Moreira Goulart da Silveira Guerra | #SLMF - Segunda Licenciatura em Música 1320Horas | Aprovado | Tais: PPs Aprovadas em 3 de junho 2025 via email</v>
      </c>
      <c r="B4962" s="93"/>
    </row>
    <row r="4963">
      <c r="A4963" s="384" t="str">
        <f>IFERROR(__xludf.DUMMYFUNCTION("""COMPUTED_VALUE"""),"Everaldo Porto Pedroso | Formação Pedagógica em Filosofia
 | Aprovado | Tais: PPs Aprovadas em 3 de junho 2025 via email")</f>
        <v>Everaldo Porto Pedroso | Formação Pedagógica em Filosofia
 | Aprovado | Tais: PPs Aprovadas em 3 de junho 2025 via email</v>
      </c>
      <c r="B4963" s="93"/>
    </row>
    <row r="4964">
      <c r="A4964" s="384" t="str">
        <f>IFERROR(__xludf.DUMMYFUNCTION("""COMPUTED_VALUE"""),"Everaldo Porto Pedroso | FORMAÇÃO PEDAGÓGICA EM SOCIOLOGIA - 56H | Em analise | Tais: Dissertação igual do curso de Filosofia (aguardando análise) (mandou a mesma carta de apresentação para os dois cursos). ")</f>
        <v>Everaldo Porto Pedroso | FORMAÇÃO PEDAGÓGICA EM SOCIOLOGIA - 56H | Em analise | Tais: Dissertação igual do curso de Filosofia (aguardando análise) (mandou a mesma carta de apresentação para os dois cursos). </v>
      </c>
      <c r="B4964" s="93"/>
    </row>
    <row r="4965">
      <c r="A4965" s="384" t="str">
        <f>IFERROR(__xludf.DUMMYFUNCTION("""COMPUTED_VALUE"""),"Hellane de Sena Oliveira | SEGUNDA LICENCIATURA EM PEDAGOGIA - 37M | Em análise | Tais: PPI pré aprovada, falta o envio da PPII (falta documentação)")</f>
        <v>Hellane de Sena Oliveira | SEGUNDA LICENCIATURA EM PEDAGOGIA - 37M | Em análise | Tais: PPI pré aprovada, falta o envio da PPII (falta documentação)</v>
      </c>
      <c r="B4965" s="93"/>
    </row>
    <row r="4966">
      <c r="A4966" s="384" t="str">
        <f>IFERROR(__xludf.DUMMYFUNCTION("""COMPUTED_VALUE"""),"Tiago Balbino da Silva | SEGUNDA LICENCIATURA EM MÚSICA (387) | Em análise | Tais: PPI pré aprovada, falta o envio da PPII (falta analise completa)")</f>
        <v>Tiago Balbino da Silva | SEGUNDA LICENCIATURA EM MÚSICA (387) | Em análise | Tais: PPI pré aprovada, falta o envio da PPII (falta analise completa)</v>
      </c>
      <c r="B4966" s="93"/>
    </row>
    <row r="4967">
      <c r="A4967" s="384" t="str">
        <f>IFERROR(__xludf.DUMMYFUNCTION("""COMPUTED_VALUE"""),"Mayckel Krenzlin | SEGUNDA LICENCIATURA EM MATEMÁTICA (36) | Pré aprovada | Tais: PPS pré aprovadas, falta analise completa")</f>
        <v>Mayckel Krenzlin | SEGUNDA LICENCIATURA EM MATEMÁTICA (36) | Pré aprovada | Tais: PPS pré aprovadas, falta analise completa</v>
      </c>
      <c r="B4967" s="93"/>
    </row>
    <row r="4968">
      <c r="A4968" s="384" t="str">
        <f>IFERROR(__xludf.DUMMYFUNCTION("""COMPUTED_VALUE"""),"Ivani de Oliveira Saraiva | SEGUNDA LICENCIATURA EM PEDAGOGIA - 37M (segunda-licenciatura-pedagogia-migracao) | Em análise | Tais: PPI ok, entrevista ok, falta mandar carta de apresentação (falta documentação para sinalização)")</f>
        <v>Ivani de Oliveira Saraiva | SEGUNDA LICENCIATURA EM PEDAGOGIA - 37M (segunda-licenciatura-pedagogia-migracao) | Em análise | Tais: PPI ok, entrevista ok, falta mandar carta de apresentação (falta documentação para sinalização)</v>
      </c>
      <c r="B4968" s="93"/>
    </row>
    <row r="4969">
      <c r="A4969" s="384" t="str">
        <f>IFERROR(__xludf.DUMMYFUNCTION("""COMPUTED_VALUE"""),"Cristiana de Souza Freire | SEGUNDA LICENCIATURA EM HISTÓRIA - 275M (segundalicenciaturaemhistoria275m) | Em análise | Tais: PPI não possui as 4 laudas exigidas e falta mandar carta de apresentação (falta analise completa)")</f>
        <v>Cristiana de Souza Freire | SEGUNDA LICENCIATURA EM HISTÓRIA - 275M (segundalicenciaturaemhistoria275m) | Em análise | Tais: PPI não possui as 4 laudas exigidas e falta mandar carta de apresentação (falta analise completa)</v>
      </c>
      <c r="B4969" s="93"/>
    </row>
    <row r="4970">
      <c r="A4970" s="384" t="str">
        <f>IFERROR(__xludf.DUMMYFUNCTION("""COMPUTED_VALUE"""),"Thiago Baltazar Lara Silva | SEGUNDA LICENCIATURA EM ARTES VISUAIS (38) | Pré aprovada | Tais: PPS pré aprovadas, falta analise completa")</f>
        <v>Thiago Baltazar Lara Silva | SEGUNDA LICENCIATURA EM ARTES VISUAIS (38) | Pré aprovada | Tais: PPS pré aprovadas, falta analise completa</v>
      </c>
      <c r="B4970" s="93"/>
    </row>
    <row r="4971">
      <c r="A4971" s="384" t="str">
        <f>IFERROR(__xludf.DUMMYFUNCTION("""COMPUTED_VALUE"""),"Jefferson da Costa Rato | FORMAÇÃO PEDAGÓGICA EM EDUCAÇÃO FÍSICA (477) | Aprovado | Tais: PPS aprovadas")</f>
        <v>Jefferson da Costa Rato | FORMAÇÃO PEDAGÓGICA EM EDUCAÇÃO FÍSICA (477) | Aprovado | Tais: PPS aprovadas</v>
      </c>
      <c r="B4971" s="93"/>
    </row>
    <row r="4972">
      <c r="A4972" s="384" t="str">
        <f>IFERROR(__xludf.DUMMYFUNCTION("""COMPUTED_VALUE"""),"Patrícia Costa da Silva | SEGUNDA LICENCIATURA EM LETRAS PORTUGUÊS - ESPANHOL | Em análise | Tais: PPI ok, mandou a PPII em branco, falta analise completa.")</f>
        <v>Patrícia Costa da Silva | SEGUNDA LICENCIATURA EM LETRAS PORTUGUÊS - ESPANHOL | Em análise | Tais: PPI ok, mandou a PPII em branco, falta analise completa.</v>
      </c>
      <c r="B4972" s="93"/>
    </row>
    <row r="4973">
      <c r="A4973" s="384" t="str">
        <f>IFERROR(__xludf.DUMMYFUNCTION("""COMPUTED_VALUE"""),"Ghedoneis Galdino de Almeida | Pós Psicopedagogia clinica | Pré aprovada | Tais: Estagio pré aprovado")</f>
        <v>Ghedoneis Galdino de Almeida | Pós Psicopedagogia clinica | Pré aprovada | Tais: Estagio pré aprovado</v>
      </c>
      <c r="B4973" s="93"/>
    </row>
    <row r="4974">
      <c r="A4974" s="384" t="str">
        <f>IFERROR(__xludf.DUMMYFUNCTION("""COMPUTED_VALUE"""),"Andréa Iolanda da Silva | FORMAÇÃO PEDAGÓGICA EM SOCIOLOGIA (39) | Pré aprovada | Taís: PPS pré-aprovadas, aguardando disciplinas para sinalização")</f>
        <v>Andréa Iolanda da Silva | FORMAÇÃO PEDAGÓGICA EM SOCIOLOGIA (39) | Pré aprovada | Taís: PPS pré-aprovadas, aguardando disciplinas para sinalização</v>
      </c>
      <c r="B4974" s="93"/>
    </row>
    <row r="4975">
      <c r="A4975" s="384" t="str">
        <f>IFERROR(__xludf.DUMMYFUNCTION("""COMPUTED_VALUE"""),"Brenda Gacema da Silva | SEGUNDA LICENCIATURA EM GEOGRAFIA (592) | Pré aprovada | Tais: PPS pré aprovadas, falta analise completa")</f>
        <v>Brenda Gacema da Silva | SEGUNDA LICENCIATURA EM GEOGRAFIA (592) | Pré aprovada | Tais: PPS pré aprovadas, falta analise completa</v>
      </c>
      <c r="B4975" s="93"/>
    </row>
    <row r="4976">
      <c r="A4976" s="384" t="str">
        <f>IFERROR(__xludf.DUMMYFUNCTION("""COMPUTED_VALUE"""),"Brenda Gacema da Silva | SEGUNDA LICENCIATURA EM GEOGRAFIA (592) | Pré aprovada | Tais: TCC pré aprovadas, falta analise completa")</f>
        <v>Brenda Gacema da Silva | SEGUNDA LICENCIATURA EM GEOGRAFIA (592) | Pré aprovada | Tais: TCC pré aprovadas, falta analise completa</v>
      </c>
      <c r="B4976" s="93"/>
    </row>
    <row r="4977">
      <c r="A4977" s="384" t="str">
        <f>IFERROR(__xludf.DUMMYFUNCTION("""COMPUTED_VALUE"""),"Clarice Martins Ramalho | #SLPT- Segunda Licenciatura em Pedagogia | Reprovado | Tais: PPII ok, PPI plágio - Sinalizado necessidade de correção via e-mail em 25/06/2025")</f>
        <v>Clarice Martins Ramalho | #SLPT- Segunda Licenciatura em Pedagogia | Reprovado | Tais: PPII ok, PPI plágio - Sinalizado necessidade de correção via e-mail em 25/06/2025</v>
      </c>
      <c r="B4977" s="93"/>
    </row>
    <row r="4978">
      <c r="A4978" s="384" t="str">
        <f>IFERROR(__xludf.DUMMYFUNCTION("""COMPUTED_VALUE"""),"Ana Kely Barbosa de Amorim | #SLPA- Segunda Licenciatura em Pedagogia 0101/12/2024         | Pré aprovada | Tais: PPS pré aprovadas, falta documentação. ")</f>
        <v>Ana Kely Barbosa de Amorim | #SLPA- Segunda Licenciatura em Pedagogia 0101/12/2024         | Pré aprovada | Tais: PPS pré aprovadas, falta documentação. </v>
      </c>
      <c r="B4978" s="93"/>
    </row>
    <row r="4979">
      <c r="A4979" s="384" t="str">
        <f>IFERROR(__xludf.DUMMYFUNCTION("""COMPUTED_VALUE"""),"Thiago Alexandre Gomes Favaris | FORMAÇÃO PEDAGÓGICA EM LETRAS – PORTUGUÊS E ESPANHOL- U | Aprovado | Tais: Aprovado via email em 5 de junho.")</f>
        <v>Thiago Alexandre Gomes Favaris | FORMAÇÃO PEDAGÓGICA EM LETRAS – PORTUGUÊS E ESPANHOL- U | Aprovado | Tais: Aprovado via email em 5 de junho.</v>
      </c>
      <c r="B4979" s="93"/>
    </row>
    <row r="4980">
      <c r="A4980" s="384" t="str">
        <f>IFERROR(__xludf.DUMMYFUNCTION("""COMPUTED_VALUE"""),"Renata Patrícia Lahr | #SLPA- Segunda Licenciatura em Pedagogia 01 | Pré aprovado | Tais: Pré aprovada, aguardando regularizar documentação")</f>
        <v>Renata Patrícia Lahr | #SLPA- Segunda Licenciatura em Pedagogia 01 | Pré aprovado | Tais: Pré aprovada, aguardando regularizar documentação</v>
      </c>
      <c r="B4980" s="93"/>
    </row>
    <row r="4981">
      <c r="A4981" s="384" t="str">
        <f>IFERROR(__xludf.DUMMYFUNCTION("""COMPUTED_VALUE"""),"Mariana Luize Souza Zaupa Silva | #FPUP-FORMAÇÃO PEDAGÓGICA EM PEDAGOGIA- U | Pré aprovado | Tais: Pré aprovada, aguardando regularizar documentação")</f>
        <v>Mariana Luize Souza Zaupa Silva | #FPUP-FORMAÇÃO PEDAGÓGICA EM PEDAGOGIA- U | Pré aprovado | Tais: Pré aprovada, aguardando regularizar documentação</v>
      </c>
      <c r="B4981" s="93"/>
    </row>
    <row r="4982">
      <c r="A4982" s="384" t="str">
        <f>IFERROR(__xludf.DUMMYFUNCTION("""COMPUTED_VALUE"""),"Fernanda Ferreira Lima | SEGUNDA LICENCIATURA EM PEDAGOGIA - 37M (segunda-licenciatura-pedagogia-migracao) | Aprovado | Tais: Aprovado via email em 6 de junho.")</f>
        <v>Fernanda Ferreira Lima | SEGUNDA LICENCIATURA EM PEDAGOGIA - 37M (segunda-licenciatura-pedagogia-migracao) | Aprovado | Tais: Aprovado via email em 6 de junho.</v>
      </c>
      <c r="B4982" s="93"/>
    </row>
    <row r="4983">
      <c r="A4983" s="384" t="str">
        <f>IFERROR(__xludf.DUMMYFUNCTION("""COMPUTED_VALUE"""),"Christian Rodrigues dos Santos | FORMAÇÃO PEDAGÓGICA EM EDUCAÇÃO FÍSICA (477) | em analise | Tais: PPI ok, entrevista ok, falta carta de apresentação assinada (falta documentação - 01-07-2025).")</f>
        <v>Christian Rodrigues dos Santos | FORMAÇÃO PEDAGÓGICA EM EDUCAÇÃO FÍSICA (477) | em analise | Tais: PPI ok, entrevista ok, falta carta de apresentação assinada (falta documentação - 01-07-2025).</v>
      </c>
      <c r="B4983" s="93"/>
    </row>
    <row r="4984">
      <c r="A4984" s="384" t="str">
        <f>IFERROR(__xludf.DUMMYFUNCTION("""COMPUTED_VALUE"""),"José Clenildo de Almeida | Pedagogia para Bacharéis | Aprovado | Tais: Sinalizado a aprovação via e-mail em 11/06/2025")</f>
        <v>José Clenildo de Almeida | Pedagogia para Bacharéis | Aprovado | Tais: Sinalizado a aprovação via e-mail em 11/06/2025</v>
      </c>
      <c r="B4984" s="93"/>
    </row>
    <row r="4985">
      <c r="A4985" s="384" t="str">
        <f>IFERROR(__xludf.DUMMYFUNCTION("""COMPUTED_VALUE"""),"Lucimar Félix da Silva de Assis | SEGUNDA LICENCIATURA EM PEDAGOGIA (segunda-licenciatura-em-pedagogia) | Pré aprovado | Tais: PPS pré aprovadas, falta analise completa")</f>
        <v>Lucimar Félix da Silva de Assis | SEGUNDA LICENCIATURA EM PEDAGOGIA (segunda-licenciatura-em-pedagogia) | Pré aprovado | Tais: PPS pré aprovadas, falta analise completa</v>
      </c>
      <c r="B4985" s="93"/>
    </row>
    <row r="4986">
      <c r="A4986" s="384" t="str">
        <f>IFERROR(__xludf.DUMMYFUNCTION("""COMPUTED_VALUE"""),"Laísa Coelho Gomes | FORMAÇÃO PEDAGÓGICA EM EDUCAÇÃO ESPECIAL - 225M (formacaopedagogicaemeducacaoespecial225m) | Pré aprovado | Tais: PPS pré aprovadas, falta documentação para sinalização")</f>
        <v>Laísa Coelho Gomes | FORMAÇÃO PEDAGÓGICA EM EDUCAÇÃO ESPECIAL - 225M (formacaopedagogicaemeducacaoespecial225m) | Pré aprovado | Tais: PPS pré aprovadas, falta documentação para sinalização</v>
      </c>
      <c r="B4986" s="93"/>
    </row>
    <row r="4987">
      <c r="A4987" s="384" t="str">
        <f>IFERROR(__xludf.DUMMYFUNCTION("""COMPUTED_VALUE"""),"Rosane Muchinski Kucarz | SEGUNDA LICENCIATURA EM EDUCAÇÃO FÍSICA - 186M (segundalicenciaturaemeducacaofisica186m) | em analise | Tais: Entrevista ok, falta PPI e carta de apresentação. falta documentação para sinalização")</f>
        <v>Rosane Muchinski Kucarz | SEGUNDA LICENCIATURA EM EDUCAÇÃO FÍSICA - 186M (segundalicenciaturaemeducacaofisica186m) | em analise | Tais: Entrevista ok, falta PPI e carta de apresentação. falta documentação para sinalização</v>
      </c>
      <c r="B4987" s="93"/>
    </row>
    <row r="4988">
      <c r="A4988" s="384" t="str">
        <f>IFERROR(__xludf.DUMMYFUNCTION("""COMPUTED_VALUE"""),"Janaína Marchioretto Mella | Pós em Arteterapia | Aprovado | Tais: Recebido termo de conclusão autenticado. Sinalizado aprovação via e-mail em 11/06/2025")</f>
        <v>Janaína Marchioretto Mella | Pós em Arteterapia | Aprovado | Tais: Recebido termo de conclusão autenticado. Sinalizado aprovação via e-mail em 11/06/2025</v>
      </c>
      <c r="B4988" s="93"/>
    </row>
    <row r="4989">
      <c r="A4989" s="384" t="str">
        <f>IFERROR(__xludf.DUMMYFUNCTION("""COMPUTED_VALUE"""),"Daiane Regina Stolberg Wzorek. | 2 licenciatura em Pedagogia | Pré aprovado | Tais: PPS pré aprovadas, falta analise completa")</f>
        <v>Daiane Regina Stolberg Wzorek. | 2 licenciatura em Pedagogia | Pré aprovado | Tais: PPS pré aprovadas, falta analise completa</v>
      </c>
      <c r="B4989" s="93"/>
    </row>
    <row r="4990">
      <c r="A4990" s="384" t="str">
        <f>IFERROR(__xludf.DUMMYFUNCTION("""COMPUTED_VALUE"""),"Luciana de Cassia Faria Esposito Dias | FORMAÇÃO PEDAGÓGICA EM FILOSOFIA - 62M (formacaopedagogicaemfilosofia) | em analise | Tais: Assinatura da aluna na carta de apresentação. (falta analise completa)")</f>
        <v>Luciana de Cassia Faria Esposito Dias | FORMAÇÃO PEDAGÓGICA EM FILOSOFIA - 62M (formacaopedagogicaemfilosofia) | em analise | Tais: Assinatura da aluna na carta de apresentação. (falta analise completa)</v>
      </c>
      <c r="B4990" s="93"/>
    </row>
    <row r="4991">
      <c r="A4991" s="384" t="str">
        <f>IFERROR(__xludf.DUMMYFUNCTION("""COMPUTED_VALUE"""),"Emerson Carlos Ribeiro | PÓS-GRADUAÇÃO EM DOCÊNCIA DO ENSINO SUPERIOR | Aprovado | Tais: TCC aprovado")</f>
        <v>Emerson Carlos Ribeiro | PÓS-GRADUAÇÃO EM DOCÊNCIA DO ENSINO SUPERIOR | Aprovado | Tais: TCC aprovado</v>
      </c>
      <c r="B4991" s="93"/>
    </row>
    <row r="4992">
      <c r="A4992" s="384" t="str">
        <f>IFERROR(__xludf.DUMMYFUNCTION("""COMPUTED_VALUE"""),"José Muriel Oliveira Alves | FORMAÇÃO PEDAGÓGICA EM ARTES VISUAIS (33) | em analise | Tais: Correção, aguardando documento para sinalização")</f>
        <v>José Muriel Oliveira Alves | FORMAÇÃO PEDAGÓGICA EM ARTES VISUAIS (33) | em analise | Tais: Correção, aguardando documento para sinalização</v>
      </c>
      <c r="B4992" s="93"/>
    </row>
    <row r="4993">
      <c r="A4993" s="384" t="str">
        <f>IFERROR(__xludf.DUMMYFUNCTION("""COMPUTED_VALUE"""),"José Muriel Oliveira Alves | FORMAÇÃO PEDAGÓGICA EM LETRAS PORTUGUÊS - ESPANHOL (457) | em analise | Tais: Correção, aguardando documento para sinalização")</f>
        <v>José Muriel Oliveira Alves | FORMAÇÃO PEDAGÓGICA EM LETRAS PORTUGUÊS - ESPANHOL (457) | em analise | Tais: Correção, aguardando documento para sinalização</v>
      </c>
      <c r="B4993" s="93"/>
    </row>
    <row r="4994">
      <c r="A4994" s="384" t="str">
        <f>IFERROR(__xludf.DUMMYFUNCTION("""COMPUTED_VALUE"""),"Juciene dos Santos Silva | SEGUNDA LICENCIATURA EM PEDAGOGIA - 37M (segunda-licenciatura-pedagogia-migracao) | Pré aprovado | Tais: PPS pré aprovadas, falta analise completa")</f>
        <v>Juciene dos Santos Silva | SEGUNDA LICENCIATURA EM PEDAGOGIA - 37M (segunda-licenciatura-pedagogia-migracao) | Pré aprovado | Tais: PPS pré aprovadas, falta analise completa</v>
      </c>
      <c r="B4994" s="93"/>
    </row>
    <row r="4995">
      <c r="A4995" s="384" t="str">
        <f>IFERROR(__xludf.DUMMYFUNCTION("""COMPUTED_VALUE"""),"Níckolas de Pellegrin | FORMAÇÃO PEDAGÓGICA EM PEDAGOGIA - 40M (formacaopedagogicaempedagogia39m) | Pré aprovado | Tais: PPS pré aprovadas, falta analise completa")</f>
        <v>Níckolas de Pellegrin | FORMAÇÃO PEDAGÓGICA EM PEDAGOGIA - 40M (formacaopedagogicaempedagogia39m) | Pré aprovado | Tais: PPS pré aprovadas, falta analise completa</v>
      </c>
      <c r="B4995" s="93"/>
    </row>
    <row r="4996">
      <c r="A4996" s="384" t="str">
        <f>IFERROR(__xludf.DUMMYFUNCTION("""COMPUTED_VALUE"""),"Jesmey Bruno Pereira | Formação Pedagógica em Música 2022 | Pré aprovado | Tais: PPS pré aprovadas, falta documento, curso expirado. 01-07-2025")</f>
        <v>Jesmey Bruno Pereira | Formação Pedagógica em Música 2022 | Pré aprovado | Tais: PPS pré aprovadas, falta documento, curso expirado. 01-07-2025</v>
      </c>
      <c r="B4996" s="93"/>
    </row>
    <row r="4997">
      <c r="A4997" s="384" t="str">
        <f>IFERROR(__xludf.DUMMYFUNCTION("""COMPUTED_VALUE"""),"EDUARDO COSTA E SILVA | LICENCIATURA EM GEOGRAFIA | Pré aprovado | Tais: PPS pré aprovadas, falta analise completa")</f>
        <v>EDUARDO COSTA E SILVA | LICENCIATURA EM GEOGRAFIA | Pré aprovado | Tais: PPS pré aprovadas, falta analise completa</v>
      </c>
      <c r="B4997" s="93"/>
    </row>
    <row r="4998">
      <c r="A4998" s="384" t="str">
        <f>IFERROR(__xludf.DUMMYFUNCTION("""COMPUTED_VALUE"""),"Jucenilson Oliveira | Formação Pedagógica em Matemática. | Pré aprovado | Tais: TCC pré aprovado, falta analise")</f>
        <v>Jucenilson Oliveira | Formação Pedagógica em Matemática. | Pré aprovado | Tais: TCC pré aprovado, falta analise</v>
      </c>
      <c r="B4998" s="93"/>
    </row>
    <row r="4999">
      <c r="A4999" s="384" t="str">
        <f>IFERROR(__xludf.DUMMYFUNCTION("""COMPUTED_VALUE"""),"Arlete Tavares Duarte | Segunda licenciatura em educação especial | Em analise | Tais: PPII ok, falta envio da PPI aguardando documentação")</f>
        <v>Arlete Tavares Duarte | Segunda licenciatura em educação especial | Em analise | Tais: PPII ok, falta envio da PPI aguardando documentação</v>
      </c>
      <c r="B4999" s="93"/>
    </row>
    <row r="5000">
      <c r="A5000" s="384" t="str">
        <f>IFERROR(__xludf.DUMMYFUNCTION("""COMPUTED_VALUE"""),"Jorge Luiz Pais  | Formação Pedagógica em Música | Pré aprovado | Tais: PPS pré aprovadas, falta documentação para sinalização")</f>
        <v>Jorge Luiz Pais  | Formação Pedagógica em Música | Pré aprovado | Tais: PPS pré aprovadas, falta documentação para sinalização</v>
      </c>
      <c r="B5000" s="93"/>
    </row>
    <row r="5001">
      <c r="A5001" s="384" t="str">
        <f>IFERROR(__xludf.DUMMYFUNCTION("""COMPUTED_VALUE"""),"GIANCARLO LUCENA DOS SANTOS | Formação Pedagógica em Geografia | Pré aprovado | PPI pré-aprovada, falta o envio da PPII, aguardando documentação para sinalizar (curso expirado)")</f>
        <v>GIANCARLO LUCENA DOS SANTOS | Formação Pedagógica em Geografia | Pré aprovado | PPI pré-aprovada, falta o envio da PPII, aguardando documentação para sinalizar (curso expirado)</v>
      </c>
      <c r="B5001" s="93"/>
    </row>
    <row r="5002">
      <c r="A5002" s="384" t="str">
        <f>IFERROR(__xludf.DUMMYFUNCTION("""COMPUTED_VALUE"""),"Ricardo Augusto de Lima Fenerich | PÓS-GRADUAÇÃO EMMÚSICA, CULTURA E SOCIEDADE (pos-graduacao-em-musica-cultura-e-sociedade) | Pré aprovado | Tais: TCC pré aprovado, falta analise")</f>
        <v>Ricardo Augusto de Lima Fenerich | PÓS-GRADUAÇÃO EMMÚSICA, CULTURA E SOCIEDADE (pos-graduacao-em-musica-cultura-e-sociedade) | Pré aprovado | Tais: TCC pré aprovado, falta analise</v>
      </c>
      <c r="B5002" s="93"/>
    </row>
    <row r="5003">
      <c r="A5003" s="384" t="str">
        <f>IFERROR(__xludf.DUMMYFUNCTION("""COMPUTED_VALUE"""),"Adriana Marilda Figueira | SEGUNDA LICENCIATURA EM EDUCAÇÃO ESPECIAL (educacao-especial-segunda) | Aprovada | Tais: Aprovada nas Praticas Pedagógicas em 11 de junho de 2025 via email.")</f>
        <v>Adriana Marilda Figueira | SEGUNDA LICENCIATURA EM EDUCAÇÃO ESPECIAL (educacao-especial-segunda) | Aprovada | Tais: Aprovada nas Praticas Pedagógicas em 11 de junho de 2025 via email.</v>
      </c>
      <c r="B5003" s="93"/>
    </row>
    <row r="5004">
      <c r="A5004" s="384" t="str">
        <f>IFERROR(__xludf.DUMMYFUNCTION("""COMPUTED_VALUE"""),"MÁRCIA PIRES DE ALMEIDA SANTOS | Segunda Licenciatura em Pedagogia | Aprovada | Alana: PPs aprovadas no recebimento 2, informada via e-mail em 18/06/2025")</f>
        <v>MÁRCIA PIRES DE ALMEIDA SANTOS | Segunda Licenciatura em Pedagogia | Aprovada | Alana: PPs aprovadas no recebimento 2, informada via e-mail em 18/06/2025</v>
      </c>
      <c r="B5004" s="93"/>
    </row>
    <row r="5005">
      <c r="A5005" s="384" t="str">
        <f>IFERROR(__xludf.DUMMYFUNCTION("""COMPUTED_VALUE"""),"MAYCKEL KRENZLIN | Formação Pedagógica em Matemática | Pré aprovado | Tais: TCC pré aprovado, falta analise")</f>
        <v>MAYCKEL KRENZLIN | Formação Pedagógica em Matemática | Pré aprovado | Tais: TCC pré aprovado, falta analise</v>
      </c>
      <c r="B5005" s="93"/>
    </row>
    <row r="5006">
      <c r="A5006" s="384" t="str">
        <f>IFERROR(__xludf.DUMMYFUNCTION("""COMPUTED_VALUE"""),"Michel Guilherme Martins Gonçalves | Formação Pedagógica em Ciências Sociais
 | Aprovada | Tais: Aprovada nas Praticas Pedagógicas em 11 de junho de 2025 via email.")</f>
        <v>Michel Guilherme Martins Gonçalves | Formação Pedagógica em Ciências Sociais
 | Aprovada | Tais: Aprovada nas Praticas Pedagógicas em 11 de junho de 2025 via email.</v>
      </c>
      <c r="B5006" s="93"/>
    </row>
    <row r="5007">
      <c r="A5007" s="384" t="str">
        <f>IFERROR(__xludf.DUMMYFUNCTION("""COMPUTED_VALUE"""),"Carolina Fernanda de Faria Leite | SEGUNDA LICENCIATURA EM EDUCAÇÃO ESPECIAL - 162M (segundalicenciaturaemeducacaoespecial162m) | Pré aprovada | Tais: PPS pré aprovadas, falta analise completa")</f>
        <v>Carolina Fernanda de Faria Leite | SEGUNDA LICENCIATURA EM EDUCAÇÃO ESPECIAL - 162M (segundalicenciaturaemeducacaoespecial162m) | Pré aprovada | Tais: PPS pré aprovadas, falta analise completa</v>
      </c>
      <c r="B5007" s="93"/>
    </row>
    <row r="5008">
      <c r="A5008" s="384" t="str">
        <f>IFERROR(__xludf.DUMMYFUNCTION("""COMPUTED_VALUE"""),"André Leão Neto | FORMAÇÃO PEDAGÓGICA EM MÚSICA (formacaoo-pedagogica-em-musica) | Em analise | Tais: PPI pré aprovada, falta a PPII (Falta analise completa)")</f>
        <v>André Leão Neto | FORMAÇÃO PEDAGÓGICA EM MÚSICA (formacaoo-pedagogica-em-musica) | Em analise | Tais: PPI pré aprovada, falta a PPII (Falta analise completa)</v>
      </c>
      <c r="B5008" s="93"/>
    </row>
    <row r="5009">
      <c r="A5009" s="384" t="str">
        <f>IFERROR(__xludf.DUMMYFUNCTION("""COMPUTED_VALUE"""),"Rodrigo Alves | Formação pedagógica em Ciências da Religião | Pré aprovada | Tais: PPS pré aprovadas, falta analise completa")</f>
        <v>Rodrigo Alves | Formação pedagógica em Ciências da Religião | Pré aprovada | Tais: PPS pré aprovadas, falta analise completa</v>
      </c>
      <c r="B5009" s="93"/>
    </row>
    <row r="5010">
      <c r="A5010" s="384" t="str">
        <f>IFERROR(__xludf.DUMMYFUNCTION("""COMPUTED_VALUE"""),"Maria Aparecida Silva | Licenciatura em Educação Especial | Pré aprovada | Tais: PPS pré aprovadas, falta analise completa")</f>
        <v>Maria Aparecida Silva | Licenciatura em Educação Especial | Pré aprovada | Tais: PPS pré aprovadas, falta analise completa</v>
      </c>
      <c r="B5010" s="93"/>
    </row>
    <row r="5011">
      <c r="A5011" s="384" t="str">
        <f>IFERROR(__xludf.DUMMYFUNCTION("""COMPUTED_VALUE"""),"Artur Charczuk | Ciências da Religião | Em analise | Tais: falta carta de apresentaçâo&lt; falta analise completa&gt;")</f>
        <v>Artur Charczuk | Ciências da Religião | Em analise | Tais: falta carta de apresentaçâo&lt; falta analise completa&gt;</v>
      </c>
      <c r="B5011" s="93"/>
    </row>
    <row r="5012">
      <c r="A5012" s="384" t="str">
        <f>IFERROR(__xludf.DUMMYFUNCTION("""COMPUTED_VALUE"""),"Ana Paula de Carvalho Silva Dias Cordeiro | PÓS-GRADUAÇÃO EM NEUROPSICOPEDAGOGIA INSTITUCIONAL, CLÍNICA E HOSPITALAR - 96M (posgraduacaoemneuropsicopedagogiainstitucionalclinicaehospitalar96m) | Em analise | Tais: mandou o relatorio em formato imagem, agu"&amp;"ardando documentação para sinalizar. ")</f>
        <v>Ana Paula de Carvalho Silva Dias Cordeiro | PÓS-GRADUAÇÃO EM NEUROPSICOPEDAGOGIA INSTITUCIONAL, CLÍNICA E HOSPITALAR - 96M (posgraduacaoemneuropsicopedagogiainstitucionalclinicaehospitalar96m) | Em analise | Tais: mandou o relatorio em formato imagem, aguardando documentação para sinalizar. </v>
      </c>
      <c r="B5012" s="93"/>
    </row>
    <row r="5013">
      <c r="A5013" s="384" t="str">
        <f>IFERROR(__xludf.DUMMYFUNCTION("""COMPUTED_VALUE"""),"Hebertt Willianns Borges Ferreira | FORMAÇÃO PEDAGÓGICA EM MÚSICA (formacaoo-pedagogica-em-musica) | Pré aprovada | Tais: PPS pré aprovadas, falta documentação - 01-07-2025")</f>
        <v>Hebertt Willianns Borges Ferreira | FORMAÇÃO PEDAGÓGICA EM MÚSICA (formacaoo-pedagogica-em-musica) | Pré aprovada | Tais: PPS pré aprovadas, falta documentação - 01-07-2025</v>
      </c>
      <c r="B5013" s="93"/>
    </row>
    <row r="5014">
      <c r="A5014" s="384" t="str">
        <f>IFERROR(__xludf.DUMMYFUNCTION("""COMPUTED_VALUE"""),"Antônio Cezar Pedrosa de Oliveira | FORMAÇÃO PEDAGÓGICA EM GEOGRAFIA | Em analise | Tais: Aprovada nas Praticas Pedagógicas em 13 de junho de 2025 via email.")</f>
        <v>Antônio Cezar Pedrosa de Oliveira | FORMAÇÃO PEDAGÓGICA EM GEOGRAFIA | Em analise | Tais: Aprovada nas Praticas Pedagógicas em 13 de junho de 2025 via email.</v>
      </c>
      <c r="B5014" s="93"/>
    </row>
    <row r="5015">
      <c r="A5015" s="384" t="str">
        <f>IFERROR(__xludf.DUMMYFUNCTION("""COMPUTED_VALUE"""),"Amanda Tamara Castro | FORMAÇÃO PEDAGÓGICA EM MÚSICA (formacaoo-pedagogica-em-musica) | Pré aprovada | Tais: PPS pré aprovadas, falta analise completa")</f>
        <v>Amanda Tamara Castro | FORMAÇÃO PEDAGÓGICA EM MÚSICA (formacaoo-pedagogica-em-musica) | Pré aprovada | Tais: PPS pré aprovadas, falta analise completa</v>
      </c>
      <c r="B5015" s="93"/>
    </row>
    <row r="5016">
      <c r="A5016" s="384" t="str">
        <f>IFERROR(__xludf.DUMMYFUNCTION("""COMPUTED_VALUE"""),"Laila Salermo Vieira Silva | Segunda Licenciatura em Matemática | Pré aprovada | Tais: Aprovada nas Praticas Pedagógicas em 13 de junho de 2025 via email.")</f>
        <v>Laila Salermo Vieira Silva | Segunda Licenciatura em Matemática | Pré aprovada | Tais: Aprovada nas Praticas Pedagógicas em 13 de junho de 2025 via email.</v>
      </c>
      <c r="B5016" s="93"/>
    </row>
    <row r="5017">
      <c r="A5017" s="384" t="str">
        <f>IFERROR(__xludf.DUMMYFUNCTION("""COMPUTED_VALUE"""),"Bruno Dias de Freitas | FORMAÇÃO PEDAGÓGICA EM MÚSICA - 155M  | Pré Aprovado em REC 2 | Tais: Assinatura colada na carta de apresentação.")</f>
        <v>Bruno Dias de Freitas | FORMAÇÃO PEDAGÓGICA EM MÚSICA - 155M  | Pré Aprovado em REC 2 | Tais: Assinatura colada na carta de apresentação.</v>
      </c>
      <c r="B5017" s="93"/>
    </row>
    <row r="5018">
      <c r="A5018" s="384" t="str">
        <f>IFERROR(__xludf.DUMMYFUNCTION("""COMPUTED_VALUE"""),"Antônio Cezar Pedrosa de Oliveira | FORMAÇÃO PEDAGÓGICA EM HISTÓRIA | Aprovado | Tais: PPs Aprovadas em 13 de junho 2025 via email")</f>
        <v>Antônio Cezar Pedrosa de Oliveira | FORMAÇÃO PEDAGÓGICA EM HISTÓRIA | Aprovado | Tais: PPs Aprovadas em 13 de junho 2025 via email</v>
      </c>
      <c r="B5018" s="93"/>
    </row>
    <row r="5019">
      <c r="A5019" s="384" t="str">
        <f>IFERROR(__xludf.DUMMYFUNCTION("""COMPUTED_VALUE"""),"Luciana Dias Leal Toledo |  | Em analise | Tais&gt; PPI ok, falta enviar PPII, falta analise completa.")</f>
        <v>Luciana Dias Leal Toledo |  | Em analise | Tais&gt; PPI ok, falta enviar PPII, falta analise completa.</v>
      </c>
      <c r="B5019" s="93"/>
    </row>
    <row r="5020">
      <c r="A5020" s="384" t="str">
        <f>IFERROR(__xludf.DUMMYFUNCTION("""COMPUTED_VALUE"""),"Maria Julimara de Souza | SEGUNDA LICENCIATURA EM LETRAS PORTUGUÊS - ESPANHOL | Em analise | Tais: solicitar correção - plágio de 40%, inserir referências bibliográficas")</f>
        <v>Maria Julimara de Souza | SEGUNDA LICENCIATURA EM LETRAS PORTUGUÊS - ESPANHOL | Em analise | Tais: solicitar correção - plágio de 40%, inserir referências bibliográficas</v>
      </c>
      <c r="B5020" s="93"/>
    </row>
    <row r="5021">
      <c r="A5021" s="384" t="str">
        <f>IFERROR(__xludf.DUMMYFUNCTION("""COMPUTED_VALUE"""),"DANILO MOURA DOS SANTOS | SEGUNDA LICENCIATURA EM EDUCAÇÃO FÍSICA - 44M (segundalicenciaturaemeducacaofisica44m) | Em analise | Taís: Plágio de 16%, trabalho sem referencias, falta analise completa. Falta PPII")</f>
        <v>DANILO MOURA DOS SANTOS | SEGUNDA LICENCIATURA EM EDUCAÇÃO FÍSICA - 44M (segundalicenciaturaemeducacaofisica44m) | Em analise | Taís: Plágio de 16%, trabalho sem referencias, falta analise completa. Falta PPII</v>
      </c>
      <c r="B5021" s="93"/>
    </row>
    <row r="5022">
      <c r="A5022" s="384" t="str">
        <f>IFERROR(__xludf.DUMMYFUNCTION("""COMPUTED_VALUE"""),"Joice Vaz Simeão Carneiro | FORMAÇÃO PEDAGÓGICA EM LETRAS - PORTUGUÊS - 320M (formacaopedagogicaemletrasportugues320m) | Pré aprovada | Tais: PPS pré aprovadas, falta analise completa")</f>
        <v>Joice Vaz Simeão Carneiro | FORMAÇÃO PEDAGÓGICA EM LETRAS - PORTUGUÊS - 320M (formacaopedagogicaemletrasportugues320m) | Pré aprovada | Tais: PPS pré aprovadas, falta analise completa</v>
      </c>
      <c r="B5022" s="93"/>
    </row>
    <row r="5023">
      <c r="A5023" s="384" t="str">
        <f>IFERROR(__xludf.DUMMYFUNCTION("""COMPUTED_VALUE"""),"Rômulo Pereira Cabral | FORMAÇÃO PEDAGÓGICA EM PEDAGOGIA (481) | Pré aprovada | Tais: PPS pré aprovadas, falta analise completa")</f>
        <v>Rômulo Pereira Cabral | FORMAÇÃO PEDAGÓGICA EM PEDAGOGIA (481) | Pré aprovada | Tais: PPS pré aprovadas, falta analise completa</v>
      </c>
      <c r="B5023" s="93"/>
    </row>
    <row r="5024">
      <c r="A5024" s="384" t="str">
        <f>IFERROR(__xludf.DUMMYFUNCTION("""COMPUTED_VALUE"""),"Clenilda Bergamasqui Lima | PÓS-GRADUAÇÃO EM AUTISMO | Pré aprovada | Tais: TCC pré aprovadas, falta analise completa")</f>
        <v>Clenilda Bergamasqui Lima | PÓS-GRADUAÇÃO EM AUTISMO | Pré aprovada | Tais: TCC pré aprovadas, falta analise completa</v>
      </c>
      <c r="B5024" s="93"/>
    </row>
    <row r="5025">
      <c r="A5025" s="384" t="str">
        <f>IFERROR(__xludf.DUMMYFUNCTION("""COMPUTED_VALUE"""),"Selma de Souza Rodrigues rocha  | FORMAÇÃO PEDAGÓGICA EM PEDAGOGIA - 40M (formacaopedagogicaempedagogia39m) | Em analise | Tais: PPI tem somente 2 laudas, e carta de apresentação assinatura colada. Aguardando analise completa. ")</f>
        <v>Selma de Souza Rodrigues rocha  | FORMAÇÃO PEDAGÓGICA EM PEDAGOGIA - 40M (formacaopedagogicaempedagogia39m) | Em analise | Tais: PPI tem somente 2 laudas, e carta de apresentação assinatura colada. Aguardando analise completa. </v>
      </c>
      <c r="B5025" s="93"/>
    </row>
    <row r="5026">
      <c r="A5026" s="384" t="str">
        <f>IFERROR(__xludf.DUMMYFUNCTION("""COMPUTED_VALUE"""),"Luciana Dias Leal Toledo | FORMAÇÃO PEDAGÓGICA EM MÚSICA | Pré aprovada | Tais: PPS pré aprovadas, falta analise completa")</f>
        <v>Luciana Dias Leal Toledo | FORMAÇÃO PEDAGÓGICA EM MÚSICA | Pré aprovada | Tais: PPS pré aprovadas, falta analise completa</v>
      </c>
      <c r="B5026" s="93"/>
    </row>
    <row r="5027">
      <c r="A5027" s="384" t="str">
        <f>IFERROR(__xludf.DUMMYFUNCTION("""COMPUTED_VALUE"""),"Rafaela Salles Alves Pradella | FORMAÇÃO PEDAGÓGICA EM PEDAGOGIA  | Pré aprovada | Tais: PPs pré aprovadas, falta nome completo da Rafaela na carta de apresentação. Solicitação de correção 01-07-2025")</f>
        <v>Rafaela Salles Alves Pradella | FORMAÇÃO PEDAGÓGICA EM PEDAGOGIA  | Pré aprovada | Tais: PPs pré aprovadas, falta nome completo da Rafaela na carta de apresentação. Solicitação de correção 01-07-2025</v>
      </c>
      <c r="B5027" s="93"/>
    </row>
    <row r="5028">
      <c r="A5028" s="384" t="str">
        <f>IFERROR(__xludf.DUMMYFUNCTION("""COMPUTED_VALUE"""),"Ana Angélica da Silva  | SEGUNDA LICENCIATURA HISTORIA  | Reprovada | Tais: falta a prática pedagogia I, a carta de apresentação não está assinada no local correto. Falta análise completa")</f>
        <v>Ana Angélica da Silva  | SEGUNDA LICENCIATURA HISTORIA  | Reprovada | Tais: falta a prática pedagogia I, a carta de apresentação não está assinada no local correto. Falta análise completa</v>
      </c>
      <c r="B5028" s="93"/>
    </row>
    <row r="5029">
      <c r="A5029" s="384" t="str">
        <f>IFERROR(__xludf.DUMMYFUNCTION("""COMPUTED_VALUE"""),"ROSANI GONÇALVES DA ROSA |  | Em análise | Tais: PPs, pré aprovadas, falta analise")</f>
        <v>ROSANI GONÇALVES DA ROSA |  | Em análise | Tais: PPs, pré aprovadas, falta analise</v>
      </c>
      <c r="B5029" s="93"/>
    </row>
    <row r="5030">
      <c r="A5030" s="384" t="str">
        <f>IFERROR(__xludf.DUMMYFUNCTION("""COMPUTED_VALUE"""),"João Pedro Ferreira Pereira | Segunda licenciatura em Letras Português/Espanhol | Pré Aprovada | Taís: Falta o envio da PP II, falta análise")</f>
        <v>João Pedro Ferreira Pereira | Segunda licenciatura em Letras Português/Espanhol | Pré Aprovada | Taís: Falta o envio da PP II, falta análise</v>
      </c>
      <c r="B5030" s="93"/>
    </row>
    <row r="5031">
      <c r="A5031" s="384" t="str">
        <f>IFERROR(__xludf.DUMMYFUNCTION("""COMPUTED_VALUE"""),"Aguinaldo Roberto Teixeira do Nascimento | Segunda Licenciatura em Música  | Pré Aprovada | Tais: Falta o envio da PP II, falta análise.")</f>
        <v>Aguinaldo Roberto Teixeira do Nascimento | Segunda Licenciatura em Música  | Pré Aprovada | Tais: Falta o envio da PP II, falta análise.</v>
      </c>
      <c r="B5031" s="93"/>
    </row>
    <row r="5032">
      <c r="A5032" s="384" t="str">
        <f>IFERROR(__xludf.DUMMYFUNCTION("""COMPUTED_VALUE"""),"Edineia Januaria de Oliveira  | Segunda Licenciatura em Educação Fisica | Pré Aprovada | Tais: PPs aprovadas, aguardando documentação para sinalização 01-07-2025")</f>
        <v>Edineia Januaria de Oliveira  | Segunda Licenciatura em Educação Fisica | Pré Aprovada | Tais: PPs aprovadas, aguardando documentação para sinalização 01-07-2025</v>
      </c>
      <c r="B5032" s="93"/>
    </row>
    <row r="5033">
      <c r="A5033" s="384" t="str">
        <f>IFERROR(__xludf.DUMMYFUNCTION("""COMPUTED_VALUE"""),"Débora Rodrigues dos Santos | Segunda Licenciatura em Educação Fisica | Pré Aprovada | Tais: PPs aprovadas, aguardando documentação para sinalização 01-07-2025")</f>
        <v>Débora Rodrigues dos Santos | Segunda Licenciatura em Educação Fisica | Pré Aprovada | Tais: PPs aprovadas, aguardando documentação para sinalização 01-07-2025</v>
      </c>
      <c r="B5033" s="93"/>
    </row>
    <row r="5034">
      <c r="A5034" s="384" t="str">
        <f>IFERROR(__xludf.DUMMYFUNCTION("""COMPUTED_VALUE"""),"Mayara Faria da SilvaJoao Pedro Ferreira Pereira | Segunda Licenciatura em Música  | Em analise | Tais: Falta o envio da PP II")</f>
        <v>Mayara Faria da SilvaJoao Pedro Ferreira Pereira | Segunda Licenciatura em Música  | Em analise | Tais: Falta o envio da PP II</v>
      </c>
      <c r="B5034" s="93"/>
    </row>
    <row r="5035">
      <c r="A5035" s="384" t="str">
        <f>IFERROR(__xludf.DUMMYFUNCTION("""COMPUTED_VALUE"""),"Fabiana Francisco Anselme Mesquita |  DIPLOMAÇÃO POR COMPETÊNCIA - PEDAGOGIA | Em análise | Alana: Avaliação Prática Pré Aprovada - Aguardado análise de documentação (solicitada em 07/07/2025)")</f>
        <v>Fabiana Francisco Anselme Mesquita |  DIPLOMAÇÃO POR COMPETÊNCIA - PEDAGOGIA | Em análise | Alana: Avaliação Prática Pré Aprovada - Aguardado análise de documentação (solicitada em 07/07/2025)</v>
      </c>
      <c r="B5035" s="93"/>
    </row>
    <row r="5036">
      <c r="A5036" s="384" t="str">
        <f>IFERROR(__xludf.DUMMYFUNCTION("""COMPUTED_VALUE"""),"Antonio Ruy Bandeira Barbosa Ramos | SEGUNDA LICENCIATURA EM MÚSICA | Aprovada | Alana: Dispensa APROVADA - Análise ok, completou 6 meses de curso em 06/07, APROVAÇÃO SINALIZADA ao mesmo em 07/07/2025")</f>
        <v>Antonio Ruy Bandeira Barbosa Ramos | SEGUNDA LICENCIATURA EM MÚSICA | Aprovada | Alana: Dispensa APROVADA - Análise ok, completou 6 meses de curso em 06/07, APROVAÇÃO SINALIZADA ao mesmo em 07/07/2025</v>
      </c>
      <c r="B5036" s="93"/>
    </row>
    <row r="5037">
      <c r="A5037" s="384" t="str">
        <f>IFERROR(__xludf.DUMMYFUNCTION("""COMPUTED_VALUE"""),"Maria de Lourdes Alves | Formação Pedagógica em Pedagogia | Em análise | Tais: Falta o envio da PP II")</f>
        <v>Maria de Lourdes Alves | Formação Pedagógica em Pedagogia | Em análise | Tais: Falta o envio da PP II</v>
      </c>
      <c r="B5037" s="93"/>
    </row>
    <row r="5038">
      <c r="A5038" s="384" t="str">
        <f>IFERROR(__xludf.DUMMYFUNCTION("""COMPUTED_VALUE"""),"Mirielza Silva de Lima | Licenciatura em Geografia | Pré Aprovada | Tais: falta referências bibliográficas e a carta de apresentação não está 100%legível. Falta análise completa")</f>
        <v>Mirielza Silva de Lima | Licenciatura em Geografia | Pré Aprovada | Tais: falta referências bibliográficas e a carta de apresentação não está 100%legível. Falta análise completa</v>
      </c>
      <c r="B5038" s="93"/>
    </row>
    <row r="5039">
      <c r="A5039" s="384" t="str">
        <f>IFERROR(__xludf.DUMMYFUNCTION("""COMPUTED_VALUE"""),"MARAT RODRIGUES DE SOUSA | Pós em LETRAS – PORTUGUÊS/INGLÊS | Em análise | Realizado correção: TCC pré aprovado, análise completa ")</f>
        <v>MARAT RODRIGUES DE SOUSA | Pós em LETRAS – PORTUGUÊS/INGLÊS | Em análise | Realizado correção: TCC pré aprovado, análise completa </v>
      </c>
      <c r="B5039" s="93"/>
    </row>
    <row r="5040">
      <c r="A5040" s="384" t="str">
        <f>IFERROR(__xludf.DUMMYFUNCTION("""COMPUTED_VALUE"""),"Ana Elizabeth Brandt Barbosa Rosa | Formação Pedagógica em Educação Fisica | Pré Aprovada | PPs pré aprovadas, falta analise completa")</f>
        <v>Ana Elizabeth Brandt Barbosa Rosa | Formação Pedagógica em Educação Fisica | Pré Aprovada | PPs pré aprovadas, falta analise completa</v>
      </c>
      <c r="B5040" s="93"/>
    </row>
    <row r="5041">
      <c r="A5041" s="384" t="str">
        <f>IFERROR(__xludf.DUMMYFUNCTION("""COMPUTED_VALUE"""),"VANESSA RODRIGUES ALVES | Segunda Licenciatura em Letras - Português Inglês | Aprovada | PPs aprovadas")</f>
        <v>VANESSA RODRIGUES ALVES | Segunda Licenciatura em Letras - Português Inglês | Aprovada | PPs aprovadas</v>
      </c>
      <c r="B5041" s="93"/>
    </row>
    <row r="5042">
      <c r="A5042" s="384" t="str">
        <f>IFERROR(__xludf.DUMMYFUNCTION("""COMPUTED_VALUE"""),"VANESSA RODRIGUES ALVES | SEGUNDA LICENCIATURA EM PEDAGOGIA | Aprovada | PPs aprovadas")</f>
        <v>VANESSA RODRIGUES ALVES | SEGUNDA LICENCIATURA EM PEDAGOGIA | Aprovada | PPs aprovadas</v>
      </c>
      <c r="B5042" s="93"/>
    </row>
    <row r="5043">
      <c r="A5043" s="384" t="str">
        <f>IFERROR(__xludf.DUMMYFUNCTION("""COMPUTED_VALUE"""),"Caio Vechini Ferreira | SEGUNDA LICENCIATURA EM MUSICA | Em análise | PPII pré aprovada, falta o envio da PPI. (aguardando analise)")</f>
        <v>Caio Vechini Ferreira | SEGUNDA LICENCIATURA EM MUSICA | Em análise | PPII pré aprovada, falta o envio da PPI. (aguardando analise)</v>
      </c>
      <c r="B5043" s="93"/>
    </row>
    <row r="5044">
      <c r="A5044" s="384"/>
      <c r="B5044" s="93"/>
    </row>
    <row r="5045">
      <c r="A5045" s="384" t="str">
        <f>IFERROR(__xludf.DUMMYFUNCTION("""COMPUTED_VALUE"""),"Adly Gaby | Letras / Espanhol | Em analise | Carta de apresentação com assinatura digitada e falta a PPI (aguardando analise)")</f>
        <v>Adly Gaby | Letras / Espanhol | Em analise | Carta de apresentação com assinatura digitada e falta a PPI (aguardando analise)</v>
      </c>
      <c r="B5045" s="93"/>
    </row>
    <row r="5046">
      <c r="A5046" s="384" t="str">
        <f>IFERROR(__xludf.DUMMYFUNCTION("""COMPUTED_VALUE"""),"Raoni Azedo Germano da Silva | SEGUNDA LICENCIATURA EM MÚSICA (387) | Em analise | Fran: PPs Aprovadaas encaminhado para análise de financeiro.")</f>
        <v>Raoni Azedo Germano da Silva | SEGUNDA LICENCIATURA EM MÚSICA (387) | Em analise | Fran: PPs Aprovadaas encaminhado para análise de financeiro.</v>
      </c>
      <c r="B5046" s="93"/>
    </row>
    <row r="5047">
      <c r="A5047" s="384" t="str">
        <f>IFERROR(__xludf.DUMMYFUNCTION("""COMPUTED_VALUE"""),"Augusto Sérgio meireles | #SLUP - SEGUNDA LICENCIATURA EM PEDAGOGIA | Aprovada | Fran: PPs Aprovadaas encaminhado para análise de financeiro.")</f>
        <v>Augusto Sérgio meireles | #SLUP - SEGUNDA LICENCIATURA EM PEDAGOGIA | Aprovada | Fran: PPs Aprovadaas encaminhado para análise de financeiro.</v>
      </c>
      <c r="B5047" s="93"/>
    </row>
    <row r="5048">
      <c r="A5048" s="384" t="str">
        <f>IFERROR(__xludf.DUMMYFUNCTION("""COMPUTED_VALUE"""),"#REF!")</f>
        <v>#REF!</v>
      </c>
      <c r="B5048" s="93"/>
    </row>
    <row r="5049">
      <c r="A5049" s="384" t="str">
        <f>IFERROR(__xludf.DUMMYFUNCTION("""COMPUTED_VALUE"""),"SUZANA MOURA DA SILVA TORRES | Pós em Autismo | Em analise | Tais: TCCs apresentaram similaridade entre os 4 cursos, solicitar correção e as PPs para as segundas licenciaturas. Aguardando analise completa")</f>
        <v>SUZANA MOURA DA SILVA TORRES | Pós em Autismo | Em analise | Tais: TCCs apresentaram similaridade entre os 4 cursos, solicitar correção e as PPs para as segundas licenciaturas. Aguardando analise completa</v>
      </c>
      <c r="B5049" s="93"/>
    </row>
    <row r="5050">
      <c r="A5050" s="384" t="str">
        <f>IFERROR(__xludf.DUMMYFUNCTION("""COMPUTED_VALUE"""),"SUZANA MOURA DA SILVA TORRES | Pós em LETRAS – PORTUGUÊS/INGLÊS | Em analise | Tais: TCCs apresentaram similaridade entre os 4 cursos, solicitar correção e as PPs para as segundas licenciaturas. Aguardando analise completa")</f>
        <v>SUZANA MOURA DA SILVA TORRES | Pós em LETRAS – PORTUGUÊS/INGLÊS | Em analise | Tais: TCCs apresentaram similaridade entre os 4 cursos, solicitar correção e as PPs para as segundas licenciaturas. Aguardando analise completa</v>
      </c>
      <c r="B5050" s="93"/>
    </row>
    <row r="5051">
      <c r="A5051" s="384" t="str">
        <f>IFERROR(__xludf.DUMMYFUNCTION("""COMPUTED_VALUE"""),"SUZANA MOURA DA SILVA TORRES | Segunda Licenciatura em Letras - Português Inglês | Em analise | Tais: TCCs apresentaram similaridade entre os 4 cursos, solicitar correção e as PPs para as segundas licenciaturas. Aguardando analise completa")</f>
        <v>SUZANA MOURA DA SILVA TORRES | Segunda Licenciatura em Letras - Português Inglês | Em analise | Tais: TCCs apresentaram similaridade entre os 4 cursos, solicitar correção e as PPs para as segundas licenciaturas. Aguardando analise completa</v>
      </c>
      <c r="B5051" s="93"/>
    </row>
    <row r="5052">
      <c r="A5052" s="384" t="str">
        <f>IFERROR(__xludf.DUMMYFUNCTION("""COMPUTED_VALUE"""),"SUZANA MOURA DA SILVA TORRES | Segunda Licenciatura em Letras - Português Espanhol | Em analise | Tais: TCCs apresentaram similaridade entre os 4 cursos, solicitar correção e as PPs para as segundas licenciaturas. Aguardando analise completa")</f>
        <v>SUZANA MOURA DA SILVA TORRES | Segunda Licenciatura em Letras - Português Espanhol | Em analise | Tais: TCCs apresentaram similaridade entre os 4 cursos, solicitar correção e as PPs para as segundas licenciaturas. Aguardando analise completa</v>
      </c>
      <c r="B5052" s="93"/>
    </row>
    <row r="5053">
      <c r="A5053" s="384" t="str">
        <f>IFERROR(__xludf.DUMMYFUNCTION("""COMPUTED_VALUE"""),"Marcos Antonio Cassiano Paulino | Licenciatura em Música | Em analise | Tais: Relatório de estágio sem a assinatura do supervisor no termo de conclusão e ficha de registro, Aguardando análise completa")</f>
        <v>Marcos Antonio Cassiano Paulino | Licenciatura em Música | Em analise | Tais: Relatório de estágio sem a assinatura do supervisor no termo de conclusão e ficha de registro, Aguardando análise completa</v>
      </c>
      <c r="B5053" s="93"/>
    </row>
    <row r="5054">
      <c r="A5054" s="384" t="str">
        <f>IFERROR(__xludf.DUMMYFUNCTION("""COMPUTED_VALUE"""),"Caio Vechini Ferreira | Licenciatura em Música | Em analise | Tais: PPs aprovadas, aguardando análise para sinalizar. ")</f>
        <v>Caio Vechini Ferreira | Licenciatura em Música | Em analise | Tais: PPs aprovadas, aguardando análise para sinalizar. </v>
      </c>
      <c r="B5054" s="93"/>
    </row>
    <row r="5055">
      <c r="A5055" s="384" t="str">
        <f>IFERROR(__xludf.DUMMYFUNCTION("""COMPUTED_VALUE"""),"João Pedro Ferreira Pereira | Licenciatura em Letras - Porutuges e Espanhol | Em analise | Tais: TCC aprovado, PPII pendente - Júlia: PPII recebido em 08/07/2025 aprovado ,  aguardando análise")</f>
        <v>João Pedro Ferreira Pereira | Licenciatura em Letras - Porutuges e Espanhol | Em analise | Tais: TCC aprovado, PPII pendente - Júlia: PPII recebido em 08/07/2025 aprovado ,  aguardando análise</v>
      </c>
      <c r="B5055" s="93"/>
    </row>
    <row r="5056">
      <c r="A5056" s="384" t="str">
        <f>IFERROR(__xludf.DUMMYFUNCTION("""COMPUTED_VALUE"""),"Leila Costa Castro | EGUNDA LICENCIATURA EM EDUCAÇÃO ESPECIAL | Em análise | Júlia: Não enviou as PPI, PPII entrevista a caneta, Carta da apresentação ok")</f>
        <v>Leila Costa Castro | EGUNDA LICENCIATURA EM EDUCAÇÃO ESPECIAL | Em análise | Júlia: Não enviou as PPI, PPII entrevista a caneta, Carta da apresentação ok</v>
      </c>
      <c r="B5056" s="93"/>
    </row>
    <row r="5057">
      <c r="A5057" s="384" t="str">
        <f>IFERROR(__xludf.DUMMYFUNCTION("""COMPUTED_VALUE"""),"Luis Pereira dos Santos | SEGUNDA LICENCIATURA EM ARTES VISUAIS | Em análise | Júlia: PPII aprovado,carta de apresentação ok, falta a entrevista")</f>
        <v>Luis Pereira dos Santos | SEGUNDA LICENCIATURA EM ARTES VISUAIS | Em análise | Júlia: PPII aprovado,carta de apresentação ok, falta a entrevista</v>
      </c>
      <c r="B5057" s="93"/>
    </row>
    <row r="5058">
      <c r="A5058" s="384" t="str">
        <f>IFERROR(__xludf.DUMMYFUNCTION("""COMPUTED_VALUE"""),"Sônia Maria Gomes Coelho | Segunda Licenciatura em Artes Visuais | Em análise | Júlia PPs Aprovadas")</f>
        <v>Sônia Maria Gomes Coelho | Segunda Licenciatura em Artes Visuais | Em análise | Júlia PPs Aprovadas</v>
      </c>
      <c r="B5058" s="93"/>
    </row>
    <row r="5059">
      <c r="A5059" s="384" t="str">
        <f>IFERROR(__xludf.DUMMYFUNCTION("""COMPUTED_VALUE"""),"Cristiane do Nascimento Silva | Diplomação por Competência em Educação Física | Em análise | Alana: PPs recebidas em 08/07/2025 (Considerado para recimento 17/06/2025 que é a data que aluna disse que encaminhou)")</f>
        <v>Cristiane do Nascimento Silva | Diplomação por Competência em Educação Física | Em análise | Alana: PPs recebidas em 08/07/2025 (Considerado para recimento 17/06/2025 que é a data que aluna disse que encaminhou)</v>
      </c>
      <c r="B5059" s="93"/>
    </row>
    <row r="5060">
      <c r="A5060" s="384" t="str">
        <f>IFERROR(__xludf.DUMMYFUNCTION("""COMPUTED_VALUE"""),"Divaneide Lúcio Borges | Formação Pedagógica em Pedagogia |  | Júlia: Aluna enviou a PPI com número de laudas insuficiente e sem referências, não enviou as PPII. Aguardando análises para pedir correção")</f>
        <v>Divaneide Lúcio Borges | Formação Pedagógica em Pedagogia |  | Júlia: Aluna enviou a PPI com número de laudas insuficiente e sem referências, não enviou as PPII. Aguardando análises para pedir correção</v>
      </c>
      <c r="B5060" s="93"/>
    </row>
    <row r="5061">
      <c r="A5061" s="384" t="str">
        <f>IFERROR(__xludf.DUMMYFUNCTION("""COMPUTED_VALUE""")," |  |  | ")</f>
        <v> |  |  | </v>
      </c>
      <c r="B5061" s="93"/>
    </row>
    <row r="5062">
      <c r="A5062" s="384" t="str">
        <f>IFERROR(__xludf.DUMMYFUNCTION("""COMPUTED_VALUE""")," |  |  | ")</f>
        <v> |  |  | </v>
      </c>
      <c r="B5062" s="93"/>
    </row>
    <row r="5063">
      <c r="A5063" s="384" t="str">
        <f>IFERROR(__xludf.DUMMYFUNCTION("""COMPUTED_VALUE""")," |  |  | ")</f>
        <v> |  |  | </v>
      </c>
      <c r="B5063" s="93"/>
    </row>
    <row r="5064">
      <c r="A5064" s="384" t="str">
        <f>IFERROR(__xludf.DUMMYFUNCTION("""COMPUTED_VALUE""")," |  |  | ")</f>
        <v> |  |  | </v>
      </c>
      <c r="B5064" s="93"/>
    </row>
    <row r="5065">
      <c r="A5065" s="384" t="str">
        <f>IFERROR(__xludf.DUMMYFUNCTION("""COMPUTED_VALUE""")," |  |  | ")</f>
        <v> |  |  | </v>
      </c>
      <c r="B5065" s="93"/>
    </row>
    <row r="5066">
      <c r="A5066" s="384" t="str">
        <f>IFERROR(__xludf.DUMMYFUNCTION("""COMPUTED_VALUE""")," |  |  | ")</f>
        <v> |  |  | </v>
      </c>
      <c r="B5066" s="93"/>
    </row>
    <row r="5067">
      <c r="A5067" s="384" t="str">
        <f>IFERROR(__xludf.DUMMYFUNCTION("""COMPUTED_VALUE""")," |  |  | ")</f>
        <v> |  |  | </v>
      </c>
      <c r="B5067" s="93"/>
    </row>
    <row r="5068">
      <c r="A5068" s="384" t="str">
        <f>IFERROR(__xludf.DUMMYFUNCTION("""COMPUTED_VALUE""")," |  |  | ")</f>
        <v> |  |  | </v>
      </c>
      <c r="B5068" s="93"/>
    </row>
    <row r="5069">
      <c r="A5069" s="384" t="str">
        <f>IFERROR(__xludf.DUMMYFUNCTION("""COMPUTED_VALUE""")," |  |  | ")</f>
        <v> |  |  | </v>
      </c>
      <c r="B5069" s="93"/>
    </row>
    <row r="5070">
      <c r="A5070" s="384" t="str">
        <f>IFERROR(__xludf.DUMMYFUNCTION("""COMPUTED_VALUE""")," |  |  | ")</f>
        <v> |  |  | </v>
      </c>
      <c r="B5070" s="93"/>
    </row>
    <row r="5071">
      <c r="A5071" s="384" t="str">
        <f>IFERROR(__xludf.DUMMYFUNCTION("""COMPUTED_VALUE""")," |  |  | ")</f>
        <v> |  |  | </v>
      </c>
      <c r="B5071" s="93"/>
    </row>
    <row r="5072">
      <c r="A5072" s="384" t="str">
        <f>IFERROR(__xludf.DUMMYFUNCTION("""COMPUTED_VALUE""")," |  |  | ")</f>
        <v> |  |  | </v>
      </c>
      <c r="B5072" s="93"/>
    </row>
    <row r="5073">
      <c r="A5073" s="384" t="str">
        <f>IFERROR(__xludf.DUMMYFUNCTION("""COMPUTED_VALUE""")," |  |  | ")</f>
        <v> |  |  | </v>
      </c>
      <c r="B5073" s="93"/>
    </row>
    <row r="5074">
      <c r="A5074" s="384" t="str">
        <f>IFERROR(__xludf.DUMMYFUNCTION("""COMPUTED_VALUE""")," |  |  | ")</f>
        <v> |  |  | </v>
      </c>
      <c r="B5074" s="93"/>
    </row>
    <row r="5075">
      <c r="A5075" s="384" t="str">
        <f>IFERROR(__xludf.DUMMYFUNCTION("""COMPUTED_VALUE""")," |  |  | ")</f>
        <v> |  |  | </v>
      </c>
      <c r="B5075" s="93"/>
    </row>
    <row r="5076">
      <c r="A5076" s="384" t="str">
        <f>IFERROR(__xludf.DUMMYFUNCTION("""COMPUTED_VALUE""")," |  |  | ")</f>
        <v> |  |  | </v>
      </c>
      <c r="B5076" s="93"/>
    </row>
    <row r="5077">
      <c r="A5077" s="384" t="str">
        <f>IFERROR(__xludf.DUMMYFUNCTION("""COMPUTED_VALUE""")," |  |  | ")</f>
        <v> |  |  | </v>
      </c>
      <c r="B5077" s="93"/>
    </row>
    <row r="5078">
      <c r="A5078" s="384" t="str">
        <f>IFERROR(__xludf.DUMMYFUNCTION("""COMPUTED_VALUE""")," |  |  | ")</f>
        <v> |  |  | </v>
      </c>
      <c r="B5078" s="93"/>
    </row>
    <row r="5079">
      <c r="A5079" s="384" t="str">
        <f>IFERROR(__xludf.DUMMYFUNCTION("""COMPUTED_VALUE""")," |  |  | ")</f>
        <v> |  |  | </v>
      </c>
      <c r="B5079" s="93"/>
    </row>
    <row r="5080">
      <c r="A5080" s="384" t="str">
        <f>IFERROR(__xludf.DUMMYFUNCTION("""COMPUTED_VALUE""")," |  |  | ")</f>
        <v> |  |  | </v>
      </c>
      <c r="B5080" s="93"/>
    </row>
    <row r="5081">
      <c r="A5081" s="384" t="str">
        <f>IFERROR(__xludf.DUMMYFUNCTION("""COMPUTED_VALUE""")," |  |  | ")</f>
        <v> |  |  | </v>
      </c>
      <c r="B5081" s="93"/>
    </row>
    <row r="5082">
      <c r="A5082" s="384" t="str">
        <f>IFERROR(__xludf.DUMMYFUNCTION("""COMPUTED_VALUE""")," |  |  | ")</f>
        <v> |  |  | </v>
      </c>
      <c r="B5082" s="93"/>
    </row>
    <row r="5083">
      <c r="A5083" s="384" t="str">
        <f>IFERROR(__xludf.DUMMYFUNCTION("""COMPUTED_VALUE""")," |  |  | ")</f>
        <v> |  |  | </v>
      </c>
      <c r="B5083" s="93"/>
    </row>
    <row r="5084">
      <c r="A5084" s="384" t="str">
        <f>IFERROR(__xludf.DUMMYFUNCTION("""COMPUTED_VALUE""")," |  |  | ")</f>
        <v> |  |  | </v>
      </c>
      <c r="B5084" s="93"/>
    </row>
    <row r="5085">
      <c r="A5085" s="384" t="str">
        <f>IFERROR(__xludf.DUMMYFUNCTION("""COMPUTED_VALUE""")," |  |  | ")</f>
        <v> |  |  | </v>
      </c>
      <c r="B5085" s="93"/>
    </row>
    <row r="5086">
      <c r="A5086" s="384" t="str">
        <f>IFERROR(__xludf.DUMMYFUNCTION("""COMPUTED_VALUE""")," |  |  | ")</f>
        <v> |  |  | </v>
      </c>
      <c r="B5086" s="93"/>
    </row>
    <row r="5087">
      <c r="A5087" s="384" t="str">
        <f>IFERROR(__xludf.DUMMYFUNCTION("""COMPUTED_VALUE""")," |  |  | ")</f>
        <v> |  |  | </v>
      </c>
      <c r="B5087" s="93"/>
    </row>
    <row r="5088">
      <c r="A5088" s="384" t="str">
        <f>IFERROR(__xludf.DUMMYFUNCTION("""COMPUTED_VALUE""")," |  |  | ")</f>
        <v> |  |  | </v>
      </c>
      <c r="B5088" s="93"/>
    </row>
    <row r="5089">
      <c r="A5089" s="384" t="str">
        <f>IFERROR(__xludf.DUMMYFUNCTION("""COMPUTED_VALUE""")," |  |  | ")</f>
        <v> |  |  | </v>
      </c>
      <c r="B5089" s="93"/>
    </row>
    <row r="5090">
      <c r="A5090" s="384" t="str">
        <f>IFERROR(__xludf.DUMMYFUNCTION("""COMPUTED_VALUE""")," |  |  | ")</f>
        <v> |  |  | </v>
      </c>
      <c r="B5090" s="93"/>
    </row>
    <row r="5091">
      <c r="A5091" s="384" t="str">
        <f>IFERROR(__xludf.DUMMYFUNCTION("""COMPUTED_VALUE""")," |  |  | ")</f>
        <v> |  |  | </v>
      </c>
      <c r="B5091" s="93"/>
    </row>
    <row r="5092">
      <c r="A5092" s="384" t="str">
        <f>IFERROR(__xludf.DUMMYFUNCTION("""COMPUTED_VALUE""")," |  |  | ")</f>
        <v> |  |  | </v>
      </c>
      <c r="B5092" s="93"/>
    </row>
    <row r="5093">
      <c r="A5093" s="384" t="str">
        <f>IFERROR(__xludf.DUMMYFUNCTION("""COMPUTED_VALUE""")," |  |  | ")</f>
        <v> |  |  | </v>
      </c>
      <c r="B5093" s="93"/>
    </row>
    <row r="5094">
      <c r="A5094" s="384" t="str">
        <f>IFERROR(__xludf.DUMMYFUNCTION("""COMPUTED_VALUE""")," |  |  | ")</f>
        <v> |  |  | </v>
      </c>
      <c r="B5094" s="93"/>
    </row>
    <row r="5095">
      <c r="A5095" s="384" t="str">
        <f>IFERROR(__xludf.DUMMYFUNCTION("""COMPUTED_VALUE""")," |  |  | ")</f>
        <v> |  |  | </v>
      </c>
      <c r="B5095" s="93"/>
    </row>
    <row r="5096">
      <c r="A5096" s="384" t="str">
        <f>IFERROR(__xludf.DUMMYFUNCTION("""COMPUTED_VALUE""")," |  |  | ")</f>
        <v> |  |  | </v>
      </c>
      <c r="B5096" s="93"/>
    </row>
    <row r="5097">
      <c r="A5097" s="384" t="str">
        <f>IFERROR(__xludf.DUMMYFUNCTION("""COMPUTED_VALUE""")," |  |  | ")</f>
        <v> |  |  | </v>
      </c>
      <c r="B5097" s="93"/>
    </row>
    <row r="5098">
      <c r="A5098" s="384" t="str">
        <f>IFERROR(__xludf.DUMMYFUNCTION("""COMPUTED_VALUE""")," |  |  | ")</f>
        <v> |  |  | </v>
      </c>
      <c r="B5098" s="93"/>
    </row>
    <row r="5099">
      <c r="A5099" s="384" t="str">
        <f>IFERROR(__xludf.DUMMYFUNCTION("""COMPUTED_VALUE""")," |  |  | ")</f>
        <v> |  |  | </v>
      </c>
      <c r="B5099" s="93"/>
    </row>
    <row r="5100">
      <c r="A5100" s="384" t="str">
        <f>IFERROR(__xludf.DUMMYFUNCTION("""COMPUTED_VALUE""")," |  |  | ")</f>
        <v> |  |  | </v>
      </c>
      <c r="B5100" s="93"/>
    </row>
    <row r="5101">
      <c r="A5101" s="384" t="str">
        <f>IFERROR(__xludf.DUMMYFUNCTION("""COMPUTED_VALUE""")," |  |  | ")</f>
        <v> |  |  | </v>
      </c>
      <c r="B5101" s="93"/>
    </row>
    <row r="5102">
      <c r="A5102" s="384" t="str">
        <f>IFERROR(__xludf.DUMMYFUNCTION("""COMPUTED_VALUE""")," |  |  | ")</f>
        <v> |  |  | </v>
      </c>
      <c r="B5102" s="93"/>
    </row>
    <row r="5103">
      <c r="A5103" s="384" t="str">
        <f>IFERROR(__xludf.DUMMYFUNCTION("""COMPUTED_VALUE""")," |  |  | ")</f>
        <v> |  |  | </v>
      </c>
      <c r="B5103" s="93"/>
    </row>
    <row r="5104">
      <c r="A5104" s="384" t="str">
        <f>IFERROR(__xludf.DUMMYFUNCTION("""COMPUTED_VALUE""")," |  |  | ")</f>
        <v> |  |  | </v>
      </c>
      <c r="B5104" s="93"/>
    </row>
    <row r="5105">
      <c r="A5105" s="384" t="str">
        <f>IFERROR(__xludf.DUMMYFUNCTION("""COMPUTED_VALUE""")," |  |  | ")</f>
        <v> |  |  | </v>
      </c>
      <c r="B5105" s="93"/>
    </row>
    <row r="5106">
      <c r="A5106" s="384" t="str">
        <f>IFERROR(__xludf.DUMMYFUNCTION("""COMPUTED_VALUE""")," |  |  | ")</f>
        <v> |  |  | </v>
      </c>
      <c r="B5106" s="93"/>
    </row>
    <row r="5107">
      <c r="A5107" s="384" t="str">
        <f>IFERROR(__xludf.DUMMYFUNCTION("""COMPUTED_VALUE""")," |  |  | ")</f>
        <v> |  |  | </v>
      </c>
      <c r="B5107" s="93"/>
    </row>
    <row r="5108">
      <c r="A5108" s="384" t="str">
        <f>IFERROR(__xludf.DUMMYFUNCTION("""COMPUTED_VALUE""")," |  |  | ")</f>
        <v> |  |  | </v>
      </c>
      <c r="B5108" s="93"/>
    </row>
    <row r="5109">
      <c r="A5109" s="384" t="str">
        <f>IFERROR(__xludf.DUMMYFUNCTION("""COMPUTED_VALUE""")," |  |  | ")</f>
        <v> |  |  | </v>
      </c>
      <c r="B5109" s="93"/>
    </row>
    <row r="5110">
      <c r="A5110" s="384" t="str">
        <f>IFERROR(__xludf.DUMMYFUNCTION("""COMPUTED_VALUE""")," |  |  | ")</f>
        <v> |  |  | </v>
      </c>
      <c r="B5110" s="93"/>
    </row>
    <row r="5111">
      <c r="A5111" s="384" t="str">
        <f>IFERROR(__xludf.DUMMYFUNCTION("""COMPUTED_VALUE""")," |  |  | ")</f>
        <v> |  |  | </v>
      </c>
      <c r="B5111" s="93"/>
    </row>
    <row r="5112">
      <c r="A5112" s="384" t="str">
        <f>IFERROR(__xludf.DUMMYFUNCTION("""COMPUTED_VALUE""")," |  |  | ")</f>
        <v> |  |  | </v>
      </c>
      <c r="B5112" s="93"/>
    </row>
    <row r="5113">
      <c r="A5113" s="384" t="str">
        <f>IFERROR(__xludf.DUMMYFUNCTION("""COMPUTED_VALUE""")," |  |  | ")</f>
        <v> |  |  | </v>
      </c>
      <c r="B5113" s="93"/>
    </row>
    <row r="5114">
      <c r="A5114" s="384" t="str">
        <f>IFERROR(__xludf.DUMMYFUNCTION("""COMPUTED_VALUE""")," |  |  | ")</f>
        <v> |  |  | </v>
      </c>
      <c r="B5114" s="93"/>
    </row>
    <row r="5115">
      <c r="A5115" s="384" t="str">
        <f>IFERROR(__xludf.DUMMYFUNCTION("""COMPUTED_VALUE""")," |  |  | ")</f>
        <v> |  |  | </v>
      </c>
      <c r="B5115" s="93"/>
    </row>
    <row r="5116">
      <c r="A5116" s="384" t="str">
        <f>IFERROR(__xludf.DUMMYFUNCTION("""COMPUTED_VALUE""")," |  |  | ")</f>
        <v> |  |  | </v>
      </c>
      <c r="B5116" s="93"/>
    </row>
    <row r="5117">
      <c r="A5117" s="384" t="str">
        <f>IFERROR(__xludf.DUMMYFUNCTION("""COMPUTED_VALUE""")," |  |  | ")</f>
        <v> |  |  | </v>
      </c>
      <c r="B5117" s="93"/>
    </row>
    <row r="5118">
      <c r="A5118" s="384" t="str">
        <f>IFERROR(__xludf.DUMMYFUNCTION("""COMPUTED_VALUE""")," |  |  | ")</f>
        <v> |  |  | </v>
      </c>
      <c r="B5118" s="93"/>
    </row>
    <row r="5119">
      <c r="A5119" s="384" t="str">
        <f>IFERROR(__xludf.DUMMYFUNCTION("""COMPUTED_VALUE""")," |  |  | ")</f>
        <v> |  |  | </v>
      </c>
      <c r="B5119" s="93"/>
    </row>
    <row r="5120">
      <c r="A5120" s="384" t="str">
        <f>IFERROR(__xludf.DUMMYFUNCTION("""COMPUTED_VALUE""")," |  |  | ")</f>
        <v> |  |  | </v>
      </c>
      <c r="B5120" s="93"/>
    </row>
    <row r="5121">
      <c r="A5121" s="384" t="str">
        <f>IFERROR(__xludf.DUMMYFUNCTION("""COMPUTED_VALUE""")," |  |  | ")</f>
        <v> |  |  | </v>
      </c>
      <c r="B5121" s="93"/>
    </row>
    <row r="5122">
      <c r="A5122" s="384" t="str">
        <f>IFERROR(__xludf.DUMMYFUNCTION("""COMPUTED_VALUE""")," |  |  | ")</f>
        <v> |  |  | </v>
      </c>
      <c r="B5122" s="93"/>
    </row>
    <row r="5123">
      <c r="A5123" s="384" t="str">
        <f>IFERROR(__xludf.DUMMYFUNCTION("""COMPUTED_VALUE""")," |  |  | ")</f>
        <v> |  |  | </v>
      </c>
      <c r="B5123" s="93"/>
    </row>
    <row r="5124">
      <c r="A5124" s="384" t="str">
        <f>IFERROR(__xludf.DUMMYFUNCTION("""COMPUTED_VALUE""")," |  |  | ")</f>
        <v> |  |  | </v>
      </c>
      <c r="B5124" s="93"/>
    </row>
    <row r="5125">
      <c r="A5125" s="384" t="str">
        <f>IFERROR(__xludf.DUMMYFUNCTION("""COMPUTED_VALUE""")," |  |  | ")</f>
        <v> |  |  | </v>
      </c>
      <c r="B5125" s="93"/>
    </row>
    <row r="5126">
      <c r="A5126" s="384" t="str">
        <f>IFERROR(__xludf.DUMMYFUNCTION("""COMPUTED_VALUE""")," |  |  | ")</f>
        <v> |  |  | </v>
      </c>
      <c r="B5126" s="93"/>
    </row>
    <row r="5127">
      <c r="A5127" s="384" t="str">
        <f>IFERROR(__xludf.DUMMYFUNCTION("""COMPUTED_VALUE""")," |  |  | ")</f>
        <v> |  |  | </v>
      </c>
      <c r="B5127" s="93"/>
    </row>
    <row r="5128">
      <c r="A5128" s="384" t="str">
        <f>IFERROR(__xludf.DUMMYFUNCTION("""COMPUTED_VALUE""")," |  |  | ")</f>
        <v> |  |  | </v>
      </c>
      <c r="B5128" s="93"/>
    </row>
    <row r="5129">
      <c r="A5129" s="384" t="str">
        <f>IFERROR(__xludf.DUMMYFUNCTION("""COMPUTED_VALUE""")," |  |  | ")</f>
        <v> |  |  | </v>
      </c>
      <c r="B5129" s="93"/>
    </row>
    <row r="5130">
      <c r="A5130" s="384" t="str">
        <f>IFERROR(__xludf.DUMMYFUNCTION("""COMPUTED_VALUE""")," |  |  | ")</f>
        <v> |  |  | </v>
      </c>
      <c r="B5130" s="93"/>
    </row>
    <row r="5131">
      <c r="A5131" s="384" t="str">
        <f>IFERROR(__xludf.DUMMYFUNCTION("""COMPUTED_VALUE""")," |  |  | ")</f>
        <v> |  |  | </v>
      </c>
      <c r="B5131" s="93"/>
    </row>
    <row r="5132">
      <c r="A5132" s="384" t="str">
        <f>IFERROR(__xludf.DUMMYFUNCTION("""COMPUTED_VALUE""")," |  |  | ")</f>
        <v> |  |  | </v>
      </c>
      <c r="B5132" s="93"/>
    </row>
    <row r="5133">
      <c r="A5133" s="384" t="str">
        <f>IFERROR(__xludf.DUMMYFUNCTION("""COMPUTED_VALUE""")," |  |  | ")</f>
        <v> |  |  | </v>
      </c>
      <c r="B5133" s="93"/>
    </row>
    <row r="5134">
      <c r="A5134" s="384" t="str">
        <f>IFERROR(__xludf.DUMMYFUNCTION("""COMPUTED_VALUE""")," |  |  | ")</f>
        <v> |  |  | </v>
      </c>
      <c r="B5134" s="93"/>
    </row>
    <row r="5135">
      <c r="A5135" s="384" t="str">
        <f>IFERROR(__xludf.DUMMYFUNCTION("""COMPUTED_VALUE""")," |  |  | ")</f>
        <v> |  |  | </v>
      </c>
      <c r="B5135" s="93"/>
    </row>
    <row r="5136">
      <c r="A5136" s="384" t="str">
        <f>IFERROR(__xludf.DUMMYFUNCTION("""COMPUTED_VALUE""")," |  |  | ")</f>
        <v> |  |  | </v>
      </c>
      <c r="B5136" s="93"/>
    </row>
    <row r="5137">
      <c r="A5137" s="384" t="str">
        <f>IFERROR(__xludf.DUMMYFUNCTION("""COMPUTED_VALUE""")," |  |  | ")</f>
        <v> |  |  | </v>
      </c>
      <c r="B5137" s="93"/>
    </row>
    <row r="5138">
      <c r="A5138" s="384" t="str">
        <f>IFERROR(__xludf.DUMMYFUNCTION("""COMPUTED_VALUE""")," |  |  | ")</f>
        <v> |  |  | </v>
      </c>
      <c r="B5138" s="93"/>
    </row>
    <row r="5139">
      <c r="A5139" s="384" t="str">
        <f>IFERROR(__xludf.DUMMYFUNCTION("""COMPUTED_VALUE""")," |  |  | ")</f>
        <v> |  |  | </v>
      </c>
      <c r="B5139" s="93"/>
    </row>
    <row r="5140">
      <c r="A5140" s="384" t="str">
        <f>IFERROR(__xludf.DUMMYFUNCTION("""COMPUTED_VALUE""")," |  |  | ")</f>
        <v> |  |  | </v>
      </c>
      <c r="B5140" s="93"/>
    </row>
    <row r="5141">
      <c r="A5141" s="384" t="str">
        <f>IFERROR(__xludf.DUMMYFUNCTION("""COMPUTED_VALUE""")," |  |  | ")</f>
        <v> |  |  | </v>
      </c>
      <c r="B5141" s="93"/>
    </row>
    <row r="5142">
      <c r="A5142" s="384" t="str">
        <f>IFERROR(__xludf.DUMMYFUNCTION("""COMPUTED_VALUE""")," |  |  | ")</f>
        <v> |  |  | </v>
      </c>
      <c r="B5142" s="93"/>
    </row>
    <row r="5143">
      <c r="A5143" s="384" t="str">
        <f>IFERROR(__xludf.DUMMYFUNCTION("""COMPUTED_VALUE""")," |  |  | ")</f>
        <v> |  |  | </v>
      </c>
      <c r="B5143" s="93"/>
    </row>
    <row r="5144">
      <c r="A5144" s="384" t="str">
        <f>IFERROR(__xludf.DUMMYFUNCTION("""COMPUTED_VALUE""")," |  |  | ")</f>
        <v> |  |  | </v>
      </c>
      <c r="B5144" s="93"/>
    </row>
    <row r="5145">
      <c r="A5145" s="384" t="str">
        <f>IFERROR(__xludf.DUMMYFUNCTION("""COMPUTED_VALUE""")," |  |  | ")</f>
        <v> |  |  | </v>
      </c>
      <c r="B5145" s="93"/>
    </row>
    <row r="5146">
      <c r="A5146" s="384" t="str">
        <f>IFERROR(__xludf.DUMMYFUNCTION("""COMPUTED_VALUE""")," |  |  | ")</f>
        <v> |  |  | </v>
      </c>
      <c r="B5146" s="93"/>
    </row>
    <row r="5147">
      <c r="A5147" s="384" t="str">
        <f>IFERROR(__xludf.DUMMYFUNCTION("""COMPUTED_VALUE""")," |  |  | ")</f>
        <v> |  |  | </v>
      </c>
      <c r="B5147" s="93"/>
    </row>
    <row r="5148">
      <c r="A5148" s="384" t="str">
        <f>IFERROR(__xludf.DUMMYFUNCTION("""COMPUTED_VALUE""")," |  |  | ")</f>
        <v> |  |  | </v>
      </c>
      <c r="B5148" s="93"/>
    </row>
    <row r="5149">
      <c r="A5149" s="384" t="str">
        <f>IFERROR(__xludf.DUMMYFUNCTION("""COMPUTED_VALUE""")," |  |  | ")</f>
        <v> |  |  | </v>
      </c>
      <c r="B5149" s="93"/>
    </row>
    <row r="5150">
      <c r="A5150" s="384" t="str">
        <f>IFERROR(__xludf.DUMMYFUNCTION("""COMPUTED_VALUE""")," |  |  | ")</f>
        <v> |  |  | </v>
      </c>
      <c r="B5150" s="93"/>
    </row>
    <row r="5151">
      <c r="A5151" s="384" t="str">
        <f>IFERROR(__xludf.DUMMYFUNCTION("""COMPUTED_VALUE""")," |  |  | ")</f>
        <v> |  |  | </v>
      </c>
      <c r="B5151" s="93"/>
    </row>
    <row r="5152">
      <c r="A5152" s="384" t="str">
        <f>IFERROR(__xludf.DUMMYFUNCTION("""COMPUTED_VALUE""")," |  |  | ")</f>
        <v> |  |  | </v>
      </c>
      <c r="B5152" s="93"/>
    </row>
    <row r="5153">
      <c r="A5153" s="384" t="str">
        <f>IFERROR(__xludf.DUMMYFUNCTION("""COMPUTED_VALUE""")," |  |  | ")</f>
        <v> |  |  | </v>
      </c>
      <c r="B5153" s="93"/>
    </row>
    <row r="5154">
      <c r="A5154" s="384" t="str">
        <f>IFERROR(__xludf.DUMMYFUNCTION("""COMPUTED_VALUE""")," |  |  | ")</f>
        <v> |  |  | </v>
      </c>
      <c r="B5154" s="93"/>
    </row>
    <row r="5155">
      <c r="A5155" s="384" t="str">
        <f>IFERROR(__xludf.DUMMYFUNCTION("""COMPUTED_VALUE""")," |  |  | ")</f>
        <v> |  |  | </v>
      </c>
      <c r="B5155" s="93"/>
    </row>
    <row r="5156">
      <c r="A5156" s="384" t="str">
        <f>IFERROR(__xludf.DUMMYFUNCTION("""COMPUTED_VALUE""")," |  |  | ")</f>
        <v> |  |  | </v>
      </c>
      <c r="B5156" s="93"/>
    </row>
    <row r="5157">
      <c r="A5157" s="384" t="str">
        <f>IFERROR(__xludf.DUMMYFUNCTION("""COMPUTED_VALUE""")," |  |  | ")</f>
        <v> |  |  | </v>
      </c>
      <c r="B5157" s="93"/>
    </row>
    <row r="5158">
      <c r="A5158" s="384" t="str">
        <f>IFERROR(__xludf.DUMMYFUNCTION("""COMPUTED_VALUE""")," |  |  | ")</f>
        <v> |  |  | </v>
      </c>
      <c r="B5158" s="93"/>
    </row>
    <row r="5159">
      <c r="A5159" s="384" t="str">
        <f>IFERROR(__xludf.DUMMYFUNCTION("""COMPUTED_VALUE""")," |  |  | ")</f>
        <v> |  |  | </v>
      </c>
      <c r="B5159" s="93"/>
    </row>
    <row r="5160">
      <c r="A5160" s="384" t="str">
        <f>IFERROR(__xludf.DUMMYFUNCTION("""COMPUTED_VALUE""")," |  |  | ")</f>
        <v> |  |  | </v>
      </c>
      <c r="B5160" s="93"/>
    </row>
    <row r="5161">
      <c r="A5161" s="384" t="str">
        <f>IFERROR(__xludf.DUMMYFUNCTION("""COMPUTED_VALUE""")," |  |  | ")</f>
        <v> |  |  | </v>
      </c>
      <c r="B5161" s="93"/>
    </row>
    <row r="5162">
      <c r="A5162" s="384" t="str">
        <f>IFERROR(__xludf.DUMMYFUNCTION("""COMPUTED_VALUE""")," |  |  | ")</f>
        <v> |  |  | </v>
      </c>
      <c r="B5162" s="93"/>
    </row>
    <row r="5163">
      <c r="A5163" s="384" t="str">
        <f>IFERROR(__xludf.DUMMYFUNCTION("""COMPUTED_VALUE""")," |  |  | ")</f>
        <v> |  |  | </v>
      </c>
      <c r="B5163" s="93"/>
    </row>
    <row r="5164">
      <c r="A5164" s="384" t="str">
        <f>IFERROR(__xludf.DUMMYFUNCTION("""COMPUTED_VALUE""")," |  |  | ")</f>
        <v> |  |  | </v>
      </c>
      <c r="B5164" s="93"/>
    </row>
    <row r="5165">
      <c r="A5165" s="384" t="str">
        <f>IFERROR(__xludf.DUMMYFUNCTION("""COMPUTED_VALUE""")," |  |  | ")</f>
        <v> |  |  | </v>
      </c>
      <c r="B5165" s="93"/>
    </row>
    <row r="5166">
      <c r="A5166" s="384" t="str">
        <f>IFERROR(__xludf.DUMMYFUNCTION("""COMPUTED_VALUE""")," |  |  | ")</f>
        <v> |  |  | </v>
      </c>
      <c r="B5166" s="93"/>
    </row>
    <row r="5167">
      <c r="A5167" s="384" t="str">
        <f>IFERROR(__xludf.DUMMYFUNCTION("""COMPUTED_VALUE""")," |  |  | ")</f>
        <v> |  |  | </v>
      </c>
      <c r="B5167" s="93"/>
    </row>
    <row r="5168">
      <c r="A5168" s="384" t="str">
        <f>IFERROR(__xludf.DUMMYFUNCTION("""COMPUTED_VALUE""")," |  |  | ")</f>
        <v> |  |  | </v>
      </c>
      <c r="B5168" s="93"/>
    </row>
    <row r="5169">
      <c r="A5169" s="384" t="str">
        <f>IFERROR(__xludf.DUMMYFUNCTION("""COMPUTED_VALUE""")," |  |  | ")</f>
        <v> |  |  | </v>
      </c>
      <c r="B5169" s="93"/>
    </row>
    <row r="5170">
      <c r="A5170" s="384" t="str">
        <f>IFERROR(__xludf.DUMMYFUNCTION("""COMPUTED_VALUE""")," |  |  | ")</f>
        <v> |  |  | </v>
      </c>
      <c r="B5170" s="93"/>
    </row>
    <row r="5171">
      <c r="A5171" s="384" t="str">
        <f>IFERROR(__xludf.DUMMYFUNCTION("""COMPUTED_VALUE""")," |  |  | ")</f>
        <v> |  |  | </v>
      </c>
      <c r="B5171" s="93"/>
    </row>
    <row r="5172">
      <c r="A5172" s="384" t="str">
        <f>IFERROR(__xludf.DUMMYFUNCTION("""COMPUTED_VALUE""")," |  |  | ")</f>
        <v> |  |  | </v>
      </c>
      <c r="B5172" s="93"/>
    </row>
    <row r="5173">
      <c r="A5173" s="384" t="str">
        <f>IFERROR(__xludf.DUMMYFUNCTION("""COMPUTED_VALUE""")," |  |  | ")</f>
        <v> |  |  | </v>
      </c>
      <c r="B5173" s="93"/>
    </row>
    <row r="5174">
      <c r="A5174" s="384" t="str">
        <f>IFERROR(__xludf.DUMMYFUNCTION("""COMPUTED_VALUE""")," |  |  | ")</f>
        <v> |  |  | </v>
      </c>
      <c r="B5174" s="93"/>
    </row>
    <row r="5175">
      <c r="A5175" s="384" t="str">
        <f>IFERROR(__xludf.DUMMYFUNCTION("""COMPUTED_VALUE""")," |  |  | ")</f>
        <v> |  |  | </v>
      </c>
      <c r="B5175" s="93"/>
    </row>
    <row r="5176">
      <c r="A5176" s="384" t="str">
        <f>IFERROR(__xludf.DUMMYFUNCTION("""COMPUTED_VALUE""")," |  |  | ")</f>
        <v> |  |  | </v>
      </c>
      <c r="B5176" s="93"/>
    </row>
    <row r="5177">
      <c r="A5177" s="384" t="str">
        <f>IFERROR(__xludf.DUMMYFUNCTION("""COMPUTED_VALUE""")," |  |  | ")</f>
        <v> |  |  | </v>
      </c>
      <c r="B5177" s="93"/>
    </row>
    <row r="5178">
      <c r="A5178" s="384" t="str">
        <f>IFERROR(__xludf.DUMMYFUNCTION("""COMPUTED_VALUE""")," |  |  | ")</f>
        <v> |  |  | </v>
      </c>
      <c r="B5178" s="93"/>
    </row>
    <row r="5179">
      <c r="A5179" s="384" t="str">
        <f>IFERROR(__xludf.DUMMYFUNCTION("""COMPUTED_VALUE""")," |  |  | ")</f>
        <v> |  |  | </v>
      </c>
      <c r="B5179" s="93"/>
    </row>
    <row r="5180">
      <c r="A5180" s="384" t="str">
        <f>IFERROR(__xludf.DUMMYFUNCTION("""COMPUTED_VALUE""")," |  |  | ")</f>
        <v> |  |  | </v>
      </c>
      <c r="B5180" s="93"/>
    </row>
    <row r="5181">
      <c r="A5181" s="384" t="str">
        <f>IFERROR(__xludf.DUMMYFUNCTION("""COMPUTED_VALUE""")," |  |  | ")</f>
        <v> |  |  | </v>
      </c>
      <c r="B5181" s="93"/>
    </row>
    <row r="5182">
      <c r="A5182" s="384" t="str">
        <f>IFERROR(__xludf.DUMMYFUNCTION("""COMPUTED_VALUE""")," |  |  | ")</f>
        <v> |  |  | </v>
      </c>
      <c r="B5182" s="93"/>
    </row>
    <row r="5183">
      <c r="A5183" s="384" t="str">
        <f>IFERROR(__xludf.DUMMYFUNCTION("""COMPUTED_VALUE""")," |  |  | ")</f>
        <v> |  |  | </v>
      </c>
      <c r="B5183" s="93"/>
    </row>
    <row r="5184">
      <c r="A5184" s="384" t="str">
        <f>IFERROR(__xludf.DUMMYFUNCTION("""COMPUTED_VALUE""")," |  |  | ")</f>
        <v> |  |  | </v>
      </c>
      <c r="B5184" s="93"/>
    </row>
    <row r="5185">
      <c r="A5185" s="384" t="str">
        <f>IFERROR(__xludf.DUMMYFUNCTION("""COMPUTED_VALUE""")," |  |  | ")</f>
        <v> |  |  | </v>
      </c>
      <c r="B5185" s="93"/>
    </row>
    <row r="5186">
      <c r="A5186" s="384" t="str">
        <f>IFERROR(__xludf.DUMMYFUNCTION("""COMPUTED_VALUE""")," |  |  | ")</f>
        <v> |  |  | </v>
      </c>
      <c r="B5186" s="93"/>
    </row>
    <row r="5187">
      <c r="A5187" s="384" t="str">
        <f>IFERROR(__xludf.DUMMYFUNCTION("""COMPUTED_VALUE""")," |  |  | ")</f>
        <v> |  |  | </v>
      </c>
      <c r="B5187" s="93"/>
    </row>
    <row r="5188">
      <c r="A5188" s="384" t="str">
        <f>IFERROR(__xludf.DUMMYFUNCTION("""COMPUTED_VALUE""")," |  |  | ")</f>
        <v> |  |  | </v>
      </c>
      <c r="B5188" s="93"/>
    </row>
    <row r="5189">
      <c r="A5189" s="384" t="str">
        <f>IFERROR(__xludf.DUMMYFUNCTION("""COMPUTED_VALUE""")," |  |  | ")</f>
        <v> |  |  | </v>
      </c>
      <c r="B5189" s="93"/>
    </row>
    <row r="5190">
      <c r="A5190" s="384" t="str">
        <f>IFERROR(__xludf.DUMMYFUNCTION("""COMPUTED_VALUE""")," |  |  | ")</f>
        <v> |  |  | </v>
      </c>
      <c r="B5190" s="93"/>
    </row>
    <row r="5191">
      <c r="A5191" s="384" t="str">
        <f>IFERROR(__xludf.DUMMYFUNCTION("""COMPUTED_VALUE""")," |  |  | ")</f>
        <v> |  |  | </v>
      </c>
      <c r="B5191" s="93"/>
    </row>
    <row r="5192">
      <c r="A5192" s="384" t="str">
        <f>IFERROR(__xludf.DUMMYFUNCTION("""COMPUTED_VALUE""")," |  |  | ")</f>
        <v> |  |  | </v>
      </c>
      <c r="B5192" s="93"/>
    </row>
    <row r="5193">
      <c r="A5193" s="384" t="str">
        <f>IFERROR(__xludf.DUMMYFUNCTION("""COMPUTED_VALUE""")," |  |  | ")</f>
        <v> |  |  | </v>
      </c>
      <c r="B5193" s="93"/>
    </row>
    <row r="5194">
      <c r="A5194" s="384" t="str">
        <f>IFERROR(__xludf.DUMMYFUNCTION("""COMPUTED_VALUE""")," |  |  | ")</f>
        <v> |  |  | </v>
      </c>
      <c r="B5194" s="93"/>
    </row>
    <row r="5195">
      <c r="A5195" s="384" t="str">
        <f>IFERROR(__xludf.DUMMYFUNCTION("""COMPUTED_VALUE""")," |  |  | ")</f>
        <v> |  |  | </v>
      </c>
      <c r="B5195" s="93"/>
    </row>
    <row r="5196">
      <c r="A5196" s="384" t="str">
        <f>IFERROR(__xludf.DUMMYFUNCTION("""COMPUTED_VALUE""")," |  |  | ")</f>
        <v> |  |  | </v>
      </c>
      <c r="B5196" s="93"/>
    </row>
    <row r="5197">
      <c r="A5197" s="384" t="str">
        <f>IFERROR(__xludf.DUMMYFUNCTION("""COMPUTED_VALUE""")," |  |  | ")</f>
        <v> |  |  | </v>
      </c>
      <c r="B5197" s="93"/>
    </row>
    <row r="5198">
      <c r="A5198" s="384" t="str">
        <f>IFERROR(__xludf.DUMMYFUNCTION("""COMPUTED_VALUE""")," |  |  | ")</f>
        <v> |  |  | </v>
      </c>
      <c r="B5198" s="93"/>
    </row>
    <row r="5199">
      <c r="A5199" s="384" t="str">
        <f>IFERROR(__xludf.DUMMYFUNCTION("""COMPUTED_VALUE""")," |  |  | ")</f>
        <v> |  |  | </v>
      </c>
      <c r="B5199" s="93"/>
    </row>
    <row r="5200">
      <c r="A5200" s="384" t="str">
        <f>IFERROR(__xludf.DUMMYFUNCTION("""COMPUTED_VALUE""")," |  |  | ")</f>
        <v> |  |  | </v>
      </c>
      <c r="B5200" s="93"/>
    </row>
    <row r="5201">
      <c r="A5201" s="384" t="str">
        <f>IFERROR(__xludf.DUMMYFUNCTION("""COMPUTED_VALUE""")," |  |  | ")</f>
        <v> |  |  | </v>
      </c>
      <c r="B5201" s="93"/>
    </row>
    <row r="5202">
      <c r="A5202" s="384" t="str">
        <f>IFERROR(__xludf.DUMMYFUNCTION("""COMPUTED_VALUE""")," |  |  | ")</f>
        <v> |  |  | </v>
      </c>
      <c r="B5202" s="93"/>
    </row>
    <row r="5203">
      <c r="A5203" s="384" t="str">
        <f>IFERROR(__xludf.DUMMYFUNCTION("""COMPUTED_VALUE""")," |  |  | ")</f>
        <v> |  |  | </v>
      </c>
      <c r="B5203" s="93"/>
    </row>
    <row r="5204">
      <c r="A5204" s="384" t="str">
        <f>IFERROR(__xludf.DUMMYFUNCTION("""COMPUTED_VALUE""")," |  |  | ")</f>
        <v> |  |  | </v>
      </c>
      <c r="B5204" s="93"/>
    </row>
    <row r="5205">
      <c r="A5205" s="384" t="str">
        <f>IFERROR(__xludf.DUMMYFUNCTION("""COMPUTED_VALUE""")," |  |  | ")</f>
        <v> |  |  | </v>
      </c>
      <c r="B5205" s="93"/>
    </row>
    <row r="5206">
      <c r="A5206" s="384" t="str">
        <f>IFERROR(__xludf.DUMMYFUNCTION("""COMPUTED_VALUE""")," |  |  | ")</f>
        <v> |  |  | </v>
      </c>
      <c r="B5206" s="93"/>
    </row>
    <row r="5207">
      <c r="A5207" s="384" t="str">
        <f>IFERROR(__xludf.DUMMYFUNCTION("""COMPUTED_VALUE""")," |  |  | ")</f>
        <v> |  |  | </v>
      </c>
      <c r="B5207" s="93"/>
    </row>
    <row r="5208">
      <c r="A5208" s="384" t="str">
        <f>IFERROR(__xludf.DUMMYFUNCTION("""COMPUTED_VALUE""")," |  |  | ")</f>
        <v> |  |  | </v>
      </c>
      <c r="B5208" s="93"/>
    </row>
    <row r="5209">
      <c r="A5209" s="384" t="str">
        <f>IFERROR(__xludf.DUMMYFUNCTION("""COMPUTED_VALUE""")," |  |  | ")</f>
        <v> |  |  | </v>
      </c>
      <c r="B5209" s="93"/>
    </row>
    <row r="5210">
      <c r="A5210" s="384" t="str">
        <f>IFERROR(__xludf.DUMMYFUNCTION("""COMPUTED_VALUE""")," |  |  | ")</f>
        <v> |  |  | </v>
      </c>
      <c r="B5210" s="93"/>
    </row>
    <row r="5211">
      <c r="A5211" s="384" t="str">
        <f>IFERROR(__xludf.DUMMYFUNCTION("""COMPUTED_VALUE""")," |  |  | ")</f>
        <v> |  |  | </v>
      </c>
      <c r="B5211" s="93"/>
    </row>
    <row r="5212">
      <c r="A5212" s="384" t="str">
        <f>IFERROR(__xludf.DUMMYFUNCTION("""COMPUTED_VALUE""")," |  |  | ")</f>
        <v> |  |  | </v>
      </c>
      <c r="B5212" s="93"/>
    </row>
    <row r="5213">
      <c r="A5213" s="384" t="str">
        <f>IFERROR(__xludf.DUMMYFUNCTION("""COMPUTED_VALUE""")," |  |  | ")</f>
        <v> |  |  | </v>
      </c>
      <c r="B5213" s="93"/>
    </row>
    <row r="5214">
      <c r="A5214" s="384" t="str">
        <f>IFERROR(__xludf.DUMMYFUNCTION("""COMPUTED_VALUE""")," |  |  | ")</f>
        <v> |  |  | </v>
      </c>
      <c r="B5214" s="93"/>
    </row>
    <row r="5215">
      <c r="A5215" s="384" t="str">
        <f>IFERROR(__xludf.DUMMYFUNCTION("""COMPUTED_VALUE""")," |  |  | ")</f>
        <v> |  |  | </v>
      </c>
      <c r="B5215" s="93"/>
    </row>
    <row r="5216">
      <c r="A5216" s="384" t="str">
        <f>IFERROR(__xludf.DUMMYFUNCTION("""COMPUTED_VALUE""")," |  |  | ")</f>
        <v> |  |  | </v>
      </c>
      <c r="B5216" s="93"/>
    </row>
    <row r="5217">
      <c r="A5217" s="384" t="str">
        <f>IFERROR(__xludf.DUMMYFUNCTION("""COMPUTED_VALUE""")," |  |  | ")</f>
        <v> |  |  | </v>
      </c>
      <c r="B5217" s="93"/>
    </row>
    <row r="5218">
      <c r="A5218" s="384" t="str">
        <f>IFERROR(__xludf.DUMMYFUNCTION("""COMPUTED_VALUE""")," |  |  | ")</f>
        <v> |  |  | </v>
      </c>
      <c r="B5218" s="93"/>
    </row>
    <row r="5219">
      <c r="A5219" s="384" t="str">
        <f>IFERROR(__xludf.DUMMYFUNCTION("""COMPUTED_VALUE""")," |  |  | ")</f>
        <v> |  |  | </v>
      </c>
      <c r="B5219" s="93"/>
    </row>
    <row r="5220">
      <c r="A5220" s="384" t="str">
        <f>IFERROR(__xludf.DUMMYFUNCTION("""COMPUTED_VALUE""")," |  |  | ")</f>
        <v> |  |  | </v>
      </c>
      <c r="B5220" s="93"/>
    </row>
    <row r="5221">
      <c r="A5221" s="384" t="str">
        <f>IFERROR(__xludf.DUMMYFUNCTION("""COMPUTED_VALUE""")," |  |  | ")</f>
        <v> |  |  | </v>
      </c>
      <c r="B5221" s="93"/>
    </row>
    <row r="5222">
      <c r="A5222" s="384" t="str">
        <f>IFERROR(__xludf.DUMMYFUNCTION("""COMPUTED_VALUE""")," |  |  | ")</f>
        <v> |  |  | </v>
      </c>
      <c r="B5222" s="93"/>
    </row>
    <row r="5223">
      <c r="A5223" s="384" t="str">
        <f>IFERROR(__xludf.DUMMYFUNCTION("""COMPUTED_VALUE""")," |  |  | ")</f>
        <v> |  |  | </v>
      </c>
      <c r="B5223" s="93"/>
    </row>
    <row r="5224">
      <c r="A5224" s="384" t="str">
        <f>IFERROR(__xludf.DUMMYFUNCTION("""COMPUTED_VALUE""")," |  |  | ")</f>
        <v> |  |  | </v>
      </c>
      <c r="B5224" s="93"/>
    </row>
    <row r="5225">
      <c r="A5225" s="384" t="str">
        <f>IFERROR(__xludf.DUMMYFUNCTION("""COMPUTED_VALUE""")," |  |  | ")</f>
        <v> |  |  | </v>
      </c>
      <c r="B5225" s="93"/>
    </row>
    <row r="5226">
      <c r="A5226" s="384" t="str">
        <f>IFERROR(__xludf.DUMMYFUNCTION("""COMPUTED_VALUE""")," |  |  | ")</f>
        <v> |  |  | </v>
      </c>
      <c r="B5226" s="93"/>
    </row>
    <row r="5227">
      <c r="A5227" s="384" t="str">
        <f>IFERROR(__xludf.DUMMYFUNCTION("""COMPUTED_VALUE""")," |  |  | ")</f>
        <v> |  |  | </v>
      </c>
      <c r="B5227" s="93"/>
    </row>
    <row r="5228">
      <c r="A5228" s="384" t="str">
        <f>IFERROR(__xludf.DUMMYFUNCTION("""COMPUTED_VALUE""")," |  |  | ")</f>
        <v> |  |  | </v>
      </c>
      <c r="B5228" s="93"/>
    </row>
    <row r="5229">
      <c r="A5229" s="384" t="str">
        <f>IFERROR(__xludf.DUMMYFUNCTION("""COMPUTED_VALUE""")," |  |  | ")</f>
        <v> |  |  | </v>
      </c>
      <c r="B5229" s="93"/>
    </row>
    <row r="5230">
      <c r="A5230" s="384" t="str">
        <f>IFERROR(__xludf.DUMMYFUNCTION("""COMPUTED_VALUE""")," |  |  | ")</f>
        <v> |  |  | </v>
      </c>
      <c r="B5230" s="93"/>
    </row>
    <row r="5231">
      <c r="A5231" s="384" t="str">
        <f>IFERROR(__xludf.DUMMYFUNCTION("""COMPUTED_VALUE""")," |  |  | ")</f>
        <v> |  |  | </v>
      </c>
      <c r="B5231" s="93"/>
    </row>
    <row r="5232">
      <c r="A5232" s="384" t="str">
        <f>IFERROR(__xludf.DUMMYFUNCTION("""COMPUTED_VALUE""")," |  |  | ")</f>
        <v> |  |  | </v>
      </c>
      <c r="B5232" s="93"/>
    </row>
    <row r="5233">
      <c r="A5233" s="384" t="str">
        <f>IFERROR(__xludf.DUMMYFUNCTION("""COMPUTED_VALUE""")," |  |  | ")</f>
        <v> |  |  | </v>
      </c>
      <c r="B5233" s="93"/>
    </row>
    <row r="5234">
      <c r="A5234" s="384" t="str">
        <f>IFERROR(__xludf.DUMMYFUNCTION("""COMPUTED_VALUE""")," |  |  | ")</f>
        <v> |  |  | </v>
      </c>
      <c r="B5234" s="93"/>
    </row>
    <row r="5235">
      <c r="A5235" s="384" t="str">
        <f>IFERROR(__xludf.DUMMYFUNCTION("""COMPUTED_VALUE""")," |  |  | ")</f>
        <v> |  |  | </v>
      </c>
      <c r="B5235" s="93"/>
    </row>
    <row r="5236">
      <c r="A5236" s="384" t="str">
        <f>IFERROR(__xludf.DUMMYFUNCTION("""COMPUTED_VALUE""")," |  |  | ")</f>
        <v> |  |  | </v>
      </c>
      <c r="B5236" s="93"/>
    </row>
    <row r="5237">
      <c r="A5237" s="384" t="str">
        <f>IFERROR(__xludf.DUMMYFUNCTION("""COMPUTED_VALUE""")," |  |  | ")</f>
        <v> |  |  | </v>
      </c>
      <c r="B5237" s="93"/>
    </row>
    <row r="5238">
      <c r="A5238" s="384" t="str">
        <f>IFERROR(__xludf.DUMMYFUNCTION("""COMPUTED_VALUE""")," |  |  | ")</f>
        <v> |  |  | </v>
      </c>
      <c r="B5238" s="93"/>
    </row>
    <row r="5239">
      <c r="A5239" s="384"/>
      <c r="B5239" s="93"/>
    </row>
    <row r="5240">
      <c r="A5240" s="384"/>
      <c r="B5240" s="93"/>
    </row>
    <row r="5241">
      <c r="A5241" s="384"/>
      <c r="B5241" s="93"/>
    </row>
    <row r="5242">
      <c r="A5242" s="384"/>
      <c r="B5242" s="93"/>
    </row>
    <row r="5243">
      <c r="A5243" s="384"/>
      <c r="B5243" s="93"/>
    </row>
    <row r="5244">
      <c r="A5244" s="384"/>
      <c r="B5244" s="93"/>
    </row>
    <row r="5245">
      <c r="A5245" s="384"/>
      <c r="B5245" s="93"/>
    </row>
    <row r="5246">
      <c r="A5246" s="384"/>
      <c r="B5246" s="93"/>
    </row>
    <row r="5247">
      <c r="A5247" s="384"/>
      <c r="B5247" s="93"/>
    </row>
    <row r="5248">
      <c r="A5248" s="384"/>
      <c r="B5248" s="93"/>
    </row>
    <row r="5249">
      <c r="A5249" s="384"/>
      <c r="B5249" s="93"/>
    </row>
    <row r="5250">
      <c r="A5250" s="384"/>
      <c r="B5250" s="93"/>
    </row>
    <row r="5251">
      <c r="A5251" s="384"/>
      <c r="B5251" s="93"/>
    </row>
    <row r="5252">
      <c r="A5252" s="384"/>
      <c r="B5252" s="93"/>
    </row>
    <row r="5253">
      <c r="A5253" s="384"/>
      <c r="B5253" s="93"/>
    </row>
    <row r="5254">
      <c r="A5254" s="384"/>
      <c r="B5254" s="93"/>
    </row>
    <row r="5255">
      <c r="A5255" s="384"/>
      <c r="B5255" s="93"/>
    </row>
    <row r="5256">
      <c r="A5256" s="384"/>
      <c r="B5256" s="93"/>
    </row>
    <row r="5257">
      <c r="A5257" s="384"/>
      <c r="B5257" s="93"/>
    </row>
    <row r="5258">
      <c r="A5258" s="384"/>
      <c r="B5258" s="93"/>
    </row>
    <row r="5259">
      <c r="A5259" s="384"/>
      <c r="B5259" s="93"/>
    </row>
    <row r="5260">
      <c r="A5260" s="384"/>
      <c r="B5260" s="93"/>
    </row>
    <row r="5261">
      <c r="A5261" s="384"/>
      <c r="B5261" s="93"/>
    </row>
    <row r="5262">
      <c r="A5262" s="384"/>
      <c r="B5262" s="93"/>
    </row>
    <row r="5263">
      <c r="A5263" s="384"/>
      <c r="B5263" s="93"/>
    </row>
    <row r="5264">
      <c r="A5264" s="384"/>
      <c r="B5264" s="93"/>
    </row>
    <row r="5265">
      <c r="A5265" s="384"/>
      <c r="B5265" s="93"/>
    </row>
    <row r="5266">
      <c r="A5266" s="384"/>
      <c r="B5266" s="93"/>
    </row>
    <row r="5267">
      <c r="A5267" s="384"/>
      <c r="B5267" s="93"/>
    </row>
    <row r="5268">
      <c r="A5268" s="384"/>
      <c r="B5268" s="93"/>
    </row>
    <row r="5269">
      <c r="A5269" s="384"/>
      <c r="B5269" s="93"/>
    </row>
    <row r="5270">
      <c r="A5270" s="384"/>
      <c r="B5270" s="93"/>
    </row>
    <row r="5271">
      <c r="A5271" s="384"/>
      <c r="B5271" s="93"/>
    </row>
    <row r="5272">
      <c r="A5272" s="384"/>
      <c r="B5272" s="93"/>
    </row>
    <row r="5273">
      <c r="A5273" s="384"/>
      <c r="B5273" s="93"/>
    </row>
    <row r="5274">
      <c r="A5274" s="384"/>
      <c r="B5274" s="93"/>
    </row>
    <row r="5275">
      <c r="A5275" s="384"/>
      <c r="B5275" s="93"/>
    </row>
    <row r="5276">
      <c r="A5276" s="384"/>
      <c r="B5276" s="93"/>
    </row>
    <row r="5277">
      <c r="A5277" s="384"/>
      <c r="B5277" s="93"/>
    </row>
    <row r="5278">
      <c r="A5278" s="384"/>
      <c r="B5278" s="93"/>
    </row>
    <row r="5279">
      <c r="A5279" s="384"/>
      <c r="B5279" s="93"/>
    </row>
    <row r="5280">
      <c r="A5280" s="384"/>
      <c r="B5280" s="93"/>
    </row>
    <row r="5281">
      <c r="A5281" s="384"/>
      <c r="B5281" s="93"/>
    </row>
    <row r="5282">
      <c r="A5282" s="384"/>
      <c r="B5282" s="93"/>
    </row>
    <row r="5283">
      <c r="A5283" s="384"/>
      <c r="B5283" s="93"/>
    </row>
    <row r="5284">
      <c r="A5284" s="384"/>
      <c r="B5284" s="93"/>
    </row>
    <row r="5285">
      <c r="A5285" s="384"/>
      <c r="B5285" s="93"/>
    </row>
    <row r="5286">
      <c r="A5286" s="384"/>
      <c r="B5286" s="93"/>
    </row>
    <row r="5287">
      <c r="A5287" s="384"/>
      <c r="B5287" s="93"/>
    </row>
    <row r="5288">
      <c r="A5288" s="384"/>
      <c r="B5288" s="93"/>
    </row>
    <row r="5289">
      <c r="A5289" s="384"/>
      <c r="B5289" s="93"/>
    </row>
    <row r="5290">
      <c r="A5290" s="384"/>
      <c r="B5290" s="93"/>
    </row>
    <row r="5291">
      <c r="A5291" s="384"/>
      <c r="B5291" s="93"/>
    </row>
    <row r="5292">
      <c r="A5292" s="384"/>
      <c r="B5292" s="93"/>
    </row>
    <row r="5293">
      <c r="A5293" s="384"/>
      <c r="B5293" s="93"/>
    </row>
    <row r="5294">
      <c r="A5294" s="384"/>
      <c r="B5294" s="93"/>
    </row>
    <row r="5295">
      <c r="A5295" s="384"/>
      <c r="B5295" s="93"/>
    </row>
    <row r="5296">
      <c r="A5296" s="384"/>
      <c r="B5296" s="93"/>
    </row>
    <row r="5297">
      <c r="A5297" s="384"/>
      <c r="B5297" s="93"/>
    </row>
    <row r="5298">
      <c r="A5298" s="384"/>
      <c r="B5298" s="93"/>
    </row>
    <row r="5299">
      <c r="A5299" s="384"/>
      <c r="B5299" s="93"/>
    </row>
    <row r="5300">
      <c r="A5300" s="384"/>
      <c r="B5300" s="93"/>
    </row>
    <row r="5301">
      <c r="A5301" s="384"/>
      <c r="B5301" s="93"/>
    </row>
    <row r="5302">
      <c r="A5302" s="384"/>
      <c r="B5302" s="93"/>
    </row>
    <row r="5303">
      <c r="A5303" s="384"/>
      <c r="B5303" s="93"/>
    </row>
    <row r="5304">
      <c r="A5304" s="384"/>
      <c r="B5304" s="93"/>
    </row>
    <row r="5305">
      <c r="A5305" s="384"/>
      <c r="B5305" s="93"/>
    </row>
    <row r="5306">
      <c r="A5306" s="384"/>
      <c r="B5306" s="93"/>
    </row>
    <row r="5307">
      <c r="A5307" s="384"/>
      <c r="B5307" s="93"/>
    </row>
    <row r="5308">
      <c r="A5308" s="384"/>
      <c r="B5308" s="93"/>
    </row>
    <row r="5309">
      <c r="A5309" s="384"/>
      <c r="B5309" s="93"/>
    </row>
    <row r="5310">
      <c r="A5310" s="384"/>
      <c r="B5310" s="93"/>
    </row>
    <row r="5311">
      <c r="A5311" s="384"/>
      <c r="B5311" s="93"/>
    </row>
    <row r="5312">
      <c r="A5312" s="384"/>
      <c r="B5312" s="93"/>
    </row>
    <row r="5313">
      <c r="A5313" s="384"/>
      <c r="B5313" s="93"/>
    </row>
    <row r="5314">
      <c r="A5314" s="384"/>
      <c r="B5314" s="93"/>
    </row>
    <row r="5315">
      <c r="A5315" s="384"/>
      <c r="B5315" s="93"/>
    </row>
    <row r="5316">
      <c r="A5316" s="384"/>
      <c r="B5316" s="93"/>
    </row>
    <row r="5317">
      <c r="A5317" s="384"/>
      <c r="B5317" s="93"/>
    </row>
    <row r="5318">
      <c r="A5318" s="384"/>
      <c r="B5318" s="93"/>
    </row>
    <row r="5319">
      <c r="A5319" s="384"/>
      <c r="B5319" s="93"/>
    </row>
    <row r="5320">
      <c r="A5320" s="384"/>
      <c r="B5320" s="93"/>
    </row>
    <row r="5321">
      <c r="A5321" s="384"/>
      <c r="B5321" s="93"/>
    </row>
    <row r="5322">
      <c r="A5322" s="384"/>
      <c r="B5322" s="93"/>
    </row>
    <row r="5323">
      <c r="A5323" s="384"/>
      <c r="B5323" s="93"/>
    </row>
    <row r="5324">
      <c r="A5324" s="384"/>
      <c r="B5324" s="93"/>
    </row>
    <row r="5325">
      <c r="A5325" s="384"/>
      <c r="B5325" s="93"/>
    </row>
    <row r="5326">
      <c r="A5326" s="384"/>
      <c r="B5326" s="93"/>
    </row>
    <row r="5327">
      <c r="A5327" s="384"/>
      <c r="B5327" s="93"/>
    </row>
    <row r="5328">
      <c r="A5328" s="384"/>
      <c r="B5328" s="93"/>
    </row>
    <row r="5329">
      <c r="A5329" s="384"/>
      <c r="B5329" s="93"/>
    </row>
    <row r="5330">
      <c r="A5330" s="384"/>
      <c r="B5330" s="93"/>
    </row>
    <row r="5331">
      <c r="A5331" s="384"/>
      <c r="B5331" s="93"/>
    </row>
    <row r="5332">
      <c r="A5332" s="384"/>
      <c r="B5332" s="93"/>
    </row>
    <row r="5333">
      <c r="A5333" s="384"/>
      <c r="B5333" s="93"/>
    </row>
    <row r="5334">
      <c r="A5334" s="384"/>
      <c r="B5334" s="93"/>
    </row>
    <row r="5335">
      <c r="A5335" s="384"/>
      <c r="B5335" s="93"/>
    </row>
    <row r="5336">
      <c r="A5336" s="384"/>
      <c r="B5336" s="93"/>
    </row>
    <row r="5337">
      <c r="A5337" s="384"/>
      <c r="B5337" s="93"/>
    </row>
    <row r="5338">
      <c r="A5338" s="384"/>
      <c r="B5338" s="93"/>
    </row>
    <row r="5339">
      <c r="A5339" s="384"/>
      <c r="B5339" s="93"/>
    </row>
    <row r="5340">
      <c r="A5340" s="384"/>
      <c r="B5340" s="93"/>
    </row>
    <row r="5341">
      <c r="A5341" s="384"/>
      <c r="B5341" s="93"/>
    </row>
    <row r="5342">
      <c r="A5342" s="384"/>
      <c r="B5342" s="93"/>
    </row>
    <row r="5343">
      <c r="A5343" s="384"/>
      <c r="B5343" s="93"/>
    </row>
    <row r="5344">
      <c r="A5344" s="384"/>
      <c r="B5344" s="93"/>
    </row>
    <row r="5345">
      <c r="A5345" s="384"/>
      <c r="B5345" s="93"/>
    </row>
    <row r="5346">
      <c r="A5346" s="384"/>
      <c r="B5346" s="93"/>
    </row>
    <row r="5347">
      <c r="A5347" s="384"/>
      <c r="B5347" s="93"/>
    </row>
    <row r="5348">
      <c r="A5348" s="384"/>
      <c r="B5348" s="93"/>
    </row>
    <row r="5349">
      <c r="A5349" s="384"/>
      <c r="B5349" s="93"/>
    </row>
    <row r="5350">
      <c r="A5350" s="384"/>
      <c r="B5350" s="93"/>
    </row>
    <row r="5351">
      <c r="A5351" s="384"/>
      <c r="B5351" s="93"/>
    </row>
    <row r="5352">
      <c r="A5352" s="384"/>
      <c r="B5352" s="93"/>
    </row>
    <row r="5353">
      <c r="A5353" s="384"/>
      <c r="B5353" s="93"/>
    </row>
    <row r="5354">
      <c r="A5354" s="384"/>
      <c r="B5354" s="93"/>
    </row>
    <row r="5355">
      <c r="A5355" s="384"/>
      <c r="B5355" s="93"/>
    </row>
    <row r="5356">
      <c r="A5356" s="384"/>
      <c r="B5356" s="93"/>
    </row>
    <row r="5357">
      <c r="A5357" s="384"/>
      <c r="B5357" s="93"/>
    </row>
    <row r="5358">
      <c r="A5358" s="384"/>
      <c r="B5358" s="93"/>
    </row>
    <row r="5359">
      <c r="A5359" s="384"/>
      <c r="B5359" s="93"/>
    </row>
    <row r="5360">
      <c r="A5360" s="384"/>
      <c r="B5360" s="93"/>
    </row>
    <row r="5361">
      <c r="A5361" s="384"/>
      <c r="B5361" s="93"/>
    </row>
    <row r="5362">
      <c r="A5362" s="384"/>
      <c r="B5362" s="93"/>
    </row>
    <row r="5363">
      <c r="A5363" s="384"/>
      <c r="B5363" s="93"/>
    </row>
    <row r="5364">
      <c r="A5364" s="384"/>
      <c r="B5364" s="93"/>
    </row>
    <row r="5365">
      <c r="A5365" s="384"/>
      <c r="B5365" s="93"/>
    </row>
    <row r="5366">
      <c r="A5366" s="384"/>
      <c r="B5366" s="93"/>
    </row>
    <row r="5367">
      <c r="A5367" s="384"/>
      <c r="B5367" s="93"/>
    </row>
    <row r="5368">
      <c r="A5368" s="384"/>
      <c r="B5368" s="93"/>
    </row>
    <row r="5369">
      <c r="A5369" s="384"/>
      <c r="B5369" s="93"/>
    </row>
    <row r="5370">
      <c r="A5370" s="384"/>
      <c r="B5370" s="93"/>
    </row>
    <row r="5371">
      <c r="A5371" s="384"/>
      <c r="B5371" s="93"/>
    </row>
    <row r="5372">
      <c r="A5372" s="384"/>
      <c r="B5372" s="93"/>
    </row>
    <row r="5373">
      <c r="A5373" s="384"/>
      <c r="B5373" s="93"/>
    </row>
    <row r="5374">
      <c r="A5374" s="384"/>
      <c r="B5374" s="93"/>
    </row>
    <row r="5375">
      <c r="A5375" s="384"/>
      <c r="B5375" s="93"/>
    </row>
    <row r="5376">
      <c r="A5376" s="384"/>
      <c r="B5376" s="93"/>
    </row>
    <row r="5377">
      <c r="A5377" s="384"/>
      <c r="B5377" s="93"/>
    </row>
    <row r="5378">
      <c r="A5378" s="384"/>
      <c r="B5378" s="93"/>
    </row>
    <row r="5379">
      <c r="A5379" s="384"/>
      <c r="B5379" s="93"/>
    </row>
    <row r="5380">
      <c r="A5380" s="384"/>
      <c r="B5380" s="93"/>
    </row>
    <row r="5381">
      <c r="A5381" s="384"/>
      <c r="B5381" s="93"/>
    </row>
    <row r="5382">
      <c r="A5382" s="384"/>
      <c r="B5382" s="93"/>
    </row>
    <row r="5383">
      <c r="A5383" s="384"/>
      <c r="B5383" s="93"/>
    </row>
    <row r="5384">
      <c r="A5384" s="384"/>
      <c r="B5384" s="93"/>
    </row>
    <row r="5385">
      <c r="A5385" s="384"/>
      <c r="B5385" s="93"/>
    </row>
    <row r="5386">
      <c r="A5386" s="384"/>
      <c r="B5386" s="93"/>
    </row>
    <row r="5387">
      <c r="A5387" s="384"/>
      <c r="B5387" s="93"/>
    </row>
    <row r="5388">
      <c r="A5388" s="384"/>
      <c r="B5388" s="93"/>
    </row>
    <row r="5389">
      <c r="A5389" s="384"/>
      <c r="B5389" s="93"/>
    </row>
    <row r="5390">
      <c r="A5390" s="384"/>
      <c r="B5390" s="93"/>
    </row>
    <row r="5391">
      <c r="A5391" s="384"/>
      <c r="B5391" s="93"/>
    </row>
    <row r="5392">
      <c r="A5392" s="384"/>
      <c r="B5392" s="93"/>
    </row>
    <row r="5393">
      <c r="A5393" s="384"/>
      <c r="B5393" s="93"/>
    </row>
    <row r="5394">
      <c r="A5394" s="384"/>
      <c r="B5394" s="93"/>
    </row>
    <row r="5395">
      <c r="A5395" s="384"/>
      <c r="B5395" s="93"/>
    </row>
    <row r="5396">
      <c r="A5396" s="384"/>
      <c r="B5396" s="93"/>
    </row>
    <row r="5397">
      <c r="A5397" s="384"/>
      <c r="B5397" s="93"/>
    </row>
    <row r="5398">
      <c r="A5398" s="384"/>
      <c r="B5398" s="93"/>
    </row>
    <row r="5399">
      <c r="A5399" s="384"/>
      <c r="B5399" s="93"/>
    </row>
    <row r="5400">
      <c r="A5400" s="384"/>
      <c r="B5400" s="93"/>
    </row>
    <row r="5401">
      <c r="A5401" s="384"/>
      <c r="B5401" s="93"/>
    </row>
    <row r="5402">
      <c r="A5402" s="384"/>
      <c r="B5402" s="93"/>
    </row>
    <row r="5403">
      <c r="A5403" s="384"/>
      <c r="B5403" s="93"/>
    </row>
    <row r="5404">
      <c r="A5404" s="384"/>
      <c r="B5404" s="93"/>
    </row>
    <row r="5405">
      <c r="A5405" s="384"/>
      <c r="B5405" s="93"/>
    </row>
    <row r="5406">
      <c r="A5406" s="384"/>
      <c r="B5406" s="93"/>
    </row>
    <row r="5407">
      <c r="A5407" s="384"/>
      <c r="B5407" s="93"/>
    </row>
    <row r="5408">
      <c r="A5408" s="384"/>
      <c r="B5408" s="93"/>
    </row>
    <row r="5409">
      <c r="A5409" s="384"/>
      <c r="B5409" s="93"/>
    </row>
    <row r="5410">
      <c r="A5410" s="384"/>
      <c r="B5410" s="93"/>
    </row>
    <row r="5411">
      <c r="A5411" s="384"/>
      <c r="B5411" s="93"/>
    </row>
    <row r="5412">
      <c r="A5412" s="384"/>
      <c r="B5412" s="93"/>
    </row>
    <row r="5413">
      <c r="A5413" s="384"/>
      <c r="B5413" s="93"/>
    </row>
    <row r="5414">
      <c r="A5414" s="384"/>
      <c r="B5414" s="93"/>
    </row>
    <row r="5415">
      <c r="A5415" s="384"/>
      <c r="B5415" s="93"/>
    </row>
    <row r="5416">
      <c r="A5416" s="384"/>
      <c r="B5416" s="93"/>
    </row>
    <row r="5417">
      <c r="A5417" s="384"/>
      <c r="B5417" s="93"/>
    </row>
    <row r="5418">
      <c r="A5418" s="384"/>
      <c r="B5418" s="93"/>
    </row>
    <row r="5419">
      <c r="A5419" s="384"/>
      <c r="B5419" s="93"/>
    </row>
    <row r="5420">
      <c r="A5420" s="384"/>
      <c r="B5420" s="93"/>
    </row>
    <row r="5421">
      <c r="A5421" s="384"/>
      <c r="B5421" s="93"/>
    </row>
    <row r="5422">
      <c r="A5422" s="384"/>
      <c r="B5422" s="93"/>
    </row>
    <row r="5423">
      <c r="A5423" s="384"/>
      <c r="B5423" s="93"/>
    </row>
    <row r="5424">
      <c r="A5424" s="384"/>
      <c r="B5424" s="93"/>
    </row>
    <row r="5425">
      <c r="A5425" s="384"/>
      <c r="B5425" s="93"/>
    </row>
    <row r="5426">
      <c r="A5426" s="384"/>
      <c r="B5426" s="93"/>
    </row>
    <row r="5427">
      <c r="A5427" s="384"/>
      <c r="B5427" s="93"/>
    </row>
    <row r="5428">
      <c r="A5428" s="384"/>
      <c r="B5428" s="93"/>
    </row>
    <row r="5429">
      <c r="A5429" s="384"/>
      <c r="B5429" s="93"/>
    </row>
    <row r="5430">
      <c r="A5430" s="384"/>
      <c r="B5430" s="93"/>
    </row>
    <row r="5431">
      <c r="A5431" s="384"/>
      <c r="B5431" s="93"/>
    </row>
    <row r="5432">
      <c r="A5432" s="384"/>
      <c r="B5432" s="93"/>
    </row>
    <row r="5433">
      <c r="A5433" s="384"/>
      <c r="B5433" s="93"/>
    </row>
    <row r="5434">
      <c r="A5434" s="384"/>
      <c r="B5434" s="93"/>
    </row>
    <row r="5435">
      <c r="A5435" s="384"/>
      <c r="B5435" s="93"/>
    </row>
    <row r="5436">
      <c r="A5436" s="384"/>
      <c r="B5436" s="93"/>
    </row>
    <row r="5437">
      <c r="A5437" s="384"/>
      <c r="B5437" s="93"/>
    </row>
    <row r="5438">
      <c r="A5438" s="384"/>
      <c r="B5438" s="93"/>
    </row>
    <row r="5439">
      <c r="A5439" s="384"/>
      <c r="B5439" s="93"/>
    </row>
    <row r="5440">
      <c r="A5440" s="384"/>
      <c r="B5440" s="93"/>
    </row>
    <row r="5441">
      <c r="A5441" s="384"/>
      <c r="B5441" s="93"/>
    </row>
    <row r="5442">
      <c r="A5442" s="384"/>
      <c r="B5442" s="93"/>
    </row>
    <row r="5443">
      <c r="A5443" s="384"/>
      <c r="B5443" s="93"/>
    </row>
    <row r="5444">
      <c r="A5444" s="384"/>
      <c r="B5444" s="93"/>
    </row>
    <row r="5445">
      <c r="A5445" s="384"/>
      <c r="B5445" s="93"/>
    </row>
    <row r="5446">
      <c r="A5446" s="384"/>
      <c r="B5446" s="93"/>
    </row>
    <row r="5447">
      <c r="A5447" s="384"/>
      <c r="B5447" s="93"/>
    </row>
    <row r="5448">
      <c r="A5448" s="384"/>
      <c r="B5448" s="93"/>
    </row>
    <row r="5449">
      <c r="A5449" s="384"/>
      <c r="B5449" s="93"/>
    </row>
    <row r="5450">
      <c r="A5450" s="384"/>
      <c r="B5450" s="93"/>
    </row>
    <row r="5451">
      <c r="A5451" s="384"/>
      <c r="B5451" s="93"/>
    </row>
    <row r="5452">
      <c r="A5452" s="384"/>
      <c r="B5452" s="93"/>
    </row>
    <row r="5453">
      <c r="A5453" s="384"/>
      <c r="B5453" s="93"/>
    </row>
    <row r="5454">
      <c r="A5454" s="384"/>
      <c r="B5454" s="93"/>
    </row>
    <row r="5455">
      <c r="A5455" s="384"/>
      <c r="B5455" s="93"/>
    </row>
    <row r="5456">
      <c r="A5456" s="384"/>
      <c r="B5456" s="93"/>
    </row>
    <row r="5457">
      <c r="A5457" s="384"/>
      <c r="B5457" s="93"/>
    </row>
    <row r="5458">
      <c r="A5458" s="384"/>
      <c r="B5458" s="93"/>
    </row>
    <row r="5459">
      <c r="A5459" s="384"/>
      <c r="B5459" s="93"/>
    </row>
    <row r="5460">
      <c r="A5460" s="384"/>
      <c r="B5460" s="93"/>
    </row>
    <row r="5461">
      <c r="A5461" s="384"/>
      <c r="B5461" s="93"/>
    </row>
    <row r="5462">
      <c r="A5462" s="384"/>
      <c r="B5462" s="93"/>
    </row>
    <row r="5463">
      <c r="A5463" s="384"/>
      <c r="B5463" s="93"/>
    </row>
    <row r="5464">
      <c r="A5464" s="384"/>
      <c r="B5464" s="93"/>
    </row>
    <row r="5465">
      <c r="A5465" s="384"/>
      <c r="B5465" s="93"/>
    </row>
    <row r="5466">
      <c r="A5466" s="384"/>
      <c r="B5466" s="93"/>
    </row>
    <row r="5467">
      <c r="A5467" s="384"/>
      <c r="B5467" s="93"/>
    </row>
    <row r="5468">
      <c r="A5468" s="384"/>
      <c r="B5468" s="93"/>
    </row>
    <row r="5469">
      <c r="A5469" s="384"/>
      <c r="B5469" s="93"/>
    </row>
    <row r="5470">
      <c r="A5470" s="384"/>
      <c r="B5470" s="93"/>
    </row>
  </sheetData>
  <conditionalFormatting sqref="A1:A5470">
    <cfRule type="containsText" dxfId="0" priority="1" operator="containsText" text="Aprovado">
      <formula>NOT(ISERROR(SEARCH(("Aprovado"),(A1))))</formula>
    </cfRule>
  </conditionalFormatting>
  <conditionalFormatting sqref="A1:A5470">
    <cfRule type="containsText" dxfId="0" priority="2" operator="containsText" text="Aprovada">
      <formula>NOT(ISERROR(SEARCH(("Aprovada"),(A1))))</formula>
    </cfRule>
  </conditionalFormatting>
  <conditionalFormatting sqref="A1:A5470">
    <cfRule type="containsText" dxfId="1" priority="3" operator="containsText" text="Em análise">
      <formula>NOT(ISERROR(SEARCH(("Em análise"),(A1))))</formula>
    </cfRule>
  </conditionalFormatting>
  <conditionalFormatting sqref="A1:A5470">
    <cfRule type="containsText" dxfId="2" priority="4" operator="containsText" text="Pré - Aprovado">
      <formula>NOT(ISERROR(SEARCH(("Pré - Aprovado"),(A1))))</formula>
    </cfRule>
  </conditionalFormatting>
  <conditionalFormatting sqref="A2:A5470">
    <cfRule type="notContainsBlanks" dxfId="3" priority="5">
      <formula>LEN(TRIM(A2))&gt;0</formula>
    </cfRule>
  </conditionalFormatting>
  <conditionalFormatting sqref="A1:A5470">
    <cfRule type="containsText" dxfId="4" priority="6" operator="containsText" text="Pré Aprovada">
      <formula>NOT(ISERROR(SEARCH(("Pré Aprovada"),(A1))))</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workbookViewId="0"/>
  </sheetViews>
  <sheetFormatPr customHeight="1" defaultColWidth="12.63" defaultRowHeight="15.75"/>
  <cols>
    <col customWidth="1" min="1" max="1" width="156.5"/>
  </cols>
  <sheetData>
    <row r="1" ht="24.75" customHeight="1">
      <c r="A1" s="389" t="str">
        <f>IFERROR(__xludf.DUMMYFUNCTION("IMPORTRANGE(""https://docs.google.com/spreadsheets/d/12ZODpp63dHkgmzdIvU1HtAWZ5By5Sv_l-XxH8dKK0hQ/edit"", ""NOTAS DOS ALUNOS- Simple!L:L"")
"),"DADOS COMPLETOS")</f>
        <v>DADOS COMPLETOS</v>
      </c>
    </row>
    <row r="2" ht="24.75" customHeight="1">
      <c r="A2" s="390" t="str">
        <f>IFERROR(__xludf.DUMMYFUNCTION("""COMPUTED_VALUE"""),"Formação pedagógica Letras - Português - Formação pedagógica Letras - Português - Teste Waldiney Junior - Deficiência Auditiva e Libras/a - Nota Máxima: 2")</f>
        <v>Formação pedagógica Letras - Português - Formação pedagógica Letras - Português - Teste Waldiney Junior - Deficiência Auditiva e Libras/a - Nota Máxima: 2</v>
      </c>
    </row>
    <row r="3">
      <c r="A3" s="390" t="str">
        <f>IFERROR(__xludf.DUMMYFUNCTION("""COMPUTED_VALUE"""),"Formação pedagógica Letras - Português - Formação pedagógica Letras - Português - Teste Waldiney Junior - Estudos Morfossintáticos da Língua Portuguesa/e - Nota Máxima: 3")</f>
        <v>Formação pedagógica Letras - Português - Formação pedagógica Letras - Português - Teste Waldiney Junior - Estudos Morfossintáticos da Língua Portuguesa/e - Nota Máxima: 3</v>
      </c>
    </row>
    <row r="4">
      <c r="A4" s="390" t="str">
        <f>IFERROR(__xludf.DUMMYFUNCTION("""COMPUTED_VALUE"""),"Formação pedagógica Letras - Português - Formação pedagógica Letras - Português - Teste Waldiney Junior - Metodologia do Ensino da Língua Portuguesa I - Nota Máxima: 4")</f>
        <v>Formação pedagógica Letras - Português - Formação pedagógica Letras - Português - Teste Waldiney Junior - Metodologia do Ensino da Língua Portuguesa I - Nota Máxima: 4</v>
      </c>
    </row>
    <row r="5">
      <c r="A5" s="390" t="str">
        <f>IFERROR(__xludf.DUMMYFUNCTION("""COMPUTED_VALUE"""),"Formação pedagógica Letras - Português - Formação pedagógica Letras - Português - Teste Waldiney Junior - Práticas Pedagógicas - 400 Horas - Nota Máxima: 0")</f>
        <v>Formação pedagógica Letras - Português - Formação pedagógica Letras - Português - Teste Waldiney Junior - Práticas Pedagógicas - 400 Horas - Nota Máxima: 0</v>
      </c>
    </row>
    <row r="6">
      <c r="A6" s="390" t="str">
        <f>IFERROR(__xludf.DUMMYFUNCTION("""COMPUTED_VALUE"""),"Formação pedagógica Letras - Português - Formação pedagógica Letras - Português - Luciana Schmidt - Deficiência Auditiva e Libras/a - Nota Máxima: 10")</f>
        <v>Formação pedagógica Letras - Português - Formação pedagógica Letras - Português - Luciana Schmidt - Deficiência Auditiva e Libras/a - Nota Máxima: 10</v>
      </c>
    </row>
    <row r="7">
      <c r="A7" s="390" t="str">
        <f>IFERROR(__xludf.DUMMYFUNCTION("""COMPUTED_VALUE"""),"Formação pedagógica Letras - Português - Formação pedagógica Letras - Português - Luciana Schmidt - Deficiência Auditiva e Libras/a - Nota Máxima: 9")</f>
        <v>Formação pedagógica Letras - Português - Formação pedagógica Letras - Português - Luciana Schmidt - Deficiência Auditiva e Libras/a - Nota Máxima: 9</v>
      </c>
    </row>
    <row r="8">
      <c r="A8" s="390" t="str">
        <f>IFERROR(__xludf.DUMMYFUNCTION("""COMPUTED_VALUE"""),"Formação pedagógica Letras - Português - Formação pedagógica Letras - Português - Luciana Schmidt - Distúrbios de Aprendizagem na Leitura E Escrita - Nota Máxima: 10")</f>
        <v>Formação pedagógica Letras - Português - Formação pedagógica Letras - Português - Luciana Schmidt - Distúrbios de Aprendizagem na Leitura E Escrita - Nota Máxima: 10</v>
      </c>
    </row>
    <row r="9">
      <c r="A9" s="390" t="str">
        <f>IFERROR(__xludf.DUMMYFUNCTION("""COMPUTED_VALUE"""),"Formação pedagógica Letras - Português - Formação pedagógica Letras - Português - Luciana Schmidt - Distúrbios de Aprendizagem na Leitura E Escrita - Nota Máxima: 10")</f>
        <v>Formação pedagógica Letras - Português - Formação pedagógica Letras - Português - Luciana Schmidt - Distúrbios de Aprendizagem na Leitura E Escrita - Nota Máxima: 10</v>
      </c>
    </row>
    <row r="10">
      <c r="A10" s="390" t="str">
        <f>IFERROR(__xludf.DUMMYFUNCTION("""COMPUTED_VALUE"""),"Formação pedagógica Letras - Português - Formação pedagógica Letras - Português - Luciana Schmidt - Educação Especial, Inclusão Escolar e Adaptações Curriculares - Nota Máxima: 10")</f>
        <v>Formação pedagógica Letras - Português - Formação pedagógica Letras - Português - Luciana Schmidt - Educação Especial, Inclusão Escolar e Adaptações Curriculares - Nota Máxima: 10</v>
      </c>
    </row>
    <row r="11">
      <c r="A11" s="390" t="str">
        <f>IFERROR(__xludf.DUMMYFUNCTION("""COMPUTED_VALUE"""),"Formação pedagógica Letras - Português - Formação pedagógica Letras - Português - Luciana Schmidt - Educação Especial, Inclusão Escolar e Adaptações Curriculares - Nota Máxima: 10")</f>
        <v>Formação pedagógica Letras - Português - Formação pedagógica Letras - Português - Luciana Schmidt - Educação Especial, Inclusão Escolar e Adaptações Curriculares - Nota Máxima: 10</v>
      </c>
    </row>
    <row r="12">
      <c r="A12" s="390" t="str">
        <f>IFERROR(__xludf.DUMMYFUNCTION("""COMPUTED_VALUE"""),"Formação pedagógica Letras - Português - Formação pedagógica Letras - Português - Luciana Schmidt - Educação, História, Cultura e Práticas Indígenas/a - Nota Máxima: 10")</f>
        <v>Formação pedagógica Letras - Português - Formação pedagógica Letras - Português - Luciana Schmidt - Educação, História, Cultura e Práticas Indígenas/a - Nota Máxima: 10</v>
      </c>
    </row>
    <row r="13">
      <c r="A13" s="390" t="str">
        <f>IFERROR(__xludf.DUMMYFUNCTION("""COMPUTED_VALUE"""),"Formação pedagógica Letras - Português - Formação pedagógica Letras - Português - Luciana Schmidt - Educação, História, Cultura e Práticas Indígenas/a - Nota Máxima: 10")</f>
        <v>Formação pedagógica Letras - Português - Formação pedagógica Letras - Português - Luciana Schmidt - Educação, História, Cultura e Práticas Indígenas/a - Nota Máxima: 10</v>
      </c>
    </row>
    <row r="14">
      <c r="A14" s="390" t="str">
        <f>IFERROR(__xludf.DUMMYFUNCTION("""COMPUTED_VALUE"""),"Formação pedagógica Letras - Português - Formação pedagógica Letras - Português - Luciana Schmidt - Estudos Morfossintáticos da Língua Portuguesa/e - Nota Máxima: 10")</f>
        <v>Formação pedagógica Letras - Português - Formação pedagógica Letras - Português - Luciana Schmidt - Estudos Morfossintáticos da Língua Portuguesa/e - Nota Máxima: 10</v>
      </c>
    </row>
    <row r="15">
      <c r="A15" s="390" t="str">
        <f>IFERROR(__xludf.DUMMYFUNCTION("""COMPUTED_VALUE"""),"Formação pedagógica Letras - Português - Formação pedagógica Letras - Português - Luciana Schmidt - Estudos Morfossintáticos da Língua Portuguesa/e - Nota Máxima: 7")</f>
        <v>Formação pedagógica Letras - Português - Formação pedagógica Letras - Português - Luciana Schmidt - Estudos Morfossintáticos da Língua Portuguesa/e - Nota Máxima: 7</v>
      </c>
    </row>
    <row r="16">
      <c r="A16" s="390" t="str">
        <f>IFERROR(__xludf.DUMMYFUNCTION("""COMPUTED_VALUE"""),"Formação pedagógica Letras - Português - Formação pedagógica Letras - Português - Luciana Schmidt - Legislação Educacional/a - Nota Máxima: 10")</f>
        <v>Formação pedagógica Letras - Português - Formação pedagógica Letras - Português - Luciana Schmidt - Legislação Educacional/a - Nota Máxima: 10</v>
      </c>
    </row>
    <row r="17">
      <c r="A17" s="390" t="str">
        <f>IFERROR(__xludf.DUMMYFUNCTION("""COMPUTED_VALUE"""),"Formação pedagógica Letras - Português - Formação pedagógica Letras - Português - Luciana Schmidt - Legislação Educacional/a - Nota Máxima: 10")</f>
        <v>Formação pedagógica Letras - Português - Formação pedagógica Letras - Português - Luciana Schmidt - Legislação Educacional/a - Nota Máxima: 10</v>
      </c>
    </row>
    <row r="18">
      <c r="A18" s="390" t="str">
        <f>IFERROR(__xludf.DUMMYFUNCTION("""COMPUTED_VALUE"""),"Formação pedagógica Letras - Português - Formação pedagógica Letras - Português - Luciana Schmidt - Linguística Aplicada ao Ensino de Português/a - Nota Máxima: 10")</f>
        <v>Formação pedagógica Letras - Português - Formação pedagógica Letras - Português - Luciana Schmidt - Linguística Aplicada ao Ensino de Português/a - Nota Máxima: 10</v>
      </c>
    </row>
    <row r="19">
      <c r="A19" s="390" t="str">
        <f>IFERROR(__xludf.DUMMYFUNCTION("""COMPUTED_VALUE"""),"Formação pedagógica Letras - Português - Formação pedagógica Letras - Português - Luciana Schmidt - Linguística Aplicada ao Ensino de Português/a - Nota Máxima: 10")</f>
        <v>Formação pedagógica Letras - Português - Formação pedagógica Letras - Português - Luciana Schmidt - Linguística Aplicada ao Ensino de Português/a - Nota Máxima: 10</v>
      </c>
    </row>
    <row r="20">
      <c r="A20" s="390" t="str">
        <f>IFERROR(__xludf.DUMMYFUNCTION("""COMPUTED_VALUE"""),"Formação pedagógica Letras - Português - Formação pedagógica Letras - Português - Luciana Schmidt - Metodologia do Ensino da Língua Portuguesa I - Nota Máxima: 10")</f>
        <v>Formação pedagógica Letras - Português - Formação pedagógica Letras - Português - Luciana Schmidt - Metodologia do Ensino da Língua Portuguesa I - Nota Máxima: 10</v>
      </c>
    </row>
    <row r="21">
      <c r="A21" s="390" t="str">
        <f>IFERROR(__xludf.DUMMYFUNCTION("""COMPUTED_VALUE"""),"Formação pedagógica Letras - Português - Formação pedagógica Letras - Português - Luciana Schmidt - Metodologia do Ensino da Língua Portuguesa I - Nota Máxima: 10")</f>
        <v>Formação pedagógica Letras - Português - Formação pedagógica Letras - Português - Luciana Schmidt - Metodologia do Ensino da Língua Portuguesa I - Nota Máxima: 10</v>
      </c>
    </row>
    <row r="22">
      <c r="A22" s="390" t="str">
        <f>IFERROR(__xludf.DUMMYFUNCTION("""COMPUTED_VALUE"""),"Formação pedagógica Letras - Português - Formação pedagógica Letras - Português - Luciana Schmidt - Metodologia do Ensino da Língua Portuguesa II - Nota Máxima: 10")</f>
        <v>Formação pedagógica Letras - Português - Formação pedagógica Letras - Português - Luciana Schmidt - Metodologia do Ensino da Língua Portuguesa II - Nota Máxima: 10</v>
      </c>
    </row>
    <row r="23">
      <c r="A23" s="390" t="str">
        <f>IFERROR(__xludf.DUMMYFUNCTION("""COMPUTED_VALUE"""),"Formação pedagógica Letras - Português - Formação pedagógica Letras - Português - Luciana Schmidt - Metodologia do Ensino da Língua Portuguesa II - Nota Máxima: 9")</f>
        <v>Formação pedagógica Letras - Português - Formação pedagógica Letras - Português - Luciana Schmidt - Metodologia do Ensino da Língua Portuguesa II - Nota Máxima: 9</v>
      </c>
    </row>
    <row r="24">
      <c r="A24" s="390" t="str">
        <f>IFERROR(__xludf.DUMMYFUNCTION("""COMPUTED_VALUE"""),"Formação pedagógica Letras - Português - Formação pedagógica Letras - Português - Luciana Schmidt - Planejamento, Gestão Educacional e Currículo/a - Nota Máxima: 10")</f>
        <v>Formação pedagógica Letras - Português - Formação pedagógica Letras - Português - Luciana Schmidt - Planejamento, Gestão Educacional e Currículo/a - Nota Máxima: 10</v>
      </c>
    </row>
    <row r="25">
      <c r="A25" s="390" t="str">
        <f>IFERROR(__xludf.DUMMYFUNCTION("""COMPUTED_VALUE"""),"Formação pedagógica Letras - Português - Formação pedagógica Letras - Português - Luciana Schmidt - Planejamento, Gestão Educacional e Currículo/a - Nota Máxima: 10")</f>
        <v>Formação pedagógica Letras - Português - Formação pedagógica Letras - Português - Luciana Schmidt - Planejamento, Gestão Educacional e Currículo/a - Nota Máxima: 10</v>
      </c>
    </row>
    <row r="26">
      <c r="A26" s="390" t="str">
        <f>IFERROR(__xludf.DUMMYFUNCTION("""COMPUTED_VALUE"""),"Formação pedagógica Letras - Português - Formação pedagógica Letras - Português - Luciana Schmidt - Práticas Pedagógicas - 400 Horas - Nota Máxima: 10")</f>
        <v>Formação pedagógica Letras - Português - Formação pedagógica Letras - Português - Luciana Schmidt - Práticas Pedagógicas - 400 Horas - Nota Máxima: 10</v>
      </c>
    </row>
    <row r="27">
      <c r="A27" s="390" t="str">
        <f>IFERROR(__xludf.DUMMYFUNCTION("""COMPUTED_VALUE"""),"Formação pedagógica Letras - Português - Formação pedagógica Letras - Português - Luciana Schmidt - Práticas Pedagógicas - 400 Horas - Nota Máxima: 4")</f>
        <v>Formação pedagógica Letras - Português - Formação pedagógica Letras - Português - Luciana Schmidt - Práticas Pedagógicas - 400 Horas - Nota Máxima: 4</v>
      </c>
    </row>
    <row r="28">
      <c r="A28" s="390" t="str">
        <f>IFERROR(__xludf.DUMMYFUNCTION("""COMPUTED_VALUE"""),"Formação pedagógica Letras - Português - Formação pedagógica Letras - Português - Luciana Schmidt - Psicologia da Educação/a - Nota Máxima: 10")</f>
        <v>Formação pedagógica Letras - Português - Formação pedagógica Letras - Português - Luciana Schmidt - Psicologia da Educação/a - Nota Máxima: 10</v>
      </c>
    </row>
    <row r="29">
      <c r="A29" s="390" t="str">
        <f>IFERROR(__xludf.DUMMYFUNCTION("""COMPUTED_VALUE"""),"Formação pedagógica Letras - Português - Formação pedagógica Letras - Português - Luciana Schmidt - Psicologia da Educação/a - Nota Máxima: 10")</f>
        <v>Formação pedagógica Letras - Português - Formação pedagógica Letras - Português - Luciana Schmidt - Psicologia da Educação/a - Nota Máxima: 10</v>
      </c>
    </row>
    <row r="30">
      <c r="A30" s="390" t="str">
        <f>IFERROR(__xludf.DUMMYFUNCTION("""COMPUTED_VALUE"""),"Formação pedagógica Letras - Português - Formação pedagógica Letras - Português - Luciana Schmidt - Psicomotricidade e Linguagem na Alfabetização/a - Nota Máxima: 10")</f>
        <v>Formação pedagógica Letras - Português - Formação pedagógica Letras - Português - Luciana Schmidt - Psicomotricidade e Linguagem na Alfabetização/a - Nota Máxima: 10</v>
      </c>
    </row>
    <row r="31">
      <c r="A31" s="390" t="str">
        <f>IFERROR(__xludf.DUMMYFUNCTION("""COMPUTED_VALUE"""),"Formação pedagógica Letras - Português - Formação pedagógica Letras - Português - Luciana Schmidt - Psicomotricidade e Linguagem na Alfabetização/a - Nota Máxima: 10")</f>
        <v>Formação pedagógica Letras - Português - Formação pedagógica Letras - Português - Luciana Schmidt - Psicomotricidade e Linguagem na Alfabetização/a - Nota Máxima: 10</v>
      </c>
    </row>
    <row r="32">
      <c r="A32" s="390" t="str">
        <f>IFERROR(__xludf.DUMMYFUNCTION("""COMPUTED_VALUE"""),"Formação pedagógica Letras - Português - Formação pedagógica Letras - Português - Luciana Schmidt - Teoria da Literatura/a - Nota Máxima: 10")</f>
        <v>Formação pedagógica Letras - Português - Formação pedagógica Letras - Português - Luciana Schmidt - Teoria da Literatura/a - Nota Máxima: 10</v>
      </c>
    </row>
    <row r="33">
      <c r="A33" s="390" t="str">
        <f>IFERROR(__xludf.DUMMYFUNCTION("""COMPUTED_VALUE"""),"Formação pedagógica Letras - Português - Formação pedagógica Letras - Português - Luciana Schmidt - Teoria da Literatura/a - Nota Máxima: 8")</f>
        <v>Formação pedagógica Letras - Português - Formação pedagógica Letras - Português - Luciana Schmidt - Teoria da Literatura/a - Nota Máxima: 8</v>
      </c>
    </row>
    <row r="34">
      <c r="A34" s="390" t="str">
        <f>IFERROR(__xludf.DUMMYFUNCTION("""COMPUTED_VALUE"""),"Formação pedagógica Letras - Português - Formação pedagógica Letras - Português - Alberto Silva dos Santos Louvera - Deficiência Auditiva e Libras/a - Nota Máxima: 7")</f>
        <v>Formação pedagógica Letras - Português - Formação pedagógica Letras - Português - Alberto Silva dos Santos Louvera - Deficiência Auditiva e Libras/a - Nota Máxima: 7</v>
      </c>
    </row>
    <row r="35">
      <c r="A35" s="390" t="str">
        <f>IFERROR(__xludf.DUMMYFUNCTION("""COMPUTED_VALUE"""),"Formação pedagógica Letras - Português - Formação pedagógica Letras - Português - Alberto Silva dos Santos Louvera - Deficiência Auditiva e Libras/a - Nota Máxima: 7")</f>
        <v>Formação pedagógica Letras - Português - Formação pedagógica Letras - Português - Alberto Silva dos Santos Louvera - Deficiência Auditiva e Libras/a - Nota Máxima: 7</v>
      </c>
    </row>
    <row r="36">
      <c r="A36" s="390" t="str">
        <f>IFERROR(__xludf.DUMMYFUNCTION("""COMPUTED_VALUE"""),"Formação pedagógica Letras - Português - Formação pedagógica Letras - Português - Alberto Silva dos Santos Louvera - Distúrbios de Aprendizagem na Leitura E Escrita - Nota Máxima: 10")</f>
        <v>Formação pedagógica Letras - Português - Formação pedagógica Letras - Português - Alberto Silva dos Santos Louvera - Distúrbios de Aprendizagem na Leitura E Escrita - Nota Máxima: 10</v>
      </c>
    </row>
    <row r="37">
      <c r="A37" s="390" t="str">
        <f>IFERROR(__xludf.DUMMYFUNCTION("""COMPUTED_VALUE"""),"Formação pedagógica Letras - Português - Formação pedagógica Letras - Português - Alberto Silva dos Santos Louvera - Distúrbios de Aprendizagem na Leitura E Escrita - Nota Máxima: 7")</f>
        <v>Formação pedagógica Letras - Português - Formação pedagógica Letras - Português - Alberto Silva dos Santos Louvera - Distúrbios de Aprendizagem na Leitura E Escrita - Nota Máxima: 7</v>
      </c>
    </row>
    <row r="38">
      <c r="A38" s="390" t="str">
        <f>IFERROR(__xludf.DUMMYFUNCTION("""COMPUTED_VALUE"""),"Formação pedagógica Letras - Português - Formação pedagógica Letras - Português - Alberto Silva dos Santos Louvera - Educação Especial, Inclusão Escolar e Adaptações Curriculares - Nota Máxima: 8")</f>
        <v>Formação pedagógica Letras - Português - Formação pedagógica Letras - Português - Alberto Silva dos Santos Louvera - Educação Especial, Inclusão Escolar e Adaptações Curriculares - Nota Máxima: 8</v>
      </c>
    </row>
    <row r="39">
      <c r="A39" s="390" t="str">
        <f>IFERROR(__xludf.DUMMYFUNCTION("""COMPUTED_VALUE"""),"Formação pedagógica Letras - Português - Formação pedagógica Letras - Português - Alberto Silva dos Santos Louvera - Educação Especial, Inclusão Escolar e Adaptações Curriculares - Nota Máxima: 9")</f>
        <v>Formação pedagógica Letras - Português - Formação pedagógica Letras - Português - Alberto Silva dos Santos Louvera - Educação Especial, Inclusão Escolar e Adaptações Curriculares - Nota Máxima: 9</v>
      </c>
    </row>
    <row r="40">
      <c r="A40" s="390" t="str">
        <f>IFERROR(__xludf.DUMMYFUNCTION("""COMPUTED_VALUE"""),"Formação pedagógica Letras - Português - Formação pedagógica Letras - Português - Alberto Silva dos Santos Louvera - Educação, História, Cultura e Práticas Indígenas/a - Nota Máxima: 9")</f>
        <v>Formação pedagógica Letras - Português - Formação pedagógica Letras - Português - Alberto Silva dos Santos Louvera - Educação, História, Cultura e Práticas Indígenas/a - Nota Máxima: 9</v>
      </c>
    </row>
    <row r="41">
      <c r="A41" s="390" t="str">
        <f>IFERROR(__xludf.DUMMYFUNCTION("""COMPUTED_VALUE"""),"Formação pedagógica Letras - Português - Formação pedagógica Letras - Português - Alberto Silva dos Santos Louvera - Educação, História, Cultura e Práticas Indígenas/a - Nota Máxima: 6")</f>
        <v>Formação pedagógica Letras - Português - Formação pedagógica Letras - Português - Alberto Silva dos Santos Louvera - Educação, História, Cultura e Práticas Indígenas/a - Nota Máxima: 6</v>
      </c>
    </row>
    <row r="42">
      <c r="A42" s="390" t="str">
        <f>IFERROR(__xludf.DUMMYFUNCTION("""COMPUTED_VALUE"""),"Formação pedagógica Letras - Português - Formação pedagógica Letras - Português - Alberto Silva dos Santos Louvera - Estudos Morfossintáticos da Língua Portuguesa/e - Nota Máxima: 9")</f>
        <v>Formação pedagógica Letras - Português - Formação pedagógica Letras - Português - Alberto Silva dos Santos Louvera - Estudos Morfossintáticos da Língua Portuguesa/e - Nota Máxima: 9</v>
      </c>
    </row>
    <row r="43">
      <c r="A43" s="390" t="str">
        <f>IFERROR(__xludf.DUMMYFUNCTION("""COMPUTED_VALUE"""),"Formação pedagógica Letras - Português - Formação pedagógica Letras - Português - Alberto Silva dos Santos Louvera - Estudos Morfossintáticos da Língua Portuguesa/e - Nota Máxima: 6")</f>
        <v>Formação pedagógica Letras - Português - Formação pedagógica Letras - Português - Alberto Silva dos Santos Louvera - Estudos Morfossintáticos da Língua Portuguesa/e - Nota Máxima: 6</v>
      </c>
    </row>
    <row r="44">
      <c r="A44" s="390" t="str">
        <f>IFERROR(__xludf.DUMMYFUNCTION("""COMPUTED_VALUE"""),"Formação pedagógica Letras - Português - Formação pedagógica Letras - Português - Alberto Silva dos Santos Louvera - Legislação Educacional/a - Nota Máxima: 9")</f>
        <v>Formação pedagógica Letras - Português - Formação pedagógica Letras - Português - Alberto Silva dos Santos Louvera - Legislação Educacional/a - Nota Máxima: 9</v>
      </c>
    </row>
    <row r="45">
      <c r="A45" s="390" t="str">
        <f>IFERROR(__xludf.DUMMYFUNCTION("""COMPUTED_VALUE"""),"Formação pedagógica Letras - Português - Formação pedagógica Letras - Português - Alberto Silva dos Santos Louvera - Legislação Educacional/a - Nota Máxima: 7")</f>
        <v>Formação pedagógica Letras - Português - Formação pedagógica Letras - Português - Alberto Silva dos Santos Louvera - Legislação Educacional/a - Nota Máxima: 7</v>
      </c>
    </row>
    <row r="46">
      <c r="A46" s="390" t="str">
        <f>IFERROR(__xludf.DUMMYFUNCTION("""COMPUTED_VALUE"""),"Formação pedagógica Letras - Português - Formação pedagógica Letras - Português - Alberto Silva dos Santos Louvera - Linguística Aplicada ao Ensino de Português/a - Nota Máxima: 8")</f>
        <v>Formação pedagógica Letras - Português - Formação pedagógica Letras - Português - Alberto Silva dos Santos Louvera - Linguística Aplicada ao Ensino de Português/a - Nota Máxima: 8</v>
      </c>
    </row>
    <row r="47">
      <c r="A47" s="390" t="str">
        <f>IFERROR(__xludf.DUMMYFUNCTION("""COMPUTED_VALUE"""),"Formação pedagógica Letras - Português - Formação pedagógica Letras - Português - Alberto Silva dos Santos Louvera - Linguística Aplicada ao Ensino de Português/a - Nota Máxima: 7")</f>
        <v>Formação pedagógica Letras - Português - Formação pedagógica Letras - Português - Alberto Silva dos Santos Louvera - Linguística Aplicada ao Ensino de Português/a - Nota Máxima: 7</v>
      </c>
    </row>
    <row r="48">
      <c r="A48" s="390" t="str">
        <f>IFERROR(__xludf.DUMMYFUNCTION("""COMPUTED_VALUE"""),"Formação pedagógica Letras - Português - Formação pedagógica Letras - Português - Alberto Silva dos Santos Louvera - Metodologia do Ensino da Língua Portuguesa I - Nota Máxima: 8")</f>
        <v>Formação pedagógica Letras - Português - Formação pedagógica Letras - Português - Alberto Silva dos Santos Louvera - Metodologia do Ensino da Língua Portuguesa I - Nota Máxima: 8</v>
      </c>
    </row>
    <row r="49">
      <c r="A49" s="390" t="str">
        <f>IFERROR(__xludf.DUMMYFUNCTION("""COMPUTED_VALUE"""),"Formação pedagógica Letras - Português - Formação pedagógica Letras - Português - Alberto Silva dos Santos Louvera - Metodologia do Ensino da Língua Portuguesa I - Nota Máxima: 10")</f>
        <v>Formação pedagógica Letras - Português - Formação pedagógica Letras - Português - Alberto Silva dos Santos Louvera - Metodologia do Ensino da Língua Portuguesa I - Nota Máxima: 10</v>
      </c>
    </row>
    <row r="50">
      <c r="A50" s="390" t="str">
        <f>IFERROR(__xludf.DUMMYFUNCTION("""COMPUTED_VALUE"""),"Formação pedagógica Letras - Português - Formação pedagógica Letras - Português - Alberto Silva dos Santos Louvera - Metodologia do Ensino da Língua Portuguesa II - Nota Máxima: 10")</f>
        <v>Formação pedagógica Letras - Português - Formação pedagógica Letras - Português - Alberto Silva dos Santos Louvera - Metodologia do Ensino da Língua Portuguesa II - Nota Máxima: 10</v>
      </c>
    </row>
    <row r="51">
      <c r="A51" s="390" t="str">
        <f>IFERROR(__xludf.DUMMYFUNCTION("""COMPUTED_VALUE"""),"Formação pedagógica Letras - Português - Formação pedagógica Letras - Português - Alberto Silva dos Santos Louvera - Metodologia do Ensino da Língua Portuguesa II - Nota Máxima: 8")</f>
        <v>Formação pedagógica Letras - Português - Formação pedagógica Letras - Português - Alberto Silva dos Santos Louvera - Metodologia do Ensino da Língua Portuguesa II - Nota Máxima: 8</v>
      </c>
    </row>
    <row r="52">
      <c r="A52" s="390" t="str">
        <f>IFERROR(__xludf.DUMMYFUNCTION("""COMPUTED_VALUE"""),"Formação pedagógica Letras - Português - Formação pedagógica Letras - Português - Alberto Silva dos Santos Louvera - Planejamento, Gestão Educacional e Currículo/a - Nota Máxima: 9")</f>
        <v>Formação pedagógica Letras - Português - Formação pedagógica Letras - Português - Alberto Silva dos Santos Louvera - Planejamento, Gestão Educacional e Currículo/a - Nota Máxima: 9</v>
      </c>
    </row>
    <row r="53">
      <c r="A53" s="390" t="str">
        <f>IFERROR(__xludf.DUMMYFUNCTION("""COMPUTED_VALUE"""),"Formação pedagógica Letras - Português - Formação pedagógica Letras - Português - Alberto Silva dos Santos Louvera - Planejamento, Gestão Educacional e Currículo/a - Nota Máxima: 9")</f>
        <v>Formação pedagógica Letras - Português - Formação pedagógica Letras - Português - Alberto Silva dos Santos Louvera - Planejamento, Gestão Educacional e Currículo/a - Nota Máxima: 9</v>
      </c>
    </row>
    <row r="54">
      <c r="A54" s="390" t="str">
        <f>IFERROR(__xludf.DUMMYFUNCTION("""COMPUTED_VALUE"""),"Formação pedagógica Letras - Português - Formação pedagógica Letras - Português - Alberto Silva dos Santos Louvera - Práticas Pedagógicas - 400 Horas - Nota Máxima: 4")</f>
        <v>Formação pedagógica Letras - Português - Formação pedagógica Letras - Português - Alberto Silva dos Santos Louvera - Práticas Pedagógicas - 400 Horas - Nota Máxima: 4</v>
      </c>
    </row>
    <row r="55">
      <c r="A55" s="390" t="str">
        <f>IFERROR(__xludf.DUMMYFUNCTION("""COMPUTED_VALUE"""),"Formação pedagógica Letras - Português - Formação pedagógica Letras - Português - Alberto Silva dos Santos Louvera - Práticas Pedagógicas - 400 Horas - Nota Máxima: 3")</f>
        <v>Formação pedagógica Letras - Português - Formação pedagógica Letras - Português - Alberto Silva dos Santos Louvera - Práticas Pedagógicas - 400 Horas - Nota Máxima: 3</v>
      </c>
    </row>
    <row r="56">
      <c r="A56" s="390" t="str">
        <f>IFERROR(__xludf.DUMMYFUNCTION("""COMPUTED_VALUE"""),"Formação pedagógica Letras - Português - Formação pedagógica Letras - Português - Alberto Silva dos Santos Louvera - Psicologia da Educação/a - Nota Máxima: 9")</f>
        <v>Formação pedagógica Letras - Português - Formação pedagógica Letras - Português - Alberto Silva dos Santos Louvera - Psicologia da Educação/a - Nota Máxima: 9</v>
      </c>
    </row>
    <row r="57">
      <c r="A57" s="390" t="str">
        <f>IFERROR(__xludf.DUMMYFUNCTION("""COMPUTED_VALUE"""),"Formação pedagógica Letras - Português - Formação pedagógica Letras - Português - Alberto Silva dos Santos Louvera - Psicologia da Educação/a - Nota Máxima: 5")</f>
        <v>Formação pedagógica Letras - Português - Formação pedagógica Letras - Português - Alberto Silva dos Santos Louvera - Psicologia da Educação/a - Nota Máxima: 5</v>
      </c>
    </row>
    <row r="58">
      <c r="A58" s="390" t="str">
        <f>IFERROR(__xludf.DUMMYFUNCTION("""COMPUTED_VALUE"""),"Formação pedagógica Letras - Português - Formação pedagógica Letras - Português - Alberto Silva dos Santos Louvera - Psicomotricidade e Linguagem na Alfabetização/a - Nota Máxima: 8")</f>
        <v>Formação pedagógica Letras - Português - Formação pedagógica Letras - Português - Alberto Silva dos Santos Louvera - Psicomotricidade e Linguagem na Alfabetização/a - Nota Máxima: 8</v>
      </c>
    </row>
    <row r="59">
      <c r="A59" s="390" t="str">
        <f>IFERROR(__xludf.DUMMYFUNCTION("""COMPUTED_VALUE"""),"Formação pedagógica Letras - Português - Formação pedagógica Letras - Português - Alberto Silva dos Santos Louvera - Psicomotricidade e Linguagem na Alfabetização/a - Nota Máxima: 6")</f>
        <v>Formação pedagógica Letras - Português - Formação pedagógica Letras - Português - Alberto Silva dos Santos Louvera - Psicomotricidade e Linguagem na Alfabetização/a - Nota Máxima: 6</v>
      </c>
    </row>
    <row r="60">
      <c r="A60" s="390" t="str">
        <f>IFERROR(__xludf.DUMMYFUNCTION("""COMPUTED_VALUE"""),"Formação pedagógica Letras - Português - Formação pedagógica Letras - Português - Alberto Silva dos Santos Louvera - Teoria da Literatura/a - Nota Máxima: 10")</f>
        <v>Formação pedagógica Letras - Português - Formação pedagógica Letras - Português - Alberto Silva dos Santos Louvera - Teoria da Literatura/a - Nota Máxima: 10</v>
      </c>
    </row>
    <row r="61">
      <c r="A61" s="390" t="str">
        <f>IFERROR(__xludf.DUMMYFUNCTION("""COMPUTED_VALUE"""),"Formação pedagógica Letras - Português - Formação pedagógica Letras - Português - Alberto Silva dos Santos Louvera - Teoria da Literatura/a - Nota Máxima: 5")</f>
        <v>Formação pedagógica Letras - Português - Formação pedagógica Letras - Português - Alberto Silva dos Santos Louvera - Teoria da Literatura/a - Nota Máxima: 5</v>
      </c>
    </row>
    <row r="62">
      <c r="A62" s="390" t="str">
        <f>IFERROR(__xludf.DUMMYFUNCTION("""COMPUTED_VALUE"""),"Formação pedagógica Letras - Português - Formação pedagógica Letras - Português - Aldir Silva Aragão - Deficiência Auditiva e Libras/a - Nota Máxima: 10")</f>
        <v>Formação pedagógica Letras - Português - Formação pedagógica Letras - Português - Aldir Silva Aragão - Deficiência Auditiva e Libras/a - Nota Máxima: 10</v>
      </c>
    </row>
    <row r="63">
      <c r="A63" s="390" t="str">
        <f>IFERROR(__xludf.DUMMYFUNCTION("""COMPUTED_VALUE"""),"Formação pedagógica Letras - Português - Formação pedagógica Letras - Português - Aldir Silva Aragão - Distúrbios de Aprendizagem na Leitura E Escrita - Nota Máxima: 10")</f>
        <v>Formação pedagógica Letras - Português - Formação pedagógica Letras - Português - Aldir Silva Aragão - Distúrbios de Aprendizagem na Leitura E Escrita - Nota Máxima: 10</v>
      </c>
    </row>
    <row r="64">
      <c r="A64" s="390" t="str">
        <f>IFERROR(__xludf.DUMMYFUNCTION("""COMPUTED_VALUE"""),"Formação pedagógica Letras - Português - Formação pedagógica Letras - Português - Aldir Silva Aragão - Distúrbios de Aprendizagem na Leitura E Escrita - Nota Máxima: 9")</f>
        <v>Formação pedagógica Letras - Português - Formação pedagógica Letras - Português - Aldir Silva Aragão - Distúrbios de Aprendizagem na Leitura E Escrita - Nota Máxima: 9</v>
      </c>
    </row>
    <row r="65">
      <c r="A65" s="390" t="str">
        <f>IFERROR(__xludf.DUMMYFUNCTION("""COMPUTED_VALUE"""),"Formação pedagógica Letras - Português - Formação pedagógica Letras - Português - Aldir Silva Aragão - Educação Especial, Inclusão Escolar e Adaptações Curriculares - Nota Máxima: 9")</f>
        <v>Formação pedagógica Letras - Português - Formação pedagógica Letras - Português - Aldir Silva Aragão - Educação Especial, Inclusão Escolar e Adaptações Curriculares - Nota Máxima: 9</v>
      </c>
    </row>
    <row r="66">
      <c r="A66" s="390" t="str">
        <f>IFERROR(__xludf.DUMMYFUNCTION("""COMPUTED_VALUE"""),"Formação pedagógica Letras - Português - Formação pedagógica Letras - Português - Aldir Silva Aragão - Educação, História, Cultura e Práticas Indígenas/a - Nota Máxima: 10")</f>
        <v>Formação pedagógica Letras - Português - Formação pedagógica Letras - Português - Aldir Silva Aragão - Educação, História, Cultura e Práticas Indígenas/a - Nota Máxima: 10</v>
      </c>
    </row>
    <row r="67">
      <c r="A67" s="390" t="str">
        <f>IFERROR(__xludf.DUMMYFUNCTION("""COMPUTED_VALUE"""),"Formação pedagógica Letras - Português - Formação pedagógica Letras - Português - Aldir Silva Aragão - Educação, História, Cultura e Práticas Indígenas/a - Nota Máxima: 6")</f>
        <v>Formação pedagógica Letras - Português - Formação pedagógica Letras - Português - Aldir Silva Aragão - Educação, História, Cultura e Práticas Indígenas/a - Nota Máxima: 6</v>
      </c>
    </row>
    <row r="68">
      <c r="A68" s="390" t="str">
        <f>IFERROR(__xludf.DUMMYFUNCTION("""COMPUTED_VALUE"""),"Formação pedagógica Letras - Português - Formação pedagógica Letras - Português - Aldir Silva Aragão - Estudos Morfossintáticos da Língua Portuguesa/e - Nota Máxima: 6")</f>
        <v>Formação pedagógica Letras - Português - Formação pedagógica Letras - Português - Aldir Silva Aragão - Estudos Morfossintáticos da Língua Portuguesa/e - Nota Máxima: 6</v>
      </c>
    </row>
    <row r="69">
      <c r="A69" s="390" t="str">
        <f>IFERROR(__xludf.DUMMYFUNCTION("""COMPUTED_VALUE"""),"Formação pedagógica Letras - Português - Formação pedagógica Letras - Português - Aldir Silva Aragão - Legislação Educacional/a - Nota Máxima: 7")</f>
        <v>Formação pedagógica Letras - Português - Formação pedagógica Letras - Português - Aldir Silva Aragão - Legislação Educacional/a - Nota Máxima: 7</v>
      </c>
    </row>
    <row r="70">
      <c r="A70" s="390" t="str">
        <f>IFERROR(__xludf.DUMMYFUNCTION("""COMPUTED_VALUE"""),"Formação pedagógica Letras - Português - Formação pedagógica Letras - Português - Aldir Silva Aragão - Linguística Aplicada ao Ensino de Português/a - Nota Máxima: 8")</f>
        <v>Formação pedagógica Letras - Português - Formação pedagógica Letras - Português - Aldir Silva Aragão - Linguística Aplicada ao Ensino de Português/a - Nota Máxima: 8</v>
      </c>
    </row>
    <row r="71">
      <c r="A71" s="390" t="str">
        <f>IFERROR(__xludf.DUMMYFUNCTION("""COMPUTED_VALUE"""),"Formação pedagógica Letras - Português - Formação pedagógica Letras - Português - Aldir Silva Aragão - Metodologia do Ensino da Língua Portuguesa I - Nota Máxima: 9")</f>
        <v>Formação pedagógica Letras - Português - Formação pedagógica Letras - Português - Aldir Silva Aragão - Metodologia do Ensino da Língua Portuguesa I - Nota Máxima: 9</v>
      </c>
    </row>
    <row r="72">
      <c r="A72" s="390" t="str">
        <f>IFERROR(__xludf.DUMMYFUNCTION("""COMPUTED_VALUE"""),"Formação pedagógica Letras - Português - Formação pedagógica Letras - Português - Aldir Silva Aragão - Metodologia do Ensino da Língua Portuguesa II - Nota Máxima: 10")</f>
        <v>Formação pedagógica Letras - Português - Formação pedagógica Letras - Português - Aldir Silva Aragão - Metodologia do Ensino da Língua Portuguesa II - Nota Máxima: 10</v>
      </c>
    </row>
    <row r="73">
      <c r="A73" s="390" t="str">
        <f>IFERROR(__xludf.DUMMYFUNCTION("""COMPUTED_VALUE"""),"Formação pedagógica Letras - Português - Formação pedagógica Letras - Português - Aldir Silva Aragão - Metodologia do Ensino da Língua Portuguesa II - Nota Máxima: 8")</f>
        <v>Formação pedagógica Letras - Português - Formação pedagógica Letras - Português - Aldir Silva Aragão - Metodologia do Ensino da Língua Portuguesa II - Nota Máxima: 8</v>
      </c>
    </row>
    <row r="74">
      <c r="A74" s="390" t="str">
        <f>IFERROR(__xludf.DUMMYFUNCTION("""COMPUTED_VALUE"""),"Formação pedagógica Letras - Português - Formação pedagógica Letras - Português - Aldir Silva Aragão - Planejamento, Gestão Educacional e Currículo/a - Nota Máxima: 10")</f>
        <v>Formação pedagógica Letras - Português - Formação pedagógica Letras - Português - Aldir Silva Aragão - Planejamento, Gestão Educacional e Currículo/a - Nota Máxima: 10</v>
      </c>
    </row>
    <row r="75">
      <c r="A75" s="390" t="str">
        <f>IFERROR(__xludf.DUMMYFUNCTION("""COMPUTED_VALUE"""),"Formação pedagógica Letras - Português - Formação pedagógica Letras - Português - Aldir Silva Aragão - Práticas Pedagógicas - 400 Horas - Nota Máxima: 10")</f>
        <v>Formação pedagógica Letras - Português - Formação pedagógica Letras - Português - Aldir Silva Aragão - Práticas Pedagógicas - 400 Horas - Nota Máxima: 10</v>
      </c>
    </row>
    <row r="76">
      <c r="A76" s="390" t="str">
        <f>IFERROR(__xludf.DUMMYFUNCTION("""COMPUTED_VALUE"""),"Formação pedagógica Letras - Português - Formação pedagógica Letras - Português - Aldir Silva Aragão - Práticas Pedagógicas - 400 Horas - Nota Máxima: 10")</f>
        <v>Formação pedagógica Letras - Português - Formação pedagógica Letras - Português - Aldir Silva Aragão - Práticas Pedagógicas - 400 Horas - Nota Máxima: 10</v>
      </c>
    </row>
    <row r="77">
      <c r="A77" s="390" t="str">
        <f>IFERROR(__xludf.DUMMYFUNCTION("""COMPUTED_VALUE"""),"Formação pedagógica Letras - Português - Formação pedagógica Letras - Português - Aldir Silva Aragão - Psicologia da Educação/a - Nota Máxima: 10")</f>
        <v>Formação pedagógica Letras - Português - Formação pedagógica Letras - Português - Aldir Silva Aragão - Psicologia da Educação/a - Nota Máxima: 10</v>
      </c>
    </row>
    <row r="78">
      <c r="A78" s="390" t="str">
        <f>IFERROR(__xludf.DUMMYFUNCTION("""COMPUTED_VALUE"""),"Formação pedagógica Letras - Português - Formação pedagógica Letras - Português - Aldir Silva Aragão - Psicologia da Educação/a - Nota Máxima: 9")</f>
        <v>Formação pedagógica Letras - Português - Formação pedagógica Letras - Português - Aldir Silva Aragão - Psicologia da Educação/a - Nota Máxima: 9</v>
      </c>
    </row>
    <row r="79">
      <c r="A79" s="390" t="str">
        <f>IFERROR(__xludf.DUMMYFUNCTION("""COMPUTED_VALUE"""),"Formação pedagógica Letras - Português - Formação pedagógica Letras - Português - Aldir Silva Aragão - Psicomotricidade e Linguagem na Alfabetização/a - Nota Máxima: 10")</f>
        <v>Formação pedagógica Letras - Português - Formação pedagógica Letras - Português - Aldir Silva Aragão - Psicomotricidade e Linguagem na Alfabetização/a - Nota Máxima: 10</v>
      </c>
    </row>
    <row r="80">
      <c r="A80" s="390" t="str">
        <f>IFERROR(__xludf.DUMMYFUNCTION("""COMPUTED_VALUE"""),"Formação pedagógica Letras - Português - Formação pedagógica Letras - Português - Aldir Silva Aragão - Psicomotricidade e Linguagem na Alfabetização/a - Nota Máxima: 6")</f>
        <v>Formação pedagógica Letras - Português - Formação pedagógica Letras - Português - Aldir Silva Aragão - Psicomotricidade e Linguagem na Alfabetização/a - Nota Máxima: 6</v>
      </c>
    </row>
    <row r="81">
      <c r="A81" s="390" t="str">
        <f>IFERROR(__xludf.DUMMYFUNCTION("""COMPUTED_VALUE"""),"Formação pedagógica Letras - Português - Formação pedagógica Letras - Português - Aldir Silva Aragão - Teoria da Literatura/a - Nota Máxima: 10")</f>
        <v>Formação pedagógica Letras - Português - Formação pedagógica Letras - Português - Aldir Silva Aragão - Teoria da Literatura/a - Nota Máxima: 10</v>
      </c>
    </row>
    <row r="82">
      <c r="A82" s="390" t="str">
        <f>IFERROR(__xludf.DUMMYFUNCTION("""COMPUTED_VALUE"""),"Formação pedagógica Letras - Português - Formação pedagógica Letras - Português - Aldir Silva Aragão - Teoria da Literatura/a - Nota Máxima: 5")</f>
        <v>Formação pedagógica Letras - Português - Formação pedagógica Letras - Português - Aldir Silva Aragão - Teoria da Literatura/a - Nota Máxima: 5</v>
      </c>
    </row>
    <row r="83">
      <c r="A83" s="390" t="str">
        <f>IFERROR(__xludf.DUMMYFUNCTION("""COMPUTED_VALUE"""),"Formação pedagógica Letras - Português - Formação pedagógica Letras - Português - Fagner Pessoa da Silva - Deficiência Auditiva e Libras/a - Nota Máxima: 9")</f>
        <v>Formação pedagógica Letras - Português - Formação pedagógica Letras - Português - Fagner Pessoa da Silva - Deficiência Auditiva e Libras/a - Nota Máxima: 9</v>
      </c>
    </row>
    <row r="84">
      <c r="A84" s="390" t="str">
        <f>IFERROR(__xludf.DUMMYFUNCTION("""COMPUTED_VALUE"""),"Formação pedagógica Letras - Português - Formação pedagógica Letras - Português - Fagner Pessoa da Silva - Distúrbios de Aprendizagem na Leitura E Escrita - Nota Máxima: 9")</f>
        <v>Formação pedagógica Letras - Português - Formação pedagógica Letras - Português - Fagner Pessoa da Silva - Distúrbios de Aprendizagem na Leitura E Escrita - Nota Máxima: 9</v>
      </c>
    </row>
    <row r="85">
      <c r="A85" s="390" t="str">
        <f>IFERROR(__xludf.DUMMYFUNCTION("""COMPUTED_VALUE"""),"Formação pedagógica Letras - Português - Formação pedagógica Letras - Português - Fagner Pessoa da Silva - Educação Especial, Inclusão Escolar e Adaptações Curriculares - Nota Máxima: 9")</f>
        <v>Formação pedagógica Letras - Português - Formação pedagógica Letras - Português - Fagner Pessoa da Silva - Educação Especial, Inclusão Escolar e Adaptações Curriculares - Nota Máxima: 9</v>
      </c>
    </row>
    <row r="86">
      <c r="A86" s="390" t="str">
        <f>IFERROR(__xludf.DUMMYFUNCTION("""COMPUTED_VALUE"""),"Formação pedagógica Letras - Português - Formação pedagógica Letras - Português - Fagner Pessoa da Silva - Educação, História, Cultura e Práticas Indígenas/a - Nota Máxima: 9")</f>
        <v>Formação pedagógica Letras - Português - Formação pedagógica Letras - Português - Fagner Pessoa da Silva - Educação, História, Cultura e Práticas Indígenas/a - Nota Máxima: 9</v>
      </c>
    </row>
    <row r="87">
      <c r="A87" s="390" t="str">
        <f>IFERROR(__xludf.DUMMYFUNCTION("""COMPUTED_VALUE"""),"Formação pedagógica Letras - Português - Formação pedagógica Letras - Português - Fagner Pessoa da Silva - Estudos Morfossintáticos da Língua Portuguesa/e - Nota Máxima: 9")</f>
        <v>Formação pedagógica Letras - Português - Formação pedagógica Letras - Português - Fagner Pessoa da Silva - Estudos Morfossintáticos da Língua Portuguesa/e - Nota Máxima: 9</v>
      </c>
    </row>
    <row r="88">
      <c r="A88" s="390" t="str">
        <f>IFERROR(__xludf.DUMMYFUNCTION("""COMPUTED_VALUE"""),"Formação pedagógica Letras - Português - Formação pedagógica Letras - Português - Fagner Pessoa da Silva - Legislação Educacional/a - Nota Máxima: 7")</f>
        <v>Formação pedagógica Letras - Português - Formação pedagógica Letras - Português - Fagner Pessoa da Silva - Legislação Educacional/a - Nota Máxima: 7</v>
      </c>
    </row>
    <row r="89">
      <c r="A89" s="390" t="str">
        <f>IFERROR(__xludf.DUMMYFUNCTION("""COMPUTED_VALUE"""),"Formação pedagógica Letras - Português - Formação pedagógica Letras - Português - Fagner Pessoa da Silva - Linguística Aplicada ao Ensino de Português/a - Nota Máxima: 8")</f>
        <v>Formação pedagógica Letras - Português - Formação pedagógica Letras - Português - Fagner Pessoa da Silva - Linguística Aplicada ao Ensino de Português/a - Nota Máxima: 8</v>
      </c>
    </row>
    <row r="90">
      <c r="A90" s="390" t="str">
        <f>IFERROR(__xludf.DUMMYFUNCTION("""COMPUTED_VALUE"""),"Formação pedagógica Letras - Português - Formação pedagógica Letras - Português - Fagner Pessoa da Silva - Metodologia do Ensino da Língua Portuguesa I - Nota Máxima: 8")</f>
        <v>Formação pedagógica Letras - Português - Formação pedagógica Letras - Português - Fagner Pessoa da Silva - Metodologia do Ensino da Língua Portuguesa I - Nota Máxima: 8</v>
      </c>
    </row>
    <row r="91">
      <c r="A91" s="390" t="str">
        <f>IFERROR(__xludf.DUMMYFUNCTION("""COMPUTED_VALUE"""),"Formação pedagógica Letras - Português - Formação pedagógica Letras - Português - Fagner Pessoa da Silva - Metodologia do Ensino da Língua Portuguesa II - Nota Máxima: 8")</f>
        <v>Formação pedagógica Letras - Português - Formação pedagógica Letras - Português - Fagner Pessoa da Silva - Metodologia do Ensino da Língua Portuguesa II - Nota Máxima: 8</v>
      </c>
    </row>
    <row r="92">
      <c r="A92" s="390" t="str">
        <f>IFERROR(__xludf.DUMMYFUNCTION("""COMPUTED_VALUE"""),"Formação pedagógica Letras - Português - Formação pedagógica Letras - Português - Fagner Pessoa da Silva - Práticas Pedagógicas - 400 Horas - Nota Máxima: 45784")</f>
        <v>Formação pedagógica Letras - Português - Formação pedagógica Letras - Português - Fagner Pessoa da Silva - Práticas Pedagógicas - 400 Horas - Nota Máxima: 45784</v>
      </c>
    </row>
    <row r="93">
      <c r="A93" s="390" t="str">
        <f>IFERROR(__xludf.DUMMYFUNCTION("""COMPUTED_VALUE"""),"Formação pedagógica Letras - Português - Formação pedagógica Letras - Português - Fagner Pessoa da Silva - Psicologia da Educação/a - Nota Máxima: 9")</f>
        <v>Formação pedagógica Letras - Português - Formação pedagógica Letras - Português - Fagner Pessoa da Silva - Psicologia da Educação/a - Nota Máxima: 9</v>
      </c>
    </row>
    <row r="94">
      <c r="A94" s="390" t="str">
        <f>IFERROR(__xludf.DUMMYFUNCTION("""COMPUTED_VALUE"""),"Formação pedagógica Letras - Português - Formação pedagógica Letras - Português - Fagner Pessoa da Silva - Psicomotricidade e Linguagem na Alfabetização/a - Nota Máxima: 7")</f>
        <v>Formação pedagógica Letras - Português - Formação pedagógica Letras - Português - Fagner Pessoa da Silva - Psicomotricidade e Linguagem na Alfabetização/a - Nota Máxima: 7</v>
      </c>
    </row>
    <row r="95">
      <c r="A95" s="390" t="str">
        <f>IFERROR(__xludf.DUMMYFUNCTION("""COMPUTED_VALUE"""),"Formação pedagógica Letras - Português - Formação pedagógica Letras - Português - Fagner Pessoa da Silva - Teoria da Literatura/a - Nota Máxima: 7")</f>
        <v>Formação pedagógica Letras - Português - Formação pedagógica Letras - Português - Fagner Pessoa da Silva - Teoria da Literatura/a - Nota Máxima: 7</v>
      </c>
    </row>
    <row r="96">
      <c r="A96" s="390" t="str">
        <f>IFERROR(__xludf.DUMMYFUNCTION("""COMPUTED_VALUE"""),"Formação pedagógica Letras - Português - Formação pedagógica Letras - Português - Sheila dos Reis Madeira - Deficiência Auditiva e Libras/a - Nota Máxima: 9")</f>
        <v>Formação pedagógica Letras - Português - Formação pedagógica Letras - Português - Sheila dos Reis Madeira - Deficiência Auditiva e Libras/a - Nota Máxima: 9</v>
      </c>
    </row>
    <row r="97">
      <c r="A97" s="390" t="str">
        <f>IFERROR(__xludf.DUMMYFUNCTION("""COMPUTED_VALUE"""),"Formação pedagógica Letras - Português - Formação pedagógica Letras - Português - Sheila dos Reis Madeira - Deficiência Auditiva e Libras/a - Nota Máxima: 10")</f>
        <v>Formação pedagógica Letras - Português - Formação pedagógica Letras - Português - Sheila dos Reis Madeira - Deficiência Auditiva e Libras/a - Nota Máxima: 10</v>
      </c>
    </row>
    <row r="98">
      <c r="A98" s="390" t="str">
        <f>IFERROR(__xludf.DUMMYFUNCTION("""COMPUTED_VALUE"""),"Formação pedagógica Letras - Português - Formação pedagógica Letras - Português - Sheila dos Reis Madeira - Distúrbios de Aprendizagem na Leitura E Escrita - Nota Máxima: 8")</f>
        <v>Formação pedagógica Letras - Português - Formação pedagógica Letras - Português - Sheila dos Reis Madeira - Distúrbios de Aprendizagem na Leitura E Escrita - Nota Máxima: 8</v>
      </c>
    </row>
    <row r="99">
      <c r="A99" s="390" t="str">
        <f>IFERROR(__xludf.DUMMYFUNCTION("""COMPUTED_VALUE"""),"Formação pedagógica Letras - Português - Formação pedagógica Letras - Português - Sheila dos Reis Madeira - Distúrbios de Aprendizagem na Leitura E Escrita - Nota Máxima: 9")</f>
        <v>Formação pedagógica Letras - Português - Formação pedagógica Letras - Português - Sheila dos Reis Madeira - Distúrbios de Aprendizagem na Leitura E Escrita - Nota Máxima: 9</v>
      </c>
    </row>
    <row r="100">
      <c r="A100" s="390" t="str">
        <f>IFERROR(__xludf.DUMMYFUNCTION("""COMPUTED_VALUE"""),"Formação pedagógica Letras - Português - Formação pedagógica Letras - Português - Sheila dos Reis Madeira - Educação Especial, Inclusão Escolar e Adaptações Curriculares - Nota Máxima: 9")</f>
        <v>Formação pedagógica Letras - Português - Formação pedagógica Letras - Português - Sheila dos Reis Madeira - Educação Especial, Inclusão Escolar e Adaptações Curriculares - Nota Máxima: 9</v>
      </c>
    </row>
    <row r="101">
      <c r="A101" s="390" t="str">
        <f>IFERROR(__xludf.DUMMYFUNCTION("""COMPUTED_VALUE"""),"Formação pedagógica Letras - Português - Formação pedagógica Letras - Português - Sheila dos Reis Madeira - Educação, História, Cultura e Práticas Indígenas/a - Nota Máxima: 9")</f>
        <v>Formação pedagógica Letras - Português - Formação pedagógica Letras - Português - Sheila dos Reis Madeira - Educação, História, Cultura e Práticas Indígenas/a - Nota Máxima: 9</v>
      </c>
    </row>
    <row r="102">
      <c r="A102" s="390" t="str">
        <f>IFERROR(__xludf.DUMMYFUNCTION("""COMPUTED_VALUE"""),"Formação pedagógica Letras - Português - Formação pedagógica Letras - Português - Sheila dos Reis Madeira - Estudos Morfossintáticos da Língua Portuguesa/e - Nota Máxima: 9")</f>
        <v>Formação pedagógica Letras - Português - Formação pedagógica Letras - Português - Sheila dos Reis Madeira - Estudos Morfossintáticos da Língua Portuguesa/e - Nota Máxima: 9</v>
      </c>
    </row>
    <row r="103">
      <c r="A103" s="390" t="str">
        <f>IFERROR(__xludf.DUMMYFUNCTION("""COMPUTED_VALUE"""),"Formação pedagógica Letras - Português - Formação pedagógica Letras - Português - Sheila dos Reis Madeira - Legislação Educacional/a - Nota Máxima: 7")</f>
        <v>Formação pedagógica Letras - Português - Formação pedagógica Letras - Português - Sheila dos Reis Madeira - Legislação Educacional/a - Nota Máxima: 7</v>
      </c>
    </row>
    <row r="104">
      <c r="A104" s="390" t="str">
        <f>IFERROR(__xludf.DUMMYFUNCTION("""COMPUTED_VALUE"""),"Formação pedagógica Letras - Português - Formação pedagógica Letras - Português - Sheila dos Reis Madeira - Linguística Aplicada ao Ensino de Português/a - Nota Máxima: 8")</f>
        <v>Formação pedagógica Letras - Português - Formação pedagógica Letras - Português - Sheila dos Reis Madeira - Linguística Aplicada ao Ensino de Português/a - Nota Máxima: 8</v>
      </c>
    </row>
    <row r="105">
      <c r="A105" s="390" t="str">
        <f>IFERROR(__xludf.DUMMYFUNCTION("""COMPUTED_VALUE"""),"Formação pedagógica Letras - Português - Formação pedagógica Letras - Português - Sheila dos Reis Madeira - Metodologia do Ensino da Língua Portuguesa I - Nota Máxima: 8")</f>
        <v>Formação pedagógica Letras - Português - Formação pedagógica Letras - Português - Sheila dos Reis Madeira - Metodologia do Ensino da Língua Portuguesa I - Nota Máxima: 8</v>
      </c>
    </row>
    <row r="106">
      <c r="A106" s="390" t="str">
        <f>IFERROR(__xludf.DUMMYFUNCTION("""COMPUTED_VALUE"""),"Formação pedagógica Letras - Português - Formação pedagógica Letras - Português - Sheila dos Reis Madeira - Metodologia do Ensino da Língua Portuguesa II - Nota Máxima: 8")</f>
        <v>Formação pedagógica Letras - Português - Formação pedagógica Letras - Português - Sheila dos Reis Madeira - Metodologia do Ensino da Língua Portuguesa II - Nota Máxima: 8</v>
      </c>
    </row>
    <row r="107">
      <c r="A107" s="390" t="str">
        <f>IFERROR(__xludf.DUMMYFUNCTION("""COMPUTED_VALUE"""),"Formação pedagógica Letras - Português - Formação pedagógica Letras - Português - Sheila dos Reis Madeira - Planejamento, Gestão Educacional e Currículo/a - Nota Máxima: 9")</f>
        <v>Formação pedagógica Letras - Português - Formação pedagógica Letras - Português - Sheila dos Reis Madeira - Planejamento, Gestão Educacional e Currículo/a - Nota Máxima: 9</v>
      </c>
    </row>
    <row r="108">
      <c r="A108" s="390" t="str">
        <f>IFERROR(__xludf.DUMMYFUNCTION("""COMPUTED_VALUE"""),"Formação pedagógica Letras - Português - Formação pedagógica Letras - Português - Sheila dos Reis Madeira - Práticas Pedagógicas - 400 Horas - Nota Máxima: 45784")</f>
        <v>Formação pedagógica Letras - Português - Formação pedagógica Letras - Português - Sheila dos Reis Madeira - Práticas Pedagógicas - 400 Horas - Nota Máxima: 45784</v>
      </c>
    </row>
    <row r="109">
      <c r="A109" s="390" t="str">
        <f>IFERROR(__xludf.DUMMYFUNCTION("""COMPUTED_VALUE"""),"Formação pedagógica Letras - Português - Formação pedagógica Letras - Português - Sheila dos Reis Madeira - Psicologia da Educação/a - Nota Máxima: 9")</f>
        <v>Formação pedagógica Letras - Português - Formação pedagógica Letras - Português - Sheila dos Reis Madeira - Psicologia da Educação/a - Nota Máxima: 9</v>
      </c>
    </row>
    <row r="110">
      <c r="A110" s="390" t="str">
        <f>IFERROR(__xludf.DUMMYFUNCTION("""COMPUTED_VALUE"""),"Formação pedagógica Letras - Português - Formação pedagógica Letras - Português - Sheila dos Reis Madeira - Psicomotricidade e Linguagem na Alfabetização/a - Nota Máxima: 7")</f>
        <v>Formação pedagógica Letras - Português - Formação pedagógica Letras - Português - Sheila dos Reis Madeira - Psicomotricidade e Linguagem na Alfabetização/a - Nota Máxima: 7</v>
      </c>
    </row>
    <row r="111">
      <c r="A111" s="390" t="str">
        <f>IFERROR(__xludf.DUMMYFUNCTION("""COMPUTED_VALUE"""),"Formação pedagógica Letras - Português - Formação pedagógica Letras - Português - Sheila dos Reis Madeira - Teoria da Literatura/a - Nota Máxima: 9")</f>
        <v>Formação pedagógica Letras - Português - Formação pedagógica Letras - Português - Sheila dos Reis Madeira - Teoria da Literatura/a - Nota Máxima: 9</v>
      </c>
    </row>
    <row r="112">
      <c r="A112" s="390" t="str">
        <f>IFERROR(__xludf.DUMMYFUNCTION("""COMPUTED_VALUE"""),"Formação pedagógica Letras - Português - Formação pedagógica Letras - Português - Rita de Cássia Benevides Demasi - Práticas Pedagógicas - 400 Horas - Nota Máxima: 10")</f>
        <v>Formação pedagógica Letras - Português - Formação pedagógica Letras - Português - Rita de Cássia Benevides Demasi - Práticas Pedagógicas - 400 Horas - Nota Máxima: 10</v>
      </c>
    </row>
    <row r="113">
      <c r="A113" s="390" t="str">
        <f>IFERROR(__xludf.DUMMYFUNCTION("""COMPUTED_VALUE"""),"Formação pedagógica Letras - Português - Formação pedagógica Letras - Português - Sergio Menezes Baldez - Distúrbios de Aprendizagem na Leitura E Escrita - Nota Máxima: 10")</f>
        <v>Formação pedagógica Letras - Português - Formação pedagógica Letras - Português - Sergio Menezes Baldez - Distúrbios de Aprendizagem na Leitura E Escrita - Nota Máxima: 10</v>
      </c>
    </row>
    <row r="114">
      <c r="A114" s="390" t="str">
        <f>IFERROR(__xludf.DUMMYFUNCTION("""COMPUTED_VALUE"""),"Formação pedagógica Letras - Português - Formação pedagógica Letras - Português - Sergio Menezes Baldez - Educação, História, Cultura e Práticas Indígenas/a - Nota Máxima: 8")</f>
        <v>Formação pedagógica Letras - Português - Formação pedagógica Letras - Português - Sergio Menezes Baldez - Educação, História, Cultura e Práticas Indígenas/a - Nota Máxima: 8</v>
      </c>
    </row>
    <row r="115">
      <c r="A115" s="390" t="str">
        <f>IFERROR(__xludf.DUMMYFUNCTION("""COMPUTED_VALUE"""),"Formação pedagógica Letras - Português - Formação pedagógica Letras - Português - Sergio Menezes Baldez - Estudos Morfossintáticos da Língua Portuguesa/e - Nota Máxima: 9")</f>
        <v>Formação pedagógica Letras - Português - Formação pedagógica Letras - Português - Sergio Menezes Baldez - Estudos Morfossintáticos da Língua Portuguesa/e - Nota Máxima: 9</v>
      </c>
    </row>
    <row r="116">
      <c r="A116" s="390" t="str">
        <f>IFERROR(__xludf.DUMMYFUNCTION("""COMPUTED_VALUE"""),"Formação pedagógica Letras - Português - Formação pedagógica Letras - Português - Sergio Menezes Baldez - Linguística Aplicada ao Ensino de Português/a - Nota Máxima: 9")</f>
        <v>Formação pedagógica Letras - Português - Formação pedagógica Letras - Português - Sergio Menezes Baldez - Linguística Aplicada ao Ensino de Português/a - Nota Máxima: 9</v>
      </c>
    </row>
    <row r="117">
      <c r="A117" s="390" t="str">
        <f>IFERROR(__xludf.DUMMYFUNCTION("""COMPUTED_VALUE"""),"Formação pedagógica Letras - Português - Formação pedagógica Letras - Português - Sergio Menezes Baldez - Metodologia do Ensino da Língua Portuguesa I - Nota Máxima: 10")</f>
        <v>Formação pedagógica Letras - Português - Formação pedagógica Letras - Português - Sergio Menezes Baldez - Metodologia do Ensino da Língua Portuguesa I - Nota Máxima: 10</v>
      </c>
    </row>
    <row r="118">
      <c r="A118" s="390" t="str">
        <f>IFERROR(__xludf.DUMMYFUNCTION("""COMPUTED_VALUE"""),"Formação pedagógica Letras - Português - Formação pedagógica Letras - Português - Sergio Menezes Baldez - Metodologia do Ensino da Língua Portuguesa II - Nota Máxima: 10")</f>
        <v>Formação pedagógica Letras - Português - Formação pedagógica Letras - Português - Sergio Menezes Baldez - Metodologia do Ensino da Língua Portuguesa II - Nota Máxima: 10</v>
      </c>
    </row>
    <row r="119">
      <c r="A119" s="390" t="str">
        <f>IFERROR(__xludf.DUMMYFUNCTION("""COMPUTED_VALUE"""),"Formação pedagógica Letras - Português - Formação pedagógica Letras - Português - Sergio Menezes Baldez - Psicomotricidade e Linguagem na Alfabetização/a - Nota Máxima: 9")</f>
        <v>Formação pedagógica Letras - Português - Formação pedagógica Letras - Português - Sergio Menezes Baldez - Psicomotricidade e Linguagem na Alfabetização/a - Nota Máxima: 9</v>
      </c>
    </row>
    <row r="120">
      <c r="A120" s="390" t="str">
        <f>IFERROR(__xludf.DUMMYFUNCTION("""COMPUTED_VALUE"""),"Formação pedagógica Letras - Português - Formação pedagógica Letras - Português - Thaís do Sacramento Catramby - Deficiência Auditiva e Libras/a - Nota Máxima: 10")</f>
        <v>Formação pedagógica Letras - Português - Formação pedagógica Letras - Português - Thaís do Sacramento Catramby - Deficiência Auditiva e Libras/a - Nota Máxima: 10</v>
      </c>
    </row>
    <row r="121">
      <c r="A121" s="390" t="str">
        <f>IFERROR(__xludf.DUMMYFUNCTION("""COMPUTED_VALUE"""),"Formação pedagógica Letras - Português - Formação pedagógica Letras - Português - Thaís do Sacramento Catramby - Distúrbios de Aprendizagem na Leitura E Escrita - Nota Máxima: 8")</f>
        <v>Formação pedagógica Letras - Português - Formação pedagógica Letras - Português - Thaís do Sacramento Catramby - Distúrbios de Aprendizagem na Leitura E Escrita - Nota Máxima: 8</v>
      </c>
    </row>
    <row r="122">
      <c r="A122" s="390" t="str">
        <f>IFERROR(__xludf.DUMMYFUNCTION("""COMPUTED_VALUE"""),"Formação pedagógica Letras - Português - Formação pedagógica Letras - Português - Thaís do Sacramento Catramby - Educação Especial, Inclusão Escolar e Adaptações Curriculares - Nota Máxima: 10")</f>
        <v>Formação pedagógica Letras - Português - Formação pedagógica Letras - Português - Thaís do Sacramento Catramby - Educação Especial, Inclusão Escolar e Adaptações Curriculares - Nota Máxima: 10</v>
      </c>
    </row>
    <row r="123">
      <c r="A123" s="390" t="str">
        <f>IFERROR(__xludf.DUMMYFUNCTION("""COMPUTED_VALUE"""),"Formação pedagógica Letras - Português - Formação pedagógica Letras - Português - Thaís do Sacramento Catramby - Educação, História, Cultura e Práticas Indígenas/a - Nota Máxima: 7")</f>
        <v>Formação pedagógica Letras - Português - Formação pedagógica Letras - Português - Thaís do Sacramento Catramby - Educação, História, Cultura e Práticas Indígenas/a - Nota Máxima: 7</v>
      </c>
    </row>
    <row r="124">
      <c r="A124" s="390" t="str">
        <f>IFERROR(__xludf.DUMMYFUNCTION("""COMPUTED_VALUE"""),"Formação pedagógica Letras - Português - Formação pedagógica Letras - Português - Thaís do Sacramento Catramby - Estudos Morfossintáticos da Língua Portuguesa/e - Nota Máxima: 7")</f>
        <v>Formação pedagógica Letras - Português - Formação pedagógica Letras - Português - Thaís do Sacramento Catramby - Estudos Morfossintáticos da Língua Portuguesa/e - Nota Máxima: 7</v>
      </c>
    </row>
    <row r="125">
      <c r="A125" s="390" t="str">
        <f>IFERROR(__xludf.DUMMYFUNCTION("""COMPUTED_VALUE"""),"Formação pedagógica Letras - Português - Formação pedagógica Letras - Português - Thaís do Sacramento Catramby - Estudos Morfossintáticos da Língua Portuguesa/e - Nota Máxima: 7")</f>
        <v>Formação pedagógica Letras - Português - Formação pedagógica Letras - Português - Thaís do Sacramento Catramby - Estudos Morfossintáticos da Língua Portuguesa/e - Nota Máxima: 7</v>
      </c>
    </row>
    <row r="126">
      <c r="A126" s="390" t="str">
        <f>IFERROR(__xludf.DUMMYFUNCTION("""COMPUTED_VALUE"""),"Formação pedagógica Letras - Português - Formação pedagógica Letras - Português - Thaís do Sacramento Catramby - Legislação Educacional/a - Nota Máxima: 8")</f>
        <v>Formação pedagógica Letras - Português - Formação pedagógica Letras - Português - Thaís do Sacramento Catramby - Legislação Educacional/a - Nota Máxima: 8</v>
      </c>
    </row>
    <row r="127">
      <c r="A127" s="390" t="str">
        <f>IFERROR(__xludf.DUMMYFUNCTION("""COMPUTED_VALUE"""),"Formação pedagógica Letras - Português - Formação pedagógica Letras - Português - Thaís do Sacramento Catramby - Linguística Aplicada ao Ensino de Português/a - Nota Máxima: 6")</f>
        <v>Formação pedagógica Letras - Português - Formação pedagógica Letras - Português - Thaís do Sacramento Catramby - Linguística Aplicada ao Ensino de Português/a - Nota Máxima: 6</v>
      </c>
    </row>
    <row r="128">
      <c r="A128" s="390" t="str">
        <f>IFERROR(__xludf.DUMMYFUNCTION("""COMPUTED_VALUE"""),"Formação pedagógica Letras - Português - Formação pedagógica Letras - Português - Thaís do Sacramento Catramby - Metodologia do Ensino da Língua Portuguesa I - Nota Máxima: 8")</f>
        <v>Formação pedagógica Letras - Português - Formação pedagógica Letras - Português - Thaís do Sacramento Catramby - Metodologia do Ensino da Língua Portuguesa I - Nota Máxima: 8</v>
      </c>
    </row>
    <row r="129">
      <c r="A129" s="390" t="str">
        <f>IFERROR(__xludf.DUMMYFUNCTION("""COMPUTED_VALUE"""),"Formação pedagógica Letras - Português - Formação pedagógica Letras - Português - Thaís do Sacramento Catramby - Metodologia do Ensino da Língua Portuguesa II - Nota Máxima: 10")</f>
        <v>Formação pedagógica Letras - Português - Formação pedagógica Letras - Português - Thaís do Sacramento Catramby - Metodologia do Ensino da Língua Portuguesa II - Nota Máxima: 10</v>
      </c>
    </row>
    <row r="130">
      <c r="A130" s="390" t="str">
        <f>IFERROR(__xludf.DUMMYFUNCTION("""COMPUTED_VALUE"""),"Formação pedagógica Letras - Português - Formação pedagógica Letras - Português - Thaís do Sacramento Catramby - Planejamento, Gestão Educacional e Currículo/a - Nota Máxima: 10")</f>
        <v>Formação pedagógica Letras - Português - Formação pedagógica Letras - Português - Thaís do Sacramento Catramby - Planejamento, Gestão Educacional e Currículo/a - Nota Máxima: 10</v>
      </c>
    </row>
    <row r="131">
      <c r="A131" s="390" t="str">
        <f>IFERROR(__xludf.DUMMYFUNCTION("""COMPUTED_VALUE"""),"Formação pedagógica Letras - Português - Formação pedagógica Letras - Português - Thaís do Sacramento Catramby - Práticas Pedagógicas - 400 Horas - Nota Máxima: 45784")</f>
        <v>Formação pedagógica Letras - Português - Formação pedagógica Letras - Português - Thaís do Sacramento Catramby - Práticas Pedagógicas - 400 Horas - Nota Máxima: 45784</v>
      </c>
    </row>
    <row r="132">
      <c r="A132" s="390" t="str">
        <f>IFERROR(__xludf.DUMMYFUNCTION("""COMPUTED_VALUE"""),"Formação pedagógica Letras - Português - Formação pedagógica Letras - Português - Thaís do Sacramento Catramby - Psicologia da Educação/a - Nota Máxima: 8")</f>
        <v>Formação pedagógica Letras - Português - Formação pedagógica Letras - Português - Thaís do Sacramento Catramby - Psicologia da Educação/a - Nota Máxima: 8</v>
      </c>
    </row>
    <row r="133">
      <c r="A133" s="390" t="str">
        <f>IFERROR(__xludf.DUMMYFUNCTION("""COMPUTED_VALUE"""),"Formação pedagógica Letras - Português - Formação pedagógica Letras - Português - Thaís do Sacramento Catramby - Psicomotricidade e Linguagem na Alfabetização/a - Nota Máxima: 7")</f>
        <v>Formação pedagógica Letras - Português - Formação pedagógica Letras - Português - Thaís do Sacramento Catramby - Psicomotricidade e Linguagem na Alfabetização/a - Nota Máxima: 7</v>
      </c>
    </row>
    <row r="134">
      <c r="A134" s="390" t="str">
        <f>IFERROR(__xludf.DUMMYFUNCTION("""COMPUTED_VALUE"""),"Formação pedagógica Letras - Português - Formação pedagógica Letras - Português - Thaís do Sacramento Catramby - Teoria da Literatura/a - Nota Máxima: 6")</f>
        <v>Formação pedagógica Letras - Português - Formação pedagógica Letras - Português - Thaís do Sacramento Catramby - Teoria da Literatura/a - Nota Máxima: 6</v>
      </c>
    </row>
    <row r="135">
      <c r="A135" s="390" t="str">
        <f>IFERROR(__xludf.DUMMYFUNCTION("""COMPUTED_VALUE"""),"Formação pedagógica Letras - Português - Formação pedagógica Letras - Português - Mônica Alves de Almeida - Deficiência Auditiva e Libras/a - Nota Máxima: 10")</f>
        <v>Formação pedagógica Letras - Português - Formação pedagógica Letras - Português - Mônica Alves de Almeida - Deficiência Auditiva e Libras/a - Nota Máxima: 10</v>
      </c>
    </row>
    <row r="136">
      <c r="A136" s="390" t="str">
        <f>IFERROR(__xludf.DUMMYFUNCTION("""COMPUTED_VALUE"""),"Formação pedagógica Letras - Português - Formação pedagógica Letras - Português - Mônica Alves de Almeida - Deficiência Auditiva e Libras/a - Nota Máxima: 6")</f>
        <v>Formação pedagógica Letras - Português - Formação pedagógica Letras - Português - Mônica Alves de Almeida - Deficiência Auditiva e Libras/a - Nota Máxima: 6</v>
      </c>
    </row>
    <row r="137">
      <c r="A137" s="390" t="str">
        <f>IFERROR(__xludf.DUMMYFUNCTION("""COMPUTED_VALUE"""),"Formação pedagógica Letras - Português - Formação pedagógica Letras - Português - Mônica Alves de Almeida - Distúrbios de Aprendizagem na Leitura E Escrita - Nota Máxima: 10")</f>
        <v>Formação pedagógica Letras - Português - Formação pedagógica Letras - Português - Mônica Alves de Almeida - Distúrbios de Aprendizagem na Leitura E Escrita - Nota Máxima: 10</v>
      </c>
    </row>
    <row r="138">
      <c r="A138" s="390" t="str">
        <f>IFERROR(__xludf.DUMMYFUNCTION("""COMPUTED_VALUE"""),"Formação pedagógica Letras - Português - Formação pedagógica Letras - Português - Mônica Alves de Almeida - Distúrbios de Aprendizagem na Leitura E Escrita - Nota Máxima: 8")</f>
        <v>Formação pedagógica Letras - Português - Formação pedagógica Letras - Português - Mônica Alves de Almeida - Distúrbios de Aprendizagem na Leitura E Escrita - Nota Máxima: 8</v>
      </c>
    </row>
    <row r="139">
      <c r="A139" s="390" t="str">
        <f>IFERROR(__xludf.DUMMYFUNCTION("""COMPUTED_VALUE"""),"Formação pedagógica Letras - Português - Formação pedagógica Letras - Português - Mônica Alves de Almeida - Educação Especial, Inclusão Escolar e Adaptações Curriculares - Nota Máxima: 10")</f>
        <v>Formação pedagógica Letras - Português - Formação pedagógica Letras - Português - Mônica Alves de Almeida - Educação Especial, Inclusão Escolar e Adaptações Curriculares - Nota Máxima: 10</v>
      </c>
    </row>
    <row r="140">
      <c r="A140" s="390" t="str">
        <f>IFERROR(__xludf.DUMMYFUNCTION("""COMPUTED_VALUE"""),"Formação pedagógica Letras - Português - Formação pedagógica Letras - Português - Mônica Alves de Almeida - Educação Especial, Inclusão Escolar e Adaptações Curriculares - Nota Máxima: 8")</f>
        <v>Formação pedagógica Letras - Português - Formação pedagógica Letras - Português - Mônica Alves de Almeida - Educação Especial, Inclusão Escolar e Adaptações Curriculares - Nota Máxima: 8</v>
      </c>
    </row>
    <row r="141">
      <c r="A141" s="390" t="str">
        <f>IFERROR(__xludf.DUMMYFUNCTION("""COMPUTED_VALUE"""),"Formação pedagógica Letras - Português - Formação pedagógica Letras - Português - Mônica Alves de Almeida - Educação, História, Cultura e Práticas Indígenas/a - Nota Máxima: 10")</f>
        <v>Formação pedagógica Letras - Português - Formação pedagógica Letras - Português - Mônica Alves de Almeida - Educação, História, Cultura e Práticas Indígenas/a - Nota Máxima: 10</v>
      </c>
    </row>
    <row r="142">
      <c r="A142" s="390" t="str">
        <f>IFERROR(__xludf.DUMMYFUNCTION("""COMPUTED_VALUE"""),"Formação pedagógica Letras - Português - Formação pedagógica Letras - Português - Mônica Alves de Almeida - Educação, História, Cultura e Práticas Indígenas/a - Nota Máxima: 4")</f>
        <v>Formação pedagógica Letras - Português - Formação pedagógica Letras - Português - Mônica Alves de Almeida - Educação, História, Cultura e Práticas Indígenas/a - Nota Máxima: 4</v>
      </c>
    </row>
    <row r="143">
      <c r="A143" s="390" t="str">
        <f>IFERROR(__xludf.DUMMYFUNCTION("""COMPUTED_VALUE"""),"Formação pedagógica Letras - Português - Formação pedagógica Letras - Português - Mônica Alves de Almeida - Estudos Morfossintáticos da Língua Portuguesa/e - Nota Máxima: 9")</f>
        <v>Formação pedagógica Letras - Português - Formação pedagógica Letras - Português - Mônica Alves de Almeida - Estudos Morfossintáticos da Língua Portuguesa/e - Nota Máxima: 9</v>
      </c>
    </row>
    <row r="144">
      <c r="A144" s="390" t="str">
        <f>IFERROR(__xludf.DUMMYFUNCTION("""COMPUTED_VALUE"""),"Formação pedagógica Letras - Português - Formação pedagógica Letras - Português - Mônica Alves de Almeida - Estudos Morfossintáticos da Língua Portuguesa/e - Nota Máxima: 7")</f>
        <v>Formação pedagógica Letras - Português - Formação pedagógica Letras - Português - Mônica Alves de Almeida - Estudos Morfossintáticos da Língua Portuguesa/e - Nota Máxima: 7</v>
      </c>
    </row>
    <row r="145">
      <c r="A145" s="390" t="str">
        <f>IFERROR(__xludf.DUMMYFUNCTION("""COMPUTED_VALUE"""),"Formação pedagógica Letras - Português - Formação pedagógica Letras - Português - Mônica Alves de Almeida - Legislação Educacional/a - Nota Máxima: 10")</f>
        <v>Formação pedagógica Letras - Português - Formação pedagógica Letras - Português - Mônica Alves de Almeida - Legislação Educacional/a - Nota Máxima: 10</v>
      </c>
    </row>
    <row r="146">
      <c r="A146" s="390" t="str">
        <f>IFERROR(__xludf.DUMMYFUNCTION("""COMPUTED_VALUE"""),"Formação pedagógica Letras - Português - Formação pedagógica Letras - Português - Mônica Alves de Almeida - Legislação Educacional/a - Nota Máxima: 5")</f>
        <v>Formação pedagógica Letras - Português - Formação pedagógica Letras - Português - Mônica Alves de Almeida - Legislação Educacional/a - Nota Máxima: 5</v>
      </c>
    </row>
    <row r="147">
      <c r="A147" s="390" t="str">
        <f>IFERROR(__xludf.DUMMYFUNCTION("""COMPUTED_VALUE"""),"Formação pedagógica Letras - Português - Formação pedagógica Letras - Português - Mônica Alves de Almeida - Linguística Aplicada ao Ensino de Português/a - Nota Máxima: 10")</f>
        <v>Formação pedagógica Letras - Português - Formação pedagógica Letras - Português - Mônica Alves de Almeida - Linguística Aplicada ao Ensino de Português/a - Nota Máxima: 10</v>
      </c>
    </row>
    <row r="148">
      <c r="A148" s="390" t="str">
        <f>IFERROR(__xludf.DUMMYFUNCTION("""COMPUTED_VALUE"""),"Formação pedagógica Letras - Português - Formação pedagógica Letras - Português - Mônica Alves de Almeida - Linguística Aplicada ao Ensino de Português/a - Nota Máxima: 5")</f>
        <v>Formação pedagógica Letras - Português - Formação pedagógica Letras - Português - Mônica Alves de Almeida - Linguística Aplicada ao Ensino de Português/a - Nota Máxima: 5</v>
      </c>
    </row>
    <row r="149">
      <c r="A149" s="390" t="str">
        <f>IFERROR(__xludf.DUMMYFUNCTION("""COMPUTED_VALUE"""),"Formação pedagógica Letras - Português - Formação pedagógica Letras - Português - Mônica Alves de Almeida - Metodologia do Ensino da Língua Portuguesa I - Nota Máxima: 10")</f>
        <v>Formação pedagógica Letras - Português - Formação pedagógica Letras - Português - Mônica Alves de Almeida - Metodologia do Ensino da Língua Portuguesa I - Nota Máxima: 10</v>
      </c>
    </row>
    <row r="150">
      <c r="A150" s="390" t="str">
        <f>IFERROR(__xludf.DUMMYFUNCTION("""COMPUTED_VALUE"""),"Formação pedagógica Letras - Português - Formação pedagógica Letras - Português - Mônica Alves de Almeida - Metodologia do Ensino da Língua Portuguesa I - Nota Máxima: 6")</f>
        <v>Formação pedagógica Letras - Português - Formação pedagógica Letras - Português - Mônica Alves de Almeida - Metodologia do Ensino da Língua Portuguesa I - Nota Máxima: 6</v>
      </c>
    </row>
    <row r="151">
      <c r="A151" s="390" t="str">
        <f>IFERROR(__xludf.DUMMYFUNCTION("""COMPUTED_VALUE"""),"Formação pedagógica Letras - Português - Formação pedagógica Letras - Português - Mônica Alves de Almeida - Metodologia do Ensino da Língua Portuguesa II - Nota Máxima: 10")</f>
        <v>Formação pedagógica Letras - Português - Formação pedagógica Letras - Português - Mônica Alves de Almeida - Metodologia do Ensino da Língua Portuguesa II - Nota Máxima: 10</v>
      </c>
    </row>
    <row r="152">
      <c r="A152" s="390" t="str">
        <f>IFERROR(__xludf.DUMMYFUNCTION("""COMPUTED_VALUE"""),"Formação pedagógica Letras - Português - Formação pedagógica Letras - Português - Mônica Alves de Almeida - Metodologia do Ensino da Língua Portuguesa II - Nota Máxima: 8")</f>
        <v>Formação pedagógica Letras - Português - Formação pedagógica Letras - Português - Mônica Alves de Almeida - Metodologia do Ensino da Língua Portuguesa II - Nota Máxima: 8</v>
      </c>
    </row>
    <row r="153">
      <c r="A153" s="390" t="str">
        <f>IFERROR(__xludf.DUMMYFUNCTION("""COMPUTED_VALUE"""),"Formação pedagógica Letras - Português - Formação pedagógica Letras - Português - Mônica Alves de Almeida - Planejamento, Gestão Educacional e Currículo/a - Nota Máxima: 10")</f>
        <v>Formação pedagógica Letras - Português - Formação pedagógica Letras - Português - Mônica Alves de Almeida - Planejamento, Gestão Educacional e Currículo/a - Nota Máxima: 10</v>
      </c>
    </row>
    <row r="154">
      <c r="A154" s="390" t="str">
        <f>IFERROR(__xludf.DUMMYFUNCTION("""COMPUTED_VALUE"""),"Formação pedagógica Letras - Português - Formação pedagógica Letras - Português - Mônica Alves de Almeida - Planejamento, Gestão Educacional e Currículo/a - Nota Máxima: 10")</f>
        <v>Formação pedagógica Letras - Português - Formação pedagógica Letras - Português - Mônica Alves de Almeida - Planejamento, Gestão Educacional e Currículo/a - Nota Máxima: 10</v>
      </c>
    </row>
    <row r="155">
      <c r="A155" s="390" t="str">
        <f>IFERROR(__xludf.DUMMYFUNCTION("""COMPUTED_VALUE"""),"Formação pedagógica Letras - Português - Formação pedagógica Letras - Português - Mônica Alves de Almeida - Práticas Pedagógicas - 400 Horas - Nota Máxima: 10")</f>
        <v>Formação pedagógica Letras - Português - Formação pedagógica Letras - Português - Mônica Alves de Almeida - Práticas Pedagógicas - 400 Horas - Nota Máxima: 10</v>
      </c>
    </row>
    <row r="156">
      <c r="A156" s="390" t="str">
        <f>IFERROR(__xludf.DUMMYFUNCTION("""COMPUTED_VALUE"""),"Formação pedagógica Letras - Português - Formação pedagógica Letras - Português - Mônica Alves de Almeida - Práticas Pedagógicas - 400 Horas - Nota Máxima: 10")</f>
        <v>Formação pedagógica Letras - Português - Formação pedagógica Letras - Português - Mônica Alves de Almeida - Práticas Pedagógicas - 400 Horas - Nota Máxima: 10</v>
      </c>
    </row>
    <row r="157">
      <c r="A157" s="390" t="str">
        <f>IFERROR(__xludf.DUMMYFUNCTION("""COMPUTED_VALUE"""),"Formação pedagógica Letras - Português - Formação pedagógica Letras - Português - Mônica Alves de Almeida - Psicologia da Educação/a - Nota Máxima: 9")</f>
        <v>Formação pedagógica Letras - Português - Formação pedagógica Letras - Português - Mônica Alves de Almeida - Psicologia da Educação/a - Nota Máxima: 9</v>
      </c>
    </row>
    <row r="158">
      <c r="A158" s="390" t="str">
        <f>IFERROR(__xludf.DUMMYFUNCTION("""COMPUTED_VALUE"""),"Formação pedagógica Letras - Português - Formação pedagógica Letras - Português - Mônica Alves de Almeida - Psicologia da Educação/a - Nota Máxima: 7")</f>
        <v>Formação pedagógica Letras - Português - Formação pedagógica Letras - Português - Mônica Alves de Almeida - Psicologia da Educação/a - Nota Máxima: 7</v>
      </c>
    </row>
    <row r="159">
      <c r="A159" s="390" t="str">
        <f>IFERROR(__xludf.DUMMYFUNCTION("""COMPUTED_VALUE"""),"Formação pedagógica Letras - Português - Formação pedagógica Letras - Português - Mônica Alves de Almeida - Psicomotricidade e Linguagem na Alfabetização/a - Nota Máxima: 9")</f>
        <v>Formação pedagógica Letras - Português - Formação pedagógica Letras - Português - Mônica Alves de Almeida - Psicomotricidade e Linguagem na Alfabetização/a - Nota Máxima: 9</v>
      </c>
    </row>
    <row r="160">
      <c r="A160" s="390" t="str">
        <f>IFERROR(__xludf.DUMMYFUNCTION("""COMPUTED_VALUE"""),"Formação pedagógica Letras - Português - Formação pedagógica Letras - Português - Mônica Alves de Almeida - Psicomotricidade e Linguagem na Alfabetização/a - Nota Máxima: 8")</f>
        <v>Formação pedagógica Letras - Português - Formação pedagógica Letras - Português - Mônica Alves de Almeida - Psicomotricidade e Linguagem na Alfabetização/a - Nota Máxima: 8</v>
      </c>
    </row>
    <row r="161">
      <c r="A161" s="390" t="str">
        <f>IFERROR(__xludf.DUMMYFUNCTION("""COMPUTED_VALUE"""),"Formação pedagógica Letras - Português - Formação pedagógica Letras - Português - Mônica Alves de Almeida - Teoria da Literatura/a - Nota Máxima: 10")</f>
        <v>Formação pedagógica Letras - Português - Formação pedagógica Letras - Português - Mônica Alves de Almeida - Teoria da Literatura/a - Nota Máxima: 10</v>
      </c>
    </row>
    <row r="162">
      <c r="A162" s="390" t="str">
        <f>IFERROR(__xludf.DUMMYFUNCTION("""COMPUTED_VALUE"""),"Formação pedagógica Letras - Português - Formação pedagógica Letras - Português - Mônica Alves de Almeida - Teoria da Literatura/a - Nota Máxima: 2")</f>
        <v>Formação pedagógica Letras - Português - Formação pedagógica Letras - Português - Mônica Alves de Almeida - Teoria da Literatura/a - Nota Máxima: 2</v>
      </c>
    </row>
    <row r="163">
      <c r="A163" s="390" t="str">
        <f>IFERROR(__xludf.DUMMYFUNCTION("""COMPUTED_VALUE"""),"Formação pedagógica Letras - Português - Formação Pedagógica Letras - Libras - Mayara de souza silva - Deficiência Auditiva e Libras/a - Nota Máxima: 8")</f>
        <v>Formação pedagógica Letras - Português - Formação Pedagógica Letras - Libras - Mayara de souza silva - Deficiência Auditiva e Libras/a - Nota Máxima: 8</v>
      </c>
    </row>
    <row r="164">
      <c r="A164" s="390" t="str">
        <f>IFERROR(__xludf.DUMMYFUNCTION("""COMPUTED_VALUE"""),"Formação pedagógica Letras - Português - Formação Pedagógica Letras - Libras - Mayara de souza silva - Deficiência Auditiva e Libras/a - Nota Máxima: 9")</f>
        <v>Formação pedagógica Letras - Português - Formação Pedagógica Letras - Libras - Mayara de souza silva - Deficiência Auditiva e Libras/a - Nota Máxima: 9</v>
      </c>
    </row>
    <row r="165">
      <c r="A165" s="390" t="str">
        <f>IFERROR(__xludf.DUMMYFUNCTION("""COMPUTED_VALUE"""),"Formação pedagógica Letras - Português - Formação Pedagógica Letras - Libras - Mayara de souza silva - Educação Especial, Inclusão Escolar e Adaptações Curriculares - Nota Máxima: 9")</f>
        <v>Formação pedagógica Letras - Português - Formação Pedagógica Letras - Libras - Mayara de souza silva - Educação Especial, Inclusão Escolar e Adaptações Curriculares - Nota Máxima: 9</v>
      </c>
    </row>
    <row r="166">
      <c r="A166" s="390" t="str">
        <f>IFERROR(__xludf.DUMMYFUNCTION("""COMPUTED_VALUE"""),"Formação pedagógica Letras - Português - Formação Pedagógica Letras - Libras - Mayara de souza silva - Educação Especial, Inclusão Escolar e Adaptações Curriculares - Nota Máxima: 9")</f>
        <v>Formação pedagógica Letras - Português - Formação Pedagógica Letras - Libras - Mayara de souza silva - Educação Especial, Inclusão Escolar e Adaptações Curriculares - Nota Máxima: 9</v>
      </c>
    </row>
    <row r="167">
      <c r="A167" s="390" t="str">
        <f>IFERROR(__xludf.DUMMYFUNCTION("""COMPUTED_VALUE"""),"Formação pedagógica Letras - Português - Formação Pedagógica Letras - Libras - Mayara de souza silva - Educação, História, Cultura e Práticas Indígenas/a - Nota Máxima: 9")</f>
        <v>Formação pedagógica Letras - Português - Formação Pedagógica Letras - Libras - Mayara de souza silva - Educação, História, Cultura e Práticas Indígenas/a - Nota Máxima: 9</v>
      </c>
    </row>
    <row r="168">
      <c r="A168" s="390" t="str">
        <f>IFERROR(__xludf.DUMMYFUNCTION("""COMPUTED_VALUE"""),"Formação pedagógica Letras - Português - Formação Pedagógica Letras - Libras - Mayara de souza silva - Educação, História, Cultura e Práticas Indígenas/a - Nota Máxima: 8")</f>
        <v>Formação pedagógica Letras - Português - Formação Pedagógica Letras - Libras - Mayara de souza silva - Educação, História, Cultura e Práticas Indígenas/a - Nota Máxima: 8</v>
      </c>
    </row>
    <row r="169">
      <c r="A169" s="390" t="str">
        <f>IFERROR(__xludf.DUMMYFUNCTION("""COMPUTED_VALUE"""),"Formação pedagógica Letras - Português - Formação Pedagógica Letras - Libras - Mayara de souza silva - Legislação Educacional/a - Nota Máxima: 9")</f>
        <v>Formação pedagógica Letras - Português - Formação Pedagógica Letras - Libras - Mayara de souza silva - Legislação Educacional/a - Nota Máxima: 9</v>
      </c>
    </row>
    <row r="170">
      <c r="A170" s="390" t="str">
        <f>IFERROR(__xludf.DUMMYFUNCTION("""COMPUTED_VALUE"""),"Formação pedagógica Letras - Português - Formação Pedagógica Letras - Libras - Mayara de souza silva - Legislação Educacional/a - Nota Máxima: 8")</f>
        <v>Formação pedagógica Letras - Português - Formação Pedagógica Letras - Libras - Mayara de souza silva - Legislação Educacional/a - Nota Máxima: 8</v>
      </c>
    </row>
    <row r="171">
      <c r="A171" s="390" t="str">
        <f>IFERROR(__xludf.DUMMYFUNCTION("""COMPUTED_VALUE"""),"Formação pedagógica Letras - Português - Formação Pedagógica Letras - Libras - Mayara de souza silva - Planejamento, Gestão Educacional e Currículo/a - Nota Máxima: 9")</f>
        <v>Formação pedagógica Letras - Português - Formação Pedagógica Letras - Libras - Mayara de souza silva - Planejamento, Gestão Educacional e Currículo/a - Nota Máxima: 9</v>
      </c>
    </row>
    <row r="172">
      <c r="A172" s="390" t="str">
        <f>IFERROR(__xludf.DUMMYFUNCTION("""COMPUTED_VALUE"""),"Formação pedagógica Letras - Português - Formação Pedagógica Letras - Libras - Mayara de souza silva - Planejamento, Gestão Educacional e Currículo/a - Nota Máxima: 9")</f>
        <v>Formação pedagógica Letras - Português - Formação Pedagógica Letras - Libras - Mayara de souza silva - Planejamento, Gestão Educacional e Currículo/a - Nota Máxima: 9</v>
      </c>
    </row>
    <row r="173">
      <c r="A173" s="390" t="str">
        <f>IFERROR(__xludf.DUMMYFUNCTION("""COMPUTED_VALUE"""),"Formação pedagógica Letras - Português - Formação Pedagógica Letras - Libras - Mayara de souza silva - Práticas Pedagógicas - 400 Horas - Nota Máxima: 3")</f>
        <v>Formação pedagógica Letras - Português - Formação Pedagógica Letras - Libras - Mayara de souza silva - Práticas Pedagógicas - 400 Horas - Nota Máxima: 3</v>
      </c>
    </row>
    <row r="174">
      <c r="A174" s="390" t="str">
        <f>IFERROR(__xludf.DUMMYFUNCTION("""COMPUTED_VALUE"""),"Formação pedagógica Letras - Português - Formação Pedagógica Letras - Libras - Mayara de souza silva - Práticas Pedagógicas - 400 Horas - Nota Máxima: 3")</f>
        <v>Formação pedagógica Letras - Português - Formação Pedagógica Letras - Libras - Mayara de souza silva - Práticas Pedagógicas - 400 Horas - Nota Máxima: 3</v>
      </c>
    </row>
    <row r="175">
      <c r="A175" s="390" t="str">
        <f>IFERROR(__xludf.DUMMYFUNCTION("""COMPUTED_VALUE"""),"Formação pedagógica Letras - Português - Formação Pedagógica Letras - Libras - Mayara de souza silva - Psicologia da Educação/a - Nota Máxima: 9")</f>
        <v>Formação pedagógica Letras - Português - Formação Pedagógica Letras - Libras - Mayara de souza silva - Psicologia da Educação/a - Nota Máxima: 9</v>
      </c>
    </row>
    <row r="176">
      <c r="A176" s="390" t="str">
        <f>IFERROR(__xludf.DUMMYFUNCTION("""COMPUTED_VALUE"""),"Formação pedagógica Letras - Português - Formação Pedagógica Letras - Libras - Mayara de souza silva - Psicologia da Educação/a - Nota Máxima: 6")</f>
        <v>Formação pedagógica Letras - Português - Formação Pedagógica Letras - Libras - Mayara de souza silva - Psicologia da Educação/a - Nota Máxima: 6</v>
      </c>
    </row>
    <row r="177">
      <c r="A177" s="390" t="str">
        <f>IFERROR(__xludf.DUMMYFUNCTION("""COMPUTED_VALUE"""),"#SLSEA - Segunda Licenciatura Letras - Espanhol - Segunda Licenciatura Letras - Espanhol - Alexandre Lazarotto Lago - A cognição Humana - Nota Máxima: 7")</f>
        <v>#SLSEA - Segunda Licenciatura Letras - Espanhol - Segunda Licenciatura Letras - Espanhol - Alexandre Lazarotto Lago - A cognição Humana - Nota Máxima: 7</v>
      </c>
    </row>
    <row r="178">
      <c r="A178" s="390" t="str">
        <f>IFERROR(__xludf.DUMMYFUNCTION("""COMPUTED_VALUE"""),"#SLSEA - Segunda Licenciatura Letras - Espanhol - Segunda Licenciatura Letras - Espanhol - Alexandre Lazarotto Lago - A Psicomotricidade e o Processo de Alfabetização - Nota Máxima: 10")</f>
        <v>#SLSEA - Segunda Licenciatura Letras - Espanhol - Segunda Licenciatura Letras - Espanhol - Alexandre Lazarotto Lago - A Psicomotricidade e o Processo de Alfabetização - Nota Máxima: 10</v>
      </c>
    </row>
    <row r="179">
      <c r="A179" s="390" t="str">
        <f>IFERROR(__xludf.DUMMYFUNCTION("""COMPUTED_VALUE"""),"#SLSEA - Segunda Licenciatura Letras - Espanhol - Segunda Licenciatura Letras - Espanhol - Alexandre Lazarotto Lago - Deficiência Auditiva e Libras/a - Nota Máxima: 9")</f>
        <v>#SLSEA - Segunda Licenciatura Letras - Espanhol - Segunda Licenciatura Letras - Espanhol - Alexandre Lazarotto Lago - Deficiência Auditiva e Libras/a - Nota Máxima: 9</v>
      </c>
    </row>
    <row r="180">
      <c r="A180" s="390" t="str">
        <f>IFERROR(__xludf.DUMMYFUNCTION("""COMPUTED_VALUE"""),"#SLSEA - Segunda Licenciatura Letras - Espanhol - Segunda Licenciatura Letras - Espanhol - Alexandre Lazarotto Lago - Educação e as Tic's - Nota Máxima: 9")</f>
        <v>#SLSEA - Segunda Licenciatura Letras - Espanhol - Segunda Licenciatura Letras - Espanhol - Alexandre Lazarotto Lago - Educação e as Tic's - Nota Máxima: 9</v>
      </c>
    </row>
    <row r="181">
      <c r="A181" s="390" t="str">
        <f>IFERROR(__xludf.DUMMYFUNCTION("""COMPUTED_VALUE"""),"#SLSEA - Segunda Licenciatura Letras - Espanhol - Segunda Licenciatura Letras - Espanhol - Alexandre Lazarotto Lago - Educação Especial, Inclusão Escolar e Adaptações Curriculares - Nota Máxima: 9")</f>
        <v>#SLSEA - Segunda Licenciatura Letras - Espanhol - Segunda Licenciatura Letras - Espanhol - Alexandre Lazarotto Lago - Educação Especial, Inclusão Escolar e Adaptações Curriculares - Nota Máxima: 9</v>
      </c>
    </row>
    <row r="182">
      <c r="A182" s="390" t="str">
        <f>IFERROR(__xludf.DUMMYFUNCTION("""COMPUTED_VALUE"""),"#SLSEA - Segunda Licenciatura Letras - Espanhol - Segunda Licenciatura Letras - Espanhol - Alexandre Lazarotto Lago - Educação, História, Cultura e Práticas Indígenas/a - Nota Máxima: 10")</f>
        <v>#SLSEA - Segunda Licenciatura Letras - Espanhol - Segunda Licenciatura Letras - Espanhol - Alexandre Lazarotto Lago - Educação, História, Cultura e Práticas Indígenas/a - Nota Máxima: 10</v>
      </c>
    </row>
    <row r="183">
      <c r="A183" s="390" t="str">
        <f>IFERROR(__xludf.DUMMYFUNCTION("""COMPUTED_VALUE"""),"#SLSEA - Segunda Licenciatura Letras - Espanhol - Segunda Licenciatura Letras - Espanhol - Alexandre Lazarotto Lago - Espanhol e Português: Proximidades e Problemas - Nota Máxima: 9")</f>
        <v>#SLSEA - Segunda Licenciatura Letras - Espanhol - Segunda Licenciatura Letras - Espanhol - Alexandre Lazarotto Lago - Espanhol e Português: Proximidades e Problemas - Nota Máxima: 9</v>
      </c>
    </row>
    <row r="184">
      <c r="A184" s="390" t="str">
        <f>IFERROR(__xludf.DUMMYFUNCTION("""COMPUTED_VALUE"""),"#SLSEA - Segunda Licenciatura Letras - Espanhol - Segunda Licenciatura Letras - Espanhol - Alexandre Lazarotto Lago - Estudos Morfossintáticos da Língua Portuguesa/e - Nota Máxima: 10")</f>
        <v>#SLSEA - Segunda Licenciatura Letras - Espanhol - Segunda Licenciatura Letras - Espanhol - Alexandre Lazarotto Lago - Estudos Morfossintáticos da Língua Portuguesa/e - Nota Máxima: 10</v>
      </c>
    </row>
    <row r="185">
      <c r="A185" s="390" t="str">
        <f>IFERROR(__xludf.DUMMYFUNCTION("""COMPUTED_VALUE"""),"#SLSEA - Segunda Licenciatura Letras - Espanhol - Segunda Licenciatura Letras - Espanhol - Alexandre Lazarotto Lago - Legislação Educacional/a - Nota Máxima: 8")</f>
        <v>#SLSEA - Segunda Licenciatura Letras - Espanhol - Segunda Licenciatura Letras - Espanhol - Alexandre Lazarotto Lago - Legislação Educacional/a - Nota Máxima: 8</v>
      </c>
    </row>
    <row r="186">
      <c r="A186" s="390" t="str">
        <f>IFERROR(__xludf.DUMMYFUNCTION("""COMPUTED_VALUE"""),"#SLSEA - Segunda Licenciatura Letras - Espanhol - Segunda Licenciatura Letras - Espanhol - Alexandre Lazarotto Lago - Linguística Aplicada ao Ensino de Português/a - Nota Máxima: 10")</f>
        <v>#SLSEA - Segunda Licenciatura Letras - Espanhol - Segunda Licenciatura Letras - Espanhol - Alexandre Lazarotto Lago - Linguística Aplicada ao Ensino de Português/a - Nota Máxima: 10</v>
      </c>
    </row>
    <row r="187">
      <c r="A187" s="390" t="str">
        <f>IFERROR(__xludf.DUMMYFUNCTION("""COMPUTED_VALUE"""),"#SLSEA - Segunda Licenciatura Letras - Espanhol - Segunda Licenciatura Letras - Espanhol - Alexandre Lazarotto Lago - Metodologia do Ensino do Espanhol - Nota Máxima: 8")</f>
        <v>#SLSEA - Segunda Licenciatura Letras - Espanhol - Segunda Licenciatura Letras - Espanhol - Alexandre Lazarotto Lago - Metodologia do Ensino do Espanhol - Nota Máxima: 8</v>
      </c>
    </row>
    <row r="188">
      <c r="A188" s="390" t="str">
        <f>IFERROR(__xludf.DUMMYFUNCTION("""COMPUTED_VALUE"""),"#SLSEA - Segunda Licenciatura Letras - Espanhol - Segunda Licenciatura Letras - Espanhol - Alexandre Lazarotto Lago - Morfossintaxe da Língua Espanhola - Nota Máxima: 10")</f>
        <v>#SLSEA - Segunda Licenciatura Letras - Espanhol - Segunda Licenciatura Letras - Espanhol - Alexandre Lazarotto Lago - Morfossintaxe da Língua Espanhola - Nota Máxima: 10</v>
      </c>
    </row>
    <row r="189">
      <c r="A189" s="390" t="str">
        <f>IFERROR(__xludf.DUMMYFUNCTION("""COMPUTED_VALUE"""),"#SLSEA - Segunda Licenciatura Letras - Espanhol - Segunda Licenciatura Letras - Espanhol - Alexandre Lazarotto Lago - Planejamento, Gestão Educacional e Currículo/a - Nota Máxima: 10")</f>
        <v>#SLSEA - Segunda Licenciatura Letras - Espanhol - Segunda Licenciatura Letras - Espanhol - Alexandre Lazarotto Lago - Planejamento, Gestão Educacional e Currículo/a - Nota Máxima: 10</v>
      </c>
    </row>
    <row r="190">
      <c r="A190" s="390" t="str">
        <f>IFERROR(__xludf.DUMMYFUNCTION("""COMPUTED_VALUE"""),"#SLSEA - Segunda Licenciatura Letras - Espanhol - Segunda Licenciatura Letras - Espanhol - Alexandre Lazarotto Lago - Práticas Pedagógicas - 400 Horas - Nota Máxima: 5")</f>
        <v>#SLSEA - Segunda Licenciatura Letras - Espanhol - Segunda Licenciatura Letras - Espanhol - Alexandre Lazarotto Lago - Práticas Pedagógicas - 400 Horas - Nota Máxima: 5</v>
      </c>
    </row>
    <row r="191">
      <c r="A191" s="390" t="str">
        <f>IFERROR(__xludf.DUMMYFUNCTION("""COMPUTED_VALUE"""),"#SLSEA - Segunda Licenciatura Letras - Espanhol - Segunda Licenciatura Letras - Espanhol - Alexandre Lazarotto Lago - Psicologia da Educação/a - Nota Máxima: 9")</f>
        <v>#SLSEA - Segunda Licenciatura Letras - Espanhol - Segunda Licenciatura Letras - Espanhol - Alexandre Lazarotto Lago - Psicologia da Educação/a - Nota Máxima: 9</v>
      </c>
    </row>
    <row r="192">
      <c r="A192" s="390" t="str">
        <f>IFERROR(__xludf.DUMMYFUNCTION("""COMPUTED_VALUE"""),"#SLSEA - Segunda Licenciatura Letras - Espanhol - Segunda Licenciatura Letras - Espanhol - Karla Silva Saldanha - Deficiência Auditiva e Libras/a - Nota Máxima: 10")</f>
        <v>#SLSEA - Segunda Licenciatura Letras - Espanhol - Segunda Licenciatura Letras - Espanhol - Karla Silva Saldanha - Deficiência Auditiva e Libras/a - Nota Máxima: 10</v>
      </c>
    </row>
    <row r="193">
      <c r="A193" s="390" t="str">
        <f>IFERROR(__xludf.DUMMYFUNCTION("""COMPUTED_VALUE"""),"#SLSEA - Segunda Licenciatura Letras - Espanhol - Segunda Licenciatura Letras - Espanhol - Karla Silva Saldanha - Espanhol e Português: Proximidades e Problemas - Nota Máxima: 8")</f>
        <v>#SLSEA - Segunda Licenciatura Letras - Espanhol - Segunda Licenciatura Letras - Espanhol - Karla Silva Saldanha - Espanhol e Português: Proximidades e Problemas - Nota Máxima: 8</v>
      </c>
    </row>
    <row r="194">
      <c r="A194" s="390" t="str">
        <f>IFERROR(__xludf.DUMMYFUNCTION("""COMPUTED_VALUE"""),"#SLSEA - Segunda Licenciatura Letras - Espanhol - Segunda Licenciatura Letras - Espanhol - Karla Silva Saldanha - Linguística Aplicada ao Ensino de Português/a - Nota Máxima: 9")</f>
        <v>#SLSEA - Segunda Licenciatura Letras - Espanhol - Segunda Licenciatura Letras - Espanhol - Karla Silva Saldanha - Linguística Aplicada ao Ensino de Português/a - Nota Máxima: 9</v>
      </c>
    </row>
    <row r="195">
      <c r="A195" s="390" t="str">
        <f>IFERROR(__xludf.DUMMYFUNCTION("""COMPUTED_VALUE"""),"#SLSEA - Segunda Licenciatura Letras - Espanhol - Segunda Licenciatura Letras - Espanhol - Karla Silva Saldanha - Metodologia do Ensino do Espanhol - Nota Máxima: 8")</f>
        <v>#SLSEA - Segunda Licenciatura Letras - Espanhol - Segunda Licenciatura Letras - Espanhol - Karla Silva Saldanha - Metodologia do Ensino do Espanhol - Nota Máxima: 8</v>
      </c>
    </row>
    <row r="196">
      <c r="A196" s="390" t="str">
        <f>IFERROR(__xludf.DUMMYFUNCTION("""COMPUTED_VALUE"""),"#SLSEA - Segunda Licenciatura Letras - Espanhol - Segunda Licenciatura Letras - Espanhol - Karla Silva Saldanha - Morfossintaxe da Língua Espanhola - Nota Máxima: 7")</f>
        <v>#SLSEA - Segunda Licenciatura Letras - Espanhol - Segunda Licenciatura Letras - Espanhol - Karla Silva Saldanha - Morfossintaxe da Língua Espanhola - Nota Máxima: 7</v>
      </c>
    </row>
    <row r="197">
      <c r="A197" s="390" t="str">
        <f>IFERROR(__xludf.DUMMYFUNCTION("""COMPUTED_VALUE"""),"#SLSEA - Segunda Licenciatura Letras - Espanhol - Segunda Licenciatura Letras - Espanhol - Karla Silva Saldanha - Práticas Pedagógicas - 400 Horas - Nota Máxima: 10")</f>
        <v>#SLSEA - Segunda Licenciatura Letras - Espanhol - Segunda Licenciatura Letras - Espanhol - Karla Silva Saldanha - Práticas Pedagógicas - 400 Horas - Nota Máxima: 10</v>
      </c>
    </row>
    <row r="198">
      <c r="A198" s="390" t="str">
        <f>IFERROR(__xludf.DUMMYFUNCTION("""COMPUTED_VALUE"""),"#SLSEA - Segunda Licenciatura Letras - Espanhol - Segunda Licenciatura Letras - Espanhol - Karla Silva Saldanha - Práticas Pedagógicas - 400 Horas - Nota Máxima: 10")</f>
        <v>#SLSEA - Segunda Licenciatura Letras - Espanhol - Segunda Licenciatura Letras - Espanhol - Karla Silva Saldanha - Práticas Pedagógicas - 400 Horas - Nota Máxima: 10</v>
      </c>
    </row>
    <row r="199">
      <c r="A199" s="390" t="str">
        <f>IFERROR(__xludf.DUMMYFUNCTION("""COMPUTED_VALUE"""),"#SLEEF- Segunda Licenciatura Educação Física - #SLEEF- Segunda Licenciatura Educação Física - Luciana de Oliveira Neto - Anatomia Humana - Nota Máxima: 10")</f>
        <v>#SLEEF- Segunda Licenciatura Educação Física - #SLEEF- Segunda Licenciatura Educação Física - Luciana de Oliveira Neto - Anatomia Humana - Nota Máxima: 10</v>
      </c>
    </row>
    <row r="200">
      <c r="A200" s="390" t="str">
        <f>IFERROR(__xludf.DUMMYFUNCTION("""COMPUTED_VALUE"""),"#SLEEF- Segunda Licenciatura Educação Física - #SLEEF- Segunda Licenciatura Educação Física - Luciana de Oliveira Neto - Deficiência Auditiva e Libras/a - Nota Máxima: 8")</f>
        <v>#SLEEF- Segunda Licenciatura Educação Física - #SLEEF- Segunda Licenciatura Educação Física - Luciana de Oliveira Neto - Deficiência Auditiva e Libras/a - Nota Máxima: 8</v>
      </c>
    </row>
    <row r="201">
      <c r="A201" s="390" t="str">
        <f>IFERROR(__xludf.DUMMYFUNCTION("""COMPUTED_VALUE"""),"#SLEEF- Segunda Licenciatura Educação Física - #SLEEF- Segunda Licenciatura Educação Física - Luciana de Oliveira Neto - Educação Especial, Inclusão Escolar e Adaptações Curriculares - Nota Máxima: 9")</f>
        <v>#SLEEF- Segunda Licenciatura Educação Física - #SLEEF- Segunda Licenciatura Educação Física - Luciana de Oliveira Neto - Educação Especial, Inclusão Escolar e Adaptações Curriculares - Nota Máxima: 9</v>
      </c>
    </row>
    <row r="202">
      <c r="A202" s="390" t="str">
        <f>IFERROR(__xludf.DUMMYFUNCTION("""COMPUTED_VALUE"""),"#SLEEF- Segunda Licenciatura Educação Física - #SLEEF- Segunda Licenciatura Educação Física - Luciana de Oliveira Neto - Educação, História, Cultura e Práticas Indígenas/a - Nota Máxima: 10")</f>
        <v>#SLEEF- Segunda Licenciatura Educação Física - #SLEEF- Segunda Licenciatura Educação Física - Luciana de Oliveira Neto - Educação, História, Cultura e Práticas Indígenas/a - Nota Máxima: 10</v>
      </c>
    </row>
    <row r="203">
      <c r="A203" s="390" t="str">
        <f>IFERROR(__xludf.DUMMYFUNCTION("""COMPUTED_VALUE"""),"#SLEEF- Segunda Licenciatura Educação Física - #SLEEF- Segunda Licenciatura Educação Física - Luciana de Oliveira Neto - Fisiologia Humana - Nota Máxima: 10")</f>
        <v>#SLEEF- Segunda Licenciatura Educação Física - #SLEEF- Segunda Licenciatura Educação Física - Luciana de Oliveira Neto - Fisiologia Humana - Nota Máxima: 10</v>
      </c>
    </row>
    <row r="204">
      <c r="A204" s="390" t="str">
        <f>IFERROR(__xludf.DUMMYFUNCTION("""COMPUTED_VALUE"""),"#SLEEF- Segunda Licenciatura Educação Física - #SLEEF- Segunda Licenciatura Educação Física - Luciana de Oliveira Neto - Fisiologia Humana - Nota Máxima: 6")</f>
        <v>#SLEEF- Segunda Licenciatura Educação Física - #SLEEF- Segunda Licenciatura Educação Física - Luciana de Oliveira Neto - Fisiologia Humana - Nota Máxima: 6</v>
      </c>
    </row>
    <row r="205">
      <c r="A205" s="390" t="str">
        <f>IFERROR(__xludf.DUMMYFUNCTION("""COMPUTED_VALUE"""),"#SLEEF- Segunda Licenciatura Educação Física - #SLEEF- Segunda Licenciatura Educação Física - Luciana de Oliveira Neto - Fundamentos Pedagógicos dos Esportes e das Atividades Físicas - Nota Máxima: 9")</f>
        <v>#SLEEF- Segunda Licenciatura Educação Física - #SLEEF- Segunda Licenciatura Educação Física - Luciana de Oliveira Neto - Fundamentos Pedagógicos dos Esportes e das Atividades Físicas - Nota Máxima: 9</v>
      </c>
    </row>
    <row r="206">
      <c r="A206" s="390" t="str">
        <f>IFERROR(__xludf.DUMMYFUNCTION("""COMPUTED_VALUE"""),"#SLEEF- Segunda Licenciatura Educação Física - #SLEEF- Segunda Licenciatura Educação Física - Luciana de Oliveira Neto - Fundamentos Pedagógicos dos Esportes e das Atividades Físicas - Nota Máxima: 5")</f>
        <v>#SLEEF- Segunda Licenciatura Educação Física - #SLEEF- Segunda Licenciatura Educação Física - Luciana de Oliveira Neto - Fundamentos Pedagógicos dos Esportes e das Atividades Físicas - Nota Máxima: 5</v>
      </c>
    </row>
    <row r="207">
      <c r="A207" s="390" t="str">
        <f>IFERROR(__xludf.DUMMYFUNCTION("""COMPUTED_VALUE"""),"#SLEEF- Segunda Licenciatura Educação Física - #SLEEF- Segunda Licenciatura Educação Física - Luciana de Oliveira Neto - Introdução à Neurociência e Neuroeducação - Nota Máxima: 8")</f>
        <v>#SLEEF- Segunda Licenciatura Educação Física - #SLEEF- Segunda Licenciatura Educação Física - Luciana de Oliveira Neto - Introdução à Neurociência e Neuroeducação - Nota Máxima: 8</v>
      </c>
    </row>
    <row r="208">
      <c r="A208" s="390" t="str">
        <f>IFERROR(__xludf.DUMMYFUNCTION("""COMPUTED_VALUE"""),"#SLEEF- Segunda Licenciatura Educação Física - #SLEEF- Segunda Licenciatura Educação Física - Luciana de Oliveira Neto - Jogos e Recreação - Nota Máxima: 8")</f>
        <v>#SLEEF- Segunda Licenciatura Educação Física - #SLEEF- Segunda Licenciatura Educação Física - Luciana de Oliveira Neto - Jogos e Recreação - Nota Máxima: 8</v>
      </c>
    </row>
    <row r="209">
      <c r="A209" s="390" t="str">
        <f>IFERROR(__xludf.DUMMYFUNCTION("""COMPUTED_VALUE"""),"#SLEEF- Segunda Licenciatura Educação Física - #SLEEF- Segunda Licenciatura Educação Física - Luciana de Oliveira Neto - Jogos e Recreação - Nota Máxima: 8")</f>
        <v>#SLEEF- Segunda Licenciatura Educação Física - #SLEEF- Segunda Licenciatura Educação Física - Luciana de Oliveira Neto - Jogos e Recreação - Nota Máxima: 8</v>
      </c>
    </row>
    <row r="210">
      <c r="A210" s="390" t="str">
        <f>IFERROR(__xludf.DUMMYFUNCTION("""COMPUTED_VALUE"""),"#SLEEF- Segunda Licenciatura Educação Física - #SLEEF- Segunda Licenciatura Educação Física - Luciana de Oliveira Neto - Legislação Educacional/a - Nota Máxima: 10")</f>
        <v>#SLEEF- Segunda Licenciatura Educação Física - #SLEEF- Segunda Licenciatura Educação Física - Luciana de Oliveira Neto - Legislação Educacional/a - Nota Máxima: 10</v>
      </c>
    </row>
    <row r="211">
      <c r="A211" s="390" t="str">
        <f>IFERROR(__xludf.DUMMYFUNCTION("""COMPUTED_VALUE"""),"#SLEEF- Segunda Licenciatura Educação Física - #SLEEF- Segunda Licenciatura Educação Física - Luciana de Oliveira Neto - Planejamento, Gestão Educacional e Currículo/a - Nota Máxima: 9")</f>
        <v>#SLEEF- Segunda Licenciatura Educação Física - #SLEEF- Segunda Licenciatura Educação Física - Luciana de Oliveira Neto - Planejamento, Gestão Educacional e Currículo/a - Nota Máxima: 9</v>
      </c>
    </row>
    <row r="212">
      <c r="A212" s="390" t="str">
        <f>IFERROR(__xludf.DUMMYFUNCTION("""COMPUTED_VALUE"""),"#SLEEF- Segunda Licenciatura Educação Física - #SLEEF- Segunda Licenciatura Educação Física - Luciana de Oliveira Neto - Planejamento, Gestão Educacional e Currículo/a - Nota Máxima: 9")</f>
        <v>#SLEEF- Segunda Licenciatura Educação Física - #SLEEF- Segunda Licenciatura Educação Física - Luciana de Oliveira Neto - Planejamento, Gestão Educacional e Currículo/a - Nota Máxima: 9</v>
      </c>
    </row>
    <row r="213">
      <c r="A213" s="390" t="str">
        <f>IFERROR(__xludf.DUMMYFUNCTION("""COMPUTED_VALUE"""),"#SLEEF- Segunda Licenciatura Educação Física - #SLEEF- Segunda Licenciatura Educação Física - Luciana de Oliveira Neto - Práticas Corporais Adaptadas para Grupos Especiais/a - Nota Máxima: 7")</f>
        <v>#SLEEF- Segunda Licenciatura Educação Física - #SLEEF- Segunda Licenciatura Educação Física - Luciana de Oliveira Neto - Práticas Corporais Adaptadas para Grupos Especiais/a - Nota Máxima: 7</v>
      </c>
    </row>
    <row r="214">
      <c r="A214" s="390" t="str">
        <f>IFERROR(__xludf.DUMMYFUNCTION("""COMPUTED_VALUE"""),"#SLEEF- Segunda Licenciatura Educação Física - #SLEEF- Segunda Licenciatura Educação Física - Luciana de Oliveira Neto - Práticas Pedagógicas - 400 Horas - Nota Máxima: 10")</f>
        <v>#SLEEF- Segunda Licenciatura Educação Física - #SLEEF- Segunda Licenciatura Educação Física - Luciana de Oliveira Neto - Práticas Pedagógicas - 400 Horas - Nota Máxima: 10</v>
      </c>
    </row>
    <row r="215">
      <c r="A215" s="390" t="str">
        <f>IFERROR(__xludf.DUMMYFUNCTION("""COMPUTED_VALUE"""),"#SLEEF- Segunda Licenciatura Educação Física - #SLEEF- Segunda Licenciatura Educação Física - Luciana de Oliveira Neto - Psicologia da Educação/a - Nota Máxima: 8")</f>
        <v>#SLEEF- Segunda Licenciatura Educação Física - #SLEEF- Segunda Licenciatura Educação Física - Luciana de Oliveira Neto - Psicologia da Educação/a - Nota Máxima: 8</v>
      </c>
    </row>
    <row r="216">
      <c r="A216" s="390" t="str">
        <f>IFERROR(__xludf.DUMMYFUNCTION("""COMPUTED_VALUE"""),"#SLEEF- Segunda Licenciatura Educação Física - #SLEEF- Segunda Licenciatura Educação Física - Luciana de Oliveira Neto - Psicologia da Educação/a - Nota Máxima: 6")</f>
        <v>#SLEEF- Segunda Licenciatura Educação Física - #SLEEF- Segunda Licenciatura Educação Física - Luciana de Oliveira Neto - Psicologia da Educação/a - Nota Máxima: 6</v>
      </c>
    </row>
    <row r="217">
      <c r="A217" s="390" t="str">
        <f>IFERROR(__xludf.DUMMYFUNCTION("""COMPUTED_VALUE"""),"#SLEEF- Segunda Licenciatura Educação Física - #SLEEF- Segunda Licenciatura Educação Física - Luciana de Oliveira Neto - Psicomotricidade e Ludopedagogia - Nota Máxima: 10")</f>
        <v>#SLEEF- Segunda Licenciatura Educação Física - #SLEEF- Segunda Licenciatura Educação Física - Luciana de Oliveira Neto - Psicomotricidade e Ludopedagogia - Nota Máxima: 10</v>
      </c>
    </row>
    <row r="218">
      <c r="A218" s="390" t="str">
        <f>IFERROR(__xludf.DUMMYFUNCTION("""COMPUTED_VALUE"""),"#SLEEF- Segunda Licenciatura Educação Física - #SLEEF- Segunda Licenciatura Educação Física - Luciano de Oliveira - Anatomia Humana - Nota Máxima: 7")</f>
        <v>#SLEEF- Segunda Licenciatura Educação Física - #SLEEF- Segunda Licenciatura Educação Física - Luciano de Oliveira - Anatomia Humana - Nota Máxima: 7</v>
      </c>
    </row>
    <row r="219">
      <c r="A219" s="390" t="str">
        <f>IFERROR(__xludf.DUMMYFUNCTION("""COMPUTED_VALUE"""),"#SLEEF- Segunda Licenciatura Educação Física - #SLEEF- Segunda Licenciatura Educação Física - Luciano de Oliveira - Currículos e Projetos Pedagógicos - Nota Máxima: 10")</f>
        <v>#SLEEF- Segunda Licenciatura Educação Física - #SLEEF- Segunda Licenciatura Educação Física - Luciano de Oliveira - Currículos e Projetos Pedagógicos - Nota Máxima: 10</v>
      </c>
    </row>
    <row r="220">
      <c r="A220" s="390" t="str">
        <f>IFERROR(__xludf.DUMMYFUNCTION("""COMPUTED_VALUE"""),"#SLEEF- Segunda Licenciatura Educação Física - #SLEEF- Segunda Licenciatura Educação Física - Luciano de Oliveira - Deficiência Auditiva e Libras/a - Nota Máxima: 7")</f>
        <v>#SLEEF- Segunda Licenciatura Educação Física - #SLEEF- Segunda Licenciatura Educação Física - Luciano de Oliveira - Deficiência Auditiva e Libras/a - Nota Máxima: 7</v>
      </c>
    </row>
    <row r="221">
      <c r="A221" s="390" t="str">
        <f>IFERROR(__xludf.DUMMYFUNCTION("""COMPUTED_VALUE"""),"#SLEEF- Segunda Licenciatura Educação Física - #SLEEF- Segunda Licenciatura Educação Física - Luciano de Oliveira - Educação Especial, Inclusão Escolar e Adaptações Curriculares - Nota Máxima: 10")</f>
        <v>#SLEEF- Segunda Licenciatura Educação Física - #SLEEF- Segunda Licenciatura Educação Física - Luciano de Oliveira - Educação Especial, Inclusão Escolar e Adaptações Curriculares - Nota Máxima: 10</v>
      </c>
    </row>
    <row r="222">
      <c r="A222" s="390" t="str">
        <f>IFERROR(__xludf.DUMMYFUNCTION("""COMPUTED_VALUE"""),"#SLEEF- Segunda Licenciatura Educação Física - #SLEEF- Segunda Licenciatura Educação Física - Luciano de Oliveira - Educação, História, Cultura e Práticas Indígenas/a - Nota Máxima: 9")</f>
        <v>#SLEEF- Segunda Licenciatura Educação Física - #SLEEF- Segunda Licenciatura Educação Física - Luciano de Oliveira - Educação, História, Cultura e Práticas Indígenas/a - Nota Máxima: 9</v>
      </c>
    </row>
    <row r="223">
      <c r="A223" s="390" t="str">
        <f>IFERROR(__xludf.DUMMYFUNCTION("""COMPUTED_VALUE"""),"#SLEEF- Segunda Licenciatura Educação Física - #SLEEF- Segunda Licenciatura Educação Física - Luciano de Oliveira - Fisiologia Humana - Nota Máxima: 9")</f>
        <v>#SLEEF- Segunda Licenciatura Educação Física - #SLEEF- Segunda Licenciatura Educação Física - Luciano de Oliveira - Fisiologia Humana - Nota Máxima: 9</v>
      </c>
    </row>
    <row r="224">
      <c r="A224" s="390" t="str">
        <f>IFERROR(__xludf.DUMMYFUNCTION("""COMPUTED_VALUE"""),"#SLEEF- Segunda Licenciatura Educação Física - #SLEEF- Segunda Licenciatura Educação Física - Luciano de Oliveira - Fundamentos Pedagógicos dos Esportes e das Atividades Físicas - Nota Máxima: 9")</f>
        <v>#SLEEF- Segunda Licenciatura Educação Física - #SLEEF- Segunda Licenciatura Educação Física - Luciano de Oliveira - Fundamentos Pedagógicos dos Esportes e das Atividades Físicas - Nota Máxima: 9</v>
      </c>
    </row>
    <row r="225">
      <c r="A225" s="390" t="str">
        <f>IFERROR(__xludf.DUMMYFUNCTION("""COMPUTED_VALUE"""),"#SLEEF- Segunda Licenciatura Educação Física - #SLEEF- Segunda Licenciatura Educação Física - Luciano de Oliveira - Introdução à Neurociência e Neuroeducação - Nota Máxima: 8")</f>
        <v>#SLEEF- Segunda Licenciatura Educação Física - #SLEEF- Segunda Licenciatura Educação Física - Luciano de Oliveira - Introdução à Neurociência e Neuroeducação - Nota Máxima: 8</v>
      </c>
    </row>
    <row r="226">
      <c r="A226" s="390" t="str">
        <f>IFERROR(__xludf.DUMMYFUNCTION("""COMPUTED_VALUE"""),"#SLEEF- Segunda Licenciatura Educação Física - #SLEEF- Segunda Licenciatura Educação Física - Luciano de Oliveira - Jogos e Recreação - Nota Máxima: 9")</f>
        <v>#SLEEF- Segunda Licenciatura Educação Física - #SLEEF- Segunda Licenciatura Educação Física - Luciano de Oliveira - Jogos e Recreação - Nota Máxima: 9</v>
      </c>
    </row>
    <row r="227">
      <c r="A227" s="390" t="str">
        <f>IFERROR(__xludf.DUMMYFUNCTION("""COMPUTED_VALUE"""),"#SLEEF- Segunda Licenciatura Educação Física - #SLEEF- Segunda Licenciatura Educação Física - Luciano de Oliveira - Legislação Educacional/a - Nota Máxima: 7")</f>
        <v>#SLEEF- Segunda Licenciatura Educação Física - #SLEEF- Segunda Licenciatura Educação Física - Luciano de Oliveira - Legislação Educacional/a - Nota Máxima: 7</v>
      </c>
    </row>
    <row r="228">
      <c r="A228" s="390" t="str">
        <f>IFERROR(__xludf.DUMMYFUNCTION("""COMPUTED_VALUE"""),"#SLEEF- Segunda Licenciatura Educação Física - #SLEEF- Segunda Licenciatura Educação Física - Luciano de Oliveira - Planejamento, Gestão Educacional e Currículo/a - Nota Máxima: 9")</f>
        <v>#SLEEF- Segunda Licenciatura Educação Física - #SLEEF- Segunda Licenciatura Educação Física - Luciano de Oliveira - Planejamento, Gestão Educacional e Currículo/a - Nota Máxima: 9</v>
      </c>
    </row>
    <row r="229">
      <c r="A229" s="390" t="str">
        <f>IFERROR(__xludf.DUMMYFUNCTION("""COMPUTED_VALUE"""),"#SLEEF- Segunda Licenciatura Educação Física - #SLEEF- Segunda Licenciatura Educação Física - Luciano de Oliveira - Práticas Corporais Adaptadas para Grupos Especiais/a - Nota Máxima: 10")</f>
        <v>#SLEEF- Segunda Licenciatura Educação Física - #SLEEF- Segunda Licenciatura Educação Física - Luciano de Oliveira - Práticas Corporais Adaptadas para Grupos Especiais/a - Nota Máxima: 10</v>
      </c>
    </row>
    <row r="230">
      <c r="A230" s="390" t="str">
        <f>IFERROR(__xludf.DUMMYFUNCTION("""COMPUTED_VALUE"""),"#SLEEF- Segunda Licenciatura Educação Física - #SLEEF- Segunda Licenciatura Educação Física - Luciano de Oliveira - Práticas Pedagógicas - 400 Horas - Nota Máxima: 4")</f>
        <v>#SLEEF- Segunda Licenciatura Educação Física - #SLEEF- Segunda Licenciatura Educação Física - Luciano de Oliveira - Práticas Pedagógicas - 400 Horas - Nota Máxima: 4</v>
      </c>
    </row>
    <row r="231">
      <c r="A231" s="390" t="str">
        <f>IFERROR(__xludf.DUMMYFUNCTION("""COMPUTED_VALUE"""),"#SLEEF- Segunda Licenciatura Educação Física - #SLEEF- Segunda Licenciatura Educação Física - Luciano de Oliveira - Psicologia da Educação/a - Nota Máxima: 9")</f>
        <v>#SLEEF- Segunda Licenciatura Educação Física - #SLEEF- Segunda Licenciatura Educação Física - Luciano de Oliveira - Psicologia da Educação/a - Nota Máxima: 9</v>
      </c>
    </row>
    <row r="232">
      <c r="A232" s="390" t="str">
        <f>IFERROR(__xludf.DUMMYFUNCTION("""COMPUTED_VALUE"""),"#SLEEF- Segunda Licenciatura Educação Física - #SLEEF- Segunda Licenciatura Educação Física - Luciano de Oliveira - Psicomotricidade e Ludopedagogia - Nota Máxima: 7")</f>
        <v>#SLEEF- Segunda Licenciatura Educação Física - #SLEEF- Segunda Licenciatura Educação Física - Luciano de Oliveira - Psicomotricidade e Ludopedagogia - Nota Máxima: 7</v>
      </c>
    </row>
    <row r="233">
      <c r="A233" s="390" t="str">
        <f>IFERROR(__xludf.DUMMYFUNCTION("""COMPUTED_VALUE"""),"#SLEEF- Segunda Licenciatura Educação Física - #SLEEF- Segunda Licenciatura Educação Física - Higor Ricardo Ferreira Diaz - Deficiência Auditiva e Libras/a - Nota Máxima: 10")</f>
        <v>#SLEEF- Segunda Licenciatura Educação Física - #SLEEF- Segunda Licenciatura Educação Física - Higor Ricardo Ferreira Diaz - Deficiência Auditiva e Libras/a - Nota Máxima: 10</v>
      </c>
    </row>
    <row r="234">
      <c r="A234" s="390" t="str">
        <f>IFERROR(__xludf.DUMMYFUNCTION("""COMPUTED_VALUE"""),"#SLEEF- Segunda Licenciatura Educação Física - #SLEEF- Segunda Licenciatura Educação Física - Higor Ricardo Ferreira Diaz - Deficiência Auditiva e Libras/a - Nota Máxima: 9")</f>
        <v>#SLEEF- Segunda Licenciatura Educação Física - #SLEEF- Segunda Licenciatura Educação Física - Higor Ricardo Ferreira Diaz - Deficiência Auditiva e Libras/a - Nota Máxima: 9</v>
      </c>
    </row>
    <row r="235">
      <c r="A235" s="390" t="str">
        <f>IFERROR(__xludf.DUMMYFUNCTION("""COMPUTED_VALUE"""),"#SLEEF- Segunda Licenciatura Educação Física - #SLEEF- Segunda Licenciatura Educação Física - Higor Ricardo Ferreira Diaz - Educação Especial, Inclusão Escolar e Adaptações Curriculares - Nota Máxima: 10")</f>
        <v>#SLEEF- Segunda Licenciatura Educação Física - #SLEEF- Segunda Licenciatura Educação Física - Higor Ricardo Ferreira Diaz - Educação Especial, Inclusão Escolar e Adaptações Curriculares - Nota Máxima: 10</v>
      </c>
    </row>
    <row r="236">
      <c r="A236" s="390" t="str">
        <f>IFERROR(__xludf.DUMMYFUNCTION("""COMPUTED_VALUE"""),"#SLEEF- Segunda Licenciatura Educação Física - #SLEEF- Segunda Licenciatura Educação Física - Higor Ricardo Ferreira Diaz - Educação Especial, Inclusão Escolar e Adaptações Curriculares - Nota Máxima: 10")</f>
        <v>#SLEEF- Segunda Licenciatura Educação Física - #SLEEF- Segunda Licenciatura Educação Física - Higor Ricardo Ferreira Diaz - Educação Especial, Inclusão Escolar e Adaptações Curriculares - Nota Máxima: 10</v>
      </c>
    </row>
    <row r="237">
      <c r="A237" s="390" t="str">
        <f>IFERROR(__xludf.DUMMYFUNCTION("""COMPUTED_VALUE"""),"#SLEEF- Segunda Licenciatura Educação Física - #SLEEF- Segunda Licenciatura Educação Física - Higor Ricardo Ferreira Diaz - Planejamento, Gestão Educacional e Currículo/a - Nota Máxima: 10")</f>
        <v>#SLEEF- Segunda Licenciatura Educação Física - #SLEEF- Segunda Licenciatura Educação Física - Higor Ricardo Ferreira Diaz - Planejamento, Gestão Educacional e Currículo/a - Nota Máxima: 10</v>
      </c>
    </row>
    <row r="238">
      <c r="A238" s="390" t="str">
        <f>IFERROR(__xludf.DUMMYFUNCTION("""COMPUTED_VALUE"""),"#SLEEF- Segunda Licenciatura Educação Física - #SLEEF- Segunda Licenciatura Educação Física - Higor Ricardo Ferreira Diaz - Planejamento, Gestão Educacional e Currículo/a - Nota Máxima: 9")</f>
        <v>#SLEEF- Segunda Licenciatura Educação Física - #SLEEF- Segunda Licenciatura Educação Física - Higor Ricardo Ferreira Diaz - Planejamento, Gestão Educacional e Currículo/a - Nota Máxima: 9</v>
      </c>
    </row>
    <row r="239">
      <c r="A239" s="390" t="str">
        <f>IFERROR(__xludf.DUMMYFUNCTION("""COMPUTED_VALUE"""),"#SLEEF- Segunda Licenciatura Educação Física - #SLEEF- Segunda Licenciatura Educação Física - Fábio Lopes De Souza - Anatomia Humana - Nota Máxima: 9")</f>
        <v>#SLEEF- Segunda Licenciatura Educação Física - #SLEEF- Segunda Licenciatura Educação Física - Fábio Lopes De Souza - Anatomia Humana - Nota Máxima: 9</v>
      </c>
    </row>
    <row r="240">
      <c r="A240" s="390" t="str">
        <f>IFERROR(__xludf.DUMMYFUNCTION("""COMPUTED_VALUE"""),"#SLEEF- Segunda Licenciatura Educação Física - #SLEEF- Segunda Licenciatura Educação Física - Fábio Lopes De Souza - Anatomia Humana - Nota Máxima: 7")</f>
        <v>#SLEEF- Segunda Licenciatura Educação Física - #SLEEF- Segunda Licenciatura Educação Física - Fábio Lopes De Souza - Anatomia Humana - Nota Máxima: 7</v>
      </c>
    </row>
    <row r="241">
      <c r="A241" s="390" t="str">
        <f>IFERROR(__xludf.DUMMYFUNCTION("""COMPUTED_VALUE"""),"#SLEEF- Segunda Licenciatura Educação Física - #SLEEF- Segunda Licenciatura Educação Física - Fábio Lopes De Souza - Deficiência Auditiva e Libras/a - Nota Máxima: 9")</f>
        <v>#SLEEF- Segunda Licenciatura Educação Física - #SLEEF- Segunda Licenciatura Educação Física - Fábio Lopes De Souza - Deficiência Auditiva e Libras/a - Nota Máxima: 9</v>
      </c>
    </row>
    <row r="242">
      <c r="A242" s="390" t="str">
        <f>IFERROR(__xludf.DUMMYFUNCTION("""COMPUTED_VALUE"""),"#SLEEF- Segunda Licenciatura Educação Física - #SLEEF- Segunda Licenciatura Educação Física - Fábio Lopes De Souza - Deficiência Auditiva e Libras/a - Nota Máxima: 8")</f>
        <v>#SLEEF- Segunda Licenciatura Educação Física - #SLEEF- Segunda Licenciatura Educação Física - Fábio Lopes De Souza - Deficiência Auditiva e Libras/a - Nota Máxima: 8</v>
      </c>
    </row>
    <row r="243">
      <c r="A243" s="390" t="str">
        <f>IFERROR(__xludf.DUMMYFUNCTION("""COMPUTED_VALUE"""),"#SLEEF- Segunda Licenciatura Educação Física - #SLEEF- Segunda Licenciatura Educação Física - Fábio Lopes De Souza - Educação Especial, Inclusão Escolar e Adaptações Curriculares - Nota Máxima: 7")</f>
        <v>#SLEEF- Segunda Licenciatura Educação Física - #SLEEF- Segunda Licenciatura Educação Física - Fábio Lopes De Souza - Educação Especial, Inclusão Escolar e Adaptações Curriculares - Nota Máxima: 7</v>
      </c>
    </row>
    <row r="244">
      <c r="A244" s="390" t="str">
        <f>IFERROR(__xludf.DUMMYFUNCTION("""COMPUTED_VALUE"""),"#SLEEF- Segunda Licenciatura Educação Física - #SLEEF- Segunda Licenciatura Educação Física - Fábio Lopes De Souza - Educação Especial, Inclusão Escolar e Adaptações Curriculares - Nota Máxima: 9")</f>
        <v>#SLEEF- Segunda Licenciatura Educação Física - #SLEEF- Segunda Licenciatura Educação Física - Fábio Lopes De Souza - Educação Especial, Inclusão Escolar e Adaptações Curriculares - Nota Máxima: 9</v>
      </c>
    </row>
    <row r="245">
      <c r="A245" s="390" t="str">
        <f>IFERROR(__xludf.DUMMYFUNCTION("""COMPUTED_VALUE"""),"#SLEEF- Segunda Licenciatura Educação Física - #SLEEF- Segunda Licenciatura Educação Física - Fábio Lopes De Souza - Educação, História, Cultura e Práticas Indígenas/a - Nota Máxima: 8")</f>
        <v>#SLEEF- Segunda Licenciatura Educação Física - #SLEEF- Segunda Licenciatura Educação Física - Fábio Lopes De Souza - Educação, História, Cultura e Práticas Indígenas/a - Nota Máxima: 8</v>
      </c>
    </row>
    <row r="246">
      <c r="A246" s="390" t="str">
        <f>IFERROR(__xludf.DUMMYFUNCTION("""COMPUTED_VALUE"""),"#SLEEF- Segunda Licenciatura Educação Física - #SLEEF- Segunda Licenciatura Educação Física - Fábio Lopes De Souza - Educação, História, Cultura e Práticas Indígenas/a - Nota Máxima: 8")</f>
        <v>#SLEEF- Segunda Licenciatura Educação Física - #SLEEF- Segunda Licenciatura Educação Física - Fábio Lopes De Souza - Educação, História, Cultura e Práticas Indígenas/a - Nota Máxima: 8</v>
      </c>
    </row>
    <row r="247">
      <c r="A247" s="390" t="str">
        <f>IFERROR(__xludf.DUMMYFUNCTION("""COMPUTED_VALUE"""),"#SLEEF- Segunda Licenciatura Educação Física - #SLEEF- Segunda Licenciatura Educação Física - Fábio Lopes De Souza - Fisiologia Humana - Nota Máxima: 7")</f>
        <v>#SLEEF- Segunda Licenciatura Educação Física - #SLEEF- Segunda Licenciatura Educação Física - Fábio Lopes De Souza - Fisiologia Humana - Nota Máxima: 7</v>
      </c>
    </row>
    <row r="248">
      <c r="A248" s="390" t="str">
        <f>IFERROR(__xludf.DUMMYFUNCTION("""COMPUTED_VALUE"""),"#SLEEF- Segunda Licenciatura Educação Física - #SLEEF- Segunda Licenciatura Educação Física - Fábio Lopes De Souza - Fisiologia Humana - Nota Máxima: 8")</f>
        <v>#SLEEF- Segunda Licenciatura Educação Física - #SLEEF- Segunda Licenciatura Educação Física - Fábio Lopes De Souza - Fisiologia Humana - Nota Máxima: 8</v>
      </c>
    </row>
    <row r="249">
      <c r="A249" s="390" t="str">
        <f>IFERROR(__xludf.DUMMYFUNCTION("""COMPUTED_VALUE"""),"#SLEEF- Segunda Licenciatura Educação Física - #SLEEF- Segunda Licenciatura Educação Física - Fábio Lopes De Souza - Fundamentos Pedagógicos dos Esportes e das Atividades Físicas - Nota Máxima: 10")</f>
        <v>#SLEEF- Segunda Licenciatura Educação Física - #SLEEF- Segunda Licenciatura Educação Física - Fábio Lopes De Souza - Fundamentos Pedagógicos dos Esportes e das Atividades Físicas - Nota Máxima: 10</v>
      </c>
    </row>
    <row r="250">
      <c r="A250" s="390" t="str">
        <f>IFERROR(__xludf.DUMMYFUNCTION("""COMPUTED_VALUE"""),"#SLEEF- Segunda Licenciatura Educação Física - #SLEEF- Segunda Licenciatura Educação Física - Fábio Lopes De Souza - Fundamentos Pedagógicos dos Esportes e das Atividades Físicas - Nota Máxima: 6")</f>
        <v>#SLEEF- Segunda Licenciatura Educação Física - #SLEEF- Segunda Licenciatura Educação Física - Fábio Lopes De Souza - Fundamentos Pedagógicos dos Esportes e das Atividades Físicas - Nota Máxima: 6</v>
      </c>
    </row>
    <row r="251">
      <c r="A251" s="390" t="str">
        <f>IFERROR(__xludf.DUMMYFUNCTION("""COMPUTED_VALUE"""),"#SLEEF- Segunda Licenciatura Educação Física - #SLEEF- Segunda Licenciatura Educação Física - Fábio Lopes De Souza - Introdução à Neurociência e Neuroeducação - Nota Máxima: 10")</f>
        <v>#SLEEF- Segunda Licenciatura Educação Física - #SLEEF- Segunda Licenciatura Educação Física - Fábio Lopes De Souza - Introdução à Neurociência e Neuroeducação - Nota Máxima: 10</v>
      </c>
    </row>
    <row r="252">
      <c r="A252" s="390" t="str">
        <f>IFERROR(__xludf.DUMMYFUNCTION("""COMPUTED_VALUE"""),"#SLEEF- Segunda Licenciatura Educação Física - #SLEEF- Segunda Licenciatura Educação Física - Fábio Lopes De Souza - Introdução à Neurociência e Neuroeducação - Nota Máxima: 6")</f>
        <v>#SLEEF- Segunda Licenciatura Educação Física - #SLEEF- Segunda Licenciatura Educação Física - Fábio Lopes De Souza - Introdução à Neurociência e Neuroeducação - Nota Máxima: 6</v>
      </c>
    </row>
    <row r="253">
      <c r="A253" s="390" t="str">
        <f>IFERROR(__xludf.DUMMYFUNCTION("""COMPUTED_VALUE"""),"#SLEEF- Segunda Licenciatura Educação Física - #SLEEF- Segunda Licenciatura Educação Física - Fábio Lopes De Souza - Jogos e Recreação - Nota Máxima: 9")</f>
        <v>#SLEEF- Segunda Licenciatura Educação Física - #SLEEF- Segunda Licenciatura Educação Física - Fábio Lopes De Souza - Jogos e Recreação - Nota Máxima: 9</v>
      </c>
    </row>
    <row r="254">
      <c r="A254" s="390" t="str">
        <f>IFERROR(__xludf.DUMMYFUNCTION("""COMPUTED_VALUE"""),"#SLEEF- Segunda Licenciatura Educação Física - #SLEEF- Segunda Licenciatura Educação Física - Fábio Lopes De Souza - Jogos e Recreação - Nota Máxima: 7")</f>
        <v>#SLEEF- Segunda Licenciatura Educação Física - #SLEEF- Segunda Licenciatura Educação Física - Fábio Lopes De Souza - Jogos e Recreação - Nota Máxima: 7</v>
      </c>
    </row>
    <row r="255">
      <c r="A255" s="390" t="str">
        <f>IFERROR(__xludf.DUMMYFUNCTION("""COMPUTED_VALUE"""),"#SLEEF- Segunda Licenciatura Educação Física - #SLEEF- Segunda Licenciatura Educação Física - Fábio Lopes De Souza - Legislação Educacional/a - Nota Máxima: 7")</f>
        <v>#SLEEF- Segunda Licenciatura Educação Física - #SLEEF- Segunda Licenciatura Educação Física - Fábio Lopes De Souza - Legislação Educacional/a - Nota Máxima: 7</v>
      </c>
    </row>
    <row r="256">
      <c r="A256" s="390" t="str">
        <f>IFERROR(__xludf.DUMMYFUNCTION("""COMPUTED_VALUE"""),"#SLEEF- Segunda Licenciatura Educação Física - #SLEEF- Segunda Licenciatura Educação Física - Fábio Lopes De Souza - Legislação Educacional/a - Nota Máxima: 8")</f>
        <v>#SLEEF- Segunda Licenciatura Educação Física - #SLEEF- Segunda Licenciatura Educação Física - Fábio Lopes De Souza - Legislação Educacional/a - Nota Máxima: 8</v>
      </c>
    </row>
    <row r="257">
      <c r="A257" s="390" t="str">
        <f>IFERROR(__xludf.DUMMYFUNCTION("""COMPUTED_VALUE"""),"#SLEEF- Segunda Licenciatura Educação Física - #SLEEF- Segunda Licenciatura Educação Física - Fábio Lopes De Souza - Planejamento, Gestão Educacional e Currículo/a - Nota Máxima: 10")</f>
        <v>#SLEEF- Segunda Licenciatura Educação Física - #SLEEF- Segunda Licenciatura Educação Física - Fábio Lopes De Souza - Planejamento, Gestão Educacional e Currículo/a - Nota Máxima: 10</v>
      </c>
    </row>
    <row r="258">
      <c r="A258" s="390" t="str">
        <f>IFERROR(__xludf.DUMMYFUNCTION("""COMPUTED_VALUE"""),"#SLEEF- Segunda Licenciatura Educação Física - #SLEEF- Segunda Licenciatura Educação Física - Fábio Lopes De Souza - Planejamento, Gestão Educacional e Currículo/a - Nota Máxima: 10")</f>
        <v>#SLEEF- Segunda Licenciatura Educação Física - #SLEEF- Segunda Licenciatura Educação Física - Fábio Lopes De Souza - Planejamento, Gestão Educacional e Currículo/a - Nota Máxima: 10</v>
      </c>
    </row>
    <row r="259">
      <c r="A259" s="390" t="str">
        <f>IFERROR(__xludf.DUMMYFUNCTION("""COMPUTED_VALUE"""),"#SLEEF- Segunda Licenciatura Educação Física - #SLEEF- Segunda Licenciatura Educação Física - Fábio Lopes De Souza - Práticas Corporais Adaptadas para Grupos Especiais/a - Nota Máxima: 8")</f>
        <v>#SLEEF- Segunda Licenciatura Educação Física - #SLEEF- Segunda Licenciatura Educação Física - Fábio Lopes De Souza - Práticas Corporais Adaptadas para Grupos Especiais/a - Nota Máxima: 8</v>
      </c>
    </row>
    <row r="260">
      <c r="A260" s="390" t="str">
        <f>IFERROR(__xludf.DUMMYFUNCTION("""COMPUTED_VALUE"""),"#SLEEF- Segunda Licenciatura Educação Física - #SLEEF- Segunda Licenciatura Educação Física - Fábio Lopes De Souza - Práticas Corporais Adaptadas para Grupos Especiais/a - Nota Máxima: 7")</f>
        <v>#SLEEF- Segunda Licenciatura Educação Física - #SLEEF- Segunda Licenciatura Educação Física - Fábio Lopes De Souza - Práticas Corporais Adaptadas para Grupos Especiais/a - Nota Máxima: 7</v>
      </c>
    </row>
    <row r="261">
      <c r="A261" s="390" t="str">
        <f>IFERROR(__xludf.DUMMYFUNCTION("""COMPUTED_VALUE"""),"#SLEEF- Segunda Licenciatura Educação Física - #SLEEF- Segunda Licenciatura Educação Física - Fábio Lopes De Souza - Práticas Pedagógicas - 400 Horas - Nota Máxima: 45784")</f>
        <v>#SLEEF- Segunda Licenciatura Educação Física - #SLEEF- Segunda Licenciatura Educação Física - Fábio Lopes De Souza - Práticas Pedagógicas - 400 Horas - Nota Máxima: 45784</v>
      </c>
    </row>
    <row r="262">
      <c r="A262" s="390" t="str">
        <f>IFERROR(__xludf.DUMMYFUNCTION("""COMPUTED_VALUE"""),"#SLEEF- Segunda Licenciatura Educação Física - #SLEEF- Segunda Licenciatura Educação Física - Fábio Lopes De Souza - Práticas Pedagógicas - 400 Horas - Nota Máxima: 4")</f>
        <v>#SLEEF- Segunda Licenciatura Educação Física - #SLEEF- Segunda Licenciatura Educação Física - Fábio Lopes De Souza - Práticas Pedagógicas - 400 Horas - Nota Máxima: 4</v>
      </c>
    </row>
    <row r="263">
      <c r="A263" s="390" t="str">
        <f>IFERROR(__xludf.DUMMYFUNCTION("""COMPUTED_VALUE"""),"#SLEEF- Segunda Licenciatura Educação Física - #SLEEF- Segunda Licenciatura Educação Física - Fábio Lopes De Souza - Psicologia da Educação/a - Nota Máxima: 7")</f>
        <v>#SLEEF- Segunda Licenciatura Educação Física - #SLEEF- Segunda Licenciatura Educação Física - Fábio Lopes De Souza - Psicologia da Educação/a - Nota Máxima: 7</v>
      </c>
    </row>
    <row r="264">
      <c r="A264" s="390" t="str">
        <f>IFERROR(__xludf.DUMMYFUNCTION("""COMPUTED_VALUE"""),"#SLEEF- Segunda Licenciatura Educação Física - #SLEEF- Segunda Licenciatura Educação Física - Fábio Lopes De Souza - Psicologia da Educação/a - Nota Máxima: 7")</f>
        <v>#SLEEF- Segunda Licenciatura Educação Física - #SLEEF- Segunda Licenciatura Educação Física - Fábio Lopes De Souza - Psicologia da Educação/a - Nota Máxima: 7</v>
      </c>
    </row>
    <row r="265">
      <c r="A265" s="390" t="str">
        <f>IFERROR(__xludf.DUMMYFUNCTION("""COMPUTED_VALUE"""),"#SLEEF- Segunda Licenciatura Educação Física - #SLEEF- Segunda Licenciatura Educação Física - Fábio Lopes De Souza - Psicomotricidade e Ludopedagogia - Nota Máxima: 9")</f>
        <v>#SLEEF- Segunda Licenciatura Educação Física - #SLEEF- Segunda Licenciatura Educação Física - Fábio Lopes De Souza - Psicomotricidade e Ludopedagogia - Nota Máxima: 9</v>
      </c>
    </row>
    <row r="266">
      <c r="A266" s="390" t="str">
        <f>IFERROR(__xludf.DUMMYFUNCTION("""COMPUTED_VALUE"""),"#SLEEF- Segunda Licenciatura Educação Física - #SLEEF- Segunda Licenciatura Educação Física - Fábio Lopes De Souza - Psicomotricidade e Ludopedagogia - Nota Máxima: 9")</f>
        <v>#SLEEF- Segunda Licenciatura Educação Física - #SLEEF- Segunda Licenciatura Educação Física - Fábio Lopes De Souza - Psicomotricidade e Ludopedagogia - Nota Máxima: 9</v>
      </c>
    </row>
    <row r="267">
      <c r="A267" s="390" t="str">
        <f>IFERROR(__xludf.DUMMYFUNCTION("""COMPUTED_VALUE"""),"#SLEEF- Segunda Licenciatura Educação Física - #SLEEF- Segunda Licenciatura Educação Física - Lorenza da Silva Ferreira - Anatomia Humana - Nota Máxima: 10")</f>
        <v>#SLEEF- Segunda Licenciatura Educação Física - #SLEEF- Segunda Licenciatura Educação Física - Lorenza da Silva Ferreira - Anatomia Humana - Nota Máxima: 10</v>
      </c>
    </row>
    <row r="268">
      <c r="A268" s="390" t="str">
        <f>IFERROR(__xludf.DUMMYFUNCTION("""COMPUTED_VALUE"""),"#SLEEF- Segunda Licenciatura Educação Física - #SLEEF- Segunda Licenciatura Educação Física - Lorenza da Silva Ferreira - Anatomia Humana - Nota Máxima: 6")</f>
        <v>#SLEEF- Segunda Licenciatura Educação Física - #SLEEF- Segunda Licenciatura Educação Física - Lorenza da Silva Ferreira - Anatomia Humana - Nota Máxima: 6</v>
      </c>
    </row>
    <row r="269">
      <c r="A269" s="390" t="str">
        <f>IFERROR(__xludf.DUMMYFUNCTION("""COMPUTED_VALUE"""),"#SLEEF- Segunda Licenciatura Educação Física - #SLEEF- Segunda Licenciatura Educação Física - Lorenza da Silva Ferreira - Deficiência Auditiva e Libras/a - Nota Máxima: 10")</f>
        <v>#SLEEF- Segunda Licenciatura Educação Física - #SLEEF- Segunda Licenciatura Educação Física - Lorenza da Silva Ferreira - Deficiência Auditiva e Libras/a - Nota Máxima: 10</v>
      </c>
    </row>
    <row r="270">
      <c r="A270" s="390" t="str">
        <f>IFERROR(__xludf.DUMMYFUNCTION("""COMPUTED_VALUE"""),"#SLEEF- Segunda Licenciatura Educação Física - #SLEEF- Segunda Licenciatura Educação Física - Lorenza da Silva Ferreira - Deficiência Auditiva e Libras/a - Nota Máxima: 10")</f>
        <v>#SLEEF- Segunda Licenciatura Educação Física - #SLEEF- Segunda Licenciatura Educação Física - Lorenza da Silva Ferreira - Deficiência Auditiva e Libras/a - Nota Máxima: 10</v>
      </c>
    </row>
    <row r="271">
      <c r="A271" s="390" t="str">
        <f>IFERROR(__xludf.DUMMYFUNCTION("""COMPUTED_VALUE"""),"#SLEEF- Segunda Licenciatura Educação Física - #SLEEF- Segunda Licenciatura Educação Física - Lorenza da Silva Ferreira - Jogos e Recreação - Nota Máxima: 9")</f>
        <v>#SLEEF- Segunda Licenciatura Educação Física - #SLEEF- Segunda Licenciatura Educação Física - Lorenza da Silva Ferreira - Jogos e Recreação - Nota Máxima: 9</v>
      </c>
    </row>
    <row r="272">
      <c r="A272" s="390" t="str">
        <f>IFERROR(__xludf.DUMMYFUNCTION("""COMPUTED_VALUE"""),"#SLEEF- Segunda Licenciatura Educação Física - #SLEEF- Segunda Licenciatura Educação Física - Lorenza da Silva Ferreira - Jogos e Recreação - Nota Máxima: 7")</f>
        <v>#SLEEF- Segunda Licenciatura Educação Física - #SLEEF- Segunda Licenciatura Educação Física - Lorenza da Silva Ferreira - Jogos e Recreação - Nota Máxima: 7</v>
      </c>
    </row>
    <row r="273">
      <c r="A273" s="390" t="str">
        <f>IFERROR(__xludf.DUMMYFUNCTION("""COMPUTED_VALUE"""),"#SLEEF- Segunda Licenciatura Educação Física - #SLEEF- Segunda Licenciatura Educação Física - Lorenza da Silva Ferreira - Psicomotricidade e Ludopedagogia - Nota Máxima: 10")</f>
        <v>#SLEEF- Segunda Licenciatura Educação Física - #SLEEF- Segunda Licenciatura Educação Física - Lorenza da Silva Ferreira - Psicomotricidade e Ludopedagogia - Nota Máxima: 10</v>
      </c>
    </row>
    <row r="274">
      <c r="A274" s="390" t="str">
        <f>IFERROR(__xludf.DUMMYFUNCTION("""COMPUTED_VALUE"""),"#SLEEF- Segunda Licenciatura Educação Física - #SLEEF- Segunda Licenciatura Educação Física - Lorenza da Silva Ferreira - Psicomotricidade e Ludopedagogia - Nota Máxima: 8")</f>
        <v>#SLEEF- Segunda Licenciatura Educação Física - #SLEEF- Segunda Licenciatura Educação Física - Lorenza da Silva Ferreira - Psicomotricidade e Ludopedagogia - Nota Máxima: 8</v>
      </c>
    </row>
    <row r="275">
      <c r="A275" s="390" t="str">
        <f>IFERROR(__xludf.DUMMYFUNCTION("""COMPUTED_VALUE"""),"#SLEEF- Segunda Licenciatura Educação Física - #SLEEF- Segunda Licenciatura Educação Física - Gislaine Cristina da Silva Santos - Anatomia Humana - Nota Máxima: 10")</f>
        <v>#SLEEF- Segunda Licenciatura Educação Física - #SLEEF- Segunda Licenciatura Educação Física - Gislaine Cristina da Silva Santos - Anatomia Humana - Nota Máxima: 10</v>
      </c>
    </row>
    <row r="276">
      <c r="A276" s="390" t="str">
        <f>IFERROR(__xludf.DUMMYFUNCTION("""COMPUTED_VALUE"""),"#SLEEF- Segunda Licenciatura Educação Física - #SLEEF- Segunda Licenciatura Educação Física - Gislaine Cristina da Silva Santos - Deficiência Auditiva e Libras/a - Nota Máxima: 9")</f>
        <v>#SLEEF- Segunda Licenciatura Educação Física - #SLEEF- Segunda Licenciatura Educação Física - Gislaine Cristina da Silva Santos - Deficiência Auditiva e Libras/a - Nota Máxima: 9</v>
      </c>
    </row>
    <row r="277">
      <c r="A277" s="390" t="str">
        <f>IFERROR(__xludf.DUMMYFUNCTION("""COMPUTED_VALUE"""),"#SLEEF- Segunda Licenciatura Educação Física - #SLEEF- Segunda Licenciatura Educação Física - Gislaine Cristina da Silva Santos - Deficiência Auditiva e Libras/a - Nota Máxima: 8")</f>
        <v>#SLEEF- Segunda Licenciatura Educação Física - #SLEEF- Segunda Licenciatura Educação Física - Gislaine Cristina da Silva Santos - Deficiência Auditiva e Libras/a - Nota Máxima: 8</v>
      </c>
    </row>
    <row r="278">
      <c r="A278" s="390" t="str">
        <f>IFERROR(__xludf.DUMMYFUNCTION("""COMPUTED_VALUE"""),"#SLEEF- Segunda Licenciatura Educação Física - #SLEEF- Segunda Licenciatura Educação Física - Gislaine Cristina da Silva Santos - Educação Especial, Inclusão Escolar e Adaptações Curriculares - Nota Máxima: 8")</f>
        <v>#SLEEF- Segunda Licenciatura Educação Física - #SLEEF- Segunda Licenciatura Educação Física - Gislaine Cristina da Silva Santos - Educação Especial, Inclusão Escolar e Adaptações Curriculares - Nota Máxima: 8</v>
      </c>
    </row>
    <row r="279">
      <c r="A279" s="390" t="str">
        <f>IFERROR(__xludf.DUMMYFUNCTION("""COMPUTED_VALUE"""),"#SLEEF- Segunda Licenciatura Educação Física - #SLEEF- Segunda Licenciatura Educação Física - Gislaine Cristina da Silva Santos - Educação Especial, Inclusão Escolar e Adaptações Curriculares - Nota Máxima: 8")</f>
        <v>#SLEEF- Segunda Licenciatura Educação Física - #SLEEF- Segunda Licenciatura Educação Física - Gislaine Cristina da Silva Santos - Educação Especial, Inclusão Escolar e Adaptações Curriculares - Nota Máxima: 8</v>
      </c>
    </row>
    <row r="280">
      <c r="A280" s="390" t="str">
        <f>IFERROR(__xludf.DUMMYFUNCTION("""COMPUTED_VALUE"""),"#SLEEF- Segunda Licenciatura Educação Física - #SLEEF- Segunda Licenciatura Educação Física - Gislaine Cristina da Silva Santos - Educação, História, Cultura e Práticas Indígenas/a - Nota Máxima: 9")</f>
        <v>#SLEEF- Segunda Licenciatura Educação Física - #SLEEF- Segunda Licenciatura Educação Física - Gislaine Cristina da Silva Santos - Educação, História, Cultura e Práticas Indígenas/a - Nota Máxima: 9</v>
      </c>
    </row>
    <row r="281">
      <c r="A281" s="390" t="str">
        <f>IFERROR(__xludf.DUMMYFUNCTION("""COMPUTED_VALUE"""),"#SLEEF- Segunda Licenciatura Educação Física - #SLEEF- Segunda Licenciatura Educação Física - Gislaine Cristina da Silva Santos - Fisiologia Humana - Nota Máxima: 10")</f>
        <v>#SLEEF- Segunda Licenciatura Educação Física - #SLEEF- Segunda Licenciatura Educação Física - Gislaine Cristina da Silva Santos - Fisiologia Humana - Nota Máxima: 10</v>
      </c>
    </row>
    <row r="282">
      <c r="A282" s="390" t="str">
        <f>IFERROR(__xludf.DUMMYFUNCTION("""COMPUTED_VALUE"""),"#SLEEF- Segunda Licenciatura Educação Física - #SLEEF- Segunda Licenciatura Educação Física - Gislaine Cristina da Silva Santos - Fundamentos Pedagógicos dos Esportes e das Atividades Físicas - Nota Máxima: 9")</f>
        <v>#SLEEF- Segunda Licenciatura Educação Física - #SLEEF- Segunda Licenciatura Educação Física - Gislaine Cristina da Silva Santos - Fundamentos Pedagógicos dos Esportes e das Atividades Físicas - Nota Máxima: 9</v>
      </c>
    </row>
    <row r="283">
      <c r="A283" s="390" t="str">
        <f>IFERROR(__xludf.DUMMYFUNCTION("""COMPUTED_VALUE"""),"#SLEEF- Segunda Licenciatura Educação Física - #SLEEF- Segunda Licenciatura Educação Física - Gislaine Cristina da Silva Santos - Introdução à Neurociência e Neuroeducação - Nota Máxima: 10")</f>
        <v>#SLEEF- Segunda Licenciatura Educação Física - #SLEEF- Segunda Licenciatura Educação Física - Gislaine Cristina da Silva Santos - Introdução à Neurociência e Neuroeducação - Nota Máxima: 10</v>
      </c>
    </row>
    <row r="284">
      <c r="A284" s="390" t="str">
        <f>IFERROR(__xludf.DUMMYFUNCTION("""COMPUTED_VALUE"""),"#SLEEF- Segunda Licenciatura Educação Física - #SLEEF- Segunda Licenciatura Educação Física - Gislaine Cristina da Silva Santos - Jogos e Recreação - Nota Máxima: 9")</f>
        <v>#SLEEF- Segunda Licenciatura Educação Física - #SLEEF- Segunda Licenciatura Educação Física - Gislaine Cristina da Silva Santos - Jogos e Recreação - Nota Máxima: 9</v>
      </c>
    </row>
    <row r="285">
      <c r="A285" s="390" t="str">
        <f>IFERROR(__xludf.DUMMYFUNCTION("""COMPUTED_VALUE"""),"#SLEEF- Segunda Licenciatura Educação Física - #SLEEF- Segunda Licenciatura Educação Física - Gislaine Cristina da Silva Santos - Legislação Educacional/a - Nota Máxima: 7")</f>
        <v>#SLEEF- Segunda Licenciatura Educação Física - #SLEEF- Segunda Licenciatura Educação Física - Gislaine Cristina da Silva Santos - Legislação Educacional/a - Nota Máxima: 7</v>
      </c>
    </row>
    <row r="286">
      <c r="A286" s="390" t="str">
        <f>IFERROR(__xludf.DUMMYFUNCTION("""COMPUTED_VALUE"""),"#SLEEF- Segunda Licenciatura Educação Física - #SLEEF- Segunda Licenciatura Educação Física - Gislaine Cristina da Silva Santos - Planejamento, Gestão Educacional e Currículo/a - Nota Máxima: 7")</f>
        <v>#SLEEF- Segunda Licenciatura Educação Física - #SLEEF- Segunda Licenciatura Educação Física - Gislaine Cristina da Silva Santos - Planejamento, Gestão Educacional e Currículo/a - Nota Máxima: 7</v>
      </c>
    </row>
    <row r="287">
      <c r="A287" s="390" t="str">
        <f>IFERROR(__xludf.DUMMYFUNCTION("""COMPUTED_VALUE"""),"#SLEEF- Segunda Licenciatura Educação Física - #SLEEF- Segunda Licenciatura Educação Física - Gislaine Cristina da Silva Santos - Práticas Corporais Adaptadas para Grupos Especiais/a - Nota Máxima: 9")</f>
        <v>#SLEEF- Segunda Licenciatura Educação Física - #SLEEF- Segunda Licenciatura Educação Física - Gislaine Cristina da Silva Santos - Práticas Corporais Adaptadas para Grupos Especiais/a - Nota Máxima: 9</v>
      </c>
    </row>
    <row r="288">
      <c r="A288" s="390" t="str">
        <f>IFERROR(__xludf.DUMMYFUNCTION("""COMPUTED_VALUE"""),"#SLEEF- Segunda Licenciatura Educação Física - #SLEEF- Segunda Licenciatura Educação Física - Gislaine Cristina da Silva Santos - Práticas Pedagógicas - 400 Horas - Nota Máxima: 4")</f>
        <v>#SLEEF- Segunda Licenciatura Educação Física - #SLEEF- Segunda Licenciatura Educação Física - Gislaine Cristina da Silva Santos - Práticas Pedagógicas - 400 Horas - Nota Máxima: 4</v>
      </c>
    </row>
    <row r="289">
      <c r="A289" s="390" t="str">
        <f>IFERROR(__xludf.DUMMYFUNCTION("""COMPUTED_VALUE"""),"#SLEEF- Segunda Licenciatura Educação Física - #SLEEF- Segunda Licenciatura Educação Física - Gislaine Cristina da Silva Santos - Psicologia da Educação/a - Nota Máxima: 10")</f>
        <v>#SLEEF- Segunda Licenciatura Educação Física - #SLEEF- Segunda Licenciatura Educação Física - Gislaine Cristina da Silva Santos - Psicologia da Educação/a - Nota Máxima: 10</v>
      </c>
    </row>
    <row r="290">
      <c r="A290" s="390" t="str">
        <f>IFERROR(__xludf.DUMMYFUNCTION("""COMPUTED_VALUE"""),"#SLEEF- Segunda Licenciatura Educação Física - #SLEEF- Segunda Licenciatura Educação Física - Gislaine Cristina da Silva Santos - Psicomotricidade e Ludopedagogia - Nota Máxima: 10")</f>
        <v>#SLEEF- Segunda Licenciatura Educação Física - #SLEEF- Segunda Licenciatura Educação Física - Gislaine Cristina da Silva Santos - Psicomotricidade e Ludopedagogia - Nota Máxima: 10</v>
      </c>
    </row>
    <row r="291">
      <c r="A291" s="390" t="str">
        <f>IFERROR(__xludf.DUMMYFUNCTION("""COMPUTED_VALUE"""),"#SLEEF- Segunda Licenciatura Educação Física - #SLEEF- Segunda Licenciatura Educação Física - Evandro dos Santos Carlos - Anatomia Humana - Nota Máxima: 10")</f>
        <v>#SLEEF- Segunda Licenciatura Educação Física - #SLEEF- Segunda Licenciatura Educação Física - Evandro dos Santos Carlos - Anatomia Humana - Nota Máxima: 10</v>
      </c>
    </row>
    <row r="292">
      <c r="A292" s="390" t="str">
        <f>IFERROR(__xludf.DUMMYFUNCTION("""COMPUTED_VALUE"""),"#SLEEF- Segunda Licenciatura Educação Física - #SLEEF- Segunda Licenciatura Educação Física - Evandro dos Santos Carlos - Deficiência Auditiva e Libras/a - Nota Máxima: 10")</f>
        <v>#SLEEF- Segunda Licenciatura Educação Física - #SLEEF- Segunda Licenciatura Educação Física - Evandro dos Santos Carlos - Deficiência Auditiva e Libras/a - Nota Máxima: 10</v>
      </c>
    </row>
    <row r="293">
      <c r="A293" s="390" t="str">
        <f>IFERROR(__xludf.DUMMYFUNCTION("""COMPUTED_VALUE"""),"#SLEEF- Segunda Licenciatura Educação Física - #SLEEF- Segunda Licenciatura Educação Física - Evandro dos Santos Carlos - Educação Especial, Inclusão Escolar e Adaptações Curriculares - Nota Máxima: 10")</f>
        <v>#SLEEF- Segunda Licenciatura Educação Física - #SLEEF- Segunda Licenciatura Educação Física - Evandro dos Santos Carlos - Educação Especial, Inclusão Escolar e Adaptações Curriculares - Nota Máxima: 10</v>
      </c>
    </row>
    <row r="294">
      <c r="A294" s="390" t="str">
        <f>IFERROR(__xludf.DUMMYFUNCTION("""COMPUTED_VALUE"""),"#SLEEF- Segunda Licenciatura Educação Física - #SLEEF- Segunda Licenciatura Educação Física - Evandro dos Santos Carlos - Educação, História, Cultura e Práticas Indígenas/a - Nota Máxima: 10")</f>
        <v>#SLEEF- Segunda Licenciatura Educação Física - #SLEEF- Segunda Licenciatura Educação Física - Evandro dos Santos Carlos - Educação, História, Cultura e Práticas Indígenas/a - Nota Máxima: 10</v>
      </c>
    </row>
    <row r="295">
      <c r="A295" s="390" t="str">
        <f>IFERROR(__xludf.DUMMYFUNCTION("""COMPUTED_VALUE"""),"#SLEEF- Segunda Licenciatura Educação Física - #SLEEF- Segunda Licenciatura Educação Física - Evandro dos Santos Carlos - Fisiologia Humana - Nota Máxima: 10")</f>
        <v>#SLEEF- Segunda Licenciatura Educação Física - #SLEEF- Segunda Licenciatura Educação Física - Evandro dos Santos Carlos - Fisiologia Humana - Nota Máxima: 10</v>
      </c>
    </row>
    <row r="296">
      <c r="A296" s="390" t="str">
        <f>IFERROR(__xludf.DUMMYFUNCTION("""COMPUTED_VALUE"""),"#SLEEF- Segunda Licenciatura Educação Física - #SLEEF- Segunda Licenciatura Educação Física - Evandro dos Santos Carlos - Fundamentos Pedagógicos dos Esportes e das Atividades Físicas - Nota Máxima: 8")</f>
        <v>#SLEEF- Segunda Licenciatura Educação Física - #SLEEF- Segunda Licenciatura Educação Física - Evandro dos Santos Carlos - Fundamentos Pedagógicos dos Esportes e das Atividades Físicas - Nota Máxima: 8</v>
      </c>
    </row>
    <row r="297">
      <c r="A297" s="390" t="str">
        <f>IFERROR(__xludf.DUMMYFUNCTION("""COMPUTED_VALUE"""),"#SLEEF- Segunda Licenciatura Educação Física - #SLEEF- Segunda Licenciatura Educação Física - Evandro dos Santos Carlos - Introdução à Neurociência e Neuroeducação - Nota Máxima: 10")</f>
        <v>#SLEEF- Segunda Licenciatura Educação Física - #SLEEF- Segunda Licenciatura Educação Física - Evandro dos Santos Carlos - Introdução à Neurociência e Neuroeducação - Nota Máxima: 10</v>
      </c>
    </row>
    <row r="298">
      <c r="A298" s="390" t="str">
        <f>IFERROR(__xludf.DUMMYFUNCTION("""COMPUTED_VALUE"""),"#SLEEF- Segunda Licenciatura Educação Física - #SLEEF- Segunda Licenciatura Educação Física - Evandro dos Santos Carlos - Jogos e Recreação - Nota Máxima: 10")</f>
        <v>#SLEEF- Segunda Licenciatura Educação Física - #SLEEF- Segunda Licenciatura Educação Física - Evandro dos Santos Carlos - Jogos e Recreação - Nota Máxima: 10</v>
      </c>
    </row>
    <row r="299">
      <c r="A299" s="390" t="str">
        <f>IFERROR(__xludf.DUMMYFUNCTION("""COMPUTED_VALUE"""),"#SLEEF- Segunda Licenciatura Educação Física - #SLEEF- Segunda Licenciatura Educação Física - Evandro dos Santos Carlos - Legislação Educacional/a - Nota Máxima: 10")</f>
        <v>#SLEEF- Segunda Licenciatura Educação Física - #SLEEF- Segunda Licenciatura Educação Física - Evandro dos Santos Carlos - Legislação Educacional/a - Nota Máxima: 10</v>
      </c>
    </row>
    <row r="300">
      <c r="A300" s="390" t="str">
        <f>IFERROR(__xludf.DUMMYFUNCTION("""COMPUTED_VALUE"""),"#SLEEF- Segunda Licenciatura Educação Física - #SLEEF- Segunda Licenciatura Educação Física - Evandro dos Santos Carlos - Planejamento, Gestão Educacional e Currículo/a - Nota Máxima: 10")</f>
        <v>#SLEEF- Segunda Licenciatura Educação Física - #SLEEF- Segunda Licenciatura Educação Física - Evandro dos Santos Carlos - Planejamento, Gestão Educacional e Currículo/a - Nota Máxima: 10</v>
      </c>
    </row>
    <row r="301">
      <c r="A301" s="390" t="str">
        <f>IFERROR(__xludf.DUMMYFUNCTION("""COMPUTED_VALUE"""),"#SLEEF- Segunda Licenciatura Educação Física - #SLEEF- Segunda Licenciatura Educação Física - Evandro dos Santos Carlos - Práticas Corporais Adaptadas para Grupos Especiais/a - Nota Máxima: 9")</f>
        <v>#SLEEF- Segunda Licenciatura Educação Física - #SLEEF- Segunda Licenciatura Educação Física - Evandro dos Santos Carlos - Práticas Corporais Adaptadas para Grupos Especiais/a - Nota Máxima: 9</v>
      </c>
    </row>
    <row r="302">
      <c r="A302" s="390" t="str">
        <f>IFERROR(__xludf.DUMMYFUNCTION("""COMPUTED_VALUE"""),"#SLEEF- Segunda Licenciatura Educação Física - #SLEEF- Segunda Licenciatura Educação Física - Evandro dos Santos Carlos - Práticas Pedagógicas - 400 Horas - Nota Máxima: 4")</f>
        <v>#SLEEF- Segunda Licenciatura Educação Física - #SLEEF- Segunda Licenciatura Educação Física - Evandro dos Santos Carlos - Práticas Pedagógicas - 400 Horas - Nota Máxima: 4</v>
      </c>
    </row>
    <row r="303">
      <c r="A303" s="390" t="str">
        <f>IFERROR(__xludf.DUMMYFUNCTION("""COMPUTED_VALUE"""),"#SLEEF- Segunda Licenciatura Educação Física - #SLEEF- Segunda Licenciatura Educação Física - Evandro dos Santos Carlos - Psicologia da Educação/a - Nota Máxima: 8")</f>
        <v>#SLEEF- Segunda Licenciatura Educação Física - #SLEEF- Segunda Licenciatura Educação Física - Evandro dos Santos Carlos - Psicologia da Educação/a - Nota Máxima: 8</v>
      </c>
    </row>
    <row r="304">
      <c r="A304" s="390" t="str">
        <f>IFERROR(__xludf.DUMMYFUNCTION("""COMPUTED_VALUE"""),"#SLEEF- Segunda Licenciatura Educação Física - #SLEEF- Segunda Licenciatura Educação Física - Evandro dos Santos Carlos - Psicomotricidade e Ludopedagogia - Nota Máxima: 10")</f>
        <v>#SLEEF- Segunda Licenciatura Educação Física - #SLEEF- Segunda Licenciatura Educação Física - Evandro dos Santos Carlos - Psicomotricidade e Ludopedagogia - Nota Máxima: 10</v>
      </c>
    </row>
    <row r="305">
      <c r="A305" s="390" t="str">
        <f>IFERROR(__xludf.DUMMYFUNCTION("""COMPUTED_VALUE"""),"#SLEEF- Segunda Licenciatura Educação Física - #SLEEF- Segunda Licenciatura Educação Física - Washington Bezerra Ramada - Anatomia Humana - Nota Máxima: 10")</f>
        <v>#SLEEF- Segunda Licenciatura Educação Física - #SLEEF- Segunda Licenciatura Educação Física - Washington Bezerra Ramada - Anatomia Humana - Nota Máxima: 10</v>
      </c>
    </row>
    <row r="306">
      <c r="A306" s="390" t="str">
        <f>IFERROR(__xludf.DUMMYFUNCTION("""COMPUTED_VALUE"""),"#SLEEF- Segunda Licenciatura Educação Física - #SLEEF- Segunda Licenciatura Educação Física - Washington Bezerra Ramada - Anatomia Humana - Nota Máxima: 8")</f>
        <v>#SLEEF- Segunda Licenciatura Educação Física - #SLEEF- Segunda Licenciatura Educação Física - Washington Bezerra Ramada - Anatomia Humana - Nota Máxima: 8</v>
      </c>
    </row>
    <row r="307">
      <c r="A307" s="390" t="str">
        <f>IFERROR(__xludf.DUMMYFUNCTION("""COMPUTED_VALUE"""),"#SLEEF- Segunda Licenciatura Educação Física - #SLEEF- Segunda Licenciatura Educação Física - Washington Bezerra Ramada - Deficiência Auditiva e Libras/a - Nota Máxima: 10")</f>
        <v>#SLEEF- Segunda Licenciatura Educação Física - #SLEEF- Segunda Licenciatura Educação Física - Washington Bezerra Ramada - Deficiência Auditiva e Libras/a - Nota Máxima: 10</v>
      </c>
    </row>
    <row r="308">
      <c r="A308" s="390" t="str">
        <f>IFERROR(__xludf.DUMMYFUNCTION("""COMPUTED_VALUE"""),"#SLEEF- Segunda Licenciatura Educação Física - #SLEEF- Segunda Licenciatura Educação Física - Washington Bezerra Ramada - Deficiência Auditiva e Libras/a - Nota Máxima: 9")</f>
        <v>#SLEEF- Segunda Licenciatura Educação Física - #SLEEF- Segunda Licenciatura Educação Física - Washington Bezerra Ramada - Deficiência Auditiva e Libras/a - Nota Máxima: 9</v>
      </c>
    </row>
    <row r="309">
      <c r="A309" s="390" t="str">
        <f>IFERROR(__xludf.DUMMYFUNCTION("""COMPUTED_VALUE"""),"#SLEEF- Segunda Licenciatura Educação Física - #SLEEF- Segunda Licenciatura Educação Física - Washington Bezerra Ramada - Educação Especial, Inclusão Escolar e Adaptações Curriculares - Nota Máxima: 10")</f>
        <v>#SLEEF- Segunda Licenciatura Educação Física - #SLEEF- Segunda Licenciatura Educação Física - Washington Bezerra Ramada - Educação Especial, Inclusão Escolar e Adaptações Curriculares - Nota Máxima: 10</v>
      </c>
    </row>
    <row r="310">
      <c r="A310" s="390" t="str">
        <f>IFERROR(__xludf.DUMMYFUNCTION("""COMPUTED_VALUE"""),"#SLEEF- Segunda Licenciatura Educação Física - #SLEEF- Segunda Licenciatura Educação Física - Washington Bezerra Ramada - Educação Especial, Inclusão Escolar e Adaptações Curriculares - Nota Máxima: 10")</f>
        <v>#SLEEF- Segunda Licenciatura Educação Física - #SLEEF- Segunda Licenciatura Educação Física - Washington Bezerra Ramada - Educação Especial, Inclusão Escolar e Adaptações Curriculares - Nota Máxima: 10</v>
      </c>
    </row>
    <row r="311">
      <c r="A311" s="390" t="str">
        <f>IFERROR(__xludf.DUMMYFUNCTION("""COMPUTED_VALUE"""),"#SLEEF- Segunda Licenciatura Educação Física - #SLEEF- Segunda Licenciatura Educação Física - Washington Bezerra Ramada - Educação, História, Cultura e Práticas Indígenas/a - Nota Máxima: 10")</f>
        <v>#SLEEF- Segunda Licenciatura Educação Física - #SLEEF- Segunda Licenciatura Educação Física - Washington Bezerra Ramada - Educação, História, Cultura e Práticas Indígenas/a - Nota Máxima: 10</v>
      </c>
    </row>
    <row r="312">
      <c r="A312" s="390" t="str">
        <f>IFERROR(__xludf.DUMMYFUNCTION("""COMPUTED_VALUE"""),"#SLEEF- Segunda Licenciatura Educação Física - #SLEEF- Segunda Licenciatura Educação Física - Washington Bezerra Ramada - Educação, História, Cultura e Práticas Indígenas/a - Nota Máxima: 6")</f>
        <v>#SLEEF- Segunda Licenciatura Educação Física - #SLEEF- Segunda Licenciatura Educação Física - Washington Bezerra Ramada - Educação, História, Cultura e Práticas Indígenas/a - Nota Máxima: 6</v>
      </c>
    </row>
    <row r="313">
      <c r="A313" s="390" t="str">
        <f>IFERROR(__xludf.DUMMYFUNCTION("""COMPUTED_VALUE"""),"#SLEEF- Segunda Licenciatura Educação Física - #SLEEF- Segunda Licenciatura Educação Física - Washington Bezerra Ramada - Fisiologia Humana - Nota Máxima: 10")</f>
        <v>#SLEEF- Segunda Licenciatura Educação Física - #SLEEF- Segunda Licenciatura Educação Física - Washington Bezerra Ramada - Fisiologia Humana - Nota Máxima: 10</v>
      </c>
    </row>
    <row r="314">
      <c r="A314" s="390" t="str">
        <f>IFERROR(__xludf.DUMMYFUNCTION("""COMPUTED_VALUE"""),"#SLEEF- Segunda Licenciatura Educação Física - #SLEEF- Segunda Licenciatura Educação Física - Washington Bezerra Ramada - Fisiologia Humana - Nota Máxima: 8")</f>
        <v>#SLEEF- Segunda Licenciatura Educação Física - #SLEEF- Segunda Licenciatura Educação Física - Washington Bezerra Ramada - Fisiologia Humana - Nota Máxima: 8</v>
      </c>
    </row>
    <row r="315">
      <c r="A315" s="390" t="str">
        <f>IFERROR(__xludf.DUMMYFUNCTION("""COMPUTED_VALUE"""),"#SLEEF- Segunda Licenciatura Educação Física - #SLEEF- Segunda Licenciatura Educação Física - Washington Bezerra Ramada - Fundamentos Pedagógicos dos Esportes e das Atividades Físicas - Nota Máxima: 10")</f>
        <v>#SLEEF- Segunda Licenciatura Educação Física - #SLEEF- Segunda Licenciatura Educação Física - Washington Bezerra Ramada - Fundamentos Pedagógicos dos Esportes e das Atividades Físicas - Nota Máxima: 10</v>
      </c>
    </row>
    <row r="316">
      <c r="A316" s="390" t="str">
        <f>IFERROR(__xludf.DUMMYFUNCTION("""COMPUTED_VALUE"""),"#SLEEF- Segunda Licenciatura Educação Física - #SLEEF- Segunda Licenciatura Educação Física - Washington Bezerra Ramada - Fundamentos Pedagógicos dos Esportes e das Atividades Físicas - Nota Máxima: 7")</f>
        <v>#SLEEF- Segunda Licenciatura Educação Física - #SLEEF- Segunda Licenciatura Educação Física - Washington Bezerra Ramada - Fundamentos Pedagógicos dos Esportes e das Atividades Físicas - Nota Máxima: 7</v>
      </c>
    </row>
    <row r="317">
      <c r="A317" s="390" t="str">
        <f>IFERROR(__xludf.DUMMYFUNCTION("""COMPUTED_VALUE"""),"#SLEEF- Segunda Licenciatura Educação Física - #SLEEF- Segunda Licenciatura Educação Física - Washington Bezerra Ramada - Introdução à Neurociência e Neuroeducação - Nota Máxima: 8")</f>
        <v>#SLEEF- Segunda Licenciatura Educação Física - #SLEEF- Segunda Licenciatura Educação Física - Washington Bezerra Ramada - Introdução à Neurociência e Neuroeducação - Nota Máxima: 8</v>
      </c>
    </row>
    <row r="318">
      <c r="A318" s="390" t="str">
        <f>IFERROR(__xludf.DUMMYFUNCTION("""COMPUTED_VALUE"""),"#SLEEF- Segunda Licenciatura Educação Física - #SLEEF- Segunda Licenciatura Educação Física - Washington Bezerra Ramada - Introdução à Neurociência e Neuroeducação - Nota Máxima: 8")</f>
        <v>#SLEEF- Segunda Licenciatura Educação Física - #SLEEF- Segunda Licenciatura Educação Física - Washington Bezerra Ramada - Introdução à Neurociência e Neuroeducação - Nota Máxima: 8</v>
      </c>
    </row>
    <row r="319">
      <c r="A319" s="390" t="str">
        <f>IFERROR(__xludf.DUMMYFUNCTION("""COMPUTED_VALUE"""),"#SLEEF- Segunda Licenciatura Educação Física - #SLEEF- Segunda Licenciatura Educação Física - Washington Bezerra Ramada - Jogos e Recreação - Nota Máxima: 10")</f>
        <v>#SLEEF- Segunda Licenciatura Educação Física - #SLEEF- Segunda Licenciatura Educação Física - Washington Bezerra Ramada - Jogos e Recreação - Nota Máxima: 10</v>
      </c>
    </row>
    <row r="320">
      <c r="A320" s="390" t="str">
        <f>IFERROR(__xludf.DUMMYFUNCTION("""COMPUTED_VALUE"""),"#SLEEF- Segunda Licenciatura Educação Física - #SLEEF- Segunda Licenciatura Educação Física - Washington Bezerra Ramada - Jogos e Recreação - Nota Máxima: 9")</f>
        <v>#SLEEF- Segunda Licenciatura Educação Física - #SLEEF- Segunda Licenciatura Educação Física - Washington Bezerra Ramada - Jogos e Recreação - Nota Máxima: 9</v>
      </c>
    </row>
    <row r="321">
      <c r="A321" s="390" t="str">
        <f>IFERROR(__xludf.DUMMYFUNCTION("""COMPUTED_VALUE"""),"#SLEEF- Segunda Licenciatura Educação Física - #SLEEF- Segunda Licenciatura Educação Física - Washington Bezerra Ramada - Legislação Educacional/a - Nota Máxima: 9")</f>
        <v>#SLEEF- Segunda Licenciatura Educação Física - #SLEEF- Segunda Licenciatura Educação Física - Washington Bezerra Ramada - Legislação Educacional/a - Nota Máxima: 9</v>
      </c>
    </row>
    <row r="322">
      <c r="A322" s="390" t="str">
        <f>IFERROR(__xludf.DUMMYFUNCTION("""COMPUTED_VALUE"""),"#SLEEF- Segunda Licenciatura Educação Física - #SLEEF- Segunda Licenciatura Educação Física - Washington Bezerra Ramada - Legislação Educacional/a - Nota Máxima: 7")</f>
        <v>#SLEEF- Segunda Licenciatura Educação Física - #SLEEF- Segunda Licenciatura Educação Física - Washington Bezerra Ramada - Legislação Educacional/a - Nota Máxima: 7</v>
      </c>
    </row>
    <row r="323">
      <c r="A323" s="390" t="str">
        <f>IFERROR(__xludf.DUMMYFUNCTION("""COMPUTED_VALUE"""),"#SLEEF- Segunda Licenciatura Educação Física - #SLEEF- Segunda Licenciatura Educação Física - Washington Bezerra Ramada - Planejamento, Gestão Educacional e Currículo/a - Nota Máxima: 9")</f>
        <v>#SLEEF- Segunda Licenciatura Educação Física - #SLEEF- Segunda Licenciatura Educação Física - Washington Bezerra Ramada - Planejamento, Gestão Educacional e Currículo/a - Nota Máxima: 9</v>
      </c>
    </row>
    <row r="324">
      <c r="A324" s="390" t="str">
        <f>IFERROR(__xludf.DUMMYFUNCTION("""COMPUTED_VALUE"""),"#SLEEF- Segunda Licenciatura Educação Física - #SLEEF- Segunda Licenciatura Educação Física - Washington Bezerra Ramada - Planejamento, Gestão Educacional e Currículo/a - Nota Máxima: 9")</f>
        <v>#SLEEF- Segunda Licenciatura Educação Física - #SLEEF- Segunda Licenciatura Educação Física - Washington Bezerra Ramada - Planejamento, Gestão Educacional e Currículo/a - Nota Máxima: 9</v>
      </c>
    </row>
    <row r="325">
      <c r="A325" s="390" t="str">
        <f>IFERROR(__xludf.DUMMYFUNCTION("""COMPUTED_VALUE"""),"#SLEEF- Segunda Licenciatura Educação Física - #SLEEF- Segunda Licenciatura Educação Física - Washington Bezerra Ramada - Práticas Corporais Adaptadas para Grupos Especiais/a - Nota Máxima: 10")</f>
        <v>#SLEEF- Segunda Licenciatura Educação Física - #SLEEF- Segunda Licenciatura Educação Física - Washington Bezerra Ramada - Práticas Corporais Adaptadas para Grupos Especiais/a - Nota Máxima: 10</v>
      </c>
    </row>
    <row r="326">
      <c r="A326" s="390" t="str">
        <f>IFERROR(__xludf.DUMMYFUNCTION("""COMPUTED_VALUE"""),"#SLEEF- Segunda Licenciatura Educação Física - #SLEEF- Segunda Licenciatura Educação Física - Washington Bezerra Ramada - Práticas Corporais Adaptadas para Grupos Especiais/a - Nota Máxima: 10")</f>
        <v>#SLEEF- Segunda Licenciatura Educação Física - #SLEEF- Segunda Licenciatura Educação Física - Washington Bezerra Ramada - Práticas Corporais Adaptadas para Grupos Especiais/a - Nota Máxima: 10</v>
      </c>
    </row>
    <row r="327">
      <c r="A327" s="390" t="str">
        <f>IFERROR(__xludf.DUMMYFUNCTION("""COMPUTED_VALUE"""),"#SLEEF- Segunda Licenciatura Educação Física - #SLEEF- Segunda Licenciatura Educação Física - Washington Bezerra Ramada - Psicologia da Educação/a - Nota Máxima: 8")</f>
        <v>#SLEEF- Segunda Licenciatura Educação Física - #SLEEF- Segunda Licenciatura Educação Física - Washington Bezerra Ramada - Psicologia da Educação/a - Nota Máxima: 8</v>
      </c>
    </row>
    <row r="328">
      <c r="A328" s="390" t="str">
        <f>IFERROR(__xludf.DUMMYFUNCTION("""COMPUTED_VALUE"""),"#SLEEF- Segunda Licenciatura Educação Física - #SLEEF- Segunda Licenciatura Educação Física - Washington Bezerra Ramada - Psicologia da Educação/a - Nota Máxima: 5")</f>
        <v>#SLEEF- Segunda Licenciatura Educação Física - #SLEEF- Segunda Licenciatura Educação Física - Washington Bezerra Ramada - Psicologia da Educação/a - Nota Máxima: 5</v>
      </c>
    </row>
    <row r="329">
      <c r="A329" s="390" t="str">
        <f>IFERROR(__xludf.DUMMYFUNCTION("""COMPUTED_VALUE"""),"#SLEEF- Segunda Licenciatura Educação Física - #SLEEF- Segunda Licenciatura Educação Física - Washington Bezerra Ramada - Psicomotricidade e Ludopedagogia - Nota Máxima: 10")</f>
        <v>#SLEEF- Segunda Licenciatura Educação Física - #SLEEF- Segunda Licenciatura Educação Física - Washington Bezerra Ramada - Psicomotricidade e Ludopedagogia - Nota Máxima: 10</v>
      </c>
    </row>
    <row r="330">
      <c r="A330" s="390" t="str">
        <f>IFERROR(__xludf.DUMMYFUNCTION("""COMPUTED_VALUE"""),"#SLEEF- Segunda Licenciatura Educação Física - #SLEEF- Segunda Licenciatura Educação Física - Washington Bezerra Ramada - Psicomotricidade e Ludopedagogia - Nota Máxima: 10")</f>
        <v>#SLEEF- Segunda Licenciatura Educação Física - #SLEEF- Segunda Licenciatura Educação Física - Washington Bezerra Ramada - Psicomotricidade e Ludopedagogia - Nota Máxima: 10</v>
      </c>
    </row>
    <row r="331">
      <c r="A331" s="390" t="str">
        <f>IFERROR(__xludf.DUMMYFUNCTION("""COMPUTED_VALUE"""),"#SLEEF- Segunda Licenciatura Educação Física - #SLEEF- Segunda Licenciatura Educação Física - Elias Vargas Ramm - Anatomia Humana - Nota Máxima: 10")</f>
        <v>#SLEEF- Segunda Licenciatura Educação Física - #SLEEF- Segunda Licenciatura Educação Física - Elias Vargas Ramm - Anatomia Humana - Nota Máxima: 10</v>
      </c>
    </row>
    <row r="332">
      <c r="A332" s="390" t="str">
        <f>IFERROR(__xludf.DUMMYFUNCTION("""COMPUTED_VALUE"""),"#SLEEF- Segunda Licenciatura Educação Física - #SLEEF- Segunda Licenciatura Educação Física - Elias Vargas Ramm - Anatomia Humana - Nota Máxima: 8")</f>
        <v>#SLEEF- Segunda Licenciatura Educação Física - #SLEEF- Segunda Licenciatura Educação Física - Elias Vargas Ramm - Anatomia Humana - Nota Máxima: 8</v>
      </c>
    </row>
    <row r="333">
      <c r="A333" s="390" t="str">
        <f>IFERROR(__xludf.DUMMYFUNCTION("""COMPUTED_VALUE"""),"#SLEEF- Segunda Licenciatura Educação Física - #SLEEF- Segunda Licenciatura Educação Física - Elias Vargas Ramm - Deficiência Auditiva e Libras/a - Nota Máxima: 10")</f>
        <v>#SLEEF- Segunda Licenciatura Educação Física - #SLEEF- Segunda Licenciatura Educação Física - Elias Vargas Ramm - Deficiência Auditiva e Libras/a - Nota Máxima: 10</v>
      </c>
    </row>
    <row r="334">
      <c r="A334" s="390" t="str">
        <f>IFERROR(__xludf.DUMMYFUNCTION("""COMPUTED_VALUE"""),"#SLEEF- Segunda Licenciatura Educação Física - #SLEEF- Segunda Licenciatura Educação Física - Elias Vargas Ramm - Deficiência Auditiva e Libras/a - Nota Máxima: 8")</f>
        <v>#SLEEF- Segunda Licenciatura Educação Física - #SLEEF- Segunda Licenciatura Educação Física - Elias Vargas Ramm - Deficiência Auditiva e Libras/a - Nota Máxima: 8</v>
      </c>
    </row>
    <row r="335">
      <c r="A335" s="390" t="str">
        <f>IFERROR(__xludf.DUMMYFUNCTION("""COMPUTED_VALUE"""),"#SLEEF- Segunda Licenciatura Educação Física - #SLEEF- Segunda Licenciatura Educação Física - Elias Vargas Ramm - Educação Especial, Inclusão Escolar e Adaptações Curriculares - Nota Máxima: 9")</f>
        <v>#SLEEF- Segunda Licenciatura Educação Física - #SLEEF- Segunda Licenciatura Educação Física - Elias Vargas Ramm - Educação Especial, Inclusão Escolar e Adaptações Curriculares - Nota Máxima: 9</v>
      </c>
    </row>
    <row r="336">
      <c r="A336" s="390" t="str">
        <f>IFERROR(__xludf.DUMMYFUNCTION("""COMPUTED_VALUE"""),"#SLEEF- Segunda Licenciatura Educação Física - #SLEEF- Segunda Licenciatura Educação Física - Elias Vargas Ramm - Educação Especial, Inclusão Escolar e Adaptações Curriculares - Nota Máxima: 9")</f>
        <v>#SLEEF- Segunda Licenciatura Educação Física - #SLEEF- Segunda Licenciatura Educação Física - Elias Vargas Ramm - Educação Especial, Inclusão Escolar e Adaptações Curriculares - Nota Máxima: 9</v>
      </c>
    </row>
    <row r="337">
      <c r="A337" s="390" t="str">
        <f>IFERROR(__xludf.DUMMYFUNCTION("""COMPUTED_VALUE"""),"#SLEEF- Segunda Licenciatura Educação Física - #SLEEF- Segunda Licenciatura Educação Física - Elias Vargas Ramm - Educação, História, Cultura e Práticas Indígenas/a - Nota Máxima: 10")</f>
        <v>#SLEEF- Segunda Licenciatura Educação Física - #SLEEF- Segunda Licenciatura Educação Física - Elias Vargas Ramm - Educação, História, Cultura e Práticas Indígenas/a - Nota Máxima: 10</v>
      </c>
    </row>
    <row r="338">
      <c r="A338" s="390" t="str">
        <f>IFERROR(__xludf.DUMMYFUNCTION("""COMPUTED_VALUE"""),"#SLEEF- Segunda Licenciatura Educação Física - #SLEEF- Segunda Licenciatura Educação Física - Elias Vargas Ramm - Educação, História, Cultura e Práticas Indígenas/a - Nota Máxima: 8")</f>
        <v>#SLEEF- Segunda Licenciatura Educação Física - #SLEEF- Segunda Licenciatura Educação Física - Elias Vargas Ramm - Educação, História, Cultura e Práticas Indígenas/a - Nota Máxima: 8</v>
      </c>
    </row>
    <row r="339">
      <c r="A339" s="390" t="str">
        <f>IFERROR(__xludf.DUMMYFUNCTION("""COMPUTED_VALUE"""),"#SLEEF- Segunda Licenciatura Educação Física - #SLEEF- Segunda Licenciatura Educação Física - Elias Vargas Ramm - Fisiologia Humana - Nota Máxima: 10")</f>
        <v>#SLEEF- Segunda Licenciatura Educação Física - #SLEEF- Segunda Licenciatura Educação Física - Elias Vargas Ramm - Fisiologia Humana - Nota Máxima: 10</v>
      </c>
    </row>
    <row r="340">
      <c r="A340" s="390" t="str">
        <f>IFERROR(__xludf.DUMMYFUNCTION("""COMPUTED_VALUE"""),"#SLEEF- Segunda Licenciatura Educação Física - #SLEEF- Segunda Licenciatura Educação Física - Elias Vargas Ramm - Fisiologia Humana - Nota Máxima: 8")</f>
        <v>#SLEEF- Segunda Licenciatura Educação Física - #SLEEF- Segunda Licenciatura Educação Física - Elias Vargas Ramm - Fisiologia Humana - Nota Máxima: 8</v>
      </c>
    </row>
    <row r="341">
      <c r="A341" s="390" t="str">
        <f>IFERROR(__xludf.DUMMYFUNCTION("""COMPUTED_VALUE"""),"#SLEEF- Segunda Licenciatura Educação Física - #SLEEF- Segunda Licenciatura Educação Física - Elias Vargas Ramm - Fundamentos Pedagógicos dos Esportes e das Atividades Físicas - Nota Máxima: 10")</f>
        <v>#SLEEF- Segunda Licenciatura Educação Física - #SLEEF- Segunda Licenciatura Educação Física - Elias Vargas Ramm - Fundamentos Pedagógicos dos Esportes e das Atividades Físicas - Nota Máxima: 10</v>
      </c>
    </row>
    <row r="342">
      <c r="A342" s="390" t="str">
        <f>IFERROR(__xludf.DUMMYFUNCTION("""COMPUTED_VALUE"""),"#SLEEF- Segunda Licenciatura Educação Física - #SLEEF- Segunda Licenciatura Educação Física - Elias Vargas Ramm - Fundamentos Pedagógicos dos Esportes e das Atividades Físicas - Nota Máxima: 8")</f>
        <v>#SLEEF- Segunda Licenciatura Educação Física - #SLEEF- Segunda Licenciatura Educação Física - Elias Vargas Ramm - Fundamentos Pedagógicos dos Esportes e das Atividades Físicas - Nota Máxima: 8</v>
      </c>
    </row>
    <row r="343">
      <c r="A343" s="390" t="str">
        <f>IFERROR(__xludf.DUMMYFUNCTION("""COMPUTED_VALUE"""),"#SLEEF- Segunda Licenciatura Educação Física - #SLEEF- Segunda Licenciatura Educação Física - Elias Vargas Ramm - Introdução à Neurociência e Neuroeducação - Nota Máxima: 10")</f>
        <v>#SLEEF- Segunda Licenciatura Educação Física - #SLEEF- Segunda Licenciatura Educação Física - Elias Vargas Ramm - Introdução à Neurociência e Neuroeducação - Nota Máxima: 10</v>
      </c>
    </row>
    <row r="344">
      <c r="A344" s="390" t="str">
        <f>IFERROR(__xludf.DUMMYFUNCTION("""COMPUTED_VALUE"""),"#SLEEF- Segunda Licenciatura Educação Física - #SLEEF- Segunda Licenciatura Educação Física - Elias Vargas Ramm - Introdução à Neurociência e Neuroeducação - Nota Máxima: 8")</f>
        <v>#SLEEF- Segunda Licenciatura Educação Física - #SLEEF- Segunda Licenciatura Educação Física - Elias Vargas Ramm - Introdução à Neurociência e Neuroeducação - Nota Máxima: 8</v>
      </c>
    </row>
    <row r="345">
      <c r="A345" s="390" t="str">
        <f>IFERROR(__xludf.DUMMYFUNCTION("""COMPUTED_VALUE"""),"#SLEEF- Segunda Licenciatura Educação Física - #SLEEF- Segunda Licenciatura Educação Física - Elias Vargas Ramm - Jogos e Recreação - Nota Máxima: 10")</f>
        <v>#SLEEF- Segunda Licenciatura Educação Física - #SLEEF- Segunda Licenciatura Educação Física - Elias Vargas Ramm - Jogos e Recreação - Nota Máxima: 10</v>
      </c>
    </row>
    <row r="346">
      <c r="A346" s="390" t="str">
        <f>IFERROR(__xludf.DUMMYFUNCTION("""COMPUTED_VALUE"""),"#SLEEF- Segunda Licenciatura Educação Física - #SLEEF- Segunda Licenciatura Educação Física - Elias Vargas Ramm - Jogos e Recreação - Nota Máxima: 10")</f>
        <v>#SLEEF- Segunda Licenciatura Educação Física - #SLEEF- Segunda Licenciatura Educação Física - Elias Vargas Ramm - Jogos e Recreação - Nota Máxima: 10</v>
      </c>
    </row>
    <row r="347">
      <c r="A347" s="390" t="str">
        <f>IFERROR(__xludf.DUMMYFUNCTION("""COMPUTED_VALUE"""),"#SLEEF- Segunda Licenciatura Educação Física - #SLEEF- Segunda Licenciatura Educação Física - Elias Vargas Ramm - Legislação Educacional/a - Nota Máxima: 10")</f>
        <v>#SLEEF- Segunda Licenciatura Educação Física - #SLEEF- Segunda Licenciatura Educação Física - Elias Vargas Ramm - Legislação Educacional/a - Nota Máxima: 10</v>
      </c>
    </row>
    <row r="348">
      <c r="A348" s="390" t="str">
        <f>IFERROR(__xludf.DUMMYFUNCTION("""COMPUTED_VALUE"""),"#SLEEF- Segunda Licenciatura Educação Física - #SLEEF- Segunda Licenciatura Educação Física - Elias Vargas Ramm - Legislação Educacional/a - Nota Máxima: 9")</f>
        <v>#SLEEF- Segunda Licenciatura Educação Física - #SLEEF- Segunda Licenciatura Educação Física - Elias Vargas Ramm - Legislação Educacional/a - Nota Máxima: 9</v>
      </c>
    </row>
    <row r="349">
      <c r="A349" s="390" t="str">
        <f>IFERROR(__xludf.DUMMYFUNCTION("""COMPUTED_VALUE"""),"#SLEEF- Segunda Licenciatura Educação Física - #SLEEF- Segunda Licenciatura Educação Física - Elias Vargas Ramm - Planejamento, Gestão Educacional e Currículo/a - Nota Máxima: 10")</f>
        <v>#SLEEF- Segunda Licenciatura Educação Física - #SLEEF- Segunda Licenciatura Educação Física - Elias Vargas Ramm - Planejamento, Gestão Educacional e Currículo/a - Nota Máxima: 10</v>
      </c>
    </row>
    <row r="350">
      <c r="A350" s="390" t="str">
        <f>IFERROR(__xludf.DUMMYFUNCTION("""COMPUTED_VALUE"""),"#SLEEF- Segunda Licenciatura Educação Física - #SLEEF- Segunda Licenciatura Educação Física - Elias Vargas Ramm - Planejamento, Gestão Educacional e Currículo/a - Nota Máxima: 10")</f>
        <v>#SLEEF- Segunda Licenciatura Educação Física - #SLEEF- Segunda Licenciatura Educação Física - Elias Vargas Ramm - Planejamento, Gestão Educacional e Currículo/a - Nota Máxima: 10</v>
      </c>
    </row>
    <row r="351">
      <c r="A351" s="390" t="str">
        <f>IFERROR(__xludf.DUMMYFUNCTION("""COMPUTED_VALUE"""),"#SLEEF- Segunda Licenciatura Educação Física - #SLEEF- Segunda Licenciatura Educação Física - Elias Vargas Ramm - Práticas Corporais Adaptadas para Grupos Especiais/a - Nota Máxima: 10")</f>
        <v>#SLEEF- Segunda Licenciatura Educação Física - #SLEEF- Segunda Licenciatura Educação Física - Elias Vargas Ramm - Práticas Corporais Adaptadas para Grupos Especiais/a - Nota Máxima: 10</v>
      </c>
    </row>
    <row r="352">
      <c r="A352" s="390" t="str">
        <f>IFERROR(__xludf.DUMMYFUNCTION("""COMPUTED_VALUE"""),"#SLEEF- Segunda Licenciatura Educação Física - #SLEEF- Segunda Licenciatura Educação Física - Elias Vargas Ramm - Práticas Corporais Adaptadas para Grupos Especiais/a - Nota Máxima: 8")</f>
        <v>#SLEEF- Segunda Licenciatura Educação Física - #SLEEF- Segunda Licenciatura Educação Física - Elias Vargas Ramm - Práticas Corporais Adaptadas para Grupos Especiais/a - Nota Máxima: 8</v>
      </c>
    </row>
    <row r="353">
      <c r="A353" s="390" t="str">
        <f>IFERROR(__xludf.DUMMYFUNCTION("""COMPUTED_VALUE"""),"#SLEEF- Segunda Licenciatura Educação Física - #SLEEF- Segunda Licenciatura Educação Física - Elias Vargas Ramm - Práticas Pedagógicas - 400 Horas - Nota Máxima: 45784")</f>
        <v>#SLEEF- Segunda Licenciatura Educação Física - #SLEEF- Segunda Licenciatura Educação Física - Elias Vargas Ramm - Práticas Pedagógicas - 400 Horas - Nota Máxima: 45784</v>
      </c>
    </row>
    <row r="354">
      <c r="A354" s="390" t="str">
        <f>IFERROR(__xludf.DUMMYFUNCTION("""COMPUTED_VALUE"""),"#SLEEF- Segunda Licenciatura Educação Física - #SLEEF- Segunda Licenciatura Educação Física - Elias Vargas Ramm - Práticas Pedagógicas - 400 Horas - Nota Máxima: 4")</f>
        <v>#SLEEF- Segunda Licenciatura Educação Física - #SLEEF- Segunda Licenciatura Educação Física - Elias Vargas Ramm - Práticas Pedagógicas - 400 Horas - Nota Máxima: 4</v>
      </c>
    </row>
    <row r="355">
      <c r="A355" s="390" t="str">
        <f>IFERROR(__xludf.DUMMYFUNCTION("""COMPUTED_VALUE"""),"#SLEEF- Segunda Licenciatura Educação Física - #SLEEF- Segunda Licenciatura Educação Física - Elias Vargas Ramm - Psicologia da Educação/a - Nota Máxima: 10")</f>
        <v>#SLEEF- Segunda Licenciatura Educação Física - #SLEEF- Segunda Licenciatura Educação Física - Elias Vargas Ramm - Psicologia da Educação/a - Nota Máxima: 10</v>
      </c>
    </row>
    <row r="356">
      <c r="A356" s="390" t="str">
        <f>IFERROR(__xludf.DUMMYFUNCTION("""COMPUTED_VALUE"""),"#SLEEF- Segunda Licenciatura Educação Física - #SLEEF- Segunda Licenciatura Educação Física - Elias Vargas Ramm - Psicologia da Educação/a - Nota Máxima: 8")</f>
        <v>#SLEEF- Segunda Licenciatura Educação Física - #SLEEF- Segunda Licenciatura Educação Física - Elias Vargas Ramm - Psicologia da Educação/a - Nota Máxima: 8</v>
      </c>
    </row>
    <row r="357">
      <c r="A357" s="390" t="str">
        <f>IFERROR(__xludf.DUMMYFUNCTION("""COMPUTED_VALUE"""),"#SLEEF- Segunda Licenciatura Educação Física - #SLEEF- Segunda Licenciatura Educação Física - Elias Vargas Ramm - Psicomotricidade e Ludopedagogia - Nota Máxima: 9")</f>
        <v>#SLEEF- Segunda Licenciatura Educação Física - #SLEEF- Segunda Licenciatura Educação Física - Elias Vargas Ramm - Psicomotricidade e Ludopedagogia - Nota Máxima: 9</v>
      </c>
    </row>
    <row r="358">
      <c r="A358" s="390" t="str">
        <f>IFERROR(__xludf.DUMMYFUNCTION("""COMPUTED_VALUE"""),"#SLEEF- Segunda Licenciatura Educação Física - #SLEEF- Segunda Licenciatura Educação Física - Elias Vargas Ramm - Psicomotricidade e Ludopedagogia - Nota Máxima: 9")</f>
        <v>#SLEEF- Segunda Licenciatura Educação Física - #SLEEF- Segunda Licenciatura Educação Física - Elias Vargas Ramm - Psicomotricidade e Ludopedagogia - Nota Máxima: 9</v>
      </c>
    </row>
    <row r="359">
      <c r="A359" s="390" t="str">
        <f>IFERROR(__xludf.DUMMYFUNCTION("""COMPUTED_VALUE"""),"#SLEEF- Segunda Licenciatura Educação Física - #SLEEF- Segunda Licenciatura Educação Física - Luis carlos da fonseca - Anatomia Humana - Nota Máxima: 8")</f>
        <v>#SLEEF- Segunda Licenciatura Educação Física - #SLEEF- Segunda Licenciatura Educação Física - Luis carlos da fonseca - Anatomia Humana - Nota Máxima: 8</v>
      </c>
    </row>
    <row r="360">
      <c r="A360" s="390" t="str">
        <f>IFERROR(__xludf.DUMMYFUNCTION("""COMPUTED_VALUE"""),"#SLEEF- Segunda Licenciatura Educação Física - #SLEEF- Segunda Licenciatura Educação Física - Luis carlos da fonseca - Anatomia Humana - Nota Máxima: 5")</f>
        <v>#SLEEF- Segunda Licenciatura Educação Física - #SLEEF- Segunda Licenciatura Educação Física - Luis carlos da fonseca - Anatomia Humana - Nota Máxima: 5</v>
      </c>
    </row>
    <row r="361">
      <c r="A361" s="390" t="str">
        <f>IFERROR(__xludf.DUMMYFUNCTION("""COMPUTED_VALUE"""),"#SLEEF- Segunda Licenciatura Educação Física - #SLEEF- Segunda Licenciatura Educação Física - Luis carlos da fonseca - Deficiência Auditiva e Libras/a - Nota Máxima: 8")</f>
        <v>#SLEEF- Segunda Licenciatura Educação Física - #SLEEF- Segunda Licenciatura Educação Física - Luis carlos da fonseca - Deficiência Auditiva e Libras/a - Nota Máxima: 8</v>
      </c>
    </row>
    <row r="362">
      <c r="A362" s="390" t="str">
        <f>IFERROR(__xludf.DUMMYFUNCTION("""COMPUTED_VALUE"""),"#SLEEF- Segunda Licenciatura Educação Física - #SLEEF- Segunda Licenciatura Educação Física - Luis carlos da fonseca - Deficiência Auditiva e Libras/a - Nota Máxima: 8")</f>
        <v>#SLEEF- Segunda Licenciatura Educação Física - #SLEEF- Segunda Licenciatura Educação Física - Luis carlos da fonseca - Deficiência Auditiva e Libras/a - Nota Máxima: 8</v>
      </c>
    </row>
    <row r="363">
      <c r="A363" s="390" t="str">
        <f>IFERROR(__xludf.DUMMYFUNCTION("""COMPUTED_VALUE"""),"#SLEEF- Segunda Licenciatura Educação Física - #SLEEF- Segunda Licenciatura Educação Física - Luis carlos da fonseca - Educação Especial, Inclusão Escolar e Adaptações Curriculares - Nota Máxima: 8")</f>
        <v>#SLEEF- Segunda Licenciatura Educação Física - #SLEEF- Segunda Licenciatura Educação Física - Luis carlos da fonseca - Educação Especial, Inclusão Escolar e Adaptações Curriculares - Nota Máxima: 8</v>
      </c>
    </row>
    <row r="364">
      <c r="A364" s="390" t="str">
        <f>IFERROR(__xludf.DUMMYFUNCTION("""COMPUTED_VALUE"""),"#SLEEF- Segunda Licenciatura Educação Física - #SLEEF- Segunda Licenciatura Educação Física - Luis carlos da fonseca - Educação Especial, Inclusão Escolar e Adaptações Curriculares - Nota Máxima: 9")</f>
        <v>#SLEEF- Segunda Licenciatura Educação Física - #SLEEF- Segunda Licenciatura Educação Física - Luis carlos da fonseca - Educação Especial, Inclusão Escolar e Adaptações Curriculares - Nota Máxima: 9</v>
      </c>
    </row>
    <row r="365">
      <c r="A365" s="390" t="str">
        <f>IFERROR(__xludf.DUMMYFUNCTION("""COMPUTED_VALUE"""),"#SLEEF- Segunda Licenciatura Educação Física - #SLEEF- Segunda Licenciatura Educação Física - Luis carlos da fonseca - Educação, História, Cultura e Práticas Indígenas/a - Nota Máxima: 8")</f>
        <v>#SLEEF- Segunda Licenciatura Educação Física - #SLEEF- Segunda Licenciatura Educação Física - Luis carlos da fonseca - Educação, História, Cultura e Práticas Indígenas/a - Nota Máxima: 8</v>
      </c>
    </row>
    <row r="366">
      <c r="A366" s="390" t="str">
        <f>IFERROR(__xludf.DUMMYFUNCTION("""COMPUTED_VALUE"""),"#SLEEF- Segunda Licenciatura Educação Física - #SLEEF- Segunda Licenciatura Educação Física - Luis carlos da fonseca - Educação, História, Cultura e Práticas Indígenas/a - Nota Máxima: 7")</f>
        <v>#SLEEF- Segunda Licenciatura Educação Física - #SLEEF- Segunda Licenciatura Educação Física - Luis carlos da fonseca - Educação, História, Cultura e Práticas Indígenas/a - Nota Máxima: 7</v>
      </c>
    </row>
    <row r="367">
      <c r="A367" s="390" t="str">
        <f>IFERROR(__xludf.DUMMYFUNCTION("""COMPUTED_VALUE"""),"#SLEEF- Segunda Licenciatura Educação Física - #SLEEF- Segunda Licenciatura Educação Física - Luis carlos da fonseca - Fisiologia Humana - Nota Máxima: 9")</f>
        <v>#SLEEF- Segunda Licenciatura Educação Física - #SLEEF- Segunda Licenciatura Educação Física - Luis carlos da fonseca - Fisiologia Humana - Nota Máxima: 9</v>
      </c>
    </row>
    <row r="368">
      <c r="A368" s="390" t="str">
        <f>IFERROR(__xludf.DUMMYFUNCTION("""COMPUTED_VALUE"""),"#SLEEF- Segunda Licenciatura Educação Física - #SLEEF- Segunda Licenciatura Educação Física - Luis carlos da fonseca - Fisiologia Humana - Nota Máxima: 7")</f>
        <v>#SLEEF- Segunda Licenciatura Educação Física - #SLEEF- Segunda Licenciatura Educação Física - Luis carlos da fonseca - Fisiologia Humana - Nota Máxima: 7</v>
      </c>
    </row>
    <row r="369">
      <c r="A369" s="390" t="str">
        <f>IFERROR(__xludf.DUMMYFUNCTION("""COMPUTED_VALUE"""),"#SLEEF- Segunda Licenciatura Educação Física - #SLEEF- Segunda Licenciatura Educação Física - Luis carlos da fonseca - Fundamentos Pedagógicos dos Esportes e das Atividades Físicas - Nota Máxima: 9")</f>
        <v>#SLEEF- Segunda Licenciatura Educação Física - #SLEEF- Segunda Licenciatura Educação Física - Luis carlos da fonseca - Fundamentos Pedagógicos dos Esportes e das Atividades Físicas - Nota Máxima: 9</v>
      </c>
    </row>
    <row r="370">
      <c r="A370" s="390" t="str">
        <f>IFERROR(__xludf.DUMMYFUNCTION("""COMPUTED_VALUE"""),"#SLEEF- Segunda Licenciatura Educação Física - #SLEEF- Segunda Licenciatura Educação Física - Luis carlos da fonseca - Fundamentos Pedagógicos dos Esportes e das Atividades Físicas - Nota Máxima: 3")</f>
        <v>#SLEEF- Segunda Licenciatura Educação Física - #SLEEF- Segunda Licenciatura Educação Física - Luis carlos da fonseca - Fundamentos Pedagógicos dos Esportes e das Atividades Físicas - Nota Máxima: 3</v>
      </c>
    </row>
    <row r="371">
      <c r="A371" s="390" t="str">
        <f>IFERROR(__xludf.DUMMYFUNCTION("""COMPUTED_VALUE"""),"#SLEEF- Segunda Licenciatura Educação Física - #SLEEF- Segunda Licenciatura Educação Física - Luis carlos da fonseca - Introdução à Neurociência e Neuroeducação - Nota Máxima: 9")</f>
        <v>#SLEEF- Segunda Licenciatura Educação Física - #SLEEF- Segunda Licenciatura Educação Física - Luis carlos da fonseca - Introdução à Neurociência e Neuroeducação - Nota Máxima: 9</v>
      </c>
    </row>
    <row r="372">
      <c r="A372" s="390" t="str">
        <f>IFERROR(__xludf.DUMMYFUNCTION("""COMPUTED_VALUE"""),"#SLEEF- Segunda Licenciatura Educação Física - #SLEEF- Segunda Licenciatura Educação Física - Luis carlos da fonseca - Introdução à Neurociência e Neuroeducação - Nota Máxima: 6")</f>
        <v>#SLEEF- Segunda Licenciatura Educação Física - #SLEEF- Segunda Licenciatura Educação Física - Luis carlos da fonseca - Introdução à Neurociência e Neuroeducação - Nota Máxima: 6</v>
      </c>
    </row>
    <row r="373">
      <c r="A373" s="390" t="str">
        <f>IFERROR(__xludf.DUMMYFUNCTION("""COMPUTED_VALUE"""),"#SLEEF- Segunda Licenciatura Educação Física - #SLEEF- Segunda Licenciatura Educação Física - Luis carlos da fonseca - Jogos e Recreação - Nota Máxima: 9")</f>
        <v>#SLEEF- Segunda Licenciatura Educação Física - #SLEEF- Segunda Licenciatura Educação Física - Luis carlos da fonseca - Jogos e Recreação - Nota Máxima: 9</v>
      </c>
    </row>
    <row r="374">
      <c r="A374" s="390" t="str">
        <f>IFERROR(__xludf.DUMMYFUNCTION("""COMPUTED_VALUE"""),"#SLEEF- Segunda Licenciatura Educação Física - #SLEEF- Segunda Licenciatura Educação Física - Luis carlos da fonseca - Jogos e Recreação - Nota Máxima: 8")</f>
        <v>#SLEEF- Segunda Licenciatura Educação Física - #SLEEF- Segunda Licenciatura Educação Física - Luis carlos da fonseca - Jogos e Recreação - Nota Máxima: 8</v>
      </c>
    </row>
    <row r="375">
      <c r="A375" s="390" t="str">
        <f>IFERROR(__xludf.DUMMYFUNCTION("""COMPUTED_VALUE"""),"#SLEEF- Segunda Licenciatura Educação Física - #SLEEF- Segunda Licenciatura Educação Física - Luis carlos da fonseca - Legislação Educacional/a - Nota Máxima: 8")</f>
        <v>#SLEEF- Segunda Licenciatura Educação Física - #SLEEF- Segunda Licenciatura Educação Física - Luis carlos da fonseca - Legislação Educacional/a - Nota Máxima: 8</v>
      </c>
    </row>
    <row r="376">
      <c r="A376" s="390" t="str">
        <f>IFERROR(__xludf.DUMMYFUNCTION("""COMPUTED_VALUE"""),"#SLEEF- Segunda Licenciatura Educação Física - #SLEEF- Segunda Licenciatura Educação Física - Luis carlos da fonseca - Legislação Educacional/a - Nota Máxima: 5")</f>
        <v>#SLEEF- Segunda Licenciatura Educação Física - #SLEEF- Segunda Licenciatura Educação Física - Luis carlos da fonseca - Legislação Educacional/a - Nota Máxima: 5</v>
      </c>
    </row>
    <row r="377">
      <c r="A377" s="390" t="str">
        <f>IFERROR(__xludf.DUMMYFUNCTION("""COMPUTED_VALUE"""),"#SLEEF- Segunda Licenciatura Educação Física - #SLEEF- Segunda Licenciatura Educação Física - Luis carlos da fonseca - Planejamento, Gestão Educacional e Currículo/a - Nota Máxima: 9")</f>
        <v>#SLEEF- Segunda Licenciatura Educação Física - #SLEEF- Segunda Licenciatura Educação Física - Luis carlos da fonseca - Planejamento, Gestão Educacional e Currículo/a - Nota Máxima: 9</v>
      </c>
    </row>
    <row r="378">
      <c r="A378" s="390" t="str">
        <f>IFERROR(__xludf.DUMMYFUNCTION("""COMPUTED_VALUE"""),"#SLEEF- Segunda Licenciatura Educação Física - #SLEEF- Segunda Licenciatura Educação Física - Luis carlos da fonseca - Planejamento, Gestão Educacional e Currículo/a - Nota Máxima: 9")</f>
        <v>#SLEEF- Segunda Licenciatura Educação Física - #SLEEF- Segunda Licenciatura Educação Física - Luis carlos da fonseca - Planejamento, Gestão Educacional e Currículo/a - Nota Máxima: 9</v>
      </c>
    </row>
    <row r="379">
      <c r="A379" s="390" t="str">
        <f>IFERROR(__xludf.DUMMYFUNCTION("""COMPUTED_VALUE"""),"#SLEEF- Segunda Licenciatura Educação Física - #SLEEF- Segunda Licenciatura Educação Física - Luis carlos da fonseca - Práticas Corporais Adaptadas para Grupos Especiais/a - Nota Máxima: 8")</f>
        <v>#SLEEF- Segunda Licenciatura Educação Física - #SLEEF- Segunda Licenciatura Educação Física - Luis carlos da fonseca - Práticas Corporais Adaptadas para Grupos Especiais/a - Nota Máxima: 8</v>
      </c>
    </row>
    <row r="380">
      <c r="A380" s="390" t="str">
        <f>IFERROR(__xludf.DUMMYFUNCTION("""COMPUTED_VALUE"""),"#SLEEF- Segunda Licenciatura Educação Física - #SLEEF- Segunda Licenciatura Educação Física - Luis carlos da fonseca - Práticas Corporais Adaptadas para Grupos Especiais/a - Nota Máxima: 7")</f>
        <v>#SLEEF- Segunda Licenciatura Educação Física - #SLEEF- Segunda Licenciatura Educação Física - Luis carlos da fonseca - Práticas Corporais Adaptadas para Grupos Especiais/a - Nota Máxima: 7</v>
      </c>
    </row>
    <row r="381">
      <c r="A381" s="390" t="str">
        <f>IFERROR(__xludf.DUMMYFUNCTION("""COMPUTED_VALUE"""),"#SLEEF- Segunda Licenciatura Educação Física - #SLEEF- Segunda Licenciatura Educação Física - Luis carlos da fonseca - Práticas Pedagógicas - 400 Horas - Nota Máxima: 45784")</f>
        <v>#SLEEF- Segunda Licenciatura Educação Física - #SLEEF- Segunda Licenciatura Educação Física - Luis carlos da fonseca - Práticas Pedagógicas - 400 Horas - Nota Máxima: 45784</v>
      </c>
    </row>
    <row r="382">
      <c r="A382" s="390" t="str">
        <f>IFERROR(__xludf.DUMMYFUNCTION("""COMPUTED_VALUE"""),"#SLEEF- Segunda Licenciatura Educação Física - #SLEEF- Segunda Licenciatura Educação Física - Luis carlos da fonseca - Práticas Pedagógicas - 400 Horas - Nota Máxima: 45784")</f>
        <v>#SLEEF- Segunda Licenciatura Educação Física - #SLEEF- Segunda Licenciatura Educação Física - Luis carlos da fonseca - Práticas Pedagógicas - 400 Horas - Nota Máxima: 45784</v>
      </c>
    </row>
    <row r="383">
      <c r="A383" s="390" t="str">
        <f>IFERROR(__xludf.DUMMYFUNCTION("""COMPUTED_VALUE"""),"#SLEEF- Segunda Licenciatura Educação Física - #SLEEF- Segunda Licenciatura Educação Física - Luis carlos da fonseca - Psicologia da Educação/a - Nota Máxima: 10")</f>
        <v>#SLEEF- Segunda Licenciatura Educação Física - #SLEEF- Segunda Licenciatura Educação Física - Luis carlos da fonseca - Psicologia da Educação/a - Nota Máxima: 10</v>
      </c>
    </row>
    <row r="384">
      <c r="A384" s="390" t="str">
        <f>IFERROR(__xludf.DUMMYFUNCTION("""COMPUTED_VALUE"""),"#SLEEF- Segunda Licenciatura Educação Física - #SLEEF- Segunda Licenciatura Educação Física - Luis carlos da fonseca - Psicologia da Educação/a - Nota Máxima: 6")</f>
        <v>#SLEEF- Segunda Licenciatura Educação Física - #SLEEF- Segunda Licenciatura Educação Física - Luis carlos da fonseca - Psicologia da Educação/a - Nota Máxima: 6</v>
      </c>
    </row>
    <row r="385">
      <c r="A385" s="390" t="str">
        <f>IFERROR(__xludf.DUMMYFUNCTION("""COMPUTED_VALUE"""),"#SLEEF- Segunda Licenciatura Educação Física - #SLEEF- Segunda Licenciatura Educação Física - Luis carlos da fonseca - Psicomotricidade e Ludopedagogia - Nota Máxima: 9")</f>
        <v>#SLEEF- Segunda Licenciatura Educação Física - #SLEEF- Segunda Licenciatura Educação Física - Luis carlos da fonseca - Psicomotricidade e Ludopedagogia - Nota Máxima: 9</v>
      </c>
    </row>
    <row r="386">
      <c r="A386" s="390" t="str">
        <f>IFERROR(__xludf.DUMMYFUNCTION("""COMPUTED_VALUE"""),"#SLEEF- Segunda Licenciatura Educação Física - #SLEEF- Segunda Licenciatura Educação Física - Luis carlos da fonseca - Psicomotricidade e Ludopedagogia - Nota Máxima: 7")</f>
        <v>#SLEEF- Segunda Licenciatura Educação Física - #SLEEF- Segunda Licenciatura Educação Física - Luis carlos da fonseca - Psicomotricidade e Ludopedagogia - Nota Máxima: 7</v>
      </c>
    </row>
    <row r="387">
      <c r="A387" s="390" t="str">
        <f>IFERROR(__xludf.DUMMYFUNCTION("""COMPUTED_VALUE"""),"#SLEEF- Segunda Licenciatura Educação Física - #SLEEF- Segunda Licenciatura Educação Física - Rosane Muchinski Kucarz - Anatomia Humana - Nota Máxima: 9")</f>
        <v>#SLEEF- Segunda Licenciatura Educação Física - #SLEEF- Segunda Licenciatura Educação Física - Rosane Muchinski Kucarz - Anatomia Humana - Nota Máxima: 9</v>
      </c>
    </row>
    <row r="388">
      <c r="A388" s="390" t="str">
        <f>IFERROR(__xludf.DUMMYFUNCTION("""COMPUTED_VALUE"""),"#SLEEF- Segunda Licenciatura Educação Física - #SLEEF- Segunda Licenciatura Educação Física - Rosane Muchinski Kucarz - Deficiência Auditiva e Libras/a - Nota Máxima: 9")</f>
        <v>#SLEEF- Segunda Licenciatura Educação Física - #SLEEF- Segunda Licenciatura Educação Física - Rosane Muchinski Kucarz - Deficiência Auditiva e Libras/a - Nota Máxima: 9</v>
      </c>
    </row>
    <row r="389">
      <c r="A389" s="390" t="str">
        <f>IFERROR(__xludf.DUMMYFUNCTION("""COMPUTED_VALUE"""),"#SLEEF- Segunda Licenciatura Educação Física - #SLEEF- Segunda Licenciatura Educação Física - Rosane Muchinski Kucarz - Educação Especial, Inclusão Escolar e Adaptações Curriculares - Nota Máxima: 8")</f>
        <v>#SLEEF- Segunda Licenciatura Educação Física - #SLEEF- Segunda Licenciatura Educação Física - Rosane Muchinski Kucarz - Educação Especial, Inclusão Escolar e Adaptações Curriculares - Nota Máxima: 8</v>
      </c>
    </row>
    <row r="390">
      <c r="A390" s="390" t="str">
        <f>IFERROR(__xludf.DUMMYFUNCTION("""COMPUTED_VALUE"""),"#SLEEF- Segunda Licenciatura Educação Física - #SLEEF- Segunda Licenciatura Educação Física - Rosane Muchinski Kucarz - Educação, História, Cultura e Práticas Indígenas/a - Nota Máxima: 9")</f>
        <v>#SLEEF- Segunda Licenciatura Educação Física - #SLEEF- Segunda Licenciatura Educação Física - Rosane Muchinski Kucarz - Educação, História, Cultura e Práticas Indígenas/a - Nota Máxima: 9</v>
      </c>
    </row>
    <row r="391">
      <c r="A391" s="390" t="str">
        <f>IFERROR(__xludf.DUMMYFUNCTION("""COMPUTED_VALUE"""),"#SLEEF- Segunda Licenciatura Educação Física - #SLEEF- Segunda Licenciatura Educação Física - Rosane Muchinski Kucarz - Fisiologia Humana - Nota Máxima: 10")</f>
        <v>#SLEEF- Segunda Licenciatura Educação Física - #SLEEF- Segunda Licenciatura Educação Física - Rosane Muchinski Kucarz - Fisiologia Humana - Nota Máxima: 10</v>
      </c>
    </row>
    <row r="392">
      <c r="A392" s="390" t="str">
        <f>IFERROR(__xludf.DUMMYFUNCTION("""COMPUTED_VALUE"""),"#SLEEF- Segunda Licenciatura Educação Física - #SLEEF- Segunda Licenciatura Educação Física - Rosane Muchinski Kucarz - Fundamentos Pedagógicos dos Esportes e das Atividades Físicas - Nota Máxima: 10")</f>
        <v>#SLEEF- Segunda Licenciatura Educação Física - #SLEEF- Segunda Licenciatura Educação Física - Rosane Muchinski Kucarz - Fundamentos Pedagógicos dos Esportes e das Atividades Físicas - Nota Máxima: 10</v>
      </c>
    </row>
    <row r="393">
      <c r="A393" s="390" t="str">
        <f>IFERROR(__xludf.DUMMYFUNCTION("""COMPUTED_VALUE"""),"#SLEEF- Segunda Licenciatura Educação Física - #SLEEF- Segunda Licenciatura Educação Física - Rosane Muchinski Kucarz - Introdução à Neurociência e Neuroeducação - Nota Máxima: 10")</f>
        <v>#SLEEF- Segunda Licenciatura Educação Física - #SLEEF- Segunda Licenciatura Educação Física - Rosane Muchinski Kucarz - Introdução à Neurociência e Neuroeducação - Nota Máxima: 10</v>
      </c>
    </row>
    <row r="394">
      <c r="A394" s="390" t="str">
        <f>IFERROR(__xludf.DUMMYFUNCTION("""COMPUTED_VALUE"""),"#SLEEF- Segunda Licenciatura Educação Física - #SLEEF- Segunda Licenciatura Educação Física - Rosane Muchinski Kucarz - Jogos e Recreação - Nota Máxima: 10")</f>
        <v>#SLEEF- Segunda Licenciatura Educação Física - #SLEEF- Segunda Licenciatura Educação Física - Rosane Muchinski Kucarz - Jogos e Recreação - Nota Máxima: 10</v>
      </c>
    </row>
    <row r="395">
      <c r="A395" s="390" t="str">
        <f>IFERROR(__xludf.DUMMYFUNCTION("""COMPUTED_VALUE"""),"#SLEEF- Segunda Licenciatura Educação Física - #SLEEF- Segunda Licenciatura Educação Física - Rosane Muchinski Kucarz - Legislação Educacional/a - Nota Máxima: 9")</f>
        <v>#SLEEF- Segunda Licenciatura Educação Física - #SLEEF- Segunda Licenciatura Educação Física - Rosane Muchinski Kucarz - Legislação Educacional/a - Nota Máxima: 9</v>
      </c>
    </row>
    <row r="396">
      <c r="A396" s="390" t="str">
        <f>IFERROR(__xludf.DUMMYFUNCTION("""COMPUTED_VALUE"""),"#SLEEF- Segunda Licenciatura Educação Física - #SLEEF- Segunda Licenciatura Educação Física - Rosane Muchinski Kucarz - Planejamento, Gestão Educacional e Currículo/a - Nota Máxima: 10")</f>
        <v>#SLEEF- Segunda Licenciatura Educação Física - #SLEEF- Segunda Licenciatura Educação Física - Rosane Muchinski Kucarz - Planejamento, Gestão Educacional e Currículo/a - Nota Máxima: 10</v>
      </c>
    </row>
    <row r="397">
      <c r="A397" s="390" t="str">
        <f>IFERROR(__xludf.DUMMYFUNCTION("""COMPUTED_VALUE"""),"#SLEEF- Segunda Licenciatura Educação Física - #SLEEF- Segunda Licenciatura Educação Física - Rosane Muchinski Kucarz - Práticas Corporais Adaptadas para Grupos Especiais/a - Nota Máxima: 10")</f>
        <v>#SLEEF- Segunda Licenciatura Educação Física - #SLEEF- Segunda Licenciatura Educação Física - Rosane Muchinski Kucarz - Práticas Corporais Adaptadas para Grupos Especiais/a - Nota Máxima: 10</v>
      </c>
    </row>
    <row r="398">
      <c r="A398" s="390" t="str">
        <f>IFERROR(__xludf.DUMMYFUNCTION("""COMPUTED_VALUE"""),"#SLEEF- Segunda Licenciatura Educação Física - #SLEEF- Segunda Licenciatura Educação Física - Rosane Muchinski Kucarz - Práticas Pedagógicas - 400 Horas - Nota Máxima: 3")</f>
        <v>#SLEEF- Segunda Licenciatura Educação Física - #SLEEF- Segunda Licenciatura Educação Física - Rosane Muchinski Kucarz - Práticas Pedagógicas - 400 Horas - Nota Máxima: 3</v>
      </c>
    </row>
    <row r="399">
      <c r="A399" s="390" t="str">
        <f>IFERROR(__xludf.DUMMYFUNCTION("""COMPUTED_VALUE"""),"#SLEEF- Segunda Licenciatura Educação Física - #SLEEF- Segunda Licenciatura Educação Física - Rosane Muchinski Kucarz - Psicologia da Educação/a - Nota Máxima: 9")</f>
        <v>#SLEEF- Segunda Licenciatura Educação Física - #SLEEF- Segunda Licenciatura Educação Física - Rosane Muchinski Kucarz - Psicologia da Educação/a - Nota Máxima: 9</v>
      </c>
    </row>
    <row r="400">
      <c r="A400" s="390" t="str">
        <f>IFERROR(__xludf.DUMMYFUNCTION("""COMPUTED_VALUE"""),"#SLEEF- Segunda Licenciatura Educação Física - #SLEEF- Segunda Licenciatura Educação Física - Rosane Muchinski Kucarz - Psicomotricidade e Ludopedagogia - Nota Máxima: 9")</f>
        <v>#SLEEF- Segunda Licenciatura Educação Física - #SLEEF- Segunda Licenciatura Educação Física - Rosane Muchinski Kucarz - Psicomotricidade e Ludopedagogia - Nota Máxima: 9</v>
      </c>
    </row>
    <row r="401">
      <c r="A401" s="390" t="str">
        <f>IFERROR(__xludf.DUMMYFUNCTION("""COMPUTED_VALUE"""),"#SLEEF- Segunda Licenciatura Educação Física - #SLEEF- Segunda Licenciatura Educação Física - Daniel Santos de Oliveira - Anatomia Humana - Nota Máxima: 10")</f>
        <v>#SLEEF- Segunda Licenciatura Educação Física - #SLEEF- Segunda Licenciatura Educação Física - Daniel Santos de Oliveira - Anatomia Humana - Nota Máxima: 10</v>
      </c>
    </row>
    <row r="402">
      <c r="A402" s="390" t="str">
        <f>IFERROR(__xludf.DUMMYFUNCTION("""COMPUTED_VALUE"""),"#SLEEF- Segunda Licenciatura Educação Física - #SLEEF- Segunda Licenciatura Educação Física - Daniel Santos de Oliveira - Anatomia Humana - Nota Máxima: 1")</f>
        <v>#SLEEF- Segunda Licenciatura Educação Física - #SLEEF- Segunda Licenciatura Educação Física - Daniel Santos de Oliveira - Anatomia Humana - Nota Máxima: 1</v>
      </c>
    </row>
    <row r="403">
      <c r="A403" s="390" t="str">
        <f>IFERROR(__xludf.DUMMYFUNCTION("""COMPUTED_VALUE"""),"#SLEEF- Segunda Licenciatura Educação Física - #SLEEF- Segunda Licenciatura Educação Física - Daniel Santos de Oliveira - Deficiência Auditiva e Libras/a - Nota Máxima: 10")</f>
        <v>#SLEEF- Segunda Licenciatura Educação Física - #SLEEF- Segunda Licenciatura Educação Física - Daniel Santos de Oliveira - Deficiência Auditiva e Libras/a - Nota Máxima: 10</v>
      </c>
    </row>
    <row r="404">
      <c r="A404" s="390" t="str">
        <f>IFERROR(__xludf.DUMMYFUNCTION("""COMPUTED_VALUE"""),"#SLEEF- Segunda Licenciatura Educação Física - #SLEEF- Segunda Licenciatura Educação Física - Daniel Santos de Oliveira - Deficiência Auditiva e Libras/a - Nota Máxima: 1")</f>
        <v>#SLEEF- Segunda Licenciatura Educação Física - #SLEEF- Segunda Licenciatura Educação Física - Daniel Santos de Oliveira - Deficiência Auditiva e Libras/a - Nota Máxima: 1</v>
      </c>
    </row>
    <row r="405">
      <c r="A405" s="390" t="str">
        <f>IFERROR(__xludf.DUMMYFUNCTION("""COMPUTED_VALUE"""),"#SLEEF- Segunda Licenciatura Educação Física - #SLEEF- Segunda Licenciatura Educação Física - Daniel Santos de Oliveira - Educação Especial, Inclusão Escolar e Adaptações Curriculares - Nota Máxima: 10")</f>
        <v>#SLEEF- Segunda Licenciatura Educação Física - #SLEEF- Segunda Licenciatura Educação Física - Daniel Santos de Oliveira - Educação Especial, Inclusão Escolar e Adaptações Curriculares - Nota Máxima: 10</v>
      </c>
    </row>
    <row r="406">
      <c r="A406" s="390" t="str">
        <f>IFERROR(__xludf.DUMMYFUNCTION("""COMPUTED_VALUE"""),"#SLEEF- Segunda Licenciatura Educação Física - #SLEEF- Segunda Licenciatura Educação Física - Daniel Santos de Oliveira - Educação Especial, Inclusão Escolar e Adaptações Curriculares - Nota Máxima: 2")</f>
        <v>#SLEEF- Segunda Licenciatura Educação Física - #SLEEF- Segunda Licenciatura Educação Física - Daniel Santos de Oliveira - Educação Especial, Inclusão Escolar e Adaptações Curriculares - Nota Máxima: 2</v>
      </c>
    </row>
    <row r="407">
      <c r="A407" s="390" t="str">
        <f>IFERROR(__xludf.DUMMYFUNCTION("""COMPUTED_VALUE"""),"#SLEEF- Segunda Licenciatura Educação Física - #SLEEF- Segunda Licenciatura Educação Física - Daniel Santos de Oliveira - Educação, História, Cultura e Práticas Indígenas/a - Nota Máxima: 9")</f>
        <v>#SLEEF- Segunda Licenciatura Educação Física - #SLEEF- Segunda Licenciatura Educação Física - Daniel Santos de Oliveira - Educação, História, Cultura e Práticas Indígenas/a - Nota Máxima: 9</v>
      </c>
    </row>
    <row r="408">
      <c r="A408" s="390" t="str">
        <f>IFERROR(__xludf.DUMMYFUNCTION("""COMPUTED_VALUE"""),"#SLEEF- Segunda Licenciatura Educação Física - #SLEEF- Segunda Licenciatura Educação Física - Daniel Santos de Oliveira - Educação, História, Cultura e Práticas Indígenas/a - Nota Máxima: 4")</f>
        <v>#SLEEF- Segunda Licenciatura Educação Física - #SLEEF- Segunda Licenciatura Educação Física - Daniel Santos de Oliveira - Educação, História, Cultura e Práticas Indígenas/a - Nota Máxima: 4</v>
      </c>
    </row>
    <row r="409">
      <c r="A409" s="390" t="str">
        <f>IFERROR(__xludf.DUMMYFUNCTION("""COMPUTED_VALUE"""),"#SLEEF- Segunda Licenciatura Educação Física - #SLEEF- Segunda Licenciatura Educação Física - Daniel Santos de Oliveira - Fisiologia Humana - Nota Máxima: 10")</f>
        <v>#SLEEF- Segunda Licenciatura Educação Física - #SLEEF- Segunda Licenciatura Educação Física - Daniel Santos de Oliveira - Fisiologia Humana - Nota Máxima: 10</v>
      </c>
    </row>
    <row r="410">
      <c r="A410" s="390" t="str">
        <f>IFERROR(__xludf.DUMMYFUNCTION("""COMPUTED_VALUE"""),"#SLEEF- Segunda Licenciatura Educação Física - #SLEEF- Segunda Licenciatura Educação Física - Daniel Santos de Oliveira - Fisiologia Humana - Nota Máxima: 1")</f>
        <v>#SLEEF- Segunda Licenciatura Educação Física - #SLEEF- Segunda Licenciatura Educação Física - Daniel Santos de Oliveira - Fisiologia Humana - Nota Máxima: 1</v>
      </c>
    </row>
    <row r="411">
      <c r="A411" s="390" t="str">
        <f>IFERROR(__xludf.DUMMYFUNCTION("""COMPUTED_VALUE"""),"#SLEEF- Segunda Licenciatura Educação Física - #SLEEF- Segunda Licenciatura Educação Física - Daniel Santos de Oliveira - Fundamentos Pedagógicos dos Esportes e das Atividades Físicas - Nota Máxima: 10")</f>
        <v>#SLEEF- Segunda Licenciatura Educação Física - #SLEEF- Segunda Licenciatura Educação Física - Daniel Santos de Oliveira - Fundamentos Pedagógicos dos Esportes e das Atividades Físicas - Nota Máxima: 10</v>
      </c>
    </row>
    <row r="412">
      <c r="A412" s="390" t="str">
        <f>IFERROR(__xludf.DUMMYFUNCTION("""COMPUTED_VALUE"""),"#SLEEF- Segunda Licenciatura Educação Física - #SLEEF- Segunda Licenciatura Educação Física - Daniel Santos de Oliveira - Fundamentos Pedagógicos dos Esportes e das Atividades Físicas - Nota Máxima: 2")</f>
        <v>#SLEEF- Segunda Licenciatura Educação Física - #SLEEF- Segunda Licenciatura Educação Física - Daniel Santos de Oliveira - Fundamentos Pedagógicos dos Esportes e das Atividades Físicas - Nota Máxima: 2</v>
      </c>
    </row>
    <row r="413">
      <c r="A413" s="390" t="str">
        <f>IFERROR(__xludf.DUMMYFUNCTION("""COMPUTED_VALUE"""),"#SLEEF- Segunda Licenciatura Educação Física - #SLEEF- Segunda Licenciatura Educação Física - Daniel Santos de Oliveira - Introdução à Neurociência e Neuroeducação - Nota Máxima: 10")</f>
        <v>#SLEEF- Segunda Licenciatura Educação Física - #SLEEF- Segunda Licenciatura Educação Física - Daniel Santos de Oliveira - Introdução à Neurociência e Neuroeducação - Nota Máxima: 10</v>
      </c>
    </row>
    <row r="414">
      <c r="A414" s="390" t="str">
        <f>IFERROR(__xludf.DUMMYFUNCTION("""COMPUTED_VALUE"""),"#SLEEF- Segunda Licenciatura Educação Física - #SLEEF- Segunda Licenciatura Educação Física - Daniel Santos de Oliveira - Introdução à Neurociência e Neuroeducação - Nota Máxima: 2")</f>
        <v>#SLEEF- Segunda Licenciatura Educação Física - #SLEEF- Segunda Licenciatura Educação Física - Daniel Santos de Oliveira - Introdução à Neurociência e Neuroeducação - Nota Máxima: 2</v>
      </c>
    </row>
    <row r="415">
      <c r="A415" s="390" t="str">
        <f>IFERROR(__xludf.DUMMYFUNCTION("""COMPUTED_VALUE"""),"#SLEEF- Segunda Licenciatura Educação Física - #SLEEF- Segunda Licenciatura Educação Física - Daniel Santos de Oliveira - Jogos e Recreação - Nota Máxima: 10")</f>
        <v>#SLEEF- Segunda Licenciatura Educação Física - #SLEEF- Segunda Licenciatura Educação Física - Daniel Santos de Oliveira - Jogos e Recreação - Nota Máxima: 10</v>
      </c>
    </row>
    <row r="416">
      <c r="A416" s="390" t="str">
        <f>IFERROR(__xludf.DUMMYFUNCTION("""COMPUTED_VALUE"""),"#SLEEF- Segunda Licenciatura Educação Física - #SLEEF- Segunda Licenciatura Educação Física - Daniel Santos de Oliveira - Jogos e Recreação - Nota Máxima: 3")</f>
        <v>#SLEEF- Segunda Licenciatura Educação Física - #SLEEF- Segunda Licenciatura Educação Física - Daniel Santos de Oliveira - Jogos e Recreação - Nota Máxima: 3</v>
      </c>
    </row>
    <row r="417">
      <c r="A417" s="390" t="str">
        <f>IFERROR(__xludf.DUMMYFUNCTION("""COMPUTED_VALUE"""),"#SLEEF- Segunda Licenciatura Educação Física - #SLEEF- Segunda Licenciatura Educação Física - Daniel Santos de Oliveira - Legislação Educacional/a - Nota Máxima: 10")</f>
        <v>#SLEEF- Segunda Licenciatura Educação Física - #SLEEF- Segunda Licenciatura Educação Física - Daniel Santos de Oliveira - Legislação Educacional/a - Nota Máxima: 10</v>
      </c>
    </row>
    <row r="418">
      <c r="A418" s="390" t="str">
        <f>IFERROR(__xludf.DUMMYFUNCTION("""COMPUTED_VALUE"""),"#SLEEF- Segunda Licenciatura Educação Física - #SLEEF- Segunda Licenciatura Educação Física - Daniel Santos de Oliveira - Legislação Educacional/a - Nota Máxima: 5")</f>
        <v>#SLEEF- Segunda Licenciatura Educação Física - #SLEEF- Segunda Licenciatura Educação Física - Daniel Santos de Oliveira - Legislação Educacional/a - Nota Máxima: 5</v>
      </c>
    </row>
    <row r="419">
      <c r="A419" s="390" t="str">
        <f>IFERROR(__xludf.DUMMYFUNCTION("""COMPUTED_VALUE"""),"#SLEEF- Segunda Licenciatura Educação Física - #SLEEF- Segunda Licenciatura Educação Física - Daniel Santos de Oliveira - Planejamento, Gestão Educacional e Currículo/a - Nota Máxima: 10")</f>
        <v>#SLEEF- Segunda Licenciatura Educação Física - #SLEEF- Segunda Licenciatura Educação Física - Daniel Santos de Oliveira - Planejamento, Gestão Educacional e Currículo/a - Nota Máxima: 10</v>
      </c>
    </row>
    <row r="420">
      <c r="A420" s="390" t="str">
        <f>IFERROR(__xludf.DUMMYFUNCTION("""COMPUTED_VALUE"""),"#SLEEF- Segunda Licenciatura Educação Física - #SLEEF- Segunda Licenciatura Educação Física - Daniel Santos de Oliveira - Planejamento, Gestão Educacional e Currículo/a - Nota Máxima: 0")</f>
        <v>#SLEEF- Segunda Licenciatura Educação Física - #SLEEF- Segunda Licenciatura Educação Física - Daniel Santos de Oliveira - Planejamento, Gestão Educacional e Currículo/a - Nota Máxima: 0</v>
      </c>
    </row>
    <row r="421">
      <c r="A421" s="390" t="str">
        <f>IFERROR(__xludf.DUMMYFUNCTION("""COMPUTED_VALUE"""),"#SLEEF- Segunda Licenciatura Educação Física - #SLEEF- Segunda Licenciatura Educação Física - Daniel Santos de Oliveira - Práticas Corporais Adaptadas para Grupos Especiais/a - Nota Máxima: 10")</f>
        <v>#SLEEF- Segunda Licenciatura Educação Física - #SLEEF- Segunda Licenciatura Educação Física - Daniel Santos de Oliveira - Práticas Corporais Adaptadas para Grupos Especiais/a - Nota Máxima: 10</v>
      </c>
    </row>
    <row r="422">
      <c r="A422" s="390" t="str">
        <f>IFERROR(__xludf.DUMMYFUNCTION("""COMPUTED_VALUE"""),"#SLEEF- Segunda Licenciatura Educação Física - #SLEEF- Segunda Licenciatura Educação Física - Daniel Santos de Oliveira - Práticas Corporais Adaptadas para Grupos Especiais/a - Nota Máxima: 1")</f>
        <v>#SLEEF- Segunda Licenciatura Educação Física - #SLEEF- Segunda Licenciatura Educação Física - Daniel Santos de Oliveira - Práticas Corporais Adaptadas para Grupos Especiais/a - Nota Máxima: 1</v>
      </c>
    </row>
    <row r="423">
      <c r="A423" s="390" t="str">
        <f>IFERROR(__xludf.DUMMYFUNCTION("""COMPUTED_VALUE"""),"#SLEEF- Segunda Licenciatura Educação Física - #SLEEF- Segunda Licenciatura Educação Física - Daniel Santos de Oliveira - Práticas Pedagógicas - 400 Horas - Nota Máxima: 4")</f>
        <v>#SLEEF- Segunda Licenciatura Educação Física - #SLEEF- Segunda Licenciatura Educação Física - Daniel Santos de Oliveira - Práticas Pedagógicas - 400 Horas - Nota Máxima: 4</v>
      </c>
    </row>
    <row r="424">
      <c r="A424" s="390" t="str">
        <f>IFERROR(__xludf.DUMMYFUNCTION("""COMPUTED_VALUE"""),"#SLEEF- Segunda Licenciatura Educação Física - #SLEEF- Segunda Licenciatura Educação Física - Daniel Santos de Oliveira - Práticas Pedagógicas - 400 Horas - Nota Máxima: 1")</f>
        <v>#SLEEF- Segunda Licenciatura Educação Física - #SLEEF- Segunda Licenciatura Educação Física - Daniel Santos de Oliveira - Práticas Pedagógicas - 400 Horas - Nota Máxima: 1</v>
      </c>
    </row>
    <row r="425">
      <c r="A425" s="390" t="str">
        <f>IFERROR(__xludf.DUMMYFUNCTION("""COMPUTED_VALUE"""),"#SLEEF- Segunda Licenciatura Educação Física - #SLEEF- Segunda Licenciatura Educação Física - Daniel Santos de Oliveira - Psicologia da Educação/a - Nota Máxima: 10")</f>
        <v>#SLEEF- Segunda Licenciatura Educação Física - #SLEEF- Segunda Licenciatura Educação Física - Daniel Santos de Oliveira - Psicologia da Educação/a - Nota Máxima: 10</v>
      </c>
    </row>
    <row r="426">
      <c r="A426" s="390" t="str">
        <f>IFERROR(__xludf.DUMMYFUNCTION("""COMPUTED_VALUE"""),"#SLEEF- Segunda Licenciatura Educação Física - #SLEEF- Segunda Licenciatura Educação Física - Daniel Santos de Oliveira - Psicologia da Educação/a - Nota Máxima: 5")</f>
        <v>#SLEEF- Segunda Licenciatura Educação Física - #SLEEF- Segunda Licenciatura Educação Física - Daniel Santos de Oliveira - Psicologia da Educação/a - Nota Máxima: 5</v>
      </c>
    </row>
    <row r="427">
      <c r="A427" s="390" t="str">
        <f>IFERROR(__xludf.DUMMYFUNCTION("""COMPUTED_VALUE"""),"#SLEEF- Segunda Licenciatura Educação Física - #SLEEF- Segunda Licenciatura Educação Física - Daniel Santos de Oliveira - Psicomotricidade e Ludopedagogia - Nota Máxima: 10")</f>
        <v>#SLEEF- Segunda Licenciatura Educação Física - #SLEEF- Segunda Licenciatura Educação Física - Daniel Santos de Oliveira - Psicomotricidade e Ludopedagogia - Nota Máxima: 10</v>
      </c>
    </row>
    <row r="428">
      <c r="A428" s="390" t="str">
        <f>IFERROR(__xludf.DUMMYFUNCTION("""COMPUTED_VALUE"""),"#SLEEF- Segunda Licenciatura Educação Física - #SLEEF- Segunda Licenciatura Educação Física - Daniel Santos de Oliveira - Psicomotricidade e Ludopedagogia - Nota Máxima: 3")</f>
        <v>#SLEEF- Segunda Licenciatura Educação Física - #SLEEF- Segunda Licenciatura Educação Física - Daniel Santos de Oliveira - Psicomotricidade e Ludopedagogia - Nota Máxima: 3</v>
      </c>
    </row>
    <row r="429">
      <c r="A429" s="390" t="str">
        <f>IFERROR(__xludf.DUMMYFUNCTION("""COMPUTED_VALUE"""),"#SLEEF- Segunda Licenciatura Educação Física - #SLEEF- Segunda Licenciatura Educação Física - William Marques De Souza - Anatomia Humana - Nota Máxima: 9")</f>
        <v>#SLEEF- Segunda Licenciatura Educação Física - #SLEEF- Segunda Licenciatura Educação Física - William Marques De Souza - Anatomia Humana - Nota Máxima: 9</v>
      </c>
    </row>
    <row r="430">
      <c r="A430" s="390" t="str">
        <f>IFERROR(__xludf.DUMMYFUNCTION("""COMPUTED_VALUE"""),"#SLEEF- Segunda Licenciatura Educação Física - #SLEEF- Segunda Licenciatura Educação Física - William Marques De Souza - Currículos e Projetos Pedagógicos - Nota Máxima: 10")</f>
        <v>#SLEEF- Segunda Licenciatura Educação Física - #SLEEF- Segunda Licenciatura Educação Física - William Marques De Souza - Currículos e Projetos Pedagógicos - Nota Máxima: 10</v>
      </c>
    </row>
    <row r="431">
      <c r="A431" s="390" t="str">
        <f>IFERROR(__xludf.DUMMYFUNCTION("""COMPUTED_VALUE"""),"#SLEEF- Segunda Licenciatura Educação Física - #SLEEF- Segunda Licenciatura Educação Física - William Marques De Souza - Deficiência Auditiva e Libras/a - Nota Máxima: 9")</f>
        <v>#SLEEF- Segunda Licenciatura Educação Física - #SLEEF- Segunda Licenciatura Educação Física - William Marques De Souza - Deficiência Auditiva e Libras/a - Nota Máxima: 9</v>
      </c>
    </row>
    <row r="432">
      <c r="A432" s="390" t="str">
        <f>IFERROR(__xludf.DUMMYFUNCTION("""COMPUTED_VALUE"""),"#SLEEF- Segunda Licenciatura Educação Física - #SLEEF- Segunda Licenciatura Educação Física - William Marques De Souza - Educação Especial, Inclusão Escolar e Adaptações Curriculares - Nota Máxima: 9")</f>
        <v>#SLEEF- Segunda Licenciatura Educação Física - #SLEEF- Segunda Licenciatura Educação Física - William Marques De Souza - Educação Especial, Inclusão Escolar e Adaptações Curriculares - Nota Máxima: 9</v>
      </c>
    </row>
    <row r="433">
      <c r="A433" s="390" t="str">
        <f>IFERROR(__xludf.DUMMYFUNCTION("""COMPUTED_VALUE"""),"#SLEEF- Segunda Licenciatura Educação Física - #SLEEF- Segunda Licenciatura Educação Física - William Marques De Souza - Educação, História, Cultura e Práticas Indígenas/a - Nota Máxima: 9")</f>
        <v>#SLEEF- Segunda Licenciatura Educação Física - #SLEEF- Segunda Licenciatura Educação Física - William Marques De Souza - Educação, História, Cultura e Práticas Indígenas/a - Nota Máxima: 9</v>
      </c>
    </row>
    <row r="434">
      <c r="A434" s="390" t="str">
        <f>IFERROR(__xludf.DUMMYFUNCTION("""COMPUTED_VALUE"""),"#SLEEF- Segunda Licenciatura Educação Física - #SLEEF- Segunda Licenciatura Educação Física - William Marques De Souza - Fisiologia Humana - Nota Máxima: 9")</f>
        <v>#SLEEF- Segunda Licenciatura Educação Física - #SLEEF- Segunda Licenciatura Educação Física - William Marques De Souza - Fisiologia Humana - Nota Máxima: 9</v>
      </c>
    </row>
    <row r="435">
      <c r="A435" s="390" t="str">
        <f>IFERROR(__xludf.DUMMYFUNCTION("""COMPUTED_VALUE"""),"#SLEEF- Segunda Licenciatura Educação Física - #SLEEF- Segunda Licenciatura Educação Física - William Marques De Souza - Fundamentos Pedagógicos dos Esportes e das Atividades Físicas - Nota Máxima: 10")</f>
        <v>#SLEEF- Segunda Licenciatura Educação Física - #SLEEF- Segunda Licenciatura Educação Física - William Marques De Souza - Fundamentos Pedagógicos dos Esportes e das Atividades Físicas - Nota Máxima: 10</v>
      </c>
    </row>
    <row r="436">
      <c r="A436" s="390" t="str">
        <f>IFERROR(__xludf.DUMMYFUNCTION("""COMPUTED_VALUE"""),"#SLEEF- Segunda Licenciatura Educação Física - #SLEEF- Segunda Licenciatura Educação Física - William Marques De Souza - Introdução à Neurociência e Neuroeducação - Nota Máxima: 10")</f>
        <v>#SLEEF- Segunda Licenciatura Educação Física - #SLEEF- Segunda Licenciatura Educação Física - William Marques De Souza - Introdução à Neurociência e Neuroeducação - Nota Máxima: 10</v>
      </c>
    </row>
    <row r="437">
      <c r="A437" s="390" t="str">
        <f>IFERROR(__xludf.DUMMYFUNCTION("""COMPUTED_VALUE"""),"#SLEEF- Segunda Licenciatura Educação Física - #SLEEF- Segunda Licenciatura Educação Física - William Marques De Souza - Jogos e Recreação - Nota Máxima: 10")</f>
        <v>#SLEEF- Segunda Licenciatura Educação Física - #SLEEF- Segunda Licenciatura Educação Física - William Marques De Souza - Jogos e Recreação - Nota Máxima: 10</v>
      </c>
    </row>
    <row r="438">
      <c r="A438" s="390" t="str">
        <f>IFERROR(__xludf.DUMMYFUNCTION("""COMPUTED_VALUE"""),"#SLEEF- Segunda Licenciatura Educação Física - #SLEEF- Segunda Licenciatura Educação Física - William Marques De Souza - Legislação Educacional/a - Nota Máxima: 9")</f>
        <v>#SLEEF- Segunda Licenciatura Educação Física - #SLEEF- Segunda Licenciatura Educação Física - William Marques De Souza - Legislação Educacional/a - Nota Máxima: 9</v>
      </c>
    </row>
    <row r="439">
      <c r="A439" s="390" t="str">
        <f>IFERROR(__xludf.DUMMYFUNCTION("""COMPUTED_VALUE"""),"#SLEEF- Segunda Licenciatura Educação Física - #SLEEF- Segunda Licenciatura Educação Física - William Marques De Souza - Planejamento, Gestão Educacional e Currículo/a - Nota Máxima: 9")</f>
        <v>#SLEEF- Segunda Licenciatura Educação Física - #SLEEF- Segunda Licenciatura Educação Física - William Marques De Souza - Planejamento, Gestão Educacional e Currículo/a - Nota Máxima: 9</v>
      </c>
    </row>
    <row r="440">
      <c r="A440" s="390" t="str">
        <f>IFERROR(__xludf.DUMMYFUNCTION("""COMPUTED_VALUE"""),"#SLEEF- Segunda Licenciatura Educação Física - #SLEEF- Segunda Licenciatura Educação Física - William Marques De Souza - Práticas Corporais Adaptadas para Grupos Especiais/a - Nota Máxima: 10")</f>
        <v>#SLEEF- Segunda Licenciatura Educação Física - #SLEEF- Segunda Licenciatura Educação Física - William Marques De Souza - Práticas Corporais Adaptadas para Grupos Especiais/a - Nota Máxima: 10</v>
      </c>
    </row>
    <row r="441">
      <c r="A441" s="390" t="str">
        <f>IFERROR(__xludf.DUMMYFUNCTION("""COMPUTED_VALUE"""),"#SLEEF- Segunda Licenciatura Educação Física - #SLEEF- Segunda Licenciatura Educação Física - William Marques De Souza - Práticas Pedagógicas - 400 Horas - Nota Máxima: 10")</f>
        <v>#SLEEF- Segunda Licenciatura Educação Física - #SLEEF- Segunda Licenciatura Educação Física - William Marques De Souza - Práticas Pedagógicas - 400 Horas - Nota Máxima: 10</v>
      </c>
    </row>
    <row r="442">
      <c r="A442" s="390" t="str">
        <f>IFERROR(__xludf.DUMMYFUNCTION("""COMPUTED_VALUE"""),"#SLEEF- Segunda Licenciatura Educação Física - #SLEEF- Segunda Licenciatura Educação Física - William Marques De Souza - Psicologia da Educação/a - Nota Máxima: 9")</f>
        <v>#SLEEF- Segunda Licenciatura Educação Física - #SLEEF- Segunda Licenciatura Educação Física - William Marques De Souza - Psicologia da Educação/a - Nota Máxima: 9</v>
      </c>
    </row>
    <row r="443">
      <c r="A443" s="390" t="str">
        <f>IFERROR(__xludf.DUMMYFUNCTION("""COMPUTED_VALUE"""),"#SLEEF- Segunda Licenciatura Educação Física - #SLEEF- Segunda Licenciatura Educação Física - William Marques De Souza - Psicomotricidade e Ludopedagogia - Nota Máxima: 10")</f>
        <v>#SLEEF- Segunda Licenciatura Educação Física - #SLEEF- Segunda Licenciatura Educação Física - William Marques De Souza - Psicomotricidade e Ludopedagogia - Nota Máxima: 10</v>
      </c>
    </row>
    <row r="444">
      <c r="A444" s="390" t="str">
        <f>IFERROR(__xludf.DUMMYFUNCTION("""COMPUTED_VALUE"""),"#SLEEF- Segunda Licenciatura Educação Física - #SLEEF- Segunda Licenciatura Educação Física - Ricardo Alexandre Ferraz Jacob - Anatomia Humana - Nota Máxima: 9")</f>
        <v>#SLEEF- Segunda Licenciatura Educação Física - #SLEEF- Segunda Licenciatura Educação Física - Ricardo Alexandre Ferraz Jacob - Anatomia Humana - Nota Máxima: 9</v>
      </c>
    </row>
    <row r="445">
      <c r="A445" s="390" t="str">
        <f>IFERROR(__xludf.DUMMYFUNCTION("""COMPUTED_VALUE"""),"#SLEEF- Segunda Licenciatura Educação Física - #SLEEF- Segunda Licenciatura Educação Física - Ricardo Alexandre Ferraz Jacob - Anatomia Humana - Nota Máxima: 5")</f>
        <v>#SLEEF- Segunda Licenciatura Educação Física - #SLEEF- Segunda Licenciatura Educação Física - Ricardo Alexandre Ferraz Jacob - Anatomia Humana - Nota Máxima: 5</v>
      </c>
    </row>
    <row r="446">
      <c r="A446" s="390" t="str">
        <f>IFERROR(__xludf.DUMMYFUNCTION("""COMPUTED_VALUE"""),"#SLEEF- Segunda Licenciatura Educação Física - #SLEEF- Segunda Licenciatura Educação Física - Ricardo Alexandre Ferraz Jacob - Deficiência Auditiva e Libras/a - Nota Máxima: 9")</f>
        <v>#SLEEF- Segunda Licenciatura Educação Física - #SLEEF- Segunda Licenciatura Educação Física - Ricardo Alexandre Ferraz Jacob - Deficiência Auditiva e Libras/a - Nota Máxima: 9</v>
      </c>
    </row>
    <row r="447">
      <c r="A447" s="390" t="str">
        <f>IFERROR(__xludf.DUMMYFUNCTION("""COMPUTED_VALUE"""),"#SLEEF- Segunda Licenciatura Educação Física - #SLEEF- Segunda Licenciatura Educação Física - Ricardo Alexandre Ferraz Jacob - Deficiência Auditiva e Libras/a - Nota Máxima: 5")</f>
        <v>#SLEEF- Segunda Licenciatura Educação Física - #SLEEF- Segunda Licenciatura Educação Física - Ricardo Alexandre Ferraz Jacob - Deficiência Auditiva e Libras/a - Nota Máxima: 5</v>
      </c>
    </row>
    <row r="448">
      <c r="A448" s="390" t="str">
        <f>IFERROR(__xludf.DUMMYFUNCTION("""COMPUTED_VALUE"""),"#SLEEF- Segunda Licenciatura Educação Física - #SLEEF- Segunda Licenciatura Educação Física - Ricardo Alexandre Ferraz Jacob - Educação Especial, Inclusão Escolar e Adaptações Curriculares - Nota Máxima: 7")</f>
        <v>#SLEEF- Segunda Licenciatura Educação Física - #SLEEF- Segunda Licenciatura Educação Física - Ricardo Alexandre Ferraz Jacob - Educação Especial, Inclusão Escolar e Adaptações Curriculares - Nota Máxima: 7</v>
      </c>
    </row>
    <row r="449">
      <c r="A449" s="390" t="str">
        <f>IFERROR(__xludf.DUMMYFUNCTION("""COMPUTED_VALUE"""),"#SLEEF- Segunda Licenciatura Educação Física - #SLEEF- Segunda Licenciatura Educação Física - Ricardo Alexandre Ferraz Jacob - Educação Especial, Inclusão Escolar e Adaptações Curriculares - Nota Máxima: 9")</f>
        <v>#SLEEF- Segunda Licenciatura Educação Física - #SLEEF- Segunda Licenciatura Educação Física - Ricardo Alexandre Ferraz Jacob - Educação Especial, Inclusão Escolar e Adaptações Curriculares - Nota Máxima: 9</v>
      </c>
    </row>
    <row r="450">
      <c r="A450" s="390" t="str">
        <f>IFERROR(__xludf.DUMMYFUNCTION("""COMPUTED_VALUE"""),"#SLEEF- Segunda Licenciatura Educação Física - #SLEEF- Segunda Licenciatura Educação Física - Ricardo Alexandre Ferraz Jacob - Educação, História, Cultura e Práticas Indígenas/a - Nota Máxima: 9")</f>
        <v>#SLEEF- Segunda Licenciatura Educação Física - #SLEEF- Segunda Licenciatura Educação Física - Ricardo Alexandre Ferraz Jacob - Educação, História, Cultura e Práticas Indígenas/a - Nota Máxima: 9</v>
      </c>
    </row>
    <row r="451">
      <c r="A451" s="390" t="str">
        <f>IFERROR(__xludf.DUMMYFUNCTION("""COMPUTED_VALUE"""),"#SLEEF- Segunda Licenciatura Educação Física - #SLEEF- Segunda Licenciatura Educação Física - Ricardo Alexandre Ferraz Jacob - Educação, História, Cultura e Práticas Indígenas/a - Nota Máxima: 7")</f>
        <v>#SLEEF- Segunda Licenciatura Educação Física - #SLEEF- Segunda Licenciatura Educação Física - Ricardo Alexandre Ferraz Jacob - Educação, História, Cultura e Práticas Indígenas/a - Nota Máxima: 7</v>
      </c>
    </row>
    <row r="452">
      <c r="A452" s="390" t="str">
        <f>IFERROR(__xludf.DUMMYFUNCTION("""COMPUTED_VALUE"""),"#SLEEF- Segunda Licenciatura Educação Física - #SLEEF- Segunda Licenciatura Educação Física - Ricardo Alexandre Ferraz Jacob - Fisiologia Humana - Nota Máxima: 9")</f>
        <v>#SLEEF- Segunda Licenciatura Educação Física - #SLEEF- Segunda Licenciatura Educação Física - Ricardo Alexandre Ferraz Jacob - Fisiologia Humana - Nota Máxima: 9</v>
      </c>
    </row>
    <row r="453">
      <c r="A453" s="390" t="str">
        <f>IFERROR(__xludf.DUMMYFUNCTION("""COMPUTED_VALUE"""),"#SLEEF- Segunda Licenciatura Educação Física - #SLEEF- Segunda Licenciatura Educação Física - Ricardo Alexandre Ferraz Jacob - Fisiologia Humana - Nota Máxima: 7")</f>
        <v>#SLEEF- Segunda Licenciatura Educação Física - #SLEEF- Segunda Licenciatura Educação Física - Ricardo Alexandre Ferraz Jacob - Fisiologia Humana - Nota Máxima: 7</v>
      </c>
    </row>
    <row r="454">
      <c r="A454" s="390" t="str">
        <f>IFERROR(__xludf.DUMMYFUNCTION("""COMPUTED_VALUE"""),"#SLEEF- Segunda Licenciatura Educação Física - #SLEEF- Segunda Licenciatura Educação Física - Ricardo Alexandre Ferraz Jacob - Fundamentos Pedagógicos dos Esportes e das Atividades Físicas - Nota Máxima: 8")</f>
        <v>#SLEEF- Segunda Licenciatura Educação Física - #SLEEF- Segunda Licenciatura Educação Física - Ricardo Alexandre Ferraz Jacob - Fundamentos Pedagógicos dos Esportes e das Atividades Físicas - Nota Máxima: 8</v>
      </c>
    </row>
    <row r="455">
      <c r="A455" s="390" t="str">
        <f>IFERROR(__xludf.DUMMYFUNCTION("""COMPUTED_VALUE"""),"#SLEEF- Segunda Licenciatura Educação Física - #SLEEF- Segunda Licenciatura Educação Física - Ricardo Alexandre Ferraz Jacob - Fundamentos Pedagógicos dos Esportes e das Atividades Físicas - Nota Máxima: 7")</f>
        <v>#SLEEF- Segunda Licenciatura Educação Física - #SLEEF- Segunda Licenciatura Educação Física - Ricardo Alexandre Ferraz Jacob - Fundamentos Pedagógicos dos Esportes e das Atividades Físicas - Nota Máxima: 7</v>
      </c>
    </row>
    <row r="456">
      <c r="A456" s="390" t="str">
        <f>IFERROR(__xludf.DUMMYFUNCTION("""COMPUTED_VALUE"""),"#SLEEF- Segunda Licenciatura Educação Física - #SLEEF- Segunda Licenciatura Educação Física - Ricardo Alexandre Ferraz Jacob - Introdução à Neurociência e Neuroeducação - Nota Máxima: 8")</f>
        <v>#SLEEF- Segunda Licenciatura Educação Física - #SLEEF- Segunda Licenciatura Educação Física - Ricardo Alexandre Ferraz Jacob - Introdução à Neurociência e Neuroeducação - Nota Máxima: 8</v>
      </c>
    </row>
    <row r="457">
      <c r="A457" s="390" t="str">
        <f>IFERROR(__xludf.DUMMYFUNCTION("""COMPUTED_VALUE"""),"#SLEEF- Segunda Licenciatura Educação Física - #SLEEF- Segunda Licenciatura Educação Física - Ricardo Alexandre Ferraz Jacob - Introdução à Neurociência e Neuroeducação - Nota Máxima: 8")</f>
        <v>#SLEEF- Segunda Licenciatura Educação Física - #SLEEF- Segunda Licenciatura Educação Física - Ricardo Alexandre Ferraz Jacob - Introdução à Neurociência e Neuroeducação - Nota Máxima: 8</v>
      </c>
    </row>
    <row r="458">
      <c r="A458" s="390" t="str">
        <f>IFERROR(__xludf.DUMMYFUNCTION("""COMPUTED_VALUE"""),"#SLEEF- Segunda Licenciatura Educação Física - #SLEEF- Segunda Licenciatura Educação Física - Ricardo Alexandre Ferraz Jacob - Jogos e Recreação - Nota Máxima: 8")</f>
        <v>#SLEEF- Segunda Licenciatura Educação Física - #SLEEF- Segunda Licenciatura Educação Física - Ricardo Alexandre Ferraz Jacob - Jogos e Recreação - Nota Máxima: 8</v>
      </c>
    </row>
    <row r="459">
      <c r="A459" s="390" t="str">
        <f>IFERROR(__xludf.DUMMYFUNCTION("""COMPUTED_VALUE"""),"#SLEEF- Segunda Licenciatura Educação Física - #SLEEF- Segunda Licenciatura Educação Física - Ricardo Alexandre Ferraz Jacob - Jogos e Recreação - Nota Máxima: 7")</f>
        <v>#SLEEF- Segunda Licenciatura Educação Física - #SLEEF- Segunda Licenciatura Educação Física - Ricardo Alexandre Ferraz Jacob - Jogos e Recreação - Nota Máxima: 7</v>
      </c>
    </row>
    <row r="460">
      <c r="A460" s="390" t="str">
        <f>IFERROR(__xludf.DUMMYFUNCTION("""COMPUTED_VALUE"""),"#SLEEF- Segunda Licenciatura Educação Física - #SLEEF- Segunda Licenciatura Educação Física - Ricardo Alexandre Ferraz Jacob - Legislação Educacional/a - Nota Máxima: 8")</f>
        <v>#SLEEF- Segunda Licenciatura Educação Física - #SLEEF- Segunda Licenciatura Educação Física - Ricardo Alexandre Ferraz Jacob - Legislação Educacional/a - Nota Máxima: 8</v>
      </c>
    </row>
    <row r="461">
      <c r="A461" s="390" t="str">
        <f>IFERROR(__xludf.DUMMYFUNCTION("""COMPUTED_VALUE"""),"#SLEEF- Segunda Licenciatura Educação Física - #SLEEF- Segunda Licenciatura Educação Física - Ricardo Alexandre Ferraz Jacob - Legislação Educacional/a - Nota Máxima: 6")</f>
        <v>#SLEEF- Segunda Licenciatura Educação Física - #SLEEF- Segunda Licenciatura Educação Física - Ricardo Alexandre Ferraz Jacob - Legislação Educacional/a - Nota Máxima: 6</v>
      </c>
    </row>
    <row r="462">
      <c r="A462" s="390" t="str">
        <f>IFERROR(__xludf.DUMMYFUNCTION("""COMPUTED_VALUE"""),"#SLEEF- Segunda Licenciatura Educação Física - #SLEEF- Segunda Licenciatura Educação Física - Ricardo Alexandre Ferraz Jacob - Planejamento, Gestão Educacional e Currículo/a - Nota Máxima: 9")</f>
        <v>#SLEEF- Segunda Licenciatura Educação Física - #SLEEF- Segunda Licenciatura Educação Física - Ricardo Alexandre Ferraz Jacob - Planejamento, Gestão Educacional e Currículo/a - Nota Máxima: 9</v>
      </c>
    </row>
    <row r="463">
      <c r="A463" s="390" t="str">
        <f>IFERROR(__xludf.DUMMYFUNCTION("""COMPUTED_VALUE"""),"#SLEEF- Segunda Licenciatura Educação Física - #SLEEF- Segunda Licenciatura Educação Física - Ricardo Alexandre Ferraz Jacob - Planejamento, Gestão Educacional e Currículo/a - Nota Máxima: 9")</f>
        <v>#SLEEF- Segunda Licenciatura Educação Física - #SLEEF- Segunda Licenciatura Educação Física - Ricardo Alexandre Ferraz Jacob - Planejamento, Gestão Educacional e Currículo/a - Nota Máxima: 9</v>
      </c>
    </row>
    <row r="464">
      <c r="A464" s="390" t="str">
        <f>IFERROR(__xludf.DUMMYFUNCTION("""COMPUTED_VALUE"""),"#SLEEF- Segunda Licenciatura Educação Física - #SLEEF- Segunda Licenciatura Educação Física - Ricardo Alexandre Ferraz Jacob - Práticas Corporais Adaptadas para Grupos Especiais/a - Nota Máxima: 8")</f>
        <v>#SLEEF- Segunda Licenciatura Educação Física - #SLEEF- Segunda Licenciatura Educação Física - Ricardo Alexandre Ferraz Jacob - Práticas Corporais Adaptadas para Grupos Especiais/a - Nota Máxima: 8</v>
      </c>
    </row>
    <row r="465">
      <c r="A465" s="390" t="str">
        <f>IFERROR(__xludf.DUMMYFUNCTION("""COMPUTED_VALUE"""),"#SLEEF- Segunda Licenciatura Educação Física - #SLEEF- Segunda Licenciatura Educação Física - Ricardo Alexandre Ferraz Jacob - Práticas Corporais Adaptadas para Grupos Especiais/a - Nota Máxima: 8")</f>
        <v>#SLEEF- Segunda Licenciatura Educação Física - #SLEEF- Segunda Licenciatura Educação Física - Ricardo Alexandre Ferraz Jacob - Práticas Corporais Adaptadas para Grupos Especiais/a - Nota Máxima: 8</v>
      </c>
    </row>
    <row r="466">
      <c r="A466" s="390" t="str">
        <f>IFERROR(__xludf.DUMMYFUNCTION("""COMPUTED_VALUE"""),"#SLEEF- Segunda Licenciatura Educação Física - #SLEEF- Segunda Licenciatura Educação Física - Ricardo Alexandre Ferraz Jacob - Práticas Pedagógicas - 400 Horas - Nota Máxima: 4")</f>
        <v>#SLEEF- Segunda Licenciatura Educação Física - #SLEEF- Segunda Licenciatura Educação Física - Ricardo Alexandre Ferraz Jacob - Práticas Pedagógicas - 400 Horas - Nota Máxima: 4</v>
      </c>
    </row>
    <row r="467">
      <c r="A467" s="390" t="str">
        <f>IFERROR(__xludf.DUMMYFUNCTION("""COMPUTED_VALUE"""),"#SLEEF- Segunda Licenciatura Educação Física - #SLEEF- Segunda Licenciatura Educação Física - Ricardo Alexandre Ferraz Jacob - Psicologia da Educação/a - Nota Máxima: 9")</f>
        <v>#SLEEF- Segunda Licenciatura Educação Física - #SLEEF- Segunda Licenciatura Educação Física - Ricardo Alexandre Ferraz Jacob - Psicologia da Educação/a - Nota Máxima: 9</v>
      </c>
    </row>
    <row r="468">
      <c r="A468" s="390" t="str">
        <f>IFERROR(__xludf.DUMMYFUNCTION("""COMPUTED_VALUE"""),"#SLEEF- Segunda Licenciatura Educação Física - #SLEEF- Segunda Licenciatura Educação Física - Ricardo Alexandre Ferraz Jacob - Psicologia da Educação/a - Nota Máxima: 4")</f>
        <v>#SLEEF- Segunda Licenciatura Educação Física - #SLEEF- Segunda Licenciatura Educação Física - Ricardo Alexandre Ferraz Jacob - Psicologia da Educação/a - Nota Máxima: 4</v>
      </c>
    </row>
    <row r="469">
      <c r="A469" s="390" t="str">
        <f>IFERROR(__xludf.DUMMYFUNCTION("""COMPUTED_VALUE"""),"#SLEEF- Segunda Licenciatura Educação Física - #SLEEF- Segunda Licenciatura Educação Física - Ricardo Alexandre Ferraz Jacob - Psicomotricidade e Ludopedagogia - Nota Máxima: 8")</f>
        <v>#SLEEF- Segunda Licenciatura Educação Física - #SLEEF- Segunda Licenciatura Educação Física - Ricardo Alexandre Ferraz Jacob - Psicomotricidade e Ludopedagogia - Nota Máxima: 8</v>
      </c>
    </row>
    <row r="470">
      <c r="A470" s="390" t="str">
        <f>IFERROR(__xludf.DUMMYFUNCTION("""COMPUTED_VALUE"""),"#SLEEF- Segunda Licenciatura Educação Física - #SLEEF- Segunda Licenciatura Educação Física - Ricardo Alexandre Ferraz Jacob - Psicomotricidade e Ludopedagogia - Nota Máxima: 8")</f>
        <v>#SLEEF- Segunda Licenciatura Educação Física - #SLEEF- Segunda Licenciatura Educação Física - Ricardo Alexandre Ferraz Jacob - Psicomotricidade e Ludopedagogia - Nota Máxima: 8</v>
      </c>
    </row>
    <row r="471">
      <c r="A471" s="390" t="str">
        <f>IFERROR(__xludf.DUMMYFUNCTION("""COMPUTED_VALUE"""),"#SLEEF- Segunda Licenciatura Educação Física - #SLEEF- Segunda Licenciatura Educação Física - Débora Vanessa Rocha Alves - Educação Especial, Inclusão Escolar e Adaptações Curriculares - Nota Máxima: 8")</f>
        <v>#SLEEF- Segunda Licenciatura Educação Física - #SLEEF- Segunda Licenciatura Educação Física - Débora Vanessa Rocha Alves - Educação Especial, Inclusão Escolar e Adaptações Curriculares - Nota Máxima: 8</v>
      </c>
    </row>
    <row r="472">
      <c r="A472" s="390" t="str">
        <f>IFERROR(__xludf.DUMMYFUNCTION("""COMPUTED_VALUE"""),"#SLEEF- Segunda Licenciatura Educação Física - #SLEEF- Segunda Licenciatura Educação Física - Rachel Menezes Oliveira dos Santos - Anatomia Humana - Nota Máxima: 10")</f>
        <v>#SLEEF- Segunda Licenciatura Educação Física - #SLEEF- Segunda Licenciatura Educação Física - Rachel Menezes Oliveira dos Santos - Anatomia Humana - Nota Máxima: 10</v>
      </c>
    </row>
    <row r="473">
      <c r="A473" s="390" t="str">
        <f>IFERROR(__xludf.DUMMYFUNCTION("""COMPUTED_VALUE"""),"#SLEEF- Segunda Licenciatura Educação Física - #SLEEF- Segunda Licenciatura Educação Física - Rachel Menezes Oliveira dos Santos - Deficiência Auditiva e Libras/a - Nota Máxima: 10")</f>
        <v>#SLEEF- Segunda Licenciatura Educação Física - #SLEEF- Segunda Licenciatura Educação Física - Rachel Menezes Oliveira dos Santos - Deficiência Auditiva e Libras/a - Nota Máxima: 10</v>
      </c>
    </row>
    <row r="474">
      <c r="A474" s="390" t="str">
        <f>IFERROR(__xludf.DUMMYFUNCTION("""COMPUTED_VALUE"""),"#SLEEF- Segunda Licenciatura Educação Física - #SLEEF- Segunda Licenciatura Educação Física - Rachel Menezes Oliveira dos Santos - Deficiência Auditiva e Libras/a - Nota Máxima: 0")</f>
        <v>#SLEEF- Segunda Licenciatura Educação Física - #SLEEF- Segunda Licenciatura Educação Física - Rachel Menezes Oliveira dos Santos - Deficiência Auditiva e Libras/a - Nota Máxima: 0</v>
      </c>
    </row>
    <row r="475">
      <c r="A475" s="390" t="str">
        <f>IFERROR(__xludf.DUMMYFUNCTION("""COMPUTED_VALUE"""),"#SLEEF- Segunda Licenciatura Educação Física - #SLEEF- Segunda Licenciatura Educação Física - Rachel Menezes Oliveira dos Santos - Educação Especial, Inclusão Escolar e Adaptações Curriculares - Nota Máxima: 7")</f>
        <v>#SLEEF- Segunda Licenciatura Educação Física - #SLEEF- Segunda Licenciatura Educação Física - Rachel Menezes Oliveira dos Santos - Educação Especial, Inclusão Escolar e Adaptações Curriculares - Nota Máxima: 7</v>
      </c>
    </row>
    <row r="476">
      <c r="A476" s="390" t="str">
        <f>IFERROR(__xludf.DUMMYFUNCTION("""COMPUTED_VALUE"""),"#SLEEF- Segunda Licenciatura Educação Física - #SLEEF- Segunda Licenciatura Educação Física - Rachel Menezes Oliveira dos Santos - Educação, História, Cultura e Práticas Indígenas/a - Nota Máxima: 7")</f>
        <v>#SLEEF- Segunda Licenciatura Educação Física - #SLEEF- Segunda Licenciatura Educação Física - Rachel Menezes Oliveira dos Santos - Educação, História, Cultura e Práticas Indígenas/a - Nota Máxima: 7</v>
      </c>
    </row>
    <row r="477">
      <c r="A477" s="390" t="str">
        <f>IFERROR(__xludf.DUMMYFUNCTION("""COMPUTED_VALUE"""),"#SLEEF- Segunda Licenciatura Educação Física - #SLEEF- Segunda Licenciatura Educação Física - Rachel Menezes Oliveira dos Santos - Fisiologia Humana - Nota Máxima: 10")</f>
        <v>#SLEEF- Segunda Licenciatura Educação Física - #SLEEF- Segunda Licenciatura Educação Física - Rachel Menezes Oliveira dos Santos - Fisiologia Humana - Nota Máxima: 10</v>
      </c>
    </row>
    <row r="478">
      <c r="A478" s="390" t="str">
        <f>IFERROR(__xludf.DUMMYFUNCTION("""COMPUTED_VALUE"""),"#SLEEF- Segunda Licenciatura Educação Física - #SLEEF- Segunda Licenciatura Educação Física - Rachel Menezes Oliveira dos Santos - Fundamentos Pedagógicos dos Esportes e das Atividades Físicas - Nota Máxima: 9")</f>
        <v>#SLEEF- Segunda Licenciatura Educação Física - #SLEEF- Segunda Licenciatura Educação Física - Rachel Menezes Oliveira dos Santos - Fundamentos Pedagógicos dos Esportes e das Atividades Físicas - Nota Máxima: 9</v>
      </c>
    </row>
    <row r="479">
      <c r="A479" s="390" t="str">
        <f>IFERROR(__xludf.DUMMYFUNCTION("""COMPUTED_VALUE"""),"#SLEEF- Segunda Licenciatura Educação Física - #SLEEF- Segunda Licenciatura Educação Física - Rachel Menezes Oliveira dos Santos - Introdução à Neurociência e Neuroeducação - Nota Máxima: 8")</f>
        <v>#SLEEF- Segunda Licenciatura Educação Física - #SLEEF- Segunda Licenciatura Educação Física - Rachel Menezes Oliveira dos Santos - Introdução à Neurociência e Neuroeducação - Nota Máxima: 8</v>
      </c>
    </row>
    <row r="480">
      <c r="A480" s="390" t="str">
        <f>IFERROR(__xludf.DUMMYFUNCTION("""COMPUTED_VALUE"""),"#SLEEF- Segunda Licenciatura Educação Física - #SLEEF- Segunda Licenciatura Educação Física - Rachel Menezes Oliveira dos Santos - Jogos e Recreação - Nota Máxima: 9")</f>
        <v>#SLEEF- Segunda Licenciatura Educação Física - #SLEEF- Segunda Licenciatura Educação Física - Rachel Menezes Oliveira dos Santos - Jogos e Recreação - Nota Máxima: 9</v>
      </c>
    </row>
    <row r="481">
      <c r="A481" s="390" t="str">
        <f>IFERROR(__xludf.DUMMYFUNCTION("""COMPUTED_VALUE"""),"#SLEEF- Segunda Licenciatura Educação Física - #SLEEF- Segunda Licenciatura Educação Física - Rachel Menezes Oliveira dos Santos - Legislação Educacional/a - Nota Máxima: 7")</f>
        <v>#SLEEF- Segunda Licenciatura Educação Física - #SLEEF- Segunda Licenciatura Educação Física - Rachel Menezes Oliveira dos Santos - Legislação Educacional/a - Nota Máxima: 7</v>
      </c>
    </row>
    <row r="482">
      <c r="A482" s="390" t="str">
        <f>IFERROR(__xludf.DUMMYFUNCTION("""COMPUTED_VALUE"""),"#SLEEF- Segunda Licenciatura Educação Física - #SLEEF- Segunda Licenciatura Educação Física - Rachel Menezes Oliveira dos Santos - Planejamento, Gestão Educacional e Currículo/a - Nota Máxima: 9")</f>
        <v>#SLEEF- Segunda Licenciatura Educação Física - #SLEEF- Segunda Licenciatura Educação Física - Rachel Menezes Oliveira dos Santos - Planejamento, Gestão Educacional e Currículo/a - Nota Máxima: 9</v>
      </c>
    </row>
    <row r="483">
      <c r="A483" s="390" t="str">
        <f>IFERROR(__xludf.DUMMYFUNCTION("""COMPUTED_VALUE"""),"#SLEEF- Segunda Licenciatura Educação Física - #SLEEF- Segunda Licenciatura Educação Física - Rachel Menezes Oliveira dos Santos - Práticas Corporais Adaptadas para Grupos Especiais/a - Nota Máxima: 10")</f>
        <v>#SLEEF- Segunda Licenciatura Educação Física - #SLEEF- Segunda Licenciatura Educação Física - Rachel Menezes Oliveira dos Santos - Práticas Corporais Adaptadas para Grupos Especiais/a - Nota Máxima: 10</v>
      </c>
    </row>
    <row r="484">
      <c r="A484" s="390" t="str">
        <f>IFERROR(__xludf.DUMMYFUNCTION("""COMPUTED_VALUE"""),"#SLEEF- Segunda Licenciatura Educação Física - #SLEEF- Segunda Licenciatura Educação Física - Rachel Menezes Oliveira dos Santos - Práticas Pedagógicas - 400 Horas - Nota Máxima: 10")</f>
        <v>#SLEEF- Segunda Licenciatura Educação Física - #SLEEF- Segunda Licenciatura Educação Física - Rachel Menezes Oliveira dos Santos - Práticas Pedagógicas - 400 Horas - Nota Máxima: 10</v>
      </c>
    </row>
    <row r="485">
      <c r="A485" s="390" t="str">
        <f>IFERROR(__xludf.DUMMYFUNCTION("""COMPUTED_VALUE"""),"#SLEEF- Segunda Licenciatura Educação Física - #SLEEF- Segunda Licenciatura Educação Física - Rachel Menezes Oliveira dos Santos - Psicologia da Educação/a - Nota Máxima: 7")</f>
        <v>#SLEEF- Segunda Licenciatura Educação Física - #SLEEF- Segunda Licenciatura Educação Física - Rachel Menezes Oliveira dos Santos - Psicologia da Educação/a - Nota Máxima: 7</v>
      </c>
    </row>
    <row r="486">
      <c r="A486" s="390" t="str">
        <f>IFERROR(__xludf.DUMMYFUNCTION("""COMPUTED_VALUE"""),"#SLEEF- Segunda Licenciatura Educação Física - #SLEEF- Segunda Licenciatura Educação Física - Rachel Menezes Oliveira dos Santos - Psicomotricidade e Ludopedagogia - Nota Máxima: 9")</f>
        <v>#SLEEF- Segunda Licenciatura Educação Física - #SLEEF- Segunda Licenciatura Educação Física - Rachel Menezes Oliveira dos Santos - Psicomotricidade e Ludopedagogia - Nota Máxima: 9</v>
      </c>
    </row>
    <row r="487">
      <c r="A487" s="390" t="str">
        <f>IFERROR(__xludf.DUMMYFUNCTION("""COMPUTED_VALUE"""),"#SLEEF- Segunda Licenciatura Educação Física - #SLEEF- Segunda Licenciatura Educação Física - Sérgio Henrique de Campos Esporte - Anatomia Humana - Nota Máxima: 7")</f>
        <v>#SLEEF- Segunda Licenciatura Educação Física - #SLEEF- Segunda Licenciatura Educação Física - Sérgio Henrique de Campos Esporte - Anatomia Humana - Nota Máxima: 7</v>
      </c>
    </row>
    <row r="488">
      <c r="A488" s="390" t="str">
        <f>IFERROR(__xludf.DUMMYFUNCTION("""COMPUTED_VALUE"""),"#SLEEF- Segunda Licenciatura Educação Física - #SLEEF- Segunda Licenciatura Educação Física - Sérgio Henrique de Campos Esporte - Deficiência Auditiva e Libras/a - Nota Máxima: 9")</f>
        <v>#SLEEF- Segunda Licenciatura Educação Física - #SLEEF- Segunda Licenciatura Educação Física - Sérgio Henrique de Campos Esporte - Deficiência Auditiva e Libras/a - Nota Máxima: 9</v>
      </c>
    </row>
    <row r="489">
      <c r="A489" s="390" t="str">
        <f>IFERROR(__xludf.DUMMYFUNCTION("""COMPUTED_VALUE"""),"#SLEEF- Segunda Licenciatura Educação Física - #SLEEF- Segunda Licenciatura Educação Física - Sérgio Henrique de Campos Esporte - Educação Especial, Inclusão Escolar e Adaptações Curriculares - Nota Máxima: 10")</f>
        <v>#SLEEF- Segunda Licenciatura Educação Física - #SLEEF- Segunda Licenciatura Educação Física - Sérgio Henrique de Campos Esporte - Educação Especial, Inclusão Escolar e Adaptações Curriculares - Nota Máxima: 10</v>
      </c>
    </row>
    <row r="490">
      <c r="A490" s="390" t="str">
        <f>IFERROR(__xludf.DUMMYFUNCTION("""COMPUTED_VALUE"""),"#SLEEF- Segunda Licenciatura Educação Física - #SLEEF- Segunda Licenciatura Educação Física - Sérgio Henrique de Campos Esporte - Educação, História, Cultura e Práticas Indígenas/a - Nota Máxima: 10")</f>
        <v>#SLEEF- Segunda Licenciatura Educação Física - #SLEEF- Segunda Licenciatura Educação Física - Sérgio Henrique de Campos Esporte - Educação, História, Cultura e Práticas Indígenas/a - Nota Máxima: 10</v>
      </c>
    </row>
    <row r="491">
      <c r="A491" s="390" t="str">
        <f>IFERROR(__xludf.DUMMYFUNCTION("""COMPUTED_VALUE"""),"#SLEEF- Segunda Licenciatura Educação Física - #SLEEF- Segunda Licenciatura Educação Física - Sérgio Henrique de Campos Esporte - Fisiologia Humana - Nota Máxima: 8")</f>
        <v>#SLEEF- Segunda Licenciatura Educação Física - #SLEEF- Segunda Licenciatura Educação Física - Sérgio Henrique de Campos Esporte - Fisiologia Humana - Nota Máxima: 8</v>
      </c>
    </row>
    <row r="492">
      <c r="A492" s="390" t="str">
        <f>IFERROR(__xludf.DUMMYFUNCTION("""COMPUTED_VALUE"""),"#SLEEF- Segunda Licenciatura Educação Física - #SLEEF- Segunda Licenciatura Educação Física - Sérgio Henrique de Campos Esporte - Fundamentos Pedagógicos dos Esportes e das Atividades Físicas - Nota Máxima: 10")</f>
        <v>#SLEEF- Segunda Licenciatura Educação Física - #SLEEF- Segunda Licenciatura Educação Física - Sérgio Henrique de Campos Esporte - Fundamentos Pedagógicos dos Esportes e das Atividades Físicas - Nota Máxima: 10</v>
      </c>
    </row>
    <row r="493">
      <c r="A493" s="390" t="str">
        <f>IFERROR(__xludf.DUMMYFUNCTION("""COMPUTED_VALUE"""),"#SLEEF- Segunda Licenciatura Educação Física - #SLEEF- Segunda Licenciatura Educação Física - Sérgio Henrique de Campos Esporte - Introdução à Neurociência e Neuroeducação - Nota Máxima: 10")</f>
        <v>#SLEEF- Segunda Licenciatura Educação Física - #SLEEF- Segunda Licenciatura Educação Física - Sérgio Henrique de Campos Esporte - Introdução à Neurociência e Neuroeducação - Nota Máxima: 10</v>
      </c>
    </row>
    <row r="494">
      <c r="A494" s="390" t="str">
        <f>IFERROR(__xludf.DUMMYFUNCTION("""COMPUTED_VALUE"""),"#SLEEF- Segunda Licenciatura Educação Física - #SLEEF- Segunda Licenciatura Educação Física - Sérgio Henrique de Campos Esporte - Jogos e Recreação - Nota Máxima: 10")</f>
        <v>#SLEEF- Segunda Licenciatura Educação Física - #SLEEF- Segunda Licenciatura Educação Física - Sérgio Henrique de Campos Esporte - Jogos e Recreação - Nota Máxima: 10</v>
      </c>
    </row>
    <row r="495">
      <c r="A495" s="390" t="str">
        <f>IFERROR(__xludf.DUMMYFUNCTION("""COMPUTED_VALUE"""),"#SLEEF- Segunda Licenciatura Educação Física - #SLEEF- Segunda Licenciatura Educação Física - Sérgio Henrique de Campos Esporte - Legislação Educacional/a - Nota Máxima: 7")</f>
        <v>#SLEEF- Segunda Licenciatura Educação Física - #SLEEF- Segunda Licenciatura Educação Física - Sérgio Henrique de Campos Esporte - Legislação Educacional/a - Nota Máxima: 7</v>
      </c>
    </row>
    <row r="496">
      <c r="A496" s="390" t="str">
        <f>IFERROR(__xludf.DUMMYFUNCTION("""COMPUTED_VALUE"""),"#SLEEF- Segunda Licenciatura Educação Física - #SLEEF- Segunda Licenciatura Educação Física - Sérgio Henrique de Campos Esporte - Planejamento, Gestão Educacional e Currículo/a - Nota Máxima: 10")</f>
        <v>#SLEEF- Segunda Licenciatura Educação Física - #SLEEF- Segunda Licenciatura Educação Física - Sérgio Henrique de Campos Esporte - Planejamento, Gestão Educacional e Currículo/a - Nota Máxima: 10</v>
      </c>
    </row>
    <row r="497">
      <c r="A497" s="390" t="str">
        <f>IFERROR(__xludf.DUMMYFUNCTION("""COMPUTED_VALUE"""),"#SLEEF- Segunda Licenciatura Educação Física - #SLEEF- Segunda Licenciatura Educação Física - Sérgio Henrique de Campos Esporte - Práticas Corporais Adaptadas para Grupos Especiais/a - Nota Máxima: 9")</f>
        <v>#SLEEF- Segunda Licenciatura Educação Física - #SLEEF- Segunda Licenciatura Educação Física - Sérgio Henrique de Campos Esporte - Práticas Corporais Adaptadas para Grupos Especiais/a - Nota Máxima: 9</v>
      </c>
    </row>
    <row r="498">
      <c r="A498" s="390" t="str">
        <f>IFERROR(__xludf.DUMMYFUNCTION("""COMPUTED_VALUE"""),"#SLEEF- Segunda Licenciatura Educação Física - #SLEEF- Segunda Licenciatura Educação Física - Sérgio Henrique de Campos Esporte - Práticas Pedagógicas - 400 Horas - Nota Máxima: 10")</f>
        <v>#SLEEF- Segunda Licenciatura Educação Física - #SLEEF- Segunda Licenciatura Educação Física - Sérgio Henrique de Campos Esporte - Práticas Pedagógicas - 400 Horas - Nota Máxima: 10</v>
      </c>
    </row>
    <row r="499">
      <c r="A499" s="390" t="str">
        <f>IFERROR(__xludf.DUMMYFUNCTION("""COMPUTED_VALUE"""),"#SLEEF- Segunda Licenciatura Educação Física - #SLEEF- Segunda Licenciatura Educação Física - Sérgio Henrique de Campos Esporte - Psicologia da Educação/a - Nota Máxima: 9")</f>
        <v>#SLEEF- Segunda Licenciatura Educação Física - #SLEEF- Segunda Licenciatura Educação Física - Sérgio Henrique de Campos Esporte - Psicologia da Educação/a - Nota Máxima: 9</v>
      </c>
    </row>
    <row r="500">
      <c r="A500" s="390" t="str">
        <f>IFERROR(__xludf.DUMMYFUNCTION("""COMPUTED_VALUE"""),"#SLEEF- Segunda Licenciatura Educação Física - #SLEEF- Segunda Licenciatura Educação Física - Sérgio Henrique de Campos Esporte - Psicomotricidade e Ludopedagogia - Nota Máxima: 9")</f>
        <v>#SLEEF- Segunda Licenciatura Educação Física - #SLEEF- Segunda Licenciatura Educação Física - Sérgio Henrique de Campos Esporte - Psicomotricidade e Ludopedagogia - Nota Máxima: 9</v>
      </c>
    </row>
    <row r="501">
      <c r="A501" s="390" t="str">
        <f>IFERROR(__xludf.DUMMYFUNCTION("""COMPUTED_VALUE"""),"#SLEEF- Segunda Licenciatura Educação Física - #SLEEF- Segunda Licenciatura Educação Física - Dalila Ribeiro da Silva - Deficiência Auditiva e Libras/a - Nota Máxima: 8")</f>
        <v>#SLEEF- Segunda Licenciatura Educação Física - #SLEEF- Segunda Licenciatura Educação Física - Dalila Ribeiro da Silva - Deficiência Auditiva e Libras/a - Nota Máxima: 8</v>
      </c>
    </row>
    <row r="502">
      <c r="A502" s="390" t="str">
        <f>IFERROR(__xludf.DUMMYFUNCTION("""COMPUTED_VALUE"""),"#SLEEF- Segunda Licenciatura Educação Física - #SLEEF- Segunda Licenciatura Educação Física - Dalila Ribeiro da Silva - Educação Especial, Inclusão Escolar e Adaptações Curriculares - Nota Máxima: 10")</f>
        <v>#SLEEF- Segunda Licenciatura Educação Física - #SLEEF- Segunda Licenciatura Educação Física - Dalila Ribeiro da Silva - Educação Especial, Inclusão Escolar e Adaptações Curriculares - Nota Máxima: 10</v>
      </c>
    </row>
    <row r="503">
      <c r="A503" s="390" t="str">
        <f>IFERROR(__xludf.DUMMYFUNCTION("""COMPUTED_VALUE"""),"#SLEEF- Segunda Licenciatura Educação Física - #SLEEF- Segunda Licenciatura Educação Física - Nádia Vieira Souto - Anatomia Humana - Nota Máxima: 9")</f>
        <v>#SLEEF- Segunda Licenciatura Educação Física - #SLEEF- Segunda Licenciatura Educação Física - Nádia Vieira Souto - Anatomia Humana - Nota Máxima: 9</v>
      </c>
    </row>
    <row r="504">
      <c r="A504" s="390" t="str">
        <f>IFERROR(__xludf.DUMMYFUNCTION("""COMPUTED_VALUE"""),"#SLEEF- Segunda Licenciatura Educação Física - #SLEEF- Segunda Licenciatura Educação Física - Nádia Vieira Souto - Anatomia Humana - Nota Máxima: 9")</f>
        <v>#SLEEF- Segunda Licenciatura Educação Física - #SLEEF- Segunda Licenciatura Educação Física - Nádia Vieira Souto - Anatomia Humana - Nota Máxima: 9</v>
      </c>
    </row>
    <row r="505">
      <c r="A505" s="390" t="str">
        <f>IFERROR(__xludf.DUMMYFUNCTION("""COMPUTED_VALUE"""),"#SLEEF- Segunda Licenciatura Educação Física - #SLEEF- Segunda Licenciatura Educação Física - Nádia Vieira Souto - Deficiência Auditiva e Libras/a - Nota Máxima: 8")</f>
        <v>#SLEEF- Segunda Licenciatura Educação Física - #SLEEF- Segunda Licenciatura Educação Física - Nádia Vieira Souto - Deficiência Auditiva e Libras/a - Nota Máxima: 8</v>
      </c>
    </row>
    <row r="506">
      <c r="A506" s="390" t="str">
        <f>IFERROR(__xludf.DUMMYFUNCTION("""COMPUTED_VALUE"""),"#SLEEF- Segunda Licenciatura Educação Física - #SLEEF- Segunda Licenciatura Educação Física - Nádia Vieira Souto - Deficiência Auditiva e Libras/a - Nota Máxima: 9")</f>
        <v>#SLEEF- Segunda Licenciatura Educação Física - #SLEEF- Segunda Licenciatura Educação Física - Nádia Vieira Souto - Deficiência Auditiva e Libras/a - Nota Máxima: 9</v>
      </c>
    </row>
    <row r="507">
      <c r="A507" s="390" t="str">
        <f>IFERROR(__xludf.DUMMYFUNCTION("""COMPUTED_VALUE"""),"#SLEEF- Segunda Licenciatura Educação Física - #SLEEF- Segunda Licenciatura Educação Física - Nádia Vieira Souto - Educação Especial, Inclusão Escolar e Adaptações Curriculares - Nota Máxima: 9")</f>
        <v>#SLEEF- Segunda Licenciatura Educação Física - #SLEEF- Segunda Licenciatura Educação Física - Nádia Vieira Souto - Educação Especial, Inclusão Escolar e Adaptações Curriculares - Nota Máxima: 9</v>
      </c>
    </row>
    <row r="508">
      <c r="A508" s="390" t="str">
        <f>IFERROR(__xludf.DUMMYFUNCTION("""COMPUTED_VALUE"""),"#SLEEF- Segunda Licenciatura Educação Física - #SLEEF- Segunda Licenciatura Educação Física - Nádia Vieira Souto - Educação Especial, Inclusão Escolar e Adaptações Curriculares - Nota Máxima: 10")</f>
        <v>#SLEEF- Segunda Licenciatura Educação Física - #SLEEF- Segunda Licenciatura Educação Física - Nádia Vieira Souto - Educação Especial, Inclusão Escolar e Adaptações Curriculares - Nota Máxima: 10</v>
      </c>
    </row>
    <row r="509">
      <c r="A509" s="390" t="str">
        <f>IFERROR(__xludf.DUMMYFUNCTION("""COMPUTED_VALUE"""),"#SLEEF- Segunda Licenciatura Educação Física - #SLEEF- Segunda Licenciatura Educação Física - Nádia Vieira Souto - Educação, História, Cultura e Práticas Indígenas/a - Nota Máxima: 7")</f>
        <v>#SLEEF- Segunda Licenciatura Educação Física - #SLEEF- Segunda Licenciatura Educação Física - Nádia Vieira Souto - Educação, História, Cultura e Práticas Indígenas/a - Nota Máxima: 7</v>
      </c>
    </row>
    <row r="510">
      <c r="A510" s="390" t="str">
        <f>IFERROR(__xludf.DUMMYFUNCTION("""COMPUTED_VALUE"""),"#SLEEF- Segunda Licenciatura Educação Física - #SLEEF- Segunda Licenciatura Educação Física - Nádia Vieira Souto - Educação, História, Cultura e Práticas Indígenas/a - Nota Máxima: 9")</f>
        <v>#SLEEF- Segunda Licenciatura Educação Física - #SLEEF- Segunda Licenciatura Educação Física - Nádia Vieira Souto - Educação, História, Cultura e Práticas Indígenas/a - Nota Máxima: 9</v>
      </c>
    </row>
    <row r="511">
      <c r="A511" s="390" t="str">
        <f>IFERROR(__xludf.DUMMYFUNCTION("""COMPUTED_VALUE"""),"#SLEEF- Segunda Licenciatura Educação Física - #SLEEF- Segunda Licenciatura Educação Física - Nádia Vieira Souto - Fisiologia Humana - Nota Máxima: 10")</f>
        <v>#SLEEF- Segunda Licenciatura Educação Física - #SLEEF- Segunda Licenciatura Educação Física - Nádia Vieira Souto - Fisiologia Humana - Nota Máxima: 10</v>
      </c>
    </row>
    <row r="512">
      <c r="A512" s="390" t="str">
        <f>IFERROR(__xludf.DUMMYFUNCTION("""COMPUTED_VALUE"""),"#SLEEF- Segunda Licenciatura Educação Física - #SLEEF- Segunda Licenciatura Educação Física - Nádia Vieira Souto - Fisiologia Humana - Nota Máxima: 10")</f>
        <v>#SLEEF- Segunda Licenciatura Educação Física - #SLEEF- Segunda Licenciatura Educação Física - Nádia Vieira Souto - Fisiologia Humana - Nota Máxima: 10</v>
      </c>
    </row>
    <row r="513">
      <c r="A513" s="390" t="str">
        <f>IFERROR(__xludf.DUMMYFUNCTION("""COMPUTED_VALUE"""),"#SLEEF- Segunda Licenciatura Educação Física - #SLEEF- Segunda Licenciatura Educação Física - Nádia Vieira Souto - Fundamentos Pedagógicos dos Esportes e das Atividades Físicas - Nota Máxima: 9")</f>
        <v>#SLEEF- Segunda Licenciatura Educação Física - #SLEEF- Segunda Licenciatura Educação Física - Nádia Vieira Souto - Fundamentos Pedagógicos dos Esportes e das Atividades Físicas - Nota Máxima: 9</v>
      </c>
    </row>
    <row r="514">
      <c r="A514" s="390" t="str">
        <f>IFERROR(__xludf.DUMMYFUNCTION("""COMPUTED_VALUE"""),"#SLEEF- Segunda Licenciatura Educação Física - #SLEEF- Segunda Licenciatura Educação Física - Nádia Vieira Souto - Fundamentos Pedagógicos dos Esportes e das Atividades Físicas - Nota Máxima: 8")</f>
        <v>#SLEEF- Segunda Licenciatura Educação Física - #SLEEF- Segunda Licenciatura Educação Física - Nádia Vieira Souto - Fundamentos Pedagógicos dos Esportes e das Atividades Físicas - Nota Máxima: 8</v>
      </c>
    </row>
    <row r="515">
      <c r="A515" s="390" t="str">
        <f>IFERROR(__xludf.DUMMYFUNCTION("""COMPUTED_VALUE"""),"#SLEEF- Segunda Licenciatura Educação Física - #SLEEF- Segunda Licenciatura Educação Física - Nádia Vieira Souto - Introdução à Neurociência e Neuroeducação - Nota Máxima: 8")</f>
        <v>#SLEEF- Segunda Licenciatura Educação Física - #SLEEF- Segunda Licenciatura Educação Física - Nádia Vieira Souto - Introdução à Neurociência e Neuroeducação - Nota Máxima: 8</v>
      </c>
    </row>
    <row r="516">
      <c r="A516" s="390" t="str">
        <f>IFERROR(__xludf.DUMMYFUNCTION("""COMPUTED_VALUE"""),"#SLEEF- Segunda Licenciatura Educação Física - #SLEEF- Segunda Licenciatura Educação Física - Nádia Vieira Souto - Introdução à Neurociência e Neuroeducação - Nota Máxima: 10")</f>
        <v>#SLEEF- Segunda Licenciatura Educação Física - #SLEEF- Segunda Licenciatura Educação Física - Nádia Vieira Souto - Introdução à Neurociência e Neuroeducação - Nota Máxima: 10</v>
      </c>
    </row>
    <row r="517">
      <c r="A517" s="390" t="str">
        <f>IFERROR(__xludf.DUMMYFUNCTION("""COMPUTED_VALUE"""),"#SLEEF- Segunda Licenciatura Educação Física - #SLEEF- Segunda Licenciatura Educação Física - Nádia Vieira Souto - Jogos e Recreação - Nota Máxima: 9")</f>
        <v>#SLEEF- Segunda Licenciatura Educação Física - #SLEEF- Segunda Licenciatura Educação Física - Nádia Vieira Souto - Jogos e Recreação - Nota Máxima: 9</v>
      </c>
    </row>
    <row r="518">
      <c r="A518" s="390" t="str">
        <f>IFERROR(__xludf.DUMMYFUNCTION("""COMPUTED_VALUE"""),"#SLEEF- Segunda Licenciatura Educação Física - #SLEEF- Segunda Licenciatura Educação Física - Nádia Vieira Souto - Jogos e Recreação - Nota Máxima: 10")</f>
        <v>#SLEEF- Segunda Licenciatura Educação Física - #SLEEF- Segunda Licenciatura Educação Física - Nádia Vieira Souto - Jogos e Recreação - Nota Máxima: 10</v>
      </c>
    </row>
    <row r="519">
      <c r="A519" s="390" t="str">
        <f>IFERROR(__xludf.DUMMYFUNCTION("""COMPUTED_VALUE"""),"#SLEEF- Segunda Licenciatura Educação Física - #SLEEF- Segunda Licenciatura Educação Física - Nádia Vieira Souto - Legislação Educacional/a - Nota Máxima: 9")</f>
        <v>#SLEEF- Segunda Licenciatura Educação Física - #SLEEF- Segunda Licenciatura Educação Física - Nádia Vieira Souto - Legislação Educacional/a - Nota Máxima: 9</v>
      </c>
    </row>
    <row r="520">
      <c r="A520" s="390" t="str">
        <f>IFERROR(__xludf.DUMMYFUNCTION("""COMPUTED_VALUE"""),"#SLEEF- Segunda Licenciatura Educação Física - #SLEEF- Segunda Licenciatura Educação Física - Nádia Vieira Souto - Legislação Educacional/a - Nota Máxima: 10")</f>
        <v>#SLEEF- Segunda Licenciatura Educação Física - #SLEEF- Segunda Licenciatura Educação Física - Nádia Vieira Souto - Legislação Educacional/a - Nota Máxima: 10</v>
      </c>
    </row>
    <row r="521">
      <c r="A521" s="390" t="str">
        <f>IFERROR(__xludf.DUMMYFUNCTION("""COMPUTED_VALUE"""),"#SLEEF- Segunda Licenciatura Educação Física - #SLEEF- Segunda Licenciatura Educação Física - Nádia Vieira Souto - Planejamento, Gestão Educacional e Currículo/a - Nota Máxima: 10")</f>
        <v>#SLEEF- Segunda Licenciatura Educação Física - #SLEEF- Segunda Licenciatura Educação Física - Nádia Vieira Souto - Planejamento, Gestão Educacional e Currículo/a - Nota Máxima: 10</v>
      </c>
    </row>
    <row r="522">
      <c r="A522" s="390" t="str">
        <f>IFERROR(__xludf.DUMMYFUNCTION("""COMPUTED_VALUE"""),"#SLEEF- Segunda Licenciatura Educação Física - #SLEEF- Segunda Licenciatura Educação Física - Nádia Vieira Souto - Planejamento, Gestão Educacional e Currículo/a - Nota Máxima: 9")</f>
        <v>#SLEEF- Segunda Licenciatura Educação Física - #SLEEF- Segunda Licenciatura Educação Física - Nádia Vieira Souto - Planejamento, Gestão Educacional e Currículo/a - Nota Máxima: 9</v>
      </c>
    </row>
    <row r="523">
      <c r="A523" s="390" t="str">
        <f>IFERROR(__xludf.DUMMYFUNCTION("""COMPUTED_VALUE"""),"#SLEEF- Segunda Licenciatura Educação Física - #SLEEF- Segunda Licenciatura Educação Física - Nádia Vieira Souto - Práticas Corporais Adaptadas para Grupos Especiais/a - Nota Máxima: 10")</f>
        <v>#SLEEF- Segunda Licenciatura Educação Física - #SLEEF- Segunda Licenciatura Educação Física - Nádia Vieira Souto - Práticas Corporais Adaptadas para Grupos Especiais/a - Nota Máxima: 10</v>
      </c>
    </row>
    <row r="524">
      <c r="A524" s="390" t="str">
        <f>IFERROR(__xludf.DUMMYFUNCTION("""COMPUTED_VALUE"""),"#SLEEF- Segunda Licenciatura Educação Física - #SLEEF- Segunda Licenciatura Educação Física - Nádia Vieira Souto - Práticas Corporais Adaptadas para Grupos Especiais/a - Nota Máxima: 9")</f>
        <v>#SLEEF- Segunda Licenciatura Educação Física - #SLEEF- Segunda Licenciatura Educação Física - Nádia Vieira Souto - Práticas Corporais Adaptadas para Grupos Especiais/a - Nota Máxima: 9</v>
      </c>
    </row>
    <row r="525">
      <c r="A525" s="390" t="str">
        <f>IFERROR(__xludf.DUMMYFUNCTION("""COMPUTED_VALUE"""),"#SLEEF- Segunda Licenciatura Educação Física - #SLEEF- Segunda Licenciatura Educação Física - Nádia Vieira Souto - Práticas Pedagógicas - 400 Horas - Nota Máxima: 10")</f>
        <v>#SLEEF- Segunda Licenciatura Educação Física - #SLEEF- Segunda Licenciatura Educação Física - Nádia Vieira Souto - Práticas Pedagógicas - 400 Horas - Nota Máxima: 10</v>
      </c>
    </row>
    <row r="526">
      <c r="A526" s="390" t="str">
        <f>IFERROR(__xludf.DUMMYFUNCTION("""COMPUTED_VALUE"""),"#SLEEF- Segunda Licenciatura Educação Física - #SLEEF- Segunda Licenciatura Educação Física - Nádia Vieira Souto - Práticas Pedagógicas - 400 Horas - Nota Máxima: 45784")</f>
        <v>#SLEEF- Segunda Licenciatura Educação Física - #SLEEF- Segunda Licenciatura Educação Física - Nádia Vieira Souto - Práticas Pedagógicas - 400 Horas - Nota Máxima: 45784</v>
      </c>
    </row>
    <row r="527">
      <c r="A527" s="390" t="str">
        <f>IFERROR(__xludf.DUMMYFUNCTION("""COMPUTED_VALUE"""),"#SLEEF- Segunda Licenciatura Educação Física - #SLEEF- Segunda Licenciatura Educação Física - Nádia Vieira Souto - Psicologia da Educação/a - Nota Máxima: 10")</f>
        <v>#SLEEF- Segunda Licenciatura Educação Física - #SLEEF- Segunda Licenciatura Educação Física - Nádia Vieira Souto - Psicologia da Educação/a - Nota Máxima: 10</v>
      </c>
    </row>
    <row r="528">
      <c r="A528" s="390" t="str">
        <f>IFERROR(__xludf.DUMMYFUNCTION("""COMPUTED_VALUE"""),"#SLEEF- Segunda Licenciatura Educação Física - #SLEEF- Segunda Licenciatura Educação Física - Nádia Vieira Souto - Psicologia da Educação/a - Nota Máxima: 9")</f>
        <v>#SLEEF- Segunda Licenciatura Educação Física - #SLEEF- Segunda Licenciatura Educação Física - Nádia Vieira Souto - Psicologia da Educação/a - Nota Máxima: 9</v>
      </c>
    </row>
    <row r="529">
      <c r="A529" s="390" t="str">
        <f>IFERROR(__xludf.DUMMYFUNCTION("""COMPUTED_VALUE"""),"#SLEEF- Segunda Licenciatura Educação Física - #SLEEF- Segunda Licenciatura Educação Física - Nádia Vieira Souto - Psicomotricidade e Ludopedagogia - Nota Máxima: 10")</f>
        <v>#SLEEF- Segunda Licenciatura Educação Física - #SLEEF- Segunda Licenciatura Educação Física - Nádia Vieira Souto - Psicomotricidade e Ludopedagogia - Nota Máxima: 10</v>
      </c>
    </row>
    <row r="530">
      <c r="A530" s="390" t="str">
        <f>IFERROR(__xludf.DUMMYFUNCTION("""COMPUTED_VALUE"""),"#SLEEF- Segunda Licenciatura Educação Física - #SLEEF- Segunda Licenciatura Educação Física - Nádia Vieira Souto - Psicomotricidade e Ludopedagogia - Nota Máxima: 10")</f>
        <v>#SLEEF- Segunda Licenciatura Educação Física - #SLEEF- Segunda Licenciatura Educação Física - Nádia Vieira Souto - Psicomotricidade e Ludopedagogia - Nota Máxima: 10</v>
      </c>
    </row>
    <row r="531">
      <c r="A531" s="390" t="str">
        <f>IFERROR(__xludf.DUMMYFUNCTION("""COMPUTED_VALUE"""),"#SLCBA - Segunda Licenciatura em Ciências Biológicas - Segunda Licenciatura em Ciências Biológicas - Evandro dos Santos Carlos - Análises Clínicas e Microbiologia - Nota Máxima: 10")</f>
        <v>#SLCBA - Segunda Licenciatura em Ciências Biológicas - Segunda Licenciatura em Ciências Biológicas - Evandro dos Santos Carlos - Análises Clínicas e Microbiologia - Nota Máxima: 10</v>
      </c>
    </row>
    <row r="532">
      <c r="A532" s="390" t="str">
        <f>IFERROR(__xludf.DUMMYFUNCTION("""COMPUTED_VALUE"""),"#SLCBA - Segunda Licenciatura em Ciências Biológicas - Segunda Licenciatura em Ciências Biológicas - Evandro dos Santos Carlos - Análises Clínicas e Microbiologia - Nota Máxima: 10")</f>
        <v>#SLCBA - Segunda Licenciatura em Ciências Biológicas - Segunda Licenciatura em Ciências Biológicas - Evandro dos Santos Carlos - Análises Clínicas e Microbiologia - Nota Máxima: 10</v>
      </c>
    </row>
    <row r="533">
      <c r="A533" s="390" t="str">
        <f>IFERROR(__xludf.DUMMYFUNCTION("""COMPUTED_VALUE"""),"#SLCBA - Segunda Licenciatura em Ciências Biológicas - Segunda Licenciatura em Ciências Biológicas - Evandro dos Santos Carlos - Anatomia e Fisiologia Humana - Nota Máxima: 10")</f>
        <v>#SLCBA - Segunda Licenciatura em Ciências Biológicas - Segunda Licenciatura em Ciências Biológicas - Evandro dos Santos Carlos - Anatomia e Fisiologia Humana - Nota Máxima: 10</v>
      </c>
    </row>
    <row r="534">
      <c r="A534" s="390" t="str">
        <f>IFERROR(__xludf.DUMMYFUNCTION("""COMPUTED_VALUE"""),"#SLCBA - Segunda Licenciatura em Ciências Biológicas - Segunda Licenciatura em Ciências Biológicas - Evandro dos Santos Carlos - Anatomia e Fisiologia Humana - Nota Máxima: 7")</f>
        <v>#SLCBA - Segunda Licenciatura em Ciências Biológicas - Segunda Licenciatura em Ciências Biológicas - Evandro dos Santos Carlos - Anatomia e Fisiologia Humana - Nota Máxima: 7</v>
      </c>
    </row>
    <row r="535">
      <c r="A535" s="390" t="str">
        <f>IFERROR(__xludf.DUMMYFUNCTION("""COMPUTED_VALUE"""),"#SLCBA - Segunda Licenciatura em Ciências Biológicas - Segunda Licenciatura em Ciências Biológicas - Evandro dos Santos Carlos - Ciências Exatas e da Terra - Nota Máxima: 10")</f>
        <v>#SLCBA - Segunda Licenciatura em Ciências Biológicas - Segunda Licenciatura em Ciências Biológicas - Evandro dos Santos Carlos - Ciências Exatas e da Terra - Nota Máxima: 10</v>
      </c>
    </row>
    <row r="536">
      <c r="A536" s="390" t="str">
        <f>IFERROR(__xludf.DUMMYFUNCTION("""COMPUTED_VALUE"""),"#SLCBA - Segunda Licenciatura em Ciências Biológicas - Segunda Licenciatura em Ciências Biológicas - Evandro dos Santos Carlos - Ciências Exatas e da Terra - Nota Máxima: 9")</f>
        <v>#SLCBA - Segunda Licenciatura em Ciências Biológicas - Segunda Licenciatura em Ciências Biológicas - Evandro dos Santos Carlos - Ciências Exatas e da Terra - Nota Máxima: 9</v>
      </c>
    </row>
    <row r="537">
      <c r="A537" s="390" t="str">
        <f>IFERROR(__xludf.DUMMYFUNCTION("""COMPUTED_VALUE"""),"#SLCBA - Segunda Licenciatura em Ciências Biológicas - Segunda Licenciatura em Ciências Biológicas - Evandro dos Santos Carlos - Educação Especial, Inclusão Escolar e Adaptações Curriculares - Nota Máxima: 9")</f>
        <v>#SLCBA - Segunda Licenciatura em Ciências Biológicas - Segunda Licenciatura em Ciências Biológicas - Evandro dos Santos Carlos - Educação Especial, Inclusão Escolar e Adaptações Curriculares - Nota Máxima: 9</v>
      </c>
    </row>
    <row r="538">
      <c r="A538" s="390" t="str">
        <f>IFERROR(__xludf.DUMMYFUNCTION("""COMPUTED_VALUE"""),"#SLCBA - Segunda Licenciatura em Ciências Biológicas - Segunda Licenciatura em Ciências Biológicas - Evandro dos Santos Carlos - Educação Especial, Inclusão Escolar e Adaptações Curriculares - Nota Máxima: 10")</f>
        <v>#SLCBA - Segunda Licenciatura em Ciências Biológicas - Segunda Licenciatura em Ciências Biológicas - Evandro dos Santos Carlos - Educação Especial, Inclusão Escolar e Adaptações Curriculares - Nota Máxima: 10</v>
      </c>
    </row>
    <row r="539">
      <c r="A539" s="390" t="str">
        <f>IFERROR(__xludf.DUMMYFUNCTION("""COMPUTED_VALUE"""),"#SLCBA - Segunda Licenciatura em Ciências Biológicas - Segunda Licenciatura em Ciências Biológicas - Evandro dos Santos Carlos - Educação, História, Cultura e Práticas Indígenas/a - Nota Máxima: 10")</f>
        <v>#SLCBA - Segunda Licenciatura em Ciências Biológicas - Segunda Licenciatura em Ciências Biológicas - Evandro dos Santos Carlos - Educação, História, Cultura e Práticas Indígenas/a - Nota Máxima: 10</v>
      </c>
    </row>
    <row r="540">
      <c r="A540" s="390" t="str">
        <f>IFERROR(__xludf.DUMMYFUNCTION("""COMPUTED_VALUE"""),"#SLCBA - Segunda Licenciatura em Ciências Biológicas - Segunda Licenciatura em Ciências Biológicas - Evandro dos Santos Carlos - Educação, História, Cultura e Práticas Indígenas/a - Nota Máxima: 10")</f>
        <v>#SLCBA - Segunda Licenciatura em Ciências Biológicas - Segunda Licenciatura em Ciências Biológicas - Evandro dos Santos Carlos - Educação, História, Cultura e Práticas Indígenas/a - Nota Máxima: 10</v>
      </c>
    </row>
    <row r="541">
      <c r="A541" s="390" t="str">
        <f>IFERROR(__xludf.DUMMYFUNCTION("""COMPUTED_VALUE"""),"#SLCBA - Segunda Licenciatura em Ciências Biológicas - Segunda Licenciatura em Ciências Biológicas - Evandro dos Santos Carlos - Ensino de Ciência e Biologia na Educação Básica - Nota Máxima: 9")</f>
        <v>#SLCBA - Segunda Licenciatura em Ciências Biológicas - Segunda Licenciatura em Ciências Biológicas - Evandro dos Santos Carlos - Ensino de Ciência e Biologia na Educação Básica - Nota Máxima: 9</v>
      </c>
    </row>
    <row r="542">
      <c r="A542" s="390" t="str">
        <f>IFERROR(__xludf.DUMMYFUNCTION("""COMPUTED_VALUE"""),"#SLCBA - Segunda Licenciatura em Ciências Biológicas - Segunda Licenciatura em Ciências Biológicas - Evandro dos Santos Carlos - Ensino de Ciência e Biologia na Educação Básica - Nota Máxima: 9")</f>
        <v>#SLCBA - Segunda Licenciatura em Ciências Biológicas - Segunda Licenciatura em Ciências Biológicas - Evandro dos Santos Carlos - Ensino de Ciência e Biologia na Educação Básica - Nota Máxima: 9</v>
      </c>
    </row>
    <row r="543">
      <c r="A543" s="390" t="str">
        <f>IFERROR(__xludf.DUMMYFUNCTION("""COMPUTED_VALUE"""),"#SLCBA - Segunda Licenciatura em Ciências Biológicas - Segunda Licenciatura em Ciências Biológicas - Evandro dos Santos Carlos - Imunologia e Microbiologia - Nota Máxima: 10")</f>
        <v>#SLCBA - Segunda Licenciatura em Ciências Biológicas - Segunda Licenciatura em Ciências Biológicas - Evandro dos Santos Carlos - Imunologia e Microbiologia - Nota Máxima: 10</v>
      </c>
    </row>
    <row r="544">
      <c r="A544" s="390" t="str">
        <f>IFERROR(__xludf.DUMMYFUNCTION("""COMPUTED_VALUE"""),"#SLCBA - Segunda Licenciatura em Ciências Biológicas - Segunda Licenciatura em Ciências Biológicas - Evandro dos Santos Carlos - Imunologia e Microbiologia - Nota Máxima: 4")</f>
        <v>#SLCBA - Segunda Licenciatura em Ciências Biológicas - Segunda Licenciatura em Ciências Biológicas - Evandro dos Santos Carlos - Imunologia e Microbiologia - Nota Máxima: 4</v>
      </c>
    </row>
    <row r="545">
      <c r="A545" s="390" t="str">
        <f>IFERROR(__xludf.DUMMYFUNCTION("""COMPUTED_VALUE"""),"#SLCBA - Segunda Licenciatura em Ciências Biológicas - Segunda Licenciatura em Ciências Biológicas - Adriano Ferreira Sandaniel - Análises Clínicas e Microbiologia - Nota Máxima: 9")</f>
        <v>#SLCBA - Segunda Licenciatura em Ciências Biológicas - Segunda Licenciatura em Ciências Biológicas - Adriano Ferreira Sandaniel - Análises Clínicas e Microbiologia - Nota Máxima: 9</v>
      </c>
    </row>
    <row r="546">
      <c r="A546" s="390" t="str">
        <f>IFERROR(__xludf.DUMMYFUNCTION("""COMPUTED_VALUE"""),"#SLCBA - Segunda Licenciatura em Ciências Biológicas - Segunda Licenciatura em Ciências Biológicas - Adriano Ferreira Sandaniel - Análises Clínicas e Microbiologia - Nota Máxima: 9")</f>
        <v>#SLCBA - Segunda Licenciatura em Ciências Biológicas - Segunda Licenciatura em Ciências Biológicas - Adriano Ferreira Sandaniel - Análises Clínicas e Microbiologia - Nota Máxima: 9</v>
      </c>
    </row>
    <row r="547">
      <c r="A547" s="390" t="str">
        <f>IFERROR(__xludf.DUMMYFUNCTION("""COMPUTED_VALUE"""),"#SLCBA - Segunda Licenciatura em Ciências Biológicas - Segunda Licenciatura em Ciências Biológicas - Valéria Oliveira de Macedo - Análises Clínicas e Microbiologia - Nota Máxima: 7")</f>
        <v>#SLCBA - Segunda Licenciatura em Ciências Biológicas - Segunda Licenciatura em Ciências Biológicas - Valéria Oliveira de Macedo - Análises Clínicas e Microbiologia - Nota Máxima: 7</v>
      </c>
    </row>
    <row r="548">
      <c r="A548" s="390" t="str">
        <f>IFERROR(__xludf.DUMMYFUNCTION("""COMPUTED_VALUE"""),"#SLCBA - Segunda Licenciatura em Ciências Biológicas - Segunda Licenciatura em Ciências Biológicas - Valéria Oliveira de Macedo - Análises Clínicas e Microbiologia - Nota Máxima: 7")</f>
        <v>#SLCBA - Segunda Licenciatura em Ciências Biológicas - Segunda Licenciatura em Ciências Biológicas - Valéria Oliveira de Macedo - Análises Clínicas e Microbiologia - Nota Máxima: 7</v>
      </c>
    </row>
    <row r="549">
      <c r="A549" s="390" t="str">
        <f>IFERROR(__xludf.DUMMYFUNCTION("""COMPUTED_VALUE"""),"#SLCBA - Segunda Licenciatura em Ciências Biológicas - Segunda Licenciatura em Ciências Biológicas - Valéria Oliveira de Macedo - Ciências Exatas e da Terra - Nota Máxima: 8")</f>
        <v>#SLCBA - Segunda Licenciatura em Ciências Biológicas - Segunda Licenciatura em Ciências Biológicas - Valéria Oliveira de Macedo - Ciências Exatas e da Terra - Nota Máxima: 8</v>
      </c>
    </row>
    <row r="550">
      <c r="A550" s="390" t="str">
        <f>IFERROR(__xludf.DUMMYFUNCTION("""COMPUTED_VALUE"""),"#SLCBA - Segunda Licenciatura em Ciências Biológicas - Segunda Licenciatura em Ciências Biológicas - Valéria Oliveira de Macedo - Educação e as Tic's - Nota Máxima: 9")</f>
        <v>#SLCBA - Segunda Licenciatura em Ciências Biológicas - Segunda Licenciatura em Ciências Biológicas - Valéria Oliveira de Macedo - Educação e as Tic's - Nota Máxima: 9</v>
      </c>
    </row>
    <row r="551">
      <c r="A551" s="390" t="str">
        <f>IFERROR(__xludf.DUMMYFUNCTION("""COMPUTED_VALUE"""),"#SLCBA - Segunda Licenciatura em Ciências Biológicas - Segunda Licenciatura em Ciências Biológicas - Valéria Oliveira de Macedo - Educação Especial, Inclusão Escolar e Adaptações Curriculares - Nota Máxima: 8")</f>
        <v>#SLCBA - Segunda Licenciatura em Ciências Biológicas - Segunda Licenciatura em Ciências Biológicas - Valéria Oliveira de Macedo - Educação Especial, Inclusão Escolar e Adaptações Curriculares - Nota Máxima: 8</v>
      </c>
    </row>
    <row r="552">
      <c r="A552" s="390" t="str">
        <f>IFERROR(__xludf.DUMMYFUNCTION("""COMPUTED_VALUE"""),"#SLCBA - Segunda Licenciatura em Ciências Biológicas - Segunda Licenciatura em Ciências Biológicas - Valéria Oliveira de Macedo - Educação, História, Cultura e Práticas Indígenas/a - Nota Máxima: 8")</f>
        <v>#SLCBA - Segunda Licenciatura em Ciências Biológicas - Segunda Licenciatura em Ciências Biológicas - Valéria Oliveira de Macedo - Educação, História, Cultura e Práticas Indígenas/a - Nota Máxima: 8</v>
      </c>
    </row>
    <row r="553">
      <c r="A553" s="390" t="str">
        <f>IFERROR(__xludf.DUMMYFUNCTION("""COMPUTED_VALUE"""),"#SLCBA - Segunda Licenciatura em Ciências Biológicas - Segunda Licenciatura em Ciências Biológicas - Valéria Oliveira de Macedo - Ensino de Ciência e Biologia na Educação Básica - Nota Máxima: 10")</f>
        <v>#SLCBA - Segunda Licenciatura em Ciências Biológicas - Segunda Licenciatura em Ciências Biológicas - Valéria Oliveira de Macedo - Ensino de Ciência e Biologia na Educação Básica - Nota Máxima: 10</v>
      </c>
    </row>
    <row r="554">
      <c r="A554" s="390" t="str">
        <f>IFERROR(__xludf.DUMMYFUNCTION("""COMPUTED_VALUE"""),"#SLCBA - Segunda Licenciatura em Ciências Biológicas - Segunda Licenciatura em Ciências Biológicas - Valéria Oliveira de Macedo - Imunologia e Microbiologia - Nota Máxima: 9")</f>
        <v>#SLCBA - Segunda Licenciatura em Ciências Biológicas - Segunda Licenciatura em Ciências Biológicas - Valéria Oliveira de Macedo - Imunologia e Microbiologia - Nota Máxima: 9</v>
      </c>
    </row>
    <row r="555">
      <c r="A555" s="390" t="str">
        <f>IFERROR(__xludf.DUMMYFUNCTION("""COMPUTED_VALUE"""),"#SLCBA - Segunda Licenciatura em Ciências Biológicas - Segunda Licenciatura em Ciências Biológicas - Valéria Oliveira de Macedo - Introdução à Educação Ambiental - Nota Máxima: 9")</f>
        <v>#SLCBA - Segunda Licenciatura em Ciências Biológicas - Segunda Licenciatura em Ciências Biológicas - Valéria Oliveira de Macedo - Introdução à Educação Ambiental - Nota Máxima: 9</v>
      </c>
    </row>
    <row r="556">
      <c r="A556" s="390" t="str">
        <f>IFERROR(__xludf.DUMMYFUNCTION("""COMPUTED_VALUE"""),"#SLCBA - Segunda Licenciatura em Ciências Biológicas - Segunda Licenciatura em Ciências Biológicas - Valéria Oliveira de Macedo - Legislação Educacional/a - Nota Máxima: 8")</f>
        <v>#SLCBA - Segunda Licenciatura em Ciências Biológicas - Segunda Licenciatura em Ciências Biológicas - Valéria Oliveira de Macedo - Legislação Educacional/a - Nota Máxima: 8</v>
      </c>
    </row>
    <row r="557">
      <c r="A557" s="390" t="str">
        <f>IFERROR(__xludf.DUMMYFUNCTION("""COMPUTED_VALUE"""),"#SLCBA - Segunda Licenciatura em Ciências Biológicas - Segunda Licenciatura em Ciências Biológicas - Valéria Oliveira de Macedo - Práticas Pedagógicas - 400 Horas - Nota Máxima: 10")</f>
        <v>#SLCBA - Segunda Licenciatura em Ciências Biológicas - Segunda Licenciatura em Ciências Biológicas - Valéria Oliveira de Macedo - Práticas Pedagógicas - 400 Horas - Nota Máxima: 10</v>
      </c>
    </row>
    <row r="558">
      <c r="A558" s="390" t="str">
        <f>IFERROR(__xludf.DUMMYFUNCTION("""COMPUTED_VALUE"""),"#SLCBA - Segunda Licenciatura em Ciências Biológicas - Segunda Licenciatura em Ciências Biológicas - Valéria Oliveira de Macedo - Psicologia da Educação/a - Nota Máxima: 9")</f>
        <v>#SLCBA - Segunda Licenciatura em Ciências Biológicas - Segunda Licenciatura em Ciências Biológicas - Valéria Oliveira de Macedo - Psicologia da Educação/a - Nota Máxima: 9</v>
      </c>
    </row>
    <row r="559">
      <c r="A559" s="390" t="str">
        <f>IFERROR(__xludf.DUMMYFUNCTION("""COMPUTED_VALUE"""),"#SLCBA - Segunda Licenciatura em Ciências Biológicas - Segunda Licenciatura em Ciências Biológicas - Jercenia Correia dos Santos - Análises Clínicas e Microbiologia - Nota Máxima: 9")</f>
        <v>#SLCBA - Segunda Licenciatura em Ciências Biológicas - Segunda Licenciatura em Ciências Biológicas - Jercenia Correia dos Santos - Análises Clínicas e Microbiologia - Nota Máxima: 9</v>
      </c>
    </row>
    <row r="560">
      <c r="A560" s="390" t="str">
        <f>IFERROR(__xludf.DUMMYFUNCTION("""COMPUTED_VALUE"""),"#SLCBA - Segunda Licenciatura em Ciências Biológicas - Segunda Licenciatura em Ciências Biológicas - Jercenia Correia dos Santos - Anatomia e Fisiologia Humana - Nota Máxima: 10")</f>
        <v>#SLCBA - Segunda Licenciatura em Ciências Biológicas - Segunda Licenciatura em Ciências Biológicas - Jercenia Correia dos Santos - Anatomia e Fisiologia Humana - Nota Máxima: 10</v>
      </c>
    </row>
    <row r="561">
      <c r="A561" s="390" t="str">
        <f>IFERROR(__xludf.DUMMYFUNCTION("""COMPUTED_VALUE"""),"#SLCBA - Segunda Licenciatura em Ciências Biológicas - Segunda Licenciatura em Ciências Biológicas - Jercenia Correia dos Santos - Ciências Exatas e da Terra - Nota Máxima: 8")</f>
        <v>#SLCBA - Segunda Licenciatura em Ciências Biológicas - Segunda Licenciatura em Ciências Biológicas - Jercenia Correia dos Santos - Ciências Exatas e da Terra - Nota Máxima: 8</v>
      </c>
    </row>
    <row r="562">
      <c r="A562" s="390" t="str">
        <f>IFERROR(__xludf.DUMMYFUNCTION("""COMPUTED_VALUE"""),"#SLCBA - Segunda Licenciatura em Ciências Biológicas - Segunda Licenciatura em Ciências Biológicas - Jercenia Correia dos Santos - Deficiência Auditiva e Libras/a - Nota Máxima: 8")</f>
        <v>#SLCBA - Segunda Licenciatura em Ciências Biológicas - Segunda Licenciatura em Ciências Biológicas - Jercenia Correia dos Santos - Deficiência Auditiva e Libras/a - Nota Máxima: 8</v>
      </c>
    </row>
    <row r="563">
      <c r="A563" s="390" t="str">
        <f>IFERROR(__xludf.DUMMYFUNCTION("""COMPUTED_VALUE"""),"#SLCBA - Segunda Licenciatura em Ciências Biológicas - Segunda Licenciatura em Ciências Biológicas - Jercenia Correia dos Santos - Educação e as Tic's - Nota Máxima: 10")</f>
        <v>#SLCBA - Segunda Licenciatura em Ciências Biológicas - Segunda Licenciatura em Ciências Biológicas - Jercenia Correia dos Santos - Educação e as Tic's - Nota Máxima: 10</v>
      </c>
    </row>
    <row r="564">
      <c r="A564" s="390" t="str">
        <f>IFERROR(__xludf.DUMMYFUNCTION("""COMPUTED_VALUE"""),"#SLCBA - Segunda Licenciatura em Ciências Biológicas - Segunda Licenciatura em Ciências Biológicas - Jercenia Correia dos Santos - Educação Especial, Inclusão Escolar e Adaptações Curriculares - Nota Máxima: 10")</f>
        <v>#SLCBA - Segunda Licenciatura em Ciências Biológicas - Segunda Licenciatura em Ciências Biológicas - Jercenia Correia dos Santos - Educação Especial, Inclusão Escolar e Adaptações Curriculares - Nota Máxima: 10</v>
      </c>
    </row>
    <row r="565">
      <c r="A565" s="390" t="str">
        <f>IFERROR(__xludf.DUMMYFUNCTION("""COMPUTED_VALUE"""),"#SLCBA - Segunda Licenciatura em Ciências Biológicas - Segunda Licenciatura em Ciências Biológicas - Jercenia Correia dos Santos - Educação, História, Cultura e Práticas Indígenas/a - Nota Máxima: 10")</f>
        <v>#SLCBA - Segunda Licenciatura em Ciências Biológicas - Segunda Licenciatura em Ciências Biológicas - Jercenia Correia dos Santos - Educação, História, Cultura e Práticas Indígenas/a - Nota Máxima: 10</v>
      </c>
    </row>
    <row r="566">
      <c r="A566" s="390" t="str">
        <f>IFERROR(__xludf.DUMMYFUNCTION("""COMPUTED_VALUE"""),"#SLCBA - Segunda Licenciatura em Ciências Biológicas - Segunda Licenciatura em Ciências Biológicas - Jercenia Correia dos Santos - Ensino de Ciência e Biologia na Educação Básica - Nota Máxima: 10")</f>
        <v>#SLCBA - Segunda Licenciatura em Ciências Biológicas - Segunda Licenciatura em Ciências Biológicas - Jercenia Correia dos Santos - Ensino de Ciência e Biologia na Educação Básica - Nota Máxima: 10</v>
      </c>
    </row>
    <row r="567">
      <c r="A567" s="390" t="str">
        <f>IFERROR(__xludf.DUMMYFUNCTION("""COMPUTED_VALUE"""),"#SLCBA - Segunda Licenciatura em Ciências Biológicas - Segunda Licenciatura em Ciências Biológicas - Jercenia Correia dos Santos - Imunologia e Microbiologia - Nota Máxima: 9")</f>
        <v>#SLCBA - Segunda Licenciatura em Ciências Biológicas - Segunda Licenciatura em Ciências Biológicas - Jercenia Correia dos Santos - Imunologia e Microbiologia - Nota Máxima: 9</v>
      </c>
    </row>
    <row r="568">
      <c r="A568" s="390" t="str">
        <f>IFERROR(__xludf.DUMMYFUNCTION("""COMPUTED_VALUE"""),"#SLCBA - Segunda Licenciatura em Ciências Biológicas - Segunda Licenciatura em Ciências Biológicas - Jercenia Correia dos Santos - Introdução à Educação Ambiental - Nota Máxima: 10")</f>
        <v>#SLCBA - Segunda Licenciatura em Ciências Biológicas - Segunda Licenciatura em Ciências Biológicas - Jercenia Correia dos Santos - Introdução à Educação Ambiental - Nota Máxima: 10</v>
      </c>
    </row>
    <row r="569">
      <c r="A569" s="390" t="str">
        <f>IFERROR(__xludf.DUMMYFUNCTION("""COMPUTED_VALUE"""),"#SLCBA - Segunda Licenciatura em Ciências Biológicas - Segunda Licenciatura em Ciências Biológicas - Jercenia Correia dos Santos - Legislação Educacional/a - Nota Máxima: 10")</f>
        <v>#SLCBA - Segunda Licenciatura em Ciências Biológicas - Segunda Licenciatura em Ciências Biológicas - Jercenia Correia dos Santos - Legislação Educacional/a - Nota Máxima: 10</v>
      </c>
    </row>
    <row r="570">
      <c r="A570" s="390" t="str">
        <f>IFERROR(__xludf.DUMMYFUNCTION("""COMPUTED_VALUE"""),"#SLCBA - Segunda Licenciatura em Ciências Biológicas - Segunda Licenciatura em Ciências Biológicas - Jercenia Correia dos Santos - Planejamento, Gestão Educacional e Currículo/a - Nota Máxima: 10")</f>
        <v>#SLCBA - Segunda Licenciatura em Ciências Biológicas - Segunda Licenciatura em Ciências Biológicas - Jercenia Correia dos Santos - Planejamento, Gestão Educacional e Currículo/a - Nota Máxima: 10</v>
      </c>
    </row>
    <row r="571">
      <c r="A571" s="390" t="str">
        <f>IFERROR(__xludf.DUMMYFUNCTION("""COMPUTED_VALUE"""),"#SLCBA - Segunda Licenciatura em Ciências Biológicas - Segunda Licenciatura em Ciências Biológicas - Jercenia Correia dos Santos - Práticas Pedagógicas - 400 Horas - Nota Máxima: 4")</f>
        <v>#SLCBA - Segunda Licenciatura em Ciências Biológicas - Segunda Licenciatura em Ciências Biológicas - Jercenia Correia dos Santos - Práticas Pedagógicas - 400 Horas - Nota Máxima: 4</v>
      </c>
    </row>
    <row r="572">
      <c r="A572" s="390" t="str">
        <f>IFERROR(__xludf.DUMMYFUNCTION("""COMPUTED_VALUE"""),"#SLCBA - Segunda Licenciatura em Ciências Biológicas - Segunda Licenciatura em Ciências Biológicas - Jercenia Correia dos Santos - Psicologia da Educação/a - Nota Máxima: 8")</f>
        <v>#SLCBA - Segunda Licenciatura em Ciências Biológicas - Segunda Licenciatura em Ciências Biológicas - Jercenia Correia dos Santos - Psicologia da Educação/a - Nota Máxima: 8</v>
      </c>
    </row>
    <row r="573">
      <c r="A573" s="390" t="str">
        <f>IFERROR(__xludf.DUMMYFUNCTION("""COMPUTED_VALUE"""),"#SLCBA - Segunda Licenciatura em Ciências Biológicas - Segunda Licenciatura em Ciências Biológicas - Rita de Cássia Guimarães Rodrigues Martins - Análises Clínicas e Microbiologia - Nota Máxima: 8")</f>
        <v>#SLCBA - Segunda Licenciatura em Ciências Biológicas - Segunda Licenciatura em Ciências Biológicas - Rita de Cássia Guimarães Rodrigues Martins - Análises Clínicas e Microbiologia - Nota Máxima: 8</v>
      </c>
    </row>
    <row r="574">
      <c r="A574" s="390" t="str">
        <f>IFERROR(__xludf.DUMMYFUNCTION("""COMPUTED_VALUE"""),"#SLCBA - Segunda Licenciatura em Ciências Biológicas - Segunda Licenciatura em Ciências Biológicas - Rita de Cássia Guimarães Rodrigues Martins - Análises Clínicas e Microbiologia - Nota Máxima: 8")</f>
        <v>#SLCBA - Segunda Licenciatura em Ciências Biológicas - Segunda Licenciatura em Ciências Biológicas - Rita de Cássia Guimarães Rodrigues Martins - Análises Clínicas e Microbiologia - Nota Máxima: 8</v>
      </c>
    </row>
    <row r="575">
      <c r="A575" s="390" t="str">
        <f>IFERROR(__xludf.DUMMYFUNCTION("""COMPUTED_VALUE"""),"#SLCBA - Segunda Licenciatura em Ciências Biológicas - Segunda Licenciatura em Ciências Biológicas - Rita de Cássia Guimarães Rodrigues Martins - Anatomia e Fisiologia Humana - Nota Máxima: 9")</f>
        <v>#SLCBA - Segunda Licenciatura em Ciências Biológicas - Segunda Licenciatura em Ciências Biológicas - Rita de Cássia Guimarães Rodrigues Martins - Anatomia e Fisiologia Humana - Nota Máxima: 9</v>
      </c>
    </row>
    <row r="576">
      <c r="A576" s="390" t="str">
        <f>IFERROR(__xludf.DUMMYFUNCTION("""COMPUTED_VALUE"""),"#SLCBA - Segunda Licenciatura em Ciências Biológicas - Segunda Licenciatura em Ciências Biológicas - Rita de Cássia Guimarães Rodrigues Martins - Anatomia e Fisiologia Humana - Nota Máxima: 8")</f>
        <v>#SLCBA - Segunda Licenciatura em Ciências Biológicas - Segunda Licenciatura em Ciências Biológicas - Rita de Cássia Guimarães Rodrigues Martins - Anatomia e Fisiologia Humana - Nota Máxima: 8</v>
      </c>
    </row>
    <row r="577">
      <c r="A577" s="390" t="str">
        <f>IFERROR(__xludf.DUMMYFUNCTION("""COMPUTED_VALUE"""),"#SLCBA - Segunda Licenciatura em Ciências Biológicas - Segunda Licenciatura em Ciências Biológicas - Rita de Cássia Guimarães Rodrigues Martins - Ciências Exatas e da Terra - Nota Máxima: 8")</f>
        <v>#SLCBA - Segunda Licenciatura em Ciências Biológicas - Segunda Licenciatura em Ciências Biológicas - Rita de Cássia Guimarães Rodrigues Martins - Ciências Exatas e da Terra - Nota Máxima: 8</v>
      </c>
    </row>
    <row r="578">
      <c r="A578" s="390" t="str">
        <f>IFERROR(__xludf.DUMMYFUNCTION("""COMPUTED_VALUE"""),"#SLCBA - Segunda Licenciatura em Ciências Biológicas - Segunda Licenciatura em Ciências Biológicas - Rita de Cássia Guimarães Rodrigues Martins - Ciências Exatas e da Terra - Nota Máxima: 9")</f>
        <v>#SLCBA - Segunda Licenciatura em Ciências Biológicas - Segunda Licenciatura em Ciências Biológicas - Rita de Cássia Guimarães Rodrigues Martins - Ciências Exatas e da Terra - Nota Máxima: 9</v>
      </c>
    </row>
    <row r="579">
      <c r="A579" s="390" t="str">
        <f>IFERROR(__xludf.DUMMYFUNCTION("""COMPUTED_VALUE"""),"#SLCBA - Segunda Licenciatura em Ciências Biológicas - Segunda Licenciatura em Ciências Biológicas - Rita de Cássia Guimarães Rodrigues Martins - Deficiência Auditiva e Libras/a - Nota Máxima: 9")</f>
        <v>#SLCBA - Segunda Licenciatura em Ciências Biológicas - Segunda Licenciatura em Ciências Biológicas - Rita de Cássia Guimarães Rodrigues Martins - Deficiência Auditiva e Libras/a - Nota Máxima: 9</v>
      </c>
    </row>
    <row r="580">
      <c r="A580" s="390" t="str">
        <f>IFERROR(__xludf.DUMMYFUNCTION("""COMPUTED_VALUE"""),"#SLCBA - Segunda Licenciatura em Ciências Biológicas - Segunda Licenciatura em Ciências Biológicas - Rita de Cássia Guimarães Rodrigues Martins - Deficiência Auditiva e Libras/a - Nota Máxima: 9")</f>
        <v>#SLCBA - Segunda Licenciatura em Ciências Biológicas - Segunda Licenciatura em Ciências Biológicas - Rita de Cássia Guimarães Rodrigues Martins - Deficiência Auditiva e Libras/a - Nota Máxima: 9</v>
      </c>
    </row>
    <row r="581">
      <c r="A581" s="390" t="str">
        <f>IFERROR(__xludf.DUMMYFUNCTION("""COMPUTED_VALUE"""),"#SLCBA - Segunda Licenciatura em Ciências Biológicas - Segunda Licenciatura em Ciências Biológicas - Rita de Cássia Guimarães Rodrigues Martins - Educação e as Tic's - Nota Máxima: 9")</f>
        <v>#SLCBA - Segunda Licenciatura em Ciências Biológicas - Segunda Licenciatura em Ciências Biológicas - Rita de Cássia Guimarães Rodrigues Martins - Educação e as Tic's - Nota Máxima: 9</v>
      </c>
    </row>
    <row r="582">
      <c r="A582" s="390" t="str">
        <f>IFERROR(__xludf.DUMMYFUNCTION("""COMPUTED_VALUE"""),"#SLCBA - Segunda Licenciatura em Ciências Biológicas - Segunda Licenciatura em Ciências Biológicas - Rita de Cássia Guimarães Rodrigues Martins - Educação e as Tic's - Nota Máxima: 8")</f>
        <v>#SLCBA - Segunda Licenciatura em Ciências Biológicas - Segunda Licenciatura em Ciências Biológicas - Rita de Cássia Guimarães Rodrigues Martins - Educação e as Tic's - Nota Máxima: 8</v>
      </c>
    </row>
    <row r="583">
      <c r="A583" s="390" t="str">
        <f>IFERROR(__xludf.DUMMYFUNCTION("""COMPUTED_VALUE"""),"#SLCBA - Segunda Licenciatura em Ciências Biológicas - Segunda Licenciatura em Ciências Biológicas - Rita de Cássia Guimarães Rodrigues Martins - Educação Especial, Inclusão Escolar e Adaptações Curriculares - Nota Máxima: 9")</f>
        <v>#SLCBA - Segunda Licenciatura em Ciências Biológicas - Segunda Licenciatura em Ciências Biológicas - Rita de Cássia Guimarães Rodrigues Martins - Educação Especial, Inclusão Escolar e Adaptações Curriculares - Nota Máxima: 9</v>
      </c>
    </row>
    <row r="584">
      <c r="A584" s="390" t="str">
        <f>IFERROR(__xludf.DUMMYFUNCTION("""COMPUTED_VALUE"""),"#SLCBA - Segunda Licenciatura em Ciências Biológicas - Segunda Licenciatura em Ciências Biológicas - Rita de Cássia Guimarães Rodrigues Martins - Educação Especial, Inclusão Escolar e Adaptações Curriculares - Nota Máxima: 9")</f>
        <v>#SLCBA - Segunda Licenciatura em Ciências Biológicas - Segunda Licenciatura em Ciências Biológicas - Rita de Cássia Guimarães Rodrigues Martins - Educação Especial, Inclusão Escolar e Adaptações Curriculares - Nota Máxima: 9</v>
      </c>
    </row>
    <row r="585">
      <c r="A585" s="390" t="str">
        <f>IFERROR(__xludf.DUMMYFUNCTION("""COMPUTED_VALUE"""),"#SLCBA - Segunda Licenciatura em Ciências Biológicas - Segunda Licenciatura em Ciências Biológicas - Rita de Cássia Guimarães Rodrigues Martins - Educação, História, Cultura e Práticas Indígenas/a - Nota Máxima: 7")</f>
        <v>#SLCBA - Segunda Licenciatura em Ciências Biológicas - Segunda Licenciatura em Ciências Biológicas - Rita de Cássia Guimarães Rodrigues Martins - Educação, História, Cultura e Práticas Indígenas/a - Nota Máxima: 7</v>
      </c>
    </row>
    <row r="586">
      <c r="A586" s="390" t="str">
        <f>IFERROR(__xludf.DUMMYFUNCTION("""COMPUTED_VALUE"""),"#SLCBA - Segunda Licenciatura em Ciências Biológicas - Segunda Licenciatura em Ciências Biológicas - Rita de Cássia Guimarães Rodrigues Martins - Educação, História, Cultura e Práticas Indígenas/a - Nota Máxima: 7")</f>
        <v>#SLCBA - Segunda Licenciatura em Ciências Biológicas - Segunda Licenciatura em Ciências Biológicas - Rita de Cássia Guimarães Rodrigues Martins - Educação, História, Cultura e Práticas Indígenas/a - Nota Máxima: 7</v>
      </c>
    </row>
    <row r="587">
      <c r="A587" s="390" t="str">
        <f>IFERROR(__xludf.DUMMYFUNCTION("""COMPUTED_VALUE"""),"#SLCBA - Segunda Licenciatura em Ciências Biológicas - Segunda Licenciatura em Ciências Biológicas - Rita de Cássia Guimarães Rodrigues Martins - Ensino de Ciência e Biologia na Educação Básica - Nota Máxima: 10")</f>
        <v>#SLCBA - Segunda Licenciatura em Ciências Biológicas - Segunda Licenciatura em Ciências Biológicas - Rita de Cássia Guimarães Rodrigues Martins - Ensino de Ciência e Biologia na Educação Básica - Nota Máxima: 10</v>
      </c>
    </row>
    <row r="588">
      <c r="A588" s="390" t="str">
        <f>IFERROR(__xludf.DUMMYFUNCTION("""COMPUTED_VALUE"""),"#SLCBA - Segunda Licenciatura em Ciências Biológicas - Segunda Licenciatura em Ciências Biológicas - Rita de Cássia Guimarães Rodrigues Martins - Ensino de Ciência e Biologia na Educação Básica - Nota Máxima: 5")</f>
        <v>#SLCBA - Segunda Licenciatura em Ciências Biológicas - Segunda Licenciatura em Ciências Biológicas - Rita de Cássia Guimarães Rodrigues Martins - Ensino de Ciência e Biologia na Educação Básica - Nota Máxima: 5</v>
      </c>
    </row>
    <row r="589">
      <c r="A589" s="390" t="str">
        <f>IFERROR(__xludf.DUMMYFUNCTION("""COMPUTED_VALUE"""),"#SLCBA - Segunda Licenciatura em Ciências Biológicas - Segunda Licenciatura em Ciências Biológicas - Rita de Cássia Guimarães Rodrigues Martins - Imunologia e Microbiologia - Nota Máxima: 10")</f>
        <v>#SLCBA - Segunda Licenciatura em Ciências Biológicas - Segunda Licenciatura em Ciências Biológicas - Rita de Cássia Guimarães Rodrigues Martins - Imunologia e Microbiologia - Nota Máxima: 10</v>
      </c>
    </row>
    <row r="590">
      <c r="A590" s="390" t="str">
        <f>IFERROR(__xludf.DUMMYFUNCTION("""COMPUTED_VALUE"""),"#SLCBA - Segunda Licenciatura em Ciências Biológicas - Segunda Licenciatura em Ciências Biológicas - Rita de Cássia Guimarães Rodrigues Martins - Imunologia e Microbiologia - Nota Máxima: 4")</f>
        <v>#SLCBA - Segunda Licenciatura em Ciências Biológicas - Segunda Licenciatura em Ciências Biológicas - Rita de Cássia Guimarães Rodrigues Martins - Imunologia e Microbiologia - Nota Máxima: 4</v>
      </c>
    </row>
    <row r="591">
      <c r="A591" s="390" t="str">
        <f>IFERROR(__xludf.DUMMYFUNCTION("""COMPUTED_VALUE"""),"#SLCBA - Segunda Licenciatura em Ciências Biológicas - Segunda Licenciatura em Ciências Biológicas - Rita de Cássia Guimarães Rodrigues Martins - Introdução à Educação Ambiental - Nota Máxima: 9")</f>
        <v>#SLCBA - Segunda Licenciatura em Ciências Biológicas - Segunda Licenciatura em Ciências Biológicas - Rita de Cássia Guimarães Rodrigues Martins - Introdução à Educação Ambiental - Nota Máxima: 9</v>
      </c>
    </row>
    <row r="592">
      <c r="A592" s="390" t="str">
        <f>IFERROR(__xludf.DUMMYFUNCTION("""COMPUTED_VALUE"""),"#SLCBA - Segunda Licenciatura em Ciências Biológicas - Segunda Licenciatura em Ciências Biológicas - Rita de Cássia Guimarães Rodrigues Martins - Introdução à Educação Ambiental - Nota Máxima: 9")</f>
        <v>#SLCBA - Segunda Licenciatura em Ciências Biológicas - Segunda Licenciatura em Ciências Biológicas - Rita de Cássia Guimarães Rodrigues Martins - Introdução à Educação Ambiental - Nota Máxima: 9</v>
      </c>
    </row>
    <row r="593">
      <c r="A593" s="390" t="str">
        <f>IFERROR(__xludf.DUMMYFUNCTION("""COMPUTED_VALUE"""),"#SLCBA - Segunda Licenciatura em Ciências Biológicas - Segunda Licenciatura em Ciências Biológicas - Rita de Cássia Guimarães Rodrigues Martins - Legislação Educacional/a - Nota Máxima: 7")</f>
        <v>#SLCBA - Segunda Licenciatura em Ciências Biológicas - Segunda Licenciatura em Ciências Biológicas - Rita de Cássia Guimarães Rodrigues Martins - Legislação Educacional/a - Nota Máxima: 7</v>
      </c>
    </row>
    <row r="594">
      <c r="A594" s="390" t="str">
        <f>IFERROR(__xludf.DUMMYFUNCTION("""COMPUTED_VALUE"""),"#SLCBA - Segunda Licenciatura em Ciências Biológicas - Segunda Licenciatura em Ciências Biológicas - Rita de Cássia Guimarães Rodrigues Martins - Legislação Educacional/a - Nota Máxima: 8")</f>
        <v>#SLCBA - Segunda Licenciatura em Ciências Biológicas - Segunda Licenciatura em Ciências Biológicas - Rita de Cássia Guimarães Rodrigues Martins - Legislação Educacional/a - Nota Máxima: 8</v>
      </c>
    </row>
    <row r="595">
      <c r="A595" s="390" t="str">
        <f>IFERROR(__xludf.DUMMYFUNCTION("""COMPUTED_VALUE"""),"#SLCBA - Segunda Licenciatura em Ciências Biológicas - Segunda Licenciatura em Ciências Biológicas - Rita de Cássia Guimarães Rodrigues Martins - Planejamento, Gestão Educacional e Currículo/a - Nota Máxima: 9")</f>
        <v>#SLCBA - Segunda Licenciatura em Ciências Biológicas - Segunda Licenciatura em Ciências Biológicas - Rita de Cássia Guimarães Rodrigues Martins - Planejamento, Gestão Educacional e Currículo/a - Nota Máxima: 9</v>
      </c>
    </row>
    <row r="596">
      <c r="A596" s="390" t="str">
        <f>IFERROR(__xludf.DUMMYFUNCTION("""COMPUTED_VALUE"""),"#SLCBA - Segunda Licenciatura em Ciências Biológicas - Segunda Licenciatura em Ciências Biológicas - Rita de Cássia Guimarães Rodrigues Martins - Planejamento, Gestão Educacional e Currículo/a - Nota Máxima: 10")</f>
        <v>#SLCBA - Segunda Licenciatura em Ciências Biológicas - Segunda Licenciatura em Ciências Biológicas - Rita de Cássia Guimarães Rodrigues Martins - Planejamento, Gestão Educacional e Currículo/a - Nota Máxima: 10</v>
      </c>
    </row>
    <row r="597">
      <c r="A597" s="390" t="str">
        <f>IFERROR(__xludf.DUMMYFUNCTION("""COMPUTED_VALUE"""),"#SLCBA - Segunda Licenciatura em Ciências Biológicas - Segunda Licenciatura em Ciências Biológicas - Rita de Cássia Guimarães Rodrigues Martins - Práticas Pedagógicas - 400 Horas - Nota Máxima: 10")</f>
        <v>#SLCBA - Segunda Licenciatura em Ciências Biológicas - Segunda Licenciatura em Ciências Biológicas - Rita de Cássia Guimarães Rodrigues Martins - Práticas Pedagógicas - 400 Horas - Nota Máxima: 10</v>
      </c>
    </row>
    <row r="598">
      <c r="A598" s="390" t="str">
        <f>IFERROR(__xludf.DUMMYFUNCTION("""COMPUTED_VALUE"""),"#SLCBA - Segunda Licenciatura em Ciências Biológicas - Segunda Licenciatura em Ciências Biológicas - Rita de Cássia Guimarães Rodrigues Martins - Práticas Pedagógicas - 400 Horas - Nota Máxima: 4")</f>
        <v>#SLCBA - Segunda Licenciatura em Ciências Biológicas - Segunda Licenciatura em Ciências Biológicas - Rita de Cássia Guimarães Rodrigues Martins - Práticas Pedagógicas - 400 Horas - Nota Máxima: 4</v>
      </c>
    </row>
    <row r="599">
      <c r="A599" s="390" t="str">
        <f>IFERROR(__xludf.DUMMYFUNCTION("""COMPUTED_VALUE"""),"#SLCBA - Segunda Licenciatura em Ciências Biológicas - Segunda Licenciatura em Ciências Biológicas - Rita de Cássia Guimarães Rodrigues Martins - Psicologia da Educação/a - Nota Máxima: 10")</f>
        <v>#SLCBA - Segunda Licenciatura em Ciências Biológicas - Segunda Licenciatura em Ciências Biológicas - Rita de Cássia Guimarães Rodrigues Martins - Psicologia da Educação/a - Nota Máxima: 10</v>
      </c>
    </row>
    <row r="600">
      <c r="A600" s="390" t="str">
        <f>IFERROR(__xludf.DUMMYFUNCTION("""COMPUTED_VALUE"""),"#SLCBA - Segunda Licenciatura em Ciências Biológicas - Segunda Licenciatura em Ciências Biológicas - Rita de Cássia Guimarães Rodrigues Martins - Psicologia da Educação/a - Nota Máxima: 6")</f>
        <v>#SLCBA - Segunda Licenciatura em Ciências Biológicas - Segunda Licenciatura em Ciências Biológicas - Rita de Cássia Guimarães Rodrigues Martins - Psicologia da Educação/a - Nota Máxima: 6</v>
      </c>
    </row>
    <row r="601">
      <c r="A601" s="390" t="str">
        <f>IFERROR(__xludf.DUMMYFUNCTION("""COMPUTED_VALUE"""),"#SLCBA - Segunda Licenciatura em Ciências Biológicas - Segunda Licenciatura em Ciências Biológicas - Flávia Cristina Rodrigues de Carvalho - Análises Clínicas e Microbiologia - Nota Máxima: 9")</f>
        <v>#SLCBA - Segunda Licenciatura em Ciências Biológicas - Segunda Licenciatura em Ciências Biológicas - Flávia Cristina Rodrigues de Carvalho - Análises Clínicas e Microbiologia - Nota Máxima: 9</v>
      </c>
    </row>
    <row r="602">
      <c r="A602" s="390" t="str">
        <f>IFERROR(__xludf.DUMMYFUNCTION("""COMPUTED_VALUE"""),"#SLCBA - Segunda Licenciatura em Ciências Biológicas - Segunda Licenciatura em Ciências Biológicas - Flávia Cristina Rodrigues de Carvalho - Análises Clínicas e Microbiologia - Nota Máxima: 9")</f>
        <v>#SLCBA - Segunda Licenciatura em Ciências Biológicas - Segunda Licenciatura em Ciências Biológicas - Flávia Cristina Rodrigues de Carvalho - Análises Clínicas e Microbiologia - Nota Máxima: 9</v>
      </c>
    </row>
    <row r="603">
      <c r="A603" s="390" t="str">
        <f>IFERROR(__xludf.DUMMYFUNCTION("""COMPUTED_VALUE"""),"#SLCBA - Segunda Licenciatura em Ciências Biológicas - Segunda Licenciatura em Ciências Biológicas - Flávia Cristina Rodrigues de Carvalho - Anatomia e Fisiologia Humana - Nota Máxima: 10")</f>
        <v>#SLCBA - Segunda Licenciatura em Ciências Biológicas - Segunda Licenciatura em Ciências Biológicas - Flávia Cristina Rodrigues de Carvalho - Anatomia e Fisiologia Humana - Nota Máxima: 10</v>
      </c>
    </row>
    <row r="604">
      <c r="A604" s="390" t="str">
        <f>IFERROR(__xludf.DUMMYFUNCTION("""COMPUTED_VALUE"""),"#SLCBA - Segunda Licenciatura em Ciências Biológicas - Segunda Licenciatura em Ciências Biológicas - Flávia Cristina Rodrigues de Carvalho - Anatomia e Fisiologia Humana - Nota Máxima: 10")</f>
        <v>#SLCBA - Segunda Licenciatura em Ciências Biológicas - Segunda Licenciatura em Ciências Biológicas - Flávia Cristina Rodrigues de Carvalho - Anatomia e Fisiologia Humana - Nota Máxima: 10</v>
      </c>
    </row>
    <row r="605">
      <c r="A605" s="390" t="str">
        <f>IFERROR(__xludf.DUMMYFUNCTION("""COMPUTED_VALUE"""),"#SLCBA - Segunda Licenciatura em Ciências Biológicas - Segunda Licenciatura em Ciências Biológicas - MARIA DAS DORES SOUSA MELO - Análises Clínicas e Microbiologia - Nota Máxima: 10")</f>
        <v>#SLCBA - Segunda Licenciatura em Ciências Biológicas - Segunda Licenciatura em Ciências Biológicas - MARIA DAS DORES SOUSA MELO - Análises Clínicas e Microbiologia - Nota Máxima: 10</v>
      </c>
    </row>
    <row r="606">
      <c r="A606" s="390" t="str">
        <f>IFERROR(__xludf.DUMMYFUNCTION("""COMPUTED_VALUE"""),"#SLCBA - Segunda Licenciatura em Ciências Biológicas - Segunda Licenciatura em Ciências Biológicas - MARIA DAS DORES SOUSA MELO - Análises Clínicas e Microbiologia - Nota Máxima: 10")</f>
        <v>#SLCBA - Segunda Licenciatura em Ciências Biológicas - Segunda Licenciatura em Ciências Biológicas - MARIA DAS DORES SOUSA MELO - Análises Clínicas e Microbiologia - Nota Máxima: 10</v>
      </c>
    </row>
    <row r="607">
      <c r="A607" s="390" t="str">
        <f>IFERROR(__xludf.DUMMYFUNCTION("""COMPUTED_VALUE"""),"#SLCBA - Segunda Licenciatura em Ciências Biológicas - Segunda Licenciatura em Ciências Biológicas - MARIA DAS DORES SOUSA MELO - Anatomia e Fisiologia Humana - Nota Máxima: 10")</f>
        <v>#SLCBA - Segunda Licenciatura em Ciências Biológicas - Segunda Licenciatura em Ciências Biológicas - MARIA DAS DORES SOUSA MELO - Anatomia e Fisiologia Humana - Nota Máxima: 10</v>
      </c>
    </row>
    <row r="608">
      <c r="A608" s="390" t="str">
        <f>IFERROR(__xludf.DUMMYFUNCTION("""COMPUTED_VALUE"""),"#SLCBA - Segunda Licenciatura em Ciências Biológicas - Segunda Licenciatura em Ciências Biológicas - MARIA DAS DORES SOUSA MELO - Anatomia e Fisiologia Humana - Nota Máxima: 10")</f>
        <v>#SLCBA - Segunda Licenciatura em Ciências Biológicas - Segunda Licenciatura em Ciências Biológicas - MARIA DAS DORES SOUSA MELO - Anatomia e Fisiologia Humana - Nota Máxima: 10</v>
      </c>
    </row>
    <row r="609">
      <c r="A609" s="390" t="str">
        <f>IFERROR(__xludf.DUMMYFUNCTION("""COMPUTED_VALUE"""),"#SLCBA - Segunda Licenciatura em Ciências Biológicas - Segunda Licenciatura em Ciências Biológicas - MARIA DAS DORES SOUSA MELO - Ciências Exatas e da Terra - Nota Máxima: 10")</f>
        <v>#SLCBA - Segunda Licenciatura em Ciências Biológicas - Segunda Licenciatura em Ciências Biológicas - MARIA DAS DORES SOUSA MELO - Ciências Exatas e da Terra - Nota Máxima: 10</v>
      </c>
    </row>
    <row r="610">
      <c r="A610" s="390" t="str">
        <f>IFERROR(__xludf.DUMMYFUNCTION("""COMPUTED_VALUE"""),"#SLCBA - Segunda Licenciatura em Ciências Biológicas - Segunda Licenciatura em Ciências Biológicas - MARIA DAS DORES SOUSA MELO - Ciências Exatas e da Terra - Nota Máxima: 7")</f>
        <v>#SLCBA - Segunda Licenciatura em Ciências Biológicas - Segunda Licenciatura em Ciências Biológicas - MARIA DAS DORES SOUSA MELO - Ciências Exatas e da Terra - Nota Máxima: 7</v>
      </c>
    </row>
    <row r="611">
      <c r="A611" s="390" t="str">
        <f>IFERROR(__xludf.DUMMYFUNCTION("""COMPUTED_VALUE"""),"#SLCBA - Segunda Licenciatura em Ciências Biológicas - Segunda Licenciatura em Ciências Biológicas - MARIA DAS DORES SOUSA MELO - Deficiência Auditiva e Libras/a - Nota Máxima: 10")</f>
        <v>#SLCBA - Segunda Licenciatura em Ciências Biológicas - Segunda Licenciatura em Ciências Biológicas - MARIA DAS DORES SOUSA MELO - Deficiência Auditiva e Libras/a - Nota Máxima: 10</v>
      </c>
    </row>
    <row r="612">
      <c r="A612" s="390" t="str">
        <f>IFERROR(__xludf.DUMMYFUNCTION("""COMPUTED_VALUE"""),"#SLCBA - Segunda Licenciatura em Ciências Biológicas - Segunda Licenciatura em Ciências Biológicas - MARIA DAS DORES SOUSA MELO - Deficiência Auditiva e Libras/a - Nota Máxima: 10")</f>
        <v>#SLCBA - Segunda Licenciatura em Ciências Biológicas - Segunda Licenciatura em Ciências Biológicas - MARIA DAS DORES SOUSA MELO - Deficiência Auditiva e Libras/a - Nota Máxima: 10</v>
      </c>
    </row>
    <row r="613">
      <c r="A613" s="390" t="str">
        <f>IFERROR(__xludf.DUMMYFUNCTION("""COMPUTED_VALUE"""),"#SLCBA - Segunda Licenciatura em Ciências Biológicas - Segunda Licenciatura em Ciências Biológicas - MARIA DAS DORES SOUSA MELO - Educação e as Tic's - Nota Máxima: 10")</f>
        <v>#SLCBA - Segunda Licenciatura em Ciências Biológicas - Segunda Licenciatura em Ciências Biológicas - MARIA DAS DORES SOUSA MELO - Educação e as Tic's - Nota Máxima: 10</v>
      </c>
    </row>
    <row r="614">
      <c r="A614" s="390" t="str">
        <f>IFERROR(__xludf.DUMMYFUNCTION("""COMPUTED_VALUE"""),"#SLCBA - Segunda Licenciatura em Ciências Biológicas - Segunda Licenciatura em Ciências Biológicas - MARIA DAS DORES SOUSA MELO - Educação e as Tic's - Nota Máxima: 10")</f>
        <v>#SLCBA - Segunda Licenciatura em Ciências Biológicas - Segunda Licenciatura em Ciências Biológicas - MARIA DAS DORES SOUSA MELO - Educação e as Tic's - Nota Máxima: 10</v>
      </c>
    </row>
    <row r="615">
      <c r="A615" s="390" t="str">
        <f>IFERROR(__xludf.DUMMYFUNCTION("""COMPUTED_VALUE"""),"#SLCBA - Segunda Licenciatura em Ciências Biológicas - Segunda Licenciatura em Ciências Biológicas - MARIA DAS DORES SOUSA MELO - Educação Especial, Inclusão Escolar e Adaptações Curriculares - Nota Máxima: 10")</f>
        <v>#SLCBA - Segunda Licenciatura em Ciências Biológicas - Segunda Licenciatura em Ciências Biológicas - MARIA DAS DORES SOUSA MELO - Educação Especial, Inclusão Escolar e Adaptações Curriculares - Nota Máxima: 10</v>
      </c>
    </row>
    <row r="616">
      <c r="A616" s="390" t="str">
        <f>IFERROR(__xludf.DUMMYFUNCTION("""COMPUTED_VALUE"""),"#SLCBA - Segunda Licenciatura em Ciências Biológicas - Segunda Licenciatura em Ciências Biológicas - MARIA DAS DORES SOUSA MELO - Educação Especial, Inclusão Escolar e Adaptações Curriculares - Nota Máxima: 10")</f>
        <v>#SLCBA - Segunda Licenciatura em Ciências Biológicas - Segunda Licenciatura em Ciências Biológicas - MARIA DAS DORES SOUSA MELO - Educação Especial, Inclusão Escolar e Adaptações Curriculares - Nota Máxima: 10</v>
      </c>
    </row>
    <row r="617">
      <c r="A617" s="390" t="str">
        <f>IFERROR(__xludf.DUMMYFUNCTION("""COMPUTED_VALUE"""),"#SLCBA - Segunda Licenciatura em Ciências Biológicas - Segunda Licenciatura em Ciências Biológicas - MARIA DAS DORES SOUSA MELO - Educação, História, Cultura e Práticas Indígenas/a - Nota Máxima: 10")</f>
        <v>#SLCBA - Segunda Licenciatura em Ciências Biológicas - Segunda Licenciatura em Ciências Biológicas - MARIA DAS DORES SOUSA MELO - Educação, História, Cultura e Práticas Indígenas/a - Nota Máxima: 10</v>
      </c>
    </row>
    <row r="618">
      <c r="A618" s="390" t="str">
        <f>IFERROR(__xludf.DUMMYFUNCTION("""COMPUTED_VALUE"""),"#SLCBA - Segunda Licenciatura em Ciências Biológicas - Segunda Licenciatura em Ciências Biológicas - MARIA DAS DORES SOUSA MELO - Educação, História, Cultura e Práticas Indígenas/a - Nota Máxima: 10")</f>
        <v>#SLCBA - Segunda Licenciatura em Ciências Biológicas - Segunda Licenciatura em Ciências Biológicas - MARIA DAS DORES SOUSA MELO - Educação, História, Cultura e Práticas Indígenas/a - Nota Máxima: 10</v>
      </c>
    </row>
    <row r="619">
      <c r="A619" s="390" t="str">
        <f>IFERROR(__xludf.DUMMYFUNCTION("""COMPUTED_VALUE"""),"#SLCBA - Segunda Licenciatura em Ciências Biológicas - Segunda Licenciatura em Ciências Biológicas - MARIA DAS DORES SOUSA MELO - Ensino de Ciência e Biologia na Educação Básica - Nota Máxima: 10")</f>
        <v>#SLCBA - Segunda Licenciatura em Ciências Biológicas - Segunda Licenciatura em Ciências Biológicas - MARIA DAS DORES SOUSA MELO - Ensino de Ciência e Biologia na Educação Básica - Nota Máxima: 10</v>
      </c>
    </row>
    <row r="620">
      <c r="A620" s="390" t="str">
        <f>IFERROR(__xludf.DUMMYFUNCTION("""COMPUTED_VALUE"""),"#SLCBA - Segunda Licenciatura em Ciências Biológicas - Segunda Licenciatura em Ciências Biológicas - MARIA DAS DORES SOUSA MELO - Ensino de Ciência e Biologia na Educação Básica - Nota Máxima: 10")</f>
        <v>#SLCBA - Segunda Licenciatura em Ciências Biológicas - Segunda Licenciatura em Ciências Biológicas - MARIA DAS DORES SOUSA MELO - Ensino de Ciência e Biologia na Educação Básica - Nota Máxima: 10</v>
      </c>
    </row>
    <row r="621">
      <c r="A621" s="390" t="str">
        <f>IFERROR(__xludf.DUMMYFUNCTION("""COMPUTED_VALUE"""),"#SLCBA - Segunda Licenciatura em Ciências Biológicas - Segunda Licenciatura em Ciências Biológicas - MARIA DAS DORES SOUSA MELO - Imunologia e Microbiologia - Nota Máxima: 10")</f>
        <v>#SLCBA - Segunda Licenciatura em Ciências Biológicas - Segunda Licenciatura em Ciências Biológicas - MARIA DAS DORES SOUSA MELO - Imunologia e Microbiologia - Nota Máxima: 10</v>
      </c>
    </row>
    <row r="622">
      <c r="A622" s="390" t="str">
        <f>IFERROR(__xludf.DUMMYFUNCTION("""COMPUTED_VALUE"""),"#SLCBA - Segunda Licenciatura em Ciências Biológicas - Segunda Licenciatura em Ciências Biológicas - MARIA DAS DORES SOUSA MELO - Imunologia e Microbiologia - Nota Máxima: 10")</f>
        <v>#SLCBA - Segunda Licenciatura em Ciências Biológicas - Segunda Licenciatura em Ciências Biológicas - MARIA DAS DORES SOUSA MELO - Imunologia e Microbiologia - Nota Máxima: 10</v>
      </c>
    </row>
    <row r="623">
      <c r="A623" s="390" t="str">
        <f>IFERROR(__xludf.DUMMYFUNCTION("""COMPUTED_VALUE"""),"#SLCBA - Segunda Licenciatura em Ciências Biológicas - Segunda Licenciatura em Ciências Biológicas - MARIA DAS DORES SOUSA MELO - Introdução à Educação Ambiental - Nota Máxima: 10")</f>
        <v>#SLCBA - Segunda Licenciatura em Ciências Biológicas - Segunda Licenciatura em Ciências Biológicas - MARIA DAS DORES SOUSA MELO - Introdução à Educação Ambiental - Nota Máxima: 10</v>
      </c>
    </row>
    <row r="624">
      <c r="A624" s="390" t="str">
        <f>IFERROR(__xludf.DUMMYFUNCTION("""COMPUTED_VALUE"""),"#SLCBA - Segunda Licenciatura em Ciências Biológicas - Segunda Licenciatura em Ciências Biológicas - MARIA DAS DORES SOUSA MELO - Introdução à Educação Ambiental - Nota Máxima: 10")</f>
        <v>#SLCBA - Segunda Licenciatura em Ciências Biológicas - Segunda Licenciatura em Ciências Biológicas - MARIA DAS DORES SOUSA MELO - Introdução à Educação Ambiental - Nota Máxima: 10</v>
      </c>
    </row>
    <row r="625">
      <c r="A625" s="390" t="str">
        <f>IFERROR(__xludf.DUMMYFUNCTION("""COMPUTED_VALUE"""),"#SLCBA - Segunda Licenciatura em Ciências Biológicas - Segunda Licenciatura em Ciências Biológicas - MARIA DAS DORES SOUSA MELO - Legislação Educacional/a - Nota Máxima: 10")</f>
        <v>#SLCBA - Segunda Licenciatura em Ciências Biológicas - Segunda Licenciatura em Ciências Biológicas - MARIA DAS DORES SOUSA MELO - Legislação Educacional/a - Nota Máxima: 10</v>
      </c>
    </row>
    <row r="626">
      <c r="A626" s="390" t="str">
        <f>IFERROR(__xludf.DUMMYFUNCTION("""COMPUTED_VALUE"""),"#SLCBA - Segunda Licenciatura em Ciências Biológicas - Segunda Licenciatura em Ciências Biológicas - MARIA DAS DORES SOUSA MELO - Legislação Educacional/a - Nota Máxima: 10")</f>
        <v>#SLCBA - Segunda Licenciatura em Ciências Biológicas - Segunda Licenciatura em Ciências Biológicas - MARIA DAS DORES SOUSA MELO - Legislação Educacional/a - Nota Máxima: 10</v>
      </c>
    </row>
    <row r="627">
      <c r="A627" s="390" t="str">
        <f>IFERROR(__xludf.DUMMYFUNCTION("""COMPUTED_VALUE"""),"#SLCBA - Segunda Licenciatura em Ciências Biológicas - Segunda Licenciatura em Ciências Biológicas - MARIA DAS DORES SOUSA MELO - Planejamento, Gestão Educacional e Currículo/a - Nota Máxima: 10")</f>
        <v>#SLCBA - Segunda Licenciatura em Ciências Biológicas - Segunda Licenciatura em Ciências Biológicas - MARIA DAS DORES SOUSA MELO - Planejamento, Gestão Educacional e Currículo/a - Nota Máxima: 10</v>
      </c>
    </row>
    <row r="628">
      <c r="A628" s="390" t="str">
        <f>IFERROR(__xludf.DUMMYFUNCTION("""COMPUTED_VALUE"""),"#SLCBA - Segunda Licenciatura em Ciências Biológicas - Segunda Licenciatura em Ciências Biológicas - MARIA DAS DORES SOUSA MELO - Planejamento, Gestão Educacional e Currículo/a - Nota Máxima: 10")</f>
        <v>#SLCBA - Segunda Licenciatura em Ciências Biológicas - Segunda Licenciatura em Ciências Biológicas - MARIA DAS DORES SOUSA MELO - Planejamento, Gestão Educacional e Currículo/a - Nota Máxima: 10</v>
      </c>
    </row>
    <row r="629">
      <c r="A629" s="390" t="str">
        <f>IFERROR(__xludf.DUMMYFUNCTION("""COMPUTED_VALUE"""),"#SLCBA - Segunda Licenciatura em Ciências Biológicas - Segunda Licenciatura em Ciências Biológicas - MARIA DAS DORES SOUSA MELO - Práticas Pedagógicas - 400 Horas - Nota Máxima: 4")</f>
        <v>#SLCBA - Segunda Licenciatura em Ciências Biológicas - Segunda Licenciatura em Ciências Biológicas - MARIA DAS DORES SOUSA MELO - Práticas Pedagógicas - 400 Horas - Nota Máxima: 4</v>
      </c>
    </row>
    <row r="630">
      <c r="A630" s="390" t="str">
        <f>IFERROR(__xludf.DUMMYFUNCTION("""COMPUTED_VALUE"""),"#SLCBA - Segunda Licenciatura em Ciências Biológicas - Segunda Licenciatura em Ciências Biológicas - MARIA DAS DORES SOUSA MELO - Práticas Pedagógicas - 400 Horas - Nota Máxima: 4")</f>
        <v>#SLCBA - Segunda Licenciatura em Ciências Biológicas - Segunda Licenciatura em Ciências Biológicas - MARIA DAS DORES SOUSA MELO - Práticas Pedagógicas - 400 Horas - Nota Máxima: 4</v>
      </c>
    </row>
    <row r="631">
      <c r="A631" s="390" t="str">
        <f>IFERROR(__xludf.DUMMYFUNCTION("""COMPUTED_VALUE"""),"#SLCBA - Segunda Licenciatura em Ciências Biológicas - Segunda Licenciatura em Ciências Biológicas - MARIA DAS DORES SOUSA MELO - Psicologia da Educação/a - Nota Máxima: 10")</f>
        <v>#SLCBA - Segunda Licenciatura em Ciências Biológicas - Segunda Licenciatura em Ciências Biológicas - MARIA DAS DORES SOUSA MELO - Psicologia da Educação/a - Nota Máxima: 10</v>
      </c>
    </row>
    <row r="632">
      <c r="A632" s="390" t="str">
        <f>IFERROR(__xludf.DUMMYFUNCTION("""COMPUTED_VALUE"""),"#SLCBA - Segunda Licenciatura em Ciências Biológicas - Segunda Licenciatura em Ciências Biológicas - MARIA DAS DORES SOUSA MELO - Psicologia da Educação/a - Nota Máxima: 10")</f>
        <v>#SLCBA - Segunda Licenciatura em Ciências Biológicas - Segunda Licenciatura em Ciências Biológicas - MARIA DAS DORES SOUSA MELO - Psicologia da Educação/a - Nota Máxima: 10</v>
      </c>
    </row>
    <row r="633">
      <c r="A633" s="390" t="str">
        <f>IFERROR(__xludf.DUMMYFUNCTION("""COMPUTED_VALUE"""),"#SLCBA - Segunda Licenciatura em Ciências Biológicas - Segunda Licenciatura em Ciências Biológicas - SERGIO LUIZ AUGUSTO DIAS - Análises Clínicas e Microbiologia - Nota Máxima: 10")</f>
        <v>#SLCBA - Segunda Licenciatura em Ciências Biológicas - Segunda Licenciatura em Ciências Biológicas - SERGIO LUIZ AUGUSTO DIAS - Análises Clínicas e Microbiologia - Nota Máxima: 10</v>
      </c>
    </row>
    <row r="634">
      <c r="A634" s="390" t="str">
        <f>IFERROR(__xludf.DUMMYFUNCTION("""COMPUTED_VALUE"""),"#SLCBA - Segunda Licenciatura em Ciências Biológicas - Segunda Licenciatura em Ciências Biológicas - SERGIO LUIZ AUGUSTO DIAS - Análises Clínicas e Microbiologia - Nota Máxima: 8")</f>
        <v>#SLCBA - Segunda Licenciatura em Ciências Biológicas - Segunda Licenciatura em Ciências Biológicas - SERGIO LUIZ AUGUSTO DIAS - Análises Clínicas e Microbiologia - Nota Máxima: 8</v>
      </c>
    </row>
    <row r="635">
      <c r="A635" s="390" t="str">
        <f>IFERROR(__xludf.DUMMYFUNCTION("""COMPUTED_VALUE"""),"#SLCBA - Segunda Licenciatura em Ciências Biológicas - Segunda Licenciatura em Ciências Biológicas - SERGIO LUIZ AUGUSTO DIAS - Anatomia e Fisiologia Humana - Nota Máxima: 10")</f>
        <v>#SLCBA - Segunda Licenciatura em Ciências Biológicas - Segunda Licenciatura em Ciências Biológicas - SERGIO LUIZ AUGUSTO DIAS - Anatomia e Fisiologia Humana - Nota Máxima: 10</v>
      </c>
    </row>
    <row r="636">
      <c r="A636" s="390" t="str">
        <f>IFERROR(__xludf.DUMMYFUNCTION("""COMPUTED_VALUE"""),"#SLCBA - Segunda Licenciatura em Ciências Biológicas - Segunda Licenciatura em Ciências Biológicas - SERGIO LUIZ AUGUSTO DIAS - Anatomia e Fisiologia Humana - Nota Máxima: 9")</f>
        <v>#SLCBA - Segunda Licenciatura em Ciências Biológicas - Segunda Licenciatura em Ciências Biológicas - SERGIO LUIZ AUGUSTO DIAS - Anatomia e Fisiologia Humana - Nota Máxima: 9</v>
      </c>
    </row>
    <row r="637">
      <c r="A637" s="390" t="str">
        <f>IFERROR(__xludf.DUMMYFUNCTION("""COMPUTED_VALUE"""),"#SLCBA - Segunda Licenciatura em Ciências Biológicas - Segunda Licenciatura em Ciências Biológicas - SERGIO LUIZ AUGUSTO DIAS - Ciências Exatas e da Terra - Nota Máxima: 10")</f>
        <v>#SLCBA - Segunda Licenciatura em Ciências Biológicas - Segunda Licenciatura em Ciências Biológicas - SERGIO LUIZ AUGUSTO DIAS - Ciências Exatas e da Terra - Nota Máxima: 10</v>
      </c>
    </row>
    <row r="638">
      <c r="A638" s="390" t="str">
        <f>IFERROR(__xludf.DUMMYFUNCTION("""COMPUTED_VALUE"""),"#SLCBA - Segunda Licenciatura em Ciências Biológicas - Segunda Licenciatura em Ciências Biológicas - SERGIO LUIZ AUGUSTO DIAS - Ciências Exatas e da Terra - Nota Máxima: 9")</f>
        <v>#SLCBA - Segunda Licenciatura em Ciências Biológicas - Segunda Licenciatura em Ciências Biológicas - SERGIO LUIZ AUGUSTO DIAS - Ciências Exatas e da Terra - Nota Máxima: 9</v>
      </c>
    </row>
    <row r="639">
      <c r="A639" s="390" t="str">
        <f>IFERROR(__xludf.DUMMYFUNCTION("""COMPUTED_VALUE"""),"#SLCBA - Segunda Licenciatura em Ciências Biológicas - Segunda Licenciatura em Ciências Biológicas - SERGIO LUIZ AUGUSTO DIAS - Deficiência Auditiva e Libras/a - Nota Máxima: 10")</f>
        <v>#SLCBA - Segunda Licenciatura em Ciências Biológicas - Segunda Licenciatura em Ciências Biológicas - SERGIO LUIZ AUGUSTO DIAS - Deficiência Auditiva e Libras/a - Nota Máxima: 10</v>
      </c>
    </row>
    <row r="640">
      <c r="A640" s="390" t="str">
        <f>IFERROR(__xludf.DUMMYFUNCTION("""COMPUTED_VALUE"""),"#SLCBA - Segunda Licenciatura em Ciências Biológicas - Segunda Licenciatura em Ciências Biológicas - SERGIO LUIZ AUGUSTO DIAS - Deficiência Auditiva e Libras/a - Nota Máxima: 7")</f>
        <v>#SLCBA - Segunda Licenciatura em Ciências Biológicas - Segunda Licenciatura em Ciências Biológicas - SERGIO LUIZ AUGUSTO DIAS - Deficiência Auditiva e Libras/a - Nota Máxima: 7</v>
      </c>
    </row>
    <row r="641">
      <c r="A641" s="390" t="str">
        <f>IFERROR(__xludf.DUMMYFUNCTION("""COMPUTED_VALUE"""),"#SLCBA - Segunda Licenciatura em Ciências Biológicas - Segunda Licenciatura em Ciências Biológicas - SERGIO LUIZ AUGUSTO DIAS - Educação e as Tic's - Nota Máxima: 10")</f>
        <v>#SLCBA - Segunda Licenciatura em Ciências Biológicas - Segunda Licenciatura em Ciências Biológicas - SERGIO LUIZ AUGUSTO DIAS - Educação e as Tic's - Nota Máxima: 10</v>
      </c>
    </row>
    <row r="642">
      <c r="A642" s="390" t="str">
        <f>IFERROR(__xludf.DUMMYFUNCTION("""COMPUTED_VALUE"""),"#SLCBA - Segunda Licenciatura em Ciências Biológicas - Segunda Licenciatura em Ciências Biológicas - SERGIO LUIZ AUGUSTO DIAS - Educação e as Tic's - Nota Máxima: 8")</f>
        <v>#SLCBA - Segunda Licenciatura em Ciências Biológicas - Segunda Licenciatura em Ciências Biológicas - SERGIO LUIZ AUGUSTO DIAS - Educação e as Tic's - Nota Máxima: 8</v>
      </c>
    </row>
    <row r="643">
      <c r="A643" s="390" t="str">
        <f>IFERROR(__xludf.DUMMYFUNCTION("""COMPUTED_VALUE"""),"#SLCBA - Segunda Licenciatura em Ciências Biológicas - Segunda Licenciatura em Ciências Biológicas - SERGIO LUIZ AUGUSTO DIAS - Educação Especial, Inclusão Escolar e Adaptações Curriculares - Nota Máxima: 10")</f>
        <v>#SLCBA - Segunda Licenciatura em Ciências Biológicas - Segunda Licenciatura em Ciências Biológicas - SERGIO LUIZ AUGUSTO DIAS - Educação Especial, Inclusão Escolar e Adaptações Curriculares - Nota Máxima: 10</v>
      </c>
    </row>
    <row r="644">
      <c r="A644" s="390" t="str">
        <f>IFERROR(__xludf.DUMMYFUNCTION("""COMPUTED_VALUE"""),"#SLCBA - Segunda Licenciatura em Ciências Biológicas - Segunda Licenciatura em Ciências Biológicas - SERGIO LUIZ AUGUSTO DIAS - Educação Especial, Inclusão Escolar e Adaptações Curriculares - Nota Máxima: 8")</f>
        <v>#SLCBA - Segunda Licenciatura em Ciências Biológicas - Segunda Licenciatura em Ciências Biológicas - SERGIO LUIZ AUGUSTO DIAS - Educação Especial, Inclusão Escolar e Adaptações Curriculares - Nota Máxima: 8</v>
      </c>
    </row>
    <row r="645">
      <c r="A645" s="390" t="str">
        <f>IFERROR(__xludf.DUMMYFUNCTION("""COMPUTED_VALUE"""),"#SLCBA - Segunda Licenciatura em Ciências Biológicas - Segunda Licenciatura em Ciências Biológicas - SERGIO LUIZ AUGUSTO DIAS - Educação, História, Cultura e Práticas Indígenas/a - Nota Máxima: 10")</f>
        <v>#SLCBA - Segunda Licenciatura em Ciências Biológicas - Segunda Licenciatura em Ciências Biológicas - SERGIO LUIZ AUGUSTO DIAS - Educação, História, Cultura e Práticas Indígenas/a - Nota Máxima: 10</v>
      </c>
    </row>
    <row r="646">
      <c r="A646" s="390" t="str">
        <f>IFERROR(__xludf.DUMMYFUNCTION("""COMPUTED_VALUE"""),"#SLCBA - Segunda Licenciatura em Ciências Biológicas - Segunda Licenciatura em Ciências Biológicas - SERGIO LUIZ AUGUSTO DIAS - Educação, História, Cultura e Práticas Indígenas/a - Nota Máxima: 7")</f>
        <v>#SLCBA - Segunda Licenciatura em Ciências Biológicas - Segunda Licenciatura em Ciências Biológicas - SERGIO LUIZ AUGUSTO DIAS - Educação, História, Cultura e Práticas Indígenas/a - Nota Máxima: 7</v>
      </c>
    </row>
    <row r="647">
      <c r="A647" s="390" t="str">
        <f>IFERROR(__xludf.DUMMYFUNCTION("""COMPUTED_VALUE"""),"#SLCBA - Segunda Licenciatura em Ciências Biológicas - Segunda Licenciatura em Ciências Biológicas - SERGIO LUIZ AUGUSTO DIAS - Ensino de Ciência e Biologia na Educação Básica - Nota Máxima: 10")</f>
        <v>#SLCBA - Segunda Licenciatura em Ciências Biológicas - Segunda Licenciatura em Ciências Biológicas - SERGIO LUIZ AUGUSTO DIAS - Ensino de Ciência e Biologia na Educação Básica - Nota Máxima: 10</v>
      </c>
    </row>
    <row r="648">
      <c r="A648" s="390" t="str">
        <f>IFERROR(__xludf.DUMMYFUNCTION("""COMPUTED_VALUE"""),"#SLCBA - Segunda Licenciatura em Ciências Biológicas - Segunda Licenciatura em Ciências Biológicas - SERGIO LUIZ AUGUSTO DIAS - Ensino de Ciência e Biologia na Educação Básica - Nota Máxima: 7")</f>
        <v>#SLCBA - Segunda Licenciatura em Ciências Biológicas - Segunda Licenciatura em Ciências Biológicas - SERGIO LUIZ AUGUSTO DIAS - Ensino de Ciência e Biologia na Educação Básica - Nota Máxima: 7</v>
      </c>
    </row>
    <row r="649">
      <c r="A649" s="390" t="str">
        <f>IFERROR(__xludf.DUMMYFUNCTION("""COMPUTED_VALUE"""),"#SLCBA - Segunda Licenciatura em Ciências Biológicas - Segunda Licenciatura em Ciências Biológicas - SERGIO LUIZ AUGUSTO DIAS - Imunologia e Microbiologia - Nota Máxima: 10")</f>
        <v>#SLCBA - Segunda Licenciatura em Ciências Biológicas - Segunda Licenciatura em Ciências Biológicas - SERGIO LUIZ AUGUSTO DIAS - Imunologia e Microbiologia - Nota Máxima: 10</v>
      </c>
    </row>
    <row r="650">
      <c r="A650" s="390" t="str">
        <f>IFERROR(__xludf.DUMMYFUNCTION("""COMPUTED_VALUE"""),"#SLCBA - Segunda Licenciatura em Ciências Biológicas - Segunda Licenciatura em Ciências Biológicas - SERGIO LUIZ AUGUSTO DIAS - Imunologia e Microbiologia - Nota Máxima: 5")</f>
        <v>#SLCBA - Segunda Licenciatura em Ciências Biológicas - Segunda Licenciatura em Ciências Biológicas - SERGIO LUIZ AUGUSTO DIAS - Imunologia e Microbiologia - Nota Máxima: 5</v>
      </c>
    </row>
    <row r="651">
      <c r="A651" s="390" t="str">
        <f>IFERROR(__xludf.DUMMYFUNCTION("""COMPUTED_VALUE"""),"#SLCBA - Segunda Licenciatura em Ciências Biológicas - Segunda Licenciatura em Ciências Biológicas - SERGIO LUIZ AUGUSTO DIAS - Introdução à Educação Ambiental - Nota Máxima: 10")</f>
        <v>#SLCBA - Segunda Licenciatura em Ciências Biológicas - Segunda Licenciatura em Ciências Biológicas - SERGIO LUIZ AUGUSTO DIAS - Introdução à Educação Ambiental - Nota Máxima: 10</v>
      </c>
    </row>
    <row r="652">
      <c r="A652" s="390" t="str">
        <f>IFERROR(__xludf.DUMMYFUNCTION("""COMPUTED_VALUE"""),"#SLCBA - Segunda Licenciatura em Ciências Biológicas - Segunda Licenciatura em Ciências Biológicas - SERGIO LUIZ AUGUSTO DIAS - Introdução à Educação Ambiental - Nota Máxima: 9")</f>
        <v>#SLCBA - Segunda Licenciatura em Ciências Biológicas - Segunda Licenciatura em Ciências Biológicas - SERGIO LUIZ AUGUSTO DIAS - Introdução à Educação Ambiental - Nota Máxima: 9</v>
      </c>
    </row>
    <row r="653">
      <c r="A653" s="390" t="str">
        <f>IFERROR(__xludf.DUMMYFUNCTION("""COMPUTED_VALUE"""),"#SLCBA - Segunda Licenciatura em Ciências Biológicas - Segunda Licenciatura em Ciências Biológicas - SERGIO LUIZ AUGUSTO DIAS - Legislação Educacional/a - Nota Máxima: 10")</f>
        <v>#SLCBA - Segunda Licenciatura em Ciências Biológicas - Segunda Licenciatura em Ciências Biológicas - SERGIO LUIZ AUGUSTO DIAS - Legislação Educacional/a - Nota Máxima: 10</v>
      </c>
    </row>
    <row r="654">
      <c r="A654" s="390" t="str">
        <f>IFERROR(__xludf.DUMMYFUNCTION("""COMPUTED_VALUE"""),"#SLCBA - Segunda Licenciatura em Ciências Biológicas - Segunda Licenciatura em Ciências Biológicas - SERGIO LUIZ AUGUSTO DIAS - Legislação Educacional/a - Nota Máxima: 7")</f>
        <v>#SLCBA - Segunda Licenciatura em Ciências Biológicas - Segunda Licenciatura em Ciências Biológicas - SERGIO LUIZ AUGUSTO DIAS - Legislação Educacional/a - Nota Máxima: 7</v>
      </c>
    </row>
    <row r="655">
      <c r="A655" s="390" t="str">
        <f>IFERROR(__xludf.DUMMYFUNCTION("""COMPUTED_VALUE"""),"#SLCBA - Segunda Licenciatura em Ciências Biológicas - Segunda Licenciatura em Ciências Biológicas - SERGIO LUIZ AUGUSTO DIAS - Planejamento, Gestão Educacional e Currículo/a - Nota Máxima: 10")</f>
        <v>#SLCBA - Segunda Licenciatura em Ciências Biológicas - Segunda Licenciatura em Ciências Biológicas - SERGIO LUIZ AUGUSTO DIAS - Planejamento, Gestão Educacional e Currículo/a - Nota Máxima: 10</v>
      </c>
    </row>
    <row r="656">
      <c r="A656" s="390" t="str">
        <f>IFERROR(__xludf.DUMMYFUNCTION("""COMPUTED_VALUE"""),"#SLCBA - Segunda Licenciatura em Ciências Biológicas - Segunda Licenciatura em Ciências Biológicas - SERGIO LUIZ AUGUSTO DIAS - Planejamento, Gestão Educacional e Currículo/a - Nota Máxima: 10")</f>
        <v>#SLCBA - Segunda Licenciatura em Ciências Biológicas - Segunda Licenciatura em Ciências Biológicas - SERGIO LUIZ AUGUSTO DIAS - Planejamento, Gestão Educacional e Currículo/a - Nota Máxima: 10</v>
      </c>
    </row>
    <row r="657">
      <c r="A657" s="390" t="str">
        <f>IFERROR(__xludf.DUMMYFUNCTION("""COMPUTED_VALUE"""),"#SLCBA - Segunda Licenciatura em Ciências Biológicas - Segunda Licenciatura em Ciências Biológicas - SERGIO LUIZ AUGUSTO DIAS - Práticas Pedagógicas - 400 Horas - Nota Máxima: 4")</f>
        <v>#SLCBA - Segunda Licenciatura em Ciências Biológicas - Segunda Licenciatura em Ciências Biológicas - SERGIO LUIZ AUGUSTO DIAS - Práticas Pedagógicas - 400 Horas - Nota Máxima: 4</v>
      </c>
    </row>
    <row r="658">
      <c r="A658" s="390" t="str">
        <f>IFERROR(__xludf.DUMMYFUNCTION("""COMPUTED_VALUE"""),"#SLCBA - Segunda Licenciatura em Ciências Biológicas - Segunda Licenciatura em Ciências Biológicas - SERGIO LUIZ AUGUSTO DIAS - Práticas Pedagógicas - 400 Horas - Nota Máxima: 4")</f>
        <v>#SLCBA - Segunda Licenciatura em Ciências Biológicas - Segunda Licenciatura em Ciências Biológicas - SERGIO LUIZ AUGUSTO DIAS - Práticas Pedagógicas - 400 Horas - Nota Máxima: 4</v>
      </c>
    </row>
    <row r="659">
      <c r="A659" s="390" t="str">
        <f>IFERROR(__xludf.DUMMYFUNCTION("""COMPUTED_VALUE"""),"#SLCBA - Segunda Licenciatura em Ciências Biológicas - Segunda Licenciatura em Ciências Biológicas - SERGIO LUIZ AUGUSTO DIAS - Psicologia da Educação/a - Nota Máxima: 10")</f>
        <v>#SLCBA - Segunda Licenciatura em Ciências Biológicas - Segunda Licenciatura em Ciências Biológicas - SERGIO LUIZ AUGUSTO DIAS - Psicologia da Educação/a - Nota Máxima: 10</v>
      </c>
    </row>
    <row r="660">
      <c r="A660" s="390" t="str">
        <f>IFERROR(__xludf.DUMMYFUNCTION("""COMPUTED_VALUE"""),"#SLCBA - Segunda Licenciatura em Ciências Biológicas - Segunda Licenciatura em Ciências Biológicas - SERGIO LUIZ AUGUSTO DIAS - Psicologia da Educação/a - Nota Máxima: 6")</f>
        <v>#SLCBA - Segunda Licenciatura em Ciências Biológicas - Segunda Licenciatura em Ciências Biológicas - SERGIO LUIZ AUGUSTO DIAS - Psicologia da Educação/a - Nota Máxima: 6</v>
      </c>
    </row>
    <row r="661">
      <c r="A661" s="390" t="str">
        <f>IFERROR(__xludf.DUMMYFUNCTION("""COMPUTED_VALUE"""),"#SLCBA - Segunda Licenciatura em Ciências Biológicas - Segunda Licenciatura em Ciências Biológicas - Amanda Aparecida Maciel - Análises Clínicas e Microbiologia - Nota Máxima: 10")</f>
        <v>#SLCBA - Segunda Licenciatura em Ciências Biológicas - Segunda Licenciatura em Ciências Biológicas - Amanda Aparecida Maciel - Análises Clínicas e Microbiologia - Nota Máxima: 10</v>
      </c>
    </row>
    <row r="662">
      <c r="A662" s="390" t="str">
        <f>IFERROR(__xludf.DUMMYFUNCTION("""COMPUTED_VALUE"""),"#SLCBA - Segunda Licenciatura em Ciências Biológicas - Segunda Licenciatura em Ciências Biológicas - Amanda Aparecida Maciel - Anatomia e Fisiologia Humana - Nota Máxima: 8")</f>
        <v>#SLCBA - Segunda Licenciatura em Ciências Biológicas - Segunda Licenciatura em Ciências Biológicas - Amanda Aparecida Maciel - Anatomia e Fisiologia Humana - Nota Máxima: 8</v>
      </c>
    </row>
    <row r="663">
      <c r="A663" s="390" t="str">
        <f>IFERROR(__xludf.DUMMYFUNCTION("""COMPUTED_VALUE"""),"#SLCBA - Segunda Licenciatura em Ciências Biológicas - Segunda Licenciatura em Ciências Biológicas - Amanda Aparecida Maciel - Ciências Exatas e da Terra - Nota Máxima: 9")</f>
        <v>#SLCBA - Segunda Licenciatura em Ciências Biológicas - Segunda Licenciatura em Ciências Biológicas - Amanda Aparecida Maciel - Ciências Exatas e da Terra - Nota Máxima: 9</v>
      </c>
    </row>
    <row r="664">
      <c r="A664" s="390" t="str">
        <f>IFERROR(__xludf.DUMMYFUNCTION("""COMPUTED_VALUE"""),"#SLCBA - Segunda Licenciatura em Ciências Biológicas - Segunda Licenciatura em Ciências Biológicas - Amanda Aparecida Maciel - Educação e as Tic's - Nota Máxima: 10")</f>
        <v>#SLCBA - Segunda Licenciatura em Ciências Biológicas - Segunda Licenciatura em Ciências Biológicas - Amanda Aparecida Maciel - Educação e as Tic's - Nota Máxima: 10</v>
      </c>
    </row>
    <row r="665">
      <c r="A665" s="390" t="str">
        <f>IFERROR(__xludf.DUMMYFUNCTION("""COMPUTED_VALUE"""),"#SLCBA - Segunda Licenciatura em Ciências Biológicas - Segunda Licenciatura em Ciências Biológicas - Amanda Aparecida Maciel - Ensino de Ciência e Biologia na Educação Básica - Nota Máxima: 9")</f>
        <v>#SLCBA - Segunda Licenciatura em Ciências Biológicas - Segunda Licenciatura em Ciências Biológicas - Amanda Aparecida Maciel - Ensino de Ciência e Biologia na Educação Básica - Nota Máxima: 9</v>
      </c>
    </row>
    <row r="666">
      <c r="A666" s="390" t="str">
        <f>IFERROR(__xludf.DUMMYFUNCTION("""COMPUTED_VALUE"""),"#SLCBA - Segunda Licenciatura em Ciências Biológicas - Segunda Licenciatura em Ciências Biológicas - Amanda Aparecida Maciel - Imunologia e Microbiologia - Nota Máxima: 10")</f>
        <v>#SLCBA - Segunda Licenciatura em Ciências Biológicas - Segunda Licenciatura em Ciências Biológicas - Amanda Aparecida Maciel - Imunologia e Microbiologia - Nota Máxima: 10</v>
      </c>
    </row>
    <row r="667">
      <c r="A667" s="390" t="str">
        <f>IFERROR(__xludf.DUMMYFUNCTION("""COMPUTED_VALUE"""),"#SLCBA - Segunda Licenciatura em Ciências Biológicas - Segunda Licenciatura em Ciências Biológicas - Amanda Aparecida Maciel - Introdução à Educação Ambiental - Nota Máxima: 10")</f>
        <v>#SLCBA - Segunda Licenciatura em Ciências Biológicas - Segunda Licenciatura em Ciências Biológicas - Amanda Aparecida Maciel - Introdução à Educação Ambiental - Nota Máxima: 10</v>
      </c>
    </row>
    <row r="668">
      <c r="A668" s="390" t="str">
        <f>IFERROR(__xludf.DUMMYFUNCTION("""COMPUTED_VALUE"""),"#SLCBA - Segunda Licenciatura em Ciências Biológicas - Segunda Licenciatura em Ciências Biológicas - Miriam Fernanda Matozo de Oliveira - Análises Clínicas e Microbiologia - Nota Máxima: 9")</f>
        <v>#SLCBA - Segunda Licenciatura em Ciências Biológicas - Segunda Licenciatura em Ciências Biológicas - Miriam Fernanda Matozo de Oliveira - Análises Clínicas e Microbiologia - Nota Máxima: 9</v>
      </c>
    </row>
    <row r="669">
      <c r="A669" s="390" t="str">
        <f>IFERROR(__xludf.DUMMYFUNCTION("""COMPUTED_VALUE"""),"#SLCBA - Segunda Licenciatura em Ciências Biológicas - Segunda Licenciatura em Ciências Biológicas - Miriam Fernanda Matozo de Oliveira - Análises Clínicas e Microbiologia - Nota Máxima: 10")</f>
        <v>#SLCBA - Segunda Licenciatura em Ciências Biológicas - Segunda Licenciatura em Ciências Biológicas - Miriam Fernanda Matozo de Oliveira - Análises Clínicas e Microbiologia - Nota Máxima: 10</v>
      </c>
    </row>
    <row r="670">
      <c r="A670" s="390" t="str">
        <f>IFERROR(__xludf.DUMMYFUNCTION("""COMPUTED_VALUE"""),"#SLCBA - Segunda Licenciatura em Ciências Biológicas - Segunda Licenciatura em Ciências Biológicas - Miriam Fernanda Matozo de Oliveira - Anatomia e Fisiologia Humana - Nota Máxima: 10")</f>
        <v>#SLCBA - Segunda Licenciatura em Ciências Biológicas - Segunda Licenciatura em Ciências Biológicas - Miriam Fernanda Matozo de Oliveira - Anatomia e Fisiologia Humana - Nota Máxima: 10</v>
      </c>
    </row>
    <row r="671">
      <c r="A671" s="390" t="str">
        <f>IFERROR(__xludf.DUMMYFUNCTION("""COMPUTED_VALUE"""),"#SLCBA - Segunda Licenciatura em Ciências Biológicas - Segunda Licenciatura em Ciências Biológicas - Miriam Fernanda Matozo de Oliveira - Anatomia e Fisiologia Humana - Nota Máxima: 8")</f>
        <v>#SLCBA - Segunda Licenciatura em Ciências Biológicas - Segunda Licenciatura em Ciências Biológicas - Miriam Fernanda Matozo de Oliveira - Anatomia e Fisiologia Humana - Nota Máxima: 8</v>
      </c>
    </row>
    <row r="672">
      <c r="A672" s="390" t="str">
        <f>IFERROR(__xludf.DUMMYFUNCTION("""COMPUTED_VALUE"""),"#SLCBA - Segunda Licenciatura em Ciências Biológicas - Segunda Licenciatura em Ciências Biológicas - Miriam Fernanda Matozo de Oliveira - Ciências Exatas e da Terra - Nota Máxima: 10")</f>
        <v>#SLCBA - Segunda Licenciatura em Ciências Biológicas - Segunda Licenciatura em Ciências Biológicas - Miriam Fernanda Matozo de Oliveira - Ciências Exatas e da Terra - Nota Máxima: 10</v>
      </c>
    </row>
    <row r="673">
      <c r="A673" s="390" t="str">
        <f>IFERROR(__xludf.DUMMYFUNCTION("""COMPUTED_VALUE"""),"#SLCBA - Segunda Licenciatura em Ciências Biológicas - Segunda Licenciatura em Ciências Biológicas - Miriam Fernanda Matozo de Oliveira - Ciências Exatas e da Terra - Nota Máxima: 9")</f>
        <v>#SLCBA - Segunda Licenciatura em Ciências Biológicas - Segunda Licenciatura em Ciências Biológicas - Miriam Fernanda Matozo de Oliveira - Ciências Exatas e da Terra - Nota Máxima: 9</v>
      </c>
    </row>
    <row r="674">
      <c r="A674" s="390" t="str">
        <f>IFERROR(__xludf.DUMMYFUNCTION("""COMPUTED_VALUE"""),"#SLCBA - Segunda Licenciatura em Ciências Biológicas - Segunda Licenciatura em Ciências Biológicas - Miriam Fernanda Matozo de Oliveira - Deficiência Auditiva e Libras/a - Nota Máxima: 10")</f>
        <v>#SLCBA - Segunda Licenciatura em Ciências Biológicas - Segunda Licenciatura em Ciências Biológicas - Miriam Fernanda Matozo de Oliveira - Deficiência Auditiva e Libras/a - Nota Máxima: 10</v>
      </c>
    </row>
    <row r="675">
      <c r="A675" s="390" t="str">
        <f>IFERROR(__xludf.DUMMYFUNCTION("""COMPUTED_VALUE"""),"#SLCBA - Segunda Licenciatura em Ciências Biológicas - Segunda Licenciatura em Ciências Biológicas - Miriam Fernanda Matozo de Oliveira - Deficiência Auditiva e Libras/a - Nota Máxima: 10")</f>
        <v>#SLCBA - Segunda Licenciatura em Ciências Biológicas - Segunda Licenciatura em Ciências Biológicas - Miriam Fernanda Matozo de Oliveira - Deficiência Auditiva e Libras/a - Nota Máxima: 10</v>
      </c>
    </row>
    <row r="676">
      <c r="A676" s="390" t="str">
        <f>IFERROR(__xludf.DUMMYFUNCTION("""COMPUTED_VALUE"""),"#SLCBA - Segunda Licenciatura em Ciências Biológicas - Segunda Licenciatura em Ciências Biológicas - Miriam Fernanda Matozo de Oliveira - Educação e as Tic's - Nota Máxima: 7")</f>
        <v>#SLCBA - Segunda Licenciatura em Ciências Biológicas - Segunda Licenciatura em Ciências Biológicas - Miriam Fernanda Matozo de Oliveira - Educação e as Tic's - Nota Máxima: 7</v>
      </c>
    </row>
    <row r="677">
      <c r="A677" s="390" t="str">
        <f>IFERROR(__xludf.DUMMYFUNCTION("""COMPUTED_VALUE"""),"#SLCBA - Segunda Licenciatura em Ciências Biológicas - Segunda Licenciatura em Ciências Biológicas - Miriam Fernanda Matozo de Oliveira - Educação e as Tic's - Nota Máxima: 7")</f>
        <v>#SLCBA - Segunda Licenciatura em Ciências Biológicas - Segunda Licenciatura em Ciências Biológicas - Miriam Fernanda Matozo de Oliveira - Educação e as Tic's - Nota Máxima: 7</v>
      </c>
    </row>
    <row r="678">
      <c r="A678" s="390" t="str">
        <f>IFERROR(__xludf.DUMMYFUNCTION("""COMPUTED_VALUE"""),"#SLCBA - Segunda Licenciatura em Ciências Biológicas - Segunda Licenciatura em Ciências Biológicas - Miriam Fernanda Matozo de Oliveira - Educação Especial, Inclusão Escolar e Adaptações Curriculares - Nota Máxima: 9")</f>
        <v>#SLCBA - Segunda Licenciatura em Ciências Biológicas - Segunda Licenciatura em Ciências Biológicas - Miriam Fernanda Matozo de Oliveira - Educação Especial, Inclusão Escolar e Adaptações Curriculares - Nota Máxima: 9</v>
      </c>
    </row>
    <row r="679">
      <c r="A679" s="390" t="str">
        <f>IFERROR(__xludf.DUMMYFUNCTION("""COMPUTED_VALUE"""),"#SLCBA - Segunda Licenciatura em Ciências Biológicas - Segunda Licenciatura em Ciências Biológicas - Miriam Fernanda Matozo de Oliveira - Educação Especial, Inclusão Escolar e Adaptações Curriculares - Nota Máxima: 9")</f>
        <v>#SLCBA - Segunda Licenciatura em Ciências Biológicas - Segunda Licenciatura em Ciências Biológicas - Miriam Fernanda Matozo de Oliveira - Educação Especial, Inclusão Escolar e Adaptações Curriculares - Nota Máxima: 9</v>
      </c>
    </row>
    <row r="680">
      <c r="A680" s="390" t="str">
        <f>IFERROR(__xludf.DUMMYFUNCTION("""COMPUTED_VALUE"""),"#SLCBA - Segunda Licenciatura em Ciências Biológicas - Segunda Licenciatura em Ciências Biológicas - Miriam Fernanda Matozo de Oliveira - Educação, História, Cultura e Práticas Indígenas/a - Nota Máxima: 9")</f>
        <v>#SLCBA - Segunda Licenciatura em Ciências Biológicas - Segunda Licenciatura em Ciências Biológicas - Miriam Fernanda Matozo de Oliveira - Educação, História, Cultura e Práticas Indígenas/a - Nota Máxima: 9</v>
      </c>
    </row>
    <row r="681">
      <c r="A681" s="390" t="str">
        <f>IFERROR(__xludf.DUMMYFUNCTION("""COMPUTED_VALUE"""),"#SLCBA - Segunda Licenciatura em Ciências Biológicas - Segunda Licenciatura em Ciências Biológicas - Miriam Fernanda Matozo de Oliveira - Educação, História, Cultura e Práticas Indígenas/a - Nota Máxima: 10")</f>
        <v>#SLCBA - Segunda Licenciatura em Ciências Biológicas - Segunda Licenciatura em Ciências Biológicas - Miriam Fernanda Matozo de Oliveira - Educação, História, Cultura e Práticas Indígenas/a - Nota Máxima: 10</v>
      </c>
    </row>
    <row r="682">
      <c r="A682" s="390" t="str">
        <f>IFERROR(__xludf.DUMMYFUNCTION("""COMPUTED_VALUE"""),"#SLCBA - Segunda Licenciatura em Ciências Biológicas - Segunda Licenciatura em Ciências Biológicas - Miriam Fernanda Matozo de Oliveira - Ensino de Ciência e Biologia na Educação Básica - Nota Máxima: 10")</f>
        <v>#SLCBA - Segunda Licenciatura em Ciências Biológicas - Segunda Licenciatura em Ciências Biológicas - Miriam Fernanda Matozo de Oliveira - Ensino de Ciência e Biologia na Educação Básica - Nota Máxima: 10</v>
      </c>
    </row>
    <row r="683">
      <c r="A683" s="390" t="str">
        <f>IFERROR(__xludf.DUMMYFUNCTION("""COMPUTED_VALUE"""),"#SLCBA - Segunda Licenciatura em Ciências Biológicas - Segunda Licenciatura em Ciências Biológicas - Miriam Fernanda Matozo de Oliveira - Ensino de Ciência e Biologia na Educação Básica - Nota Máxima: 7")</f>
        <v>#SLCBA - Segunda Licenciatura em Ciências Biológicas - Segunda Licenciatura em Ciências Biológicas - Miriam Fernanda Matozo de Oliveira - Ensino de Ciência e Biologia na Educação Básica - Nota Máxima: 7</v>
      </c>
    </row>
    <row r="684">
      <c r="A684" s="390" t="str">
        <f>IFERROR(__xludf.DUMMYFUNCTION("""COMPUTED_VALUE"""),"#SLCBA - Segunda Licenciatura em Ciências Biológicas - Segunda Licenciatura em Ciências Biológicas - Miriam Fernanda Matozo de Oliveira - Imunologia e Microbiologia - Nota Máxima: 9")</f>
        <v>#SLCBA - Segunda Licenciatura em Ciências Biológicas - Segunda Licenciatura em Ciências Biológicas - Miriam Fernanda Matozo de Oliveira - Imunologia e Microbiologia - Nota Máxima: 9</v>
      </c>
    </row>
    <row r="685">
      <c r="A685" s="390" t="str">
        <f>IFERROR(__xludf.DUMMYFUNCTION("""COMPUTED_VALUE"""),"#SLCBA - Segunda Licenciatura em Ciências Biológicas - Segunda Licenciatura em Ciências Biológicas - Miriam Fernanda Matozo de Oliveira - Imunologia e Microbiologia - Nota Máxima: 10")</f>
        <v>#SLCBA - Segunda Licenciatura em Ciências Biológicas - Segunda Licenciatura em Ciências Biológicas - Miriam Fernanda Matozo de Oliveira - Imunologia e Microbiologia - Nota Máxima: 10</v>
      </c>
    </row>
    <row r="686">
      <c r="A686" s="390" t="str">
        <f>IFERROR(__xludf.DUMMYFUNCTION("""COMPUTED_VALUE"""),"#SLCBA - Segunda Licenciatura em Ciências Biológicas - Segunda Licenciatura em Ciências Biológicas - Miriam Fernanda Matozo de Oliveira - Introdução à Educação Ambiental - Nota Máxima: 9")</f>
        <v>#SLCBA - Segunda Licenciatura em Ciências Biológicas - Segunda Licenciatura em Ciências Biológicas - Miriam Fernanda Matozo de Oliveira - Introdução à Educação Ambiental - Nota Máxima: 9</v>
      </c>
    </row>
    <row r="687">
      <c r="A687" s="390" t="str">
        <f>IFERROR(__xludf.DUMMYFUNCTION("""COMPUTED_VALUE"""),"#SLCBA - Segunda Licenciatura em Ciências Biológicas - Segunda Licenciatura em Ciências Biológicas - Miriam Fernanda Matozo de Oliveira - Introdução à Educação Ambiental - Nota Máxima: 10")</f>
        <v>#SLCBA - Segunda Licenciatura em Ciências Biológicas - Segunda Licenciatura em Ciências Biológicas - Miriam Fernanda Matozo de Oliveira - Introdução à Educação Ambiental - Nota Máxima: 10</v>
      </c>
    </row>
    <row r="688">
      <c r="A688" s="390" t="str">
        <f>IFERROR(__xludf.DUMMYFUNCTION("""COMPUTED_VALUE"""),"#SLCBA - Segunda Licenciatura em Ciências Biológicas - Segunda Licenciatura em Ciências Biológicas - Miriam Fernanda Matozo de Oliveira - Legislação Educacional/a - Nota Máxima: 10")</f>
        <v>#SLCBA - Segunda Licenciatura em Ciências Biológicas - Segunda Licenciatura em Ciências Biológicas - Miriam Fernanda Matozo de Oliveira - Legislação Educacional/a - Nota Máxima: 10</v>
      </c>
    </row>
    <row r="689">
      <c r="A689" s="390" t="str">
        <f>IFERROR(__xludf.DUMMYFUNCTION("""COMPUTED_VALUE"""),"#SLCBA - Segunda Licenciatura em Ciências Biológicas - Segunda Licenciatura em Ciências Biológicas - Miriam Fernanda Matozo de Oliveira - Legislação Educacional/a - Nota Máxima: 10")</f>
        <v>#SLCBA - Segunda Licenciatura em Ciências Biológicas - Segunda Licenciatura em Ciências Biológicas - Miriam Fernanda Matozo de Oliveira - Legislação Educacional/a - Nota Máxima: 10</v>
      </c>
    </row>
    <row r="690">
      <c r="A690" s="390" t="str">
        <f>IFERROR(__xludf.DUMMYFUNCTION("""COMPUTED_VALUE"""),"#SLCBA - Segunda Licenciatura em Ciências Biológicas - Segunda Licenciatura em Ciências Biológicas - Miriam Fernanda Matozo de Oliveira - Planejamento, Gestão Educacional e Currículo/a - Nota Máxima: 9")</f>
        <v>#SLCBA - Segunda Licenciatura em Ciências Biológicas - Segunda Licenciatura em Ciências Biológicas - Miriam Fernanda Matozo de Oliveira - Planejamento, Gestão Educacional e Currículo/a - Nota Máxima: 9</v>
      </c>
    </row>
    <row r="691">
      <c r="A691" s="390" t="str">
        <f>IFERROR(__xludf.DUMMYFUNCTION("""COMPUTED_VALUE"""),"#SLCBA - Segunda Licenciatura em Ciências Biológicas - Segunda Licenciatura em Ciências Biológicas - Miriam Fernanda Matozo de Oliveira - Planejamento, Gestão Educacional e Currículo/a - Nota Máxima: 8")</f>
        <v>#SLCBA - Segunda Licenciatura em Ciências Biológicas - Segunda Licenciatura em Ciências Biológicas - Miriam Fernanda Matozo de Oliveira - Planejamento, Gestão Educacional e Currículo/a - Nota Máxima: 8</v>
      </c>
    </row>
    <row r="692">
      <c r="A692" s="390" t="str">
        <f>IFERROR(__xludf.DUMMYFUNCTION("""COMPUTED_VALUE"""),"#SLCBA - Segunda Licenciatura em Ciências Biológicas - Segunda Licenciatura em Ciências Biológicas - Miriam Fernanda Matozo de Oliveira - Práticas Pedagógicas - 400 Horas - Nota Máxima: 3")</f>
        <v>#SLCBA - Segunda Licenciatura em Ciências Biológicas - Segunda Licenciatura em Ciências Biológicas - Miriam Fernanda Matozo de Oliveira - Práticas Pedagógicas - 400 Horas - Nota Máxima: 3</v>
      </c>
    </row>
    <row r="693">
      <c r="A693" s="390" t="str">
        <f>IFERROR(__xludf.DUMMYFUNCTION("""COMPUTED_VALUE"""),"#SLCBA - Segunda Licenciatura em Ciências Biológicas - Segunda Licenciatura em Ciências Biológicas - Miriam Fernanda Matozo de Oliveira - Práticas Pedagógicas - 400 Horas - Nota Máxima: 3")</f>
        <v>#SLCBA - Segunda Licenciatura em Ciências Biológicas - Segunda Licenciatura em Ciências Biológicas - Miriam Fernanda Matozo de Oliveira - Práticas Pedagógicas - 400 Horas - Nota Máxima: 3</v>
      </c>
    </row>
    <row r="694">
      <c r="A694" s="390" t="str">
        <f>IFERROR(__xludf.DUMMYFUNCTION("""COMPUTED_VALUE"""),"#SLCBA - Segunda Licenciatura em Ciências Biológicas - Segunda Licenciatura em Ciências Biológicas - Miriam Fernanda Matozo de Oliveira - Psicologia da Educação/a - Nota Máxima: 9")</f>
        <v>#SLCBA - Segunda Licenciatura em Ciências Biológicas - Segunda Licenciatura em Ciências Biológicas - Miriam Fernanda Matozo de Oliveira - Psicologia da Educação/a - Nota Máxima: 9</v>
      </c>
    </row>
    <row r="695">
      <c r="A695" s="390" t="str">
        <f>IFERROR(__xludf.DUMMYFUNCTION("""COMPUTED_VALUE"""),"#SLCBA - Segunda Licenciatura em Ciências Biológicas - Segunda Licenciatura em Ciências Biológicas - Miriam Fernanda Matozo de Oliveira - Psicologia da Educação/a - Nota Máxima: 10")</f>
        <v>#SLCBA - Segunda Licenciatura em Ciências Biológicas - Segunda Licenciatura em Ciências Biológicas - Miriam Fernanda Matozo de Oliveira - Psicologia da Educação/a - Nota Máxima: 10</v>
      </c>
    </row>
    <row r="696">
      <c r="A696" s="390" t="str">
        <f>IFERROR(__xludf.DUMMYFUNCTION("""COMPUTED_VALUE"""),"#SLCBA - Segunda Licenciatura em Ciências Biológicas - Segunda Licenciatura em Ciências Biológicas - Regina Barros Guimarães - Análises Clínicas e Microbiologia - Nota Máxima: 10")</f>
        <v>#SLCBA - Segunda Licenciatura em Ciências Biológicas - Segunda Licenciatura em Ciências Biológicas - Regina Barros Guimarães - Análises Clínicas e Microbiologia - Nota Máxima: 10</v>
      </c>
    </row>
    <row r="697">
      <c r="A697" s="390" t="str">
        <f>IFERROR(__xludf.DUMMYFUNCTION("""COMPUTED_VALUE"""),"#SLCBA - Segunda Licenciatura em Ciências Biológicas - Segunda Licenciatura em Ciências Biológicas - Regina Barros Guimarães - Análises Clínicas e Microbiologia - Nota Máxima: 8")</f>
        <v>#SLCBA - Segunda Licenciatura em Ciências Biológicas - Segunda Licenciatura em Ciências Biológicas - Regina Barros Guimarães - Análises Clínicas e Microbiologia - Nota Máxima: 8</v>
      </c>
    </row>
    <row r="698">
      <c r="A698" s="390" t="str">
        <f>IFERROR(__xludf.DUMMYFUNCTION("""COMPUTED_VALUE"""),"#SLCBA - Segunda Licenciatura em Ciências Biológicas - Segunda Licenciatura em Ciências Biológicas - Regina Barros Guimarães - Anatomia e Fisiologia Humana - Nota Máxima: 10")</f>
        <v>#SLCBA - Segunda Licenciatura em Ciências Biológicas - Segunda Licenciatura em Ciências Biológicas - Regina Barros Guimarães - Anatomia e Fisiologia Humana - Nota Máxima: 10</v>
      </c>
    </row>
    <row r="699">
      <c r="A699" s="390" t="str">
        <f>IFERROR(__xludf.DUMMYFUNCTION("""COMPUTED_VALUE"""),"#SLCBA - Segunda Licenciatura em Ciências Biológicas - Segunda Licenciatura em Ciências Biológicas - Regina Barros Guimarães - Anatomia e Fisiologia Humana - Nota Máxima: 8")</f>
        <v>#SLCBA - Segunda Licenciatura em Ciências Biológicas - Segunda Licenciatura em Ciências Biológicas - Regina Barros Guimarães - Anatomia e Fisiologia Humana - Nota Máxima: 8</v>
      </c>
    </row>
    <row r="700">
      <c r="A700" s="390" t="str">
        <f>IFERROR(__xludf.DUMMYFUNCTION("""COMPUTED_VALUE"""),"#SLCBA - Segunda Licenciatura em Ciências Biológicas - Segunda Licenciatura em Ciências Biológicas - Regina Barros Guimarães - Ciências Exatas e da Terra - Nota Máxima: 10")</f>
        <v>#SLCBA - Segunda Licenciatura em Ciências Biológicas - Segunda Licenciatura em Ciências Biológicas - Regina Barros Guimarães - Ciências Exatas e da Terra - Nota Máxima: 10</v>
      </c>
    </row>
    <row r="701">
      <c r="A701" s="390" t="str">
        <f>IFERROR(__xludf.DUMMYFUNCTION("""COMPUTED_VALUE"""),"#SLCBA - Segunda Licenciatura em Ciências Biológicas - Segunda Licenciatura em Ciências Biológicas - Regina Barros Guimarães - Ciências Exatas e da Terra - Nota Máxima: 8")</f>
        <v>#SLCBA - Segunda Licenciatura em Ciências Biológicas - Segunda Licenciatura em Ciências Biológicas - Regina Barros Guimarães - Ciências Exatas e da Terra - Nota Máxima: 8</v>
      </c>
    </row>
    <row r="702">
      <c r="A702" s="390" t="str">
        <f>IFERROR(__xludf.DUMMYFUNCTION("""COMPUTED_VALUE"""),"#SLCBA - Segunda Licenciatura em Ciências Biológicas - Segunda Licenciatura em Ciências Biológicas - Regina Barros Guimarães - Deficiência Auditiva e Libras/a - Nota Máxima: 10")</f>
        <v>#SLCBA - Segunda Licenciatura em Ciências Biológicas - Segunda Licenciatura em Ciências Biológicas - Regina Barros Guimarães - Deficiência Auditiva e Libras/a - Nota Máxima: 10</v>
      </c>
    </row>
    <row r="703">
      <c r="A703" s="390" t="str">
        <f>IFERROR(__xludf.DUMMYFUNCTION("""COMPUTED_VALUE"""),"#SLCBA - Segunda Licenciatura em Ciências Biológicas - Segunda Licenciatura em Ciências Biológicas - Regina Barros Guimarães - Deficiência Auditiva e Libras/a - Nota Máxima: 7")</f>
        <v>#SLCBA - Segunda Licenciatura em Ciências Biológicas - Segunda Licenciatura em Ciências Biológicas - Regina Barros Guimarães - Deficiência Auditiva e Libras/a - Nota Máxima: 7</v>
      </c>
    </row>
    <row r="704">
      <c r="A704" s="390" t="str">
        <f>IFERROR(__xludf.DUMMYFUNCTION("""COMPUTED_VALUE"""),"#SLCBA - Segunda Licenciatura em Ciências Biológicas - Segunda Licenciatura em Ciências Biológicas - Regina Barros Guimarães - Educação e as Tic's - Nota Máxima: 10")</f>
        <v>#SLCBA - Segunda Licenciatura em Ciências Biológicas - Segunda Licenciatura em Ciências Biológicas - Regina Barros Guimarães - Educação e as Tic's - Nota Máxima: 10</v>
      </c>
    </row>
    <row r="705">
      <c r="A705" s="390" t="str">
        <f>IFERROR(__xludf.DUMMYFUNCTION("""COMPUTED_VALUE"""),"#SLCBA - Segunda Licenciatura em Ciências Biológicas - Segunda Licenciatura em Ciências Biológicas - Regina Barros Guimarães - Educação e as Tic's - Nota Máxima: 9")</f>
        <v>#SLCBA - Segunda Licenciatura em Ciências Biológicas - Segunda Licenciatura em Ciências Biológicas - Regina Barros Guimarães - Educação e as Tic's - Nota Máxima: 9</v>
      </c>
    </row>
    <row r="706">
      <c r="A706" s="390" t="str">
        <f>IFERROR(__xludf.DUMMYFUNCTION("""COMPUTED_VALUE"""),"#SLCBA - Segunda Licenciatura em Ciências Biológicas - Segunda Licenciatura em Ciências Biológicas - Regina Barros Guimarães - Educação Especial, Inclusão Escolar e Adaptações Curriculares - Nota Máxima: 10")</f>
        <v>#SLCBA - Segunda Licenciatura em Ciências Biológicas - Segunda Licenciatura em Ciências Biológicas - Regina Barros Guimarães - Educação Especial, Inclusão Escolar e Adaptações Curriculares - Nota Máxima: 10</v>
      </c>
    </row>
    <row r="707">
      <c r="A707" s="390" t="str">
        <f>IFERROR(__xludf.DUMMYFUNCTION("""COMPUTED_VALUE"""),"#SLCBA - Segunda Licenciatura em Ciências Biológicas - Segunda Licenciatura em Ciências Biológicas - Regina Barros Guimarães - Educação Especial, Inclusão Escolar e Adaptações Curriculares - Nota Máxima: 9")</f>
        <v>#SLCBA - Segunda Licenciatura em Ciências Biológicas - Segunda Licenciatura em Ciências Biológicas - Regina Barros Guimarães - Educação Especial, Inclusão Escolar e Adaptações Curriculares - Nota Máxima: 9</v>
      </c>
    </row>
    <row r="708">
      <c r="A708" s="390" t="str">
        <f>IFERROR(__xludf.DUMMYFUNCTION("""COMPUTED_VALUE"""),"#SLCBA - Segunda Licenciatura em Ciências Biológicas - Segunda Licenciatura em Ciências Biológicas - Regina Barros Guimarães - Educação, História, Cultura e Práticas Indígenas/a - Nota Máxima: 10")</f>
        <v>#SLCBA - Segunda Licenciatura em Ciências Biológicas - Segunda Licenciatura em Ciências Biológicas - Regina Barros Guimarães - Educação, História, Cultura e Práticas Indígenas/a - Nota Máxima: 10</v>
      </c>
    </row>
    <row r="709">
      <c r="A709" s="390" t="str">
        <f>IFERROR(__xludf.DUMMYFUNCTION("""COMPUTED_VALUE"""),"#SLCBA - Segunda Licenciatura em Ciências Biológicas - Segunda Licenciatura em Ciências Biológicas - Regina Barros Guimarães - Educação, História, Cultura e Práticas Indígenas/a - Nota Máxima: 5")</f>
        <v>#SLCBA - Segunda Licenciatura em Ciências Biológicas - Segunda Licenciatura em Ciências Biológicas - Regina Barros Guimarães - Educação, História, Cultura e Práticas Indígenas/a - Nota Máxima: 5</v>
      </c>
    </row>
    <row r="710">
      <c r="A710" s="390" t="str">
        <f>IFERROR(__xludf.DUMMYFUNCTION("""COMPUTED_VALUE"""),"#SLCBA - Segunda Licenciatura em Ciências Biológicas - Segunda Licenciatura em Ciências Biológicas - Regina Barros Guimarães - Ensino de Ciência e Biologia na Educação Básica - Nota Máxima: 10")</f>
        <v>#SLCBA - Segunda Licenciatura em Ciências Biológicas - Segunda Licenciatura em Ciências Biológicas - Regina Barros Guimarães - Ensino de Ciência e Biologia na Educação Básica - Nota Máxima: 10</v>
      </c>
    </row>
    <row r="711">
      <c r="A711" s="390" t="str">
        <f>IFERROR(__xludf.DUMMYFUNCTION("""COMPUTED_VALUE"""),"#SLCBA - Segunda Licenciatura em Ciências Biológicas - Segunda Licenciatura em Ciências Biológicas - Regina Barros Guimarães - Ensino de Ciência e Biologia na Educação Básica - Nota Máxima: 7")</f>
        <v>#SLCBA - Segunda Licenciatura em Ciências Biológicas - Segunda Licenciatura em Ciências Biológicas - Regina Barros Guimarães - Ensino de Ciência e Biologia na Educação Básica - Nota Máxima: 7</v>
      </c>
    </row>
    <row r="712">
      <c r="A712" s="390" t="str">
        <f>IFERROR(__xludf.DUMMYFUNCTION("""COMPUTED_VALUE"""),"#SLCBA - Segunda Licenciatura em Ciências Biológicas - Segunda Licenciatura em Ciências Biológicas - Regina Barros Guimarães - Imunologia e Microbiologia - Nota Máxima: 10")</f>
        <v>#SLCBA - Segunda Licenciatura em Ciências Biológicas - Segunda Licenciatura em Ciências Biológicas - Regina Barros Guimarães - Imunologia e Microbiologia - Nota Máxima: 10</v>
      </c>
    </row>
    <row r="713">
      <c r="A713" s="390" t="str">
        <f>IFERROR(__xludf.DUMMYFUNCTION("""COMPUTED_VALUE"""),"#SLCBA - Segunda Licenciatura em Ciências Biológicas - Segunda Licenciatura em Ciências Biológicas - Regina Barros Guimarães - Imunologia e Microbiologia - Nota Máxima: 5")</f>
        <v>#SLCBA - Segunda Licenciatura em Ciências Biológicas - Segunda Licenciatura em Ciências Biológicas - Regina Barros Guimarães - Imunologia e Microbiologia - Nota Máxima: 5</v>
      </c>
    </row>
    <row r="714">
      <c r="A714" s="390" t="str">
        <f>IFERROR(__xludf.DUMMYFUNCTION("""COMPUTED_VALUE"""),"#SLCBA - Segunda Licenciatura em Ciências Biológicas - Segunda Licenciatura em Ciências Biológicas - Regina Barros Guimarães - Introdução à Educação Ambiental - Nota Máxima: 10")</f>
        <v>#SLCBA - Segunda Licenciatura em Ciências Biológicas - Segunda Licenciatura em Ciências Biológicas - Regina Barros Guimarães - Introdução à Educação Ambiental - Nota Máxima: 10</v>
      </c>
    </row>
    <row r="715">
      <c r="A715" s="390" t="str">
        <f>IFERROR(__xludf.DUMMYFUNCTION("""COMPUTED_VALUE"""),"#SLCBA - Segunda Licenciatura em Ciências Biológicas - Segunda Licenciatura em Ciências Biológicas - Regina Barros Guimarães - Introdução à Educação Ambiental - Nota Máxima: 7")</f>
        <v>#SLCBA - Segunda Licenciatura em Ciências Biológicas - Segunda Licenciatura em Ciências Biológicas - Regina Barros Guimarães - Introdução à Educação Ambiental - Nota Máxima: 7</v>
      </c>
    </row>
    <row r="716">
      <c r="A716" s="390" t="str">
        <f>IFERROR(__xludf.DUMMYFUNCTION("""COMPUTED_VALUE"""),"#SLCBA - Segunda Licenciatura em Ciências Biológicas - Segunda Licenciatura em Ciências Biológicas - Regina Barros Guimarães - Legislação Educacional/a - Nota Máxima: 10")</f>
        <v>#SLCBA - Segunda Licenciatura em Ciências Biológicas - Segunda Licenciatura em Ciências Biológicas - Regina Barros Guimarães - Legislação Educacional/a - Nota Máxima: 10</v>
      </c>
    </row>
    <row r="717">
      <c r="A717" s="390" t="str">
        <f>IFERROR(__xludf.DUMMYFUNCTION("""COMPUTED_VALUE"""),"#SLCBA - Segunda Licenciatura em Ciências Biológicas - Segunda Licenciatura em Ciências Biológicas - Regina Barros Guimarães - Legislação Educacional/a - Nota Máxima: 7")</f>
        <v>#SLCBA - Segunda Licenciatura em Ciências Biológicas - Segunda Licenciatura em Ciências Biológicas - Regina Barros Guimarães - Legislação Educacional/a - Nota Máxima: 7</v>
      </c>
    </row>
    <row r="718">
      <c r="A718" s="390" t="str">
        <f>IFERROR(__xludf.DUMMYFUNCTION("""COMPUTED_VALUE"""),"#SLCBA - Segunda Licenciatura em Ciências Biológicas - Segunda Licenciatura em Ciências Biológicas - Regina Barros Guimarães - Planejamento, Gestão Educacional e Currículo/a - Nota Máxima: 10")</f>
        <v>#SLCBA - Segunda Licenciatura em Ciências Biológicas - Segunda Licenciatura em Ciências Biológicas - Regina Barros Guimarães - Planejamento, Gestão Educacional e Currículo/a - Nota Máxima: 10</v>
      </c>
    </row>
    <row r="719">
      <c r="A719" s="390" t="str">
        <f>IFERROR(__xludf.DUMMYFUNCTION("""COMPUTED_VALUE"""),"#SLCBA - Segunda Licenciatura em Ciências Biológicas - Segunda Licenciatura em Ciências Biológicas - Regina Barros Guimarães - Planejamento, Gestão Educacional e Currículo/a - Nota Máxima: 10")</f>
        <v>#SLCBA - Segunda Licenciatura em Ciências Biológicas - Segunda Licenciatura em Ciências Biológicas - Regina Barros Guimarães - Planejamento, Gestão Educacional e Currículo/a - Nota Máxima: 10</v>
      </c>
    </row>
    <row r="720">
      <c r="A720" s="390" t="str">
        <f>IFERROR(__xludf.DUMMYFUNCTION("""COMPUTED_VALUE"""),"#SLCBA - Segunda Licenciatura em Ciências Biológicas - Segunda Licenciatura em Ciências Biológicas - Regina Barros Guimarães - Práticas Pedagógicas - 400 Horas - Nota Máxima: 4")</f>
        <v>#SLCBA - Segunda Licenciatura em Ciências Biológicas - Segunda Licenciatura em Ciências Biológicas - Regina Barros Guimarães - Práticas Pedagógicas - 400 Horas - Nota Máxima: 4</v>
      </c>
    </row>
    <row r="721">
      <c r="A721" s="390" t="str">
        <f>IFERROR(__xludf.DUMMYFUNCTION("""COMPUTED_VALUE"""),"#SLCBA - Segunda Licenciatura em Ciências Biológicas - Segunda Licenciatura em Ciências Biológicas - Regina Barros Guimarães - Psicologia da Educação/a - Nota Máxima: 10")</f>
        <v>#SLCBA - Segunda Licenciatura em Ciências Biológicas - Segunda Licenciatura em Ciências Biológicas - Regina Barros Guimarães - Psicologia da Educação/a - Nota Máxima: 10</v>
      </c>
    </row>
    <row r="722">
      <c r="A722" s="390" t="str">
        <f>IFERROR(__xludf.DUMMYFUNCTION("""COMPUTED_VALUE"""),"#SLCBA - Segunda Licenciatura em Ciências Biológicas - Segunda Licenciatura em Ciências Biológicas - Regina Barros Guimarães - Psicologia da Educação/a - Nota Máxima: 4")</f>
        <v>#SLCBA - Segunda Licenciatura em Ciências Biológicas - Segunda Licenciatura em Ciências Biológicas - Regina Barros Guimarães - Psicologia da Educação/a - Nota Máxima: 4</v>
      </c>
    </row>
    <row r="723">
      <c r="A723" s="390" t="str">
        <f>IFERROR(__xludf.DUMMYFUNCTION("""COMPUTED_VALUE"""),"#SLCBA - Segunda Licenciatura em Ciências Biológicas - Segunda Licenciatura em Ciências Biológicas - Ana Ruth Silva - Análises Clínicas e Microbiologia - Nota Máxima: 8")</f>
        <v>#SLCBA - Segunda Licenciatura em Ciências Biológicas - Segunda Licenciatura em Ciências Biológicas - Ana Ruth Silva - Análises Clínicas e Microbiologia - Nota Máxima: 8</v>
      </c>
    </row>
    <row r="724">
      <c r="A724" s="390" t="str">
        <f>IFERROR(__xludf.DUMMYFUNCTION("""COMPUTED_VALUE"""),"#SLCBA - Segunda Licenciatura em Ciências Biológicas - Segunda Licenciatura em Ciências Biológicas - Ana Ruth Silva - Análises Clínicas e Microbiologia - Nota Máxima: 9")</f>
        <v>#SLCBA - Segunda Licenciatura em Ciências Biológicas - Segunda Licenciatura em Ciências Biológicas - Ana Ruth Silva - Análises Clínicas e Microbiologia - Nota Máxima: 9</v>
      </c>
    </row>
    <row r="725">
      <c r="A725" s="390" t="str">
        <f>IFERROR(__xludf.DUMMYFUNCTION("""COMPUTED_VALUE"""),"#SLCBA - Segunda Licenciatura em Ciências Biológicas - Segunda Licenciatura em Ciências Biológicas - Ana Ruth Silva - Anatomia e Fisiologia Humana - Nota Máxima: 9")</f>
        <v>#SLCBA - Segunda Licenciatura em Ciências Biológicas - Segunda Licenciatura em Ciências Biológicas - Ana Ruth Silva - Anatomia e Fisiologia Humana - Nota Máxima: 9</v>
      </c>
    </row>
    <row r="726">
      <c r="A726" s="390" t="str">
        <f>IFERROR(__xludf.DUMMYFUNCTION("""COMPUTED_VALUE"""),"#SLCBA - Segunda Licenciatura em Ciências Biológicas - Segunda Licenciatura em Ciências Biológicas - Ana Ruth Silva - Anatomia e Fisiologia Humana - Nota Máxima: 10")</f>
        <v>#SLCBA - Segunda Licenciatura em Ciências Biológicas - Segunda Licenciatura em Ciências Biológicas - Ana Ruth Silva - Anatomia e Fisiologia Humana - Nota Máxima: 10</v>
      </c>
    </row>
    <row r="727">
      <c r="A727" s="390" t="str">
        <f>IFERROR(__xludf.DUMMYFUNCTION("""COMPUTED_VALUE"""),"#SLCBA - Segunda Licenciatura em Ciências Biológicas - Segunda Licenciatura em Ciências Biológicas - Ana Ruth Silva - Ciências Exatas e da Terra - Nota Máxima: 10")</f>
        <v>#SLCBA - Segunda Licenciatura em Ciências Biológicas - Segunda Licenciatura em Ciências Biológicas - Ana Ruth Silva - Ciências Exatas e da Terra - Nota Máxima: 10</v>
      </c>
    </row>
    <row r="728">
      <c r="A728" s="390" t="str">
        <f>IFERROR(__xludf.DUMMYFUNCTION("""COMPUTED_VALUE"""),"#SLCBA - Segunda Licenciatura em Ciências Biológicas - Segunda Licenciatura em Ciências Biológicas - Ana Ruth Silva - Ciências Exatas e da Terra - Nota Máxima: 9")</f>
        <v>#SLCBA - Segunda Licenciatura em Ciências Biológicas - Segunda Licenciatura em Ciências Biológicas - Ana Ruth Silva - Ciências Exatas e da Terra - Nota Máxima: 9</v>
      </c>
    </row>
    <row r="729">
      <c r="A729" s="390" t="str">
        <f>IFERROR(__xludf.DUMMYFUNCTION("""COMPUTED_VALUE"""),"#SLCBA - Segunda Licenciatura em Ciências Biológicas - Segunda Licenciatura em Ciências Biológicas - Ana Ruth Silva - Deficiência Auditiva e Libras/a - Nota Máxima: 9")</f>
        <v>#SLCBA - Segunda Licenciatura em Ciências Biológicas - Segunda Licenciatura em Ciências Biológicas - Ana Ruth Silva - Deficiência Auditiva e Libras/a - Nota Máxima: 9</v>
      </c>
    </row>
    <row r="730">
      <c r="A730" s="390" t="str">
        <f>IFERROR(__xludf.DUMMYFUNCTION("""COMPUTED_VALUE"""),"#SLCBA - Segunda Licenciatura em Ciências Biológicas - Segunda Licenciatura em Ciências Biológicas - Ana Ruth Silva - Deficiência Auditiva e Libras/a - Nota Máxima: 8")</f>
        <v>#SLCBA - Segunda Licenciatura em Ciências Biológicas - Segunda Licenciatura em Ciências Biológicas - Ana Ruth Silva - Deficiência Auditiva e Libras/a - Nota Máxima: 8</v>
      </c>
    </row>
    <row r="731">
      <c r="A731" s="390" t="str">
        <f>IFERROR(__xludf.DUMMYFUNCTION("""COMPUTED_VALUE"""),"#SLCBA - Segunda Licenciatura em Ciências Biológicas - Segunda Licenciatura em Ciências Biológicas - Ana Ruth Silva - Educação e as Tic's - Nota Máxima: 8")</f>
        <v>#SLCBA - Segunda Licenciatura em Ciências Biológicas - Segunda Licenciatura em Ciências Biológicas - Ana Ruth Silva - Educação e as Tic's - Nota Máxima: 8</v>
      </c>
    </row>
    <row r="732">
      <c r="A732" s="390" t="str">
        <f>IFERROR(__xludf.DUMMYFUNCTION("""COMPUTED_VALUE"""),"#SLCBA - Segunda Licenciatura em Ciências Biológicas - Segunda Licenciatura em Ciências Biológicas - Ana Ruth Silva - Educação e as Tic's - Nota Máxima: 9")</f>
        <v>#SLCBA - Segunda Licenciatura em Ciências Biológicas - Segunda Licenciatura em Ciências Biológicas - Ana Ruth Silva - Educação e as Tic's - Nota Máxima: 9</v>
      </c>
    </row>
    <row r="733">
      <c r="A733" s="390" t="str">
        <f>IFERROR(__xludf.DUMMYFUNCTION("""COMPUTED_VALUE"""),"#SLCBA - Segunda Licenciatura em Ciências Biológicas - Segunda Licenciatura em Ciências Biológicas - Ana Ruth Silva - Educação Especial, Inclusão Escolar e Adaptações Curriculares - Nota Máxima: 10")</f>
        <v>#SLCBA - Segunda Licenciatura em Ciências Biológicas - Segunda Licenciatura em Ciências Biológicas - Ana Ruth Silva - Educação Especial, Inclusão Escolar e Adaptações Curriculares - Nota Máxima: 10</v>
      </c>
    </row>
    <row r="734">
      <c r="A734" s="390" t="str">
        <f>IFERROR(__xludf.DUMMYFUNCTION("""COMPUTED_VALUE"""),"#SLCBA - Segunda Licenciatura em Ciências Biológicas - Segunda Licenciatura em Ciências Biológicas - Ana Ruth Silva - Educação Especial, Inclusão Escolar e Adaptações Curriculares - Nota Máxima: 9")</f>
        <v>#SLCBA - Segunda Licenciatura em Ciências Biológicas - Segunda Licenciatura em Ciências Biológicas - Ana Ruth Silva - Educação Especial, Inclusão Escolar e Adaptações Curriculares - Nota Máxima: 9</v>
      </c>
    </row>
    <row r="735">
      <c r="A735" s="390" t="str">
        <f>IFERROR(__xludf.DUMMYFUNCTION("""COMPUTED_VALUE"""),"#SLCBA - Segunda Licenciatura em Ciências Biológicas - Segunda Licenciatura em Ciências Biológicas - Ana Ruth Silva - Educação, História, Cultura e Práticas Indígenas/a - Nota Máxima: 10")</f>
        <v>#SLCBA - Segunda Licenciatura em Ciências Biológicas - Segunda Licenciatura em Ciências Biológicas - Ana Ruth Silva - Educação, História, Cultura e Práticas Indígenas/a - Nota Máxima: 10</v>
      </c>
    </row>
    <row r="736">
      <c r="A736" s="390" t="str">
        <f>IFERROR(__xludf.DUMMYFUNCTION("""COMPUTED_VALUE"""),"#SLCBA - Segunda Licenciatura em Ciências Biológicas - Segunda Licenciatura em Ciências Biológicas - Ana Ruth Silva - Educação, História, Cultura e Práticas Indígenas/a - Nota Máxima: 9")</f>
        <v>#SLCBA - Segunda Licenciatura em Ciências Biológicas - Segunda Licenciatura em Ciências Biológicas - Ana Ruth Silva - Educação, História, Cultura e Práticas Indígenas/a - Nota Máxima: 9</v>
      </c>
    </row>
    <row r="737">
      <c r="A737" s="390" t="str">
        <f>IFERROR(__xludf.DUMMYFUNCTION("""COMPUTED_VALUE"""),"#SLCBA - Segunda Licenciatura em Ciências Biológicas - Segunda Licenciatura em Ciências Biológicas - Ana Ruth Silva - Ensino de Ciência e Biologia na Educação Básica - Nota Máxima: 8")</f>
        <v>#SLCBA - Segunda Licenciatura em Ciências Biológicas - Segunda Licenciatura em Ciências Biológicas - Ana Ruth Silva - Ensino de Ciência e Biologia na Educação Básica - Nota Máxima: 8</v>
      </c>
    </row>
    <row r="738">
      <c r="A738" s="390" t="str">
        <f>IFERROR(__xludf.DUMMYFUNCTION("""COMPUTED_VALUE"""),"#SLCBA - Segunda Licenciatura em Ciências Biológicas - Segunda Licenciatura em Ciências Biológicas - Ana Ruth Silva - Ensino de Ciência e Biologia na Educação Básica - Nota Máxima: 7")</f>
        <v>#SLCBA - Segunda Licenciatura em Ciências Biológicas - Segunda Licenciatura em Ciências Biológicas - Ana Ruth Silva - Ensino de Ciência e Biologia na Educação Básica - Nota Máxima: 7</v>
      </c>
    </row>
    <row r="739">
      <c r="A739" s="390" t="str">
        <f>IFERROR(__xludf.DUMMYFUNCTION("""COMPUTED_VALUE"""),"#SLCBA - Segunda Licenciatura em Ciências Biológicas - Segunda Licenciatura em Ciências Biológicas - Ana Ruth Silva - Imunologia e Microbiologia - Nota Máxima: 8")</f>
        <v>#SLCBA - Segunda Licenciatura em Ciências Biológicas - Segunda Licenciatura em Ciências Biológicas - Ana Ruth Silva - Imunologia e Microbiologia - Nota Máxima: 8</v>
      </c>
    </row>
    <row r="740">
      <c r="A740" s="390" t="str">
        <f>IFERROR(__xludf.DUMMYFUNCTION("""COMPUTED_VALUE"""),"#SLCBA - Segunda Licenciatura em Ciências Biológicas - Segunda Licenciatura em Ciências Biológicas - Ana Ruth Silva - Imunologia e Microbiologia - Nota Máxima: 8")</f>
        <v>#SLCBA - Segunda Licenciatura em Ciências Biológicas - Segunda Licenciatura em Ciências Biológicas - Ana Ruth Silva - Imunologia e Microbiologia - Nota Máxima: 8</v>
      </c>
    </row>
    <row r="741">
      <c r="A741" s="390" t="str">
        <f>IFERROR(__xludf.DUMMYFUNCTION("""COMPUTED_VALUE"""),"#SLCBA - Segunda Licenciatura em Ciências Biológicas - Segunda Licenciatura em Ciências Biológicas - Ana Ruth Silva - Introdução à Educação Ambiental - Nota Máxima: 9")</f>
        <v>#SLCBA - Segunda Licenciatura em Ciências Biológicas - Segunda Licenciatura em Ciências Biológicas - Ana Ruth Silva - Introdução à Educação Ambiental - Nota Máxima: 9</v>
      </c>
    </row>
    <row r="742">
      <c r="A742" s="390" t="str">
        <f>IFERROR(__xludf.DUMMYFUNCTION("""COMPUTED_VALUE"""),"#SLCBA - Segunda Licenciatura em Ciências Biológicas - Segunda Licenciatura em Ciências Biológicas - Ana Ruth Silva - Introdução à Educação Ambiental - Nota Máxima: 8")</f>
        <v>#SLCBA - Segunda Licenciatura em Ciências Biológicas - Segunda Licenciatura em Ciências Biológicas - Ana Ruth Silva - Introdução à Educação Ambiental - Nota Máxima: 8</v>
      </c>
    </row>
    <row r="743">
      <c r="A743" s="390" t="str">
        <f>IFERROR(__xludf.DUMMYFUNCTION("""COMPUTED_VALUE"""),"#SLCBA - Segunda Licenciatura em Ciências Biológicas - Segunda Licenciatura em Ciências Biológicas - Ana Ruth Silva - Legislação Educacional/a - Nota Máxima: 10")</f>
        <v>#SLCBA - Segunda Licenciatura em Ciências Biológicas - Segunda Licenciatura em Ciências Biológicas - Ana Ruth Silva - Legislação Educacional/a - Nota Máxima: 10</v>
      </c>
    </row>
    <row r="744">
      <c r="A744" s="390" t="str">
        <f>IFERROR(__xludf.DUMMYFUNCTION("""COMPUTED_VALUE"""),"#SLCBA - Segunda Licenciatura em Ciências Biológicas - Segunda Licenciatura em Ciências Biológicas - Ana Ruth Silva - Legislação Educacional/a - Nota Máxima: 8")</f>
        <v>#SLCBA - Segunda Licenciatura em Ciências Biológicas - Segunda Licenciatura em Ciências Biológicas - Ana Ruth Silva - Legislação Educacional/a - Nota Máxima: 8</v>
      </c>
    </row>
    <row r="745">
      <c r="A745" s="390" t="str">
        <f>IFERROR(__xludf.DUMMYFUNCTION("""COMPUTED_VALUE"""),"#SLCBA - Segunda Licenciatura em Ciências Biológicas - Segunda Licenciatura em Ciências Biológicas - Ana Ruth Silva - Planejamento, Gestão Educacional e Currículo/a - Nota Máxima: 10")</f>
        <v>#SLCBA - Segunda Licenciatura em Ciências Biológicas - Segunda Licenciatura em Ciências Biológicas - Ana Ruth Silva - Planejamento, Gestão Educacional e Currículo/a - Nota Máxima: 10</v>
      </c>
    </row>
    <row r="746">
      <c r="A746" s="390" t="str">
        <f>IFERROR(__xludf.DUMMYFUNCTION("""COMPUTED_VALUE"""),"#SLCBA - Segunda Licenciatura em Ciências Biológicas - Segunda Licenciatura em Ciências Biológicas - Ana Ruth Silva - Planejamento, Gestão Educacional e Currículo/a - Nota Máxima: 10")</f>
        <v>#SLCBA - Segunda Licenciatura em Ciências Biológicas - Segunda Licenciatura em Ciências Biológicas - Ana Ruth Silva - Planejamento, Gestão Educacional e Currículo/a - Nota Máxima: 10</v>
      </c>
    </row>
    <row r="747">
      <c r="A747" s="390" t="str">
        <f>IFERROR(__xludf.DUMMYFUNCTION("""COMPUTED_VALUE"""),"#SLCBA - Segunda Licenciatura em Ciências Biológicas - Segunda Licenciatura em Ciências Biológicas - Ana Ruth Silva - Práticas Pedagógicas - 400 Horas - Nota Máxima: 10")</f>
        <v>#SLCBA - Segunda Licenciatura em Ciências Biológicas - Segunda Licenciatura em Ciências Biológicas - Ana Ruth Silva - Práticas Pedagógicas - 400 Horas - Nota Máxima: 10</v>
      </c>
    </row>
    <row r="748">
      <c r="A748" s="390" t="str">
        <f>IFERROR(__xludf.DUMMYFUNCTION("""COMPUTED_VALUE"""),"#SLCBA - Segunda Licenciatura em Ciências Biológicas - Segunda Licenciatura em Ciências Biológicas - Ana Ruth Silva - Práticas Pedagógicas - 400 Horas - Nota Máxima: 10")</f>
        <v>#SLCBA - Segunda Licenciatura em Ciências Biológicas - Segunda Licenciatura em Ciências Biológicas - Ana Ruth Silva - Práticas Pedagógicas - 400 Horas - Nota Máxima: 10</v>
      </c>
    </row>
    <row r="749">
      <c r="A749" s="390" t="str">
        <f>IFERROR(__xludf.DUMMYFUNCTION("""COMPUTED_VALUE"""),"#SLCBA - Segunda Licenciatura em Ciências Biológicas - Segunda Licenciatura em Ciências Biológicas - Ana Ruth Silva - Psicologia da Educação/a - Nota Máxima: 7")</f>
        <v>#SLCBA - Segunda Licenciatura em Ciências Biológicas - Segunda Licenciatura em Ciências Biológicas - Ana Ruth Silva - Psicologia da Educação/a - Nota Máxima: 7</v>
      </c>
    </row>
    <row r="750">
      <c r="A750" s="390" t="str">
        <f>IFERROR(__xludf.DUMMYFUNCTION("""COMPUTED_VALUE"""),"#SLCBA - Segunda Licenciatura em Ciências Biológicas - Segunda Licenciatura em Ciências Biológicas - Ana Ruth Silva - Psicologia da Educação/a - Nota Máxima: 7")</f>
        <v>#SLCBA - Segunda Licenciatura em Ciências Biológicas - Segunda Licenciatura em Ciências Biológicas - Ana Ruth Silva - Psicologia da Educação/a - Nota Máxima: 7</v>
      </c>
    </row>
    <row r="751">
      <c r="A751" s="390" t="str">
        <f>IFERROR(__xludf.DUMMYFUNCTION("""COMPUTED_VALUE"""),"#SLCBA - Segunda Licenciatura em Ciências Biológicas - Segunda Licenciatura em Ciências Biológicas - Jucileia Paula Coelho - Análises Clínicas e Microbiologia - Nota Máxima: 9")</f>
        <v>#SLCBA - Segunda Licenciatura em Ciências Biológicas - Segunda Licenciatura em Ciências Biológicas - Jucileia Paula Coelho - Análises Clínicas e Microbiologia - Nota Máxima: 9</v>
      </c>
    </row>
    <row r="752">
      <c r="A752" s="390" t="str">
        <f>IFERROR(__xludf.DUMMYFUNCTION("""COMPUTED_VALUE"""),"#SLCBA - Segunda Licenciatura em Ciências Biológicas - Segunda Licenciatura em Ciências Biológicas - Jucileia Paula Coelho - Análises Clínicas e Microbiologia - Nota Máxima: 9")</f>
        <v>#SLCBA - Segunda Licenciatura em Ciências Biológicas - Segunda Licenciatura em Ciências Biológicas - Jucileia Paula Coelho - Análises Clínicas e Microbiologia - Nota Máxima: 9</v>
      </c>
    </row>
    <row r="753">
      <c r="A753" s="390" t="str">
        <f>IFERROR(__xludf.DUMMYFUNCTION("""COMPUTED_VALUE"""),"#SLCBA - Segunda Licenciatura em Ciências Biológicas - Segunda Licenciatura em Ciências Biológicas - Jucileia Paula Coelho - Anatomia e Fisiologia Humana - Nota Máxima: 10")</f>
        <v>#SLCBA - Segunda Licenciatura em Ciências Biológicas - Segunda Licenciatura em Ciências Biológicas - Jucileia Paula Coelho - Anatomia e Fisiologia Humana - Nota Máxima: 10</v>
      </c>
    </row>
    <row r="754">
      <c r="A754" s="390" t="str">
        <f>IFERROR(__xludf.DUMMYFUNCTION("""COMPUTED_VALUE"""),"#SLCBA - Segunda Licenciatura em Ciências Biológicas - Segunda Licenciatura em Ciências Biológicas - Jucileia Paula Coelho - Anatomia e Fisiologia Humana - Nota Máxima: 7")</f>
        <v>#SLCBA - Segunda Licenciatura em Ciências Biológicas - Segunda Licenciatura em Ciências Biológicas - Jucileia Paula Coelho - Anatomia e Fisiologia Humana - Nota Máxima: 7</v>
      </c>
    </row>
    <row r="755">
      <c r="A755" s="390" t="str">
        <f>IFERROR(__xludf.DUMMYFUNCTION("""COMPUTED_VALUE"""),"#SLCBA - Segunda Licenciatura em Ciências Biológicas - Segunda Licenciatura em Ciências Biológicas - Jucileia Paula Coelho - Ciências Exatas e da Terra - Nota Máxima: 10")</f>
        <v>#SLCBA - Segunda Licenciatura em Ciências Biológicas - Segunda Licenciatura em Ciências Biológicas - Jucileia Paula Coelho - Ciências Exatas e da Terra - Nota Máxima: 10</v>
      </c>
    </row>
    <row r="756">
      <c r="A756" s="390" t="str">
        <f>IFERROR(__xludf.DUMMYFUNCTION("""COMPUTED_VALUE"""),"#SLCBA - Segunda Licenciatura em Ciências Biológicas - Segunda Licenciatura em Ciências Biológicas - Jucileia Paula Coelho - Ciências Exatas e da Terra - Nota Máxima: 9")</f>
        <v>#SLCBA - Segunda Licenciatura em Ciências Biológicas - Segunda Licenciatura em Ciências Biológicas - Jucileia Paula Coelho - Ciências Exatas e da Terra - Nota Máxima: 9</v>
      </c>
    </row>
    <row r="757">
      <c r="A757" s="390" t="str">
        <f>IFERROR(__xludf.DUMMYFUNCTION("""COMPUTED_VALUE"""),"#SLCBA - Segunda Licenciatura em Ciências Biológicas - Segunda Licenciatura em Ciências Biológicas - Jucileia Paula Coelho - Deficiência Auditiva e Libras/a - Nota Máxima: 10")</f>
        <v>#SLCBA - Segunda Licenciatura em Ciências Biológicas - Segunda Licenciatura em Ciências Biológicas - Jucileia Paula Coelho - Deficiência Auditiva e Libras/a - Nota Máxima: 10</v>
      </c>
    </row>
    <row r="758">
      <c r="A758" s="390" t="str">
        <f>IFERROR(__xludf.DUMMYFUNCTION("""COMPUTED_VALUE"""),"#SLCBA - Segunda Licenciatura em Ciências Biológicas - Segunda Licenciatura em Ciências Biológicas - Jucileia Paula Coelho - Deficiência Auditiva e Libras/a - Nota Máxima: 6")</f>
        <v>#SLCBA - Segunda Licenciatura em Ciências Biológicas - Segunda Licenciatura em Ciências Biológicas - Jucileia Paula Coelho - Deficiência Auditiva e Libras/a - Nota Máxima: 6</v>
      </c>
    </row>
    <row r="759">
      <c r="A759" s="390" t="str">
        <f>IFERROR(__xludf.DUMMYFUNCTION("""COMPUTED_VALUE"""),"#SLCBA - Segunda Licenciatura em Ciências Biológicas - Segunda Licenciatura em Ciências Biológicas - Jucileia Paula Coelho - Educação e as Tic's - Nota Máxima: 10")</f>
        <v>#SLCBA - Segunda Licenciatura em Ciências Biológicas - Segunda Licenciatura em Ciências Biológicas - Jucileia Paula Coelho - Educação e as Tic's - Nota Máxima: 10</v>
      </c>
    </row>
    <row r="760">
      <c r="A760" s="390" t="str">
        <f>IFERROR(__xludf.DUMMYFUNCTION("""COMPUTED_VALUE"""),"#SLCBA - Segunda Licenciatura em Ciências Biológicas - Segunda Licenciatura em Ciências Biológicas - Jucileia Paula Coelho - Educação e as Tic's - Nota Máxima: 7")</f>
        <v>#SLCBA - Segunda Licenciatura em Ciências Biológicas - Segunda Licenciatura em Ciências Biológicas - Jucileia Paula Coelho - Educação e as Tic's - Nota Máxima: 7</v>
      </c>
    </row>
    <row r="761">
      <c r="A761" s="390" t="str">
        <f>IFERROR(__xludf.DUMMYFUNCTION("""COMPUTED_VALUE"""),"#SLCBA - Segunda Licenciatura em Ciências Biológicas - Segunda Licenciatura em Ciências Biológicas - Jucileia Paula Coelho - Educação Especial, Inclusão Escolar e Adaptações Curriculares - Nota Máxima: 10")</f>
        <v>#SLCBA - Segunda Licenciatura em Ciências Biológicas - Segunda Licenciatura em Ciências Biológicas - Jucileia Paula Coelho - Educação Especial, Inclusão Escolar e Adaptações Curriculares - Nota Máxima: 10</v>
      </c>
    </row>
    <row r="762">
      <c r="A762" s="390" t="str">
        <f>IFERROR(__xludf.DUMMYFUNCTION("""COMPUTED_VALUE"""),"#SLCBA - Segunda Licenciatura em Ciências Biológicas - Segunda Licenciatura em Ciências Biológicas - Jucileia Paula Coelho - Educação Especial, Inclusão Escolar e Adaptações Curriculares - Nota Máxima: 9")</f>
        <v>#SLCBA - Segunda Licenciatura em Ciências Biológicas - Segunda Licenciatura em Ciências Biológicas - Jucileia Paula Coelho - Educação Especial, Inclusão Escolar e Adaptações Curriculares - Nota Máxima: 9</v>
      </c>
    </row>
    <row r="763">
      <c r="A763" s="390" t="str">
        <f>IFERROR(__xludf.DUMMYFUNCTION("""COMPUTED_VALUE"""),"#SLCBA - Segunda Licenciatura em Ciências Biológicas - Segunda Licenciatura em Ciências Biológicas - Jucileia Paula Coelho - Educação, História, Cultura e Práticas Indígenas/a - Nota Máxima: 8")</f>
        <v>#SLCBA - Segunda Licenciatura em Ciências Biológicas - Segunda Licenciatura em Ciências Biológicas - Jucileia Paula Coelho - Educação, História, Cultura e Práticas Indígenas/a - Nota Máxima: 8</v>
      </c>
    </row>
    <row r="764">
      <c r="A764" s="390" t="str">
        <f>IFERROR(__xludf.DUMMYFUNCTION("""COMPUTED_VALUE"""),"#SLCBA - Segunda Licenciatura em Ciências Biológicas - Segunda Licenciatura em Ciências Biológicas - Jucileia Paula Coelho - Educação, História, Cultura e Práticas Indígenas/a - Nota Máxima: 5")</f>
        <v>#SLCBA - Segunda Licenciatura em Ciências Biológicas - Segunda Licenciatura em Ciências Biológicas - Jucileia Paula Coelho - Educação, História, Cultura e Práticas Indígenas/a - Nota Máxima: 5</v>
      </c>
    </row>
    <row r="765">
      <c r="A765" s="390" t="str">
        <f>IFERROR(__xludf.DUMMYFUNCTION("""COMPUTED_VALUE"""),"#SLCBA - Segunda Licenciatura em Ciências Biológicas - Segunda Licenciatura em Ciências Biológicas - Jucileia Paula Coelho - Ensino de Ciência e Biologia na Educação Básica - Nota Máxima: 9")</f>
        <v>#SLCBA - Segunda Licenciatura em Ciências Biológicas - Segunda Licenciatura em Ciências Biológicas - Jucileia Paula Coelho - Ensino de Ciência e Biologia na Educação Básica - Nota Máxima: 9</v>
      </c>
    </row>
    <row r="766">
      <c r="A766" s="390" t="str">
        <f>IFERROR(__xludf.DUMMYFUNCTION("""COMPUTED_VALUE"""),"#SLCBA - Segunda Licenciatura em Ciências Biológicas - Segunda Licenciatura em Ciências Biológicas - Jucileia Paula Coelho - Ensino de Ciência e Biologia na Educação Básica - Nota Máxima: 7")</f>
        <v>#SLCBA - Segunda Licenciatura em Ciências Biológicas - Segunda Licenciatura em Ciências Biológicas - Jucileia Paula Coelho - Ensino de Ciência e Biologia na Educação Básica - Nota Máxima: 7</v>
      </c>
    </row>
    <row r="767">
      <c r="A767" s="390" t="str">
        <f>IFERROR(__xludf.DUMMYFUNCTION("""COMPUTED_VALUE"""),"#SLCBA - Segunda Licenciatura em Ciências Biológicas - Segunda Licenciatura em Ciências Biológicas - Jucileia Paula Coelho - Imunologia e Microbiologia - Nota Máxima: 10")</f>
        <v>#SLCBA - Segunda Licenciatura em Ciências Biológicas - Segunda Licenciatura em Ciências Biológicas - Jucileia Paula Coelho - Imunologia e Microbiologia - Nota Máxima: 10</v>
      </c>
    </row>
    <row r="768">
      <c r="A768" s="390" t="str">
        <f>IFERROR(__xludf.DUMMYFUNCTION("""COMPUTED_VALUE"""),"#SLCBA - Segunda Licenciatura em Ciências Biológicas - Segunda Licenciatura em Ciências Biológicas - Jucileia Paula Coelho - Imunologia e Microbiologia - Nota Máxima: 6")</f>
        <v>#SLCBA - Segunda Licenciatura em Ciências Biológicas - Segunda Licenciatura em Ciências Biológicas - Jucileia Paula Coelho - Imunologia e Microbiologia - Nota Máxima: 6</v>
      </c>
    </row>
    <row r="769">
      <c r="A769" s="390" t="str">
        <f>IFERROR(__xludf.DUMMYFUNCTION("""COMPUTED_VALUE"""),"#SLCBA - Segunda Licenciatura em Ciências Biológicas - Segunda Licenciatura em Ciências Biológicas - Jucileia Paula Coelho - Introdução à Educação Ambiental - Nota Máxima: 5")</f>
        <v>#SLCBA - Segunda Licenciatura em Ciências Biológicas - Segunda Licenciatura em Ciências Biológicas - Jucileia Paula Coelho - Introdução à Educação Ambiental - Nota Máxima: 5</v>
      </c>
    </row>
    <row r="770">
      <c r="A770" s="390" t="str">
        <f>IFERROR(__xludf.DUMMYFUNCTION("""COMPUTED_VALUE"""),"#SLCBA - Segunda Licenciatura em Ciências Biológicas - Segunda Licenciatura em Ciências Biológicas - Jucileia Paula Coelho - Introdução à Educação Ambiental - Nota Máxima: 4")</f>
        <v>#SLCBA - Segunda Licenciatura em Ciências Biológicas - Segunda Licenciatura em Ciências Biológicas - Jucileia Paula Coelho - Introdução à Educação Ambiental - Nota Máxima: 4</v>
      </c>
    </row>
    <row r="771">
      <c r="A771" s="390" t="str">
        <f>IFERROR(__xludf.DUMMYFUNCTION("""COMPUTED_VALUE"""),"#SLCBA - Segunda Licenciatura em Ciências Biológicas - Segunda Licenciatura em Ciências Biológicas - Jucileia Paula Coelho - Legislação Educacional/a - Nota Máxima: 10")</f>
        <v>#SLCBA - Segunda Licenciatura em Ciências Biológicas - Segunda Licenciatura em Ciências Biológicas - Jucileia Paula Coelho - Legislação Educacional/a - Nota Máxima: 10</v>
      </c>
    </row>
    <row r="772">
      <c r="A772" s="390" t="str">
        <f>IFERROR(__xludf.DUMMYFUNCTION("""COMPUTED_VALUE"""),"#SLCBA - Segunda Licenciatura em Ciências Biológicas - Segunda Licenciatura em Ciências Biológicas - Jucileia Paula Coelho - Legislação Educacional/a - Nota Máxima: 7")</f>
        <v>#SLCBA - Segunda Licenciatura em Ciências Biológicas - Segunda Licenciatura em Ciências Biológicas - Jucileia Paula Coelho - Legislação Educacional/a - Nota Máxima: 7</v>
      </c>
    </row>
    <row r="773">
      <c r="A773" s="390" t="str">
        <f>IFERROR(__xludf.DUMMYFUNCTION("""COMPUTED_VALUE"""),"#SLCBA - Segunda Licenciatura em Ciências Biológicas - Segunda Licenciatura em Ciências Biológicas - Jucileia Paula Coelho - Planejamento, Gestão Educacional e Currículo/a - Nota Máxima: 10")</f>
        <v>#SLCBA - Segunda Licenciatura em Ciências Biológicas - Segunda Licenciatura em Ciências Biológicas - Jucileia Paula Coelho - Planejamento, Gestão Educacional e Currículo/a - Nota Máxima: 10</v>
      </c>
    </row>
    <row r="774">
      <c r="A774" s="390" t="str">
        <f>IFERROR(__xludf.DUMMYFUNCTION("""COMPUTED_VALUE"""),"#SLCBA - Segunda Licenciatura em Ciências Biológicas - Segunda Licenciatura em Ciências Biológicas - Jucileia Paula Coelho - Planejamento, Gestão Educacional e Currículo/a - Nota Máxima: 10")</f>
        <v>#SLCBA - Segunda Licenciatura em Ciências Biológicas - Segunda Licenciatura em Ciências Biológicas - Jucileia Paula Coelho - Planejamento, Gestão Educacional e Currículo/a - Nota Máxima: 10</v>
      </c>
    </row>
    <row r="775">
      <c r="A775" s="390" t="str">
        <f>IFERROR(__xludf.DUMMYFUNCTION("""COMPUTED_VALUE"""),"#SLCBA - Segunda Licenciatura em Ciências Biológicas - Segunda Licenciatura em Ciências Biológicas - Jucileia Paula Coelho - Práticas Pedagógicas - 400 Horas - Nota Máxima: 4")</f>
        <v>#SLCBA - Segunda Licenciatura em Ciências Biológicas - Segunda Licenciatura em Ciências Biológicas - Jucileia Paula Coelho - Práticas Pedagógicas - 400 Horas - Nota Máxima: 4</v>
      </c>
    </row>
    <row r="776">
      <c r="A776" s="390" t="str">
        <f>IFERROR(__xludf.DUMMYFUNCTION("""COMPUTED_VALUE"""),"#SLCBA - Segunda Licenciatura em Ciências Biológicas - Segunda Licenciatura em Ciências Biológicas - Jucileia Paula Coelho - Práticas Pedagógicas - 400 Horas - Nota Máxima: 4")</f>
        <v>#SLCBA - Segunda Licenciatura em Ciências Biológicas - Segunda Licenciatura em Ciências Biológicas - Jucileia Paula Coelho - Práticas Pedagógicas - 400 Horas - Nota Máxima: 4</v>
      </c>
    </row>
    <row r="777">
      <c r="A777" s="390" t="str">
        <f>IFERROR(__xludf.DUMMYFUNCTION("""COMPUTED_VALUE"""),"#SLCBA - Segunda Licenciatura em Ciências Biológicas - Segunda Licenciatura em Ciências Biológicas - Jucileia Paula Coelho - Psicologia da Educação/a - Nota Máxima: 10")</f>
        <v>#SLCBA - Segunda Licenciatura em Ciências Biológicas - Segunda Licenciatura em Ciências Biológicas - Jucileia Paula Coelho - Psicologia da Educação/a - Nota Máxima: 10</v>
      </c>
    </row>
    <row r="778">
      <c r="A778" s="390" t="str">
        <f>IFERROR(__xludf.DUMMYFUNCTION("""COMPUTED_VALUE"""),"#SLCBA - Segunda Licenciatura em Ciências Biológicas - Segunda Licenciatura em Ciências Biológicas - Jucileia Paula Coelho - Psicologia da Educação/a - Nota Máxima: 5")</f>
        <v>#SLCBA - Segunda Licenciatura em Ciências Biológicas - Segunda Licenciatura em Ciências Biológicas - Jucileia Paula Coelho - Psicologia da Educação/a - Nota Máxima: 5</v>
      </c>
    </row>
    <row r="779">
      <c r="A779" s="390" t="str">
        <f>IFERROR(__xludf.DUMMYFUNCTION("""COMPUTED_VALUE"""),"#SLCBA - Segunda Licenciatura em Ciências Biológicas - Segunda Licenciatura em Ciências Biológicas - Isabel Luiz Garcia - Análises Clínicas e Microbiologia - Nota Máxima: 10")</f>
        <v>#SLCBA - Segunda Licenciatura em Ciências Biológicas - Segunda Licenciatura em Ciências Biológicas - Isabel Luiz Garcia - Análises Clínicas e Microbiologia - Nota Máxima: 10</v>
      </c>
    </row>
    <row r="780">
      <c r="A780" s="390" t="str">
        <f>IFERROR(__xludf.DUMMYFUNCTION("""COMPUTED_VALUE"""),"#SLCBA - Segunda Licenciatura em Ciências Biológicas - Segunda Licenciatura em Ciências Biológicas - Isabel Luiz Garcia - Análises Clínicas e Microbiologia - Nota Máxima: 4")</f>
        <v>#SLCBA - Segunda Licenciatura em Ciências Biológicas - Segunda Licenciatura em Ciências Biológicas - Isabel Luiz Garcia - Análises Clínicas e Microbiologia - Nota Máxima: 4</v>
      </c>
    </row>
    <row r="781">
      <c r="A781" s="390" t="str">
        <f>IFERROR(__xludf.DUMMYFUNCTION("""COMPUTED_VALUE"""),"#SLCBA - Segunda Licenciatura em Ciências Biológicas - Segunda Licenciatura em Ciências Biológicas - Isabel Luiz Garcia - Anatomia e Fisiologia Humana - Nota Máxima: 10")</f>
        <v>#SLCBA - Segunda Licenciatura em Ciências Biológicas - Segunda Licenciatura em Ciências Biológicas - Isabel Luiz Garcia - Anatomia e Fisiologia Humana - Nota Máxima: 10</v>
      </c>
    </row>
    <row r="782">
      <c r="A782" s="390" t="str">
        <f>IFERROR(__xludf.DUMMYFUNCTION("""COMPUTED_VALUE"""),"#SLCBA - Segunda Licenciatura em Ciências Biológicas - Segunda Licenciatura em Ciências Biológicas - Isabel Luiz Garcia - Anatomia e Fisiologia Humana - Nota Máxima: 10")</f>
        <v>#SLCBA - Segunda Licenciatura em Ciências Biológicas - Segunda Licenciatura em Ciências Biológicas - Isabel Luiz Garcia - Anatomia e Fisiologia Humana - Nota Máxima: 10</v>
      </c>
    </row>
    <row r="783">
      <c r="A783" s="390" t="str">
        <f>IFERROR(__xludf.DUMMYFUNCTION("""COMPUTED_VALUE"""),"#SLCBA - Segunda Licenciatura em Ciências Biológicas - Segunda Licenciatura em Ciências Biológicas - Isabel Luiz Garcia - Ciências Exatas e da Terra - Nota Máxima: 10")</f>
        <v>#SLCBA - Segunda Licenciatura em Ciências Biológicas - Segunda Licenciatura em Ciências Biológicas - Isabel Luiz Garcia - Ciências Exatas e da Terra - Nota Máxima: 10</v>
      </c>
    </row>
    <row r="784">
      <c r="A784" s="390" t="str">
        <f>IFERROR(__xludf.DUMMYFUNCTION("""COMPUTED_VALUE"""),"#SLCBA - Segunda Licenciatura em Ciências Biológicas - Segunda Licenciatura em Ciências Biológicas - Isabel Luiz Garcia - Ciências Exatas e da Terra - Nota Máxima: 10")</f>
        <v>#SLCBA - Segunda Licenciatura em Ciências Biológicas - Segunda Licenciatura em Ciências Biológicas - Isabel Luiz Garcia - Ciências Exatas e da Terra - Nota Máxima: 10</v>
      </c>
    </row>
    <row r="785">
      <c r="A785" s="390" t="str">
        <f>IFERROR(__xludf.DUMMYFUNCTION("""COMPUTED_VALUE"""),"#SLCBA - Segunda Licenciatura em Ciências Biológicas - Segunda Licenciatura em Ciências Biológicas - Isabel Luiz Garcia - Deficiência Auditiva e Libras/a - Nota Máxima: 10")</f>
        <v>#SLCBA - Segunda Licenciatura em Ciências Biológicas - Segunda Licenciatura em Ciências Biológicas - Isabel Luiz Garcia - Deficiência Auditiva e Libras/a - Nota Máxima: 10</v>
      </c>
    </row>
    <row r="786">
      <c r="A786" s="390" t="str">
        <f>IFERROR(__xludf.DUMMYFUNCTION("""COMPUTED_VALUE"""),"#SLCBA - Segunda Licenciatura em Ciências Biológicas - Segunda Licenciatura em Ciências Biológicas - Isabel Luiz Garcia - Deficiência Auditiva e Libras/a - Nota Máxima: 10")</f>
        <v>#SLCBA - Segunda Licenciatura em Ciências Biológicas - Segunda Licenciatura em Ciências Biológicas - Isabel Luiz Garcia - Deficiência Auditiva e Libras/a - Nota Máxima: 10</v>
      </c>
    </row>
    <row r="787">
      <c r="A787" s="390" t="str">
        <f>IFERROR(__xludf.DUMMYFUNCTION("""COMPUTED_VALUE"""),"#SLCBA - Segunda Licenciatura em Ciências Biológicas - Segunda Licenciatura em Ciências Biológicas - Isabel Luiz Garcia - Educação e as Tic's - Nota Máxima: 9")</f>
        <v>#SLCBA - Segunda Licenciatura em Ciências Biológicas - Segunda Licenciatura em Ciências Biológicas - Isabel Luiz Garcia - Educação e as Tic's - Nota Máxima: 9</v>
      </c>
    </row>
    <row r="788">
      <c r="A788" s="390" t="str">
        <f>IFERROR(__xludf.DUMMYFUNCTION("""COMPUTED_VALUE"""),"#SLCBA - Segunda Licenciatura em Ciências Biológicas - Segunda Licenciatura em Ciências Biológicas - Isabel Luiz Garcia - Educação Especial, Inclusão Escolar e Adaptações Curriculares - Nota Máxima: 9")</f>
        <v>#SLCBA - Segunda Licenciatura em Ciências Biológicas - Segunda Licenciatura em Ciências Biológicas - Isabel Luiz Garcia - Educação Especial, Inclusão Escolar e Adaptações Curriculares - Nota Máxima: 9</v>
      </c>
    </row>
    <row r="789">
      <c r="A789" s="390" t="str">
        <f>IFERROR(__xludf.DUMMYFUNCTION("""COMPUTED_VALUE"""),"#SLCBA - Segunda Licenciatura em Ciências Biológicas - Segunda Licenciatura em Ciências Biológicas - Isabel Luiz Garcia - Educação, História, Cultura e Práticas Indígenas/a - Nota Máxima: 8")</f>
        <v>#SLCBA - Segunda Licenciatura em Ciências Biológicas - Segunda Licenciatura em Ciências Biológicas - Isabel Luiz Garcia - Educação, História, Cultura e Práticas Indígenas/a - Nota Máxima: 8</v>
      </c>
    </row>
    <row r="790">
      <c r="A790" s="390" t="str">
        <f>IFERROR(__xludf.DUMMYFUNCTION("""COMPUTED_VALUE"""),"#SLCBA - Segunda Licenciatura em Ciências Biológicas - Segunda Licenciatura em Ciências Biológicas - Isabel Luiz Garcia - Ensino de Ciência e Biologia na Educação Básica - Nota Máxima: 9")</f>
        <v>#SLCBA - Segunda Licenciatura em Ciências Biológicas - Segunda Licenciatura em Ciências Biológicas - Isabel Luiz Garcia - Ensino de Ciência e Biologia na Educação Básica - Nota Máxima: 9</v>
      </c>
    </row>
    <row r="791">
      <c r="A791" s="390" t="str">
        <f>IFERROR(__xludf.DUMMYFUNCTION("""COMPUTED_VALUE"""),"#SLCBA - Segunda Licenciatura em Ciências Biológicas - Segunda Licenciatura em Ciências Biológicas - Isabel Luiz Garcia - Imunologia e Microbiologia - Nota Máxima: 9")</f>
        <v>#SLCBA - Segunda Licenciatura em Ciências Biológicas - Segunda Licenciatura em Ciências Biológicas - Isabel Luiz Garcia - Imunologia e Microbiologia - Nota Máxima: 9</v>
      </c>
    </row>
    <row r="792">
      <c r="A792" s="390" t="str">
        <f>IFERROR(__xludf.DUMMYFUNCTION("""COMPUTED_VALUE"""),"#SLCBA - Segunda Licenciatura em Ciências Biológicas - Segunda Licenciatura em Ciências Biológicas - Isabel Luiz Garcia - Introdução à Educação Ambiental - Nota Máxima: 9")</f>
        <v>#SLCBA - Segunda Licenciatura em Ciências Biológicas - Segunda Licenciatura em Ciências Biológicas - Isabel Luiz Garcia - Introdução à Educação Ambiental - Nota Máxima: 9</v>
      </c>
    </row>
    <row r="793">
      <c r="A793" s="390" t="str">
        <f>IFERROR(__xludf.DUMMYFUNCTION("""COMPUTED_VALUE"""),"#SLCBA - Segunda Licenciatura em Ciências Biológicas - Segunda Licenciatura em Ciências Biológicas - Isabel Luiz Garcia - Legislação Educacional/a - Nota Máxima: 9")</f>
        <v>#SLCBA - Segunda Licenciatura em Ciências Biológicas - Segunda Licenciatura em Ciências Biológicas - Isabel Luiz Garcia - Legislação Educacional/a - Nota Máxima: 9</v>
      </c>
    </row>
    <row r="794">
      <c r="A794" s="390" t="str">
        <f>IFERROR(__xludf.DUMMYFUNCTION("""COMPUTED_VALUE"""),"#SLCBA - Segunda Licenciatura em Ciências Biológicas - Segunda Licenciatura em Ciências Biológicas - Isabel Luiz Garcia - Planejamento, Gestão Educacional e Currículo/a - Nota Máxima: 9")</f>
        <v>#SLCBA - Segunda Licenciatura em Ciências Biológicas - Segunda Licenciatura em Ciências Biológicas - Isabel Luiz Garcia - Planejamento, Gestão Educacional e Currículo/a - Nota Máxima: 9</v>
      </c>
    </row>
    <row r="795">
      <c r="A795" s="390" t="str">
        <f>IFERROR(__xludf.DUMMYFUNCTION("""COMPUTED_VALUE"""),"#SLCBA - Segunda Licenciatura em Ciências Biológicas - Segunda Licenciatura em Ciências Biológicas - Isabel Luiz Garcia - Práticas Pedagógicas - 400 Horas - Nota Máxima: 10")</f>
        <v>#SLCBA - Segunda Licenciatura em Ciências Biológicas - Segunda Licenciatura em Ciências Biológicas - Isabel Luiz Garcia - Práticas Pedagógicas - 400 Horas - Nota Máxima: 10</v>
      </c>
    </row>
    <row r="796">
      <c r="A796" s="390" t="str">
        <f>IFERROR(__xludf.DUMMYFUNCTION("""COMPUTED_VALUE"""),"#SLCBA - Segunda Licenciatura em Ciências Biológicas - Segunda Licenciatura em Ciências Biológicas - Isabel Luiz Garcia - Psicologia da Educação/a - Nota Máxima: 9")</f>
        <v>#SLCBA - Segunda Licenciatura em Ciências Biológicas - Segunda Licenciatura em Ciências Biológicas - Isabel Luiz Garcia - Psicologia da Educação/a - Nota Máxima: 9</v>
      </c>
    </row>
    <row r="797">
      <c r="A797" s="390" t="str">
        <f>IFERROR(__xludf.DUMMYFUNCTION("""COMPUTED_VALUE"""),"#SLCBA - Segunda Licenciatura em Ciências Biológicas - Segunda Licenciatura em Ciências Biológicas - Nirlania Schmithberg - Análises Clínicas e Microbiologia - Nota Máxima: 8")</f>
        <v>#SLCBA - Segunda Licenciatura em Ciências Biológicas - Segunda Licenciatura em Ciências Biológicas - Nirlania Schmithberg - Análises Clínicas e Microbiologia - Nota Máxima: 8</v>
      </c>
    </row>
    <row r="798">
      <c r="A798" s="390" t="str">
        <f>IFERROR(__xludf.DUMMYFUNCTION("""COMPUTED_VALUE"""),"#SLCBA - Segunda Licenciatura em Ciências Biológicas - Segunda Licenciatura em Ciências Biológicas - Nirlania Schmithberg - Análises Clínicas e Microbiologia - Nota Máxima: 8")</f>
        <v>#SLCBA - Segunda Licenciatura em Ciências Biológicas - Segunda Licenciatura em Ciências Biológicas - Nirlania Schmithberg - Análises Clínicas e Microbiologia - Nota Máxima: 8</v>
      </c>
    </row>
    <row r="799">
      <c r="A799" s="390" t="str">
        <f>IFERROR(__xludf.DUMMYFUNCTION("""COMPUTED_VALUE"""),"#SLCBA - Segunda Licenciatura em Ciências Biológicas - Segunda Licenciatura em Ciências Biológicas - Nirlania Schmithberg - Anatomia e Fisiologia Humana - Nota Máxima: 10")</f>
        <v>#SLCBA - Segunda Licenciatura em Ciências Biológicas - Segunda Licenciatura em Ciências Biológicas - Nirlania Schmithberg - Anatomia e Fisiologia Humana - Nota Máxima: 10</v>
      </c>
    </row>
    <row r="800">
      <c r="A800" s="390" t="str">
        <f>IFERROR(__xludf.DUMMYFUNCTION("""COMPUTED_VALUE"""),"#SLCBA - Segunda Licenciatura em Ciências Biológicas - Segunda Licenciatura em Ciências Biológicas - Nirlania Schmithberg - Anatomia e Fisiologia Humana - Nota Máxima: 9")</f>
        <v>#SLCBA - Segunda Licenciatura em Ciências Biológicas - Segunda Licenciatura em Ciências Biológicas - Nirlania Schmithberg - Anatomia e Fisiologia Humana - Nota Máxima: 9</v>
      </c>
    </row>
    <row r="801">
      <c r="A801" s="390" t="str">
        <f>IFERROR(__xludf.DUMMYFUNCTION("""COMPUTED_VALUE"""),"#SLCBA - Segunda Licenciatura em Ciências Biológicas - Segunda Licenciatura em Ciências Biológicas - Nirlania Schmithberg - Ciências Exatas e da Terra - Nota Máxima: 10")</f>
        <v>#SLCBA - Segunda Licenciatura em Ciências Biológicas - Segunda Licenciatura em Ciências Biológicas - Nirlania Schmithberg - Ciências Exatas e da Terra - Nota Máxima: 10</v>
      </c>
    </row>
    <row r="802">
      <c r="A802" s="390" t="str">
        <f>IFERROR(__xludf.DUMMYFUNCTION("""COMPUTED_VALUE"""),"#SLCBA - Segunda Licenciatura em Ciências Biológicas - Segunda Licenciatura em Ciências Biológicas - Nirlania Schmithberg - Ciências Exatas e da Terra - Nota Máxima: 8")</f>
        <v>#SLCBA - Segunda Licenciatura em Ciências Biológicas - Segunda Licenciatura em Ciências Biológicas - Nirlania Schmithberg - Ciências Exatas e da Terra - Nota Máxima: 8</v>
      </c>
    </row>
    <row r="803">
      <c r="A803" s="390" t="str">
        <f>IFERROR(__xludf.DUMMYFUNCTION("""COMPUTED_VALUE"""),"#SLCBA - Segunda Licenciatura em Ciências Biológicas - Segunda Licenciatura em Ciências Biológicas - Nirlania Schmithberg - Deficiência Auditiva e Libras/a - Nota Máxima: 7")</f>
        <v>#SLCBA - Segunda Licenciatura em Ciências Biológicas - Segunda Licenciatura em Ciências Biológicas - Nirlania Schmithberg - Deficiência Auditiva e Libras/a - Nota Máxima: 7</v>
      </c>
    </row>
    <row r="804">
      <c r="A804" s="390" t="str">
        <f>IFERROR(__xludf.DUMMYFUNCTION("""COMPUTED_VALUE"""),"#SLCBA - Segunda Licenciatura em Ciências Biológicas - Segunda Licenciatura em Ciências Biológicas - Nirlania Schmithberg - Deficiência Auditiva e Libras/a - Nota Máxima: 7")</f>
        <v>#SLCBA - Segunda Licenciatura em Ciências Biológicas - Segunda Licenciatura em Ciências Biológicas - Nirlania Schmithberg - Deficiência Auditiva e Libras/a - Nota Máxima: 7</v>
      </c>
    </row>
    <row r="805">
      <c r="A805" s="390" t="str">
        <f>IFERROR(__xludf.DUMMYFUNCTION("""COMPUTED_VALUE"""),"#SLCBA - Segunda Licenciatura em Ciências Biológicas - Segunda Licenciatura em Ciências Biológicas - Nirlania Schmithberg - Educação e as Tic's - Nota Máxima: 9")</f>
        <v>#SLCBA - Segunda Licenciatura em Ciências Biológicas - Segunda Licenciatura em Ciências Biológicas - Nirlania Schmithberg - Educação e as Tic's - Nota Máxima: 9</v>
      </c>
    </row>
    <row r="806">
      <c r="A806" s="390" t="str">
        <f>IFERROR(__xludf.DUMMYFUNCTION("""COMPUTED_VALUE"""),"#SLCBA - Segunda Licenciatura em Ciências Biológicas - Segunda Licenciatura em Ciências Biológicas - Nirlania Schmithberg - Educação e as Tic's - Nota Máxima: 10")</f>
        <v>#SLCBA - Segunda Licenciatura em Ciências Biológicas - Segunda Licenciatura em Ciências Biológicas - Nirlania Schmithberg - Educação e as Tic's - Nota Máxima: 10</v>
      </c>
    </row>
    <row r="807">
      <c r="A807" s="390" t="str">
        <f>IFERROR(__xludf.DUMMYFUNCTION("""COMPUTED_VALUE"""),"#SLCBA - Segunda Licenciatura em Ciências Biológicas - Segunda Licenciatura em Ciências Biológicas - Nirlania Schmithberg - Educação Especial, Inclusão Escolar e Adaptações Curriculares - Nota Máxima: 9")</f>
        <v>#SLCBA - Segunda Licenciatura em Ciências Biológicas - Segunda Licenciatura em Ciências Biológicas - Nirlania Schmithberg - Educação Especial, Inclusão Escolar e Adaptações Curriculares - Nota Máxima: 9</v>
      </c>
    </row>
    <row r="808">
      <c r="A808" s="390" t="str">
        <f>IFERROR(__xludf.DUMMYFUNCTION("""COMPUTED_VALUE"""),"#SLCBA - Segunda Licenciatura em Ciências Biológicas - Segunda Licenciatura em Ciências Biológicas - Nirlania Schmithberg - Educação Especial, Inclusão Escolar e Adaptações Curriculares - Nota Máxima: 7")</f>
        <v>#SLCBA - Segunda Licenciatura em Ciências Biológicas - Segunda Licenciatura em Ciências Biológicas - Nirlania Schmithberg - Educação Especial, Inclusão Escolar e Adaptações Curriculares - Nota Máxima: 7</v>
      </c>
    </row>
    <row r="809">
      <c r="A809" s="390" t="str">
        <f>IFERROR(__xludf.DUMMYFUNCTION("""COMPUTED_VALUE"""),"#SLCBA - Segunda Licenciatura em Ciências Biológicas - Segunda Licenciatura em Ciências Biológicas - Nirlania Schmithberg - Educação, História, Cultura e Práticas Indígenas/a - Nota Máxima: 8")</f>
        <v>#SLCBA - Segunda Licenciatura em Ciências Biológicas - Segunda Licenciatura em Ciências Biológicas - Nirlania Schmithberg - Educação, História, Cultura e Práticas Indígenas/a - Nota Máxima: 8</v>
      </c>
    </row>
    <row r="810">
      <c r="A810" s="390" t="str">
        <f>IFERROR(__xludf.DUMMYFUNCTION("""COMPUTED_VALUE"""),"#SLCBA - Segunda Licenciatura em Ciências Biológicas - Segunda Licenciatura em Ciências Biológicas - Nirlania Schmithberg - Educação, História, Cultura e Práticas Indígenas/a - Nota Máxima: 10")</f>
        <v>#SLCBA - Segunda Licenciatura em Ciências Biológicas - Segunda Licenciatura em Ciências Biológicas - Nirlania Schmithberg - Educação, História, Cultura e Práticas Indígenas/a - Nota Máxima: 10</v>
      </c>
    </row>
    <row r="811">
      <c r="A811" s="390" t="str">
        <f>IFERROR(__xludf.DUMMYFUNCTION("""COMPUTED_VALUE"""),"#SLCBA - Segunda Licenciatura em Ciências Biológicas - Segunda Licenciatura em Ciências Biológicas - Nirlania Schmithberg - Ensino de Ciência e Biologia na Educação Básica - Nota Máxima: 8")</f>
        <v>#SLCBA - Segunda Licenciatura em Ciências Biológicas - Segunda Licenciatura em Ciências Biológicas - Nirlania Schmithberg - Ensino de Ciência e Biologia na Educação Básica - Nota Máxima: 8</v>
      </c>
    </row>
    <row r="812">
      <c r="A812" s="390" t="str">
        <f>IFERROR(__xludf.DUMMYFUNCTION("""COMPUTED_VALUE"""),"#SLCBA - Segunda Licenciatura em Ciências Biológicas - Segunda Licenciatura em Ciências Biológicas - Nirlania Schmithberg - Ensino de Ciência e Biologia na Educação Básica - Nota Máxima: 6")</f>
        <v>#SLCBA - Segunda Licenciatura em Ciências Biológicas - Segunda Licenciatura em Ciências Biológicas - Nirlania Schmithberg - Ensino de Ciência e Biologia na Educação Básica - Nota Máxima: 6</v>
      </c>
    </row>
    <row r="813">
      <c r="A813" s="390" t="str">
        <f>IFERROR(__xludf.DUMMYFUNCTION("""COMPUTED_VALUE"""),"#SLCBA - Segunda Licenciatura em Ciências Biológicas - Segunda Licenciatura em Ciências Biológicas - Nirlania Schmithberg - Imunologia e Microbiologia - Nota Máxima: 10")</f>
        <v>#SLCBA - Segunda Licenciatura em Ciências Biológicas - Segunda Licenciatura em Ciências Biológicas - Nirlania Schmithberg - Imunologia e Microbiologia - Nota Máxima: 10</v>
      </c>
    </row>
    <row r="814">
      <c r="A814" s="390" t="str">
        <f>IFERROR(__xludf.DUMMYFUNCTION("""COMPUTED_VALUE"""),"#SLCBA - Segunda Licenciatura em Ciências Biológicas - Segunda Licenciatura em Ciências Biológicas - Nirlania Schmithberg - Imunologia e Microbiologia - Nota Máxima: 4")</f>
        <v>#SLCBA - Segunda Licenciatura em Ciências Biológicas - Segunda Licenciatura em Ciências Biológicas - Nirlania Schmithberg - Imunologia e Microbiologia - Nota Máxima: 4</v>
      </c>
    </row>
    <row r="815">
      <c r="A815" s="390" t="str">
        <f>IFERROR(__xludf.DUMMYFUNCTION("""COMPUTED_VALUE"""),"#SLCBA - Segunda Licenciatura em Ciências Biológicas - Segunda Licenciatura em Ciências Biológicas - Nirlania Schmithberg - Introdução à Educação Ambiental - Nota Máxima: 8")</f>
        <v>#SLCBA - Segunda Licenciatura em Ciências Biológicas - Segunda Licenciatura em Ciências Biológicas - Nirlania Schmithberg - Introdução à Educação Ambiental - Nota Máxima: 8</v>
      </c>
    </row>
    <row r="816">
      <c r="A816" s="390" t="str">
        <f>IFERROR(__xludf.DUMMYFUNCTION("""COMPUTED_VALUE"""),"#SLCBA - Segunda Licenciatura em Ciências Biológicas - Segunda Licenciatura em Ciências Biológicas - Nirlania Schmithberg - Introdução à Educação Ambiental - Nota Máxima: 8")</f>
        <v>#SLCBA - Segunda Licenciatura em Ciências Biológicas - Segunda Licenciatura em Ciências Biológicas - Nirlania Schmithberg - Introdução à Educação Ambiental - Nota Máxima: 8</v>
      </c>
    </row>
    <row r="817">
      <c r="A817" s="390" t="str">
        <f>IFERROR(__xludf.DUMMYFUNCTION("""COMPUTED_VALUE"""),"#SLCBA - Segunda Licenciatura em Ciências Biológicas - Segunda Licenciatura em Ciências Biológicas - Nirlania Schmithberg - Legislação Educacional/a - Nota Máxima: 10")</f>
        <v>#SLCBA - Segunda Licenciatura em Ciências Biológicas - Segunda Licenciatura em Ciências Biológicas - Nirlania Schmithberg - Legislação Educacional/a - Nota Máxima: 10</v>
      </c>
    </row>
    <row r="818">
      <c r="A818" s="390" t="str">
        <f>IFERROR(__xludf.DUMMYFUNCTION("""COMPUTED_VALUE"""),"#SLCBA - Segunda Licenciatura em Ciências Biológicas - Segunda Licenciatura em Ciências Biológicas - Nirlania Schmithberg - Legislação Educacional/a - Nota Máxima: 7")</f>
        <v>#SLCBA - Segunda Licenciatura em Ciências Biológicas - Segunda Licenciatura em Ciências Biológicas - Nirlania Schmithberg - Legislação Educacional/a - Nota Máxima: 7</v>
      </c>
    </row>
    <row r="819">
      <c r="A819" s="390" t="str">
        <f>IFERROR(__xludf.DUMMYFUNCTION("""COMPUTED_VALUE"""),"#SLCBA - Segunda Licenciatura em Ciências Biológicas - Segunda Licenciatura em Ciências Biológicas - Nirlania Schmithberg - Planejamento, Gestão Educacional e Currículo/a - Nota Máxima: 10")</f>
        <v>#SLCBA - Segunda Licenciatura em Ciências Biológicas - Segunda Licenciatura em Ciências Biológicas - Nirlania Schmithberg - Planejamento, Gestão Educacional e Currículo/a - Nota Máxima: 10</v>
      </c>
    </row>
    <row r="820">
      <c r="A820" s="390" t="str">
        <f>IFERROR(__xludf.DUMMYFUNCTION("""COMPUTED_VALUE"""),"#SLCBA - Segunda Licenciatura em Ciências Biológicas - Segunda Licenciatura em Ciências Biológicas - Nirlania Schmithberg - Planejamento, Gestão Educacional e Currículo/a - Nota Máxima: 10")</f>
        <v>#SLCBA - Segunda Licenciatura em Ciências Biológicas - Segunda Licenciatura em Ciências Biológicas - Nirlania Schmithberg - Planejamento, Gestão Educacional e Currículo/a - Nota Máxima: 10</v>
      </c>
    </row>
    <row r="821">
      <c r="A821" s="390" t="str">
        <f>IFERROR(__xludf.DUMMYFUNCTION("""COMPUTED_VALUE"""),"#SLCBA - Segunda Licenciatura em Ciências Biológicas - Segunda Licenciatura em Ciências Biológicas - Nirlania Schmithberg - Práticas Pedagógicas - 400 Horas - Nota Máxima: 4")</f>
        <v>#SLCBA - Segunda Licenciatura em Ciências Biológicas - Segunda Licenciatura em Ciências Biológicas - Nirlania Schmithberg - Práticas Pedagógicas - 400 Horas - Nota Máxima: 4</v>
      </c>
    </row>
    <row r="822">
      <c r="A822" s="390" t="str">
        <f>IFERROR(__xludf.DUMMYFUNCTION("""COMPUTED_VALUE"""),"#SLCBA - Segunda Licenciatura em Ciências Biológicas - Segunda Licenciatura em Ciências Biológicas - Nirlania Schmithberg - Práticas Pedagógicas - 400 Horas - Nota Máxima: 4")</f>
        <v>#SLCBA - Segunda Licenciatura em Ciências Biológicas - Segunda Licenciatura em Ciências Biológicas - Nirlania Schmithberg - Práticas Pedagógicas - 400 Horas - Nota Máxima: 4</v>
      </c>
    </row>
    <row r="823">
      <c r="A823" s="390" t="str">
        <f>IFERROR(__xludf.DUMMYFUNCTION("""COMPUTED_VALUE"""),"#SLCBA - Segunda Licenciatura em Ciências Biológicas - Segunda Licenciatura em Ciências Biológicas - Nirlania Schmithberg - Psicologia da Educação/a - Nota Máxima: 10")</f>
        <v>#SLCBA - Segunda Licenciatura em Ciências Biológicas - Segunda Licenciatura em Ciências Biológicas - Nirlania Schmithberg - Psicologia da Educação/a - Nota Máxima: 10</v>
      </c>
    </row>
    <row r="824">
      <c r="A824" s="390" t="str">
        <f>IFERROR(__xludf.DUMMYFUNCTION("""COMPUTED_VALUE"""),"#SLCBA - Segunda Licenciatura em Ciências Biológicas - Segunda Licenciatura em Ciências Biológicas - Nirlania Schmithberg - Psicologia da Educação/a - Nota Máxima: 3")</f>
        <v>#SLCBA - Segunda Licenciatura em Ciências Biológicas - Segunda Licenciatura em Ciências Biológicas - Nirlania Schmithberg - Psicologia da Educação/a - Nota Máxima: 3</v>
      </c>
    </row>
    <row r="825">
      <c r="A825" s="390" t="str">
        <f>IFERROR(__xludf.DUMMYFUNCTION("""COMPUTED_VALUE"""),"#SLCBA - Segunda Licenciatura em Ciências Biológicas - Segunda Licenciatura em Ciências Biológicas - Patrícia Pimenta Prado - Análises Clínicas e Microbiologia - Nota Máxima: 10")</f>
        <v>#SLCBA - Segunda Licenciatura em Ciências Biológicas - Segunda Licenciatura em Ciências Biológicas - Patrícia Pimenta Prado - Análises Clínicas e Microbiologia - Nota Máxima: 10</v>
      </c>
    </row>
    <row r="826">
      <c r="A826" s="390" t="str">
        <f>IFERROR(__xludf.DUMMYFUNCTION("""COMPUTED_VALUE"""),"#SLCBA - Segunda Licenciatura em Ciências Biológicas - Segunda Licenciatura em Ciências Biológicas - Patrícia Pimenta Prado - Análises Clínicas e Microbiologia - Nota Máxima: 10")</f>
        <v>#SLCBA - Segunda Licenciatura em Ciências Biológicas - Segunda Licenciatura em Ciências Biológicas - Patrícia Pimenta Prado - Análises Clínicas e Microbiologia - Nota Máxima: 10</v>
      </c>
    </row>
    <row r="827">
      <c r="A827" s="390" t="str">
        <f>IFERROR(__xludf.DUMMYFUNCTION("""COMPUTED_VALUE"""),"#SLCBA - Segunda Licenciatura em Ciências Biológicas - Segunda Licenciatura em Ciências Biológicas - Patrícia Pimenta Prado - Anatomia e Fisiologia Humana - Nota Máxima: 9")</f>
        <v>#SLCBA - Segunda Licenciatura em Ciências Biológicas - Segunda Licenciatura em Ciências Biológicas - Patrícia Pimenta Prado - Anatomia e Fisiologia Humana - Nota Máxima: 9</v>
      </c>
    </row>
    <row r="828">
      <c r="A828" s="390" t="str">
        <f>IFERROR(__xludf.DUMMYFUNCTION("""COMPUTED_VALUE"""),"#SLCBA - Segunda Licenciatura em Ciências Biológicas - Segunda Licenciatura em Ciências Biológicas - Patrícia Pimenta Prado - Anatomia e Fisiologia Humana - Nota Máxima: 7")</f>
        <v>#SLCBA - Segunda Licenciatura em Ciências Biológicas - Segunda Licenciatura em Ciências Biológicas - Patrícia Pimenta Prado - Anatomia e Fisiologia Humana - Nota Máxima: 7</v>
      </c>
    </row>
    <row r="829">
      <c r="A829" s="390" t="str">
        <f>IFERROR(__xludf.DUMMYFUNCTION("""COMPUTED_VALUE"""),"#SLCBA - Segunda Licenciatura em Ciências Biológicas - Segunda Licenciatura em Ciências Biológicas - Patrícia Pimenta Prado - Ciências Exatas e da Terra - Nota Máxima: 9")</f>
        <v>#SLCBA - Segunda Licenciatura em Ciências Biológicas - Segunda Licenciatura em Ciências Biológicas - Patrícia Pimenta Prado - Ciências Exatas e da Terra - Nota Máxima: 9</v>
      </c>
    </row>
    <row r="830">
      <c r="A830" s="390" t="str">
        <f>IFERROR(__xludf.DUMMYFUNCTION("""COMPUTED_VALUE"""),"#SLCBA - Segunda Licenciatura em Ciências Biológicas - Segunda Licenciatura em Ciências Biológicas - Patrícia Pimenta Prado - Ciências Exatas e da Terra - Nota Máxima: 7")</f>
        <v>#SLCBA - Segunda Licenciatura em Ciências Biológicas - Segunda Licenciatura em Ciências Biológicas - Patrícia Pimenta Prado - Ciências Exatas e da Terra - Nota Máxima: 7</v>
      </c>
    </row>
    <row r="831">
      <c r="A831" s="390" t="str">
        <f>IFERROR(__xludf.DUMMYFUNCTION("""COMPUTED_VALUE"""),"#SLCBA - Segunda Licenciatura em Ciências Biológicas - Segunda Licenciatura em Ciências Biológicas - Patrícia Pimenta Prado - Deficiência Auditiva e Libras/a - Nota Máxima: 9")</f>
        <v>#SLCBA - Segunda Licenciatura em Ciências Biológicas - Segunda Licenciatura em Ciências Biológicas - Patrícia Pimenta Prado - Deficiência Auditiva e Libras/a - Nota Máxima: 9</v>
      </c>
    </row>
    <row r="832">
      <c r="A832" s="390" t="str">
        <f>IFERROR(__xludf.DUMMYFUNCTION("""COMPUTED_VALUE"""),"#SLCBA - Segunda Licenciatura em Ciências Biológicas - Segunda Licenciatura em Ciências Biológicas - Patrícia Pimenta Prado - Deficiência Auditiva e Libras/a - Nota Máxima: 9")</f>
        <v>#SLCBA - Segunda Licenciatura em Ciências Biológicas - Segunda Licenciatura em Ciências Biológicas - Patrícia Pimenta Prado - Deficiência Auditiva e Libras/a - Nota Máxima: 9</v>
      </c>
    </row>
    <row r="833">
      <c r="A833" s="390" t="str">
        <f>IFERROR(__xludf.DUMMYFUNCTION("""COMPUTED_VALUE"""),"#SLCBA - Segunda Licenciatura em Ciências Biológicas - Segunda Licenciatura em Ciências Biológicas - Patrícia Pimenta Prado - Educação e as Tic's - Nota Máxima: 9")</f>
        <v>#SLCBA - Segunda Licenciatura em Ciências Biológicas - Segunda Licenciatura em Ciências Biológicas - Patrícia Pimenta Prado - Educação e as Tic's - Nota Máxima: 9</v>
      </c>
    </row>
    <row r="834">
      <c r="A834" s="390" t="str">
        <f>IFERROR(__xludf.DUMMYFUNCTION("""COMPUTED_VALUE"""),"#SLCBA - Segunda Licenciatura em Ciências Biológicas - Segunda Licenciatura em Ciências Biológicas - Patrícia Pimenta Prado - Educação e as Tic's - Nota Máxima: 7")</f>
        <v>#SLCBA - Segunda Licenciatura em Ciências Biológicas - Segunda Licenciatura em Ciências Biológicas - Patrícia Pimenta Prado - Educação e as Tic's - Nota Máxima: 7</v>
      </c>
    </row>
    <row r="835">
      <c r="A835" s="390" t="str">
        <f>IFERROR(__xludf.DUMMYFUNCTION("""COMPUTED_VALUE"""),"#SLCBA - Segunda Licenciatura em Ciências Biológicas - Segunda Licenciatura em Ciências Biológicas - Patrícia Pimenta Prado - Educação Especial, Inclusão Escolar e Adaptações Curriculares - Nota Máxima: 8")</f>
        <v>#SLCBA - Segunda Licenciatura em Ciências Biológicas - Segunda Licenciatura em Ciências Biológicas - Patrícia Pimenta Prado - Educação Especial, Inclusão Escolar e Adaptações Curriculares - Nota Máxima: 8</v>
      </c>
    </row>
    <row r="836">
      <c r="A836" s="390" t="str">
        <f>IFERROR(__xludf.DUMMYFUNCTION("""COMPUTED_VALUE"""),"#SLCBA - Segunda Licenciatura em Ciências Biológicas - Segunda Licenciatura em Ciências Biológicas - Patrícia Pimenta Prado - Educação Especial, Inclusão Escolar e Adaptações Curriculares - Nota Máxima: 9")</f>
        <v>#SLCBA - Segunda Licenciatura em Ciências Biológicas - Segunda Licenciatura em Ciências Biológicas - Patrícia Pimenta Prado - Educação Especial, Inclusão Escolar e Adaptações Curriculares - Nota Máxima: 9</v>
      </c>
    </row>
    <row r="837">
      <c r="A837" s="390" t="str">
        <f>IFERROR(__xludf.DUMMYFUNCTION("""COMPUTED_VALUE"""),"#SLCBA - Segunda Licenciatura em Ciências Biológicas - Segunda Licenciatura em Ciências Biológicas - Patrícia Pimenta Prado - Educação, História, Cultura e Práticas Indígenas/a - Nota Máxima: 10")</f>
        <v>#SLCBA - Segunda Licenciatura em Ciências Biológicas - Segunda Licenciatura em Ciências Biológicas - Patrícia Pimenta Prado - Educação, História, Cultura e Práticas Indígenas/a - Nota Máxima: 10</v>
      </c>
    </row>
    <row r="838">
      <c r="A838" s="390" t="str">
        <f>IFERROR(__xludf.DUMMYFUNCTION("""COMPUTED_VALUE"""),"#SLCBA - Segunda Licenciatura em Ciências Biológicas - Segunda Licenciatura em Ciências Biológicas - Patrícia Pimenta Prado - Educação, História, Cultura e Práticas Indígenas/a - Nota Máxima: 8")</f>
        <v>#SLCBA - Segunda Licenciatura em Ciências Biológicas - Segunda Licenciatura em Ciências Biológicas - Patrícia Pimenta Prado - Educação, História, Cultura e Práticas Indígenas/a - Nota Máxima: 8</v>
      </c>
    </row>
    <row r="839">
      <c r="A839" s="390" t="str">
        <f>IFERROR(__xludf.DUMMYFUNCTION("""COMPUTED_VALUE"""),"#SLCBA - Segunda Licenciatura em Ciências Biológicas - Segunda Licenciatura em Ciências Biológicas - Patrícia Pimenta Prado - Ensino de Ciência e Biologia na Educação Básica - Nota Máxima: 9")</f>
        <v>#SLCBA - Segunda Licenciatura em Ciências Biológicas - Segunda Licenciatura em Ciências Biológicas - Patrícia Pimenta Prado - Ensino de Ciência e Biologia na Educação Básica - Nota Máxima: 9</v>
      </c>
    </row>
    <row r="840">
      <c r="A840" s="390" t="str">
        <f>IFERROR(__xludf.DUMMYFUNCTION("""COMPUTED_VALUE"""),"#SLCBA - Segunda Licenciatura em Ciências Biológicas - Segunda Licenciatura em Ciências Biológicas - Patrícia Pimenta Prado - Ensino de Ciência e Biologia na Educação Básica - Nota Máxima: 7")</f>
        <v>#SLCBA - Segunda Licenciatura em Ciências Biológicas - Segunda Licenciatura em Ciências Biológicas - Patrícia Pimenta Prado - Ensino de Ciência e Biologia na Educação Básica - Nota Máxima: 7</v>
      </c>
    </row>
    <row r="841">
      <c r="A841" s="390" t="str">
        <f>IFERROR(__xludf.DUMMYFUNCTION("""COMPUTED_VALUE"""),"#SLCBA - Segunda Licenciatura em Ciências Biológicas - Segunda Licenciatura em Ciências Biológicas - Patrícia Pimenta Prado - Imunologia e Microbiologia - Nota Máxima: 10")</f>
        <v>#SLCBA - Segunda Licenciatura em Ciências Biológicas - Segunda Licenciatura em Ciências Biológicas - Patrícia Pimenta Prado - Imunologia e Microbiologia - Nota Máxima: 10</v>
      </c>
    </row>
    <row r="842">
      <c r="A842" s="390" t="str">
        <f>IFERROR(__xludf.DUMMYFUNCTION("""COMPUTED_VALUE"""),"#SLCBA - Segunda Licenciatura em Ciências Biológicas - Segunda Licenciatura em Ciências Biológicas - Patrícia Pimenta Prado - Imunologia e Microbiologia - Nota Máxima: 5")</f>
        <v>#SLCBA - Segunda Licenciatura em Ciências Biológicas - Segunda Licenciatura em Ciências Biológicas - Patrícia Pimenta Prado - Imunologia e Microbiologia - Nota Máxima: 5</v>
      </c>
    </row>
    <row r="843">
      <c r="A843" s="390" t="str">
        <f>IFERROR(__xludf.DUMMYFUNCTION("""COMPUTED_VALUE"""),"#SLCBA - Segunda Licenciatura em Ciências Biológicas - Segunda Licenciatura em Ciências Biológicas - Patrícia Pimenta Prado - Introdução à Educação Ambiental - Nota Máxima: 10")</f>
        <v>#SLCBA - Segunda Licenciatura em Ciências Biológicas - Segunda Licenciatura em Ciências Biológicas - Patrícia Pimenta Prado - Introdução à Educação Ambiental - Nota Máxima: 10</v>
      </c>
    </row>
    <row r="844">
      <c r="A844" s="390" t="str">
        <f>IFERROR(__xludf.DUMMYFUNCTION("""COMPUTED_VALUE"""),"#SLCBA - Segunda Licenciatura em Ciências Biológicas - Segunda Licenciatura em Ciências Biológicas - Patrícia Pimenta Prado - Introdução à Educação Ambiental - Nota Máxima: 9")</f>
        <v>#SLCBA - Segunda Licenciatura em Ciências Biológicas - Segunda Licenciatura em Ciências Biológicas - Patrícia Pimenta Prado - Introdução à Educação Ambiental - Nota Máxima: 9</v>
      </c>
    </row>
    <row r="845">
      <c r="A845" s="390" t="str">
        <f>IFERROR(__xludf.DUMMYFUNCTION("""COMPUTED_VALUE"""),"#SLCBA - Segunda Licenciatura em Ciências Biológicas - Segunda Licenciatura em Ciências Biológicas - Patrícia Pimenta Prado - Legislação Educacional/a - Nota Máxima: 10")</f>
        <v>#SLCBA - Segunda Licenciatura em Ciências Biológicas - Segunda Licenciatura em Ciências Biológicas - Patrícia Pimenta Prado - Legislação Educacional/a - Nota Máxima: 10</v>
      </c>
    </row>
    <row r="846">
      <c r="A846" s="390" t="str">
        <f>IFERROR(__xludf.DUMMYFUNCTION("""COMPUTED_VALUE"""),"#SLCBA - Segunda Licenciatura em Ciências Biológicas - Segunda Licenciatura em Ciências Biológicas - Patrícia Pimenta Prado - Legislação Educacional/a - Nota Máxima: 7")</f>
        <v>#SLCBA - Segunda Licenciatura em Ciências Biológicas - Segunda Licenciatura em Ciências Biológicas - Patrícia Pimenta Prado - Legislação Educacional/a - Nota Máxima: 7</v>
      </c>
    </row>
    <row r="847">
      <c r="A847" s="390" t="str">
        <f>IFERROR(__xludf.DUMMYFUNCTION("""COMPUTED_VALUE"""),"#SLCBA - Segunda Licenciatura em Ciências Biológicas - Segunda Licenciatura em Ciências Biológicas - Patrícia Pimenta Prado - Planejamento, Gestão Educacional e Currículo/a - Nota Máxima: 10")</f>
        <v>#SLCBA - Segunda Licenciatura em Ciências Biológicas - Segunda Licenciatura em Ciências Biológicas - Patrícia Pimenta Prado - Planejamento, Gestão Educacional e Currículo/a - Nota Máxima: 10</v>
      </c>
    </row>
    <row r="848">
      <c r="A848" s="390" t="str">
        <f>IFERROR(__xludf.DUMMYFUNCTION("""COMPUTED_VALUE"""),"#SLCBA - Segunda Licenciatura em Ciências Biológicas - Segunda Licenciatura em Ciências Biológicas - Patrícia Pimenta Prado - Planejamento, Gestão Educacional e Currículo/a - Nota Máxima: 10")</f>
        <v>#SLCBA - Segunda Licenciatura em Ciências Biológicas - Segunda Licenciatura em Ciências Biológicas - Patrícia Pimenta Prado - Planejamento, Gestão Educacional e Currículo/a - Nota Máxima: 10</v>
      </c>
    </row>
    <row r="849">
      <c r="A849" s="390" t="str">
        <f>IFERROR(__xludf.DUMMYFUNCTION("""COMPUTED_VALUE"""),"#SLCBA - Segunda Licenciatura em Ciências Biológicas - Segunda Licenciatura em Ciências Biológicas - Patrícia Pimenta Prado - Práticas Pedagógicas - 400 Horas - Nota Máxima: 10")</f>
        <v>#SLCBA - Segunda Licenciatura em Ciências Biológicas - Segunda Licenciatura em Ciências Biológicas - Patrícia Pimenta Prado - Práticas Pedagógicas - 400 Horas - Nota Máxima: 10</v>
      </c>
    </row>
    <row r="850">
      <c r="A850" s="390" t="str">
        <f>IFERROR(__xludf.DUMMYFUNCTION("""COMPUTED_VALUE"""),"#SLCBA - Segunda Licenciatura em Ciências Biológicas - Segunda Licenciatura em Ciências Biológicas - Patrícia Pimenta Prado - Práticas Pedagógicas - 400 Horas - Nota Máxima: 10")</f>
        <v>#SLCBA - Segunda Licenciatura em Ciências Biológicas - Segunda Licenciatura em Ciências Biológicas - Patrícia Pimenta Prado - Práticas Pedagógicas - 400 Horas - Nota Máxima: 10</v>
      </c>
    </row>
    <row r="851">
      <c r="A851" s="390" t="str">
        <f>IFERROR(__xludf.DUMMYFUNCTION("""COMPUTED_VALUE"""),"#SLCBA - Segunda Licenciatura em Ciências Biológicas - Segunda Licenciatura em Ciências Biológicas - Patrícia Pimenta Prado - Psicologia da Educação/a - Nota Máxima: 10")</f>
        <v>#SLCBA - Segunda Licenciatura em Ciências Biológicas - Segunda Licenciatura em Ciências Biológicas - Patrícia Pimenta Prado - Psicologia da Educação/a - Nota Máxima: 10</v>
      </c>
    </row>
    <row r="852">
      <c r="A852" s="390" t="str">
        <f>IFERROR(__xludf.DUMMYFUNCTION("""COMPUTED_VALUE"""),"#SLCBA - Segunda Licenciatura em Ciências Biológicas - Segunda Licenciatura em Ciências Biológicas - Patrícia Pimenta Prado - Psicologia da Educação/a - Nota Máxima: 6")</f>
        <v>#SLCBA - Segunda Licenciatura em Ciências Biológicas - Segunda Licenciatura em Ciências Biológicas - Patrícia Pimenta Prado - Psicologia da Educação/a - Nota Máxima: 6</v>
      </c>
    </row>
    <row r="853">
      <c r="A853" s="390" t="str">
        <f>IFERROR(__xludf.DUMMYFUNCTION("""COMPUTED_VALUE"""),"#SLCBA - Segunda Licenciatura em Ciências Biológicas - Segunda Licenciatura em Ciências Biológicas - DANIELE SANTOS DA SILVA MARINHO - Análises Clínicas e Microbiologia - Nota Máxima: 9")</f>
        <v>#SLCBA - Segunda Licenciatura em Ciências Biológicas - Segunda Licenciatura em Ciências Biológicas - DANIELE SANTOS DA SILVA MARINHO - Análises Clínicas e Microbiologia - Nota Máxima: 9</v>
      </c>
    </row>
    <row r="854">
      <c r="A854" s="390" t="str">
        <f>IFERROR(__xludf.DUMMYFUNCTION("""COMPUTED_VALUE"""),"#SLCBA - Segunda Licenciatura em Ciências Biológicas - Segunda Licenciatura em Ciências Biológicas - DANIELE SANTOS DA SILVA MARINHO - Análises Clínicas e Microbiologia - Nota Máxima: 6")</f>
        <v>#SLCBA - Segunda Licenciatura em Ciências Biológicas - Segunda Licenciatura em Ciências Biológicas - DANIELE SANTOS DA SILVA MARINHO - Análises Clínicas e Microbiologia - Nota Máxima: 6</v>
      </c>
    </row>
    <row r="855">
      <c r="A855" s="390" t="str">
        <f>IFERROR(__xludf.DUMMYFUNCTION("""COMPUTED_VALUE"""),"#SLCBA - Segunda Licenciatura em Ciências Biológicas - Segunda Licenciatura em Ciências Biológicas - DANIELE SANTOS DA SILVA MARINHO - Anatomia e Fisiologia Humana - Nota Máxima: 10")</f>
        <v>#SLCBA - Segunda Licenciatura em Ciências Biológicas - Segunda Licenciatura em Ciências Biológicas - DANIELE SANTOS DA SILVA MARINHO - Anatomia e Fisiologia Humana - Nota Máxima: 10</v>
      </c>
    </row>
    <row r="856">
      <c r="A856" s="390" t="str">
        <f>IFERROR(__xludf.DUMMYFUNCTION("""COMPUTED_VALUE"""),"#SLCBA - Segunda Licenciatura em Ciências Biológicas - Segunda Licenciatura em Ciências Biológicas - DANIELE SANTOS DA SILVA MARINHO - Anatomia e Fisiologia Humana - Nota Máxima: 7")</f>
        <v>#SLCBA - Segunda Licenciatura em Ciências Biológicas - Segunda Licenciatura em Ciências Biológicas - DANIELE SANTOS DA SILVA MARINHO - Anatomia e Fisiologia Humana - Nota Máxima: 7</v>
      </c>
    </row>
    <row r="857">
      <c r="A857" s="390" t="str">
        <f>IFERROR(__xludf.DUMMYFUNCTION("""COMPUTED_VALUE"""),"#SLCBA - Segunda Licenciatura em Ciências Biológicas - Segunda Licenciatura em Ciências Biológicas - DANIELE SANTOS DA SILVA MARINHO - Ciências Exatas e da Terra - Nota Máxima: 10")</f>
        <v>#SLCBA - Segunda Licenciatura em Ciências Biológicas - Segunda Licenciatura em Ciências Biológicas - DANIELE SANTOS DA SILVA MARINHO - Ciências Exatas e da Terra - Nota Máxima: 10</v>
      </c>
    </row>
    <row r="858">
      <c r="A858" s="390" t="str">
        <f>IFERROR(__xludf.DUMMYFUNCTION("""COMPUTED_VALUE"""),"#SLCBA - Segunda Licenciatura em Ciências Biológicas - Segunda Licenciatura em Ciências Biológicas - DANIELE SANTOS DA SILVA MARINHO - Ciências Exatas e da Terra - Nota Máxima: 8")</f>
        <v>#SLCBA - Segunda Licenciatura em Ciências Biológicas - Segunda Licenciatura em Ciências Biológicas - DANIELE SANTOS DA SILVA MARINHO - Ciências Exatas e da Terra - Nota Máxima: 8</v>
      </c>
    </row>
    <row r="859">
      <c r="A859" s="390" t="str">
        <f>IFERROR(__xludf.DUMMYFUNCTION("""COMPUTED_VALUE"""),"#SLCBA - Segunda Licenciatura em Ciências Biológicas - Segunda Licenciatura em Ciências Biológicas - DANIELE SANTOS DA SILVA MARINHO - Deficiência Auditiva e Libras/a - Nota Máxima: 10")</f>
        <v>#SLCBA - Segunda Licenciatura em Ciências Biológicas - Segunda Licenciatura em Ciências Biológicas - DANIELE SANTOS DA SILVA MARINHO - Deficiência Auditiva e Libras/a - Nota Máxima: 10</v>
      </c>
    </row>
    <row r="860">
      <c r="A860" s="390" t="str">
        <f>IFERROR(__xludf.DUMMYFUNCTION("""COMPUTED_VALUE"""),"#SLCBA - Segunda Licenciatura em Ciências Biológicas - Segunda Licenciatura em Ciências Biológicas - DANIELE SANTOS DA SILVA MARINHO - Deficiência Auditiva e Libras/a - Nota Máxima: 7")</f>
        <v>#SLCBA - Segunda Licenciatura em Ciências Biológicas - Segunda Licenciatura em Ciências Biológicas - DANIELE SANTOS DA SILVA MARINHO - Deficiência Auditiva e Libras/a - Nota Máxima: 7</v>
      </c>
    </row>
    <row r="861">
      <c r="A861" s="390" t="str">
        <f>IFERROR(__xludf.DUMMYFUNCTION("""COMPUTED_VALUE"""),"#SLCBA - Segunda Licenciatura em Ciências Biológicas - Segunda Licenciatura em Ciências Biológicas - DANIELE SANTOS DA SILVA MARINHO - Educação e as Tic's - Nota Máxima: 9")</f>
        <v>#SLCBA - Segunda Licenciatura em Ciências Biológicas - Segunda Licenciatura em Ciências Biológicas - DANIELE SANTOS DA SILVA MARINHO - Educação e as Tic's - Nota Máxima: 9</v>
      </c>
    </row>
    <row r="862">
      <c r="A862" s="390" t="str">
        <f>IFERROR(__xludf.DUMMYFUNCTION("""COMPUTED_VALUE"""),"#SLCBA - Segunda Licenciatura em Ciências Biológicas - Segunda Licenciatura em Ciências Biológicas - DANIELE SANTOS DA SILVA MARINHO - Educação e as Tic's - Nota Máxima: 5")</f>
        <v>#SLCBA - Segunda Licenciatura em Ciências Biológicas - Segunda Licenciatura em Ciências Biológicas - DANIELE SANTOS DA SILVA MARINHO - Educação e as Tic's - Nota Máxima: 5</v>
      </c>
    </row>
    <row r="863">
      <c r="A863" s="390" t="str">
        <f>IFERROR(__xludf.DUMMYFUNCTION("""COMPUTED_VALUE"""),"#SLCBA - Segunda Licenciatura em Ciências Biológicas - Segunda Licenciatura em Ciências Biológicas - DANIELE SANTOS DA SILVA MARINHO - Educação Especial, Inclusão Escolar e Adaptações Curriculares - Nota Máxima: 10")</f>
        <v>#SLCBA - Segunda Licenciatura em Ciências Biológicas - Segunda Licenciatura em Ciências Biológicas - DANIELE SANTOS DA SILVA MARINHO - Educação Especial, Inclusão Escolar e Adaptações Curriculares - Nota Máxima: 10</v>
      </c>
    </row>
    <row r="864">
      <c r="A864" s="390" t="str">
        <f>IFERROR(__xludf.DUMMYFUNCTION("""COMPUTED_VALUE"""),"#SLCBA - Segunda Licenciatura em Ciências Biológicas - Segunda Licenciatura em Ciências Biológicas - DANIELE SANTOS DA SILVA MARINHO - Educação Especial, Inclusão Escolar e Adaptações Curriculares - Nota Máxima: 7")</f>
        <v>#SLCBA - Segunda Licenciatura em Ciências Biológicas - Segunda Licenciatura em Ciências Biológicas - DANIELE SANTOS DA SILVA MARINHO - Educação Especial, Inclusão Escolar e Adaptações Curriculares - Nota Máxima: 7</v>
      </c>
    </row>
    <row r="865">
      <c r="A865" s="390" t="str">
        <f>IFERROR(__xludf.DUMMYFUNCTION("""COMPUTED_VALUE"""),"#SLCBA - Segunda Licenciatura em Ciências Biológicas - Segunda Licenciatura em Ciências Biológicas - DANIELE SANTOS DA SILVA MARINHO - Educação, História, Cultura e Práticas Indígenas/a - Nota Máxima: 10")</f>
        <v>#SLCBA - Segunda Licenciatura em Ciências Biológicas - Segunda Licenciatura em Ciências Biológicas - DANIELE SANTOS DA SILVA MARINHO - Educação, História, Cultura e Práticas Indígenas/a - Nota Máxima: 10</v>
      </c>
    </row>
    <row r="866">
      <c r="A866" s="390" t="str">
        <f>IFERROR(__xludf.DUMMYFUNCTION("""COMPUTED_VALUE"""),"#SLCBA - Segunda Licenciatura em Ciências Biológicas - Segunda Licenciatura em Ciências Biológicas - DANIELE SANTOS DA SILVA MARINHO - Educação, História, Cultura e Práticas Indígenas/a - Nota Máxima: 5")</f>
        <v>#SLCBA - Segunda Licenciatura em Ciências Biológicas - Segunda Licenciatura em Ciências Biológicas - DANIELE SANTOS DA SILVA MARINHO - Educação, História, Cultura e Práticas Indígenas/a - Nota Máxima: 5</v>
      </c>
    </row>
    <row r="867">
      <c r="A867" s="390" t="str">
        <f>IFERROR(__xludf.DUMMYFUNCTION("""COMPUTED_VALUE"""),"#SLCBA - Segunda Licenciatura em Ciências Biológicas - Segunda Licenciatura em Ciências Biológicas - DANIELE SANTOS DA SILVA MARINHO - Ensino de Ciência e Biologia na Educação Básica - Nota Máxima: 10")</f>
        <v>#SLCBA - Segunda Licenciatura em Ciências Biológicas - Segunda Licenciatura em Ciências Biológicas - DANIELE SANTOS DA SILVA MARINHO - Ensino de Ciência e Biologia na Educação Básica - Nota Máxima: 10</v>
      </c>
    </row>
    <row r="868">
      <c r="A868" s="390" t="str">
        <f>IFERROR(__xludf.DUMMYFUNCTION("""COMPUTED_VALUE"""),"#SLCBA - Segunda Licenciatura em Ciências Biológicas - Segunda Licenciatura em Ciências Biológicas - DANIELE SANTOS DA SILVA MARINHO - Ensino de Ciência e Biologia na Educação Básica - Nota Máxima: 10")</f>
        <v>#SLCBA - Segunda Licenciatura em Ciências Biológicas - Segunda Licenciatura em Ciências Biológicas - DANIELE SANTOS DA SILVA MARINHO - Ensino de Ciência e Biologia na Educação Básica - Nota Máxima: 10</v>
      </c>
    </row>
    <row r="869">
      <c r="A869" s="390" t="str">
        <f>IFERROR(__xludf.DUMMYFUNCTION("""COMPUTED_VALUE"""),"#SLCBA - Segunda Licenciatura em Ciências Biológicas - Segunda Licenciatura em Ciências Biológicas - DANIELE SANTOS DA SILVA MARINHO - Imunologia e Microbiologia - Nota Máxima: 10")</f>
        <v>#SLCBA - Segunda Licenciatura em Ciências Biológicas - Segunda Licenciatura em Ciências Biológicas - DANIELE SANTOS DA SILVA MARINHO - Imunologia e Microbiologia - Nota Máxima: 10</v>
      </c>
    </row>
    <row r="870">
      <c r="A870" s="390" t="str">
        <f>IFERROR(__xludf.DUMMYFUNCTION("""COMPUTED_VALUE"""),"#SLCBA - Segunda Licenciatura em Ciências Biológicas - Segunda Licenciatura em Ciências Biológicas - DANIELE SANTOS DA SILVA MARINHO - Imunologia e Microbiologia - Nota Máxima: 5")</f>
        <v>#SLCBA - Segunda Licenciatura em Ciências Biológicas - Segunda Licenciatura em Ciências Biológicas - DANIELE SANTOS DA SILVA MARINHO - Imunologia e Microbiologia - Nota Máxima: 5</v>
      </c>
    </row>
    <row r="871">
      <c r="A871" s="390" t="str">
        <f>IFERROR(__xludf.DUMMYFUNCTION("""COMPUTED_VALUE"""),"#SLCBA - Segunda Licenciatura em Ciências Biológicas - Segunda Licenciatura em Ciências Biológicas - DANIELE SANTOS DA SILVA MARINHO - Introdução à Educação Ambiental - Nota Máxima: 9")</f>
        <v>#SLCBA - Segunda Licenciatura em Ciências Biológicas - Segunda Licenciatura em Ciências Biológicas - DANIELE SANTOS DA SILVA MARINHO - Introdução à Educação Ambiental - Nota Máxima: 9</v>
      </c>
    </row>
    <row r="872">
      <c r="A872" s="390" t="str">
        <f>IFERROR(__xludf.DUMMYFUNCTION("""COMPUTED_VALUE"""),"#SLCBA - Segunda Licenciatura em Ciências Biológicas - Segunda Licenciatura em Ciências Biológicas - DANIELE SANTOS DA SILVA MARINHO - Introdução à Educação Ambiental - Nota Máxima: 10")</f>
        <v>#SLCBA - Segunda Licenciatura em Ciências Biológicas - Segunda Licenciatura em Ciências Biológicas - DANIELE SANTOS DA SILVA MARINHO - Introdução à Educação Ambiental - Nota Máxima: 10</v>
      </c>
    </row>
    <row r="873">
      <c r="A873" s="390" t="str">
        <f>IFERROR(__xludf.DUMMYFUNCTION("""COMPUTED_VALUE"""),"#SLCBA - Segunda Licenciatura em Ciências Biológicas - Segunda Licenciatura em Ciências Biológicas - DANIELE SANTOS DA SILVA MARINHO - Legislação Educacional/a - Nota Máxima: 10")</f>
        <v>#SLCBA - Segunda Licenciatura em Ciências Biológicas - Segunda Licenciatura em Ciências Biológicas - DANIELE SANTOS DA SILVA MARINHO - Legislação Educacional/a - Nota Máxima: 10</v>
      </c>
    </row>
    <row r="874">
      <c r="A874" s="390" t="str">
        <f>IFERROR(__xludf.DUMMYFUNCTION("""COMPUTED_VALUE"""),"#SLCBA - Segunda Licenciatura em Ciências Biológicas - Segunda Licenciatura em Ciências Biológicas - DANIELE SANTOS DA SILVA MARINHO - Legislação Educacional/a - Nota Máxima: 4")</f>
        <v>#SLCBA - Segunda Licenciatura em Ciências Biológicas - Segunda Licenciatura em Ciências Biológicas - DANIELE SANTOS DA SILVA MARINHO - Legislação Educacional/a - Nota Máxima: 4</v>
      </c>
    </row>
    <row r="875">
      <c r="A875" s="390" t="str">
        <f>IFERROR(__xludf.DUMMYFUNCTION("""COMPUTED_VALUE"""),"#SLCBA - Segunda Licenciatura em Ciências Biológicas - Segunda Licenciatura em Ciências Biológicas - DANIELE SANTOS DA SILVA MARINHO - Planejamento, Gestão Educacional e Currículo/a - Nota Máxima: 10")</f>
        <v>#SLCBA - Segunda Licenciatura em Ciências Biológicas - Segunda Licenciatura em Ciências Biológicas - DANIELE SANTOS DA SILVA MARINHO - Planejamento, Gestão Educacional e Currículo/a - Nota Máxima: 10</v>
      </c>
    </row>
    <row r="876">
      <c r="A876" s="390" t="str">
        <f>IFERROR(__xludf.DUMMYFUNCTION("""COMPUTED_VALUE"""),"#SLCBA - Segunda Licenciatura em Ciências Biológicas - Segunda Licenciatura em Ciências Biológicas - DANIELE SANTOS DA SILVA MARINHO - Planejamento, Gestão Educacional e Currículo/a - Nota Máxima: 10")</f>
        <v>#SLCBA - Segunda Licenciatura em Ciências Biológicas - Segunda Licenciatura em Ciências Biológicas - DANIELE SANTOS DA SILVA MARINHO - Planejamento, Gestão Educacional e Currículo/a - Nota Máxima: 10</v>
      </c>
    </row>
    <row r="877">
      <c r="A877" s="390" t="str">
        <f>IFERROR(__xludf.DUMMYFUNCTION("""COMPUTED_VALUE"""),"#SLCBA - Segunda Licenciatura em Ciências Biológicas - Segunda Licenciatura em Ciências Biológicas - DANIELE SANTOS DA SILVA MARINHO - Práticas Pedagógicas - 400 Horas - Nota Máxima: 45784")</f>
        <v>#SLCBA - Segunda Licenciatura em Ciências Biológicas - Segunda Licenciatura em Ciências Biológicas - DANIELE SANTOS DA SILVA MARINHO - Práticas Pedagógicas - 400 Horas - Nota Máxima: 45784</v>
      </c>
    </row>
    <row r="878">
      <c r="A878" s="390" t="str">
        <f>IFERROR(__xludf.DUMMYFUNCTION("""COMPUTED_VALUE"""),"#SLCBA - Segunda Licenciatura em Ciências Biológicas - Segunda Licenciatura em Ciências Biológicas - DANIELE SANTOS DA SILVA MARINHO - Práticas Pedagógicas - 400 Horas - Nota Máxima: 4")</f>
        <v>#SLCBA - Segunda Licenciatura em Ciências Biológicas - Segunda Licenciatura em Ciências Biológicas - DANIELE SANTOS DA SILVA MARINHO - Práticas Pedagógicas - 400 Horas - Nota Máxima: 4</v>
      </c>
    </row>
    <row r="879">
      <c r="A879" s="390" t="str">
        <f>IFERROR(__xludf.DUMMYFUNCTION("""COMPUTED_VALUE"""),"#SLCBA - Segunda Licenciatura em Ciências Biológicas - Segunda Licenciatura em Ciências Biológicas - DANIELE SANTOS DA SILVA MARINHO - Psicologia da Educação/a - Nota Máxima: 10")</f>
        <v>#SLCBA - Segunda Licenciatura em Ciências Biológicas - Segunda Licenciatura em Ciências Biológicas - DANIELE SANTOS DA SILVA MARINHO - Psicologia da Educação/a - Nota Máxima: 10</v>
      </c>
    </row>
    <row r="880">
      <c r="A880" s="390" t="str">
        <f>IFERROR(__xludf.DUMMYFUNCTION("""COMPUTED_VALUE"""),"#SLCBA - Segunda Licenciatura em Ciências Biológicas - Segunda Licenciatura em Ciências Biológicas - DANIELE SANTOS DA SILVA MARINHO - Psicologia da Educação/a - Nota Máxima: 4")</f>
        <v>#SLCBA - Segunda Licenciatura em Ciências Biológicas - Segunda Licenciatura em Ciências Biológicas - DANIELE SANTOS DA SILVA MARINHO - Psicologia da Educação/a - Nota Máxima: 4</v>
      </c>
    </row>
    <row r="881">
      <c r="A881" s="390" t="str">
        <f>IFERROR(__xludf.DUMMYFUNCTION("""COMPUTED_VALUE"""),"#SLCBA - Segunda Licenciatura em Ciências Biológicas - Segunda Licenciatura em Ciências Biológicas - Jobson Jorge da Silva - Análises Clínicas e Microbiologia - Nota Máxima: 10")</f>
        <v>#SLCBA - Segunda Licenciatura em Ciências Biológicas - Segunda Licenciatura em Ciências Biológicas - Jobson Jorge da Silva - Análises Clínicas e Microbiologia - Nota Máxima: 10</v>
      </c>
    </row>
    <row r="882">
      <c r="A882" s="390" t="str">
        <f>IFERROR(__xludf.DUMMYFUNCTION("""COMPUTED_VALUE"""),"#SLCBA - Segunda Licenciatura em Ciências Biológicas - Segunda Licenciatura em Ciências Biológicas - Jobson Jorge da Silva - Anatomia e Fisiologia Humana - Nota Máxima: 10")</f>
        <v>#SLCBA - Segunda Licenciatura em Ciências Biológicas - Segunda Licenciatura em Ciências Biológicas - Jobson Jorge da Silva - Anatomia e Fisiologia Humana - Nota Máxima: 10</v>
      </c>
    </row>
    <row r="883">
      <c r="A883" s="390" t="str">
        <f>IFERROR(__xludf.DUMMYFUNCTION("""COMPUTED_VALUE"""),"#SLCBA - Segunda Licenciatura em Ciências Biológicas - Segunda Licenciatura em Ciências Biológicas - Jobson Jorge da Silva - Ciências Exatas e da Terra - Nota Máxima: 10")</f>
        <v>#SLCBA - Segunda Licenciatura em Ciências Biológicas - Segunda Licenciatura em Ciências Biológicas - Jobson Jorge da Silva - Ciências Exatas e da Terra - Nota Máxima: 10</v>
      </c>
    </row>
    <row r="884">
      <c r="A884" s="390" t="str">
        <f>IFERROR(__xludf.DUMMYFUNCTION("""COMPUTED_VALUE"""),"#SLCBA - Segunda Licenciatura em Ciências Biológicas - Segunda Licenciatura em Ciências Biológicas - Jobson Jorge da Silva - Deficiência Auditiva e Libras/a - Nota Máxima: 10")</f>
        <v>#SLCBA - Segunda Licenciatura em Ciências Biológicas - Segunda Licenciatura em Ciências Biológicas - Jobson Jorge da Silva - Deficiência Auditiva e Libras/a - Nota Máxima: 10</v>
      </c>
    </row>
    <row r="885">
      <c r="A885" s="390" t="str">
        <f>IFERROR(__xludf.DUMMYFUNCTION("""COMPUTED_VALUE"""),"#SLCBA - Segunda Licenciatura em Ciências Biológicas - Segunda Licenciatura em Ciências Biológicas - Jobson Jorge da Silva - Educação e as Tic's - Nota Máxima: 10")</f>
        <v>#SLCBA - Segunda Licenciatura em Ciências Biológicas - Segunda Licenciatura em Ciências Biológicas - Jobson Jorge da Silva - Educação e as Tic's - Nota Máxima: 10</v>
      </c>
    </row>
    <row r="886">
      <c r="A886" s="390" t="str">
        <f>IFERROR(__xludf.DUMMYFUNCTION("""COMPUTED_VALUE"""),"#SLCBA - Segunda Licenciatura em Ciências Biológicas - Segunda Licenciatura em Ciências Biológicas - Jobson Jorge da Silva - Educação Especial, Inclusão Escolar e Adaptações Curriculares - Nota Máxima: 10")</f>
        <v>#SLCBA - Segunda Licenciatura em Ciências Biológicas - Segunda Licenciatura em Ciências Biológicas - Jobson Jorge da Silva - Educação Especial, Inclusão Escolar e Adaptações Curriculares - Nota Máxima: 10</v>
      </c>
    </row>
    <row r="887">
      <c r="A887" s="390" t="str">
        <f>IFERROR(__xludf.DUMMYFUNCTION("""COMPUTED_VALUE"""),"#SLCBA - Segunda Licenciatura em Ciências Biológicas - Segunda Licenciatura em Ciências Biológicas - Jobson Jorge da Silva - Educação, História, Cultura e Práticas Indígenas/a - Nota Máxima: 10")</f>
        <v>#SLCBA - Segunda Licenciatura em Ciências Biológicas - Segunda Licenciatura em Ciências Biológicas - Jobson Jorge da Silva - Educação, História, Cultura e Práticas Indígenas/a - Nota Máxima: 10</v>
      </c>
    </row>
    <row r="888">
      <c r="A888" s="390" t="str">
        <f>IFERROR(__xludf.DUMMYFUNCTION("""COMPUTED_VALUE"""),"#SLCBA - Segunda Licenciatura em Ciências Biológicas - Segunda Licenciatura em Ciências Biológicas - Jobson Jorge da Silva - Ensino de Ciência e Biologia na Educação Básica - Nota Máxima: 10")</f>
        <v>#SLCBA - Segunda Licenciatura em Ciências Biológicas - Segunda Licenciatura em Ciências Biológicas - Jobson Jorge da Silva - Ensino de Ciência e Biologia na Educação Básica - Nota Máxima: 10</v>
      </c>
    </row>
    <row r="889">
      <c r="A889" s="390" t="str">
        <f>IFERROR(__xludf.DUMMYFUNCTION("""COMPUTED_VALUE"""),"#SLCBA - Segunda Licenciatura em Ciências Biológicas - Segunda Licenciatura em Ciências Biológicas - Jobson Jorge da Silva - Imunologia e Microbiologia - Nota Máxima: 10")</f>
        <v>#SLCBA - Segunda Licenciatura em Ciências Biológicas - Segunda Licenciatura em Ciências Biológicas - Jobson Jorge da Silva - Imunologia e Microbiologia - Nota Máxima: 10</v>
      </c>
    </row>
    <row r="890">
      <c r="A890" s="390" t="str">
        <f>IFERROR(__xludf.DUMMYFUNCTION("""COMPUTED_VALUE"""),"#SLCBA - Segunda Licenciatura em Ciências Biológicas - Segunda Licenciatura em Ciências Biológicas - Jobson Jorge da Silva - Introdução à Educação Ambiental - Nota Máxima: 10")</f>
        <v>#SLCBA - Segunda Licenciatura em Ciências Biológicas - Segunda Licenciatura em Ciências Biológicas - Jobson Jorge da Silva - Introdução à Educação Ambiental - Nota Máxima: 10</v>
      </c>
    </row>
    <row r="891">
      <c r="A891" s="390" t="str">
        <f>IFERROR(__xludf.DUMMYFUNCTION("""COMPUTED_VALUE"""),"#SLCBA - Segunda Licenciatura em Ciências Biológicas - Segunda Licenciatura em Ciências Biológicas - Jobson Jorge da Silva - Legislação Educacional/a - Nota Máxima: 10")</f>
        <v>#SLCBA - Segunda Licenciatura em Ciências Biológicas - Segunda Licenciatura em Ciências Biológicas - Jobson Jorge da Silva - Legislação Educacional/a - Nota Máxima: 10</v>
      </c>
    </row>
    <row r="892">
      <c r="A892" s="390" t="str">
        <f>IFERROR(__xludf.DUMMYFUNCTION("""COMPUTED_VALUE"""),"#SLCBA - Segunda Licenciatura em Ciências Biológicas - Segunda Licenciatura em Ciências Biológicas - Jobson Jorge da Silva - Planejamento, Gestão Educacional e Currículo/a - Nota Máxima: 10")</f>
        <v>#SLCBA - Segunda Licenciatura em Ciências Biológicas - Segunda Licenciatura em Ciências Biológicas - Jobson Jorge da Silva - Planejamento, Gestão Educacional e Currículo/a - Nota Máxima: 10</v>
      </c>
    </row>
    <row r="893">
      <c r="A893" s="390" t="str">
        <f>IFERROR(__xludf.DUMMYFUNCTION("""COMPUTED_VALUE"""),"#SLCBA - Segunda Licenciatura em Ciências Biológicas - Segunda Licenciatura em Ciências Biológicas - Jobson Jorge da Silva - Práticas Pedagógicas - 400 Horas - Nota Máxima: 10")</f>
        <v>#SLCBA - Segunda Licenciatura em Ciências Biológicas - Segunda Licenciatura em Ciências Biológicas - Jobson Jorge da Silva - Práticas Pedagógicas - 400 Horas - Nota Máxima: 10</v>
      </c>
    </row>
    <row r="894">
      <c r="A894" s="390" t="str">
        <f>IFERROR(__xludf.DUMMYFUNCTION("""COMPUTED_VALUE"""),"#SLCBA - Segunda Licenciatura em Ciências Biológicas - Segunda Licenciatura em Ciências Biológicas - Jobson Jorge da Silva - Psicologia da Educação/a - Nota Máxima: 10")</f>
        <v>#SLCBA - Segunda Licenciatura em Ciências Biológicas - Segunda Licenciatura em Ciências Biológicas - Jobson Jorge da Silva - Psicologia da Educação/a - Nota Máxima: 10</v>
      </c>
    </row>
    <row r="895">
      <c r="A895" s="390" t="str">
        <f>IFERROR(__xludf.DUMMYFUNCTION("""COMPUTED_VALUE"""),"")</f>
        <v/>
      </c>
    </row>
    <row r="896">
      <c r="A896" s="390" t="str">
        <f>IFERROR(__xludf.DUMMYFUNCTION("""COMPUTED_VALUE"""),"#SLCBA - Segunda Licenciatura em Ciências Biológicas - Segunda Licenciatura em Ciências Biológicas - Izabel Luiz Garcia - Análises Clínicas e Microbiologia - Nota Máxima: 5")</f>
        <v>#SLCBA - Segunda Licenciatura em Ciências Biológicas - Segunda Licenciatura em Ciências Biológicas - Izabel Luiz Garcia - Análises Clínicas e Microbiologia - Nota Máxima: 5</v>
      </c>
    </row>
    <row r="897">
      <c r="A897" s="390" t="str">
        <f>IFERROR(__xludf.DUMMYFUNCTION("""COMPUTED_VALUE"""),"#SLCBA - Segunda Licenciatura em Ciências Biológicas - Segunda Licenciatura em Ciências Biológicas - Izabel Luiz Garcia - Anatomia e Fisiologia Humana - Nota Máxima: 6")</f>
        <v>#SLCBA - Segunda Licenciatura em Ciências Biológicas - Segunda Licenciatura em Ciências Biológicas - Izabel Luiz Garcia - Anatomia e Fisiologia Humana - Nota Máxima: 6</v>
      </c>
    </row>
    <row r="898">
      <c r="A898" s="390" t="str">
        <f>IFERROR(__xludf.DUMMYFUNCTION("""COMPUTED_VALUE"""),"#SLCBA - Segunda Licenciatura em Ciências Biológicas - Segunda Licenciatura em Ciências Biológicas - Izabel Luiz Garcia - Ciências Exatas e da Terra - Nota Máxima: 8")</f>
        <v>#SLCBA - Segunda Licenciatura em Ciências Biológicas - Segunda Licenciatura em Ciências Biológicas - Izabel Luiz Garcia - Ciências Exatas e da Terra - Nota Máxima: 8</v>
      </c>
    </row>
    <row r="899">
      <c r="A899" s="390" t="str">
        <f>IFERROR(__xludf.DUMMYFUNCTION("""COMPUTED_VALUE"""),"#SLCBA - Segunda Licenciatura em Ciências Biológicas - Segunda Licenciatura em Ciências Biológicas - Izabel Luiz Garcia - Deficiência Auditiva e Libras/a - Nota Máxima: 5")</f>
        <v>#SLCBA - Segunda Licenciatura em Ciências Biológicas - Segunda Licenciatura em Ciências Biológicas - Izabel Luiz Garcia - Deficiência Auditiva e Libras/a - Nota Máxima: 5</v>
      </c>
    </row>
    <row r="900">
      <c r="A900" s="390" t="str">
        <f>IFERROR(__xludf.DUMMYFUNCTION("""COMPUTED_VALUE"""),"#SLCBA - Segunda Licenciatura em Ciências Biológicas - Segunda Licenciatura em Ciências Biológicas - Izabel Luiz Garcia - Práticas Pedagógicas - 400 Horas - Nota Máxima: 10")</f>
        <v>#SLCBA - Segunda Licenciatura em Ciências Biológicas - Segunda Licenciatura em Ciências Biológicas - Izabel Luiz Garcia - Práticas Pedagógicas - 400 Horas - Nota Máxima: 10</v>
      </c>
    </row>
    <row r="901">
      <c r="A901" s="390" t="str">
        <f>IFERROR(__xludf.DUMMYFUNCTION("""COMPUTED_VALUE"""),"#SLGA - Segunda Licenciatura em Geografia - Segunda Licenciatura em Geografia - Paulo Henrique Teixeira - A cognição Humana - Nota Máxima: 9")</f>
        <v>#SLGA - Segunda Licenciatura em Geografia - Segunda Licenciatura em Geografia - Paulo Henrique Teixeira - A cognição Humana - Nota Máxima: 9</v>
      </c>
    </row>
    <row r="902">
      <c r="A902" s="390" t="str">
        <f>IFERROR(__xludf.DUMMYFUNCTION("""COMPUTED_VALUE"""),"#SLGA - Segunda Licenciatura em Geografia - Segunda Licenciatura em Geografia - Paulo Henrique Teixeira - A cognição Humana - Nota Máxima: 9")</f>
        <v>#SLGA - Segunda Licenciatura em Geografia - Segunda Licenciatura em Geografia - Paulo Henrique Teixeira - A cognição Humana - Nota Máxima: 9</v>
      </c>
    </row>
    <row r="903">
      <c r="A903" s="390" t="str">
        <f>IFERROR(__xludf.DUMMYFUNCTION("""COMPUTED_VALUE"""),"#SLGA - Segunda Licenciatura em Geografia - Segunda Licenciatura em Geografia - Paulo Henrique Teixeira - Biogeografia - Nota Máxima: 8")</f>
        <v>#SLGA - Segunda Licenciatura em Geografia - Segunda Licenciatura em Geografia - Paulo Henrique Teixeira - Biogeografia - Nota Máxima: 8</v>
      </c>
    </row>
    <row r="904">
      <c r="A904" s="390" t="str">
        <f>IFERROR(__xludf.DUMMYFUNCTION("""COMPUTED_VALUE"""),"#SLGA - Segunda Licenciatura em Geografia - Segunda Licenciatura em Geografia - Paulo Henrique Teixeira - Biogeografia - Nota Máxima: 8")</f>
        <v>#SLGA - Segunda Licenciatura em Geografia - Segunda Licenciatura em Geografia - Paulo Henrique Teixeira - Biogeografia - Nota Máxima: 8</v>
      </c>
    </row>
    <row r="905">
      <c r="A905" s="390" t="str">
        <f>IFERROR(__xludf.DUMMYFUNCTION("""COMPUTED_VALUE"""),"#SLGA - Segunda Licenciatura em Geografia - Segunda Licenciatura em Geografia - Paulo Henrique Teixeira - Cartografia - Nota Máxima: 7")</f>
        <v>#SLGA - Segunda Licenciatura em Geografia - Segunda Licenciatura em Geografia - Paulo Henrique Teixeira - Cartografia - Nota Máxima: 7</v>
      </c>
    </row>
    <row r="906">
      <c r="A906" s="390" t="str">
        <f>IFERROR(__xludf.DUMMYFUNCTION("""COMPUTED_VALUE"""),"#SLGA - Segunda Licenciatura em Geografia - Segunda Licenciatura em Geografia - Paulo Henrique Teixeira - Cartografia - Nota Máxima: 7")</f>
        <v>#SLGA - Segunda Licenciatura em Geografia - Segunda Licenciatura em Geografia - Paulo Henrique Teixeira - Cartografia - Nota Máxima: 7</v>
      </c>
    </row>
    <row r="907">
      <c r="A907" s="390" t="str">
        <f>IFERROR(__xludf.DUMMYFUNCTION("""COMPUTED_VALUE"""),"#SLGA - Segunda Licenciatura em Geografia - Segunda Licenciatura em Geografia - Paulo Henrique Teixeira - Deficiência Auditiva e Libras/a - Nota Máxima: 9")</f>
        <v>#SLGA - Segunda Licenciatura em Geografia - Segunda Licenciatura em Geografia - Paulo Henrique Teixeira - Deficiência Auditiva e Libras/a - Nota Máxima: 9</v>
      </c>
    </row>
    <row r="908">
      <c r="A908" s="390" t="str">
        <f>IFERROR(__xludf.DUMMYFUNCTION("""COMPUTED_VALUE"""),"#SLGA - Segunda Licenciatura em Geografia - Segunda Licenciatura em Geografia - Paulo Henrique Teixeira - Deficiência Auditiva e Libras/a - Nota Máxima: 8")</f>
        <v>#SLGA - Segunda Licenciatura em Geografia - Segunda Licenciatura em Geografia - Paulo Henrique Teixeira - Deficiência Auditiva e Libras/a - Nota Máxima: 8</v>
      </c>
    </row>
    <row r="909">
      <c r="A909" s="390" t="str">
        <f>IFERROR(__xludf.DUMMYFUNCTION("""COMPUTED_VALUE"""),"#SLGA - Segunda Licenciatura em Geografia - Segunda Licenciatura em Geografia - Paulo Henrique Teixeira - Desenvolvimento do Capital Humano - Nota Máxima: 7")</f>
        <v>#SLGA - Segunda Licenciatura em Geografia - Segunda Licenciatura em Geografia - Paulo Henrique Teixeira - Desenvolvimento do Capital Humano - Nota Máxima: 7</v>
      </c>
    </row>
    <row r="910">
      <c r="A910" s="390" t="str">
        <f>IFERROR(__xludf.DUMMYFUNCTION("""COMPUTED_VALUE"""),"#SLGA - Segunda Licenciatura em Geografia - Segunda Licenciatura em Geografia - Paulo Henrique Teixeira - Desenvolvimento do Capital Humano - Nota Máxima: 9")</f>
        <v>#SLGA - Segunda Licenciatura em Geografia - Segunda Licenciatura em Geografia - Paulo Henrique Teixeira - Desenvolvimento do Capital Humano - Nota Máxima: 9</v>
      </c>
    </row>
    <row r="911">
      <c r="A911" s="390" t="str">
        <f>IFERROR(__xludf.DUMMYFUNCTION("""COMPUTED_VALUE"""),"#SLGA - Segunda Licenciatura em Geografia - Segunda Licenciatura em Geografia - Paulo Henrique Teixeira - Educação Especial, Inclusão Escolar e Adaptações Curriculares - Nota Máxima: 9")</f>
        <v>#SLGA - Segunda Licenciatura em Geografia - Segunda Licenciatura em Geografia - Paulo Henrique Teixeira - Educação Especial, Inclusão Escolar e Adaptações Curriculares - Nota Máxima: 9</v>
      </c>
    </row>
    <row r="912">
      <c r="A912" s="390" t="str">
        <f>IFERROR(__xludf.DUMMYFUNCTION("""COMPUTED_VALUE"""),"#SLGA - Segunda Licenciatura em Geografia - Segunda Licenciatura em Geografia - Paulo Henrique Teixeira - Educação Especial, Inclusão Escolar e Adaptações Curriculares - Nota Máxima: 10")</f>
        <v>#SLGA - Segunda Licenciatura em Geografia - Segunda Licenciatura em Geografia - Paulo Henrique Teixeira - Educação Especial, Inclusão Escolar e Adaptações Curriculares - Nota Máxima: 10</v>
      </c>
    </row>
    <row r="913">
      <c r="A913" s="390" t="str">
        <f>IFERROR(__xludf.DUMMYFUNCTION("""COMPUTED_VALUE"""),"#SLGA - Segunda Licenciatura em Geografia - Segunda Licenciatura em Geografia - Paulo Henrique Teixeira - Educação, História, Cultura e Práticas Indígenas/a - Nota Máxima: 9")</f>
        <v>#SLGA - Segunda Licenciatura em Geografia - Segunda Licenciatura em Geografia - Paulo Henrique Teixeira - Educação, História, Cultura e Práticas Indígenas/a - Nota Máxima: 9</v>
      </c>
    </row>
    <row r="914">
      <c r="A914" s="390" t="str">
        <f>IFERROR(__xludf.DUMMYFUNCTION("""COMPUTED_VALUE"""),"#SLGA - Segunda Licenciatura em Geografia - Segunda Licenciatura em Geografia - Paulo Henrique Teixeira - Educação, História, Cultura e Práticas Indígenas/a - Nota Máxima: 9")</f>
        <v>#SLGA - Segunda Licenciatura em Geografia - Segunda Licenciatura em Geografia - Paulo Henrique Teixeira - Educação, História, Cultura e Práticas Indígenas/a - Nota Máxima: 9</v>
      </c>
    </row>
    <row r="915">
      <c r="A915" s="390" t="str">
        <f>IFERROR(__xludf.DUMMYFUNCTION("""COMPUTED_VALUE"""),"#SLGA - Segunda Licenciatura em Geografia - Segunda Licenciatura em Geografia - Paulo Henrique Teixeira - Estudos Populacionais - Nota Máxima: 7")</f>
        <v>#SLGA - Segunda Licenciatura em Geografia - Segunda Licenciatura em Geografia - Paulo Henrique Teixeira - Estudos Populacionais - Nota Máxima: 7</v>
      </c>
    </row>
    <row r="916">
      <c r="A916" s="390" t="str">
        <f>IFERROR(__xludf.DUMMYFUNCTION("""COMPUTED_VALUE"""),"#SLGA - Segunda Licenciatura em Geografia - Segunda Licenciatura em Geografia - Paulo Henrique Teixeira - Estudos Populacionais - Nota Máxima: 8")</f>
        <v>#SLGA - Segunda Licenciatura em Geografia - Segunda Licenciatura em Geografia - Paulo Henrique Teixeira - Estudos Populacionais - Nota Máxima: 8</v>
      </c>
    </row>
    <row r="917">
      <c r="A917" s="390" t="str">
        <f>IFERROR(__xludf.DUMMYFUNCTION("""COMPUTED_VALUE"""),"#SLGA - Segunda Licenciatura em Geografia - Segunda Licenciatura em Geografia - Paulo Henrique Teixeira - Geografia Física, Política e Urbana - Nota Máxima: 8")</f>
        <v>#SLGA - Segunda Licenciatura em Geografia - Segunda Licenciatura em Geografia - Paulo Henrique Teixeira - Geografia Física, Política e Urbana - Nota Máxima: 8</v>
      </c>
    </row>
    <row r="918">
      <c r="A918" s="390" t="str">
        <f>IFERROR(__xludf.DUMMYFUNCTION("""COMPUTED_VALUE"""),"#SLGA - Segunda Licenciatura em Geografia - Segunda Licenciatura em Geografia - Paulo Henrique Teixeira - Geografia Física, Política e Urbana - Nota Máxima: 8")</f>
        <v>#SLGA - Segunda Licenciatura em Geografia - Segunda Licenciatura em Geografia - Paulo Henrique Teixeira - Geografia Física, Política e Urbana - Nota Máxima: 8</v>
      </c>
    </row>
    <row r="919">
      <c r="A919" s="390" t="str">
        <f>IFERROR(__xludf.DUMMYFUNCTION("""COMPUTED_VALUE"""),"#SLGA - Segunda Licenciatura em Geografia - Segunda Licenciatura em Geografia - Paulo Henrique Teixeira - Geologia - Nota Máxima: 9")</f>
        <v>#SLGA - Segunda Licenciatura em Geografia - Segunda Licenciatura em Geografia - Paulo Henrique Teixeira - Geologia - Nota Máxima: 9</v>
      </c>
    </row>
    <row r="920">
      <c r="A920" s="390" t="str">
        <f>IFERROR(__xludf.DUMMYFUNCTION("""COMPUTED_VALUE"""),"#SLGA - Segunda Licenciatura em Geografia - Segunda Licenciatura em Geografia - Paulo Henrique Teixeira - Geologia - Nota Máxima: 10")</f>
        <v>#SLGA - Segunda Licenciatura em Geografia - Segunda Licenciatura em Geografia - Paulo Henrique Teixeira - Geologia - Nota Máxima: 10</v>
      </c>
    </row>
    <row r="921">
      <c r="A921" s="390" t="str">
        <f>IFERROR(__xludf.DUMMYFUNCTION("""COMPUTED_VALUE"""),"#SLGA - Segunda Licenciatura em Geografia - Segunda Licenciatura em Geografia - Paulo Henrique Teixeira - Geomorfologia - Nota Máxima: 7")</f>
        <v>#SLGA - Segunda Licenciatura em Geografia - Segunda Licenciatura em Geografia - Paulo Henrique Teixeira - Geomorfologia - Nota Máxima: 7</v>
      </c>
    </row>
    <row r="922">
      <c r="A922" s="390" t="str">
        <f>IFERROR(__xludf.DUMMYFUNCTION("""COMPUTED_VALUE"""),"#SLGA - Segunda Licenciatura em Geografia - Segunda Licenciatura em Geografia - Paulo Henrique Teixeira - Geomorfologia - Nota Máxima: 7")</f>
        <v>#SLGA - Segunda Licenciatura em Geografia - Segunda Licenciatura em Geografia - Paulo Henrique Teixeira - Geomorfologia - Nota Máxima: 7</v>
      </c>
    </row>
    <row r="923">
      <c r="A923" s="390" t="str">
        <f>IFERROR(__xludf.DUMMYFUNCTION("""COMPUTED_VALUE"""),"#SLGA - Segunda Licenciatura em Geografia - Segunda Licenciatura em Geografia - Paulo Henrique Teixeira - Legislação Educacional/a - Nota Máxima: 10")</f>
        <v>#SLGA - Segunda Licenciatura em Geografia - Segunda Licenciatura em Geografia - Paulo Henrique Teixeira - Legislação Educacional/a - Nota Máxima: 10</v>
      </c>
    </row>
    <row r="924">
      <c r="A924" s="390" t="str">
        <f>IFERROR(__xludf.DUMMYFUNCTION("""COMPUTED_VALUE"""),"#SLGA - Segunda Licenciatura em Geografia - Segunda Licenciatura em Geografia - Paulo Henrique Teixeira - Legislação Educacional/a - Nota Máxima: 9")</f>
        <v>#SLGA - Segunda Licenciatura em Geografia - Segunda Licenciatura em Geografia - Paulo Henrique Teixeira - Legislação Educacional/a - Nota Máxima: 9</v>
      </c>
    </row>
    <row r="925">
      <c r="A925" s="390" t="str">
        <f>IFERROR(__xludf.DUMMYFUNCTION("""COMPUTED_VALUE"""),"#SLGA - Segunda Licenciatura em Geografia - Segunda Licenciatura em Geografia - Paulo Henrique Teixeira - Planejamento, Gestão Educacional e Currículo/a - Nota Máxima: 10")</f>
        <v>#SLGA - Segunda Licenciatura em Geografia - Segunda Licenciatura em Geografia - Paulo Henrique Teixeira - Planejamento, Gestão Educacional e Currículo/a - Nota Máxima: 10</v>
      </c>
    </row>
    <row r="926">
      <c r="A926" s="390" t="str">
        <f>IFERROR(__xludf.DUMMYFUNCTION("""COMPUTED_VALUE"""),"#SLGA - Segunda Licenciatura em Geografia - Segunda Licenciatura em Geografia - Paulo Henrique Teixeira - Planejamento, Gestão Educacional e Currículo/a - Nota Máxima: 10")</f>
        <v>#SLGA - Segunda Licenciatura em Geografia - Segunda Licenciatura em Geografia - Paulo Henrique Teixeira - Planejamento, Gestão Educacional e Currículo/a - Nota Máxima: 10</v>
      </c>
    </row>
    <row r="927">
      <c r="A927" s="390" t="str">
        <f>IFERROR(__xludf.DUMMYFUNCTION("""COMPUTED_VALUE"""),"#SLGA - Segunda Licenciatura em Geografia - Segunda Licenciatura em Geografia - Paulo Henrique Teixeira - Psicologia da Educação/a - Nota Máxima: 10")</f>
        <v>#SLGA - Segunda Licenciatura em Geografia - Segunda Licenciatura em Geografia - Paulo Henrique Teixeira - Psicologia da Educação/a - Nota Máxima: 10</v>
      </c>
    </row>
    <row r="928">
      <c r="A928" s="390" t="str">
        <f>IFERROR(__xludf.DUMMYFUNCTION("""COMPUTED_VALUE"""),"#SLGA - Segunda Licenciatura em Geografia - Segunda Licenciatura em Geografia - Paulo Henrique Teixeira - Psicologia da Educação/a - Nota Máxima: 10")</f>
        <v>#SLGA - Segunda Licenciatura em Geografia - Segunda Licenciatura em Geografia - Paulo Henrique Teixeira - Psicologia da Educação/a - Nota Máxima: 10</v>
      </c>
    </row>
    <row r="929">
      <c r="A929" s="390" t="str">
        <f>IFERROR(__xludf.DUMMYFUNCTION("""COMPUTED_VALUE"""),"#SLGA - Segunda Licenciatura em Geografia - Segunda Licenciatura em Geografia - Heloisa woelke dos reis - A cognição Humana - Nota Máxima: 8")</f>
        <v>#SLGA - Segunda Licenciatura em Geografia - Segunda Licenciatura em Geografia - Heloisa woelke dos reis - A cognição Humana - Nota Máxima: 8</v>
      </c>
    </row>
    <row r="930">
      <c r="A930" s="390" t="str">
        <f>IFERROR(__xludf.DUMMYFUNCTION("""COMPUTED_VALUE"""),"#SLGA - Segunda Licenciatura em Geografia - Segunda Licenciatura em Geografia - Heloisa woelke dos reis - A cognição Humana - Nota Máxima: 1")</f>
        <v>#SLGA - Segunda Licenciatura em Geografia - Segunda Licenciatura em Geografia - Heloisa woelke dos reis - A cognição Humana - Nota Máxima: 1</v>
      </c>
    </row>
    <row r="931">
      <c r="A931" s="390" t="str">
        <f>IFERROR(__xludf.DUMMYFUNCTION("""COMPUTED_VALUE"""),"#SLGA - Segunda Licenciatura em Geografia - Segunda Licenciatura em Geografia - Heloisa woelke dos reis - Biogeografia - Nota Máxima: 7")</f>
        <v>#SLGA - Segunda Licenciatura em Geografia - Segunda Licenciatura em Geografia - Heloisa woelke dos reis - Biogeografia - Nota Máxima: 7</v>
      </c>
    </row>
    <row r="932">
      <c r="A932" s="390" t="str">
        <f>IFERROR(__xludf.DUMMYFUNCTION("""COMPUTED_VALUE"""),"#SLGA - Segunda Licenciatura em Geografia - Segunda Licenciatura em Geografia - Heloisa woelke dos reis - Biogeografia - Nota Máxima: 4")</f>
        <v>#SLGA - Segunda Licenciatura em Geografia - Segunda Licenciatura em Geografia - Heloisa woelke dos reis - Biogeografia - Nota Máxima: 4</v>
      </c>
    </row>
    <row r="933">
      <c r="A933" s="390" t="str">
        <f>IFERROR(__xludf.DUMMYFUNCTION("""COMPUTED_VALUE"""),"#SLGA - Segunda Licenciatura em Geografia - Segunda Licenciatura em Geografia - Heloisa woelke dos reis - Cartografia - Nota Máxima: 10")</f>
        <v>#SLGA - Segunda Licenciatura em Geografia - Segunda Licenciatura em Geografia - Heloisa woelke dos reis - Cartografia - Nota Máxima: 10</v>
      </c>
    </row>
    <row r="934">
      <c r="A934" s="390" t="str">
        <f>IFERROR(__xludf.DUMMYFUNCTION("""COMPUTED_VALUE"""),"#SLGA - Segunda Licenciatura em Geografia - Segunda Licenciatura em Geografia - Heloisa woelke dos reis - Cartografia - Nota Máxima: 6")</f>
        <v>#SLGA - Segunda Licenciatura em Geografia - Segunda Licenciatura em Geografia - Heloisa woelke dos reis - Cartografia - Nota Máxima: 6</v>
      </c>
    </row>
    <row r="935">
      <c r="A935" s="390" t="str">
        <f>IFERROR(__xludf.DUMMYFUNCTION("""COMPUTED_VALUE"""),"#SLGA - Segunda Licenciatura em Geografia - Segunda Licenciatura em Geografia - Heloisa woelke dos reis - Deficiência Auditiva e Libras/a - Nota Máxima: 10")</f>
        <v>#SLGA - Segunda Licenciatura em Geografia - Segunda Licenciatura em Geografia - Heloisa woelke dos reis - Deficiência Auditiva e Libras/a - Nota Máxima: 10</v>
      </c>
    </row>
    <row r="936">
      <c r="A936" s="390" t="str">
        <f>IFERROR(__xludf.DUMMYFUNCTION("""COMPUTED_VALUE"""),"#SLGA - Segunda Licenciatura em Geografia - Segunda Licenciatura em Geografia - Heloisa woelke dos reis - Deficiência Auditiva e Libras/a - Nota Máxima: 8")</f>
        <v>#SLGA - Segunda Licenciatura em Geografia - Segunda Licenciatura em Geografia - Heloisa woelke dos reis - Deficiência Auditiva e Libras/a - Nota Máxima: 8</v>
      </c>
    </row>
    <row r="937">
      <c r="A937" s="390" t="str">
        <f>IFERROR(__xludf.DUMMYFUNCTION("""COMPUTED_VALUE"""),"#SLGA - Segunda Licenciatura em Geografia - Segunda Licenciatura em Geografia - Heloisa woelke dos reis - Desenvolvimento do Capital Humano - Nota Máxima: 10")</f>
        <v>#SLGA - Segunda Licenciatura em Geografia - Segunda Licenciatura em Geografia - Heloisa woelke dos reis - Desenvolvimento do Capital Humano - Nota Máxima: 10</v>
      </c>
    </row>
    <row r="938">
      <c r="A938" s="390" t="str">
        <f>IFERROR(__xludf.DUMMYFUNCTION("""COMPUTED_VALUE"""),"#SLGA - Segunda Licenciatura em Geografia - Segunda Licenciatura em Geografia - Heloisa woelke dos reis - Desenvolvimento do Capital Humano - Nota Máxima: 4")</f>
        <v>#SLGA - Segunda Licenciatura em Geografia - Segunda Licenciatura em Geografia - Heloisa woelke dos reis - Desenvolvimento do Capital Humano - Nota Máxima: 4</v>
      </c>
    </row>
    <row r="939">
      <c r="A939" s="390" t="str">
        <f>IFERROR(__xludf.DUMMYFUNCTION("""COMPUTED_VALUE"""),"#SLGA - Segunda Licenciatura em Geografia - Segunda Licenciatura em Geografia - Heloisa woelke dos reis - Educação Especial, Inclusão Escolar e Adaptações Curriculares - Nota Máxima: 10")</f>
        <v>#SLGA - Segunda Licenciatura em Geografia - Segunda Licenciatura em Geografia - Heloisa woelke dos reis - Educação Especial, Inclusão Escolar e Adaptações Curriculares - Nota Máxima: 10</v>
      </c>
    </row>
    <row r="940">
      <c r="A940" s="390" t="str">
        <f>IFERROR(__xludf.DUMMYFUNCTION("""COMPUTED_VALUE"""),"#SLGA - Segunda Licenciatura em Geografia - Segunda Licenciatura em Geografia - Heloisa woelke dos reis - Educação Especial, Inclusão Escolar e Adaptações Curriculares - Nota Máxima: 6")</f>
        <v>#SLGA - Segunda Licenciatura em Geografia - Segunda Licenciatura em Geografia - Heloisa woelke dos reis - Educação Especial, Inclusão Escolar e Adaptações Curriculares - Nota Máxima: 6</v>
      </c>
    </row>
    <row r="941">
      <c r="A941" s="390" t="str">
        <f>IFERROR(__xludf.DUMMYFUNCTION("""COMPUTED_VALUE"""),"#SLGA - Segunda Licenciatura em Geografia - Segunda Licenciatura em Geografia - Heloisa woelke dos reis - Educação, História, Cultura e Práticas Indígenas/a - Nota Máxima: 9")</f>
        <v>#SLGA - Segunda Licenciatura em Geografia - Segunda Licenciatura em Geografia - Heloisa woelke dos reis - Educação, História, Cultura e Práticas Indígenas/a - Nota Máxima: 9</v>
      </c>
    </row>
    <row r="942">
      <c r="A942" s="390" t="str">
        <f>IFERROR(__xludf.DUMMYFUNCTION("""COMPUTED_VALUE"""),"#SLGA - Segunda Licenciatura em Geografia - Segunda Licenciatura em Geografia - Heloisa woelke dos reis - Educação, História, Cultura e Práticas Indígenas/a - Nota Máxima: 4")</f>
        <v>#SLGA - Segunda Licenciatura em Geografia - Segunda Licenciatura em Geografia - Heloisa woelke dos reis - Educação, História, Cultura e Práticas Indígenas/a - Nota Máxima: 4</v>
      </c>
    </row>
    <row r="943">
      <c r="A943" s="390" t="str">
        <f>IFERROR(__xludf.DUMMYFUNCTION("""COMPUTED_VALUE"""),"#SLGA - Segunda Licenciatura em Geografia - Segunda Licenciatura em Geografia - Heloisa woelke dos reis - Estudos Populacionais - Nota Máxima: 7")</f>
        <v>#SLGA - Segunda Licenciatura em Geografia - Segunda Licenciatura em Geografia - Heloisa woelke dos reis - Estudos Populacionais - Nota Máxima: 7</v>
      </c>
    </row>
    <row r="944">
      <c r="A944" s="390" t="str">
        <f>IFERROR(__xludf.DUMMYFUNCTION("""COMPUTED_VALUE"""),"#SLGA - Segunda Licenciatura em Geografia - Segunda Licenciatura em Geografia - Heloisa woelke dos reis - Estudos Populacionais - Nota Máxima: 2")</f>
        <v>#SLGA - Segunda Licenciatura em Geografia - Segunda Licenciatura em Geografia - Heloisa woelke dos reis - Estudos Populacionais - Nota Máxima: 2</v>
      </c>
    </row>
    <row r="945">
      <c r="A945" s="390" t="str">
        <f>IFERROR(__xludf.DUMMYFUNCTION("""COMPUTED_VALUE"""),"#SLGA - Segunda Licenciatura em Geografia - Segunda Licenciatura em Geografia - Heloisa woelke dos reis - Geografia Física, Política e Urbana - Nota Máxima: 8")</f>
        <v>#SLGA - Segunda Licenciatura em Geografia - Segunda Licenciatura em Geografia - Heloisa woelke dos reis - Geografia Física, Política e Urbana - Nota Máxima: 8</v>
      </c>
    </row>
    <row r="946">
      <c r="A946" s="390" t="str">
        <f>IFERROR(__xludf.DUMMYFUNCTION("""COMPUTED_VALUE"""),"#SLGA - Segunda Licenciatura em Geografia - Segunda Licenciatura em Geografia - Heloisa woelke dos reis - Geografia Física, Política e Urbana - Nota Máxima: 7")</f>
        <v>#SLGA - Segunda Licenciatura em Geografia - Segunda Licenciatura em Geografia - Heloisa woelke dos reis - Geografia Física, Política e Urbana - Nota Máxima: 7</v>
      </c>
    </row>
    <row r="947">
      <c r="A947" s="390" t="str">
        <f>IFERROR(__xludf.DUMMYFUNCTION("""COMPUTED_VALUE"""),"#SLGA - Segunda Licenciatura em Geografia - Segunda Licenciatura em Geografia - Heloisa woelke dos reis - Geologia - Nota Máxima: 9")</f>
        <v>#SLGA - Segunda Licenciatura em Geografia - Segunda Licenciatura em Geografia - Heloisa woelke dos reis - Geologia - Nota Máxima: 9</v>
      </c>
    </row>
    <row r="948">
      <c r="A948" s="390" t="str">
        <f>IFERROR(__xludf.DUMMYFUNCTION("""COMPUTED_VALUE"""),"#SLGA - Segunda Licenciatura em Geografia - Segunda Licenciatura em Geografia - Heloisa woelke dos reis - Geologia - Nota Máxima: 8")</f>
        <v>#SLGA - Segunda Licenciatura em Geografia - Segunda Licenciatura em Geografia - Heloisa woelke dos reis - Geologia - Nota Máxima: 8</v>
      </c>
    </row>
    <row r="949">
      <c r="A949" s="390" t="str">
        <f>IFERROR(__xludf.DUMMYFUNCTION("""COMPUTED_VALUE"""),"#SLGA - Segunda Licenciatura em Geografia - Segunda Licenciatura em Geografia - Heloisa woelke dos reis - Geomorfologia - Nota Máxima: 10")</f>
        <v>#SLGA - Segunda Licenciatura em Geografia - Segunda Licenciatura em Geografia - Heloisa woelke dos reis - Geomorfologia - Nota Máxima: 10</v>
      </c>
    </row>
    <row r="950">
      <c r="A950" s="390" t="str">
        <f>IFERROR(__xludf.DUMMYFUNCTION("""COMPUTED_VALUE"""),"#SLGA - Segunda Licenciatura em Geografia - Segunda Licenciatura em Geografia - Heloisa woelke dos reis - Geomorfologia - Nota Máxima: 8")</f>
        <v>#SLGA - Segunda Licenciatura em Geografia - Segunda Licenciatura em Geografia - Heloisa woelke dos reis - Geomorfologia - Nota Máxima: 8</v>
      </c>
    </row>
    <row r="951">
      <c r="A951" s="390" t="str">
        <f>IFERROR(__xludf.DUMMYFUNCTION("""COMPUTED_VALUE"""),"#SLGA - Segunda Licenciatura em Geografia - Segunda Licenciatura em Geografia - Heloisa woelke dos reis - Legislação Educacional/a - Nota Máxima: 10")</f>
        <v>#SLGA - Segunda Licenciatura em Geografia - Segunda Licenciatura em Geografia - Heloisa woelke dos reis - Legislação Educacional/a - Nota Máxima: 10</v>
      </c>
    </row>
    <row r="952">
      <c r="A952" s="390" t="str">
        <f>IFERROR(__xludf.DUMMYFUNCTION("""COMPUTED_VALUE"""),"#SLGA - Segunda Licenciatura em Geografia - Segunda Licenciatura em Geografia - Heloisa woelke dos reis - Legislação Educacional/a - Nota Máxima: 7")</f>
        <v>#SLGA - Segunda Licenciatura em Geografia - Segunda Licenciatura em Geografia - Heloisa woelke dos reis - Legislação Educacional/a - Nota Máxima: 7</v>
      </c>
    </row>
    <row r="953">
      <c r="A953" s="390" t="str">
        <f>IFERROR(__xludf.DUMMYFUNCTION("""COMPUTED_VALUE"""),"#SLGA - Segunda Licenciatura em Geografia - Segunda Licenciatura em Geografia - Heloisa woelke dos reis - Planejamento, Gestão Educacional e Currículo/a - Nota Máxima: 9")</f>
        <v>#SLGA - Segunda Licenciatura em Geografia - Segunda Licenciatura em Geografia - Heloisa woelke dos reis - Planejamento, Gestão Educacional e Currículo/a - Nota Máxima: 9</v>
      </c>
    </row>
    <row r="954">
      <c r="A954" s="390" t="str">
        <f>IFERROR(__xludf.DUMMYFUNCTION("""COMPUTED_VALUE"""),"#SLGA - Segunda Licenciatura em Geografia - Segunda Licenciatura em Geografia - Heloisa woelke dos reis - Planejamento, Gestão Educacional e Currículo/a - Nota Máxima: 8")</f>
        <v>#SLGA - Segunda Licenciatura em Geografia - Segunda Licenciatura em Geografia - Heloisa woelke dos reis - Planejamento, Gestão Educacional e Currículo/a - Nota Máxima: 8</v>
      </c>
    </row>
    <row r="955">
      <c r="A955" s="390" t="str">
        <f>IFERROR(__xludf.DUMMYFUNCTION("""COMPUTED_VALUE"""),"#SLGA - Segunda Licenciatura em Geografia - Segunda Licenciatura em Geografia - Heloisa woelke dos reis - Práticas Pedagógicas - 400 Horas - Nota Máxima: 4")</f>
        <v>#SLGA - Segunda Licenciatura em Geografia - Segunda Licenciatura em Geografia - Heloisa woelke dos reis - Práticas Pedagógicas - 400 Horas - Nota Máxima: 4</v>
      </c>
    </row>
    <row r="956">
      <c r="A956" s="390" t="str">
        <f>IFERROR(__xludf.DUMMYFUNCTION("""COMPUTED_VALUE"""),"#SLGA - Segunda Licenciatura em Geografia - Segunda Licenciatura em Geografia - Heloisa woelke dos reis - Práticas Pedagógicas - 400 Horas - Nota Máxima: 3")</f>
        <v>#SLGA - Segunda Licenciatura em Geografia - Segunda Licenciatura em Geografia - Heloisa woelke dos reis - Práticas Pedagógicas - 400 Horas - Nota Máxima: 3</v>
      </c>
    </row>
    <row r="957">
      <c r="A957" s="390" t="str">
        <f>IFERROR(__xludf.DUMMYFUNCTION("""COMPUTED_VALUE"""),"#SLGA - Segunda Licenciatura em Geografia - Segunda Licenciatura em Geografia - Heloisa woelke dos reis - Psicologia da Educação/a - Nota Máxima: 9")</f>
        <v>#SLGA - Segunda Licenciatura em Geografia - Segunda Licenciatura em Geografia - Heloisa woelke dos reis - Psicologia da Educação/a - Nota Máxima: 9</v>
      </c>
    </row>
    <row r="958">
      <c r="A958" s="390" t="str">
        <f>IFERROR(__xludf.DUMMYFUNCTION("""COMPUTED_VALUE"""),"#SLGA - Segunda Licenciatura em Geografia - Segunda Licenciatura em Geografia - Heloisa woelke dos reis - Psicologia da Educação/a - Nota Máxima: 5")</f>
        <v>#SLGA - Segunda Licenciatura em Geografia - Segunda Licenciatura em Geografia - Heloisa woelke dos reis - Psicologia da Educação/a - Nota Máxima: 5</v>
      </c>
    </row>
    <row r="959">
      <c r="A959" s="390" t="str">
        <f>IFERROR(__xludf.DUMMYFUNCTION("""COMPUTED_VALUE"""),"#SLGA - Segunda Licenciatura em Geografia - Segunda Licenciatura em Geografia - Antonia Mary dos Santos Souza - A cognição Humana - Nota Máxima: 6")</f>
        <v>#SLGA - Segunda Licenciatura em Geografia - Segunda Licenciatura em Geografia - Antonia Mary dos Santos Souza - A cognição Humana - Nota Máxima: 6</v>
      </c>
    </row>
    <row r="960">
      <c r="A960" s="390" t="str">
        <f>IFERROR(__xludf.DUMMYFUNCTION("""COMPUTED_VALUE"""),"#SLGA - Segunda Licenciatura em Geografia - Segunda Licenciatura em Geografia - Antonia Mary dos Santos Souza - A cognição Humana - Nota Máxima: 4")</f>
        <v>#SLGA - Segunda Licenciatura em Geografia - Segunda Licenciatura em Geografia - Antonia Mary dos Santos Souza - A cognição Humana - Nota Máxima: 4</v>
      </c>
    </row>
    <row r="961">
      <c r="A961" s="390" t="str">
        <f>IFERROR(__xludf.DUMMYFUNCTION("""COMPUTED_VALUE"""),"#SLGA - Segunda Licenciatura em Geografia - Segunda Licenciatura em Geografia - Antonia Mary dos Santos Souza - Biogeografia - Nota Máxima: 8")</f>
        <v>#SLGA - Segunda Licenciatura em Geografia - Segunda Licenciatura em Geografia - Antonia Mary dos Santos Souza - Biogeografia - Nota Máxima: 8</v>
      </c>
    </row>
    <row r="962">
      <c r="A962" s="390" t="str">
        <f>IFERROR(__xludf.DUMMYFUNCTION("""COMPUTED_VALUE"""),"#SLGA - Segunda Licenciatura em Geografia - Segunda Licenciatura em Geografia - Antonia Mary dos Santos Souza - Biogeografia - Nota Máxima: 6")</f>
        <v>#SLGA - Segunda Licenciatura em Geografia - Segunda Licenciatura em Geografia - Antonia Mary dos Santos Souza - Biogeografia - Nota Máxima: 6</v>
      </c>
    </row>
    <row r="963">
      <c r="A963" s="390" t="str">
        <f>IFERROR(__xludf.DUMMYFUNCTION("""COMPUTED_VALUE"""),"#SLGA - Segunda Licenciatura em Geografia - Segunda Licenciatura em Geografia - Antonia Mary dos Santos Souza - Cartografia - Nota Máxima: 9")</f>
        <v>#SLGA - Segunda Licenciatura em Geografia - Segunda Licenciatura em Geografia - Antonia Mary dos Santos Souza - Cartografia - Nota Máxima: 9</v>
      </c>
    </row>
    <row r="964">
      <c r="A964" s="390" t="str">
        <f>IFERROR(__xludf.DUMMYFUNCTION("""COMPUTED_VALUE"""),"#SLGA - Segunda Licenciatura em Geografia - Segunda Licenciatura em Geografia - Antonia Mary dos Santos Souza - Cartografia - Nota Máxima: 9")</f>
        <v>#SLGA - Segunda Licenciatura em Geografia - Segunda Licenciatura em Geografia - Antonia Mary dos Santos Souza - Cartografia - Nota Máxima: 9</v>
      </c>
    </row>
    <row r="965">
      <c r="A965" s="390" t="str">
        <f>IFERROR(__xludf.DUMMYFUNCTION("""COMPUTED_VALUE"""),"#SLGA - Segunda Licenciatura em Geografia - Segunda Licenciatura em Geografia - Antonia Mary dos Santos Souza - Deficiência Auditiva e Libras/a - Nota Máxima: 7")</f>
        <v>#SLGA - Segunda Licenciatura em Geografia - Segunda Licenciatura em Geografia - Antonia Mary dos Santos Souza - Deficiência Auditiva e Libras/a - Nota Máxima: 7</v>
      </c>
    </row>
    <row r="966">
      <c r="A966" s="390" t="str">
        <f>IFERROR(__xludf.DUMMYFUNCTION("""COMPUTED_VALUE"""),"#SLGA - Segunda Licenciatura em Geografia - Segunda Licenciatura em Geografia - Antonia Mary dos Santos Souza - Deficiência Auditiva e Libras/a - Nota Máxima: 8")</f>
        <v>#SLGA - Segunda Licenciatura em Geografia - Segunda Licenciatura em Geografia - Antonia Mary dos Santos Souza - Deficiência Auditiva e Libras/a - Nota Máxima: 8</v>
      </c>
    </row>
    <row r="967">
      <c r="A967" s="390" t="str">
        <f>IFERROR(__xludf.DUMMYFUNCTION("""COMPUTED_VALUE"""),"#SLGA - Segunda Licenciatura em Geografia - Segunda Licenciatura em Geografia - Antonia Mary dos Santos Souza - Desenvolvimento do Capital Humano - Nota Máxima: 6")</f>
        <v>#SLGA - Segunda Licenciatura em Geografia - Segunda Licenciatura em Geografia - Antonia Mary dos Santos Souza - Desenvolvimento do Capital Humano - Nota Máxima: 6</v>
      </c>
    </row>
    <row r="968">
      <c r="A968" s="390" t="str">
        <f>IFERROR(__xludf.DUMMYFUNCTION("""COMPUTED_VALUE"""),"#SLGA - Segunda Licenciatura em Geografia - Segunda Licenciatura em Geografia - Antonia Mary dos Santos Souza - Desenvolvimento do Capital Humano - Nota Máxima: 6")</f>
        <v>#SLGA - Segunda Licenciatura em Geografia - Segunda Licenciatura em Geografia - Antonia Mary dos Santos Souza - Desenvolvimento do Capital Humano - Nota Máxima: 6</v>
      </c>
    </row>
    <row r="969">
      <c r="A969" s="390" t="str">
        <f>IFERROR(__xludf.DUMMYFUNCTION("""COMPUTED_VALUE"""),"#SLGA - Segunda Licenciatura em Geografia - Segunda Licenciatura em Geografia - Antonia Mary dos Santos Souza - Educação Especial, Inclusão Escolar e Adaptações Curriculares - Nota Máxima: 7")</f>
        <v>#SLGA - Segunda Licenciatura em Geografia - Segunda Licenciatura em Geografia - Antonia Mary dos Santos Souza - Educação Especial, Inclusão Escolar e Adaptações Curriculares - Nota Máxima: 7</v>
      </c>
    </row>
    <row r="970">
      <c r="A970" s="390" t="str">
        <f>IFERROR(__xludf.DUMMYFUNCTION("""COMPUTED_VALUE"""),"#SLGA - Segunda Licenciatura em Geografia - Segunda Licenciatura em Geografia - Antonia Mary dos Santos Souza - Educação Especial, Inclusão Escolar e Adaptações Curriculares - Nota Máxima: 9")</f>
        <v>#SLGA - Segunda Licenciatura em Geografia - Segunda Licenciatura em Geografia - Antonia Mary dos Santos Souza - Educação Especial, Inclusão Escolar e Adaptações Curriculares - Nota Máxima: 9</v>
      </c>
    </row>
    <row r="971">
      <c r="A971" s="390" t="str">
        <f>IFERROR(__xludf.DUMMYFUNCTION("""COMPUTED_VALUE"""),"#SLGA - Segunda Licenciatura em Geografia - Segunda Licenciatura em Geografia - Antonia Mary dos Santos Souza - Educação, História, Cultura e Práticas Indígenas/a - Nota Máxima: 7")</f>
        <v>#SLGA - Segunda Licenciatura em Geografia - Segunda Licenciatura em Geografia - Antonia Mary dos Santos Souza - Educação, História, Cultura e Práticas Indígenas/a - Nota Máxima: 7</v>
      </c>
    </row>
    <row r="972">
      <c r="A972" s="390" t="str">
        <f>IFERROR(__xludf.DUMMYFUNCTION("""COMPUTED_VALUE"""),"#SLGA - Segunda Licenciatura em Geografia - Segunda Licenciatura em Geografia - Antonia Mary dos Santos Souza - Educação, História, Cultura e Práticas Indígenas/a - Nota Máxima: 6")</f>
        <v>#SLGA - Segunda Licenciatura em Geografia - Segunda Licenciatura em Geografia - Antonia Mary dos Santos Souza - Educação, História, Cultura e Práticas Indígenas/a - Nota Máxima: 6</v>
      </c>
    </row>
    <row r="973">
      <c r="A973" s="390" t="str">
        <f>IFERROR(__xludf.DUMMYFUNCTION("""COMPUTED_VALUE"""),"#SLGA - Segunda Licenciatura em Geografia - Segunda Licenciatura em Geografia - Antonia Mary dos Santos Souza - Estudos Populacionais - Nota Máxima: 7")</f>
        <v>#SLGA - Segunda Licenciatura em Geografia - Segunda Licenciatura em Geografia - Antonia Mary dos Santos Souza - Estudos Populacionais - Nota Máxima: 7</v>
      </c>
    </row>
    <row r="974">
      <c r="A974" s="390" t="str">
        <f>IFERROR(__xludf.DUMMYFUNCTION("""COMPUTED_VALUE"""),"#SLGA - Segunda Licenciatura em Geografia - Segunda Licenciatura em Geografia - Antonia Mary dos Santos Souza - Estudos Populacionais - Nota Máxima: 8")</f>
        <v>#SLGA - Segunda Licenciatura em Geografia - Segunda Licenciatura em Geografia - Antonia Mary dos Santos Souza - Estudos Populacionais - Nota Máxima: 8</v>
      </c>
    </row>
    <row r="975">
      <c r="A975" s="390" t="str">
        <f>IFERROR(__xludf.DUMMYFUNCTION("""COMPUTED_VALUE"""),"#SLGA - Segunda Licenciatura em Geografia - Segunda Licenciatura em Geografia - Antonia Mary dos Santos Souza - Geografia Física, Política e Urbana - Nota Máxima: 6")</f>
        <v>#SLGA - Segunda Licenciatura em Geografia - Segunda Licenciatura em Geografia - Antonia Mary dos Santos Souza - Geografia Física, Política e Urbana - Nota Máxima: 6</v>
      </c>
    </row>
    <row r="976">
      <c r="A976" s="390" t="str">
        <f>IFERROR(__xludf.DUMMYFUNCTION("""COMPUTED_VALUE"""),"#SLGA - Segunda Licenciatura em Geografia - Segunda Licenciatura em Geografia - Antonia Mary dos Santos Souza - Geografia Física, Política e Urbana - Nota Máxima: 6")</f>
        <v>#SLGA - Segunda Licenciatura em Geografia - Segunda Licenciatura em Geografia - Antonia Mary dos Santos Souza - Geografia Física, Política e Urbana - Nota Máxima: 6</v>
      </c>
    </row>
    <row r="977">
      <c r="A977" s="390" t="str">
        <f>IFERROR(__xludf.DUMMYFUNCTION("""COMPUTED_VALUE"""),"#SLGA - Segunda Licenciatura em Geografia - Segunda Licenciatura em Geografia - Antonia Mary dos Santos Souza - Geologia - Nota Máxima: 6")</f>
        <v>#SLGA - Segunda Licenciatura em Geografia - Segunda Licenciatura em Geografia - Antonia Mary dos Santos Souza - Geologia - Nota Máxima: 6</v>
      </c>
    </row>
    <row r="978">
      <c r="A978" s="390" t="str">
        <f>IFERROR(__xludf.DUMMYFUNCTION("""COMPUTED_VALUE"""),"#SLGA - Segunda Licenciatura em Geografia - Segunda Licenciatura em Geografia - Antonia Mary dos Santos Souza - Geologia - Nota Máxima: 4")</f>
        <v>#SLGA - Segunda Licenciatura em Geografia - Segunda Licenciatura em Geografia - Antonia Mary dos Santos Souza - Geologia - Nota Máxima: 4</v>
      </c>
    </row>
    <row r="979">
      <c r="A979" s="390" t="str">
        <f>IFERROR(__xludf.DUMMYFUNCTION("""COMPUTED_VALUE"""),"#SLGA - Segunda Licenciatura em Geografia - Segunda Licenciatura em Geografia - Antonia Mary dos Santos Souza - Geomorfologia - Nota Máxima: 8")</f>
        <v>#SLGA - Segunda Licenciatura em Geografia - Segunda Licenciatura em Geografia - Antonia Mary dos Santos Souza - Geomorfologia - Nota Máxima: 8</v>
      </c>
    </row>
    <row r="980">
      <c r="A980" s="390" t="str">
        <f>IFERROR(__xludf.DUMMYFUNCTION("""COMPUTED_VALUE"""),"#SLGA - Segunda Licenciatura em Geografia - Segunda Licenciatura em Geografia - Antonia Mary dos Santos Souza - Geomorfologia - Nota Máxima: 7")</f>
        <v>#SLGA - Segunda Licenciatura em Geografia - Segunda Licenciatura em Geografia - Antonia Mary dos Santos Souza - Geomorfologia - Nota Máxima: 7</v>
      </c>
    </row>
    <row r="981">
      <c r="A981" s="390" t="str">
        <f>IFERROR(__xludf.DUMMYFUNCTION("""COMPUTED_VALUE"""),"#SLGA - Segunda Licenciatura em Geografia - Segunda Licenciatura em Geografia - Antonia Mary dos Santos Souza - Legislação Educacional/a - Nota Máxima: 9")</f>
        <v>#SLGA - Segunda Licenciatura em Geografia - Segunda Licenciatura em Geografia - Antonia Mary dos Santos Souza - Legislação Educacional/a - Nota Máxima: 9</v>
      </c>
    </row>
    <row r="982">
      <c r="A982" s="390" t="str">
        <f>IFERROR(__xludf.DUMMYFUNCTION("""COMPUTED_VALUE"""),"#SLGA - Segunda Licenciatura em Geografia - Segunda Licenciatura em Geografia - Antonia Mary dos Santos Souza - Legislação Educacional/a - Nota Máxima: 8")</f>
        <v>#SLGA - Segunda Licenciatura em Geografia - Segunda Licenciatura em Geografia - Antonia Mary dos Santos Souza - Legislação Educacional/a - Nota Máxima: 8</v>
      </c>
    </row>
    <row r="983">
      <c r="A983" s="390" t="str">
        <f>IFERROR(__xludf.DUMMYFUNCTION("""COMPUTED_VALUE"""),"#SLGA - Segunda Licenciatura em Geografia - Segunda Licenciatura em Geografia - Antonia Mary dos Santos Souza - Planejamento, Gestão Educacional e Currículo/a - Nota Máxima: 9")</f>
        <v>#SLGA - Segunda Licenciatura em Geografia - Segunda Licenciatura em Geografia - Antonia Mary dos Santos Souza - Planejamento, Gestão Educacional e Currículo/a - Nota Máxima: 9</v>
      </c>
    </row>
    <row r="984">
      <c r="A984" s="390" t="str">
        <f>IFERROR(__xludf.DUMMYFUNCTION("""COMPUTED_VALUE"""),"#SLGA - Segunda Licenciatura em Geografia - Segunda Licenciatura em Geografia - Antonia Mary dos Santos Souza - Planejamento, Gestão Educacional e Currículo/a - Nota Máxima: 10")</f>
        <v>#SLGA - Segunda Licenciatura em Geografia - Segunda Licenciatura em Geografia - Antonia Mary dos Santos Souza - Planejamento, Gestão Educacional e Currículo/a - Nota Máxima: 10</v>
      </c>
    </row>
    <row r="985">
      <c r="A985" s="390" t="str">
        <f>IFERROR(__xludf.DUMMYFUNCTION("""COMPUTED_VALUE"""),"#SLGA - Segunda Licenciatura em Geografia - Segunda Licenciatura em Geografia - Antonia Mary dos Santos Souza - Práticas Pedagógicas - 400 Horas - Nota Máxima: 3")</f>
        <v>#SLGA - Segunda Licenciatura em Geografia - Segunda Licenciatura em Geografia - Antonia Mary dos Santos Souza - Práticas Pedagógicas - 400 Horas - Nota Máxima: 3</v>
      </c>
    </row>
    <row r="986">
      <c r="A986" s="390" t="str">
        <f>IFERROR(__xludf.DUMMYFUNCTION("""COMPUTED_VALUE"""),"#SLGA - Segunda Licenciatura em Geografia - Segunda Licenciatura em Geografia - Antonia Mary dos Santos Souza - Práticas Pedagógicas - 400 Horas - Nota Máxima: 4")</f>
        <v>#SLGA - Segunda Licenciatura em Geografia - Segunda Licenciatura em Geografia - Antonia Mary dos Santos Souza - Práticas Pedagógicas - 400 Horas - Nota Máxima: 4</v>
      </c>
    </row>
    <row r="987">
      <c r="A987" s="390" t="str">
        <f>IFERROR(__xludf.DUMMYFUNCTION("""COMPUTED_VALUE"""),"#SLGA - Segunda Licenciatura em Geografia - Segunda Licenciatura em Geografia - Antonia Mary dos Santos Souza - Psicologia da Educação/a - Nota Máxima: 6")</f>
        <v>#SLGA - Segunda Licenciatura em Geografia - Segunda Licenciatura em Geografia - Antonia Mary dos Santos Souza - Psicologia da Educação/a - Nota Máxima: 6</v>
      </c>
    </row>
    <row r="988">
      <c r="A988" s="390" t="str">
        <f>IFERROR(__xludf.DUMMYFUNCTION("""COMPUTED_VALUE"""),"#SLGA - Segunda Licenciatura em Geografia - Segunda Licenciatura em Geografia - Antonia Mary dos Santos Souza - Psicologia da Educação/a - Nota Máxima: 5")</f>
        <v>#SLGA - Segunda Licenciatura em Geografia - Segunda Licenciatura em Geografia - Antonia Mary dos Santos Souza - Psicologia da Educação/a - Nota Máxima: 5</v>
      </c>
    </row>
    <row r="989">
      <c r="A989" s="390" t="str">
        <f>IFERROR(__xludf.DUMMYFUNCTION("""COMPUTED_VALUE"""),"#SLGA - Segunda Licenciatura em Geografia - Segunda Licenciatura em Geografia - JUBSON WILLIAN DE MATOS ARAGÃO - A cognição Humana - Nota Máxima: 7")</f>
        <v>#SLGA - Segunda Licenciatura em Geografia - Segunda Licenciatura em Geografia - JUBSON WILLIAN DE MATOS ARAGÃO - A cognição Humana - Nota Máxima: 7</v>
      </c>
    </row>
    <row r="990">
      <c r="A990" s="390" t="str">
        <f>IFERROR(__xludf.DUMMYFUNCTION("""COMPUTED_VALUE"""),"#SLGA - Segunda Licenciatura em Geografia - Segunda Licenciatura em Geografia - JUBSON WILLIAN DE MATOS ARAGÃO - Biogeografia - Nota Máxima: 9")</f>
        <v>#SLGA - Segunda Licenciatura em Geografia - Segunda Licenciatura em Geografia - JUBSON WILLIAN DE MATOS ARAGÃO - Biogeografia - Nota Máxima: 9</v>
      </c>
    </row>
    <row r="991">
      <c r="A991" s="390" t="str">
        <f>IFERROR(__xludf.DUMMYFUNCTION("""COMPUTED_VALUE"""),"#SLGA - Segunda Licenciatura em Geografia - Segunda Licenciatura em Geografia - JUBSON WILLIAN DE MATOS ARAGÃO - Biogeografia - Nota Máxima: 7")</f>
        <v>#SLGA - Segunda Licenciatura em Geografia - Segunda Licenciatura em Geografia - JUBSON WILLIAN DE MATOS ARAGÃO - Biogeografia - Nota Máxima: 7</v>
      </c>
    </row>
    <row r="992">
      <c r="A992" s="390" t="str">
        <f>IFERROR(__xludf.DUMMYFUNCTION("""COMPUTED_VALUE"""),"#SLGA - Segunda Licenciatura em Geografia - Segunda Licenciatura em Geografia - JUBSON WILLIAN DE MATOS ARAGÃO - Cartografia - Nota Máxima: 10")</f>
        <v>#SLGA - Segunda Licenciatura em Geografia - Segunda Licenciatura em Geografia - JUBSON WILLIAN DE MATOS ARAGÃO - Cartografia - Nota Máxima: 10</v>
      </c>
    </row>
    <row r="993">
      <c r="A993" s="390" t="str">
        <f>IFERROR(__xludf.DUMMYFUNCTION("""COMPUTED_VALUE"""),"#SLGA - Segunda Licenciatura em Geografia - Segunda Licenciatura em Geografia - JUBSON WILLIAN DE MATOS ARAGÃO - Cartografia - Nota Máxima: 8")</f>
        <v>#SLGA - Segunda Licenciatura em Geografia - Segunda Licenciatura em Geografia - JUBSON WILLIAN DE MATOS ARAGÃO - Cartografia - Nota Máxima: 8</v>
      </c>
    </row>
    <row r="994">
      <c r="A994" s="390" t="str">
        <f>IFERROR(__xludf.DUMMYFUNCTION("""COMPUTED_VALUE"""),"#SLGA - Segunda Licenciatura em Geografia - Segunda Licenciatura em Geografia - JUBSON WILLIAN DE MATOS ARAGÃO - Deficiência Auditiva e Libras/a - Nota Máxima: 10")</f>
        <v>#SLGA - Segunda Licenciatura em Geografia - Segunda Licenciatura em Geografia - JUBSON WILLIAN DE MATOS ARAGÃO - Deficiência Auditiva e Libras/a - Nota Máxima: 10</v>
      </c>
    </row>
    <row r="995">
      <c r="A995" s="390" t="str">
        <f>IFERROR(__xludf.DUMMYFUNCTION("""COMPUTED_VALUE"""),"#SLGA - Segunda Licenciatura em Geografia - Segunda Licenciatura em Geografia - JUBSON WILLIAN DE MATOS ARAGÃO - Deficiência Auditiva e Libras/a - Nota Máxima: 9")</f>
        <v>#SLGA - Segunda Licenciatura em Geografia - Segunda Licenciatura em Geografia - JUBSON WILLIAN DE MATOS ARAGÃO - Deficiência Auditiva e Libras/a - Nota Máxima: 9</v>
      </c>
    </row>
    <row r="996">
      <c r="A996" s="390" t="str">
        <f>IFERROR(__xludf.DUMMYFUNCTION("""COMPUTED_VALUE"""),"#SLGA - Segunda Licenciatura em Geografia - Segunda Licenciatura em Geografia - JUBSON WILLIAN DE MATOS ARAGÃO - Desenvolvimento do Capital Humano - Nota Máxima: 8")</f>
        <v>#SLGA - Segunda Licenciatura em Geografia - Segunda Licenciatura em Geografia - JUBSON WILLIAN DE MATOS ARAGÃO - Desenvolvimento do Capital Humano - Nota Máxima: 8</v>
      </c>
    </row>
    <row r="997">
      <c r="A997" s="390" t="str">
        <f>IFERROR(__xludf.DUMMYFUNCTION("""COMPUTED_VALUE"""),"#SLGA - Segunda Licenciatura em Geografia - Segunda Licenciatura em Geografia - JUBSON WILLIAN DE MATOS ARAGÃO - Educação, História, Cultura e Práticas Indígenas/a - Nota Máxima: 9")</f>
        <v>#SLGA - Segunda Licenciatura em Geografia - Segunda Licenciatura em Geografia - JUBSON WILLIAN DE MATOS ARAGÃO - Educação, História, Cultura e Práticas Indígenas/a - Nota Máxima: 9</v>
      </c>
    </row>
    <row r="998">
      <c r="A998" s="390" t="str">
        <f>IFERROR(__xludf.DUMMYFUNCTION("""COMPUTED_VALUE"""),"#SLGA - Segunda Licenciatura em Geografia - Segunda Licenciatura em Geografia - JUBSON WILLIAN DE MATOS ARAGÃO - Estudos Populacionais - Nota Máxima: 9")</f>
        <v>#SLGA - Segunda Licenciatura em Geografia - Segunda Licenciatura em Geografia - JUBSON WILLIAN DE MATOS ARAGÃO - Estudos Populacionais - Nota Máxima: 9</v>
      </c>
    </row>
    <row r="999">
      <c r="A999" s="390" t="str">
        <f>IFERROR(__xludf.DUMMYFUNCTION("""COMPUTED_VALUE"""),"#SLGA - Segunda Licenciatura em Geografia - Segunda Licenciatura em Geografia - JUBSON WILLIAN DE MATOS ARAGÃO - Geografia Física, Política e Urbana - Nota Máxima: 9")</f>
        <v>#SLGA - Segunda Licenciatura em Geografia - Segunda Licenciatura em Geografia - JUBSON WILLIAN DE MATOS ARAGÃO - Geografia Física, Política e Urbana - Nota Máxima: 9</v>
      </c>
    </row>
    <row r="1000">
      <c r="A1000" s="390" t="str">
        <f>IFERROR(__xludf.DUMMYFUNCTION("""COMPUTED_VALUE"""),"#SLGA - Segunda Licenciatura em Geografia - Segunda Licenciatura em Geografia - JUBSON WILLIAN DE MATOS ARAGÃO - Geologia - Nota Máxima: 10")</f>
        <v>#SLGA - Segunda Licenciatura em Geografia - Segunda Licenciatura em Geografia - JUBSON WILLIAN DE MATOS ARAGÃO - Geologia - Nota Máxima: 10</v>
      </c>
    </row>
    <row r="1001">
      <c r="A1001" s="390" t="str">
        <f>IFERROR(__xludf.DUMMYFUNCTION("""COMPUTED_VALUE"""),"#SLGA - Segunda Licenciatura em Geografia - Segunda Licenciatura em Geografia - JUBSON WILLIAN DE MATOS ARAGÃO - Geomorfologia - Nota Máxima: 8")</f>
        <v>#SLGA - Segunda Licenciatura em Geografia - Segunda Licenciatura em Geografia - JUBSON WILLIAN DE MATOS ARAGÃO - Geomorfologia - Nota Máxima: 8</v>
      </c>
    </row>
    <row r="1002">
      <c r="A1002" s="390" t="str">
        <f>IFERROR(__xludf.DUMMYFUNCTION("""COMPUTED_VALUE"""),"#SLGA - Segunda Licenciatura em Geografia - Segunda Licenciatura em Geografia - JUBSON WILLIAN DE MATOS ARAGÃO - Legislação Educacional/a - Nota Máxima: 9")</f>
        <v>#SLGA - Segunda Licenciatura em Geografia - Segunda Licenciatura em Geografia - JUBSON WILLIAN DE MATOS ARAGÃO - Legislação Educacional/a - Nota Máxima: 9</v>
      </c>
    </row>
    <row r="1003">
      <c r="A1003" s="390" t="str">
        <f>IFERROR(__xludf.DUMMYFUNCTION("""COMPUTED_VALUE"""),"#SLGA - Segunda Licenciatura em Geografia - Segunda Licenciatura em Geografia - JUBSON WILLIAN DE MATOS ARAGÃO - Práticas Pedagógicas - 400 Horas - Nota Máxima: 10")</f>
        <v>#SLGA - Segunda Licenciatura em Geografia - Segunda Licenciatura em Geografia - JUBSON WILLIAN DE MATOS ARAGÃO - Práticas Pedagógicas - 400 Horas - Nota Máxima: 10</v>
      </c>
    </row>
    <row r="1004">
      <c r="A1004" s="390" t="str">
        <f>IFERROR(__xludf.DUMMYFUNCTION("""COMPUTED_VALUE"""),"#SLGA - Segunda Licenciatura em Geografia - Segunda Licenciatura em Geografia - JUBSON WILLIAN DE MATOS ARAGÃO - Psicologia da Educação/a - Nota Máxima: 9")</f>
        <v>#SLGA - Segunda Licenciatura em Geografia - Segunda Licenciatura em Geografia - JUBSON WILLIAN DE MATOS ARAGÃO - Psicologia da Educação/a - Nota Máxima: 9</v>
      </c>
    </row>
    <row r="1005">
      <c r="A1005" s="390" t="str">
        <f>IFERROR(__xludf.DUMMYFUNCTION("""COMPUTED_VALUE"""),"#SLGA - Segunda Licenciatura em Geografia - Segunda Licenciatura em Geografia - Daiany Cristine Martins Araujo - Biogeografia - Nota Máxima: 8")</f>
        <v>#SLGA - Segunda Licenciatura em Geografia - Segunda Licenciatura em Geografia - Daiany Cristine Martins Araujo - Biogeografia - Nota Máxima: 8</v>
      </c>
    </row>
    <row r="1006">
      <c r="A1006" s="390" t="str">
        <f>IFERROR(__xludf.DUMMYFUNCTION("""COMPUTED_VALUE"""),"#SLGA - Segunda Licenciatura em Geografia - Segunda Licenciatura em Geografia - Daiany Cristine Martins Araujo - Cartografia - Nota Máxima: 10")</f>
        <v>#SLGA - Segunda Licenciatura em Geografia - Segunda Licenciatura em Geografia - Daiany Cristine Martins Araujo - Cartografia - Nota Máxima: 10</v>
      </c>
    </row>
    <row r="1007">
      <c r="A1007" s="390" t="str">
        <f>IFERROR(__xludf.DUMMYFUNCTION("""COMPUTED_VALUE"""),"#SLGA - Segunda Licenciatura em Geografia - Segunda Licenciatura em Geografia - Elaine Aparecida Rodrigues - A cognição Humana - Nota Máxima: 10")</f>
        <v>#SLGA - Segunda Licenciatura em Geografia - Segunda Licenciatura em Geografia - Elaine Aparecida Rodrigues - A cognição Humana - Nota Máxima: 10</v>
      </c>
    </row>
    <row r="1008">
      <c r="A1008" s="390" t="str">
        <f>IFERROR(__xludf.DUMMYFUNCTION("""COMPUTED_VALUE"""),"#SLGA - Segunda Licenciatura em Geografia - Segunda Licenciatura em Geografia - Elaine Aparecida Rodrigues - A cognição Humana - Nota Máxima: 6")</f>
        <v>#SLGA - Segunda Licenciatura em Geografia - Segunda Licenciatura em Geografia - Elaine Aparecida Rodrigues - A cognição Humana - Nota Máxima: 6</v>
      </c>
    </row>
    <row r="1009">
      <c r="A1009" s="390" t="str">
        <f>IFERROR(__xludf.DUMMYFUNCTION("""COMPUTED_VALUE"""),"#SLGA - Segunda Licenciatura em Geografia - Segunda Licenciatura em Geografia - Elaine Aparecida Rodrigues - Biogeografia - Nota Máxima: 10")</f>
        <v>#SLGA - Segunda Licenciatura em Geografia - Segunda Licenciatura em Geografia - Elaine Aparecida Rodrigues - Biogeografia - Nota Máxima: 10</v>
      </c>
    </row>
    <row r="1010">
      <c r="A1010" s="390" t="str">
        <f>IFERROR(__xludf.DUMMYFUNCTION("""COMPUTED_VALUE"""),"#SLGA - Segunda Licenciatura em Geografia - Segunda Licenciatura em Geografia - Elaine Aparecida Rodrigues - Biogeografia - Nota Máxima: 8")</f>
        <v>#SLGA - Segunda Licenciatura em Geografia - Segunda Licenciatura em Geografia - Elaine Aparecida Rodrigues - Biogeografia - Nota Máxima: 8</v>
      </c>
    </row>
    <row r="1011">
      <c r="A1011" s="390" t="str">
        <f>IFERROR(__xludf.DUMMYFUNCTION("""COMPUTED_VALUE"""),"#SLGA - Segunda Licenciatura em Geografia - Segunda Licenciatura em Geografia - Elaine Aparecida Rodrigues - Cartografia - Nota Máxima: 10")</f>
        <v>#SLGA - Segunda Licenciatura em Geografia - Segunda Licenciatura em Geografia - Elaine Aparecida Rodrigues - Cartografia - Nota Máxima: 10</v>
      </c>
    </row>
    <row r="1012">
      <c r="A1012" s="390" t="str">
        <f>IFERROR(__xludf.DUMMYFUNCTION("""COMPUTED_VALUE"""),"#SLGA - Segunda Licenciatura em Geografia - Segunda Licenciatura em Geografia - Elaine Aparecida Rodrigues - Cartografia - Nota Máxima: 9")</f>
        <v>#SLGA - Segunda Licenciatura em Geografia - Segunda Licenciatura em Geografia - Elaine Aparecida Rodrigues - Cartografia - Nota Máxima: 9</v>
      </c>
    </row>
    <row r="1013">
      <c r="A1013" s="390" t="str">
        <f>IFERROR(__xludf.DUMMYFUNCTION("""COMPUTED_VALUE"""),"#SLGA - Segunda Licenciatura em Geografia - Segunda Licenciatura em Geografia - Elaine Aparecida Rodrigues - Deficiência Auditiva e Libras/a - Nota Máxima: 10")</f>
        <v>#SLGA - Segunda Licenciatura em Geografia - Segunda Licenciatura em Geografia - Elaine Aparecida Rodrigues - Deficiência Auditiva e Libras/a - Nota Máxima: 10</v>
      </c>
    </row>
    <row r="1014">
      <c r="A1014" s="390" t="str">
        <f>IFERROR(__xludf.DUMMYFUNCTION("""COMPUTED_VALUE"""),"#SLGA - Segunda Licenciatura em Geografia - Segunda Licenciatura em Geografia - Elaine Aparecida Rodrigues - Deficiência Auditiva e Libras/a - Nota Máxima: 7")</f>
        <v>#SLGA - Segunda Licenciatura em Geografia - Segunda Licenciatura em Geografia - Elaine Aparecida Rodrigues - Deficiência Auditiva e Libras/a - Nota Máxima: 7</v>
      </c>
    </row>
    <row r="1015">
      <c r="A1015" s="390" t="str">
        <f>IFERROR(__xludf.DUMMYFUNCTION("""COMPUTED_VALUE"""),"#SLGA - Segunda Licenciatura em Geografia - Segunda Licenciatura em Geografia - Elaine Aparecida Rodrigues - Desenvolvimento do Capital Humano - Nota Máxima: 10")</f>
        <v>#SLGA - Segunda Licenciatura em Geografia - Segunda Licenciatura em Geografia - Elaine Aparecida Rodrigues - Desenvolvimento do Capital Humano - Nota Máxima: 10</v>
      </c>
    </row>
    <row r="1016">
      <c r="A1016" s="390" t="str">
        <f>IFERROR(__xludf.DUMMYFUNCTION("""COMPUTED_VALUE"""),"#SLGA - Segunda Licenciatura em Geografia - Segunda Licenciatura em Geografia - Elaine Aparecida Rodrigues - Desenvolvimento do Capital Humano - Nota Máxima: 10")</f>
        <v>#SLGA - Segunda Licenciatura em Geografia - Segunda Licenciatura em Geografia - Elaine Aparecida Rodrigues - Desenvolvimento do Capital Humano - Nota Máxima: 10</v>
      </c>
    </row>
    <row r="1017">
      <c r="A1017" s="390" t="str">
        <f>IFERROR(__xludf.DUMMYFUNCTION("""COMPUTED_VALUE"""),"#SLGA - Segunda Licenciatura em Geografia - Segunda Licenciatura em Geografia - Elaine Aparecida Rodrigues - Educação Especial, Inclusão Escolar e Adaptações Curriculares - Nota Máxima: 8")</f>
        <v>#SLGA - Segunda Licenciatura em Geografia - Segunda Licenciatura em Geografia - Elaine Aparecida Rodrigues - Educação Especial, Inclusão Escolar e Adaptações Curriculares - Nota Máxima: 8</v>
      </c>
    </row>
    <row r="1018">
      <c r="A1018" s="390" t="str">
        <f>IFERROR(__xludf.DUMMYFUNCTION("""COMPUTED_VALUE"""),"#SLGA - Segunda Licenciatura em Geografia - Segunda Licenciatura em Geografia - Elaine Aparecida Rodrigues - Educação Especial, Inclusão Escolar e Adaptações Curriculares - Nota Máxima: 8")</f>
        <v>#SLGA - Segunda Licenciatura em Geografia - Segunda Licenciatura em Geografia - Elaine Aparecida Rodrigues - Educação Especial, Inclusão Escolar e Adaptações Curriculares - Nota Máxima: 8</v>
      </c>
    </row>
    <row r="1019">
      <c r="A1019" s="390" t="str">
        <f>IFERROR(__xludf.DUMMYFUNCTION("""COMPUTED_VALUE"""),"#SLGA - Segunda Licenciatura em Geografia - Segunda Licenciatura em Geografia - Elaine Aparecida Rodrigues - Educação, História, Cultura e Práticas Indígenas/a - Nota Máxima: 10")</f>
        <v>#SLGA - Segunda Licenciatura em Geografia - Segunda Licenciatura em Geografia - Elaine Aparecida Rodrigues - Educação, História, Cultura e Práticas Indígenas/a - Nota Máxima: 10</v>
      </c>
    </row>
    <row r="1020">
      <c r="A1020" s="390" t="str">
        <f>IFERROR(__xludf.DUMMYFUNCTION("""COMPUTED_VALUE"""),"#SLGA - Segunda Licenciatura em Geografia - Segunda Licenciatura em Geografia - Elaine Aparecida Rodrigues - Educação, História, Cultura e Práticas Indígenas/a - Nota Máxima: 6")</f>
        <v>#SLGA - Segunda Licenciatura em Geografia - Segunda Licenciatura em Geografia - Elaine Aparecida Rodrigues - Educação, História, Cultura e Práticas Indígenas/a - Nota Máxima: 6</v>
      </c>
    </row>
    <row r="1021">
      <c r="A1021" s="390" t="str">
        <f>IFERROR(__xludf.DUMMYFUNCTION("""COMPUTED_VALUE"""),"#SLGA - Segunda Licenciatura em Geografia - Segunda Licenciatura em Geografia - Elaine Aparecida Rodrigues - Estudos Populacionais - Nota Máxima: 10")</f>
        <v>#SLGA - Segunda Licenciatura em Geografia - Segunda Licenciatura em Geografia - Elaine Aparecida Rodrigues - Estudos Populacionais - Nota Máxima: 10</v>
      </c>
    </row>
    <row r="1022">
      <c r="A1022" s="390" t="str">
        <f>IFERROR(__xludf.DUMMYFUNCTION("""COMPUTED_VALUE"""),"#SLGA - Segunda Licenciatura em Geografia - Segunda Licenciatura em Geografia - Elaine Aparecida Rodrigues - Estudos Populacionais - Nota Máxima: 9")</f>
        <v>#SLGA - Segunda Licenciatura em Geografia - Segunda Licenciatura em Geografia - Elaine Aparecida Rodrigues - Estudos Populacionais - Nota Máxima: 9</v>
      </c>
    </row>
    <row r="1023">
      <c r="A1023" s="390" t="str">
        <f>IFERROR(__xludf.DUMMYFUNCTION("""COMPUTED_VALUE"""),"#SLGA - Segunda Licenciatura em Geografia - Segunda Licenciatura em Geografia - Elaine Aparecida Rodrigues - Geografia Física, Política e Urbana - Nota Máxima: 10")</f>
        <v>#SLGA - Segunda Licenciatura em Geografia - Segunda Licenciatura em Geografia - Elaine Aparecida Rodrigues - Geografia Física, Política e Urbana - Nota Máxima: 10</v>
      </c>
    </row>
    <row r="1024">
      <c r="A1024" s="390" t="str">
        <f>IFERROR(__xludf.DUMMYFUNCTION("""COMPUTED_VALUE"""),"#SLGA - Segunda Licenciatura em Geografia - Segunda Licenciatura em Geografia - Elaine Aparecida Rodrigues - Geografia Física, Política e Urbana - Nota Máxima: 8")</f>
        <v>#SLGA - Segunda Licenciatura em Geografia - Segunda Licenciatura em Geografia - Elaine Aparecida Rodrigues - Geografia Física, Política e Urbana - Nota Máxima: 8</v>
      </c>
    </row>
    <row r="1025">
      <c r="A1025" s="390" t="str">
        <f>IFERROR(__xludf.DUMMYFUNCTION("""COMPUTED_VALUE"""),"#SLGA - Segunda Licenciatura em Geografia - Segunda Licenciatura em Geografia - Elaine Aparecida Rodrigues - Geologia - Nota Máxima: 10")</f>
        <v>#SLGA - Segunda Licenciatura em Geografia - Segunda Licenciatura em Geografia - Elaine Aparecida Rodrigues - Geologia - Nota Máxima: 10</v>
      </c>
    </row>
    <row r="1026">
      <c r="A1026" s="390" t="str">
        <f>IFERROR(__xludf.DUMMYFUNCTION("""COMPUTED_VALUE"""),"#SLGA - Segunda Licenciatura em Geografia - Segunda Licenciatura em Geografia - Elaine Aparecida Rodrigues - Geologia - Nota Máxima: 7")</f>
        <v>#SLGA - Segunda Licenciatura em Geografia - Segunda Licenciatura em Geografia - Elaine Aparecida Rodrigues - Geologia - Nota Máxima: 7</v>
      </c>
    </row>
    <row r="1027">
      <c r="A1027" s="390" t="str">
        <f>IFERROR(__xludf.DUMMYFUNCTION("""COMPUTED_VALUE"""),"#SLGA - Segunda Licenciatura em Geografia - Segunda Licenciatura em Geografia - Elaine Aparecida Rodrigues - Geomorfologia - Nota Máxima: 10")</f>
        <v>#SLGA - Segunda Licenciatura em Geografia - Segunda Licenciatura em Geografia - Elaine Aparecida Rodrigues - Geomorfologia - Nota Máxima: 10</v>
      </c>
    </row>
    <row r="1028">
      <c r="A1028" s="390" t="str">
        <f>IFERROR(__xludf.DUMMYFUNCTION("""COMPUTED_VALUE"""),"#SLGA - Segunda Licenciatura em Geografia - Segunda Licenciatura em Geografia - Elaine Aparecida Rodrigues - Geomorfologia - Nota Máxima: 8")</f>
        <v>#SLGA - Segunda Licenciatura em Geografia - Segunda Licenciatura em Geografia - Elaine Aparecida Rodrigues - Geomorfologia - Nota Máxima: 8</v>
      </c>
    </row>
    <row r="1029">
      <c r="A1029" s="390" t="str">
        <f>IFERROR(__xludf.DUMMYFUNCTION("""COMPUTED_VALUE"""),"#SLGA - Segunda Licenciatura em Geografia - Segunda Licenciatura em Geografia - Elaine Aparecida Rodrigues - Legislação Educacional/a - Nota Máxima: 8")</f>
        <v>#SLGA - Segunda Licenciatura em Geografia - Segunda Licenciatura em Geografia - Elaine Aparecida Rodrigues - Legislação Educacional/a - Nota Máxima: 8</v>
      </c>
    </row>
    <row r="1030">
      <c r="A1030" s="390" t="str">
        <f>IFERROR(__xludf.DUMMYFUNCTION("""COMPUTED_VALUE"""),"#SLGA - Segunda Licenciatura em Geografia - Segunda Licenciatura em Geografia - Elaine Aparecida Rodrigues - Legislação Educacional/a - Nota Máxima: 7")</f>
        <v>#SLGA - Segunda Licenciatura em Geografia - Segunda Licenciatura em Geografia - Elaine Aparecida Rodrigues - Legislação Educacional/a - Nota Máxima: 7</v>
      </c>
    </row>
    <row r="1031">
      <c r="A1031" s="390" t="str">
        <f>IFERROR(__xludf.DUMMYFUNCTION("""COMPUTED_VALUE"""),"#SLGA - Segunda Licenciatura em Geografia - Segunda Licenciatura em Geografia - Elaine Aparecida Rodrigues - Planejamento, Gestão Educacional e Currículo/a - Nota Máxima: 10")</f>
        <v>#SLGA - Segunda Licenciatura em Geografia - Segunda Licenciatura em Geografia - Elaine Aparecida Rodrigues - Planejamento, Gestão Educacional e Currículo/a - Nota Máxima: 10</v>
      </c>
    </row>
    <row r="1032">
      <c r="A1032" s="390" t="str">
        <f>IFERROR(__xludf.DUMMYFUNCTION("""COMPUTED_VALUE"""),"#SLGA - Segunda Licenciatura em Geografia - Segunda Licenciatura em Geografia - Elaine Aparecida Rodrigues - Planejamento, Gestão Educacional e Currículo/a - Nota Máxima: 10")</f>
        <v>#SLGA - Segunda Licenciatura em Geografia - Segunda Licenciatura em Geografia - Elaine Aparecida Rodrigues - Planejamento, Gestão Educacional e Currículo/a - Nota Máxima: 10</v>
      </c>
    </row>
    <row r="1033">
      <c r="A1033" s="390" t="str">
        <f>IFERROR(__xludf.DUMMYFUNCTION("""COMPUTED_VALUE"""),"#SLGA - Segunda Licenciatura em Geografia - Segunda Licenciatura em Geografia - Elaine Aparecida Rodrigues - Práticas Pedagógicas - 400 Horas - Nota Máxima: 4")</f>
        <v>#SLGA - Segunda Licenciatura em Geografia - Segunda Licenciatura em Geografia - Elaine Aparecida Rodrigues - Práticas Pedagógicas - 400 Horas - Nota Máxima: 4</v>
      </c>
    </row>
    <row r="1034">
      <c r="A1034" s="390" t="str">
        <f>IFERROR(__xludf.DUMMYFUNCTION("""COMPUTED_VALUE"""),"#SLGA - Segunda Licenciatura em Geografia - Segunda Licenciatura em Geografia - Elaine Aparecida Rodrigues - Práticas Pedagógicas - 400 Horas - Nota Máxima: 4")</f>
        <v>#SLGA - Segunda Licenciatura em Geografia - Segunda Licenciatura em Geografia - Elaine Aparecida Rodrigues - Práticas Pedagógicas - 400 Horas - Nota Máxima: 4</v>
      </c>
    </row>
    <row r="1035">
      <c r="A1035" s="390" t="str">
        <f>IFERROR(__xludf.DUMMYFUNCTION("""COMPUTED_VALUE"""),"#SLGA - Segunda Licenciatura em Geografia - Segunda Licenciatura em Geografia - Elaine Aparecida Rodrigues - Psicologia da Educação/a - Nota Máxima: 10")</f>
        <v>#SLGA - Segunda Licenciatura em Geografia - Segunda Licenciatura em Geografia - Elaine Aparecida Rodrigues - Psicologia da Educação/a - Nota Máxima: 10</v>
      </c>
    </row>
    <row r="1036">
      <c r="A1036" s="390" t="str">
        <f>IFERROR(__xludf.DUMMYFUNCTION("""COMPUTED_VALUE"""),"#SLGA - Segunda Licenciatura em Geografia - Segunda Licenciatura em Geografia - Elaine Aparecida Rodrigues - Psicologia da Educação/a - Nota Máxima: 9")</f>
        <v>#SLGA - Segunda Licenciatura em Geografia - Segunda Licenciatura em Geografia - Elaine Aparecida Rodrigues - Psicologia da Educação/a - Nota Máxima: 9</v>
      </c>
    </row>
    <row r="1037">
      <c r="A1037" s="390" t="str">
        <f>IFERROR(__xludf.DUMMYFUNCTION("""COMPUTED_VALUE"""),"#SLGA - Segunda Licenciatura em Geografia - Segunda Licenciatura em Geografia - Esteves Douglas de Souza - Desenvolvimento do Capital Humano - Nota Máxima: 7")</f>
        <v>#SLGA - Segunda Licenciatura em Geografia - Segunda Licenciatura em Geografia - Esteves Douglas de Souza - Desenvolvimento do Capital Humano - Nota Máxima: 7</v>
      </c>
    </row>
    <row r="1038">
      <c r="A1038" s="390" t="str">
        <f>IFERROR(__xludf.DUMMYFUNCTION("""COMPUTED_VALUE"""),"#SLGA - Segunda Licenciatura em Geografia - Segunda Licenciatura em Geografia - Esteves Douglas de Souza - Estudos Populacionais - Nota Máxima: 6")</f>
        <v>#SLGA - Segunda Licenciatura em Geografia - Segunda Licenciatura em Geografia - Esteves Douglas de Souza - Estudos Populacionais - Nota Máxima: 6</v>
      </c>
    </row>
    <row r="1039">
      <c r="A1039" s="390" t="str">
        <f>IFERROR(__xludf.DUMMYFUNCTION("""COMPUTED_VALUE"""),"#SLGA - Segunda Licenciatura em Geografia - Segunda Licenciatura em Geografia - Fernanda Silva da Cruz Oliveira - A cognição Humana - Nota Máxima: 9")</f>
        <v>#SLGA - Segunda Licenciatura em Geografia - Segunda Licenciatura em Geografia - Fernanda Silva da Cruz Oliveira - A cognição Humana - Nota Máxima: 9</v>
      </c>
    </row>
    <row r="1040">
      <c r="A1040" s="390" t="str">
        <f>IFERROR(__xludf.DUMMYFUNCTION("""COMPUTED_VALUE"""),"#SLGA - Segunda Licenciatura em Geografia - Segunda Licenciatura em Geografia - Fernanda Silva da Cruz Oliveira - Biogeografia - Nota Máxima: 9")</f>
        <v>#SLGA - Segunda Licenciatura em Geografia - Segunda Licenciatura em Geografia - Fernanda Silva da Cruz Oliveira - Biogeografia - Nota Máxima: 9</v>
      </c>
    </row>
    <row r="1041">
      <c r="A1041" s="390" t="str">
        <f>IFERROR(__xludf.DUMMYFUNCTION("""COMPUTED_VALUE"""),"#SLGA - Segunda Licenciatura em Geografia - Segunda Licenciatura em Geografia - Fernanda Silva da Cruz Oliveira - Cartografia - Nota Máxima: 10")</f>
        <v>#SLGA - Segunda Licenciatura em Geografia - Segunda Licenciatura em Geografia - Fernanda Silva da Cruz Oliveira - Cartografia - Nota Máxima: 10</v>
      </c>
    </row>
    <row r="1042">
      <c r="A1042" s="390" t="str">
        <f>IFERROR(__xludf.DUMMYFUNCTION("""COMPUTED_VALUE"""),"#SLGA - Segunda Licenciatura em Geografia - Segunda Licenciatura em Geografia - Fernanda Silva da Cruz Oliveira - Desenvolvimento do Capital Humano - Nota Máxima: 9")</f>
        <v>#SLGA - Segunda Licenciatura em Geografia - Segunda Licenciatura em Geografia - Fernanda Silva da Cruz Oliveira - Desenvolvimento do Capital Humano - Nota Máxima: 9</v>
      </c>
    </row>
    <row r="1043">
      <c r="A1043" s="390" t="str">
        <f>IFERROR(__xludf.DUMMYFUNCTION("""COMPUTED_VALUE"""),"#SLGA - Segunda Licenciatura em Geografia - Segunda Licenciatura em Geografia - Fernanda Silva da Cruz Oliveira - Educação, História, Cultura e Práticas Indígenas/a - Nota Máxima: 9")</f>
        <v>#SLGA - Segunda Licenciatura em Geografia - Segunda Licenciatura em Geografia - Fernanda Silva da Cruz Oliveira - Educação, História, Cultura e Práticas Indígenas/a - Nota Máxima: 9</v>
      </c>
    </row>
    <row r="1044">
      <c r="A1044" s="390" t="str">
        <f>IFERROR(__xludf.DUMMYFUNCTION("""COMPUTED_VALUE"""),"#SLGA - Segunda Licenciatura em Geografia - Segunda Licenciatura em Geografia - Fernanda Silva da Cruz Oliveira - Estudos Populacionais - Nota Máxima: 10")</f>
        <v>#SLGA - Segunda Licenciatura em Geografia - Segunda Licenciatura em Geografia - Fernanda Silva da Cruz Oliveira - Estudos Populacionais - Nota Máxima: 10</v>
      </c>
    </row>
    <row r="1045">
      <c r="A1045" s="390" t="str">
        <f>IFERROR(__xludf.DUMMYFUNCTION("""COMPUTED_VALUE"""),"#SLGA - Segunda Licenciatura em Geografia - Segunda Licenciatura em Geografia - Fernanda Silva da Cruz Oliveira - Geografia Física, Política e Urbana - Nota Máxima: 10")</f>
        <v>#SLGA - Segunda Licenciatura em Geografia - Segunda Licenciatura em Geografia - Fernanda Silva da Cruz Oliveira - Geografia Física, Política e Urbana - Nota Máxima: 10</v>
      </c>
    </row>
    <row r="1046">
      <c r="A1046" s="390" t="str">
        <f>IFERROR(__xludf.DUMMYFUNCTION("""COMPUTED_VALUE"""),"#SLGA - Segunda Licenciatura em Geografia - Segunda Licenciatura em Geografia - Fernanda Silva da Cruz Oliveira - Geologia - Nota Máxima: 10")</f>
        <v>#SLGA - Segunda Licenciatura em Geografia - Segunda Licenciatura em Geografia - Fernanda Silva da Cruz Oliveira - Geologia - Nota Máxima: 10</v>
      </c>
    </row>
    <row r="1047">
      <c r="A1047" s="390" t="str">
        <f>IFERROR(__xludf.DUMMYFUNCTION("""COMPUTED_VALUE"""),"#SLGA - Segunda Licenciatura em Geografia - Segunda Licenciatura em Geografia - Fernanda Silva da Cruz Oliveira - Geomorfologia - Nota Máxima: 8")</f>
        <v>#SLGA - Segunda Licenciatura em Geografia - Segunda Licenciatura em Geografia - Fernanda Silva da Cruz Oliveira - Geomorfologia - Nota Máxima: 8</v>
      </c>
    </row>
    <row r="1048">
      <c r="A1048" s="390" t="str">
        <f>IFERROR(__xludf.DUMMYFUNCTION("""COMPUTED_VALUE"""),"#SLGA - Segunda Licenciatura em Geografia - Segunda Licenciatura em Geografia - Fernanda Silva da Cruz Oliveira - Planejamento, Gestão Educacional e Currículo/a - Nota Máxima: 10")</f>
        <v>#SLGA - Segunda Licenciatura em Geografia - Segunda Licenciatura em Geografia - Fernanda Silva da Cruz Oliveira - Planejamento, Gestão Educacional e Currículo/a - Nota Máxima: 10</v>
      </c>
    </row>
    <row r="1049">
      <c r="A1049" s="390" t="str">
        <f>IFERROR(__xludf.DUMMYFUNCTION("""COMPUTED_VALUE"""),"#SLGA - Segunda Licenciatura em Geografia - Segunda Licenciatura em Geografia - Israel Quiroga Botelho - A cognição Humana - Nota Máxima: 10")</f>
        <v>#SLGA - Segunda Licenciatura em Geografia - Segunda Licenciatura em Geografia - Israel Quiroga Botelho - A cognição Humana - Nota Máxima: 10</v>
      </c>
    </row>
    <row r="1050">
      <c r="A1050" s="390" t="str">
        <f>IFERROR(__xludf.DUMMYFUNCTION("""COMPUTED_VALUE"""),"#SLGA - Segunda Licenciatura em Geografia - Segunda Licenciatura em Geografia - Israel Quiroga Botelho - A cognição Humana - Nota Máxima: 6")</f>
        <v>#SLGA - Segunda Licenciatura em Geografia - Segunda Licenciatura em Geografia - Israel Quiroga Botelho - A cognição Humana - Nota Máxima: 6</v>
      </c>
    </row>
    <row r="1051">
      <c r="A1051" s="390" t="str">
        <f>IFERROR(__xludf.DUMMYFUNCTION("""COMPUTED_VALUE"""),"#SLGA - Segunda Licenciatura em Geografia - Segunda Licenciatura em Geografia - Israel Quiroga Botelho - Biogeografia - Nota Máxima: 10")</f>
        <v>#SLGA - Segunda Licenciatura em Geografia - Segunda Licenciatura em Geografia - Israel Quiroga Botelho - Biogeografia - Nota Máxima: 10</v>
      </c>
    </row>
    <row r="1052">
      <c r="A1052" s="390" t="str">
        <f>IFERROR(__xludf.DUMMYFUNCTION("""COMPUTED_VALUE"""),"#SLGA - Segunda Licenciatura em Geografia - Segunda Licenciatura em Geografia - Israel Quiroga Botelho - Biogeografia - Nota Máxima: 10")</f>
        <v>#SLGA - Segunda Licenciatura em Geografia - Segunda Licenciatura em Geografia - Israel Quiroga Botelho - Biogeografia - Nota Máxima: 10</v>
      </c>
    </row>
    <row r="1053">
      <c r="A1053" s="390" t="str">
        <f>IFERROR(__xludf.DUMMYFUNCTION("""COMPUTED_VALUE"""),"#SLGA - Segunda Licenciatura em Geografia - Segunda Licenciatura em Geografia - Israel Quiroga Botelho - Cartografia - Nota Máxima: 10")</f>
        <v>#SLGA - Segunda Licenciatura em Geografia - Segunda Licenciatura em Geografia - Israel Quiroga Botelho - Cartografia - Nota Máxima: 10</v>
      </c>
    </row>
    <row r="1054">
      <c r="A1054" s="390" t="str">
        <f>IFERROR(__xludf.DUMMYFUNCTION("""COMPUTED_VALUE"""),"#SLGA - Segunda Licenciatura em Geografia - Segunda Licenciatura em Geografia - Israel Quiroga Botelho - Cartografia - Nota Máxima: 6")</f>
        <v>#SLGA - Segunda Licenciatura em Geografia - Segunda Licenciatura em Geografia - Israel Quiroga Botelho - Cartografia - Nota Máxima: 6</v>
      </c>
    </row>
    <row r="1055">
      <c r="A1055" s="390" t="str">
        <f>IFERROR(__xludf.DUMMYFUNCTION("""COMPUTED_VALUE"""),"#SLGA - Segunda Licenciatura em Geografia - Segunda Licenciatura em Geografia - Israel Quiroga Botelho - Deficiência Auditiva e Libras/a - Nota Máxima: 10")</f>
        <v>#SLGA - Segunda Licenciatura em Geografia - Segunda Licenciatura em Geografia - Israel Quiroga Botelho - Deficiência Auditiva e Libras/a - Nota Máxima: 10</v>
      </c>
    </row>
    <row r="1056">
      <c r="A1056" s="390" t="str">
        <f>IFERROR(__xludf.DUMMYFUNCTION("""COMPUTED_VALUE"""),"#SLGA - Segunda Licenciatura em Geografia - Segunda Licenciatura em Geografia - Israel Quiroga Botelho - Deficiência Auditiva e Libras/a - Nota Máxima: 8")</f>
        <v>#SLGA - Segunda Licenciatura em Geografia - Segunda Licenciatura em Geografia - Israel Quiroga Botelho - Deficiência Auditiva e Libras/a - Nota Máxima: 8</v>
      </c>
    </row>
    <row r="1057">
      <c r="A1057" s="390" t="str">
        <f>IFERROR(__xludf.DUMMYFUNCTION("""COMPUTED_VALUE"""),"#SLGA - Segunda Licenciatura em Geografia - Segunda Licenciatura em Geografia - Israel Quiroga Botelho - Desenvolvimento do Capital Humano - Nota Máxima: 10")</f>
        <v>#SLGA - Segunda Licenciatura em Geografia - Segunda Licenciatura em Geografia - Israel Quiroga Botelho - Desenvolvimento do Capital Humano - Nota Máxima: 10</v>
      </c>
    </row>
    <row r="1058">
      <c r="A1058" s="390" t="str">
        <f>IFERROR(__xludf.DUMMYFUNCTION("""COMPUTED_VALUE"""),"#SLGA - Segunda Licenciatura em Geografia - Segunda Licenciatura em Geografia - Israel Quiroga Botelho - Desenvolvimento do Capital Humano - Nota Máxima: 8")</f>
        <v>#SLGA - Segunda Licenciatura em Geografia - Segunda Licenciatura em Geografia - Israel Quiroga Botelho - Desenvolvimento do Capital Humano - Nota Máxima: 8</v>
      </c>
    </row>
    <row r="1059">
      <c r="A1059" s="390" t="str">
        <f>IFERROR(__xludf.DUMMYFUNCTION("""COMPUTED_VALUE"""),"#SLGA - Segunda Licenciatura em Geografia - Segunda Licenciatura em Geografia - Israel Quiroga Botelho - Educação Especial, Inclusão Escolar e Adaptações Curriculares - Nota Máxima: 10")</f>
        <v>#SLGA - Segunda Licenciatura em Geografia - Segunda Licenciatura em Geografia - Israel Quiroga Botelho - Educação Especial, Inclusão Escolar e Adaptações Curriculares - Nota Máxima: 10</v>
      </c>
    </row>
    <row r="1060">
      <c r="A1060" s="390" t="str">
        <f>IFERROR(__xludf.DUMMYFUNCTION("""COMPUTED_VALUE"""),"#SLGA - Segunda Licenciatura em Geografia - Segunda Licenciatura em Geografia - Israel Quiroga Botelho - Educação Especial, Inclusão Escolar e Adaptações Curriculares - Nota Máxima: 10")</f>
        <v>#SLGA - Segunda Licenciatura em Geografia - Segunda Licenciatura em Geografia - Israel Quiroga Botelho - Educação Especial, Inclusão Escolar e Adaptações Curriculares - Nota Máxima: 10</v>
      </c>
    </row>
    <row r="1061">
      <c r="A1061" s="390" t="str">
        <f>IFERROR(__xludf.DUMMYFUNCTION("""COMPUTED_VALUE"""),"#SLGA - Segunda Licenciatura em Geografia - Segunda Licenciatura em Geografia - Israel Quiroga Botelho - Educação, História, Cultura e Práticas Indígenas/a - Nota Máxima: 10")</f>
        <v>#SLGA - Segunda Licenciatura em Geografia - Segunda Licenciatura em Geografia - Israel Quiroga Botelho - Educação, História, Cultura e Práticas Indígenas/a - Nota Máxima: 10</v>
      </c>
    </row>
    <row r="1062">
      <c r="A1062" s="390" t="str">
        <f>IFERROR(__xludf.DUMMYFUNCTION("""COMPUTED_VALUE"""),"#SLGA - Segunda Licenciatura em Geografia - Segunda Licenciatura em Geografia - Israel Quiroga Botelho - Educação, História, Cultura e Práticas Indígenas/a - Nota Máxima: 7")</f>
        <v>#SLGA - Segunda Licenciatura em Geografia - Segunda Licenciatura em Geografia - Israel Quiroga Botelho - Educação, História, Cultura e Práticas Indígenas/a - Nota Máxima: 7</v>
      </c>
    </row>
    <row r="1063">
      <c r="A1063" s="390" t="str">
        <f>IFERROR(__xludf.DUMMYFUNCTION("""COMPUTED_VALUE"""),"#SLGA - Segunda Licenciatura em Geografia - Segunda Licenciatura em Geografia - Israel Quiroga Botelho - Estudos Populacionais - Nota Máxima: 10")</f>
        <v>#SLGA - Segunda Licenciatura em Geografia - Segunda Licenciatura em Geografia - Israel Quiroga Botelho - Estudos Populacionais - Nota Máxima: 10</v>
      </c>
    </row>
    <row r="1064">
      <c r="A1064" s="390" t="str">
        <f>IFERROR(__xludf.DUMMYFUNCTION("""COMPUTED_VALUE"""),"#SLGA - Segunda Licenciatura em Geografia - Segunda Licenciatura em Geografia - Israel Quiroga Botelho - Estudos Populacionais - Nota Máxima: 9")</f>
        <v>#SLGA - Segunda Licenciatura em Geografia - Segunda Licenciatura em Geografia - Israel Quiroga Botelho - Estudos Populacionais - Nota Máxima: 9</v>
      </c>
    </row>
    <row r="1065">
      <c r="A1065" s="390" t="str">
        <f>IFERROR(__xludf.DUMMYFUNCTION("""COMPUTED_VALUE"""),"#SLGA - Segunda Licenciatura em Geografia - Segunda Licenciatura em Geografia - Israel Quiroga Botelho - Geografia Física, Política e Urbana - Nota Máxima: 10")</f>
        <v>#SLGA - Segunda Licenciatura em Geografia - Segunda Licenciatura em Geografia - Israel Quiroga Botelho - Geografia Física, Política e Urbana - Nota Máxima: 10</v>
      </c>
    </row>
    <row r="1066">
      <c r="A1066" s="390" t="str">
        <f>IFERROR(__xludf.DUMMYFUNCTION("""COMPUTED_VALUE"""),"#SLGA - Segunda Licenciatura em Geografia - Segunda Licenciatura em Geografia - Israel Quiroga Botelho - Geografia Física, Política e Urbana - Nota Máxima: 5")</f>
        <v>#SLGA - Segunda Licenciatura em Geografia - Segunda Licenciatura em Geografia - Israel Quiroga Botelho - Geografia Física, Política e Urbana - Nota Máxima: 5</v>
      </c>
    </row>
    <row r="1067">
      <c r="A1067" s="390" t="str">
        <f>IFERROR(__xludf.DUMMYFUNCTION("""COMPUTED_VALUE"""),"#SLGA - Segunda Licenciatura em Geografia - Segunda Licenciatura em Geografia - Israel Quiroga Botelho - Geologia - Nota Máxima: 10")</f>
        <v>#SLGA - Segunda Licenciatura em Geografia - Segunda Licenciatura em Geografia - Israel Quiroga Botelho - Geologia - Nota Máxima: 10</v>
      </c>
    </row>
    <row r="1068">
      <c r="A1068" s="390" t="str">
        <f>IFERROR(__xludf.DUMMYFUNCTION("""COMPUTED_VALUE"""),"#SLGA - Segunda Licenciatura em Geografia - Segunda Licenciatura em Geografia - Israel Quiroga Botelho - Geologia - Nota Máxima: 3")</f>
        <v>#SLGA - Segunda Licenciatura em Geografia - Segunda Licenciatura em Geografia - Israel Quiroga Botelho - Geologia - Nota Máxima: 3</v>
      </c>
    </row>
    <row r="1069">
      <c r="A1069" s="390" t="str">
        <f>IFERROR(__xludf.DUMMYFUNCTION("""COMPUTED_VALUE"""),"#SLGA - Segunda Licenciatura em Geografia - Segunda Licenciatura em Geografia - Israel Quiroga Botelho - Geomorfologia - Nota Máxima: 10")</f>
        <v>#SLGA - Segunda Licenciatura em Geografia - Segunda Licenciatura em Geografia - Israel Quiroga Botelho - Geomorfologia - Nota Máxima: 10</v>
      </c>
    </row>
    <row r="1070">
      <c r="A1070" s="390" t="str">
        <f>IFERROR(__xludf.DUMMYFUNCTION("""COMPUTED_VALUE"""),"#SLGA - Segunda Licenciatura em Geografia - Segunda Licenciatura em Geografia - Israel Quiroga Botelho - Geomorfologia - Nota Máxima: 10")</f>
        <v>#SLGA - Segunda Licenciatura em Geografia - Segunda Licenciatura em Geografia - Israel Quiroga Botelho - Geomorfologia - Nota Máxima: 10</v>
      </c>
    </row>
    <row r="1071">
      <c r="A1071" s="390" t="str">
        <f>IFERROR(__xludf.DUMMYFUNCTION("""COMPUTED_VALUE"""),"#SLGA - Segunda Licenciatura em Geografia - Segunda Licenciatura em Geografia - Israel Quiroga Botelho - Legislação Educacional/a - Nota Máxima: 10")</f>
        <v>#SLGA - Segunda Licenciatura em Geografia - Segunda Licenciatura em Geografia - Israel Quiroga Botelho - Legislação Educacional/a - Nota Máxima: 10</v>
      </c>
    </row>
    <row r="1072">
      <c r="A1072" s="390" t="str">
        <f>IFERROR(__xludf.DUMMYFUNCTION("""COMPUTED_VALUE"""),"#SLGA - Segunda Licenciatura em Geografia - Segunda Licenciatura em Geografia - Israel Quiroga Botelho - Legislação Educacional/a - Nota Máxima: 4")</f>
        <v>#SLGA - Segunda Licenciatura em Geografia - Segunda Licenciatura em Geografia - Israel Quiroga Botelho - Legislação Educacional/a - Nota Máxima: 4</v>
      </c>
    </row>
    <row r="1073">
      <c r="A1073" s="390" t="str">
        <f>IFERROR(__xludf.DUMMYFUNCTION("""COMPUTED_VALUE"""),"#SLGA - Segunda Licenciatura em Geografia - Segunda Licenciatura em Geografia - Israel Quiroga Botelho - Planejamento, Gestão Educacional e Currículo/a - Nota Máxima: 10")</f>
        <v>#SLGA - Segunda Licenciatura em Geografia - Segunda Licenciatura em Geografia - Israel Quiroga Botelho - Planejamento, Gestão Educacional e Currículo/a - Nota Máxima: 10</v>
      </c>
    </row>
    <row r="1074">
      <c r="A1074" s="390" t="str">
        <f>IFERROR(__xludf.DUMMYFUNCTION("""COMPUTED_VALUE"""),"#SLGA - Segunda Licenciatura em Geografia - Segunda Licenciatura em Geografia - Israel Quiroga Botelho - Planejamento, Gestão Educacional e Currículo/a - Nota Máxima: 10")</f>
        <v>#SLGA - Segunda Licenciatura em Geografia - Segunda Licenciatura em Geografia - Israel Quiroga Botelho - Planejamento, Gestão Educacional e Currículo/a - Nota Máxima: 10</v>
      </c>
    </row>
    <row r="1075">
      <c r="A1075" s="390" t="str">
        <f>IFERROR(__xludf.DUMMYFUNCTION("""COMPUTED_VALUE"""),"#SLGA - Segunda Licenciatura em Geografia - Segunda Licenciatura em Geografia - Israel Quiroga Botelho - Práticas Pedagógicas - 400 Horas - Nota Máxima: 45784")</f>
        <v>#SLGA - Segunda Licenciatura em Geografia - Segunda Licenciatura em Geografia - Israel Quiroga Botelho - Práticas Pedagógicas - 400 Horas - Nota Máxima: 45784</v>
      </c>
    </row>
    <row r="1076">
      <c r="A1076" s="390" t="str">
        <f>IFERROR(__xludf.DUMMYFUNCTION("""COMPUTED_VALUE"""),"#SLGA - Segunda Licenciatura em Geografia - Segunda Licenciatura em Geografia - Israel Quiroga Botelho - Práticas Pedagógicas - 400 Horas - Nota Máxima: 45784")</f>
        <v>#SLGA - Segunda Licenciatura em Geografia - Segunda Licenciatura em Geografia - Israel Quiroga Botelho - Práticas Pedagógicas - 400 Horas - Nota Máxima: 45784</v>
      </c>
    </row>
    <row r="1077">
      <c r="A1077" s="390" t="str">
        <f>IFERROR(__xludf.DUMMYFUNCTION("""COMPUTED_VALUE"""),"#SLGA - Segunda Licenciatura em Geografia - Segunda Licenciatura em Geografia - Israel Quiroga Botelho - Psicologia da Educação/a - Nota Máxima: 10")</f>
        <v>#SLGA - Segunda Licenciatura em Geografia - Segunda Licenciatura em Geografia - Israel Quiroga Botelho - Psicologia da Educação/a - Nota Máxima: 10</v>
      </c>
    </row>
    <row r="1078">
      <c r="A1078" s="390" t="str">
        <f>IFERROR(__xludf.DUMMYFUNCTION("""COMPUTED_VALUE"""),"#SLGA - Segunda Licenciatura em Geografia - Segunda Licenciatura em Geografia - Israel Quiroga Botelho - Psicologia da Educação/a - Nota Máxima: 5")</f>
        <v>#SLGA - Segunda Licenciatura em Geografia - Segunda Licenciatura em Geografia - Israel Quiroga Botelho - Psicologia da Educação/a - Nota Máxima: 5</v>
      </c>
    </row>
    <row r="1079">
      <c r="A1079" s="390" t="str">
        <f>IFERROR(__xludf.DUMMYFUNCTION("""COMPUTED_VALUE"""),"#SLGA - Segunda Licenciatura em Geografia - Segunda Licenciatura em Geografia - Daniela Lunardi Camargo Barazzetti - A cognição Humana - Nota Máxima: 9")</f>
        <v>#SLGA - Segunda Licenciatura em Geografia - Segunda Licenciatura em Geografia - Daniela Lunardi Camargo Barazzetti - A cognição Humana - Nota Máxima: 9</v>
      </c>
    </row>
    <row r="1080">
      <c r="A1080" s="390" t="str">
        <f>IFERROR(__xludf.DUMMYFUNCTION("""COMPUTED_VALUE"""),"#SLGA - Segunda Licenciatura em Geografia - Segunda Licenciatura em Geografia - Daniela Lunardi Camargo Barazzetti - Biogeografia - Nota Máxima: 10")</f>
        <v>#SLGA - Segunda Licenciatura em Geografia - Segunda Licenciatura em Geografia - Daniela Lunardi Camargo Barazzetti - Biogeografia - Nota Máxima: 10</v>
      </c>
    </row>
    <row r="1081">
      <c r="A1081" s="390" t="str">
        <f>IFERROR(__xludf.DUMMYFUNCTION("""COMPUTED_VALUE"""),"#SLGA - Segunda Licenciatura em Geografia - Segunda Licenciatura em Geografia - Daniela Lunardi Camargo Barazzetti - Biogeografia - Nota Máxima: 10")</f>
        <v>#SLGA - Segunda Licenciatura em Geografia - Segunda Licenciatura em Geografia - Daniela Lunardi Camargo Barazzetti - Biogeografia - Nota Máxima: 10</v>
      </c>
    </row>
    <row r="1082">
      <c r="A1082" s="390" t="str">
        <f>IFERROR(__xludf.DUMMYFUNCTION("""COMPUTED_VALUE"""),"#SLGA - Segunda Licenciatura em Geografia - Segunda Licenciatura em Geografia - Daniela Lunardi Camargo Barazzetti - Cartografia - Nota Máxima: 10")</f>
        <v>#SLGA - Segunda Licenciatura em Geografia - Segunda Licenciatura em Geografia - Daniela Lunardi Camargo Barazzetti - Cartografia - Nota Máxima: 10</v>
      </c>
    </row>
    <row r="1083">
      <c r="A1083" s="390" t="str">
        <f>IFERROR(__xludf.DUMMYFUNCTION("""COMPUTED_VALUE"""),"#SLGA - Segunda Licenciatura em Geografia - Segunda Licenciatura em Geografia - Daniela Lunardi Camargo Barazzetti - Cartografia - Nota Máxima: 10")</f>
        <v>#SLGA - Segunda Licenciatura em Geografia - Segunda Licenciatura em Geografia - Daniela Lunardi Camargo Barazzetti - Cartografia - Nota Máxima: 10</v>
      </c>
    </row>
    <row r="1084">
      <c r="A1084" s="390" t="str">
        <f>IFERROR(__xludf.DUMMYFUNCTION("""COMPUTED_VALUE"""),"#SLGA - Segunda Licenciatura em Geografia - Segunda Licenciatura em Geografia - Daniela Lunardi Camargo Barazzetti - Deficiência Auditiva e Libras/a - Nota Máxima: 10")</f>
        <v>#SLGA - Segunda Licenciatura em Geografia - Segunda Licenciatura em Geografia - Daniela Lunardi Camargo Barazzetti - Deficiência Auditiva e Libras/a - Nota Máxima: 10</v>
      </c>
    </row>
    <row r="1085">
      <c r="A1085" s="390" t="str">
        <f>IFERROR(__xludf.DUMMYFUNCTION("""COMPUTED_VALUE"""),"#SLGA - Segunda Licenciatura em Geografia - Segunda Licenciatura em Geografia - Daniela Lunardi Camargo Barazzetti - Deficiência Auditiva e Libras/a - Nota Máxima: 7")</f>
        <v>#SLGA - Segunda Licenciatura em Geografia - Segunda Licenciatura em Geografia - Daniela Lunardi Camargo Barazzetti - Deficiência Auditiva e Libras/a - Nota Máxima: 7</v>
      </c>
    </row>
    <row r="1086">
      <c r="A1086" s="390" t="str">
        <f>IFERROR(__xludf.DUMMYFUNCTION("""COMPUTED_VALUE"""),"#SLGA - Segunda Licenciatura em Geografia - Segunda Licenciatura em Geografia - Daniela Lunardi Camargo Barazzetti - Desenvolvimento do Capital Humano - Nota Máxima: 10")</f>
        <v>#SLGA - Segunda Licenciatura em Geografia - Segunda Licenciatura em Geografia - Daniela Lunardi Camargo Barazzetti - Desenvolvimento do Capital Humano - Nota Máxima: 10</v>
      </c>
    </row>
    <row r="1087">
      <c r="A1087" s="390" t="str">
        <f>IFERROR(__xludf.DUMMYFUNCTION("""COMPUTED_VALUE"""),"#SLGA - Segunda Licenciatura em Geografia - Segunda Licenciatura em Geografia - Daniela Lunardi Camargo Barazzetti - Desenvolvimento do Capital Humano - Nota Máxima: 8")</f>
        <v>#SLGA - Segunda Licenciatura em Geografia - Segunda Licenciatura em Geografia - Daniela Lunardi Camargo Barazzetti - Desenvolvimento do Capital Humano - Nota Máxima: 8</v>
      </c>
    </row>
    <row r="1088">
      <c r="A1088" s="390" t="str">
        <f>IFERROR(__xludf.DUMMYFUNCTION("""COMPUTED_VALUE"""),"#SLGA - Segunda Licenciatura em Geografia - Segunda Licenciatura em Geografia - Daniela Lunardi Camargo Barazzetti - Educação Especial, Inclusão Escolar e Adaptações Curriculares - Nota Máxima: 10")</f>
        <v>#SLGA - Segunda Licenciatura em Geografia - Segunda Licenciatura em Geografia - Daniela Lunardi Camargo Barazzetti - Educação Especial, Inclusão Escolar e Adaptações Curriculares - Nota Máxima: 10</v>
      </c>
    </row>
    <row r="1089">
      <c r="A1089" s="390" t="str">
        <f>IFERROR(__xludf.DUMMYFUNCTION("""COMPUTED_VALUE"""),"#SLGA - Segunda Licenciatura em Geografia - Segunda Licenciatura em Geografia - Daniela Lunardi Camargo Barazzetti - Educação Especial, Inclusão Escolar e Adaptações Curriculares - Nota Máxima: 10")</f>
        <v>#SLGA - Segunda Licenciatura em Geografia - Segunda Licenciatura em Geografia - Daniela Lunardi Camargo Barazzetti - Educação Especial, Inclusão Escolar e Adaptações Curriculares - Nota Máxima: 10</v>
      </c>
    </row>
    <row r="1090">
      <c r="A1090" s="390" t="str">
        <f>IFERROR(__xludf.DUMMYFUNCTION("""COMPUTED_VALUE"""),"#SLGA - Segunda Licenciatura em Geografia - Segunda Licenciatura em Geografia - Daniela Lunardi Camargo Barazzetti - Educação, História, Cultura e Práticas Indígenas/a - Nota Máxima: 10")</f>
        <v>#SLGA - Segunda Licenciatura em Geografia - Segunda Licenciatura em Geografia - Daniela Lunardi Camargo Barazzetti - Educação, História, Cultura e Práticas Indígenas/a - Nota Máxima: 10</v>
      </c>
    </row>
    <row r="1091">
      <c r="A1091" s="390" t="str">
        <f>IFERROR(__xludf.DUMMYFUNCTION("""COMPUTED_VALUE"""),"#SLGA - Segunda Licenciatura em Geografia - Segunda Licenciatura em Geografia - Daniela Lunardi Camargo Barazzetti - Educação, História, Cultura e Práticas Indígenas/a - Nota Máxima: 10")</f>
        <v>#SLGA - Segunda Licenciatura em Geografia - Segunda Licenciatura em Geografia - Daniela Lunardi Camargo Barazzetti - Educação, História, Cultura e Práticas Indígenas/a - Nota Máxima: 10</v>
      </c>
    </row>
    <row r="1092">
      <c r="A1092" s="390" t="str">
        <f>IFERROR(__xludf.DUMMYFUNCTION("""COMPUTED_VALUE"""),"#SLGA - Segunda Licenciatura em Geografia - Segunda Licenciatura em Geografia - Daniela Lunardi Camargo Barazzetti - Estudos Populacionais - Nota Máxima: 10")</f>
        <v>#SLGA - Segunda Licenciatura em Geografia - Segunda Licenciatura em Geografia - Daniela Lunardi Camargo Barazzetti - Estudos Populacionais - Nota Máxima: 10</v>
      </c>
    </row>
    <row r="1093">
      <c r="A1093" s="390" t="str">
        <f>IFERROR(__xludf.DUMMYFUNCTION("""COMPUTED_VALUE"""),"#SLGA - Segunda Licenciatura em Geografia - Segunda Licenciatura em Geografia - Daniela Lunardi Camargo Barazzetti - Estudos Populacionais - Nota Máxima: 10")</f>
        <v>#SLGA - Segunda Licenciatura em Geografia - Segunda Licenciatura em Geografia - Daniela Lunardi Camargo Barazzetti - Estudos Populacionais - Nota Máxima: 10</v>
      </c>
    </row>
    <row r="1094">
      <c r="A1094" s="390" t="str">
        <f>IFERROR(__xludf.DUMMYFUNCTION("""COMPUTED_VALUE"""),"#SLGA - Segunda Licenciatura em Geografia - Segunda Licenciatura em Geografia - Daniela Lunardi Camargo Barazzetti - Geografia Física, Política e Urbana - Nota Máxima: 10")</f>
        <v>#SLGA - Segunda Licenciatura em Geografia - Segunda Licenciatura em Geografia - Daniela Lunardi Camargo Barazzetti - Geografia Física, Política e Urbana - Nota Máxima: 10</v>
      </c>
    </row>
    <row r="1095">
      <c r="A1095" s="390" t="str">
        <f>IFERROR(__xludf.DUMMYFUNCTION("""COMPUTED_VALUE"""),"#SLGA - Segunda Licenciatura em Geografia - Segunda Licenciatura em Geografia - Daniela Lunardi Camargo Barazzetti - Geografia Física, Política e Urbana - Nota Máxima: 10")</f>
        <v>#SLGA - Segunda Licenciatura em Geografia - Segunda Licenciatura em Geografia - Daniela Lunardi Camargo Barazzetti - Geografia Física, Política e Urbana - Nota Máxima: 10</v>
      </c>
    </row>
    <row r="1096">
      <c r="A1096" s="390" t="str">
        <f>IFERROR(__xludf.DUMMYFUNCTION("""COMPUTED_VALUE"""),"#SLGA - Segunda Licenciatura em Geografia - Segunda Licenciatura em Geografia - Daniela Lunardi Camargo Barazzetti - Geologia - Nota Máxima: 10")</f>
        <v>#SLGA - Segunda Licenciatura em Geografia - Segunda Licenciatura em Geografia - Daniela Lunardi Camargo Barazzetti - Geologia - Nota Máxima: 10</v>
      </c>
    </row>
    <row r="1097">
      <c r="A1097" s="390" t="str">
        <f>IFERROR(__xludf.DUMMYFUNCTION("""COMPUTED_VALUE"""),"#SLGA - Segunda Licenciatura em Geografia - Segunda Licenciatura em Geografia - Daniela Lunardi Camargo Barazzetti - Geologia - Nota Máxima: 10")</f>
        <v>#SLGA - Segunda Licenciatura em Geografia - Segunda Licenciatura em Geografia - Daniela Lunardi Camargo Barazzetti - Geologia - Nota Máxima: 10</v>
      </c>
    </row>
    <row r="1098">
      <c r="A1098" s="390" t="str">
        <f>IFERROR(__xludf.DUMMYFUNCTION("""COMPUTED_VALUE"""),"#SLGA - Segunda Licenciatura em Geografia - Segunda Licenciatura em Geografia - Daniela Lunardi Camargo Barazzetti - Geomorfologia - Nota Máxima: 10")</f>
        <v>#SLGA - Segunda Licenciatura em Geografia - Segunda Licenciatura em Geografia - Daniela Lunardi Camargo Barazzetti - Geomorfologia - Nota Máxima: 10</v>
      </c>
    </row>
    <row r="1099">
      <c r="A1099" s="390" t="str">
        <f>IFERROR(__xludf.DUMMYFUNCTION("""COMPUTED_VALUE"""),"#SLGA - Segunda Licenciatura em Geografia - Segunda Licenciatura em Geografia - Daniela Lunardi Camargo Barazzetti - Geomorfologia - Nota Máxima: 7")</f>
        <v>#SLGA - Segunda Licenciatura em Geografia - Segunda Licenciatura em Geografia - Daniela Lunardi Camargo Barazzetti - Geomorfologia - Nota Máxima: 7</v>
      </c>
    </row>
    <row r="1100">
      <c r="A1100" s="390" t="str">
        <f>IFERROR(__xludf.DUMMYFUNCTION("""COMPUTED_VALUE"""),"#SLGA - Segunda Licenciatura em Geografia - Segunda Licenciatura em Geografia - Daniela Lunardi Camargo Barazzetti - Legislação Educacional/a - Nota Máxima: 10")</f>
        <v>#SLGA - Segunda Licenciatura em Geografia - Segunda Licenciatura em Geografia - Daniela Lunardi Camargo Barazzetti - Legislação Educacional/a - Nota Máxima: 10</v>
      </c>
    </row>
    <row r="1101">
      <c r="A1101" s="390" t="str">
        <f>IFERROR(__xludf.DUMMYFUNCTION("""COMPUTED_VALUE"""),"#SLGA - Segunda Licenciatura em Geografia - Segunda Licenciatura em Geografia - Daniela Lunardi Camargo Barazzetti - Planejamento, Gestão Educacional e Currículo/a - Nota Máxima: 10")</f>
        <v>#SLGA - Segunda Licenciatura em Geografia - Segunda Licenciatura em Geografia - Daniela Lunardi Camargo Barazzetti - Planejamento, Gestão Educacional e Currículo/a - Nota Máxima: 10</v>
      </c>
    </row>
    <row r="1102">
      <c r="A1102" s="390" t="str">
        <f>IFERROR(__xludf.DUMMYFUNCTION("""COMPUTED_VALUE"""),"#SLGA - Segunda Licenciatura em Geografia - Segunda Licenciatura em Geografia - Daniela Lunardi Camargo Barazzetti - Práticas Pedagógicas - 400 Horas - Nota Máxima: 10")</f>
        <v>#SLGA - Segunda Licenciatura em Geografia - Segunda Licenciatura em Geografia - Daniela Lunardi Camargo Barazzetti - Práticas Pedagógicas - 400 Horas - Nota Máxima: 10</v>
      </c>
    </row>
    <row r="1103">
      <c r="A1103" s="390" t="str">
        <f>IFERROR(__xludf.DUMMYFUNCTION("""COMPUTED_VALUE"""),"#SLGA - Segunda Licenciatura em Geografia - Segunda Licenciatura em Geografia - Daniela Lunardi Camargo Barazzetti - Psicologia da Educação/a - Nota Máxima: 10")</f>
        <v>#SLGA - Segunda Licenciatura em Geografia - Segunda Licenciatura em Geografia - Daniela Lunardi Camargo Barazzetti - Psicologia da Educação/a - Nota Máxima: 10</v>
      </c>
    </row>
    <row r="1104">
      <c r="A1104" s="390" t="str">
        <f>IFERROR(__xludf.DUMMYFUNCTION("""COMPUTED_VALUE"""),"#SLGA - Segunda Licenciatura em Geografia - Segunda Licenciatura em Geografia - Juciara Maciel - A cognição Humana - Nota Máxima: 10")</f>
        <v>#SLGA - Segunda Licenciatura em Geografia - Segunda Licenciatura em Geografia - Juciara Maciel - A cognição Humana - Nota Máxima: 10</v>
      </c>
    </row>
    <row r="1105">
      <c r="A1105" s="390" t="str">
        <f>IFERROR(__xludf.DUMMYFUNCTION("""COMPUTED_VALUE"""),"#SLGA - Segunda Licenciatura em Geografia - Segunda Licenciatura em Geografia - Juciara Maciel - A cognição Humana - Nota Máxima: 10")</f>
        <v>#SLGA - Segunda Licenciatura em Geografia - Segunda Licenciatura em Geografia - Juciara Maciel - A cognição Humana - Nota Máxima: 10</v>
      </c>
    </row>
    <row r="1106">
      <c r="A1106" s="390" t="str">
        <f>IFERROR(__xludf.DUMMYFUNCTION("""COMPUTED_VALUE"""),"#SLGA - Segunda Licenciatura em Geografia - Segunda Licenciatura em Geografia - Juciara Maciel - Biogeografia - Nota Máxima: 10")</f>
        <v>#SLGA - Segunda Licenciatura em Geografia - Segunda Licenciatura em Geografia - Juciara Maciel - Biogeografia - Nota Máxima: 10</v>
      </c>
    </row>
    <row r="1107">
      <c r="A1107" s="390" t="str">
        <f>IFERROR(__xludf.DUMMYFUNCTION("""COMPUTED_VALUE"""),"#SLGA - Segunda Licenciatura em Geografia - Segunda Licenciatura em Geografia - Juciara Maciel - Biogeografia - Nota Máxima: 10")</f>
        <v>#SLGA - Segunda Licenciatura em Geografia - Segunda Licenciatura em Geografia - Juciara Maciel - Biogeografia - Nota Máxima: 10</v>
      </c>
    </row>
    <row r="1108">
      <c r="A1108" s="390" t="str">
        <f>IFERROR(__xludf.DUMMYFUNCTION("""COMPUTED_VALUE"""),"#SLGA - Segunda Licenciatura em Geografia - Segunda Licenciatura em Geografia - Juciara Maciel - Cartografia - Nota Máxima: 10")</f>
        <v>#SLGA - Segunda Licenciatura em Geografia - Segunda Licenciatura em Geografia - Juciara Maciel - Cartografia - Nota Máxima: 10</v>
      </c>
    </row>
    <row r="1109">
      <c r="A1109" s="390" t="str">
        <f>IFERROR(__xludf.DUMMYFUNCTION("""COMPUTED_VALUE"""),"#SLGA - Segunda Licenciatura em Geografia - Segunda Licenciatura em Geografia - Juciara Maciel - Cartografia - Nota Máxima: 9")</f>
        <v>#SLGA - Segunda Licenciatura em Geografia - Segunda Licenciatura em Geografia - Juciara Maciel - Cartografia - Nota Máxima: 9</v>
      </c>
    </row>
    <row r="1110">
      <c r="A1110" s="390" t="str">
        <f>IFERROR(__xludf.DUMMYFUNCTION("""COMPUTED_VALUE"""),"#SLGA - Segunda Licenciatura em Geografia - Segunda Licenciatura em Geografia - Juciara Maciel - Deficiência Auditiva e Libras/a - Nota Máxima: 10")</f>
        <v>#SLGA - Segunda Licenciatura em Geografia - Segunda Licenciatura em Geografia - Juciara Maciel - Deficiência Auditiva e Libras/a - Nota Máxima: 10</v>
      </c>
    </row>
    <row r="1111">
      <c r="A1111" s="390" t="str">
        <f>IFERROR(__xludf.DUMMYFUNCTION("""COMPUTED_VALUE"""),"#SLGA - Segunda Licenciatura em Geografia - Segunda Licenciatura em Geografia - Juciara Maciel - Deficiência Auditiva e Libras/a - Nota Máxima: 10")</f>
        <v>#SLGA - Segunda Licenciatura em Geografia - Segunda Licenciatura em Geografia - Juciara Maciel - Deficiência Auditiva e Libras/a - Nota Máxima: 10</v>
      </c>
    </row>
    <row r="1112">
      <c r="A1112" s="390" t="str">
        <f>IFERROR(__xludf.DUMMYFUNCTION("""COMPUTED_VALUE"""),"#SLGA - Segunda Licenciatura em Geografia - Segunda Licenciatura em Geografia - Juciara Maciel - Desenvolvimento do Capital Humano - Nota Máxima: 10")</f>
        <v>#SLGA - Segunda Licenciatura em Geografia - Segunda Licenciatura em Geografia - Juciara Maciel - Desenvolvimento do Capital Humano - Nota Máxima: 10</v>
      </c>
    </row>
    <row r="1113">
      <c r="A1113" s="390" t="str">
        <f>IFERROR(__xludf.DUMMYFUNCTION("""COMPUTED_VALUE"""),"#SLGA - Segunda Licenciatura em Geografia - Segunda Licenciatura em Geografia - Juciara Maciel - Desenvolvimento do Capital Humano - Nota Máxima: 10")</f>
        <v>#SLGA - Segunda Licenciatura em Geografia - Segunda Licenciatura em Geografia - Juciara Maciel - Desenvolvimento do Capital Humano - Nota Máxima: 10</v>
      </c>
    </row>
    <row r="1114">
      <c r="A1114" s="390" t="str">
        <f>IFERROR(__xludf.DUMMYFUNCTION("""COMPUTED_VALUE"""),"#SLGA - Segunda Licenciatura em Geografia - Segunda Licenciatura em Geografia - Juciara Maciel - Educação Especial, Inclusão Escolar e Adaptações Curriculares - Nota Máxima: 10")</f>
        <v>#SLGA - Segunda Licenciatura em Geografia - Segunda Licenciatura em Geografia - Juciara Maciel - Educação Especial, Inclusão Escolar e Adaptações Curriculares - Nota Máxima: 10</v>
      </c>
    </row>
    <row r="1115">
      <c r="A1115" s="390" t="str">
        <f>IFERROR(__xludf.DUMMYFUNCTION("""COMPUTED_VALUE"""),"#SLGA - Segunda Licenciatura em Geografia - Segunda Licenciatura em Geografia - Juciara Maciel - Educação Especial, Inclusão Escolar e Adaptações Curriculares - Nota Máxima: 9")</f>
        <v>#SLGA - Segunda Licenciatura em Geografia - Segunda Licenciatura em Geografia - Juciara Maciel - Educação Especial, Inclusão Escolar e Adaptações Curriculares - Nota Máxima: 9</v>
      </c>
    </row>
    <row r="1116">
      <c r="A1116" s="390" t="str">
        <f>IFERROR(__xludf.DUMMYFUNCTION("""COMPUTED_VALUE"""),"#SLGA - Segunda Licenciatura em Geografia - Segunda Licenciatura em Geografia - Juciara Maciel - Educação, História, Cultura e Práticas Indígenas/a - Nota Máxima: 9")</f>
        <v>#SLGA - Segunda Licenciatura em Geografia - Segunda Licenciatura em Geografia - Juciara Maciel - Educação, História, Cultura e Práticas Indígenas/a - Nota Máxima: 9</v>
      </c>
    </row>
    <row r="1117">
      <c r="A1117" s="390" t="str">
        <f>IFERROR(__xludf.DUMMYFUNCTION("""COMPUTED_VALUE"""),"#SLGA - Segunda Licenciatura em Geografia - Segunda Licenciatura em Geografia - Juciara Maciel - Educação, História, Cultura e Práticas Indígenas/a - Nota Máxima: 10")</f>
        <v>#SLGA - Segunda Licenciatura em Geografia - Segunda Licenciatura em Geografia - Juciara Maciel - Educação, História, Cultura e Práticas Indígenas/a - Nota Máxima: 10</v>
      </c>
    </row>
    <row r="1118">
      <c r="A1118" s="390" t="str">
        <f>IFERROR(__xludf.DUMMYFUNCTION("""COMPUTED_VALUE"""),"#SLGA - Segunda Licenciatura em Geografia - Segunda Licenciatura em Geografia - Juciara Maciel - Estudos Populacionais - Nota Máxima: 10")</f>
        <v>#SLGA - Segunda Licenciatura em Geografia - Segunda Licenciatura em Geografia - Juciara Maciel - Estudos Populacionais - Nota Máxima: 10</v>
      </c>
    </row>
    <row r="1119">
      <c r="A1119" s="390" t="str">
        <f>IFERROR(__xludf.DUMMYFUNCTION("""COMPUTED_VALUE"""),"#SLGA - Segunda Licenciatura em Geografia - Segunda Licenciatura em Geografia - Juciara Maciel - Estudos Populacionais - Nota Máxima: 9")</f>
        <v>#SLGA - Segunda Licenciatura em Geografia - Segunda Licenciatura em Geografia - Juciara Maciel - Estudos Populacionais - Nota Máxima: 9</v>
      </c>
    </row>
    <row r="1120">
      <c r="A1120" s="390" t="str">
        <f>IFERROR(__xludf.DUMMYFUNCTION("""COMPUTED_VALUE"""),"#SLGA - Segunda Licenciatura em Geografia - Segunda Licenciatura em Geografia - Juciara Maciel - Geografia Física, Política e Urbana - Nota Máxima: 10")</f>
        <v>#SLGA - Segunda Licenciatura em Geografia - Segunda Licenciatura em Geografia - Juciara Maciel - Geografia Física, Política e Urbana - Nota Máxima: 10</v>
      </c>
    </row>
    <row r="1121">
      <c r="A1121" s="390" t="str">
        <f>IFERROR(__xludf.DUMMYFUNCTION("""COMPUTED_VALUE"""),"#SLGA - Segunda Licenciatura em Geografia - Segunda Licenciatura em Geografia - Juciara Maciel - Geografia Física, Política e Urbana - Nota Máxima: 10")</f>
        <v>#SLGA - Segunda Licenciatura em Geografia - Segunda Licenciatura em Geografia - Juciara Maciel - Geografia Física, Política e Urbana - Nota Máxima: 10</v>
      </c>
    </row>
    <row r="1122">
      <c r="A1122" s="390" t="str">
        <f>IFERROR(__xludf.DUMMYFUNCTION("""COMPUTED_VALUE"""),"#SLGA - Segunda Licenciatura em Geografia - Segunda Licenciatura em Geografia - Juciara Maciel - Geologia - Nota Máxima: 10")</f>
        <v>#SLGA - Segunda Licenciatura em Geografia - Segunda Licenciatura em Geografia - Juciara Maciel - Geologia - Nota Máxima: 10</v>
      </c>
    </row>
    <row r="1123">
      <c r="A1123" s="390" t="str">
        <f>IFERROR(__xludf.DUMMYFUNCTION("""COMPUTED_VALUE"""),"#SLGA - Segunda Licenciatura em Geografia - Segunda Licenciatura em Geografia - Juciara Maciel - Geologia - Nota Máxima: 10")</f>
        <v>#SLGA - Segunda Licenciatura em Geografia - Segunda Licenciatura em Geografia - Juciara Maciel - Geologia - Nota Máxima: 10</v>
      </c>
    </row>
    <row r="1124">
      <c r="A1124" s="390" t="str">
        <f>IFERROR(__xludf.DUMMYFUNCTION("""COMPUTED_VALUE"""),"#SLGA - Segunda Licenciatura em Geografia - Segunda Licenciatura em Geografia - Juciara Maciel - Geomorfologia - Nota Máxima: 10")</f>
        <v>#SLGA - Segunda Licenciatura em Geografia - Segunda Licenciatura em Geografia - Juciara Maciel - Geomorfologia - Nota Máxima: 10</v>
      </c>
    </row>
    <row r="1125">
      <c r="A1125" s="390" t="str">
        <f>IFERROR(__xludf.DUMMYFUNCTION("""COMPUTED_VALUE"""),"#SLGA - Segunda Licenciatura em Geografia - Segunda Licenciatura em Geografia - Juciara Maciel - Geomorfologia - Nota Máxima: 10")</f>
        <v>#SLGA - Segunda Licenciatura em Geografia - Segunda Licenciatura em Geografia - Juciara Maciel - Geomorfologia - Nota Máxima: 10</v>
      </c>
    </row>
    <row r="1126">
      <c r="A1126" s="390" t="str">
        <f>IFERROR(__xludf.DUMMYFUNCTION("""COMPUTED_VALUE"""),"#SLGA - Segunda Licenciatura em Geografia - Segunda Licenciatura em Geografia - Juciara Maciel - Legislação Educacional/a - Nota Máxima: 10")</f>
        <v>#SLGA - Segunda Licenciatura em Geografia - Segunda Licenciatura em Geografia - Juciara Maciel - Legislação Educacional/a - Nota Máxima: 10</v>
      </c>
    </row>
    <row r="1127">
      <c r="A1127" s="390" t="str">
        <f>IFERROR(__xludf.DUMMYFUNCTION("""COMPUTED_VALUE"""),"#SLGA - Segunda Licenciatura em Geografia - Segunda Licenciatura em Geografia - Juciara Maciel - Legislação Educacional/a - Nota Máxima: 10")</f>
        <v>#SLGA - Segunda Licenciatura em Geografia - Segunda Licenciatura em Geografia - Juciara Maciel - Legislação Educacional/a - Nota Máxima: 10</v>
      </c>
    </row>
    <row r="1128">
      <c r="A1128" s="390" t="str">
        <f>IFERROR(__xludf.DUMMYFUNCTION("""COMPUTED_VALUE"""),"#SLGA - Segunda Licenciatura em Geografia - Segunda Licenciatura em Geografia - Juciara Maciel - Planejamento, Gestão Educacional e Currículo/a - Nota Máxima: 10")</f>
        <v>#SLGA - Segunda Licenciatura em Geografia - Segunda Licenciatura em Geografia - Juciara Maciel - Planejamento, Gestão Educacional e Currículo/a - Nota Máxima: 10</v>
      </c>
    </row>
    <row r="1129">
      <c r="A1129" s="390" t="str">
        <f>IFERROR(__xludf.DUMMYFUNCTION("""COMPUTED_VALUE"""),"#SLGA - Segunda Licenciatura em Geografia - Segunda Licenciatura em Geografia - Juciara Maciel - Planejamento, Gestão Educacional e Currículo/a - Nota Máxima: 10")</f>
        <v>#SLGA - Segunda Licenciatura em Geografia - Segunda Licenciatura em Geografia - Juciara Maciel - Planejamento, Gestão Educacional e Currículo/a - Nota Máxima: 10</v>
      </c>
    </row>
    <row r="1130">
      <c r="A1130" s="390" t="str">
        <f>IFERROR(__xludf.DUMMYFUNCTION("""COMPUTED_VALUE"""),"#SLGA - Segunda Licenciatura em Geografia - Segunda Licenciatura em Geografia - Juciara Maciel - Psicologia da Educação/a - Nota Máxima: 10")</f>
        <v>#SLGA - Segunda Licenciatura em Geografia - Segunda Licenciatura em Geografia - Juciara Maciel - Psicologia da Educação/a - Nota Máxima: 10</v>
      </c>
    </row>
    <row r="1131">
      <c r="A1131" s="390" t="str">
        <f>IFERROR(__xludf.DUMMYFUNCTION("""COMPUTED_VALUE"""),"#SLGA - Segunda Licenciatura em Geografia - Segunda Licenciatura em Geografia - Juciara Maciel - Psicologia da Educação/a - Nota Máxima: 10")</f>
        <v>#SLGA - Segunda Licenciatura em Geografia - Segunda Licenciatura em Geografia - Juciara Maciel - Psicologia da Educação/a - Nota Máxima: 10</v>
      </c>
    </row>
    <row r="1132">
      <c r="A1132" s="390" t="str">
        <f>IFERROR(__xludf.DUMMYFUNCTION("""COMPUTED_VALUE"""),"#SLGA - Segunda Licenciatura em Geografia - Segunda Licenciatura em Geografia - Luiz José Mesquita Fratini - A cognição Humana - Nota Máxima: 10")</f>
        <v>#SLGA - Segunda Licenciatura em Geografia - Segunda Licenciatura em Geografia - Luiz José Mesquita Fratini - A cognição Humana - Nota Máxima: 10</v>
      </c>
    </row>
    <row r="1133">
      <c r="A1133" s="390" t="str">
        <f>IFERROR(__xludf.DUMMYFUNCTION("""COMPUTED_VALUE"""),"#SLGA - Segunda Licenciatura em Geografia - Segunda Licenciatura em Geografia - Luiz José Mesquita Fratini - Biogeografia - Nota Máxima: 9")</f>
        <v>#SLGA - Segunda Licenciatura em Geografia - Segunda Licenciatura em Geografia - Luiz José Mesquita Fratini - Biogeografia - Nota Máxima: 9</v>
      </c>
    </row>
    <row r="1134">
      <c r="A1134" s="390" t="str">
        <f>IFERROR(__xludf.DUMMYFUNCTION("""COMPUTED_VALUE"""),"#SLGA - Segunda Licenciatura em Geografia - Segunda Licenciatura em Geografia - Luiz José Mesquita Fratini - Cartografia - Nota Máxima: 10")</f>
        <v>#SLGA - Segunda Licenciatura em Geografia - Segunda Licenciatura em Geografia - Luiz José Mesquita Fratini - Cartografia - Nota Máxima: 10</v>
      </c>
    </row>
    <row r="1135">
      <c r="A1135" s="390" t="str">
        <f>IFERROR(__xludf.DUMMYFUNCTION("""COMPUTED_VALUE"""),"#SLGA - Segunda Licenciatura em Geografia - Segunda Licenciatura em Geografia - Luiz José Mesquita Fratini - Cartografia - Nota Máxima: 9")</f>
        <v>#SLGA - Segunda Licenciatura em Geografia - Segunda Licenciatura em Geografia - Luiz José Mesquita Fratini - Cartografia - Nota Máxima: 9</v>
      </c>
    </row>
    <row r="1136">
      <c r="A1136" s="390" t="str">
        <f>IFERROR(__xludf.DUMMYFUNCTION("""COMPUTED_VALUE"""),"#SLGA - Segunda Licenciatura em Geografia - Segunda Licenciatura em Geografia - Luiz José Mesquita Fratini - Desenvolvimento do Capital Humano - Nota Máxima: 10")</f>
        <v>#SLGA - Segunda Licenciatura em Geografia - Segunda Licenciatura em Geografia - Luiz José Mesquita Fratini - Desenvolvimento do Capital Humano - Nota Máxima: 10</v>
      </c>
    </row>
    <row r="1137">
      <c r="A1137" s="390" t="str">
        <f>IFERROR(__xludf.DUMMYFUNCTION("""COMPUTED_VALUE"""),"#SLGA - Segunda Licenciatura em Geografia - Segunda Licenciatura em Geografia - Luiz José Mesquita Fratini - Educação Especial, Inclusão Escolar e Adaptações Curriculares - Nota Máxima: 9")</f>
        <v>#SLGA - Segunda Licenciatura em Geografia - Segunda Licenciatura em Geografia - Luiz José Mesquita Fratini - Educação Especial, Inclusão Escolar e Adaptações Curriculares - Nota Máxima: 9</v>
      </c>
    </row>
    <row r="1138">
      <c r="A1138" s="390" t="str">
        <f>IFERROR(__xludf.DUMMYFUNCTION("""COMPUTED_VALUE"""),"#SLGA - Segunda Licenciatura em Geografia - Segunda Licenciatura em Geografia - Luiz José Mesquita Fratini - Educação, História, Cultura e Práticas Indígenas/a - Nota Máxima: 9")</f>
        <v>#SLGA - Segunda Licenciatura em Geografia - Segunda Licenciatura em Geografia - Luiz José Mesquita Fratini - Educação, História, Cultura e Práticas Indígenas/a - Nota Máxima: 9</v>
      </c>
    </row>
    <row r="1139">
      <c r="A1139" s="390" t="str">
        <f>IFERROR(__xludf.DUMMYFUNCTION("""COMPUTED_VALUE"""),"#SLGA - Segunda Licenciatura em Geografia - Segunda Licenciatura em Geografia - Luiz José Mesquita Fratini - Estudos Populacionais - Nota Máxima: 9")</f>
        <v>#SLGA - Segunda Licenciatura em Geografia - Segunda Licenciatura em Geografia - Luiz José Mesquita Fratini - Estudos Populacionais - Nota Máxima: 9</v>
      </c>
    </row>
    <row r="1140">
      <c r="A1140" s="390" t="str">
        <f>IFERROR(__xludf.DUMMYFUNCTION("""COMPUTED_VALUE"""),"#SLGA - Segunda Licenciatura em Geografia - Segunda Licenciatura em Geografia - Luiz José Mesquita Fratini - Geografia Física, Política e Urbana - Nota Máxima: 10")</f>
        <v>#SLGA - Segunda Licenciatura em Geografia - Segunda Licenciatura em Geografia - Luiz José Mesquita Fratini - Geografia Física, Política e Urbana - Nota Máxima: 10</v>
      </c>
    </row>
    <row r="1141">
      <c r="A1141" s="390" t="str">
        <f>IFERROR(__xludf.DUMMYFUNCTION("""COMPUTED_VALUE"""),"#SLGA - Segunda Licenciatura em Geografia - Segunda Licenciatura em Geografia - Luiz José Mesquita Fratini - Geologia - Nota Máxima: 9")</f>
        <v>#SLGA - Segunda Licenciatura em Geografia - Segunda Licenciatura em Geografia - Luiz José Mesquita Fratini - Geologia - Nota Máxima: 9</v>
      </c>
    </row>
    <row r="1142">
      <c r="A1142" s="390" t="str">
        <f>IFERROR(__xludf.DUMMYFUNCTION("""COMPUTED_VALUE"""),"#SLGA - Segunda Licenciatura em Geografia - Segunda Licenciatura em Geografia - Luiz José Mesquita Fratini - Geomorfologia - Nota Máxima: 10")</f>
        <v>#SLGA - Segunda Licenciatura em Geografia - Segunda Licenciatura em Geografia - Luiz José Mesquita Fratini - Geomorfologia - Nota Máxima: 10</v>
      </c>
    </row>
    <row r="1143">
      <c r="A1143" s="390" t="str">
        <f>IFERROR(__xludf.DUMMYFUNCTION("""COMPUTED_VALUE"""),"#SLGA - Segunda Licenciatura em Geografia - Segunda Licenciatura em Geografia - Luiz José Mesquita Fratini - Práticas Pedagógicas - 400 Horas - Nota Máxima: 4")</f>
        <v>#SLGA - Segunda Licenciatura em Geografia - Segunda Licenciatura em Geografia - Luiz José Mesquita Fratini - Práticas Pedagógicas - 400 Horas - Nota Máxima: 4</v>
      </c>
    </row>
    <row r="1144">
      <c r="A1144" s="390" t="str">
        <f>IFERROR(__xludf.DUMMYFUNCTION("""COMPUTED_VALUE"""),"#SLGA - Segunda Licenciatura em Geografia - Segunda Licenciatura em Geografia - Jeferson Dutra Sena - A cognição Humana - Nota Máxima: 10")</f>
        <v>#SLGA - Segunda Licenciatura em Geografia - Segunda Licenciatura em Geografia - Jeferson Dutra Sena - A cognição Humana - Nota Máxima: 10</v>
      </c>
    </row>
    <row r="1145">
      <c r="A1145" s="390" t="str">
        <f>IFERROR(__xludf.DUMMYFUNCTION("""COMPUTED_VALUE"""),"#SLGA - Segunda Licenciatura em Geografia - Segunda Licenciatura em Geografia - Jeferson Dutra Sena - A cognição Humana - Nota Máxima: 9")</f>
        <v>#SLGA - Segunda Licenciatura em Geografia - Segunda Licenciatura em Geografia - Jeferson Dutra Sena - A cognição Humana - Nota Máxima: 9</v>
      </c>
    </row>
    <row r="1146">
      <c r="A1146" s="390" t="str">
        <f>IFERROR(__xludf.DUMMYFUNCTION("""COMPUTED_VALUE"""),"#SLGA - Segunda Licenciatura em Geografia - Segunda Licenciatura em Geografia - Jeferson Dutra Sena - Biogeografia - Nota Máxima: 8")</f>
        <v>#SLGA - Segunda Licenciatura em Geografia - Segunda Licenciatura em Geografia - Jeferson Dutra Sena - Biogeografia - Nota Máxima: 8</v>
      </c>
    </row>
    <row r="1147">
      <c r="A1147" s="390" t="str">
        <f>IFERROR(__xludf.DUMMYFUNCTION("""COMPUTED_VALUE"""),"#SLGA - Segunda Licenciatura em Geografia - Segunda Licenciatura em Geografia - Jeferson Dutra Sena - Biogeografia - Nota Máxima: 8")</f>
        <v>#SLGA - Segunda Licenciatura em Geografia - Segunda Licenciatura em Geografia - Jeferson Dutra Sena - Biogeografia - Nota Máxima: 8</v>
      </c>
    </row>
    <row r="1148">
      <c r="A1148" s="390" t="str">
        <f>IFERROR(__xludf.DUMMYFUNCTION("""COMPUTED_VALUE"""),"#SLGA - Segunda Licenciatura em Geografia - Segunda Licenciatura em Geografia - Jeferson Dutra Sena - Cartografia - Nota Máxima: 8")</f>
        <v>#SLGA - Segunda Licenciatura em Geografia - Segunda Licenciatura em Geografia - Jeferson Dutra Sena - Cartografia - Nota Máxima: 8</v>
      </c>
    </row>
    <row r="1149">
      <c r="A1149" s="390" t="str">
        <f>IFERROR(__xludf.DUMMYFUNCTION("""COMPUTED_VALUE"""),"#SLGA - Segunda Licenciatura em Geografia - Segunda Licenciatura em Geografia - Jeferson Dutra Sena - Cartografia - Nota Máxima: 10")</f>
        <v>#SLGA - Segunda Licenciatura em Geografia - Segunda Licenciatura em Geografia - Jeferson Dutra Sena - Cartografia - Nota Máxima: 10</v>
      </c>
    </row>
    <row r="1150">
      <c r="A1150" s="390" t="str">
        <f>IFERROR(__xludf.DUMMYFUNCTION("""COMPUTED_VALUE"""),"#SLGA - Segunda Licenciatura em Geografia - Segunda Licenciatura em Geografia - Jeferson Dutra Sena - Deficiência Auditiva e Libras/a - Nota Máxima: 10")</f>
        <v>#SLGA - Segunda Licenciatura em Geografia - Segunda Licenciatura em Geografia - Jeferson Dutra Sena - Deficiência Auditiva e Libras/a - Nota Máxima: 10</v>
      </c>
    </row>
    <row r="1151">
      <c r="A1151" s="390" t="str">
        <f>IFERROR(__xludf.DUMMYFUNCTION("""COMPUTED_VALUE"""),"#SLGA - Segunda Licenciatura em Geografia - Segunda Licenciatura em Geografia - Jeferson Dutra Sena - Deficiência Auditiva e Libras/a - Nota Máxima: 10")</f>
        <v>#SLGA - Segunda Licenciatura em Geografia - Segunda Licenciatura em Geografia - Jeferson Dutra Sena - Deficiência Auditiva e Libras/a - Nota Máxima: 10</v>
      </c>
    </row>
    <row r="1152">
      <c r="A1152" s="390" t="str">
        <f>IFERROR(__xludf.DUMMYFUNCTION("""COMPUTED_VALUE"""),"#SLGA - Segunda Licenciatura em Geografia - Segunda Licenciatura em Geografia - Jeferson Dutra Sena - Desenvolvimento do Capital Humano - Nota Máxima: 10")</f>
        <v>#SLGA - Segunda Licenciatura em Geografia - Segunda Licenciatura em Geografia - Jeferson Dutra Sena - Desenvolvimento do Capital Humano - Nota Máxima: 10</v>
      </c>
    </row>
    <row r="1153">
      <c r="A1153" s="390" t="str">
        <f>IFERROR(__xludf.DUMMYFUNCTION("""COMPUTED_VALUE"""),"#SLGA - Segunda Licenciatura em Geografia - Segunda Licenciatura em Geografia - Jeferson Dutra Sena - Desenvolvimento do Capital Humano - Nota Máxima: 9")</f>
        <v>#SLGA - Segunda Licenciatura em Geografia - Segunda Licenciatura em Geografia - Jeferson Dutra Sena - Desenvolvimento do Capital Humano - Nota Máxima: 9</v>
      </c>
    </row>
    <row r="1154">
      <c r="A1154" s="390" t="str">
        <f>IFERROR(__xludf.DUMMYFUNCTION("""COMPUTED_VALUE"""),"#SLGA - Segunda Licenciatura em Geografia - Segunda Licenciatura em Geografia - Jeferson Dutra Sena - Educação Especial, Inclusão Escolar e Adaptações Curriculares - Nota Máxima: 9")</f>
        <v>#SLGA - Segunda Licenciatura em Geografia - Segunda Licenciatura em Geografia - Jeferson Dutra Sena - Educação Especial, Inclusão Escolar e Adaptações Curriculares - Nota Máxima: 9</v>
      </c>
    </row>
    <row r="1155">
      <c r="A1155" s="390" t="str">
        <f>IFERROR(__xludf.DUMMYFUNCTION("""COMPUTED_VALUE"""),"#SLGA - Segunda Licenciatura em Geografia - Segunda Licenciatura em Geografia - Jeferson Dutra Sena - Educação Especial, Inclusão Escolar e Adaptações Curriculares - Nota Máxima: 10")</f>
        <v>#SLGA - Segunda Licenciatura em Geografia - Segunda Licenciatura em Geografia - Jeferson Dutra Sena - Educação Especial, Inclusão Escolar e Adaptações Curriculares - Nota Máxima: 10</v>
      </c>
    </row>
    <row r="1156">
      <c r="A1156" s="390" t="str">
        <f>IFERROR(__xludf.DUMMYFUNCTION("""COMPUTED_VALUE"""),"#SLGA - Segunda Licenciatura em Geografia - Segunda Licenciatura em Geografia - Jeferson Dutra Sena - Educação, História, Cultura e Práticas Indígenas/a - Nota Máxima: 10")</f>
        <v>#SLGA - Segunda Licenciatura em Geografia - Segunda Licenciatura em Geografia - Jeferson Dutra Sena - Educação, História, Cultura e Práticas Indígenas/a - Nota Máxima: 10</v>
      </c>
    </row>
    <row r="1157">
      <c r="A1157" s="390" t="str">
        <f>IFERROR(__xludf.DUMMYFUNCTION("""COMPUTED_VALUE"""),"#SLGA - Segunda Licenciatura em Geografia - Segunda Licenciatura em Geografia - Jeferson Dutra Sena - Educação, História, Cultura e Práticas Indígenas/a - Nota Máxima: 8")</f>
        <v>#SLGA - Segunda Licenciatura em Geografia - Segunda Licenciatura em Geografia - Jeferson Dutra Sena - Educação, História, Cultura e Práticas Indígenas/a - Nota Máxima: 8</v>
      </c>
    </row>
    <row r="1158">
      <c r="A1158" s="390" t="str">
        <f>IFERROR(__xludf.DUMMYFUNCTION("""COMPUTED_VALUE"""),"#SLGA - Segunda Licenciatura em Geografia - Segunda Licenciatura em Geografia - Jeferson Dutra Sena - Estudos Populacionais - Nota Máxima: 10")</f>
        <v>#SLGA - Segunda Licenciatura em Geografia - Segunda Licenciatura em Geografia - Jeferson Dutra Sena - Estudos Populacionais - Nota Máxima: 10</v>
      </c>
    </row>
    <row r="1159">
      <c r="A1159" s="390" t="str">
        <f>IFERROR(__xludf.DUMMYFUNCTION("""COMPUTED_VALUE"""),"#SLGA - Segunda Licenciatura em Geografia - Segunda Licenciatura em Geografia - Jeferson Dutra Sena - Estudos Populacionais - Nota Máxima: 9")</f>
        <v>#SLGA - Segunda Licenciatura em Geografia - Segunda Licenciatura em Geografia - Jeferson Dutra Sena - Estudos Populacionais - Nota Máxima: 9</v>
      </c>
    </row>
    <row r="1160">
      <c r="A1160" s="390" t="str">
        <f>IFERROR(__xludf.DUMMYFUNCTION("""COMPUTED_VALUE"""),"#SLGA - Segunda Licenciatura em Geografia - Segunda Licenciatura em Geografia - Jeferson Dutra Sena - Geografia Física, Política e Urbana - Nota Máxima: 10")</f>
        <v>#SLGA - Segunda Licenciatura em Geografia - Segunda Licenciatura em Geografia - Jeferson Dutra Sena - Geografia Física, Política e Urbana - Nota Máxima: 10</v>
      </c>
    </row>
    <row r="1161">
      <c r="A1161" s="390" t="str">
        <f>IFERROR(__xludf.DUMMYFUNCTION("""COMPUTED_VALUE"""),"#SLGA - Segunda Licenciatura em Geografia - Segunda Licenciatura em Geografia - Jeferson Dutra Sena - Geografia Física, Política e Urbana - Nota Máxima: 9")</f>
        <v>#SLGA - Segunda Licenciatura em Geografia - Segunda Licenciatura em Geografia - Jeferson Dutra Sena - Geografia Física, Política e Urbana - Nota Máxima: 9</v>
      </c>
    </row>
    <row r="1162">
      <c r="A1162" s="390" t="str">
        <f>IFERROR(__xludf.DUMMYFUNCTION("""COMPUTED_VALUE"""),"#SLGA - Segunda Licenciatura em Geografia - Segunda Licenciatura em Geografia - Jeferson Dutra Sena - Geologia - Nota Máxima: 9")</f>
        <v>#SLGA - Segunda Licenciatura em Geografia - Segunda Licenciatura em Geografia - Jeferson Dutra Sena - Geologia - Nota Máxima: 9</v>
      </c>
    </row>
    <row r="1163">
      <c r="A1163" s="390" t="str">
        <f>IFERROR(__xludf.DUMMYFUNCTION("""COMPUTED_VALUE"""),"#SLGA - Segunda Licenciatura em Geografia - Segunda Licenciatura em Geografia - Jeferson Dutra Sena - Geologia - Nota Máxima: 9")</f>
        <v>#SLGA - Segunda Licenciatura em Geografia - Segunda Licenciatura em Geografia - Jeferson Dutra Sena - Geologia - Nota Máxima: 9</v>
      </c>
    </row>
    <row r="1164">
      <c r="A1164" s="390" t="str">
        <f>IFERROR(__xludf.DUMMYFUNCTION("""COMPUTED_VALUE"""),"#SLGA - Segunda Licenciatura em Geografia - Segunda Licenciatura em Geografia - Jeferson Dutra Sena - Geomorfologia - Nota Máxima: 9")</f>
        <v>#SLGA - Segunda Licenciatura em Geografia - Segunda Licenciatura em Geografia - Jeferson Dutra Sena - Geomorfologia - Nota Máxima: 9</v>
      </c>
    </row>
    <row r="1165">
      <c r="A1165" s="390" t="str">
        <f>IFERROR(__xludf.DUMMYFUNCTION("""COMPUTED_VALUE"""),"#SLGA - Segunda Licenciatura em Geografia - Segunda Licenciatura em Geografia - Jeferson Dutra Sena - Geomorfologia - Nota Máxima: 8")</f>
        <v>#SLGA - Segunda Licenciatura em Geografia - Segunda Licenciatura em Geografia - Jeferson Dutra Sena - Geomorfologia - Nota Máxima: 8</v>
      </c>
    </row>
    <row r="1166">
      <c r="A1166" s="390" t="str">
        <f>IFERROR(__xludf.DUMMYFUNCTION("""COMPUTED_VALUE"""),"#SLGA - Segunda Licenciatura em Geografia - Segunda Licenciatura em Geografia - Jeferson Dutra Sena - Legislação Educacional/a - Nota Máxima: 10")</f>
        <v>#SLGA - Segunda Licenciatura em Geografia - Segunda Licenciatura em Geografia - Jeferson Dutra Sena - Legislação Educacional/a - Nota Máxima: 10</v>
      </c>
    </row>
    <row r="1167">
      <c r="A1167" s="390" t="str">
        <f>IFERROR(__xludf.DUMMYFUNCTION("""COMPUTED_VALUE"""),"#SLGA - Segunda Licenciatura em Geografia - Segunda Licenciatura em Geografia - Jeferson Dutra Sena - Legislação Educacional/a - Nota Máxima: 9")</f>
        <v>#SLGA - Segunda Licenciatura em Geografia - Segunda Licenciatura em Geografia - Jeferson Dutra Sena - Legislação Educacional/a - Nota Máxima: 9</v>
      </c>
    </row>
    <row r="1168">
      <c r="A1168" s="390" t="str">
        <f>IFERROR(__xludf.DUMMYFUNCTION("""COMPUTED_VALUE"""),"#SLGA - Segunda Licenciatura em Geografia - Segunda Licenciatura em Geografia - Jeferson Dutra Sena - Planejamento, Gestão Educacional e Currículo/a - Nota Máxima: 10")</f>
        <v>#SLGA - Segunda Licenciatura em Geografia - Segunda Licenciatura em Geografia - Jeferson Dutra Sena - Planejamento, Gestão Educacional e Currículo/a - Nota Máxima: 10</v>
      </c>
    </row>
    <row r="1169">
      <c r="A1169" s="390" t="str">
        <f>IFERROR(__xludf.DUMMYFUNCTION("""COMPUTED_VALUE"""),"#SLGA - Segunda Licenciatura em Geografia - Segunda Licenciatura em Geografia - Jeferson Dutra Sena - Planejamento, Gestão Educacional e Currículo/a - Nota Máxima: 10")</f>
        <v>#SLGA - Segunda Licenciatura em Geografia - Segunda Licenciatura em Geografia - Jeferson Dutra Sena - Planejamento, Gestão Educacional e Currículo/a - Nota Máxima: 10</v>
      </c>
    </row>
    <row r="1170">
      <c r="A1170" s="390" t="str">
        <f>IFERROR(__xludf.DUMMYFUNCTION("""COMPUTED_VALUE"""),"#SLGA - Segunda Licenciatura em Geografia - Segunda Licenciatura em Geografia - Jeferson Dutra Sena - Práticas Pedagógicas - 400 Horas - Nota Máxima: 4")</f>
        <v>#SLGA - Segunda Licenciatura em Geografia - Segunda Licenciatura em Geografia - Jeferson Dutra Sena - Práticas Pedagógicas - 400 Horas - Nota Máxima: 4</v>
      </c>
    </row>
    <row r="1171">
      <c r="A1171" s="390" t="str">
        <f>IFERROR(__xludf.DUMMYFUNCTION("""COMPUTED_VALUE"""),"#SLGA - Segunda Licenciatura em Geografia - Segunda Licenciatura em Geografia - Jeferson Dutra Sena - Práticas Pedagógicas - 400 Horas - Nota Máxima: 4")</f>
        <v>#SLGA - Segunda Licenciatura em Geografia - Segunda Licenciatura em Geografia - Jeferson Dutra Sena - Práticas Pedagógicas - 400 Horas - Nota Máxima: 4</v>
      </c>
    </row>
    <row r="1172">
      <c r="A1172" s="390" t="str">
        <f>IFERROR(__xludf.DUMMYFUNCTION("""COMPUTED_VALUE"""),"#SLGA - Segunda Licenciatura em Geografia - Segunda Licenciatura em Geografia - Jeferson Dutra Sena - Psicologia da Educação/a - Nota Máxima: 10")</f>
        <v>#SLGA - Segunda Licenciatura em Geografia - Segunda Licenciatura em Geografia - Jeferson Dutra Sena - Psicologia da Educação/a - Nota Máxima: 10</v>
      </c>
    </row>
    <row r="1173">
      <c r="A1173" s="390" t="str">
        <f>IFERROR(__xludf.DUMMYFUNCTION("""COMPUTED_VALUE"""),"#SLGA - Segunda Licenciatura em Geografia - Segunda Licenciatura em Geografia - Jeferson Dutra Sena - Psicologia da Educação/a - Nota Máxima: 10")</f>
        <v>#SLGA - Segunda Licenciatura em Geografia - Segunda Licenciatura em Geografia - Jeferson Dutra Sena - Psicologia da Educação/a - Nota Máxima: 10</v>
      </c>
    </row>
    <row r="1174">
      <c r="A1174" s="390" t="str">
        <f>IFERROR(__xludf.DUMMYFUNCTION("""COMPUTED_VALUE"""),"#SLGA - Segunda Licenciatura em Geografia - Segunda Licenciatura em Geografia - Ivete Alves da Silva - A cognição Humana - Nota Máxima: 9")</f>
        <v>#SLGA - Segunda Licenciatura em Geografia - Segunda Licenciatura em Geografia - Ivete Alves da Silva - A cognição Humana - Nota Máxima: 9</v>
      </c>
    </row>
    <row r="1175">
      <c r="A1175" s="390" t="str">
        <f>IFERROR(__xludf.DUMMYFUNCTION("""COMPUTED_VALUE"""),"#SLGA - Segunda Licenciatura em Geografia - Segunda Licenciatura em Geografia - Ivete Alves da Silva - A cognição Humana - Nota Máxima: 10")</f>
        <v>#SLGA - Segunda Licenciatura em Geografia - Segunda Licenciatura em Geografia - Ivete Alves da Silva - A cognição Humana - Nota Máxima: 10</v>
      </c>
    </row>
    <row r="1176">
      <c r="A1176" s="390" t="str">
        <f>IFERROR(__xludf.DUMMYFUNCTION("""COMPUTED_VALUE"""),"#SLGA - Segunda Licenciatura em Geografia - Segunda Licenciatura em Geografia - Ivete Alves da Silva - Biogeografia - Nota Máxima: 10")</f>
        <v>#SLGA - Segunda Licenciatura em Geografia - Segunda Licenciatura em Geografia - Ivete Alves da Silva - Biogeografia - Nota Máxima: 10</v>
      </c>
    </row>
    <row r="1177">
      <c r="A1177" s="390" t="str">
        <f>IFERROR(__xludf.DUMMYFUNCTION("""COMPUTED_VALUE"""),"#SLGA - Segunda Licenciatura em Geografia - Segunda Licenciatura em Geografia - Ivete Alves da Silva - Biogeografia - Nota Máxima: 10")</f>
        <v>#SLGA - Segunda Licenciatura em Geografia - Segunda Licenciatura em Geografia - Ivete Alves da Silva - Biogeografia - Nota Máxima: 10</v>
      </c>
    </row>
    <row r="1178">
      <c r="A1178" s="390" t="str">
        <f>IFERROR(__xludf.DUMMYFUNCTION("""COMPUTED_VALUE"""),"#SLGA - Segunda Licenciatura em Geografia - Segunda Licenciatura em Geografia - Ivete Alves da Silva - Cartografia - Nota Máxima: 10")</f>
        <v>#SLGA - Segunda Licenciatura em Geografia - Segunda Licenciatura em Geografia - Ivete Alves da Silva - Cartografia - Nota Máxima: 10</v>
      </c>
    </row>
    <row r="1179">
      <c r="A1179" s="390" t="str">
        <f>IFERROR(__xludf.DUMMYFUNCTION("""COMPUTED_VALUE"""),"#SLGA - Segunda Licenciatura em Geografia - Segunda Licenciatura em Geografia - Ivete Alves da Silva - Cartografia - Nota Máxima: 10")</f>
        <v>#SLGA - Segunda Licenciatura em Geografia - Segunda Licenciatura em Geografia - Ivete Alves da Silva - Cartografia - Nota Máxima: 10</v>
      </c>
    </row>
    <row r="1180">
      <c r="A1180" s="390" t="str">
        <f>IFERROR(__xludf.DUMMYFUNCTION("""COMPUTED_VALUE"""),"#SLGA - Segunda Licenciatura em Geografia - Segunda Licenciatura em Geografia - Ivete Alves da Silva - Desenvolvimento do Capital Humano - Nota Máxima: 10")</f>
        <v>#SLGA - Segunda Licenciatura em Geografia - Segunda Licenciatura em Geografia - Ivete Alves da Silva - Desenvolvimento do Capital Humano - Nota Máxima: 10</v>
      </c>
    </row>
    <row r="1181">
      <c r="A1181" s="390" t="str">
        <f>IFERROR(__xludf.DUMMYFUNCTION("""COMPUTED_VALUE"""),"#SLGA - Segunda Licenciatura em Geografia - Segunda Licenciatura em Geografia - Ivete Alves da Silva - Desenvolvimento do Capital Humano - Nota Máxima: 10")</f>
        <v>#SLGA - Segunda Licenciatura em Geografia - Segunda Licenciatura em Geografia - Ivete Alves da Silva - Desenvolvimento do Capital Humano - Nota Máxima: 10</v>
      </c>
    </row>
    <row r="1182">
      <c r="A1182" s="390" t="str">
        <f>IFERROR(__xludf.DUMMYFUNCTION("""COMPUTED_VALUE"""),"#SLGA - Segunda Licenciatura em Geografia - Segunda Licenciatura em Geografia - Ivete Alves da Silva - Educação Especial, Inclusão Escolar e Adaptações Curriculares - Nota Máxima: 9")</f>
        <v>#SLGA - Segunda Licenciatura em Geografia - Segunda Licenciatura em Geografia - Ivete Alves da Silva - Educação Especial, Inclusão Escolar e Adaptações Curriculares - Nota Máxima: 9</v>
      </c>
    </row>
    <row r="1183">
      <c r="A1183" s="390" t="str">
        <f>IFERROR(__xludf.DUMMYFUNCTION("""COMPUTED_VALUE"""),"#SLGA - Segunda Licenciatura em Geografia - Segunda Licenciatura em Geografia - Ivete Alves da Silva - Educação Especial, Inclusão Escolar e Adaptações Curriculares - Nota Máxima: 10")</f>
        <v>#SLGA - Segunda Licenciatura em Geografia - Segunda Licenciatura em Geografia - Ivete Alves da Silva - Educação Especial, Inclusão Escolar e Adaptações Curriculares - Nota Máxima: 10</v>
      </c>
    </row>
    <row r="1184">
      <c r="A1184" s="390" t="str">
        <f>IFERROR(__xludf.DUMMYFUNCTION("""COMPUTED_VALUE"""),"#SLGA - Segunda Licenciatura em Geografia - Segunda Licenciatura em Geografia - Ivete Alves da Silva - Estudos Populacionais - Nota Máxima: 9")</f>
        <v>#SLGA - Segunda Licenciatura em Geografia - Segunda Licenciatura em Geografia - Ivete Alves da Silva - Estudos Populacionais - Nota Máxima: 9</v>
      </c>
    </row>
    <row r="1185">
      <c r="A1185" s="390" t="str">
        <f>IFERROR(__xludf.DUMMYFUNCTION("""COMPUTED_VALUE"""),"#SLGA - Segunda Licenciatura em Geografia - Segunda Licenciatura em Geografia - Ivete Alves da Silva - Estudos Populacionais - Nota Máxima: 10")</f>
        <v>#SLGA - Segunda Licenciatura em Geografia - Segunda Licenciatura em Geografia - Ivete Alves da Silva - Estudos Populacionais - Nota Máxima: 10</v>
      </c>
    </row>
    <row r="1186">
      <c r="A1186" s="390" t="str">
        <f>IFERROR(__xludf.DUMMYFUNCTION("""COMPUTED_VALUE"""),"#SLGA - Segunda Licenciatura em Geografia - Segunda Licenciatura em Geografia - Ivete Alves da Silva - Geografia Física, Política e Urbana - Nota Máxima: 10")</f>
        <v>#SLGA - Segunda Licenciatura em Geografia - Segunda Licenciatura em Geografia - Ivete Alves da Silva - Geografia Física, Política e Urbana - Nota Máxima: 10</v>
      </c>
    </row>
    <row r="1187">
      <c r="A1187" s="390" t="str">
        <f>IFERROR(__xludf.DUMMYFUNCTION("""COMPUTED_VALUE"""),"#SLGA - Segunda Licenciatura em Geografia - Segunda Licenciatura em Geografia - Ivete Alves da Silva - Geografia Física, Política e Urbana - Nota Máxima: 10")</f>
        <v>#SLGA - Segunda Licenciatura em Geografia - Segunda Licenciatura em Geografia - Ivete Alves da Silva - Geografia Física, Política e Urbana - Nota Máxima: 10</v>
      </c>
    </row>
    <row r="1188">
      <c r="A1188" s="390" t="str">
        <f>IFERROR(__xludf.DUMMYFUNCTION("""COMPUTED_VALUE"""),"#SLGA - Segunda Licenciatura em Geografia - Segunda Licenciatura em Geografia - Ivete Alves da Silva - Geologia - Nota Máxima: 10")</f>
        <v>#SLGA - Segunda Licenciatura em Geografia - Segunda Licenciatura em Geografia - Ivete Alves da Silva - Geologia - Nota Máxima: 10</v>
      </c>
    </row>
    <row r="1189">
      <c r="A1189" s="390" t="str">
        <f>IFERROR(__xludf.DUMMYFUNCTION("""COMPUTED_VALUE"""),"#SLGA - Segunda Licenciatura em Geografia - Segunda Licenciatura em Geografia - Ivete Alves da Silva - Geologia - Nota Máxima: 10")</f>
        <v>#SLGA - Segunda Licenciatura em Geografia - Segunda Licenciatura em Geografia - Ivete Alves da Silva - Geologia - Nota Máxima: 10</v>
      </c>
    </row>
    <row r="1190">
      <c r="A1190" s="390" t="str">
        <f>IFERROR(__xludf.DUMMYFUNCTION("""COMPUTED_VALUE"""),"#SLGA - Segunda Licenciatura em Geografia - Segunda Licenciatura em Geografia - Ivete Alves da Silva - Geomorfologia - Nota Máxima: 9")</f>
        <v>#SLGA - Segunda Licenciatura em Geografia - Segunda Licenciatura em Geografia - Ivete Alves da Silva - Geomorfologia - Nota Máxima: 9</v>
      </c>
    </row>
    <row r="1191">
      <c r="A1191" s="390" t="str">
        <f>IFERROR(__xludf.DUMMYFUNCTION("""COMPUTED_VALUE"""),"#SLGA - Segunda Licenciatura em Geografia - Segunda Licenciatura em Geografia - Ivete Alves da Silva - Geomorfologia - Nota Máxima: 10")</f>
        <v>#SLGA - Segunda Licenciatura em Geografia - Segunda Licenciatura em Geografia - Ivete Alves da Silva - Geomorfologia - Nota Máxima: 10</v>
      </c>
    </row>
    <row r="1192">
      <c r="A1192" s="390" t="str">
        <f>IFERROR(__xludf.DUMMYFUNCTION("""COMPUTED_VALUE"""),"#SLGA - Segunda Licenciatura em Geografia - Segunda Licenciatura em Geografia - Ivete Alves da Silva - Práticas Pedagógicas - 400 Horas - Nota Máxima: 10")</f>
        <v>#SLGA - Segunda Licenciatura em Geografia - Segunda Licenciatura em Geografia - Ivete Alves da Silva - Práticas Pedagógicas - 400 Horas - Nota Máxima: 10</v>
      </c>
    </row>
    <row r="1193">
      <c r="A1193" s="390" t="str">
        <f>IFERROR(__xludf.DUMMYFUNCTION("""COMPUTED_VALUE"""),"#SLGA - Segunda Licenciatura em Geografia - Segunda Licenciatura em Geografia - Ivete Alves da Silva - Práticas Pedagógicas - 400 Horas - Nota Máxima: 10")</f>
        <v>#SLGA - Segunda Licenciatura em Geografia - Segunda Licenciatura em Geografia - Ivete Alves da Silva - Práticas Pedagógicas - 400 Horas - Nota Máxima: 10</v>
      </c>
    </row>
    <row r="1194">
      <c r="A1194" s="390" t="str">
        <f>IFERROR(__xludf.DUMMYFUNCTION("""COMPUTED_VALUE"""),"#SLGA - Segunda Licenciatura em Geografia - Segunda Licenciatura em Geografia - Lucineia Pontes Antônio - A cognição Humana - Nota Máxima: 9")</f>
        <v>#SLGA - Segunda Licenciatura em Geografia - Segunda Licenciatura em Geografia - Lucineia Pontes Antônio - A cognição Humana - Nota Máxima: 9</v>
      </c>
    </row>
    <row r="1195">
      <c r="A1195" s="390" t="str">
        <f>IFERROR(__xludf.DUMMYFUNCTION("""COMPUTED_VALUE"""),"#SLGA - Segunda Licenciatura em Geografia - Segunda Licenciatura em Geografia - Lucineia Pontes Antônio - A cognição Humana - Nota Máxima: 8")</f>
        <v>#SLGA - Segunda Licenciatura em Geografia - Segunda Licenciatura em Geografia - Lucineia Pontes Antônio - A cognição Humana - Nota Máxima: 8</v>
      </c>
    </row>
    <row r="1196">
      <c r="A1196" s="390" t="str">
        <f>IFERROR(__xludf.DUMMYFUNCTION("""COMPUTED_VALUE"""),"#SLGA - Segunda Licenciatura em Geografia - Segunda Licenciatura em Geografia - Lucineia Pontes Antônio - Biogeografia - Nota Máxima: 10")</f>
        <v>#SLGA - Segunda Licenciatura em Geografia - Segunda Licenciatura em Geografia - Lucineia Pontes Antônio - Biogeografia - Nota Máxima: 10</v>
      </c>
    </row>
    <row r="1197">
      <c r="A1197" s="390" t="str">
        <f>IFERROR(__xludf.DUMMYFUNCTION("""COMPUTED_VALUE"""),"#SLGA - Segunda Licenciatura em Geografia - Segunda Licenciatura em Geografia - Lucineia Pontes Antônio - Biogeografia - Nota Máxima: 9")</f>
        <v>#SLGA - Segunda Licenciatura em Geografia - Segunda Licenciatura em Geografia - Lucineia Pontes Antônio - Biogeografia - Nota Máxima: 9</v>
      </c>
    </row>
    <row r="1198">
      <c r="A1198" s="390" t="str">
        <f>IFERROR(__xludf.DUMMYFUNCTION("""COMPUTED_VALUE"""),"#SLGA - Segunda Licenciatura em Geografia - Segunda Licenciatura em Geografia - Lucineia Pontes Antônio - Cartografia - Nota Máxima: 9")</f>
        <v>#SLGA - Segunda Licenciatura em Geografia - Segunda Licenciatura em Geografia - Lucineia Pontes Antônio - Cartografia - Nota Máxima: 9</v>
      </c>
    </row>
    <row r="1199">
      <c r="A1199" s="390" t="str">
        <f>IFERROR(__xludf.DUMMYFUNCTION("""COMPUTED_VALUE"""),"#SLGA - Segunda Licenciatura em Geografia - Segunda Licenciatura em Geografia - Lucineia Pontes Antônio - Deficiência Auditiva e Libras/a - Nota Máxima: 10")</f>
        <v>#SLGA - Segunda Licenciatura em Geografia - Segunda Licenciatura em Geografia - Lucineia Pontes Antônio - Deficiência Auditiva e Libras/a - Nota Máxima: 10</v>
      </c>
    </row>
    <row r="1200">
      <c r="A1200" s="390" t="str">
        <f>IFERROR(__xludf.DUMMYFUNCTION("""COMPUTED_VALUE"""),"#SLGA - Segunda Licenciatura em Geografia - Segunda Licenciatura em Geografia - Lucineia Pontes Antônio - Desenvolvimento do Capital Humano - Nota Máxima: 9")</f>
        <v>#SLGA - Segunda Licenciatura em Geografia - Segunda Licenciatura em Geografia - Lucineia Pontes Antônio - Desenvolvimento do Capital Humano - Nota Máxima: 9</v>
      </c>
    </row>
    <row r="1201">
      <c r="A1201" s="390" t="str">
        <f>IFERROR(__xludf.DUMMYFUNCTION("""COMPUTED_VALUE"""),"#SLGA - Segunda Licenciatura em Geografia - Segunda Licenciatura em Geografia - Lucineia Pontes Antônio - Desenvolvimento do Capital Humano - Nota Máxima: 8")</f>
        <v>#SLGA - Segunda Licenciatura em Geografia - Segunda Licenciatura em Geografia - Lucineia Pontes Antônio - Desenvolvimento do Capital Humano - Nota Máxima: 8</v>
      </c>
    </row>
    <row r="1202">
      <c r="A1202" s="390" t="str">
        <f>IFERROR(__xludf.DUMMYFUNCTION("""COMPUTED_VALUE"""),"#SLGA - Segunda Licenciatura em Geografia - Segunda Licenciatura em Geografia - Lucineia Pontes Antônio - Educação Especial, Inclusão Escolar e Adaptações Curriculares - Nota Máxima: 10")</f>
        <v>#SLGA - Segunda Licenciatura em Geografia - Segunda Licenciatura em Geografia - Lucineia Pontes Antônio - Educação Especial, Inclusão Escolar e Adaptações Curriculares - Nota Máxima: 10</v>
      </c>
    </row>
    <row r="1203">
      <c r="A1203" s="390" t="str">
        <f>IFERROR(__xludf.DUMMYFUNCTION("""COMPUTED_VALUE"""),"#SLGA - Segunda Licenciatura em Geografia - Segunda Licenciatura em Geografia - Lucineia Pontes Antônio - Educação Especial, Inclusão Escolar e Adaptações Curriculares - Nota Máxima: 7")</f>
        <v>#SLGA - Segunda Licenciatura em Geografia - Segunda Licenciatura em Geografia - Lucineia Pontes Antônio - Educação Especial, Inclusão Escolar e Adaptações Curriculares - Nota Máxima: 7</v>
      </c>
    </row>
    <row r="1204">
      <c r="A1204" s="390" t="str">
        <f>IFERROR(__xludf.DUMMYFUNCTION("""COMPUTED_VALUE"""),"#SLGA - Segunda Licenciatura em Geografia - Segunda Licenciatura em Geografia - Lucineia Pontes Antônio - Educação, História, Cultura e Práticas Indígenas/a - Nota Máxima: 10")</f>
        <v>#SLGA - Segunda Licenciatura em Geografia - Segunda Licenciatura em Geografia - Lucineia Pontes Antônio - Educação, História, Cultura e Práticas Indígenas/a - Nota Máxima: 10</v>
      </c>
    </row>
    <row r="1205">
      <c r="A1205" s="390" t="str">
        <f>IFERROR(__xludf.DUMMYFUNCTION("""COMPUTED_VALUE"""),"#SLGA - Segunda Licenciatura em Geografia - Segunda Licenciatura em Geografia - Lucineia Pontes Antônio - Educação, História, Cultura e Práticas Indígenas/a - Nota Máxima: 6")</f>
        <v>#SLGA - Segunda Licenciatura em Geografia - Segunda Licenciatura em Geografia - Lucineia Pontes Antônio - Educação, História, Cultura e Práticas Indígenas/a - Nota Máxima: 6</v>
      </c>
    </row>
    <row r="1206">
      <c r="A1206" s="390" t="str">
        <f>IFERROR(__xludf.DUMMYFUNCTION("""COMPUTED_VALUE"""),"#SLGA - Segunda Licenciatura em Geografia - Segunda Licenciatura em Geografia - Lucineia Pontes Antônio - Estudos Populacionais - Nota Máxima: 9")</f>
        <v>#SLGA - Segunda Licenciatura em Geografia - Segunda Licenciatura em Geografia - Lucineia Pontes Antônio - Estudos Populacionais - Nota Máxima: 9</v>
      </c>
    </row>
    <row r="1207">
      <c r="A1207" s="390" t="str">
        <f>IFERROR(__xludf.DUMMYFUNCTION("""COMPUTED_VALUE"""),"#SLGA - Segunda Licenciatura em Geografia - Segunda Licenciatura em Geografia - Lucineia Pontes Antônio - Estudos Populacionais - Nota Máxima: 8")</f>
        <v>#SLGA - Segunda Licenciatura em Geografia - Segunda Licenciatura em Geografia - Lucineia Pontes Antônio - Estudos Populacionais - Nota Máxima: 8</v>
      </c>
    </row>
    <row r="1208">
      <c r="A1208" s="390" t="str">
        <f>IFERROR(__xludf.DUMMYFUNCTION("""COMPUTED_VALUE"""),"#SLGA - Segunda Licenciatura em Geografia - Segunda Licenciatura em Geografia - Lucineia Pontes Antônio - Geografia Física, Política e Urbana - Nota Máxima: 8")</f>
        <v>#SLGA - Segunda Licenciatura em Geografia - Segunda Licenciatura em Geografia - Lucineia Pontes Antônio - Geografia Física, Política e Urbana - Nota Máxima: 8</v>
      </c>
    </row>
    <row r="1209">
      <c r="A1209" s="390" t="str">
        <f>IFERROR(__xludf.DUMMYFUNCTION("""COMPUTED_VALUE"""),"#SLGA - Segunda Licenciatura em Geografia - Segunda Licenciatura em Geografia - Lucineia Pontes Antônio - Geografia Física, Política e Urbana - Nota Máxima: 7")</f>
        <v>#SLGA - Segunda Licenciatura em Geografia - Segunda Licenciatura em Geografia - Lucineia Pontes Antônio - Geografia Física, Política e Urbana - Nota Máxima: 7</v>
      </c>
    </row>
    <row r="1210">
      <c r="A1210" s="390" t="str">
        <f>IFERROR(__xludf.DUMMYFUNCTION("""COMPUTED_VALUE"""),"#SLGA - Segunda Licenciatura em Geografia - Segunda Licenciatura em Geografia - Lucineia Pontes Antônio - Geologia - Nota Máxima: 9")</f>
        <v>#SLGA - Segunda Licenciatura em Geografia - Segunda Licenciatura em Geografia - Lucineia Pontes Antônio - Geologia - Nota Máxima: 9</v>
      </c>
    </row>
    <row r="1211">
      <c r="A1211" s="390" t="str">
        <f>IFERROR(__xludf.DUMMYFUNCTION("""COMPUTED_VALUE"""),"#SLGA - Segunda Licenciatura em Geografia - Segunda Licenciatura em Geografia - Lucineia Pontes Antônio - Geologia - Nota Máxima: 8")</f>
        <v>#SLGA - Segunda Licenciatura em Geografia - Segunda Licenciatura em Geografia - Lucineia Pontes Antônio - Geologia - Nota Máxima: 8</v>
      </c>
    </row>
    <row r="1212">
      <c r="A1212" s="390" t="str">
        <f>IFERROR(__xludf.DUMMYFUNCTION("""COMPUTED_VALUE"""),"#SLGA - Segunda Licenciatura em Geografia - Segunda Licenciatura em Geografia - Lucineia Pontes Antônio - Geomorfologia - Nota Máxima: 9")</f>
        <v>#SLGA - Segunda Licenciatura em Geografia - Segunda Licenciatura em Geografia - Lucineia Pontes Antônio - Geomorfologia - Nota Máxima: 9</v>
      </c>
    </row>
    <row r="1213">
      <c r="A1213" s="390" t="str">
        <f>IFERROR(__xludf.DUMMYFUNCTION("""COMPUTED_VALUE"""),"#SLGA - Segunda Licenciatura em Geografia - Segunda Licenciatura em Geografia - Lucineia Pontes Antônio - Geomorfologia - Nota Máxima: 7")</f>
        <v>#SLGA - Segunda Licenciatura em Geografia - Segunda Licenciatura em Geografia - Lucineia Pontes Antônio - Geomorfologia - Nota Máxima: 7</v>
      </c>
    </row>
    <row r="1214">
      <c r="A1214" s="390" t="str">
        <f>IFERROR(__xludf.DUMMYFUNCTION("""COMPUTED_VALUE"""),"#SLGA - Segunda Licenciatura em Geografia - Segunda Licenciatura em Geografia - Lucineia Pontes Antônio - Legislação Educacional/a - Nota Máxima: 10")</f>
        <v>#SLGA - Segunda Licenciatura em Geografia - Segunda Licenciatura em Geografia - Lucineia Pontes Antônio - Legislação Educacional/a - Nota Máxima: 10</v>
      </c>
    </row>
    <row r="1215">
      <c r="A1215" s="390" t="str">
        <f>IFERROR(__xludf.DUMMYFUNCTION("""COMPUTED_VALUE"""),"#SLGA - Segunda Licenciatura em Geografia - Segunda Licenciatura em Geografia - Lucineia Pontes Antônio - Legislação Educacional/a - Nota Máxima: 5")</f>
        <v>#SLGA - Segunda Licenciatura em Geografia - Segunda Licenciatura em Geografia - Lucineia Pontes Antônio - Legislação Educacional/a - Nota Máxima: 5</v>
      </c>
    </row>
    <row r="1216">
      <c r="A1216" s="390" t="str">
        <f>IFERROR(__xludf.DUMMYFUNCTION("""COMPUTED_VALUE"""),"#SLGA - Segunda Licenciatura em Geografia - Segunda Licenciatura em Geografia - Lucineia Pontes Antônio - Planejamento, Gestão Educacional e Currículo/a - Nota Máxima: 10")</f>
        <v>#SLGA - Segunda Licenciatura em Geografia - Segunda Licenciatura em Geografia - Lucineia Pontes Antônio - Planejamento, Gestão Educacional e Currículo/a - Nota Máxima: 10</v>
      </c>
    </row>
    <row r="1217">
      <c r="A1217" s="390" t="str">
        <f>IFERROR(__xludf.DUMMYFUNCTION("""COMPUTED_VALUE"""),"#SLGA - Segunda Licenciatura em Geografia - Segunda Licenciatura em Geografia - Lucineia Pontes Antônio - Planejamento, Gestão Educacional e Currículo/a - Nota Máxima: 10")</f>
        <v>#SLGA - Segunda Licenciatura em Geografia - Segunda Licenciatura em Geografia - Lucineia Pontes Antônio - Planejamento, Gestão Educacional e Currículo/a - Nota Máxima: 10</v>
      </c>
    </row>
    <row r="1218">
      <c r="A1218" s="390" t="str">
        <f>IFERROR(__xludf.DUMMYFUNCTION("""COMPUTED_VALUE"""),"#SLGA - Segunda Licenciatura em Geografia - Segunda Licenciatura em Geografia - Lucineia Pontes Antônio - Práticas Pedagógicas - 400 Horas - Nota Máxima: 10")</f>
        <v>#SLGA - Segunda Licenciatura em Geografia - Segunda Licenciatura em Geografia - Lucineia Pontes Antônio - Práticas Pedagógicas - 400 Horas - Nota Máxima: 10</v>
      </c>
    </row>
    <row r="1219">
      <c r="A1219" s="390" t="str">
        <f>IFERROR(__xludf.DUMMYFUNCTION("""COMPUTED_VALUE"""),"#SLGA - Segunda Licenciatura em Geografia - Segunda Licenciatura em Geografia - Lucineia Pontes Antônio - Práticas Pedagógicas - 400 Horas - Nota Máxima: 45784")</f>
        <v>#SLGA - Segunda Licenciatura em Geografia - Segunda Licenciatura em Geografia - Lucineia Pontes Antônio - Práticas Pedagógicas - 400 Horas - Nota Máxima: 45784</v>
      </c>
    </row>
    <row r="1220">
      <c r="A1220" s="390" t="str">
        <f>IFERROR(__xludf.DUMMYFUNCTION("""COMPUTED_VALUE"""),"#SLGA - Segunda Licenciatura em Geografia - Segunda Licenciatura em Geografia - Lucineia Pontes Antônio - Psicologia da Educação/a - Nota Máxima: 10")</f>
        <v>#SLGA - Segunda Licenciatura em Geografia - Segunda Licenciatura em Geografia - Lucineia Pontes Antônio - Psicologia da Educação/a - Nota Máxima: 10</v>
      </c>
    </row>
    <row r="1221">
      <c r="A1221" s="390" t="str">
        <f>IFERROR(__xludf.DUMMYFUNCTION("""COMPUTED_VALUE"""),"#SLGA - Segunda Licenciatura em Geografia - Segunda Licenciatura em Geografia - Lucineia Pontes Antônio - Psicologia da Educação/a - Nota Máxima: 5")</f>
        <v>#SLGA - Segunda Licenciatura em Geografia - Segunda Licenciatura em Geografia - Lucineia Pontes Antônio - Psicologia da Educação/a - Nota Máxima: 5</v>
      </c>
    </row>
    <row r="1222">
      <c r="A1222" s="390" t="str">
        <f>IFERROR(__xludf.DUMMYFUNCTION("""COMPUTED_VALUE"""),"#SLGA - Segunda Licenciatura em Geografia - Segunda Licenciatura em Geografia - Carlos Germano do Nascimento Rodrigues - A cognição Humana - Nota Máxima: 10")</f>
        <v>#SLGA - Segunda Licenciatura em Geografia - Segunda Licenciatura em Geografia - Carlos Germano do Nascimento Rodrigues - A cognição Humana - Nota Máxima: 10</v>
      </c>
    </row>
    <row r="1223">
      <c r="A1223" s="390" t="str">
        <f>IFERROR(__xludf.DUMMYFUNCTION("""COMPUTED_VALUE"""),"#SLGA - Segunda Licenciatura em Geografia - Segunda Licenciatura em Geografia - Carlos Germano do Nascimento Rodrigues - A cognição Humana - Nota Máxima: 10")</f>
        <v>#SLGA - Segunda Licenciatura em Geografia - Segunda Licenciatura em Geografia - Carlos Germano do Nascimento Rodrigues - A cognição Humana - Nota Máxima: 10</v>
      </c>
    </row>
    <row r="1224">
      <c r="A1224" s="390" t="str">
        <f>IFERROR(__xludf.DUMMYFUNCTION("""COMPUTED_VALUE"""),"#SLGA - Segunda Licenciatura em Geografia - Segunda Licenciatura em Geografia - Carlos Germano do Nascimento Rodrigues - Biogeografia - Nota Máxima: 10")</f>
        <v>#SLGA - Segunda Licenciatura em Geografia - Segunda Licenciatura em Geografia - Carlos Germano do Nascimento Rodrigues - Biogeografia - Nota Máxima: 10</v>
      </c>
    </row>
    <row r="1225">
      <c r="A1225" s="390" t="str">
        <f>IFERROR(__xludf.DUMMYFUNCTION("""COMPUTED_VALUE"""),"#SLGA - Segunda Licenciatura em Geografia - Segunda Licenciatura em Geografia - Carlos Germano do Nascimento Rodrigues - Biogeografia - Nota Máxima: 10")</f>
        <v>#SLGA - Segunda Licenciatura em Geografia - Segunda Licenciatura em Geografia - Carlos Germano do Nascimento Rodrigues - Biogeografia - Nota Máxima: 10</v>
      </c>
    </row>
    <row r="1226">
      <c r="A1226" s="390" t="str">
        <f>IFERROR(__xludf.DUMMYFUNCTION("""COMPUTED_VALUE"""),"#SLGA - Segunda Licenciatura em Geografia - Segunda Licenciatura em Geografia - Carlos Germano do Nascimento Rodrigues - Cartografia - Nota Máxima: 10")</f>
        <v>#SLGA - Segunda Licenciatura em Geografia - Segunda Licenciatura em Geografia - Carlos Germano do Nascimento Rodrigues - Cartografia - Nota Máxima: 10</v>
      </c>
    </row>
    <row r="1227">
      <c r="A1227" s="390" t="str">
        <f>IFERROR(__xludf.DUMMYFUNCTION("""COMPUTED_VALUE"""),"#SLGA - Segunda Licenciatura em Geografia - Segunda Licenciatura em Geografia - Carlos Germano do Nascimento Rodrigues - Cartografia - Nota Máxima: 10")</f>
        <v>#SLGA - Segunda Licenciatura em Geografia - Segunda Licenciatura em Geografia - Carlos Germano do Nascimento Rodrigues - Cartografia - Nota Máxima: 10</v>
      </c>
    </row>
    <row r="1228">
      <c r="A1228" s="390" t="str">
        <f>IFERROR(__xludf.DUMMYFUNCTION("""COMPUTED_VALUE"""),"#SLGA - Segunda Licenciatura em Geografia - Segunda Licenciatura em Geografia - Carlos Germano do Nascimento Rodrigues - Deficiência Auditiva e Libras/a - Nota Máxima: 10")</f>
        <v>#SLGA - Segunda Licenciatura em Geografia - Segunda Licenciatura em Geografia - Carlos Germano do Nascimento Rodrigues - Deficiência Auditiva e Libras/a - Nota Máxima: 10</v>
      </c>
    </row>
    <row r="1229">
      <c r="A1229" s="390" t="str">
        <f>IFERROR(__xludf.DUMMYFUNCTION("""COMPUTED_VALUE"""),"#SLGA - Segunda Licenciatura em Geografia - Segunda Licenciatura em Geografia - Carlos Germano do Nascimento Rodrigues - Deficiência Auditiva e Libras/a - Nota Máxima: 10")</f>
        <v>#SLGA - Segunda Licenciatura em Geografia - Segunda Licenciatura em Geografia - Carlos Germano do Nascimento Rodrigues - Deficiência Auditiva e Libras/a - Nota Máxima: 10</v>
      </c>
    </row>
    <row r="1230">
      <c r="A1230" s="390" t="str">
        <f>IFERROR(__xludf.DUMMYFUNCTION("""COMPUTED_VALUE"""),"#SLGA - Segunda Licenciatura em Geografia - Segunda Licenciatura em Geografia - Carlos Germano do Nascimento Rodrigues - Desenvolvimento do Capital Humano - Nota Máxima: 10")</f>
        <v>#SLGA - Segunda Licenciatura em Geografia - Segunda Licenciatura em Geografia - Carlos Germano do Nascimento Rodrigues - Desenvolvimento do Capital Humano - Nota Máxima: 10</v>
      </c>
    </row>
    <row r="1231">
      <c r="A1231" s="390" t="str">
        <f>IFERROR(__xludf.DUMMYFUNCTION("""COMPUTED_VALUE"""),"#SLGA - Segunda Licenciatura em Geografia - Segunda Licenciatura em Geografia - Carlos Germano do Nascimento Rodrigues - Desenvolvimento do Capital Humano - Nota Máxima: 10")</f>
        <v>#SLGA - Segunda Licenciatura em Geografia - Segunda Licenciatura em Geografia - Carlos Germano do Nascimento Rodrigues - Desenvolvimento do Capital Humano - Nota Máxima: 10</v>
      </c>
    </row>
    <row r="1232">
      <c r="A1232" s="390" t="str">
        <f>IFERROR(__xludf.DUMMYFUNCTION("""COMPUTED_VALUE"""),"#SLGA - Segunda Licenciatura em Geografia - Segunda Licenciatura em Geografia - Carlos Germano do Nascimento Rodrigues - Educação Especial, Inclusão Escolar e Adaptações Curriculares - Nota Máxima: 10")</f>
        <v>#SLGA - Segunda Licenciatura em Geografia - Segunda Licenciatura em Geografia - Carlos Germano do Nascimento Rodrigues - Educação Especial, Inclusão Escolar e Adaptações Curriculares - Nota Máxima: 10</v>
      </c>
    </row>
    <row r="1233">
      <c r="A1233" s="390" t="str">
        <f>IFERROR(__xludf.DUMMYFUNCTION("""COMPUTED_VALUE"""),"#SLGA - Segunda Licenciatura em Geografia - Segunda Licenciatura em Geografia - Carlos Germano do Nascimento Rodrigues - Educação Especial, Inclusão Escolar e Adaptações Curriculares - Nota Máxima: 10")</f>
        <v>#SLGA - Segunda Licenciatura em Geografia - Segunda Licenciatura em Geografia - Carlos Germano do Nascimento Rodrigues - Educação Especial, Inclusão Escolar e Adaptações Curriculares - Nota Máxima: 10</v>
      </c>
    </row>
    <row r="1234">
      <c r="A1234" s="390" t="str">
        <f>IFERROR(__xludf.DUMMYFUNCTION("""COMPUTED_VALUE"""),"#SLGA - Segunda Licenciatura em Geografia - Segunda Licenciatura em Geografia - Carlos Germano do Nascimento Rodrigues - Educação, História, Cultura e Práticas Indígenas/a - Nota Máxima: 10")</f>
        <v>#SLGA - Segunda Licenciatura em Geografia - Segunda Licenciatura em Geografia - Carlos Germano do Nascimento Rodrigues - Educação, História, Cultura e Práticas Indígenas/a - Nota Máxima: 10</v>
      </c>
    </row>
    <row r="1235">
      <c r="A1235" s="390" t="str">
        <f>IFERROR(__xludf.DUMMYFUNCTION("""COMPUTED_VALUE"""),"#SLGA - Segunda Licenciatura em Geografia - Segunda Licenciatura em Geografia - Carlos Germano do Nascimento Rodrigues - Educação, História, Cultura e Práticas Indígenas/a - Nota Máxima: 10")</f>
        <v>#SLGA - Segunda Licenciatura em Geografia - Segunda Licenciatura em Geografia - Carlos Germano do Nascimento Rodrigues - Educação, História, Cultura e Práticas Indígenas/a - Nota Máxima: 10</v>
      </c>
    </row>
    <row r="1236">
      <c r="A1236" s="390" t="str">
        <f>IFERROR(__xludf.DUMMYFUNCTION("""COMPUTED_VALUE"""),"#SLGA - Segunda Licenciatura em Geografia - Segunda Licenciatura em Geografia - Carlos Germano do Nascimento Rodrigues - Estudos Populacionais - Nota Máxima: 10")</f>
        <v>#SLGA - Segunda Licenciatura em Geografia - Segunda Licenciatura em Geografia - Carlos Germano do Nascimento Rodrigues - Estudos Populacionais - Nota Máxima: 10</v>
      </c>
    </row>
    <row r="1237">
      <c r="A1237" s="390" t="str">
        <f>IFERROR(__xludf.DUMMYFUNCTION("""COMPUTED_VALUE"""),"#SLGA - Segunda Licenciatura em Geografia - Segunda Licenciatura em Geografia - Carlos Germano do Nascimento Rodrigues - Estudos Populacionais - Nota Máxima: 10")</f>
        <v>#SLGA - Segunda Licenciatura em Geografia - Segunda Licenciatura em Geografia - Carlos Germano do Nascimento Rodrigues - Estudos Populacionais - Nota Máxima: 10</v>
      </c>
    </row>
    <row r="1238">
      <c r="A1238" s="390" t="str">
        <f>IFERROR(__xludf.DUMMYFUNCTION("""COMPUTED_VALUE"""),"#SLGA - Segunda Licenciatura em Geografia - Segunda Licenciatura em Geografia - Carlos Germano do Nascimento Rodrigues - Geografia Física, Política e Urbana - Nota Máxima: 10")</f>
        <v>#SLGA - Segunda Licenciatura em Geografia - Segunda Licenciatura em Geografia - Carlos Germano do Nascimento Rodrigues - Geografia Física, Política e Urbana - Nota Máxima: 10</v>
      </c>
    </row>
    <row r="1239">
      <c r="A1239" s="390" t="str">
        <f>IFERROR(__xludf.DUMMYFUNCTION("""COMPUTED_VALUE"""),"#SLGA - Segunda Licenciatura em Geografia - Segunda Licenciatura em Geografia - Carlos Germano do Nascimento Rodrigues - Geografia Física, Política e Urbana - Nota Máxima: 10")</f>
        <v>#SLGA - Segunda Licenciatura em Geografia - Segunda Licenciatura em Geografia - Carlos Germano do Nascimento Rodrigues - Geografia Física, Política e Urbana - Nota Máxima: 10</v>
      </c>
    </row>
    <row r="1240">
      <c r="A1240" s="390" t="str">
        <f>IFERROR(__xludf.DUMMYFUNCTION("""COMPUTED_VALUE"""),"#SLGA - Segunda Licenciatura em Geografia - Segunda Licenciatura em Geografia - Carlos Germano do Nascimento Rodrigues - Geologia - Nota Máxima: 10")</f>
        <v>#SLGA - Segunda Licenciatura em Geografia - Segunda Licenciatura em Geografia - Carlos Germano do Nascimento Rodrigues - Geologia - Nota Máxima: 10</v>
      </c>
    </row>
    <row r="1241">
      <c r="A1241" s="390" t="str">
        <f>IFERROR(__xludf.DUMMYFUNCTION("""COMPUTED_VALUE"""),"#SLGA - Segunda Licenciatura em Geografia - Segunda Licenciatura em Geografia - Carlos Germano do Nascimento Rodrigues - Geologia - Nota Máxima: 10")</f>
        <v>#SLGA - Segunda Licenciatura em Geografia - Segunda Licenciatura em Geografia - Carlos Germano do Nascimento Rodrigues - Geologia - Nota Máxima: 10</v>
      </c>
    </row>
    <row r="1242">
      <c r="A1242" s="390" t="str">
        <f>IFERROR(__xludf.DUMMYFUNCTION("""COMPUTED_VALUE"""),"#SLGA - Segunda Licenciatura em Geografia - Segunda Licenciatura em Geografia - Carlos Germano do Nascimento Rodrigues - Geomorfologia - Nota Máxima: 10")</f>
        <v>#SLGA - Segunda Licenciatura em Geografia - Segunda Licenciatura em Geografia - Carlos Germano do Nascimento Rodrigues - Geomorfologia - Nota Máxima: 10</v>
      </c>
    </row>
    <row r="1243">
      <c r="A1243" s="390" t="str">
        <f>IFERROR(__xludf.DUMMYFUNCTION("""COMPUTED_VALUE"""),"#SLGA - Segunda Licenciatura em Geografia - Segunda Licenciatura em Geografia - Carlos Germano do Nascimento Rodrigues - Geomorfologia - Nota Máxima: 10")</f>
        <v>#SLGA - Segunda Licenciatura em Geografia - Segunda Licenciatura em Geografia - Carlos Germano do Nascimento Rodrigues - Geomorfologia - Nota Máxima: 10</v>
      </c>
    </row>
    <row r="1244">
      <c r="A1244" s="390" t="str">
        <f>IFERROR(__xludf.DUMMYFUNCTION("""COMPUTED_VALUE"""),"#SLGA - Segunda Licenciatura em Geografia - Segunda Licenciatura em Geografia - Carlos Germano do Nascimento Rodrigues - Legislação Educacional/a - Nota Máxima: 10")</f>
        <v>#SLGA - Segunda Licenciatura em Geografia - Segunda Licenciatura em Geografia - Carlos Germano do Nascimento Rodrigues - Legislação Educacional/a - Nota Máxima: 10</v>
      </c>
    </row>
    <row r="1245">
      <c r="A1245" s="390" t="str">
        <f>IFERROR(__xludf.DUMMYFUNCTION("""COMPUTED_VALUE"""),"#SLGA - Segunda Licenciatura em Geografia - Segunda Licenciatura em Geografia - Carlos Germano do Nascimento Rodrigues - Legislação Educacional/a - Nota Máxima: 10")</f>
        <v>#SLGA - Segunda Licenciatura em Geografia - Segunda Licenciatura em Geografia - Carlos Germano do Nascimento Rodrigues - Legislação Educacional/a - Nota Máxima: 10</v>
      </c>
    </row>
    <row r="1246">
      <c r="A1246" s="390" t="str">
        <f>IFERROR(__xludf.DUMMYFUNCTION("""COMPUTED_VALUE"""),"#SLGA - Segunda Licenciatura em Geografia - Segunda Licenciatura em Geografia - Carlos Germano do Nascimento Rodrigues - Planejamento, Gestão Educacional e Currículo/a - Nota Máxima: 10")</f>
        <v>#SLGA - Segunda Licenciatura em Geografia - Segunda Licenciatura em Geografia - Carlos Germano do Nascimento Rodrigues - Planejamento, Gestão Educacional e Currículo/a - Nota Máxima: 10</v>
      </c>
    </row>
    <row r="1247">
      <c r="A1247" s="390" t="str">
        <f>IFERROR(__xludf.DUMMYFUNCTION("""COMPUTED_VALUE"""),"#SLGA - Segunda Licenciatura em Geografia - Segunda Licenciatura em Geografia - Carlos Germano do Nascimento Rodrigues - Planejamento, Gestão Educacional e Currículo/a - Nota Máxima: 10")</f>
        <v>#SLGA - Segunda Licenciatura em Geografia - Segunda Licenciatura em Geografia - Carlos Germano do Nascimento Rodrigues - Planejamento, Gestão Educacional e Currículo/a - Nota Máxima: 10</v>
      </c>
    </row>
    <row r="1248">
      <c r="A1248" s="390" t="str">
        <f>IFERROR(__xludf.DUMMYFUNCTION("""COMPUTED_VALUE"""),"#SLGA - Segunda Licenciatura em Geografia - Segunda Licenciatura em Geografia - Carlos Germano do Nascimento Rodrigues - Práticas Pedagógicas - 400 Horas - Nota Máxima: 4")</f>
        <v>#SLGA - Segunda Licenciatura em Geografia - Segunda Licenciatura em Geografia - Carlos Germano do Nascimento Rodrigues - Práticas Pedagógicas - 400 Horas - Nota Máxima: 4</v>
      </c>
    </row>
    <row r="1249">
      <c r="A1249" s="390" t="str">
        <f>IFERROR(__xludf.DUMMYFUNCTION("""COMPUTED_VALUE"""),"#SLGA - Segunda Licenciatura em Geografia - Segunda Licenciatura em Geografia - Carlos Germano do Nascimento Rodrigues - Práticas Pedagógicas - 400 Horas - Nota Máxima: 4")</f>
        <v>#SLGA - Segunda Licenciatura em Geografia - Segunda Licenciatura em Geografia - Carlos Germano do Nascimento Rodrigues - Práticas Pedagógicas - 400 Horas - Nota Máxima: 4</v>
      </c>
    </row>
    <row r="1250">
      <c r="A1250" s="390" t="str">
        <f>IFERROR(__xludf.DUMMYFUNCTION("""COMPUTED_VALUE"""),"#SLGA - Segunda Licenciatura em Geografia - Segunda Licenciatura em Geografia - Carlos Germano do Nascimento Rodrigues - Psicologia da Educação/a - Nota Máxima: 10")</f>
        <v>#SLGA - Segunda Licenciatura em Geografia - Segunda Licenciatura em Geografia - Carlos Germano do Nascimento Rodrigues - Psicologia da Educação/a - Nota Máxima: 10</v>
      </c>
    </row>
    <row r="1251">
      <c r="A1251" s="390" t="str">
        <f>IFERROR(__xludf.DUMMYFUNCTION("""COMPUTED_VALUE"""),"#SLGA - Segunda Licenciatura em Geografia - Segunda Licenciatura em Geografia - Carlos Germano do Nascimento Rodrigues - Psicologia da Educação/a - Nota Máxima: 10")</f>
        <v>#SLGA - Segunda Licenciatura em Geografia - Segunda Licenciatura em Geografia - Carlos Germano do Nascimento Rodrigues - Psicologia da Educação/a - Nota Máxima: 10</v>
      </c>
    </row>
    <row r="1252">
      <c r="A1252" s="390" t="str">
        <f>IFERROR(__xludf.DUMMYFUNCTION("""COMPUTED_VALUE"""),"#SLGA - Segunda Licenciatura em Geografia - Segunda Licenciatura em Geografia - Leide Anne Brito de Castro Santos - A cognição Humana - Nota Máxima: 10")</f>
        <v>#SLGA - Segunda Licenciatura em Geografia - Segunda Licenciatura em Geografia - Leide Anne Brito de Castro Santos - A cognição Humana - Nota Máxima: 10</v>
      </c>
    </row>
    <row r="1253">
      <c r="A1253" s="390" t="str">
        <f>IFERROR(__xludf.DUMMYFUNCTION("""COMPUTED_VALUE"""),"#SLGA - Segunda Licenciatura em Geografia - Segunda Licenciatura em Geografia - Leide Anne Brito de Castro Santos - A cognição Humana - Nota Máxima: 6")</f>
        <v>#SLGA - Segunda Licenciatura em Geografia - Segunda Licenciatura em Geografia - Leide Anne Brito de Castro Santos - A cognição Humana - Nota Máxima: 6</v>
      </c>
    </row>
    <row r="1254">
      <c r="A1254" s="390" t="str">
        <f>IFERROR(__xludf.DUMMYFUNCTION("""COMPUTED_VALUE"""),"#SLGA - Segunda Licenciatura em Geografia - Segunda Licenciatura em Geografia - Leide Anne Brito de Castro Santos - Biogeografia - Nota Máxima: 10")</f>
        <v>#SLGA - Segunda Licenciatura em Geografia - Segunda Licenciatura em Geografia - Leide Anne Brito de Castro Santos - Biogeografia - Nota Máxima: 10</v>
      </c>
    </row>
    <row r="1255">
      <c r="A1255" s="390" t="str">
        <f>IFERROR(__xludf.DUMMYFUNCTION("""COMPUTED_VALUE"""),"#SLGA - Segunda Licenciatura em Geografia - Segunda Licenciatura em Geografia - Leide Anne Brito de Castro Santos - Biogeografia - Nota Máxima: 5")</f>
        <v>#SLGA - Segunda Licenciatura em Geografia - Segunda Licenciatura em Geografia - Leide Anne Brito de Castro Santos - Biogeografia - Nota Máxima: 5</v>
      </c>
    </row>
    <row r="1256">
      <c r="A1256" s="390" t="str">
        <f>IFERROR(__xludf.DUMMYFUNCTION("""COMPUTED_VALUE"""),"#SLGA - Segunda Licenciatura em Geografia - Segunda Licenciatura em Geografia - Leide Anne Brito de Castro Santos - Cartografia - Nota Máxima: 10")</f>
        <v>#SLGA - Segunda Licenciatura em Geografia - Segunda Licenciatura em Geografia - Leide Anne Brito de Castro Santos - Cartografia - Nota Máxima: 10</v>
      </c>
    </row>
    <row r="1257">
      <c r="A1257" s="390" t="str">
        <f>IFERROR(__xludf.DUMMYFUNCTION("""COMPUTED_VALUE"""),"#SLGA - Segunda Licenciatura em Geografia - Segunda Licenciatura em Geografia - Leide Anne Brito de Castro Santos - Cartografia - Nota Máxima: 9")</f>
        <v>#SLGA - Segunda Licenciatura em Geografia - Segunda Licenciatura em Geografia - Leide Anne Brito de Castro Santos - Cartografia - Nota Máxima: 9</v>
      </c>
    </row>
    <row r="1258">
      <c r="A1258" s="390" t="str">
        <f>IFERROR(__xludf.DUMMYFUNCTION("""COMPUTED_VALUE"""),"#SLGA - Segunda Licenciatura em Geografia - Segunda Licenciatura em Geografia - Leide Anne Brito de Castro Santos - Deficiência Auditiva e Libras/a - Nota Máxima: 10")</f>
        <v>#SLGA - Segunda Licenciatura em Geografia - Segunda Licenciatura em Geografia - Leide Anne Brito de Castro Santos - Deficiência Auditiva e Libras/a - Nota Máxima: 10</v>
      </c>
    </row>
    <row r="1259">
      <c r="A1259" s="390" t="str">
        <f>IFERROR(__xludf.DUMMYFUNCTION("""COMPUTED_VALUE"""),"#SLGA - Segunda Licenciatura em Geografia - Segunda Licenciatura em Geografia - Leide Anne Brito de Castro Santos - Deficiência Auditiva e Libras/a - Nota Máxima: 10")</f>
        <v>#SLGA - Segunda Licenciatura em Geografia - Segunda Licenciatura em Geografia - Leide Anne Brito de Castro Santos - Deficiência Auditiva e Libras/a - Nota Máxima: 10</v>
      </c>
    </row>
    <row r="1260">
      <c r="A1260" s="390" t="str">
        <f>IFERROR(__xludf.DUMMYFUNCTION("""COMPUTED_VALUE"""),"#SLGA - Segunda Licenciatura em Geografia - Segunda Licenciatura em Geografia - Leide Anne Brito de Castro Santos - Desenvolvimento do Capital Humano - Nota Máxima: 10")</f>
        <v>#SLGA - Segunda Licenciatura em Geografia - Segunda Licenciatura em Geografia - Leide Anne Brito de Castro Santos - Desenvolvimento do Capital Humano - Nota Máxima: 10</v>
      </c>
    </row>
    <row r="1261">
      <c r="A1261" s="390" t="str">
        <f>IFERROR(__xludf.DUMMYFUNCTION("""COMPUTED_VALUE"""),"#SLGA - Segunda Licenciatura em Geografia - Segunda Licenciatura em Geografia - Leide Anne Brito de Castro Santos - Desenvolvimento do Capital Humano - Nota Máxima: 8")</f>
        <v>#SLGA - Segunda Licenciatura em Geografia - Segunda Licenciatura em Geografia - Leide Anne Brito de Castro Santos - Desenvolvimento do Capital Humano - Nota Máxima: 8</v>
      </c>
    </row>
    <row r="1262">
      <c r="A1262" s="390" t="str">
        <f>IFERROR(__xludf.DUMMYFUNCTION("""COMPUTED_VALUE"""),"#SLGA - Segunda Licenciatura em Geografia - Segunda Licenciatura em Geografia - Leide Anne Brito de Castro Santos - Educação Especial, Inclusão Escolar e Adaptações Curriculares - Nota Máxima: 10")</f>
        <v>#SLGA - Segunda Licenciatura em Geografia - Segunda Licenciatura em Geografia - Leide Anne Brito de Castro Santos - Educação Especial, Inclusão Escolar e Adaptações Curriculares - Nota Máxima: 10</v>
      </c>
    </row>
    <row r="1263">
      <c r="A1263" s="390" t="str">
        <f>IFERROR(__xludf.DUMMYFUNCTION("""COMPUTED_VALUE"""),"#SLGA - Segunda Licenciatura em Geografia - Segunda Licenciatura em Geografia - Leide Anne Brito de Castro Santos - Educação Especial, Inclusão Escolar e Adaptações Curriculares - Nota Máxima: 8")</f>
        <v>#SLGA - Segunda Licenciatura em Geografia - Segunda Licenciatura em Geografia - Leide Anne Brito de Castro Santos - Educação Especial, Inclusão Escolar e Adaptações Curriculares - Nota Máxima: 8</v>
      </c>
    </row>
    <row r="1264">
      <c r="A1264" s="390" t="str">
        <f>IFERROR(__xludf.DUMMYFUNCTION("""COMPUTED_VALUE"""),"#SLGA - Segunda Licenciatura em Geografia - Segunda Licenciatura em Geografia - Leide Anne Brito de Castro Santos - Educação, História, Cultura e Práticas Indígenas/a - Nota Máxima: 10")</f>
        <v>#SLGA - Segunda Licenciatura em Geografia - Segunda Licenciatura em Geografia - Leide Anne Brito de Castro Santos - Educação, História, Cultura e Práticas Indígenas/a - Nota Máxima: 10</v>
      </c>
    </row>
    <row r="1265">
      <c r="A1265" s="390" t="str">
        <f>IFERROR(__xludf.DUMMYFUNCTION("""COMPUTED_VALUE"""),"#SLGA - Segunda Licenciatura em Geografia - Segunda Licenciatura em Geografia - Leide Anne Brito de Castro Santos - Educação, História, Cultura e Práticas Indígenas/a - Nota Máxima: 9")</f>
        <v>#SLGA - Segunda Licenciatura em Geografia - Segunda Licenciatura em Geografia - Leide Anne Brito de Castro Santos - Educação, História, Cultura e Práticas Indígenas/a - Nota Máxima: 9</v>
      </c>
    </row>
    <row r="1266">
      <c r="A1266" s="390" t="str">
        <f>IFERROR(__xludf.DUMMYFUNCTION("""COMPUTED_VALUE"""),"#SLGA - Segunda Licenciatura em Geografia - Segunda Licenciatura em Geografia - Leide Anne Brito de Castro Santos - Estudos Populacionais - Nota Máxima: 10")</f>
        <v>#SLGA - Segunda Licenciatura em Geografia - Segunda Licenciatura em Geografia - Leide Anne Brito de Castro Santos - Estudos Populacionais - Nota Máxima: 10</v>
      </c>
    </row>
    <row r="1267">
      <c r="A1267" s="390" t="str">
        <f>IFERROR(__xludf.DUMMYFUNCTION("""COMPUTED_VALUE"""),"#SLGA - Segunda Licenciatura em Geografia - Segunda Licenciatura em Geografia - Leide Anne Brito de Castro Santos - Estudos Populacionais - Nota Máxima: 9")</f>
        <v>#SLGA - Segunda Licenciatura em Geografia - Segunda Licenciatura em Geografia - Leide Anne Brito de Castro Santos - Estudos Populacionais - Nota Máxima: 9</v>
      </c>
    </row>
    <row r="1268">
      <c r="A1268" s="390" t="str">
        <f>IFERROR(__xludf.DUMMYFUNCTION("""COMPUTED_VALUE"""),"#SLGA - Segunda Licenciatura em Geografia - Segunda Licenciatura em Geografia - Leide Anne Brito de Castro Santos - Geografia Física, Política e Urbana - Nota Máxima: 10")</f>
        <v>#SLGA - Segunda Licenciatura em Geografia - Segunda Licenciatura em Geografia - Leide Anne Brito de Castro Santos - Geografia Física, Política e Urbana - Nota Máxima: 10</v>
      </c>
    </row>
    <row r="1269">
      <c r="A1269" s="390" t="str">
        <f>IFERROR(__xludf.DUMMYFUNCTION("""COMPUTED_VALUE"""),"#SLGA - Segunda Licenciatura em Geografia - Segunda Licenciatura em Geografia - Leide Anne Brito de Castro Santos - Geografia Física, Política e Urbana - Nota Máxima: 8")</f>
        <v>#SLGA - Segunda Licenciatura em Geografia - Segunda Licenciatura em Geografia - Leide Anne Brito de Castro Santos - Geografia Física, Política e Urbana - Nota Máxima: 8</v>
      </c>
    </row>
    <row r="1270">
      <c r="A1270" s="390" t="str">
        <f>IFERROR(__xludf.DUMMYFUNCTION("""COMPUTED_VALUE"""),"#SLGA - Segunda Licenciatura em Geografia - Segunda Licenciatura em Geografia - Leide Anne Brito de Castro Santos - Geologia - Nota Máxima: 10")</f>
        <v>#SLGA - Segunda Licenciatura em Geografia - Segunda Licenciatura em Geografia - Leide Anne Brito de Castro Santos - Geologia - Nota Máxima: 10</v>
      </c>
    </row>
    <row r="1271">
      <c r="A1271" s="390" t="str">
        <f>IFERROR(__xludf.DUMMYFUNCTION("""COMPUTED_VALUE"""),"#SLGA - Segunda Licenciatura em Geografia - Segunda Licenciatura em Geografia - Leide Anne Brito de Castro Santos - Geologia - Nota Máxima: 8")</f>
        <v>#SLGA - Segunda Licenciatura em Geografia - Segunda Licenciatura em Geografia - Leide Anne Brito de Castro Santos - Geologia - Nota Máxima: 8</v>
      </c>
    </row>
    <row r="1272">
      <c r="A1272" s="390" t="str">
        <f>IFERROR(__xludf.DUMMYFUNCTION("""COMPUTED_VALUE"""),"#SLGA - Segunda Licenciatura em Geografia - Segunda Licenciatura em Geografia - Leide Anne Brito de Castro Santos - Geomorfologia - Nota Máxima: 10")</f>
        <v>#SLGA - Segunda Licenciatura em Geografia - Segunda Licenciatura em Geografia - Leide Anne Brito de Castro Santos - Geomorfologia - Nota Máxima: 10</v>
      </c>
    </row>
    <row r="1273">
      <c r="A1273" s="390" t="str">
        <f>IFERROR(__xludf.DUMMYFUNCTION("""COMPUTED_VALUE"""),"#SLGA - Segunda Licenciatura em Geografia - Segunda Licenciatura em Geografia - Leide Anne Brito de Castro Santos - Geomorfologia - Nota Máxima: 7")</f>
        <v>#SLGA - Segunda Licenciatura em Geografia - Segunda Licenciatura em Geografia - Leide Anne Brito de Castro Santos - Geomorfologia - Nota Máxima: 7</v>
      </c>
    </row>
    <row r="1274">
      <c r="A1274" s="390" t="str">
        <f>IFERROR(__xludf.DUMMYFUNCTION("""COMPUTED_VALUE"""),"#SLGA - Segunda Licenciatura em Geografia - Segunda Licenciatura em Geografia - Leide Anne Brito de Castro Santos - Legislação Educacional/a - Nota Máxima: 10")</f>
        <v>#SLGA - Segunda Licenciatura em Geografia - Segunda Licenciatura em Geografia - Leide Anne Brito de Castro Santos - Legislação Educacional/a - Nota Máxima: 10</v>
      </c>
    </row>
    <row r="1275">
      <c r="A1275" s="390" t="str">
        <f>IFERROR(__xludf.DUMMYFUNCTION("""COMPUTED_VALUE"""),"#SLGA - Segunda Licenciatura em Geografia - Segunda Licenciatura em Geografia - Leide Anne Brito de Castro Santos - Legislação Educacional/a - Nota Máxima: 7")</f>
        <v>#SLGA - Segunda Licenciatura em Geografia - Segunda Licenciatura em Geografia - Leide Anne Brito de Castro Santos - Legislação Educacional/a - Nota Máxima: 7</v>
      </c>
    </row>
    <row r="1276">
      <c r="A1276" s="390" t="str">
        <f>IFERROR(__xludf.DUMMYFUNCTION("""COMPUTED_VALUE"""),"#SLGA - Segunda Licenciatura em Geografia - Segunda Licenciatura em Geografia - Leide Anne Brito de Castro Santos - Planejamento, Gestão Educacional e Currículo/a - Nota Máxima: 10")</f>
        <v>#SLGA - Segunda Licenciatura em Geografia - Segunda Licenciatura em Geografia - Leide Anne Brito de Castro Santos - Planejamento, Gestão Educacional e Currículo/a - Nota Máxima: 10</v>
      </c>
    </row>
    <row r="1277">
      <c r="A1277" s="390" t="str">
        <f>IFERROR(__xludf.DUMMYFUNCTION("""COMPUTED_VALUE"""),"#SLGA - Segunda Licenciatura em Geografia - Segunda Licenciatura em Geografia - Leide Anne Brito de Castro Santos - Planejamento, Gestão Educacional e Currículo/a - Nota Máxima: 9")</f>
        <v>#SLGA - Segunda Licenciatura em Geografia - Segunda Licenciatura em Geografia - Leide Anne Brito de Castro Santos - Planejamento, Gestão Educacional e Currículo/a - Nota Máxima: 9</v>
      </c>
    </row>
    <row r="1278">
      <c r="A1278" s="390" t="str">
        <f>IFERROR(__xludf.DUMMYFUNCTION("""COMPUTED_VALUE"""),"#SLGA - Segunda Licenciatura em Geografia - Segunda Licenciatura em Geografia - Leide Anne Brito de Castro Santos - Práticas Pedagógicas - 400 Horas - Nota Máxima: 10")</f>
        <v>#SLGA - Segunda Licenciatura em Geografia - Segunda Licenciatura em Geografia - Leide Anne Brito de Castro Santos - Práticas Pedagógicas - 400 Horas - Nota Máxima: 10</v>
      </c>
    </row>
    <row r="1279">
      <c r="A1279" s="390" t="str">
        <f>IFERROR(__xludf.DUMMYFUNCTION("""COMPUTED_VALUE"""),"#SLGA - Segunda Licenciatura em Geografia - Segunda Licenciatura em Geografia - Leide Anne Brito de Castro Santos - Práticas Pedagógicas - 400 Horas - Nota Máxima: 10")</f>
        <v>#SLGA - Segunda Licenciatura em Geografia - Segunda Licenciatura em Geografia - Leide Anne Brito de Castro Santos - Práticas Pedagógicas - 400 Horas - Nota Máxima: 10</v>
      </c>
    </row>
    <row r="1280">
      <c r="A1280" s="390" t="str">
        <f>IFERROR(__xludf.DUMMYFUNCTION("""COMPUTED_VALUE"""),"#SLGA - Segunda Licenciatura em Geografia - Segunda Licenciatura em Geografia - Leide Anne Brito de Castro Santos - Psicologia da Educação/a - Nota Máxima: 10")</f>
        <v>#SLGA - Segunda Licenciatura em Geografia - Segunda Licenciatura em Geografia - Leide Anne Brito de Castro Santos - Psicologia da Educação/a - Nota Máxima: 10</v>
      </c>
    </row>
    <row r="1281">
      <c r="A1281" s="390" t="str">
        <f>IFERROR(__xludf.DUMMYFUNCTION("""COMPUTED_VALUE"""),"#SLGA - Segunda Licenciatura em Geografia - Segunda Licenciatura em Geografia - Leide Anne Brito de Castro Santos - Psicologia da Educação/a - Nota Máxima: 8")</f>
        <v>#SLGA - Segunda Licenciatura em Geografia - Segunda Licenciatura em Geografia - Leide Anne Brito de Castro Santos - Psicologia da Educação/a - Nota Máxima: 8</v>
      </c>
    </row>
    <row r="1282">
      <c r="A1282" s="390" t="str">
        <f>IFERROR(__xludf.DUMMYFUNCTION("""COMPUTED_VALUE"""),"#SLGA - Segunda Licenciatura em Geografia - Segunda Licenciatura em Geografia - Lucineia Oliveira Amorim dos Santos - A cognição Humana - Nota Máxima: 7")</f>
        <v>#SLGA - Segunda Licenciatura em Geografia - Segunda Licenciatura em Geografia - Lucineia Oliveira Amorim dos Santos - A cognição Humana - Nota Máxima: 7</v>
      </c>
    </row>
    <row r="1283">
      <c r="A1283" s="390" t="str">
        <f>IFERROR(__xludf.DUMMYFUNCTION("""COMPUTED_VALUE"""),"#SLGA - Segunda Licenciatura em Geografia - Segunda Licenciatura em Geografia - Lucineia Oliveira Amorim dos Santos - Biogeografia - Nota Máxima: 10")</f>
        <v>#SLGA - Segunda Licenciatura em Geografia - Segunda Licenciatura em Geografia - Lucineia Oliveira Amorim dos Santos - Biogeografia - Nota Máxima: 10</v>
      </c>
    </row>
    <row r="1284">
      <c r="A1284" s="390" t="str">
        <f>IFERROR(__xludf.DUMMYFUNCTION("""COMPUTED_VALUE"""),"#SLGA - Segunda Licenciatura em Geografia - Segunda Licenciatura em Geografia - Lucineia Oliveira Amorim dos Santos - Biogeografia - Nota Máxima: 9")</f>
        <v>#SLGA - Segunda Licenciatura em Geografia - Segunda Licenciatura em Geografia - Lucineia Oliveira Amorim dos Santos - Biogeografia - Nota Máxima: 9</v>
      </c>
    </row>
    <row r="1285">
      <c r="A1285" s="390" t="str">
        <f>IFERROR(__xludf.DUMMYFUNCTION("""COMPUTED_VALUE"""),"#SLGA - Segunda Licenciatura em Geografia - Segunda Licenciatura em Geografia - Lucineia Oliveira Amorim dos Santos - Cartografia - Nota Máxima: 10")</f>
        <v>#SLGA - Segunda Licenciatura em Geografia - Segunda Licenciatura em Geografia - Lucineia Oliveira Amorim dos Santos - Cartografia - Nota Máxima: 10</v>
      </c>
    </row>
    <row r="1286">
      <c r="A1286" s="390" t="str">
        <f>IFERROR(__xludf.DUMMYFUNCTION("""COMPUTED_VALUE"""),"#SLGA - Segunda Licenciatura em Geografia - Segunda Licenciatura em Geografia - Lucineia Oliveira Amorim dos Santos - Cartografia - Nota Máxima: 10")</f>
        <v>#SLGA - Segunda Licenciatura em Geografia - Segunda Licenciatura em Geografia - Lucineia Oliveira Amorim dos Santos - Cartografia - Nota Máxima: 10</v>
      </c>
    </row>
    <row r="1287">
      <c r="A1287" s="390" t="str">
        <f>IFERROR(__xludf.DUMMYFUNCTION("""COMPUTED_VALUE"""),"#SLGA - Segunda Licenciatura em Geografia - Segunda Licenciatura em Geografia - Lucineia Oliveira Amorim dos Santos - Deficiência Auditiva e Libras/a - Nota Máxima: 10")</f>
        <v>#SLGA - Segunda Licenciatura em Geografia - Segunda Licenciatura em Geografia - Lucineia Oliveira Amorim dos Santos - Deficiência Auditiva e Libras/a - Nota Máxima: 10</v>
      </c>
    </row>
    <row r="1288">
      <c r="A1288" s="390" t="str">
        <f>IFERROR(__xludf.DUMMYFUNCTION("""COMPUTED_VALUE"""),"#SLGA - Segunda Licenciatura em Geografia - Segunda Licenciatura em Geografia - Lucineia Oliveira Amorim dos Santos - Deficiência Auditiva e Libras/a - Nota Máxima: 10")</f>
        <v>#SLGA - Segunda Licenciatura em Geografia - Segunda Licenciatura em Geografia - Lucineia Oliveira Amorim dos Santos - Deficiência Auditiva e Libras/a - Nota Máxima: 10</v>
      </c>
    </row>
    <row r="1289">
      <c r="A1289" s="390" t="str">
        <f>IFERROR(__xludf.DUMMYFUNCTION("""COMPUTED_VALUE"""),"#SLGA - Segunda Licenciatura em Geografia - Segunda Licenciatura em Geografia - Lucineia Oliveira Amorim dos Santos - Desenvolvimento do Capital Humano - Nota Máxima: 10")</f>
        <v>#SLGA - Segunda Licenciatura em Geografia - Segunda Licenciatura em Geografia - Lucineia Oliveira Amorim dos Santos - Desenvolvimento do Capital Humano - Nota Máxima: 10</v>
      </c>
    </row>
    <row r="1290">
      <c r="A1290" s="390" t="str">
        <f>IFERROR(__xludf.DUMMYFUNCTION("""COMPUTED_VALUE"""),"#SLGA - Segunda Licenciatura em Geografia - Segunda Licenciatura em Geografia - Lucineia Oliveira Amorim dos Santos - Desenvolvimento do Capital Humano - Nota Máxima: 8")</f>
        <v>#SLGA - Segunda Licenciatura em Geografia - Segunda Licenciatura em Geografia - Lucineia Oliveira Amorim dos Santos - Desenvolvimento do Capital Humano - Nota Máxima: 8</v>
      </c>
    </row>
    <row r="1291">
      <c r="A1291" s="390" t="str">
        <f>IFERROR(__xludf.DUMMYFUNCTION("""COMPUTED_VALUE"""),"#SLGA - Segunda Licenciatura em Geografia - Segunda Licenciatura em Geografia - Lucineia Oliveira Amorim dos Santos - Educação Especial, Inclusão Escolar e Adaptações Curriculares - Nota Máxima: 10")</f>
        <v>#SLGA - Segunda Licenciatura em Geografia - Segunda Licenciatura em Geografia - Lucineia Oliveira Amorim dos Santos - Educação Especial, Inclusão Escolar e Adaptações Curriculares - Nota Máxima: 10</v>
      </c>
    </row>
    <row r="1292">
      <c r="A1292" s="390" t="str">
        <f>IFERROR(__xludf.DUMMYFUNCTION("""COMPUTED_VALUE"""),"#SLGA - Segunda Licenciatura em Geografia - Segunda Licenciatura em Geografia - Lucineia Oliveira Amorim dos Santos - Educação Especial, Inclusão Escolar e Adaptações Curriculares - Nota Máxima: 9")</f>
        <v>#SLGA - Segunda Licenciatura em Geografia - Segunda Licenciatura em Geografia - Lucineia Oliveira Amorim dos Santos - Educação Especial, Inclusão Escolar e Adaptações Curriculares - Nota Máxima: 9</v>
      </c>
    </row>
    <row r="1293">
      <c r="A1293" s="390" t="str">
        <f>IFERROR(__xludf.DUMMYFUNCTION("""COMPUTED_VALUE"""),"#SLGA - Segunda Licenciatura em Geografia - Segunda Licenciatura em Geografia - Lucineia Oliveira Amorim dos Santos - Educação, História, Cultura e Práticas Indígenas/a - Nota Máxima: 10")</f>
        <v>#SLGA - Segunda Licenciatura em Geografia - Segunda Licenciatura em Geografia - Lucineia Oliveira Amorim dos Santos - Educação, História, Cultura e Práticas Indígenas/a - Nota Máxima: 10</v>
      </c>
    </row>
    <row r="1294">
      <c r="A1294" s="390" t="str">
        <f>IFERROR(__xludf.DUMMYFUNCTION("""COMPUTED_VALUE"""),"#SLGA - Segunda Licenciatura em Geografia - Segunda Licenciatura em Geografia - Lucineia Oliveira Amorim dos Santos - Educação, História, Cultura e Práticas Indígenas/a - Nota Máxima: 9")</f>
        <v>#SLGA - Segunda Licenciatura em Geografia - Segunda Licenciatura em Geografia - Lucineia Oliveira Amorim dos Santos - Educação, História, Cultura e Práticas Indígenas/a - Nota Máxima: 9</v>
      </c>
    </row>
    <row r="1295">
      <c r="A1295" s="390" t="str">
        <f>IFERROR(__xludf.DUMMYFUNCTION("""COMPUTED_VALUE"""),"#SLGA - Segunda Licenciatura em Geografia - Segunda Licenciatura em Geografia - Lucineia Oliveira Amorim dos Santos - Estudos Populacionais - Nota Máxima: 9")</f>
        <v>#SLGA - Segunda Licenciatura em Geografia - Segunda Licenciatura em Geografia - Lucineia Oliveira Amorim dos Santos - Estudos Populacionais - Nota Máxima: 9</v>
      </c>
    </row>
    <row r="1296">
      <c r="A1296" s="390" t="str">
        <f>IFERROR(__xludf.DUMMYFUNCTION("""COMPUTED_VALUE"""),"#SLGA - Segunda Licenciatura em Geografia - Segunda Licenciatura em Geografia - Lucineia Oliveira Amorim dos Santos - Estudos Populacionais - Nota Máxima: 8")</f>
        <v>#SLGA - Segunda Licenciatura em Geografia - Segunda Licenciatura em Geografia - Lucineia Oliveira Amorim dos Santos - Estudos Populacionais - Nota Máxima: 8</v>
      </c>
    </row>
    <row r="1297">
      <c r="A1297" s="390" t="str">
        <f>IFERROR(__xludf.DUMMYFUNCTION("""COMPUTED_VALUE"""),"#SLGA - Segunda Licenciatura em Geografia - Segunda Licenciatura em Geografia - Lucineia Oliveira Amorim dos Santos - Geografia Física, Política e Urbana - Nota Máxima: 9")</f>
        <v>#SLGA - Segunda Licenciatura em Geografia - Segunda Licenciatura em Geografia - Lucineia Oliveira Amorim dos Santos - Geografia Física, Política e Urbana - Nota Máxima: 9</v>
      </c>
    </row>
    <row r="1298">
      <c r="A1298" s="390" t="str">
        <f>IFERROR(__xludf.DUMMYFUNCTION("""COMPUTED_VALUE"""),"#SLGA - Segunda Licenciatura em Geografia - Segunda Licenciatura em Geografia - Lucineia Oliveira Amorim dos Santos - Geografia Física, Política e Urbana - Nota Máxima: 7")</f>
        <v>#SLGA - Segunda Licenciatura em Geografia - Segunda Licenciatura em Geografia - Lucineia Oliveira Amorim dos Santos - Geografia Física, Política e Urbana - Nota Máxima: 7</v>
      </c>
    </row>
    <row r="1299">
      <c r="A1299" s="390" t="str">
        <f>IFERROR(__xludf.DUMMYFUNCTION("""COMPUTED_VALUE"""),"#SLGA - Segunda Licenciatura em Geografia - Segunda Licenciatura em Geografia - Lucineia Oliveira Amorim dos Santos - Geologia - Nota Máxima: 10")</f>
        <v>#SLGA - Segunda Licenciatura em Geografia - Segunda Licenciatura em Geografia - Lucineia Oliveira Amorim dos Santos - Geologia - Nota Máxima: 10</v>
      </c>
    </row>
    <row r="1300">
      <c r="A1300" s="390" t="str">
        <f>IFERROR(__xludf.DUMMYFUNCTION("""COMPUTED_VALUE"""),"#SLGA - Segunda Licenciatura em Geografia - Segunda Licenciatura em Geografia - Lucineia Oliveira Amorim dos Santos - Geologia - Nota Máxima: 9")</f>
        <v>#SLGA - Segunda Licenciatura em Geografia - Segunda Licenciatura em Geografia - Lucineia Oliveira Amorim dos Santos - Geologia - Nota Máxima: 9</v>
      </c>
    </row>
    <row r="1301">
      <c r="A1301" s="390" t="str">
        <f>IFERROR(__xludf.DUMMYFUNCTION("""COMPUTED_VALUE"""),"#SLGA - Segunda Licenciatura em Geografia - Segunda Licenciatura em Geografia - Lucineia Oliveira Amorim dos Santos - Geomorfologia - Nota Máxima: 9")</f>
        <v>#SLGA - Segunda Licenciatura em Geografia - Segunda Licenciatura em Geografia - Lucineia Oliveira Amorim dos Santos - Geomorfologia - Nota Máxima: 9</v>
      </c>
    </row>
    <row r="1302">
      <c r="A1302" s="390" t="str">
        <f>IFERROR(__xludf.DUMMYFUNCTION("""COMPUTED_VALUE"""),"#SLGA - Segunda Licenciatura em Geografia - Segunda Licenciatura em Geografia - Lucineia Oliveira Amorim dos Santos - Legislação Educacional/a - Nota Máxima: 8")</f>
        <v>#SLGA - Segunda Licenciatura em Geografia - Segunda Licenciatura em Geografia - Lucineia Oliveira Amorim dos Santos - Legislação Educacional/a - Nota Máxima: 8</v>
      </c>
    </row>
    <row r="1303">
      <c r="A1303" s="390" t="str">
        <f>IFERROR(__xludf.DUMMYFUNCTION("""COMPUTED_VALUE"""),"#SLGA - Segunda Licenciatura em Geografia - Segunda Licenciatura em Geografia - Lucineia Oliveira Amorim dos Santos - Planejamento, Gestão Educacional e Currículo/a - Nota Máxima: 9")</f>
        <v>#SLGA - Segunda Licenciatura em Geografia - Segunda Licenciatura em Geografia - Lucineia Oliveira Amorim dos Santos - Planejamento, Gestão Educacional e Currículo/a - Nota Máxima: 9</v>
      </c>
    </row>
    <row r="1304">
      <c r="A1304" s="390" t="str">
        <f>IFERROR(__xludf.DUMMYFUNCTION("""COMPUTED_VALUE"""),"#SLGA - Segunda Licenciatura em Geografia - Segunda Licenciatura em Geografia - Lucineia Oliveira Amorim dos Santos - Práticas Pedagógicas - 400 Horas - Nota Máxima: 10")</f>
        <v>#SLGA - Segunda Licenciatura em Geografia - Segunda Licenciatura em Geografia - Lucineia Oliveira Amorim dos Santos - Práticas Pedagógicas - 400 Horas - Nota Máxima: 10</v>
      </c>
    </row>
    <row r="1305">
      <c r="A1305" s="390" t="str">
        <f>IFERROR(__xludf.DUMMYFUNCTION("""COMPUTED_VALUE"""),"#SLGA - Segunda Licenciatura em Geografia - Segunda Licenciatura em Geografia - Lucineia Oliveira Amorim dos Santos - Psicologia da Educação/a - Nota Máxima: 8")</f>
        <v>#SLGA - Segunda Licenciatura em Geografia - Segunda Licenciatura em Geografia - Lucineia Oliveira Amorim dos Santos - Psicologia da Educação/a - Nota Máxima: 8</v>
      </c>
    </row>
    <row r="1306">
      <c r="A1306" s="390" t="str">
        <f>IFERROR(__xludf.DUMMYFUNCTION("""COMPUTED_VALUE"""),"#SLGA - Segunda Licenciatura em Geografia - Segunda Licenciatura em Geografia - Simone Cristina Comodo - A cognição Humana - Nota Máxima: 10")</f>
        <v>#SLGA - Segunda Licenciatura em Geografia - Segunda Licenciatura em Geografia - Simone Cristina Comodo - A cognição Humana - Nota Máxima: 10</v>
      </c>
    </row>
    <row r="1307">
      <c r="A1307" s="390" t="str">
        <f>IFERROR(__xludf.DUMMYFUNCTION("""COMPUTED_VALUE"""),"#SLGA - Segunda Licenciatura em Geografia - Segunda Licenciatura em Geografia - Simone Cristina Comodo - Biogeografia - Nota Máxima: 7")</f>
        <v>#SLGA - Segunda Licenciatura em Geografia - Segunda Licenciatura em Geografia - Simone Cristina Comodo - Biogeografia - Nota Máxima: 7</v>
      </c>
    </row>
    <row r="1308">
      <c r="A1308" s="390" t="str">
        <f>IFERROR(__xludf.DUMMYFUNCTION("""COMPUTED_VALUE"""),"#SLGA - Segunda Licenciatura em Geografia - Segunda Licenciatura em Geografia - Simone Cristina Comodo - Biogeografia - Nota Máxima: 7")</f>
        <v>#SLGA - Segunda Licenciatura em Geografia - Segunda Licenciatura em Geografia - Simone Cristina Comodo - Biogeografia - Nota Máxima: 7</v>
      </c>
    </row>
    <row r="1309">
      <c r="A1309" s="390" t="str">
        <f>IFERROR(__xludf.DUMMYFUNCTION("""COMPUTED_VALUE"""),"#SLGA - Segunda Licenciatura em Geografia - Segunda Licenciatura em Geografia - Simone Cristina Comodo - Cartografia - Nota Máxima: 9")</f>
        <v>#SLGA - Segunda Licenciatura em Geografia - Segunda Licenciatura em Geografia - Simone Cristina Comodo - Cartografia - Nota Máxima: 9</v>
      </c>
    </row>
    <row r="1310">
      <c r="A1310" s="390" t="str">
        <f>IFERROR(__xludf.DUMMYFUNCTION("""COMPUTED_VALUE"""),"#SLGA - Segunda Licenciatura em Geografia - Segunda Licenciatura em Geografia - Simone Cristina Comodo - Cartografia - Nota Máxima: 5")</f>
        <v>#SLGA - Segunda Licenciatura em Geografia - Segunda Licenciatura em Geografia - Simone Cristina Comodo - Cartografia - Nota Máxima: 5</v>
      </c>
    </row>
    <row r="1311">
      <c r="A1311" s="390" t="str">
        <f>IFERROR(__xludf.DUMMYFUNCTION("""COMPUTED_VALUE"""),"#SLGA - Segunda Licenciatura em Geografia - Segunda Licenciatura em Geografia - Simone Cristina Comodo - Deficiência Auditiva e Libras/a - Nota Máxima: 8")</f>
        <v>#SLGA - Segunda Licenciatura em Geografia - Segunda Licenciatura em Geografia - Simone Cristina Comodo - Deficiência Auditiva e Libras/a - Nota Máxima: 8</v>
      </c>
    </row>
    <row r="1312">
      <c r="A1312" s="390" t="str">
        <f>IFERROR(__xludf.DUMMYFUNCTION("""COMPUTED_VALUE"""),"#SLGA - Segunda Licenciatura em Geografia - Segunda Licenciatura em Geografia - Simone Cristina Comodo - Deficiência Auditiva e Libras/a - Nota Máxima: 8")</f>
        <v>#SLGA - Segunda Licenciatura em Geografia - Segunda Licenciatura em Geografia - Simone Cristina Comodo - Deficiência Auditiva e Libras/a - Nota Máxima: 8</v>
      </c>
    </row>
    <row r="1313">
      <c r="A1313" s="390" t="str">
        <f>IFERROR(__xludf.DUMMYFUNCTION("""COMPUTED_VALUE"""),"#SLGA - Segunda Licenciatura em Geografia - Segunda Licenciatura em Geografia - Simone Cristina Comodo - Desenvolvimento do Capital Humano - Nota Máxima: 9")</f>
        <v>#SLGA - Segunda Licenciatura em Geografia - Segunda Licenciatura em Geografia - Simone Cristina Comodo - Desenvolvimento do Capital Humano - Nota Máxima: 9</v>
      </c>
    </row>
    <row r="1314">
      <c r="A1314" s="390" t="str">
        <f>IFERROR(__xludf.DUMMYFUNCTION("""COMPUTED_VALUE"""),"#SLGA - Segunda Licenciatura em Geografia - Segunda Licenciatura em Geografia - Simone Cristina Comodo - Desenvolvimento do Capital Humano - Nota Máxima: 8")</f>
        <v>#SLGA - Segunda Licenciatura em Geografia - Segunda Licenciatura em Geografia - Simone Cristina Comodo - Desenvolvimento do Capital Humano - Nota Máxima: 8</v>
      </c>
    </row>
    <row r="1315">
      <c r="A1315" s="390" t="str">
        <f>IFERROR(__xludf.DUMMYFUNCTION("""COMPUTED_VALUE"""),"#SLGA - Segunda Licenciatura em Geografia - Segunda Licenciatura em Geografia - Simone Cristina Comodo - Educação Especial, Inclusão Escolar e Adaptações Curriculares - Nota Máxima: 9")</f>
        <v>#SLGA - Segunda Licenciatura em Geografia - Segunda Licenciatura em Geografia - Simone Cristina Comodo - Educação Especial, Inclusão Escolar e Adaptações Curriculares - Nota Máxima: 9</v>
      </c>
    </row>
    <row r="1316">
      <c r="A1316" s="390" t="str">
        <f>IFERROR(__xludf.DUMMYFUNCTION("""COMPUTED_VALUE"""),"#SLGA - Segunda Licenciatura em Geografia - Segunda Licenciatura em Geografia - Simone Cristina Comodo - Educação Especial, Inclusão Escolar e Adaptações Curriculares - Nota Máxima: 10")</f>
        <v>#SLGA - Segunda Licenciatura em Geografia - Segunda Licenciatura em Geografia - Simone Cristina Comodo - Educação Especial, Inclusão Escolar e Adaptações Curriculares - Nota Máxima: 10</v>
      </c>
    </row>
    <row r="1317">
      <c r="A1317" s="390" t="str">
        <f>IFERROR(__xludf.DUMMYFUNCTION("""COMPUTED_VALUE"""),"#SLGA - Segunda Licenciatura em Geografia - Segunda Licenciatura em Geografia - Simone Cristina Comodo - Educação, História, Cultura e Práticas Indígenas/a - Nota Máxima: 9")</f>
        <v>#SLGA - Segunda Licenciatura em Geografia - Segunda Licenciatura em Geografia - Simone Cristina Comodo - Educação, História, Cultura e Práticas Indígenas/a - Nota Máxima: 9</v>
      </c>
    </row>
    <row r="1318">
      <c r="A1318" s="390" t="str">
        <f>IFERROR(__xludf.DUMMYFUNCTION("""COMPUTED_VALUE"""),"#SLGA - Segunda Licenciatura em Geografia - Segunda Licenciatura em Geografia - Simone Cristina Comodo - Educação, História, Cultura e Práticas Indígenas/a - Nota Máxima: 7")</f>
        <v>#SLGA - Segunda Licenciatura em Geografia - Segunda Licenciatura em Geografia - Simone Cristina Comodo - Educação, História, Cultura e Práticas Indígenas/a - Nota Máxima: 7</v>
      </c>
    </row>
    <row r="1319">
      <c r="A1319" s="390" t="str">
        <f>IFERROR(__xludf.DUMMYFUNCTION("""COMPUTED_VALUE"""),"#SLGA - Segunda Licenciatura em Geografia - Segunda Licenciatura em Geografia - Simone Cristina Comodo - Estudos Populacionais - Nota Máxima: 9")</f>
        <v>#SLGA - Segunda Licenciatura em Geografia - Segunda Licenciatura em Geografia - Simone Cristina Comodo - Estudos Populacionais - Nota Máxima: 9</v>
      </c>
    </row>
    <row r="1320">
      <c r="A1320" s="390" t="str">
        <f>IFERROR(__xludf.DUMMYFUNCTION("""COMPUTED_VALUE"""),"#SLGA - Segunda Licenciatura em Geografia - Segunda Licenciatura em Geografia - Simone Cristina Comodo - Estudos Populacionais - Nota Máxima: 8")</f>
        <v>#SLGA - Segunda Licenciatura em Geografia - Segunda Licenciatura em Geografia - Simone Cristina Comodo - Estudos Populacionais - Nota Máxima: 8</v>
      </c>
    </row>
    <row r="1321">
      <c r="A1321" s="390" t="str">
        <f>IFERROR(__xludf.DUMMYFUNCTION("""COMPUTED_VALUE"""),"#SLGA - Segunda Licenciatura em Geografia - Segunda Licenciatura em Geografia - Simone Cristina Comodo - Geografia Física, Política e Urbana - Nota Máxima: 7")</f>
        <v>#SLGA - Segunda Licenciatura em Geografia - Segunda Licenciatura em Geografia - Simone Cristina Comodo - Geografia Física, Política e Urbana - Nota Máxima: 7</v>
      </c>
    </row>
    <row r="1322">
      <c r="A1322" s="390" t="str">
        <f>IFERROR(__xludf.DUMMYFUNCTION("""COMPUTED_VALUE"""),"#SLGA - Segunda Licenciatura em Geografia - Segunda Licenciatura em Geografia - Simone Cristina Comodo - Geologia - Nota Máxima: 10")</f>
        <v>#SLGA - Segunda Licenciatura em Geografia - Segunda Licenciatura em Geografia - Simone Cristina Comodo - Geologia - Nota Máxima: 10</v>
      </c>
    </row>
    <row r="1323">
      <c r="A1323" s="390" t="str">
        <f>IFERROR(__xludf.DUMMYFUNCTION("""COMPUTED_VALUE"""),"#SLGA - Segunda Licenciatura em Geografia - Segunda Licenciatura em Geografia - Simone Cristina Comodo - Geomorfologia - Nota Máxima: 10")</f>
        <v>#SLGA - Segunda Licenciatura em Geografia - Segunda Licenciatura em Geografia - Simone Cristina Comodo - Geomorfologia - Nota Máxima: 10</v>
      </c>
    </row>
    <row r="1324">
      <c r="A1324" s="390" t="str">
        <f>IFERROR(__xludf.DUMMYFUNCTION("""COMPUTED_VALUE"""),"#SLGA - Segunda Licenciatura em Geografia - Segunda Licenciatura em Geografia - Simone Cristina Comodo - Legislação Educacional/a - Nota Máxima: 9")</f>
        <v>#SLGA - Segunda Licenciatura em Geografia - Segunda Licenciatura em Geografia - Simone Cristina Comodo - Legislação Educacional/a - Nota Máxima: 9</v>
      </c>
    </row>
    <row r="1325">
      <c r="A1325" s="390" t="str">
        <f>IFERROR(__xludf.DUMMYFUNCTION("""COMPUTED_VALUE"""),"#SLGA - Segunda Licenciatura em Geografia - Segunda Licenciatura em Geografia - Simone Cristina Comodo - Planejamento, Gestão Educacional e Currículo/a - Nota Máxima: 9")</f>
        <v>#SLGA - Segunda Licenciatura em Geografia - Segunda Licenciatura em Geografia - Simone Cristina Comodo - Planejamento, Gestão Educacional e Currículo/a - Nota Máxima: 9</v>
      </c>
    </row>
    <row r="1326">
      <c r="A1326" s="390" t="str">
        <f>IFERROR(__xludf.DUMMYFUNCTION("""COMPUTED_VALUE"""),"#SLGA - Segunda Licenciatura em Geografia - Segunda Licenciatura em Geografia - Simone Cristina Comodo - Práticas Pedagógicas - 400 Horas - Nota Máxima: 45784")</f>
        <v>#SLGA - Segunda Licenciatura em Geografia - Segunda Licenciatura em Geografia - Simone Cristina Comodo - Práticas Pedagógicas - 400 Horas - Nota Máxima: 45784</v>
      </c>
    </row>
    <row r="1327">
      <c r="A1327" s="390" t="str">
        <f>IFERROR(__xludf.DUMMYFUNCTION("""COMPUTED_VALUE"""),"#SLGA - Segunda Licenciatura em Geografia - Segunda Licenciatura em Geografia - Simone Cristina Comodo - Psicologia da Educação/a - Nota Máxima: 10")</f>
        <v>#SLGA - Segunda Licenciatura em Geografia - Segunda Licenciatura em Geografia - Simone Cristina Comodo - Psicologia da Educação/a - Nota Máxima: 10</v>
      </c>
    </row>
    <row r="1328">
      <c r="A1328" s="390" t="str">
        <f>IFERROR(__xludf.DUMMYFUNCTION("""COMPUTED_VALUE"""),"#SLGA - Segunda Licenciatura em Geografia - Segunda Licenciatura em Geografia - Isabel Cristina Nunes Lacau Conte - A cognição Humana - Nota Máxima: 9")</f>
        <v>#SLGA - Segunda Licenciatura em Geografia - Segunda Licenciatura em Geografia - Isabel Cristina Nunes Lacau Conte - A cognição Humana - Nota Máxima: 9</v>
      </c>
    </row>
    <row r="1329">
      <c r="A1329" s="390" t="str">
        <f>IFERROR(__xludf.DUMMYFUNCTION("""COMPUTED_VALUE"""),"#SLGA - Segunda Licenciatura em Geografia - Segunda Licenciatura em Geografia - Isabel Cristina Nunes Lacau Conte - Biogeografia - Nota Máxima: 10")</f>
        <v>#SLGA - Segunda Licenciatura em Geografia - Segunda Licenciatura em Geografia - Isabel Cristina Nunes Lacau Conte - Biogeografia - Nota Máxima: 10</v>
      </c>
    </row>
    <row r="1330">
      <c r="A1330" s="390" t="str">
        <f>IFERROR(__xludf.DUMMYFUNCTION("""COMPUTED_VALUE"""),"#SLGA - Segunda Licenciatura em Geografia - Segunda Licenciatura em Geografia - Isabel Cristina Nunes Lacau Conte - Biogeografia - Nota Máxima: 9")</f>
        <v>#SLGA - Segunda Licenciatura em Geografia - Segunda Licenciatura em Geografia - Isabel Cristina Nunes Lacau Conte - Biogeografia - Nota Máxima: 9</v>
      </c>
    </row>
    <row r="1331">
      <c r="A1331" s="390" t="str">
        <f>IFERROR(__xludf.DUMMYFUNCTION("""COMPUTED_VALUE"""),"#SLGA - Segunda Licenciatura em Geografia - Segunda Licenciatura em Geografia - Isabel Cristina Nunes Lacau Conte - Cartografia - Nota Máxima: 10")</f>
        <v>#SLGA - Segunda Licenciatura em Geografia - Segunda Licenciatura em Geografia - Isabel Cristina Nunes Lacau Conte - Cartografia - Nota Máxima: 10</v>
      </c>
    </row>
    <row r="1332">
      <c r="A1332" s="390" t="str">
        <f>IFERROR(__xludf.DUMMYFUNCTION("""COMPUTED_VALUE"""),"#SLGA - Segunda Licenciatura em Geografia - Segunda Licenciatura em Geografia - Isabel Cristina Nunes Lacau Conte - Cartografia - Nota Máxima: 10")</f>
        <v>#SLGA - Segunda Licenciatura em Geografia - Segunda Licenciatura em Geografia - Isabel Cristina Nunes Lacau Conte - Cartografia - Nota Máxima: 10</v>
      </c>
    </row>
    <row r="1333">
      <c r="A1333" s="390" t="str">
        <f>IFERROR(__xludf.DUMMYFUNCTION("""COMPUTED_VALUE"""),"#SLGA - Segunda Licenciatura em Geografia - Segunda Licenciatura em Geografia - Isabel Cristina Nunes Lacau Conte - Deficiência Auditiva e Libras/a - Nota Máxima: 9")</f>
        <v>#SLGA - Segunda Licenciatura em Geografia - Segunda Licenciatura em Geografia - Isabel Cristina Nunes Lacau Conte - Deficiência Auditiva e Libras/a - Nota Máxima: 9</v>
      </c>
    </row>
    <row r="1334">
      <c r="A1334" s="390" t="str">
        <f>IFERROR(__xludf.DUMMYFUNCTION("""COMPUTED_VALUE"""),"#SLGA - Segunda Licenciatura em Geografia - Segunda Licenciatura em Geografia - Isabel Cristina Nunes Lacau Conte - Deficiência Auditiva e Libras/a - Nota Máxima: 9")</f>
        <v>#SLGA - Segunda Licenciatura em Geografia - Segunda Licenciatura em Geografia - Isabel Cristina Nunes Lacau Conte - Deficiência Auditiva e Libras/a - Nota Máxima: 9</v>
      </c>
    </row>
    <row r="1335">
      <c r="A1335" s="390" t="str">
        <f>IFERROR(__xludf.DUMMYFUNCTION("""COMPUTED_VALUE"""),"#SLGA - Segunda Licenciatura em Geografia - Segunda Licenciatura em Geografia - Isabel Cristina Nunes Lacau Conte - Desenvolvimento do Capital Humano - Nota Máxima: 9")</f>
        <v>#SLGA - Segunda Licenciatura em Geografia - Segunda Licenciatura em Geografia - Isabel Cristina Nunes Lacau Conte - Desenvolvimento do Capital Humano - Nota Máxima: 9</v>
      </c>
    </row>
    <row r="1336">
      <c r="A1336" s="390" t="str">
        <f>IFERROR(__xludf.DUMMYFUNCTION("""COMPUTED_VALUE"""),"#SLGA - Segunda Licenciatura em Geografia - Segunda Licenciatura em Geografia - Isabel Cristina Nunes Lacau Conte - Educação Especial, Inclusão Escolar e Adaptações Curriculares - Nota Máxima: 9")</f>
        <v>#SLGA - Segunda Licenciatura em Geografia - Segunda Licenciatura em Geografia - Isabel Cristina Nunes Lacau Conte - Educação Especial, Inclusão Escolar e Adaptações Curriculares - Nota Máxima: 9</v>
      </c>
    </row>
    <row r="1337">
      <c r="A1337" s="390" t="str">
        <f>IFERROR(__xludf.DUMMYFUNCTION("""COMPUTED_VALUE"""),"#SLGA - Segunda Licenciatura em Geografia - Segunda Licenciatura em Geografia - Isabel Cristina Nunes Lacau Conte - Educação, História, Cultura e Práticas Indígenas/a - Nota Máxima: 10")</f>
        <v>#SLGA - Segunda Licenciatura em Geografia - Segunda Licenciatura em Geografia - Isabel Cristina Nunes Lacau Conte - Educação, História, Cultura e Práticas Indígenas/a - Nota Máxima: 10</v>
      </c>
    </row>
    <row r="1338">
      <c r="A1338" s="390" t="str">
        <f>IFERROR(__xludf.DUMMYFUNCTION("""COMPUTED_VALUE"""),"#SLGA - Segunda Licenciatura em Geografia - Segunda Licenciatura em Geografia - Isabel Cristina Nunes Lacau Conte - Estudos Populacionais - Nota Máxima: 9")</f>
        <v>#SLGA - Segunda Licenciatura em Geografia - Segunda Licenciatura em Geografia - Isabel Cristina Nunes Lacau Conte - Estudos Populacionais - Nota Máxima: 9</v>
      </c>
    </row>
    <row r="1339">
      <c r="A1339" s="390" t="str">
        <f>IFERROR(__xludf.DUMMYFUNCTION("""COMPUTED_VALUE"""),"#SLGA - Segunda Licenciatura em Geografia - Segunda Licenciatura em Geografia - Isabel Cristina Nunes Lacau Conte - Geografia Física, Política e Urbana - Nota Máxima: 10")</f>
        <v>#SLGA - Segunda Licenciatura em Geografia - Segunda Licenciatura em Geografia - Isabel Cristina Nunes Lacau Conte - Geografia Física, Política e Urbana - Nota Máxima: 10</v>
      </c>
    </row>
    <row r="1340">
      <c r="A1340" s="390" t="str">
        <f>IFERROR(__xludf.DUMMYFUNCTION("""COMPUTED_VALUE"""),"#SLGA - Segunda Licenciatura em Geografia - Segunda Licenciatura em Geografia - Isabel Cristina Nunes Lacau Conte - Geologia - Nota Máxima: 9")</f>
        <v>#SLGA - Segunda Licenciatura em Geografia - Segunda Licenciatura em Geografia - Isabel Cristina Nunes Lacau Conte - Geologia - Nota Máxima: 9</v>
      </c>
    </row>
    <row r="1341">
      <c r="A1341" s="390" t="str">
        <f>IFERROR(__xludf.DUMMYFUNCTION("""COMPUTED_VALUE"""),"#SLGA - Segunda Licenciatura em Geografia - Segunda Licenciatura em Geografia - Isabel Cristina Nunes Lacau Conte - Geomorfologia - Nota Máxima: 8")</f>
        <v>#SLGA - Segunda Licenciatura em Geografia - Segunda Licenciatura em Geografia - Isabel Cristina Nunes Lacau Conte - Geomorfologia - Nota Máxima: 8</v>
      </c>
    </row>
    <row r="1342">
      <c r="A1342" s="390" t="str">
        <f>IFERROR(__xludf.DUMMYFUNCTION("""COMPUTED_VALUE"""),"#SLGA - Segunda Licenciatura em Geografia - Segunda Licenciatura em Geografia - Isabel Cristina Nunes Lacau Conte - Legislação Educacional/a - Nota Máxima: 9")</f>
        <v>#SLGA - Segunda Licenciatura em Geografia - Segunda Licenciatura em Geografia - Isabel Cristina Nunes Lacau Conte - Legislação Educacional/a - Nota Máxima: 9</v>
      </c>
    </row>
    <row r="1343">
      <c r="A1343" s="390" t="str">
        <f>IFERROR(__xludf.DUMMYFUNCTION("""COMPUTED_VALUE"""),"#SLGA - Segunda Licenciatura em Geografia - Segunda Licenciatura em Geografia - Isabel Cristina Nunes Lacau Conte - Planejamento, Gestão Educacional e Currículo/a - Nota Máxima: 9")</f>
        <v>#SLGA - Segunda Licenciatura em Geografia - Segunda Licenciatura em Geografia - Isabel Cristina Nunes Lacau Conte - Planejamento, Gestão Educacional e Currículo/a - Nota Máxima: 9</v>
      </c>
    </row>
    <row r="1344">
      <c r="A1344" s="390" t="str">
        <f>IFERROR(__xludf.DUMMYFUNCTION("""COMPUTED_VALUE"""),"#SLGA - Segunda Licenciatura em Geografia - Segunda Licenciatura em Geografia - Isabel Cristina Nunes Lacau Conte - Práticas Pedagógicas - 400 Horas - Nota Máxima: 45784")</f>
        <v>#SLGA - Segunda Licenciatura em Geografia - Segunda Licenciatura em Geografia - Isabel Cristina Nunes Lacau Conte - Práticas Pedagógicas - 400 Horas - Nota Máxima: 45784</v>
      </c>
    </row>
    <row r="1345">
      <c r="A1345" s="390" t="str">
        <f>IFERROR(__xludf.DUMMYFUNCTION("""COMPUTED_VALUE"""),"#SLGA - Segunda Licenciatura em Geografia - Segunda Licenciatura em Geografia - Isabel Cristina Nunes Lacau Conte - Psicologia da Educação/a - Nota Máxima: 8")</f>
        <v>#SLGA - Segunda Licenciatura em Geografia - Segunda Licenciatura em Geografia - Isabel Cristina Nunes Lacau Conte - Psicologia da Educação/a - Nota Máxima: 8</v>
      </c>
    </row>
    <row r="1346">
      <c r="A1346" s="390" t="str">
        <f>IFERROR(__xludf.DUMMYFUNCTION("""COMPUTED_VALUE"""),"#SLGA - Segunda Licenciatura em Geografia - Segunda Licenciatura em Geografia - Zezenaelda batista dos santos - A cognição Humana - Nota Máxima: 7")</f>
        <v>#SLGA - Segunda Licenciatura em Geografia - Segunda Licenciatura em Geografia - Zezenaelda batista dos santos - A cognição Humana - Nota Máxima: 7</v>
      </c>
    </row>
    <row r="1347">
      <c r="A1347" s="390" t="str">
        <f>IFERROR(__xludf.DUMMYFUNCTION("""COMPUTED_VALUE"""),"#SLGA - Segunda Licenciatura em Geografia - Segunda Licenciatura em Geografia - Zezenaelda batista dos santos - A cognição Humana - Nota Máxima: 10")</f>
        <v>#SLGA - Segunda Licenciatura em Geografia - Segunda Licenciatura em Geografia - Zezenaelda batista dos santos - A cognição Humana - Nota Máxima: 10</v>
      </c>
    </row>
    <row r="1348">
      <c r="A1348" s="390" t="str">
        <f>IFERROR(__xludf.DUMMYFUNCTION("""COMPUTED_VALUE"""),"#SLGA - Segunda Licenciatura em Geografia - Segunda Licenciatura em Geografia - Zezenaelda batista dos santos - Biogeografia - Nota Máxima: 9")</f>
        <v>#SLGA - Segunda Licenciatura em Geografia - Segunda Licenciatura em Geografia - Zezenaelda batista dos santos - Biogeografia - Nota Máxima: 9</v>
      </c>
    </row>
    <row r="1349">
      <c r="A1349" s="390" t="str">
        <f>IFERROR(__xludf.DUMMYFUNCTION("""COMPUTED_VALUE"""),"#SLGA - Segunda Licenciatura em Geografia - Segunda Licenciatura em Geografia - Zezenaelda batista dos santos - Biogeografia - Nota Máxima: 10")</f>
        <v>#SLGA - Segunda Licenciatura em Geografia - Segunda Licenciatura em Geografia - Zezenaelda batista dos santos - Biogeografia - Nota Máxima: 10</v>
      </c>
    </row>
    <row r="1350">
      <c r="A1350" s="390" t="str">
        <f>IFERROR(__xludf.DUMMYFUNCTION("""COMPUTED_VALUE"""),"#SLGA - Segunda Licenciatura em Geografia - Segunda Licenciatura em Geografia - Zezenaelda batista dos santos - Cartografia - Nota Máxima: 9")</f>
        <v>#SLGA - Segunda Licenciatura em Geografia - Segunda Licenciatura em Geografia - Zezenaelda batista dos santos - Cartografia - Nota Máxima: 9</v>
      </c>
    </row>
    <row r="1351">
      <c r="A1351" s="390" t="str">
        <f>IFERROR(__xludf.DUMMYFUNCTION("""COMPUTED_VALUE"""),"#SLGA - Segunda Licenciatura em Geografia - Segunda Licenciatura em Geografia - Zezenaelda batista dos santos - Cartografia - Nota Máxima: 10")</f>
        <v>#SLGA - Segunda Licenciatura em Geografia - Segunda Licenciatura em Geografia - Zezenaelda batista dos santos - Cartografia - Nota Máxima: 10</v>
      </c>
    </row>
    <row r="1352">
      <c r="A1352" s="390" t="str">
        <f>IFERROR(__xludf.DUMMYFUNCTION("""COMPUTED_VALUE"""),"#SLGA - Segunda Licenciatura em Geografia - Segunda Licenciatura em Geografia - Zezenaelda batista dos santos - Deficiência Auditiva e Libras/a - Nota Máxima: 8")</f>
        <v>#SLGA - Segunda Licenciatura em Geografia - Segunda Licenciatura em Geografia - Zezenaelda batista dos santos - Deficiência Auditiva e Libras/a - Nota Máxima: 8</v>
      </c>
    </row>
    <row r="1353">
      <c r="A1353" s="390" t="str">
        <f>IFERROR(__xludf.DUMMYFUNCTION("""COMPUTED_VALUE"""),"#SLGA - Segunda Licenciatura em Geografia - Segunda Licenciatura em Geografia - Zezenaelda batista dos santos - Deficiência Auditiva e Libras/a - Nota Máxima: 10")</f>
        <v>#SLGA - Segunda Licenciatura em Geografia - Segunda Licenciatura em Geografia - Zezenaelda batista dos santos - Deficiência Auditiva e Libras/a - Nota Máxima: 10</v>
      </c>
    </row>
    <row r="1354">
      <c r="A1354" s="390" t="str">
        <f>IFERROR(__xludf.DUMMYFUNCTION("""COMPUTED_VALUE"""),"#SLGA - Segunda Licenciatura em Geografia - Segunda Licenciatura em Geografia - Zezenaelda batista dos santos - Desenvolvimento do Capital Humano - Nota Máxima: 8")</f>
        <v>#SLGA - Segunda Licenciatura em Geografia - Segunda Licenciatura em Geografia - Zezenaelda batista dos santos - Desenvolvimento do Capital Humano - Nota Máxima: 8</v>
      </c>
    </row>
    <row r="1355">
      <c r="A1355" s="390" t="str">
        <f>IFERROR(__xludf.DUMMYFUNCTION("""COMPUTED_VALUE"""),"#SLGA - Segunda Licenciatura em Geografia - Segunda Licenciatura em Geografia - Zezenaelda batista dos santos - Desenvolvimento do Capital Humano - Nota Máxima: 10")</f>
        <v>#SLGA - Segunda Licenciatura em Geografia - Segunda Licenciatura em Geografia - Zezenaelda batista dos santos - Desenvolvimento do Capital Humano - Nota Máxima: 10</v>
      </c>
    </row>
    <row r="1356">
      <c r="A1356" s="390" t="str">
        <f>IFERROR(__xludf.DUMMYFUNCTION("""COMPUTED_VALUE"""),"#SLGA - Segunda Licenciatura em Geografia - Segunda Licenciatura em Geografia - Zezenaelda batista dos santos - Educação Especial, Inclusão Escolar e Adaptações Curriculares - Nota Máxima: 9")</f>
        <v>#SLGA - Segunda Licenciatura em Geografia - Segunda Licenciatura em Geografia - Zezenaelda batista dos santos - Educação Especial, Inclusão Escolar e Adaptações Curriculares - Nota Máxima: 9</v>
      </c>
    </row>
    <row r="1357">
      <c r="A1357" s="390" t="str">
        <f>IFERROR(__xludf.DUMMYFUNCTION("""COMPUTED_VALUE"""),"#SLGA - Segunda Licenciatura em Geografia - Segunda Licenciatura em Geografia - Zezenaelda batista dos santos - Educação Especial, Inclusão Escolar e Adaptações Curriculares - Nota Máxima: 10")</f>
        <v>#SLGA - Segunda Licenciatura em Geografia - Segunda Licenciatura em Geografia - Zezenaelda batista dos santos - Educação Especial, Inclusão Escolar e Adaptações Curriculares - Nota Máxima: 10</v>
      </c>
    </row>
    <row r="1358">
      <c r="A1358" s="390" t="str">
        <f>IFERROR(__xludf.DUMMYFUNCTION("""COMPUTED_VALUE"""),"#SLGA - Segunda Licenciatura em Geografia - Segunda Licenciatura em Geografia - Zezenaelda batista dos santos - Educação, História, Cultura e Práticas Indígenas/a - Nota Máxima: 8")</f>
        <v>#SLGA - Segunda Licenciatura em Geografia - Segunda Licenciatura em Geografia - Zezenaelda batista dos santos - Educação, História, Cultura e Práticas Indígenas/a - Nota Máxima: 8</v>
      </c>
    </row>
    <row r="1359">
      <c r="A1359" s="390" t="str">
        <f>IFERROR(__xludf.DUMMYFUNCTION("""COMPUTED_VALUE"""),"#SLGA - Segunda Licenciatura em Geografia - Segunda Licenciatura em Geografia - Zezenaelda batista dos santos - Educação, História, Cultura e Práticas Indígenas/a - Nota Máxima: 9")</f>
        <v>#SLGA - Segunda Licenciatura em Geografia - Segunda Licenciatura em Geografia - Zezenaelda batista dos santos - Educação, História, Cultura e Práticas Indígenas/a - Nota Máxima: 9</v>
      </c>
    </row>
    <row r="1360">
      <c r="A1360" s="390" t="str">
        <f>IFERROR(__xludf.DUMMYFUNCTION("""COMPUTED_VALUE"""),"#SLGA - Segunda Licenciatura em Geografia - Segunda Licenciatura em Geografia - Zezenaelda batista dos santos - Estudos Populacionais - Nota Máxima: 8")</f>
        <v>#SLGA - Segunda Licenciatura em Geografia - Segunda Licenciatura em Geografia - Zezenaelda batista dos santos - Estudos Populacionais - Nota Máxima: 8</v>
      </c>
    </row>
    <row r="1361">
      <c r="A1361" s="390" t="str">
        <f>IFERROR(__xludf.DUMMYFUNCTION("""COMPUTED_VALUE"""),"#SLGA - Segunda Licenciatura em Geografia - Segunda Licenciatura em Geografia - Zezenaelda batista dos santos - Estudos Populacionais - Nota Máxima: 10")</f>
        <v>#SLGA - Segunda Licenciatura em Geografia - Segunda Licenciatura em Geografia - Zezenaelda batista dos santos - Estudos Populacionais - Nota Máxima: 10</v>
      </c>
    </row>
    <row r="1362">
      <c r="A1362" s="390" t="str">
        <f>IFERROR(__xludf.DUMMYFUNCTION("""COMPUTED_VALUE"""),"#SLGA - Segunda Licenciatura em Geografia - Segunda Licenciatura em Geografia - Zezenaelda batista dos santos - Geografia Física, Política e Urbana - Nota Máxima: 9")</f>
        <v>#SLGA - Segunda Licenciatura em Geografia - Segunda Licenciatura em Geografia - Zezenaelda batista dos santos - Geografia Física, Política e Urbana - Nota Máxima: 9</v>
      </c>
    </row>
    <row r="1363">
      <c r="A1363" s="390" t="str">
        <f>IFERROR(__xludf.DUMMYFUNCTION("""COMPUTED_VALUE"""),"#SLGA - Segunda Licenciatura em Geografia - Segunda Licenciatura em Geografia - Zezenaelda batista dos santos - Geografia Física, Política e Urbana - Nota Máxima: 10")</f>
        <v>#SLGA - Segunda Licenciatura em Geografia - Segunda Licenciatura em Geografia - Zezenaelda batista dos santos - Geografia Física, Política e Urbana - Nota Máxima: 10</v>
      </c>
    </row>
    <row r="1364">
      <c r="A1364" s="390" t="str">
        <f>IFERROR(__xludf.DUMMYFUNCTION("""COMPUTED_VALUE"""),"#SLGA - Segunda Licenciatura em Geografia - Segunda Licenciatura em Geografia - Zezenaelda batista dos santos - Geologia - Nota Máxima: 9")</f>
        <v>#SLGA - Segunda Licenciatura em Geografia - Segunda Licenciatura em Geografia - Zezenaelda batista dos santos - Geologia - Nota Máxima: 9</v>
      </c>
    </row>
    <row r="1365">
      <c r="A1365" s="390" t="str">
        <f>IFERROR(__xludf.DUMMYFUNCTION("""COMPUTED_VALUE"""),"#SLGA - Segunda Licenciatura em Geografia - Segunda Licenciatura em Geografia - Zezenaelda batista dos santos - Geologia - Nota Máxima: 10")</f>
        <v>#SLGA - Segunda Licenciatura em Geografia - Segunda Licenciatura em Geografia - Zezenaelda batista dos santos - Geologia - Nota Máxima: 10</v>
      </c>
    </row>
    <row r="1366">
      <c r="A1366" s="390" t="str">
        <f>IFERROR(__xludf.DUMMYFUNCTION("""COMPUTED_VALUE"""),"#SLGA - Segunda Licenciatura em Geografia - Segunda Licenciatura em Geografia - Zezenaelda batista dos santos - Geomorfologia - Nota Máxima: 9")</f>
        <v>#SLGA - Segunda Licenciatura em Geografia - Segunda Licenciatura em Geografia - Zezenaelda batista dos santos - Geomorfologia - Nota Máxima: 9</v>
      </c>
    </row>
    <row r="1367">
      <c r="A1367" s="390" t="str">
        <f>IFERROR(__xludf.DUMMYFUNCTION("""COMPUTED_VALUE"""),"#SLGA - Segunda Licenciatura em Geografia - Segunda Licenciatura em Geografia - Zezenaelda batista dos santos - Geomorfologia - Nota Máxima: 10")</f>
        <v>#SLGA - Segunda Licenciatura em Geografia - Segunda Licenciatura em Geografia - Zezenaelda batista dos santos - Geomorfologia - Nota Máxima: 10</v>
      </c>
    </row>
    <row r="1368">
      <c r="A1368" s="390" t="str">
        <f>IFERROR(__xludf.DUMMYFUNCTION("""COMPUTED_VALUE"""),"#SLGA - Segunda Licenciatura em Geografia - Segunda Licenciatura em Geografia - Zezenaelda batista dos santos - Legislação Educacional/a - Nota Máxima: 8")</f>
        <v>#SLGA - Segunda Licenciatura em Geografia - Segunda Licenciatura em Geografia - Zezenaelda batista dos santos - Legislação Educacional/a - Nota Máxima: 8</v>
      </c>
    </row>
    <row r="1369">
      <c r="A1369" s="390" t="str">
        <f>IFERROR(__xludf.DUMMYFUNCTION("""COMPUTED_VALUE"""),"#SLGA - Segunda Licenciatura em Geografia - Segunda Licenciatura em Geografia - Zezenaelda batista dos santos - Legislação Educacional/a - Nota Máxima: 10")</f>
        <v>#SLGA - Segunda Licenciatura em Geografia - Segunda Licenciatura em Geografia - Zezenaelda batista dos santos - Legislação Educacional/a - Nota Máxima: 10</v>
      </c>
    </row>
    <row r="1370">
      <c r="A1370" s="390" t="str">
        <f>IFERROR(__xludf.DUMMYFUNCTION("""COMPUTED_VALUE"""),"#SLGA - Segunda Licenciatura em Geografia - Segunda Licenciatura em Geografia - Zezenaelda batista dos santos - Planejamento, Gestão Educacional e Currículo/a - Nota Máxima: 7")</f>
        <v>#SLGA - Segunda Licenciatura em Geografia - Segunda Licenciatura em Geografia - Zezenaelda batista dos santos - Planejamento, Gestão Educacional e Currículo/a - Nota Máxima: 7</v>
      </c>
    </row>
    <row r="1371">
      <c r="A1371" s="390" t="str">
        <f>IFERROR(__xludf.DUMMYFUNCTION("""COMPUTED_VALUE"""),"#SLGA - Segunda Licenciatura em Geografia - Segunda Licenciatura em Geografia - Zezenaelda batista dos santos - Planejamento, Gestão Educacional e Currículo/a - Nota Máxima: 10")</f>
        <v>#SLGA - Segunda Licenciatura em Geografia - Segunda Licenciatura em Geografia - Zezenaelda batista dos santos - Planejamento, Gestão Educacional e Currículo/a - Nota Máxima: 10</v>
      </c>
    </row>
    <row r="1372">
      <c r="A1372" s="390" t="str">
        <f>IFERROR(__xludf.DUMMYFUNCTION("""COMPUTED_VALUE"""),"#SLGA - Segunda Licenciatura em Geografia - Segunda Licenciatura em Geografia - Zezenaelda batista dos santos - Práticas Pedagógicas - 400 Horas - Nota Máxima: 4")</f>
        <v>#SLGA - Segunda Licenciatura em Geografia - Segunda Licenciatura em Geografia - Zezenaelda batista dos santos - Práticas Pedagógicas - 400 Horas - Nota Máxima: 4</v>
      </c>
    </row>
    <row r="1373">
      <c r="A1373" s="390" t="str">
        <f>IFERROR(__xludf.DUMMYFUNCTION("""COMPUTED_VALUE"""),"#SLGA - Segunda Licenciatura em Geografia - Segunda Licenciatura em Geografia - Zezenaelda batista dos santos - Práticas Pedagógicas - 400 Horas - Nota Máxima: 10")</f>
        <v>#SLGA - Segunda Licenciatura em Geografia - Segunda Licenciatura em Geografia - Zezenaelda batista dos santos - Práticas Pedagógicas - 400 Horas - Nota Máxima: 10</v>
      </c>
    </row>
    <row r="1374">
      <c r="A1374" s="390" t="str">
        <f>IFERROR(__xludf.DUMMYFUNCTION("""COMPUTED_VALUE"""),"#SLGA - Segunda Licenciatura em Geografia - Segunda Licenciatura em Geografia - Zezenaelda batista dos santos - Psicologia da Educação/a - Nota Máxima: 7")</f>
        <v>#SLGA - Segunda Licenciatura em Geografia - Segunda Licenciatura em Geografia - Zezenaelda batista dos santos - Psicologia da Educação/a - Nota Máxima: 7</v>
      </c>
    </row>
    <row r="1375">
      <c r="A1375" s="390" t="str">
        <f>IFERROR(__xludf.DUMMYFUNCTION("""COMPUTED_VALUE"""),"#SLGA - Segunda Licenciatura em Geografia - Segunda Licenciatura em Geografia - Zezenaelda batista dos santos - Psicologia da Educação/a - Nota Máxima: 10")</f>
        <v>#SLGA - Segunda Licenciatura em Geografia - Segunda Licenciatura em Geografia - Zezenaelda batista dos santos - Psicologia da Educação/a - Nota Máxima: 10</v>
      </c>
    </row>
    <row r="1376">
      <c r="A1376" s="390" t="str">
        <f>IFERROR(__xludf.DUMMYFUNCTION("""COMPUTED_VALUE"""),"#SLGA - Segunda Licenciatura em Geografia - Segunda Licenciatura em Geografia - Elisangela Maria da Silva - A cognição Humana - Nota Máxima: 10")</f>
        <v>#SLGA - Segunda Licenciatura em Geografia - Segunda Licenciatura em Geografia - Elisangela Maria da Silva - A cognição Humana - Nota Máxima: 10</v>
      </c>
    </row>
    <row r="1377">
      <c r="A1377" s="390" t="str">
        <f>IFERROR(__xludf.DUMMYFUNCTION("""COMPUTED_VALUE"""),"#SLGA - Segunda Licenciatura em Geografia - Segunda Licenciatura em Geografia - Elisangela Maria da Silva - Biogeografia - Nota Máxima: 10")</f>
        <v>#SLGA - Segunda Licenciatura em Geografia - Segunda Licenciatura em Geografia - Elisangela Maria da Silva - Biogeografia - Nota Máxima: 10</v>
      </c>
    </row>
    <row r="1378">
      <c r="A1378" s="390" t="str">
        <f>IFERROR(__xludf.DUMMYFUNCTION("""COMPUTED_VALUE"""),"#SLGA - Segunda Licenciatura em Geografia - Segunda Licenciatura em Geografia - Elisangela Maria da Silva - Biogeografia - Nota Máxima: 9")</f>
        <v>#SLGA - Segunda Licenciatura em Geografia - Segunda Licenciatura em Geografia - Elisangela Maria da Silva - Biogeografia - Nota Máxima: 9</v>
      </c>
    </row>
    <row r="1379">
      <c r="A1379" s="390" t="str">
        <f>IFERROR(__xludf.DUMMYFUNCTION("""COMPUTED_VALUE"""),"#SLGA - Segunda Licenciatura em Geografia - Segunda Licenciatura em Geografia - Elisangela Maria da Silva - Cartografia - Nota Máxima: 10")</f>
        <v>#SLGA - Segunda Licenciatura em Geografia - Segunda Licenciatura em Geografia - Elisangela Maria da Silva - Cartografia - Nota Máxima: 10</v>
      </c>
    </row>
    <row r="1380">
      <c r="A1380" s="390" t="str">
        <f>IFERROR(__xludf.DUMMYFUNCTION("""COMPUTED_VALUE"""),"#SLGA - Segunda Licenciatura em Geografia - Segunda Licenciatura em Geografia - Elisangela Maria da Silva - Deficiência Auditiva e Libras/a - Nota Máxima: 10")</f>
        <v>#SLGA - Segunda Licenciatura em Geografia - Segunda Licenciatura em Geografia - Elisangela Maria da Silva - Deficiência Auditiva e Libras/a - Nota Máxima: 10</v>
      </c>
    </row>
    <row r="1381">
      <c r="A1381" s="390" t="str">
        <f>IFERROR(__xludf.DUMMYFUNCTION("""COMPUTED_VALUE"""),"#SLGA - Segunda Licenciatura em Geografia - Segunda Licenciatura em Geografia - Elisangela Maria da Silva - Desenvolvimento do Capital Humano - Nota Máxima: 10")</f>
        <v>#SLGA - Segunda Licenciatura em Geografia - Segunda Licenciatura em Geografia - Elisangela Maria da Silva - Desenvolvimento do Capital Humano - Nota Máxima: 10</v>
      </c>
    </row>
    <row r="1382">
      <c r="A1382" s="390" t="str">
        <f>IFERROR(__xludf.DUMMYFUNCTION("""COMPUTED_VALUE"""),"#SLGA - Segunda Licenciatura em Geografia - Segunda Licenciatura em Geografia - Elisangela Maria da Silva - Desenvolvimento do Capital Humano - Nota Máxima: 7")</f>
        <v>#SLGA - Segunda Licenciatura em Geografia - Segunda Licenciatura em Geografia - Elisangela Maria da Silva - Desenvolvimento do Capital Humano - Nota Máxima: 7</v>
      </c>
    </row>
    <row r="1383">
      <c r="A1383" s="390" t="str">
        <f>IFERROR(__xludf.DUMMYFUNCTION("""COMPUTED_VALUE"""),"#SLGA - Segunda Licenciatura em Geografia - Segunda Licenciatura em Geografia - Elisangela Maria da Silva - Educação, História, Cultura e Práticas Indígenas/a - Nota Máxima: 10")</f>
        <v>#SLGA - Segunda Licenciatura em Geografia - Segunda Licenciatura em Geografia - Elisangela Maria da Silva - Educação, História, Cultura e Práticas Indígenas/a - Nota Máxima: 10</v>
      </c>
    </row>
    <row r="1384">
      <c r="A1384" s="390" t="str">
        <f>IFERROR(__xludf.DUMMYFUNCTION("""COMPUTED_VALUE"""),"#SLGA - Segunda Licenciatura em Geografia - Segunda Licenciatura em Geografia - Elisangela Maria da Silva - Educação, História, Cultura e Práticas Indígenas/a - Nota Máxima: 8")</f>
        <v>#SLGA - Segunda Licenciatura em Geografia - Segunda Licenciatura em Geografia - Elisangela Maria da Silva - Educação, História, Cultura e Práticas Indígenas/a - Nota Máxima: 8</v>
      </c>
    </row>
    <row r="1385">
      <c r="A1385" s="390" t="str">
        <f>IFERROR(__xludf.DUMMYFUNCTION("""COMPUTED_VALUE"""),"#SLGA - Segunda Licenciatura em Geografia - Segunda Licenciatura em Geografia - Elisangela Maria da Silva - Estudos Populacionais - Nota Máxima: 10")</f>
        <v>#SLGA - Segunda Licenciatura em Geografia - Segunda Licenciatura em Geografia - Elisangela Maria da Silva - Estudos Populacionais - Nota Máxima: 10</v>
      </c>
    </row>
    <row r="1386">
      <c r="A1386" s="390" t="str">
        <f>IFERROR(__xludf.DUMMYFUNCTION("""COMPUTED_VALUE"""),"#SLGA - Segunda Licenciatura em Geografia - Segunda Licenciatura em Geografia - Elisangela Maria da Silva - Estudos Populacionais - Nota Máxima: 7")</f>
        <v>#SLGA - Segunda Licenciatura em Geografia - Segunda Licenciatura em Geografia - Elisangela Maria da Silva - Estudos Populacionais - Nota Máxima: 7</v>
      </c>
    </row>
    <row r="1387">
      <c r="A1387" s="390" t="str">
        <f>IFERROR(__xludf.DUMMYFUNCTION("""COMPUTED_VALUE"""),"#SLGA - Segunda Licenciatura em Geografia - Segunda Licenciatura em Geografia - Elisangela Maria da Silva - Geografia Física, Política e Urbana - Nota Máxima: 10")</f>
        <v>#SLGA - Segunda Licenciatura em Geografia - Segunda Licenciatura em Geografia - Elisangela Maria da Silva - Geografia Física, Política e Urbana - Nota Máxima: 10</v>
      </c>
    </row>
    <row r="1388">
      <c r="A1388" s="390" t="str">
        <f>IFERROR(__xludf.DUMMYFUNCTION("""COMPUTED_VALUE"""),"#SLGA - Segunda Licenciatura em Geografia - Segunda Licenciatura em Geografia - Elisangela Maria da Silva - Geologia - Nota Máxima: 10")</f>
        <v>#SLGA - Segunda Licenciatura em Geografia - Segunda Licenciatura em Geografia - Elisangela Maria da Silva - Geologia - Nota Máxima: 10</v>
      </c>
    </row>
    <row r="1389">
      <c r="A1389" s="390" t="str">
        <f>IFERROR(__xludf.DUMMYFUNCTION("""COMPUTED_VALUE"""),"#SLGA - Segunda Licenciatura em Geografia - Segunda Licenciatura em Geografia - Elisangela Maria da Silva - Geomorfologia - Nota Máxima: 10")</f>
        <v>#SLGA - Segunda Licenciatura em Geografia - Segunda Licenciatura em Geografia - Elisangela Maria da Silva - Geomorfologia - Nota Máxima: 10</v>
      </c>
    </row>
    <row r="1390">
      <c r="A1390" s="390" t="str">
        <f>IFERROR(__xludf.DUMMYFUNCTION("""COMPUTED_VALUE"""),"#SLGA - Segunda Licenciatura em Geografia - Segunda Licenciatura em Geografia - Elisangela Maria da Silva - Legislação Educacional/a - Nota Máxima: 10")</f>
        <v>#SLGA - Segunda Licenciatura em Geografia - Segunda Licenciatura em Geografia - Elisangela Maria da Silva - Legislação Educacional/a - Nota Máxima: 10</v>
      </c>
    </row>
    <row r="1391">
      <c r="A1391" s="390" t="str">
        <f>IFERROR(__xludf.DUMMYFUNCTION("""COMPUTED_VALUE"""),"#SLGA - Segunda Licenciatura em Geografia - Segunda Licenciatura em Geografia - Elisangela Maria da Silva - Práticas Pedagógicas - 400 Horas - Nota Máxima: 10")</f>
        <v>#SLGA - Segunda Licenciatura em Geografia - Segunda Licenciatura em Geografia - Elisangela Maria da Silva - Práticas Pedagógicas - 400 Horas - Nota Máxima: 10</v>
      </c>
    </row>
    <row r="1392">
      <c r="A1392" s="390" t="str">
        <f>IFERROR(__xludf.DUMMYFUNCTION("""COMPUTED_VALUE"""),"#SLGA - Segunda Licenciatura em Geografia - Segunda Licenciatura em Geografia - Elisangela Maria da Silva - Práticas Pedagógicas - 400 Horas - Nota Máxima: 45784")</f>
        <v>#SLGA - Segunda Licenciatura em Geografia - Segunda Licenciatura em Geografia - Elisangela Maria da Silva - Práticas Pedagógicas - 400 Horas - Nota Máxima: 45784</v>
      </c>
    </row>
    <row r="1393">
      <c r="A1393" s="390" t="str">
        <f>IFERROR(__xludf.DUMMYFUNCTION("""COMPUTED_VALUE"""),"#SLGA - Segunda Licenciatura em Geografia - Segunda Licenciatura em Geografia - Elisangela Maria da Silva - Psicologia da Educação/a - Nota Máxima: 10")</f>
        <v>#SLGA - Segunda Licenciatura em Geografia - Segunda Licenciatura em Geografia - Elisangela Maria da Silva - Psicologia da Educação/a - Nota Máxima: 10</v>
      </c>
    </row>
    <row r="1394">
      <c r="A1394" s="390" t="str">
        <f>IFERROR(__xludf.DUMMYFUNCTION("""COMPUTED_VALUE"""),"#SLGA - Segunda Licenciatura em Geografia - Segunda Licenciatura em Geografia - Carlos Eduardo Pires Batista - A cognição Humana - Nota Máxima: 10")</f>
        <v>#SLGA - Segunda Licenciatura em Geografia - Segunda Licenciatura em Geografia - Carlos Eduardo Pires Batista - A cognição Humana - Nota Máxima: 10</v>
      </c>
    </row>
    <row r="1395">
      <c r="A1395" s="390" t="str">
        <f>IFERROR(__xludf.DUMMYFUNCTION("""COMPUTED_VALUE"""),"#SLGA - Segunda Licenciatura em Geografia - Segunda Licenciatura em Geografia - Carlos Eduardo Pires Batista - A cognição Humana - Nota Máxima: 7")</f>
        <v>#SLGA - Segunda Licenciatura em Geografia - Segunda Licenciatura em Geografia - Carlos Eduardo Pires Batista - A cognição Humana - Nota Máxima: 7</v>
      </c>
    </row>
    <row r="1396">
      <c r="A1396" s="390" t="str">
        <f>IFERROR(__xludf.DUMMYFUNCTION("""COMPUTED_VALUE"""),"#SLGA - Segunda Licenciatura em Geografia - Segunda Licenciatura em Geografia - Carlos Eduardo Pires Batista - Biogeografia - Nota Máxima: 9")</f>
        <v>#SLGA - Segunda Licenciatura em Geografia - Segunda Licenciatura em Geografia - Carlos Eduardo Pires Batista - Biogeografia - Nota Máxima: 9</v>
      </c>
    </row>
    <row r="1397">
      <c r="A1397" s="390" t="str">
        <f>IFERROR(__xludf.DUMMYFUNCTION("""COMPUTED_VALUE"""),"#SLGA - Segunda Licenciatura em Geografia - Segunda Licenciatura em Geografia - Carlos Eduardo Pires Batista - Biogeografia - Nota Máxima: 7")</f>
        <v>#SLGA - Segunda Licenciatura em Geografia - Segunda Licenciatura em Geografia - Carlos Eduardo Pires Batista - Biogeografia - Nota Máxima: 7</v>
      </c>
    </row>
    <row r="1398">
      <c r="A1398" s="390" t="str">
        <f>IFERROR(__xludf.DUMMYFUNCTION("""COMPUTED_VALUE"""),"#SLGA - Segunda Licenciatura em Geografia - Segunda Licenciatura em Geografia - Carlos Eduardo Pires Batista - Cartografia - Nota Máxima: 10")</f>
        <v>#SLGA - Segunda Licenciatura em Geografia - Segunda Licenciatura em Geografia - Carlos Eduardo Pires Batista - Cartografia - Nota Máxima: 10</v>
      </c>
    </row>
    <row r="1399">
      <c r="A1399" s="390" t="str">
        <f>IFERROR(__xludf.DUMMYFUNCTION("""COMPUTED_VALUE"""),"#SLGA - Segunda Licenciatura em Geografia - Segunda Licenciatura em Geografia - Carlos Eduardo Pires Batista - Cartografia - Nota Máxima: 8")</f>
        <v>#SLGA - Segunda Licenciatura em Geografia - Segunda Licenciatura em Geografia - Carlos Eduardo Pires Batista - Cartografia - Nota Máxima: 8</v>
      </c>
    </row>
    <row r="1400">
      <c r="A1400" s="390" t="str">
        <f>IFERROR(__xludf.DUMMYFUNCTION("""COMPUTED_VALUE"""),"#SLGA - Segunda Licenciatura em Geografia - Segunda Licenciatura em Geografia - Carlos Eduardo Pires Batista - Deficiência Auditiva e Libras/a - Nota Máxima: 9")</f>
        <v>#SLGA - Segunda Licenciatura em Geografia - Segunda Licenciatura em Geografia - Carlos Eduardo Pires Batista - Deficiência Auditiva e Libras/a - Nota Máxima: 9</v>
      </c>
    </row>
    <row r="1401">
      <c r="A1401" s="390" t="str">
        <f>IFERROR(__xludf.DUMMYFUNCTION("""COMPUTED_VALUE"""),"#SLGA - Segunda Licenciatura em Geografia - Segunda Licenciatura em Geografia - Carlos Eduardo Pires Batista - Deficiência Auditiva e Libras/a - Nota Máxima: 9")</f>
        <v>#SLGA - Segunda Licenciatura em Geografia - Segunda Licenciatura em Geografia - Carlos Eduardo Pires Batista - Deficiência Auditiva e Libras/a - Nota Máxima: 9</v>
      </c>
    </row>
    <row r="1402">
      <c r="A1402" s="390" t="str">
        <f>IFERROR(__xludf.DUMMYFUNCTION("""COMPUTED_VALUE"""),"#SLGA - Segunda Licenciatura em Geografia - Segunda Licenciatura em Geografia - Carlos Eduardo Pires Batista - Desenvolvimento do Capital Humano - Nota Máxima: 8")</f>
        <v>#SLGA - Segunda Licenciatura em Geografia - Segunda Licenciatura em Geografia - Carlos Eduardo Pires Batista - Desenvolvimento do Capital Humano - Nota Máxima: 8</v>
      </c>
    </row>
    <row r="1403">
      <c r="A1403" s="390" t="str">
        <f>IFERROR(__xludf.DUMMYFUNCTION("""COMPUTED_VALUE"""),"#SLGA - Segunda Licenciatura em Geografia - Segunda Licenciatura em Geografia - Carlos Eduardo Pires Batista - Educação Especial, Inclusão Escolar e Adaptações Curriculares - Nota Máxima: 10")</f>
        <v>#SLGA - Segunda Licenciatura em Geografia - Segunda Licenciatura em Geografia - Carlos Eduardo Pires Batista - Educação Especial, Inclusão Escolar e Adaptações Curriculares - Nota Máxima: 10</v>
      </c>
    </row>
    <row r="1404">
      <c r="A1404" s="390" t="str">
        <f>IFERROR(__xludf.DUMMYFUNCTION("""COMPUTED_VALUE"""),"#SLGA - Segunda Licenciatura em Geografia - Segunda Licenciatura em Geografia - Carlos Eduardo Pires Batista - Educação Especial, Inclusão Escolar e Adaptações Curriculares - Nota Máxima: 10")</f>
        <v>#SLGA - Segunda Licenciatura em Geografia - Segunda Licenciatura em Geografia - Carlos Eduardo Pires Batista - Educação Especial, Inclusão Escolar e Adaptações Curriculares - Nota Máxima: 10</v>
      </c>
    </row>
    <row r="1405">
      <c r="A1405" s="390" t="str">
        <f>IFERROR(__xludf.DUMMYFUNCTION("""COMPUTED_VALUE"""),"#SLGA - Segunda Licenciatura em Geografia - Segunda Licenciatura em Geografia - Carlos Eduardo Pires Batista - Educação, História, Cultura e Práticas Indígenas/a - Nota Máxima: 10")</f>
        <v>#SLGA - Segunda Licenciatura em Geografia - Segunda Licenciatura em Geografia - Carlos Eduardo Pires Batista - Educação, História, Cultura e Práticas Indígenas/a - Nota Máxima: 10</v>
      </c>
    </row>
    <row r="1406">
      <c r="A1406" s="390" t="str">
        <f>IFERROR(__xludf.DUMMYFUNCTION("""COMPUTED_VALUE"""),"#SLGA - Segunda Licenciatura em Geografia - Segunda Licenciatura em Geografia - Carlos Eduardo Pires Batista - Educação, História, Cultura e Práticas Indígenas/a - Nota Máxima: 7")</f>
        <v>#SLGA - Segunda Licenciatura em Geografia - Segunda Licenciatura em Geografia - Carlos Eduardo Pires Batista - Educação, História, Cultura e Práticas Indígenas/a - Nota Máxima: 7</v>
      </c>
    </row>
    <row r="1407">
      <c r="A1407" s="390" t="str">
        <f>IFERROR(__xludf.DUMMYFUNCTION("""COMPUTED_VALUE"""),"#SLGA - Segunda Licenciatura em Geografia - Segunda Licenciatura em Geografia - Carlos Eduardo Pires Batista - Estudos Populacionais - Nota Máxima: 10")</f>
        <v>#SLGA - Segunda Licenciatura em Geografia - Segunda Licenciatura em Geografia - Carlos Eduardo Pires Batista - Estudos Populacionais - Nota Máxima: 10</v>
      </c>
    </row>
    <row r="1408">
      <c r="A1408" s="390" t="str">
        <f>IFERROR(__xludf.DUMMYFUNCTION("""COMPUTED_VALUE"""),"#SLGA - Segunda Licenciatura em Geografia - Segunda Licenciatura em Geografia - Carlos Eduardo Pires Batista - Estudos Populacionais - Nota Máxima: 8")</f>
        <v>#SLGA - Segunda Licenciatura em Geografia - Segunda Licenciatura em Geografia - Carlos Eduardo Pires Batista - Estudos Populacionais - Nota Máxima: 8</v>
      </c>
    </row>
    <row r="1409">
      <c r="A1409" s="390" t="str">
        <f>IFERROR(__xludf.DUMMYFUNCTION("""COMPUTED_VALUE"""),"#SLGA - Segunda Licenciatura em Geografia - Segunda Licenciatura em Geografia - Carlos Eduardo Pires Batista - Geografia Física, Política e Urbana - Nota Máxima: 10")</f>
        <v>#SLGA - Segunda Licenciatura em Geografia - Segunda Licenciatura em Geografia - Carlos Eduardo Pires Batista - Geografia Física, Política e Urbana - Nota Máxima: 10</v>
      </c>
    </row>
    <row r="1410">
      <c r="A1410" s="390" t="str">
        <f>IFERROR(__xludf.DUMMYFUNCTION("""COMPUTED_VALUE"""),"#SLGA - Segunda Licenciatura em Geografia - Segunda Licenciatura em Geografia - Carlos Eduardo Pires Batista - Geografia Física, Política e Urbana - Nota Máxima: 7")</f>
        <v>#SLGA - Segunda Licenciatura em Geografia - Segunda Licenciatura em Geografia - Carlos Eduardo Pires Batista - Geografia Física, Política e Urbana - Nota Máxima: 7</v>
      </c>
    </row>
    <row r="1411">
      <c r="A1411" s="390" t="str">
        <f>IFERROR(__xludf.DUMMYFUNCTION("""COMPUTED_VALUE"""),"#SLGA - Segunda Licenciatura em Geografia - Segunda Licenciatura em Geografia - Carlos Eduardo Pires Batista - Geologia - Nota Máxima: 10")</f>
        <v>#SLGA - Segunda Licenciatura em Geografia - Segunda Licenciatura em Geografia - Carlos Eduardo Pires Batista - Geologia - Nota Máxima: 10</v>
      </c>
    </row>
    <row r="1412">
      <c r="A1412" s="390" t="str">
        <f>IFERROR(__xludf.DUMMYFUNCTION("""COMPUTED_VALUE"""),"#SLGA - Segunda Licenciatura em Geografia - Segunda Licenciatura em Geografia - Carlos Eduardo Pires Batista - Geologia - Nota Máxima: 7")</f>
        <v>#SLGA - Segunda Licenciatura em Geografia - Segunda Licenciatura em Geografia - Carlos Eduardo Pires Batista - Geologia - Nota Máxima: 7</v>
      </c>
    </row>
    <row r="1413">
      <c r="A1413" s="390" t="str">
        <f>IFERROR(__xludf.DUMMYFUNCTION("""COMPUTED_VALUE"""),"#SLGA - Segunda Licenciatura em Geografia - Segunda Licenciatura em Geografia - Carlos Eduardo Pires Batista - Geomorfologia - Nota Máxima: 10")</f>
        <v>#SLGA - Segunda Licenciatura em Geografia - Segunda Licenciatura em Geografia - Carlos Eduardo Pires Batista - Geomorfologia - Nota Máxima: 10</v>
      </c>
    </row>
    <row r="1414">
      <c r="A1414" s="390" t="str">
        <f>IFERROR(__xludf.DUMMYFUNCTION("""COMPUTED_VALUE"""),"#SLGA - Segunda Licenciatura em Geografia - Segunda Licenciatura em Geografia - Carlos Eduardo Pires Batista - Geomorfologia - Nota Máxima: 6")</f>
        <v>#SLGA - Segunda Licenciatura em Geografia - Segunda Licenciatura em Geografia - Carlos Eduardo Pires Batista - Geomorfologia - Nota Máxima: 6</v>
      </c>
    </row>
    <row r="1415">
      <c r="A1415" s="390" t="str">
        <f>IFERROR(__xludf.DUMMYFUNCTION("""COMPUTED_VALUE"""),"#SLGA - Segunda Licenciatura em Geografia - Segunda Licenciatura em Geografia - Carlos Eduardo Pires Batista - Legislação Educacional/a - Nota Máxima: 10")</f>
        <v>#SLGA - Segunda Licenciatura em Geografia - Segunda Licenciatura em Geografia - Carlos Eduardo Pires Batista - Legislação Educacional/a - Nota Máxima: 10</v>
      </c>
    </row>
    <row r="1416">
      <c r="A1416" s="390" t="str">
        <f>IFERROR(__xludf.DUMMYFUNCTION("""COMPUTED_VALUE"""),"#SLGA - Segunda Licenciatura em Geografia - Segunda Licenciatura em Geografia - Carlos Eduardo Pires Batista - Legislação Educacional/a - Nota Máxima: 5")</f>
        <v>#SLGA - Segunda Licenciatura em Geografia - Segunda Licenciatura em Geografia - Carlos Eduardo Pires Batista - Legislação Educacional/a - Nota Máxima: 5</v>
      </c>
    </row>
    <row r="1417">
      <c r="A1417" s="390" t="str">
        <f>IFERROR(__xludf.DUMMYFUNCTION("""COMPUTED_VALUE"""),"#SLGA - Segunda Licenciatura em Geografia - Segunda Licenciatura em Geografia - Carlos Eduardo Pires Batista - Planejamento, Gestão Educacional e Currículo/a - Nota Máxima: 10")</f>
        <v>#SLGA - Segunda Licenciatura em Geografia - Segunda Licenciatura em Geografia - Carlos Eduardo Pires Batista - Planejamento, Gestão Educacional e Currículo/a - Nota Máxima: 10</v>
      </c>
    </row>
    <row r="1418">
      <c r="A1418" s="390" t="str">
        <f>IFERROR(__xludf.DUMMYFUNCTION("""COMPUTED_VALUE"""),"#SLGA - Segunda Licenciatura em Geografia - Segunda Licenciatura em Geografia - Carlos Eduardo Pires Batista - Planejamento, Gestão Educacional e Currículo/a - Nota Máxima: 10")</f>
        <v>#SLGA - Segunda Licenciatura em Geografia - Segunda Licenciatura em Geografia - Carlos Eduardo Pires Batista - Planejamento, Gestão Educacional e Currículo/a - Nota Máxima: 10</v>
      </c>
    </row>
    <row r="1419">
      <c r="A1419" s="390" t="str">
        <f>IFERROR(__xludf.DUMMYFUNCTION("""COMPUTED_VALUE"""),"#SLGA - Segunda Licenciatura em Geografia - Segunda Licenciatura em Geografia - Carlos Eduardo Pires Batista - Práticas Pedagógicas - 400 Horas - Nota Máxima: 4")</f>
        <v>#SLGA - Segunda Licenciatura em Geografia - Segunda Licenciatura em Geografia - Carlos Eduardo Pires Batista - Práticas Pedagógicas - 400 Horas - Nota Máxima: 4</v>
      </c>
    </row>
    <row r="1420">
      <c r="A1420" s="390" t="str">
        <f>IFERROR(__xludf.DUMMYFUNCTION("""COMPUTED_VALUE"""),"#SLGA - Segunda Licenciatura em Geografia - Segunda Licenciatura em Geografia - Carlos Eduardo Pires Batista - Práticas Pedagógicas - 400 Horas - Nota Máxima: 2")</f>
        <v>#SLGA - Segunda Licenciatura em Geografia - Segunda Licenciatura em Geografia - Carlos Eduardo Pires Batista - Práticas Pedagógicas - 400 Horas - Nota Máxima: 2</v>
      </c>
    </row>
    <row r="1421">
      <c r="A1421" s="390" t="str">
        <f>IFERROR(__xludf.DUMMYFUNCTION("""COMPUTED_VALUE"""),"#SLGA - Segunda Licenciatura em Geografia - Segunda Licenciatura em Geografia - Carlos Eduardo Pires Batista - Psicologia da Educação/a - Nota Máxima: 10")</f>
        <v>#SLGA - Segunda Licenciatura em Geografia - Segunda Licenciatura em Geografia - Carlos Eduardo Pires Batista - Psicologia da Educação/a - Nota Máxima: 10</v>
      </c>
    </row>
    <row r="1422">
      <c r="A1422" s="390" t="str">
        <f>IFERROR(__xludf.DUMMYFUNCTION("""COMPUTED_VALUE"""),"#SLGA - Segunda Licenciatura em Geografia - Segunda Licenciatura em Geografia - Carlos Eduardo Pires Batista - Psicologia da Educação/a - Nota Máxima: 5")</f>
        <v>#SLGA - Segunda Licenciatura em Geografia - Segunda Licenciatura em Geografia - Carlos Eduardo Pires Batista - Psicologia da Educação/a - Nota Máxima: 5</v>
      </c>
    </row>
    <row r="1423">
      <c r="A1423" s="390" t="str">
        <f>IFERROR(__xludf.DUMMYFUNCTION("""COMPUTED_VALUE"""),"#SLGA - Segunda Licenciatura em Geografia - Segunda Licenciatura em Geografia - Bruno Wilwert Tomio - A cognição Humana - Nota Máxima: 9")</f>
        <v>#SLGA - Segunda Licenciatura em Geografia - Segunda Licenciatura em Geografia - Bruno Wilwert Tomio - A cognição Humana - Nota Máxima: 9</v>
      </c>
    </row>
    <row r="1424">
      <c r="A1424" s="390" t="str">
        <f>IFERROR(__xludf.DUMMYFUNCTION("""COMPUTED_VALUE"""),"#SLGA - Segunda Licenciatura em Geografia - Segunda Licenciatura em Geografia - Bruno Wilwert Tomio - Biogeografia - Nota Máxima: 10")</f>
        <v>#SLGA - Segunda Licenciatura em Geografia - Segunda Licenciatura em Geografia - Bruno Wilwert Tomio - Biogeografia - Nota Máxima: 10</v>
      </c>
    </row>
    <row r="1425">
      <c r="A1425" s="390" t="str">
        <f>IFERROR(__xludf.DUMMYFUNCTION("""COMPUTED_VALUE"""),"#SLGA - Segunda Licenciatura em Geografia - Segunda Licenciatura em Geografia - Bruno Wilwert Tomio - Biogeografia - Nota Máxima: 10")</f>
        <v>#SLGA - Segunda Licenciatura em Geografia - Segunda Licenciatura em Geografia - Bruno Wilwert Tomio - Biogeografia - Nota Máxima: 10</v>
      </c>
    </row>
    <row r="1426">
      <c r="A1426" s="390" t="str">
        <f>IFERROR(__xludf.DUMMYFUNCTION("""COMPUTED_VALUE"""),"#SLGA - Segunda Licenciatura em Geografia - Segunda Licenciatura em Geografia - Bruno Wilwert Tomio - Cartografia - Nota Máxima: 10")</f>
        <v>#SLGA - Segunda Licenciatura em Geografia - Segunda Licenciatura em Geografia - Bruno Wilwert Tomio - Cartografia - Nota Máxima: 10</v>
      </c>
    </row>
    <row r="1427">
      <c r="A1427" s="390" t="str">
        <f>IFERROR(__xludf.DUMMYFUNCTION("""COMPUTED_VALUE"""),"#SLGA - Segunda Licenciatura em Geografia - Segunda Licenciatura em Geografia - Bruno Wilwert Tomio - Deficiência Auditiva e Libras/a - Nota Máxima: 7")</f>
        <v>#SLGA - Segunda Licenciatura em Geografia - Segunda Licenciatura em Geografia - Bruno Wilwert Tomio - Deficiência Auditiva e Libras/a - Nota Máxima: 7</v>
      </c>
    </row>
    <row r="1428">
      <c r="A1428" s="390" t="str">
        <f>IFERROR(__xludf.DUMMYFUNCTION("""COMPUTED_VALUE"""),"#SLGA - Segunda Licenciatura em Geografia - Segunda Licenciatura em Geografia - Bruno Wilwert Tomio - Desenvolvimento do Capital Humano - Nota Máxima: 10")</f>
        <v>#SLGA - Segunda Licenciatura em Geografia - Segunda Licenciatura em Geografia - Bruno Wilwert Tomio - Desenvolvimento do Capital Humano - Nota Máxima: 10</v>
      </c>
    </row>
    <row r="1429">
      <c r="A1429" s="390" t="str">
        <f>IFERROR(__xludf.DUMMYFUNCTION("""COMPUTED_VALUE"""),"#SLGA - Segunda Licenciatura em Geografia - Segunda Licenciatura em Geografia - Bruno Wilwert Tomio - Educação Especial, Inclusão Escolar e Adaptações Curriculares - Nota Máxima: 10")</f>
        <v>#SLGA - Segunda Licenciatura em Geografia - Segunda Licenciatura em Geografia - Bruno Wilwert Tomio - Educação Especial, Inclusão Escolar e Adaptações Curriculares - Nota Máxima: 10</v>
      </c>
    </row>
    <row r="1430">
      <c r="A1430" s="390" t="str">
        <f>IFERROR(__xludf.DUMMYFUNCTION("""COMPUTED_VALUE"""),"#SLGA - Segunda Licenciatura em Geografia - Segunda Licenciatura em Geografia - Bruno Wilwert Tomio - Educação, História, Cultura e Práticas Indígenas/a - Nota Máxima: 9")</f>
        <v>#SLGA - Segunda Licenciatura em Geografia - Segunda Licenciatura em Geografia - Bruno Wilwert Tomio - Educação, História, Cultura e Práticas Indígenas/a - Nota Máxima: 9</v>
      </c>
    </row>
    <row r="1431">
      <c r="A1431" s="390" t="str">
        <f>IFERROR(__xludf.DUMMYFUNCTION("""COMPUTED_VALUE"""),"#SLGA - Segunda Licenciatura em Geografia - Segunda Licenciatura em Geografia - Bruno Wilwert Tomio - Estudos Populacionais - Nota Máxima: 10")</f>
        <v>#SLGA - Segunda Licenciatura em Geografia - Segunda Licenciatura em Geografia - Bruno Wilwert Tomio - Estudos Populacionais - Nota Máxima: 10</v>
      </c>
    </row>
    <row r="1432">
      <c r="A1432" s="390" t="str">
        <f>IFERROR(__xludf.DUMMYFUNCTION("""COMPUTED_VALUE"""),"#SLGA - Segunda Licenciatura em Geografia - Segunda Licenciatura em Geografia - Bruno Wilwert Tomio - Geografia Física, Política e Urbana - Nota Máxima: 8")</f>
        <v>#SLGA - Segunda Licenciatura em Geografia - Segunda Licenciatura em Geografia - Bruno Wilwert Tomio - Geografia Física, Política e Urbana - Nota Máxima: 8</v>
      </c>
    </row>
    <row r="1433">
      <c r="A1433" s="390" t="str">
        <f>IFERROR(__xludf.DUMMYFUNCTION("""COMPUTED_VALUE"""),"#SLGA - Segunda Licenciatura em Geografia - Segunda Licenciatura em Geografia - Bruno Wilwert Tomio - Geologia - Nota Máxima: 10")</f>
        <v>#SLGA - Segunda Licenciatura em Geografia - Segunda Licenciatura em Geografia - Bruno Wilwert Tomio - Geologia - Nota Máxima: 10</v>
      </c>
    </row>
    <row r="1434">
      <c r="A1434" s="390" t="str">
        <f>IFERROR(__xludf.DUMMYFUNCTION("""COMPUTED_VALUE"""),"#SLGA - Segunda Licenciatura em Geografia - Segunda Licenciatura em Geografia - Bruno Wilwert Tomio - Geomorfologia - Nota Máxima: 7")</f>
        <v>#SLGA - Segunda Licenciatura em Geografia - Segunda Licenciatura em Geografia - Bruno Wilwert Tomio - Geomorfologia - Nota Máxima: 7</v>
      </c>
    </row>
    <row r="1435">
      <c r="A1435" s="390" t="str">
        <f>IFERROR(__xludf.DUMMYFUNCTION("""COMPUTED_VALUE"""),"#SLGA - Segunda Licenciatura em Geografia - Segunda Licenciatura em Geografia - Bruno Wilwert Tomio - Legislação Educacional/a - Nota Máxima: 10")</f>
        <v>#SLGA - Segunda Licenciatura em Geografia - Segunda Licenciatura em Geografia - Bruno Wilwert Tomio - Legislação Educacional/a - Nota Máxima: 10</v>
      </c>
    </row>
    <row r="1436">
      <c r="A1436" s="390" t="str">
        <f>IFERROR(__xludf.DUMMYFUNCTION("""COMPUTED_VALUE"""),"#SLGA - Segunda Licenciatura em Geografia - Segunda Licenciatura em Geografia - Bruno Wilwert Tomio - Planejamento, Gestão Educacional e Currículo/a - Nota Máxima: 10")</f>
        <v>#SLGA - Segunda Licenciatura em Geografia - Segunda Licenciatura em Geografia - Bruno Wilwert Tomio - Planejamento, Gestão Educacional e Currículo/a - Nota Máxima: 10</v>
      </c>
    </row>
    <row r="1437">
      <c r="A1437" s="390" t="str">
        <f>IFERROR(__xludf.DUMMYFUNCTION("""COMPUTED_VALUE"""),"#SLGA - Segunda Licenciatura em Geografia - Segunda Licenciatura em Geografia - Bruno Wilwert Tomio - Práticas Pedagógicas - 400 Horas - Nota Máxima: 10")</f>
        <v>#SLGA - Segunda Licenciatura em Geografia - Segunda Licenciatura em Geografia - Bruno Wilwert Tomio - Práticas Pedagógicas - 400 Horas - Nota Máxima: 10</v>
      </c>
    </row>
    <row r="1438">
      <c r="A1438" s="390" t="str">
        <f>IFERROR(__xludf.DUMMYFUNCTION("""COMPUTED_VALUE"""),"#SLGA - Segunda Licenciatura em Geografia - Segunda Licenciatura em Geografia - Bruno Wilwert Tomio - Psicologia da Educação/a - Nota Máxima: 9")</f>
        <v>#SLGA - Segunda Licenciatura em Geografia - Segunda Licenciatura em Geografia - Bruno Wilwert Tomio - Psicologia da Educação/a - Nota Máxima: 9</v>
      </c>
    </row>
    <row r="1439">
      <c r="A1439" s="390" t="str">
        <f>IFERROR(__xludf.DUMMYFUNCTION("""COMPUTED_VALUE"""),"#SLGA - Segunda Licenciatura em Geografia - Segunda Licenciatura em Geografia - Tiago Silvio Dedoné - A cognição Humana - Nota Máxima: 10")</f>
        <v>#SLGA - Segunda Licenciatura em Geografia - Segunda Licenciatura em Geografia - Tiago Silvio Dedoné - A cognição Humana - Nota Máxima: 10</v>
      </c>
    </row>
    <row r="1440">
      <c r="A1440" s="390" t="str">
        <f>IFERROR(__xludf.DUMMYFUNCTION("""COMPUTED_VALUE"""),"#SLGA - Segunda Licenciatura em Geografia - Segunda Licenciatura em Geografia - Tiago Silvio Dedoné - Biogeografia - Nota Máxima: 10")</f>
        <v>#SLGA - Segunda Licenciatura em Geografia - Segunda Licenciatura em Geografia - Tiago Silvio Dedoné - Biogeografia - Nota Máxima: 10</v>
      </c>
    </row>
    <row r="1441">
      <c r="A1441" s="390" t="str">
        <f>IFERROR(__xludf.DUMMYFUNCTION("""COMPUTED_VALUE"""),"#SLGA - Segunda Licenciatura em Geografia - Segunda Licenciatura em Geografia - Tiago Silvio Dedoné - Cartografia - Nota Máxima: 10")</f>
        <v>#SLGA - Segunda Licenciatura em Geografia - Segunda Licenciatura em Geografia - Tiago Silvio Dedoné - Cartografia - Nota Máxima: 10</v>
      </c>
    </row>
    <row r="1442">
      <c r="A1442" s="390" t="str">
        <f>IFERROR(__xludf.DUMMYFUNCTION("""COMPUTED_VALUE"""),"#SLGA - Segunda Licenciatura em Geografia - Segunda Licenciatura em Geografia - Tiago Silvio Dedoné - Deficiência Auditiva e Libras/a - Nota Máxima: 10")</f>
        <v>#SLGA - Segunda Licenciatura em Geografia - Segunda Licenciatura em Geografia - Tiago Silvio Dedoné - Deficiência Auditiva e Libras/a - Nota Máxima: 10</v>
      </c>
    </row>
    <row r="1443">
      <c r="A1443" s="390" t="str">
        <f>IFERROR(__xludf.DUMMYFUNCTION("""COMPUTED_VALUE"""),"#SLGA - Segunda Licenciatura em Geografia - Segunda Licenciatura em Geografia - Tiago Silvio Dedoné - Desenvolvimento do Capital Humano - Nota Máxima: 10")</f>
        <v>#SLGA - Segunda Licenciatura em Geografia - Segunda Licenciatura em Geografia - Tiago Silvio Dedoné - Desenvolvimento do Capital Humano - Nota Máxima: 10</v>
      </c>
    </row>
    <row r="1444">
      <c r="A1444" s="390" t="str">
        <f>IFERROR(__xludf.DUMMYFUNCTION("""COMPUTED_VALUE"""),"#SLGA - Segunda Licenciatura em Geografia - Segunda Licenciatura em Geografia - Tiago Silvio Dedoné - Educação, História, Cultura e Práticas Indígenas/a - Nota Máxima: 10")</f>
        <v>#SLGA - Segunda Licenciatura em Geografia - Segunda Licenciatura em Geografia - Tiago Silvio Dedoné - Educação, História, Cultura e Práticas Indígenas/a - Nota Máxima: 10</v>
      </c>
    </row>
    <row r="1445">
      <c r="A1445" s="390" t="str">
        <f>IFERROR(__xludf.DUMMYFUNCTION("""COMPUTED_VALUE"""),"#SLGA - Segunda Licenciatura em Geografia - Segunda Licenciatura em Geografia - Tiago Silvio Dedoné - Estudos Populacionais - Nota Máxima: 10")</f>
        <v>#SLGA - Segunda Licenciatura em Geografia - Segunda Licenciatura em Geografia - Tiago Silvio Dedoné - Estudos Populacionais - Nota Máxima: 10</v>
      </c>
    </row>
    <row r="1446">
      <c r="A1446" s="390" t="str">
        <f>IFERROR(__xludf.DUMMYFUNCTION("""COMPUTED_VALUE"""),"#SLGA - Segunda Licenciatura em Geografia - Segunda Licenciatura em Geografia - Tiago Silvio Dedoné - Geografia Física, Política e Urbana - Nota Máxima: 10")</f>
        <v>#SLGA - Segunda Licenciatura em Geografia - Segunda Licenciatura em Geografia - Tiago Silvio Dedoné - Geografia Física, Política e Urbana - Nota Máxima: 10</v>
      </c>
    </row>
    <row r="1447">
      <c r="A1447" s="390" t="str">
        <f>IFERROR(__xludf.DUMMYFUNCTION("""COMPUTED_VALUE"""),"#SLGA - Segunda Licenciatura em Geografia - Segunda Licenciatura em Geografia - Tiago Silvio Dedoné - Geologia - Nota Máxima: 10")</f>
        <v>#SLGA - Segunda Licenciatura em Geografia - Segunda Licenciatura em Geografia - Tiago Silvio Dedoné - Geologia - Nota Máxima: 10</v>
      </c>
    </row>
    <row r="1448">
      <c r="A1448" s="390" t="str">
        <f>IFERROR(__xludf.DUMMYFUNCTION("""COMPUTED_VALUE"""),"#SLGA - Segunda Licenciatura em Geografia - Segunda Licenciatura em Geografia - Tiago Silvio Dedoné - Geomorfologia - Nota Máxima: 10")</f>
        <v>#SLGA - Segunda Licenciatura em Geografia - Segunda Licenciatura em Geografia - Tiago Silvio Dedoné - Geomorfologia - Nota Máxima: 10</v>
      </c>
    </row>
    <row r="1449">
      <c r="A1449" s="390" t="str">
        <f>IFERROR(__xludf.DUMMYFUNCTION("""COMPUTED_VALUE"""),"#SLGA - Segunda Licenciatura em Geografia - Segunda Licenciatura em Geografia - Tiago Silvio Dedoné - Legislação Educacional/a - Nota Máxima: 10")</f>
        <v>#SLGA - Segunda Licenciatura em Geografia - Segunda Licenciatura em Geografia - Tiago Silvio Dedoné - Legislação Educacional/a - Nota Máxima: 10</v>
      </c>
    </row>
    <row r="1450">
      <c r="A1450" s="390" t="str">
        <f>IFERROR(__xludf.DUMMYFUNCTION("""COMPUTED_VALUE"""),"#SLGA - Segunda Licenciatura em Geografia - Segunda Licenciatura em Geografia - Tiago Silvio Dedoné - Práticas Pedagógicas - 400 Horas - Nota Máxima: 10")</f>
        <v>#SLGA - Segunda Licenciatura em Geografia - Segunda Licenciatura em Geografia - Tiago Silvio Dedoné - Práticas Pedagógicas - 400 Horas - Nota Máxima: 10</v>
      </c>
    </row>
    <row r="1451">
      <c r="A1451" s="390" t="str">
        <f>IFERROR(__xludf.DUMMYFUNCTION("""COMPUTED_VALUE"""),"#SLGA - Segunda Licenciatura em Geografia - Segunda Licenciatura em Geografia - Tiago Silvio Dedoné - Psicologia da Educação/a - Nota Máxima: 10")</f>
        <v>#SLGA - Segunda Licenciatura em Geografia - Segunda Licenciatura em Geografia - Tiago Silvio Dedoné - Psicologia da Educação/a - Nota Máxima: 10</v>
      </c>
    </row>
    <row r="1452">
      <c r="A1452" s="390" t="str">
        <f>IFERROR(__xludf.DUMMYFUNCTION("""COMPUTED_VALUE"""),"#SLGA - Segunda Licenciatura em Geografia - Segunda Licenciatura em Geografia - Cláudio Emir Bergmann - A cognição Humana - Nota Máxima: 8")</f>
        <v>#SLGA - Segunda Licenciatura em Geografia - Segunda Licenciatura em Geografia - Cláudio Emir Bergmann - A cognição Humana - Nota Máxima: 8</v>
      </c>
    </row>
    <row r="1453">
      <c r="A1453" s="390" t="str">
        <f>IFERROR(__xludf.DUMMYFUNCTION("""COMPUTED_VALUE"""),"#SLGA - Segunda Licenciatura em Geografia - Segunda Licenciatura em Geografia - Cláudio Emir Bergmann - Biogeografia - Nota Máxima: 10")</f>
        <v>#SLGA - Segunda Licenciatura em Geografia - Segunda Licenciatura em Geografia - Cláudio Emir Bergmann - Biogeografia - Nota Máxima: 10</v>
      </c>
    </row>
    <row r="1454">
      <c r="A1454" s="390" t="str">
        <f>IFERROR(__xludf.DUMMYFUNCTION("""COMPUTED_VALUE"""),"#SLGA - Segunda Licenciatura em Geografia - Segunda Licenciatura em Geografia - Cláudio Emir Bergmann - Cartografia - Nota Máxima: 10")</f>
        <v>#SLGA - Segunda Licenciatura em Geografia - Segunda Licenciatura em Geografia - Cláudio Emir Bergmann - Cartografia - Nota Máxima: 10</v>
      </c>
    </row>
    <row r="1455">
      <c r="A1455" s="390" t="str">
        <f>IFERROR(__xludf.DUMMYFUNCTION("""COMPUTED_VALUE"""),"#SLGA - Segunda Licenciatura em Geografia - Segunda Licenciatura em Geografia - Cláudio Emir Bergmann - Deficiência Auditiva e Libras/a - Nota Máxima: 9")</f>
        <v>#SLGA - Segunda Licenciatura em Geografia - Segunda Licenciatura em Geografia - Cláudio Emir Bergmann - Deficiência Auditiva e Libras/a - Nota Máxima: 9</v>
      </c>
    </row>
    <row r="1456">
      <c r="A1456" s="390" t="str">
        <f>IFERROR(__xludf.DUMMYFUNCTION("""COMPUTED_VALUE"""),"#SLGA - Segunda Licenciatura em Geografia - Segunda Licenciatura em Geografia - Cláudio Emir Bergmann - Desenvolvimento do Capital Humano - Nota Máxima: 10")</f>
        <v>#SLGA - Segunda Licenciatura em Geografia - Segunda Licenciatura em Geografia - Cláudio Emir Bergmann - Desenvolvimento do Capital Humano - Nota Máxima: 10</v>
      </c>
    </row>
    <row r="1457">
      <c r="A1457" s="390" t="str">
        <f>IFERROR(__xludf.DUMMYFUNCTION("""COMPUTED_VALUE"""),"#SLGA - Segunda Licenciatura em Geografia - Segunda Licenciatura em Geografia - Cláudio Emir Bergmann - Educação Especial, Inclusão Escolar e Adaptações Curriculares - Nota Máxima: 9")</f>
        <v>#SLGA - Segunda Licenciatura em Geografia - Segunda Licenciatura em Geografia - Cláudio Emir Bergmann - Educação Especial, Inclusão Escolar e Adaptações Curriculares - Nota Máxima: 9</v>
      </c>
    </row>
    <row r="1458">
      <c r="A1458" s="390" t="str">
        <f>IFERROR(__xludf.DUMMYFUNCTION("""COMPUTED_VALUE"""),"#SLGA - Segunda Licenciatura em Geografia - Segunda Licenciatura em Geografia - Cláudio Emir Bergmann - Educação, História, Cultura e Práticas Indígenas/a - Nota Máxima: 10")</f>
        <v>#SLGA - Segunda Licenciatura em Geografia - Segunda Licenciatura em Geografia - Cláudio Emir Bergmann - Educação, História, Cultura e Práticas Indígenas/a - Nota Máxima: 10</v>
      </c>
    </row>
    <row r="1459">
      <c r="A1459" s="390" t="str">
        <f>IFERROR(__xludf.DUMMYFUNCTION("""COMPUTED_VALUE"""),"#SLGA - Segunda Licenciatura em Geografia - Segunda Licenciatura em Geografia - Cláudio Emir Bergmann - Estudos Populacionais - Nota Máxima: 9")</f>
        <v>#SLGA - Segunda Licenciatura em Geografia - Segunda Licenciatura em Geografia - Cláudio Emir Bergmann - Estudos Populacionais - Nota Máxima: 9</v>
      </c>
    </row>
    <row r="1460">
      <c r="A1460" s="390" t="str">
        <f>IFERROR(__xludf.DUMMYFUNCTION("""COMPUTED_VALUE"""),"#SLGA - Segunda Licenciatura em Geografia - Segunda Licenciatura em Geografia - Cláudio Emir Bergmann - Geografia Física, Política e Urbana - Nota Máxima: 10")</f>
        <v>#SLGA - Segunda Licenciatura em Geografia - Segunda Licenciatura em Geografia - Cláudio Emir Bergmann - Geografia Física, Política e Urbana - Nota Máxima: 10</v>
      </c>
    </row>
    <row r="1461">
      <c r="A1461" s="390" t="str">
        <f>IFERROR(__xludf.DUMMYFUNCTION("""COMPUTED_VALUE"""),"#SLGA - Segunda Licenciatura em Geografia - Segunda Licenciatura em Geografia - Cláudio Emir Bergmann - Geologia - Nota Máxima: 10")</f>
        <v>#SLGA - Segunda Licenciatura em Geografia - Segunda Licenciatura em Geografia - Cláudio Emir Bergmann - Geologia - Nota Máxima: 10</v>
      </c>
    </row>
    <row r="1462">
      <c r="A1462" s="390" t="str">
        <f>IFERROR(__xludf.DUMMYFUNCTION("""COMPUTED_VALUE"""),"#SLGA - Segunda Licenciatura em Geografia - Segunda Licenciatura em Geografia - Cláudio Emir Bergmann - Geomorfologia - Nota Máxima: 10")</f>
        <v>#SLGA - Segunda Licenciatura em Geografia - Segunda Licenciatura em Geografia - Cláudio Emir Bergmann - Geomorfologia - Nota Máxima: 10</v>
      </c>
    </row>
    <row r="1463">
      <c r="A1463" s="390" t="str">
        <f>IFERROR(__xludf.DUMMYFUNCTION("""COMPUTED_VALUE"""),"#SLGA - Segunda Licenciatura em Geografia - Segunda Licenciatura em Geografia - Cláudio Emir Bergmann - Legislação Educacional/a - Nota Máxima: 10")</f>
        <v>#SLGA - Segunda Licenciatura em Geografia - Segunda Licenciatura em Geografia - Cláudio Emir Bergmann - Legislação Educacional/a - Nota Máxima: 10</v>
      </c>
    </row>
    <row r="1464">
      <c r="A1464" s="390" t="str">
        <f>IFERROR(__xludf.DUMMYFUNCTION("""COMPUTED_VALUE"""),"#SLGA - Segunda Licenciatura em Geografia - Segunda Licenciatura em Geografia - Cláudio Emir Bergmann - Planejamento, Gestão Educacional e Currículo/a - Nota Máxima: 10")</f>
        <v>#SLGA - Segunda Licenciatura em Geografia - Segunda Licenciatura em Geografia - Cláudio Emir Bergmann - Planejamento, Gestão Educacional e Currículo/a - Nota Máxima: 10</v>
      </c>
    </row>
    <row r="1465">
      <c r="A1465" s="390" t="str">
        <f>IFERROR(__xludf.DUMMYFUNCTION("""COMPUTED_VALUE"""),"#SLGA - Segunda Licenciatura em Geografia - Segunda Licenciatura em Geografia - Cláudio Emir Bergmann - Práticas Pedagógicas - 400 Horas - Nota Máxima: 4")</f>
        <v>#SLGA - Segunda Licenciatura em Geografia - Segunda Licenciatura em Geografia - Cláudio Emir Bergmann - Práticas Pedagógicas - 400 Horas - Nota Máxima: 4</v>
      </c>
    </row>
    <row r="1466">
      <c r="A1466" s="390" t="str">
        <f>IFERROR(__xludf.DUMMYFUNCTION("""COMPUTED_VALUE"""),"#SLGA - Segunda Licenciatura em Geografia - Segunda Licenciatura em Geografia - Cláudio Emir Bergmann - Psicologia da Educação/a - Nota Máxima: 8")</f>
        <v>#SLGA - Segunda Licenciatura em Geografia - Segunda Licenciatura em Geografia - Cláudio Emir Bergmann - Psicologia da Educação/a - Nota Máxima: 8</v>
      </c>
    </row>
    <row r="1467">
      <c r="A1467" s="390" t="str">
        <f>IFERROR(__xludf.DUMMYFUNCTION("""COMPUTED_VALUE"""),"#SLGA - Segunda Licenciatura em Geografia - Segunda Licenciatura em Geografia - Beatriz Cristina Batista Rodrigues - A cognição Humana - Nota Máxima: 9")</f>
        <v>#SLGA - Segunda Licenciatura em Geografia - Segunda Licenciatura em Geografia - Beatriz Cristina Batista Rodrigues - A cognição Humana - Nota Máxima: 9</v>
      </c>
    </row>
    <row r="1468">
      <c r="A1468" s="390" t="str">
        <f>IFERROR(__xludf.DUMMYFUNCTION("""COMPUTED_VALUE"""),"#SLGA - Segunda Licenciatura em Geografia - Segunda Licenciatura em Geografia - Beatriz Cristina Batista Rodrigues - A cognição Humana - Nota Máxima: 7")</f>
        <v>#SLGA - Segunda Licenciatura em Geografia - Segunda Licenciatura em Geografia - Beatriz Cristina Batista Rodrigues - A cognição Humana - Nota Máxima: 7</v>
      </c>
    </row>
    <row r="1469">
      <c r="A1469" s="390" t="str">
        <f>IFERROR(__xludf.DUMMYFUNCTION("""COMPUTED_VALUE"""),"#SLGA - Segunda Licenciatura em Geografia - Segunda Licenciatura em Geografia - Beatriz Cristina Batista Rodrigues - Biogeografia - Nota Máxima: 8")</f>
        <v>#SLGA - Segunda Licenciatura em Geografia - Segunda Licenciatura em Geografia - Beatriz Cristina Batista Rodrigues - Biogeografia - Nota Máxima: 8</v>
      </c>
    </row>
    <row r="1470">
      <c r="A1470" s="390" t="str">
        <f>IFERROR(__xludf.DUMMYFUNCTION("""COMPUTED_VALUE"""),"#SLGA - Segunda Licenciatura em Geografia - Segunda Licenciatura em Geografia - Beatriz Cristina Batista Rodrigues - Biogeografia - Nota Máxima: 7")</f>
        <v>#SLGA - Segunda Licenciatura em Geografia - Segunda Licenciatura em Geografia - Beatriz Cristina Batista Rodrigues - Biogeografia - Nota Máxima: 7</v>
      </c>
    </row>
    <row r="1471">
      <c r="A1471" s="390" t="str">
        <f>IFERROR(__xludf.DUMMYFUNCTION("""COMPUTED_VALUE"""),"#SLGA - Segunda Licenciatura em Geografia - Segunda Licenciatura em Geografia - Beatriz Cristina Batista Rodrigues - Cartografia - Nota Máxima: 9")</f>
        <v>#SLGA - Segunda Licenciatura em Geografia - Segunda Licenciatura em Geografia - Beatriz Cristina Batista Rodrigues - Cartografia - Nota Máxima: 9</v>
      </c>
    </row>
    <row r="1472">
      <c r="A1472" s="390" t="str">
        <f>IFERROR(__xludf.DUMMYFUNCTION("""COMPUTED_VALUE"""),"#SLGA - Segunda Licenciatura em Geografia - Segunda Licenciatura em Geografia - Beatriz Cristina Batista Rodrigues - Cartografia - Nota Máxima: 7")</f>
        <v>#SLGA - Segunda Licenciatura em Geografia - Segunda Licenciatura em Geografia - Beatriz Cristina Batista Rodrigues - Cartografia - Nota Máxima: 7</v>
      </c>
    </row>
    <row r="1473">
      <c r="A1473" s="390" t="str">
        <f>IFERROR(__xludf.DUMMYFUNCTION("""COMPUTED_VALUE"""),"#SLGA - Segunda Licenciatura em Geografia - Segunda Licenciatura em Geografia - Beatriz Cristina Batista Rodrigues - Deficiência Auditiva e Libras/a - Nota Máxima: 9")</f>
        <v>#SLGA - Segunda Licenciatura em Geografia - Segunda Licenciatura em Geografia - Beatriz Cristina Batista Rodrigues - Deficiência Auditiva e Libras/a - Nota Máxima: 9</v>
      </c>
    </row>
    <row r="1474">
      <c r="A1474" s="390" t="str">
        <f>IFERROR(__xludf.DUMMYFUNCTION("""COMPUTED_VALUE"""),"#SLGA - Segunda Licenciatura em Geografia - Segunda Licenciatura em Geografia - Beatriz Cristina Batista Rodrigues - Deficiência Auditiva e Libras/a - Nota Máxima: 10")</f>
        <v>#SLGA - Segunda Licenciatura em Geografia - Segunda Licenciatura em Geografia - Beatriz Cristina Batista Rodrigues - Deficiência Auditiva e Libras/a - Nota Máxima: 10</v>
      </c>
    </row>
    <row r="1475">
      <c r="A1475" s="390" t="str">
        <f>IFERROR(__xludf.DUMMYFUNCTION("""COMPUTED_VALUE"""),"#SLGA - Segunda Licenciatura em Geografia - Segunda Licenciatura em Geografia - Beatriz Cristina Batista Rodrigues - Desenvolvimento do Capital Humano - Nota Máxima: 7")</f>
        <v>#SLGA - Segunda Licenciatura em Geografia - Segunda Licenciatura em Geografia - Beatriz Cristina Batista Rodrigues - Desenvolvimento do Capital Humano - Nota Máxima: 7</v>
      </c>
    </row>
    <row r="1476">
      <c r="A1476" s="390" t="str">
        <f>IFERROR(__xludf.DUMMYFUNCTION("""COMPUTED_VALUE"""),"#SLGA - Segunda Licenciatura em Geografia - Segunda Licenciatura em Geografia - Beatriz Cristina Batista Rodrigues - Desenvolvimento do Capital Humano - Nota Máxima: 7")</f>
        <v>#SLGA - Segunda Licenciatura em Geografia - Segunda Licenciatura em Geografia - Beatriz Cristina Batista Rodrigues - Desenvolvimento do Capital Humano - Nota Máxima: 7</v>
      </c>
    </row>
    <row r="1477">
      <c r="A1477" s="390" t="str">
        <f>IFERROR(__xludf.DUMMYFUNCTION("""COMPUTED_VALUE"""),"#SLGA - Segunda Licenciatura em Geografia - Segunda Licenciatura em Geografia - Beatriz Cristina Batista Rodrigues - Educação Especial, Inclusão Escolar e Adaptações Curriculares - Nota Máxima: 7")</f>
        <v>#SLGA - Segunda Licenciatura em Geografia - Segunda Licenciatura em Geografia - Beatriz Cristina Batista Rodrigues - Educação Especial, Inclusão Escolar e Adaptações Curriculares - Nota Máxima: 7</v>
      </c>
    </row>
    <row r="1478">
      <c r="A1478" s="390" t="str">
        <f>IFERROR(__xludf.DUMMYFUNCTION("""COMPUTED_VALUE"""),"#SLGA - Segunda Licenciatura em Geografia - Segunda Licenciatura em Geografia - Beatriz Cristina Batista Rodrigues - Educação Especial, Inclusão Escolar e Adaptações Curriculares - Nota Máxima: 9")</f>
        <v>#SLGA - Segunda Licenciatura em Geografia - Segunda Licenciatura em Geografia - Beatriz Cristina Batista Rodrigues - Educação Especial, Inclusão Escolar e Adaptações Curriculares - Nota Máxima: 9</v>
      </c>
    </row>
    <row r="1479">
      <c r="A1479" s="390" t="str">
        <f>IFERROR(__xludf.DUMMYFUNCTION("""COMPUTED_VALUE"""),"#SLGA - Segunda Licenciatura em Geografia - Segunda Licenciatura em Geografia - Beatriz Cristina Batista Rodrigues - Educação, História, Cultura e Práticas Indígenas/a - Nota Máxima: 9")</f>
        <v>#SLGA - Segunda Licenciatura em Geografia - Segunda Licenciatura em Geografia - Beatriz Cristina Batista Rodrigues - Educação, História, Cultura e Práticas Indígenas/a - Nota Máxima: 9</v>
      </c>
    </row>
    <row r="1480">
      <c r="A1480" s="390" t="str">
        <f>IFERROR(__xludf.DUMMYFUNCTION("""COMPUTED_VALUE"""),"#SLGA - Segunda Licenciatura em Geografia - Segunda Licenciatura em Geografia - Beatriz Cristina Batista Rodrigues - Educação, História, Cultura e Práticas Indígenas/a - Nota Máxima: 7")</f>
        <v>#SLGA - Segunda Licenciatura em Geografia - Segunda Licenciatura em Geografia - Beatriz Cristina Batista Rodrigues - Educação, História, Cultura e Práticas Indígenas/a - Nota Máxima: 7</v>
      </c>
    </row>
    <row r="1481">
      <c r="A1481" s="390" t="str">
        <f>IFERROR(__xludf.DUMMYFUNCTION("""COMPUTED_VALUE"""),"#SLGA - Segunda Licenciatura em Geografia - Segunda Licenciatura em Geografia - Beatriz Cristina Batista Rodrigues - Estudos Populacionais - Nota Máxima: 9")</f>
        <v>#SLGA - Segunda Licenciatura em Geografia - Segunda Licenciatura em Geografia - Beatriz Cristina Batista Rodrigues - Estudos Populacionais - Nota Máxima: 9</v>
      </c>
    </row>
    <row r="1482">
      <c r="A1482" s="390" t="str">
        <f>IFERROR(__xludf.DUMMYFUNCTION("""COMPUTED_VALUE"""),"#SLGA - Segunda Licenciatura em Geografia - Segunda Licenciatura em Geografia - Beatriz Cristina Batista Rodrigues - Estudos Populacionais - Nota Máxima: 7")</f>
        <v>#SLGA - Segunda Licenciatura em Geografia - Segunda Licenciatura em Geografia - Beatriz Cristina Batista Rodrigues - Estudos Populacionais - Nota Máxima: 7</v>
      </c>
    </row>
    <row r="1483">
      <c r="A1483" s="390" t="str">
        <f>IFERROR(__xludf.DUMMYFUNCTION("""COMPUTED_VALUE"""),"#SLGA - Segunda Licenciatura em Geografia - Segunda Licenciatura em Geografia - Beatriz Cristina Batista Rodrigues - Geografia Física, Política e Urbana - Nota Máxima: 9")</f>
        <v>#SLGA - Segunda Licenciatura em Geografia - Segunda Licenciatura em Geografia - Beatriz Cristina Batista Rodrigues - Geografia Física, Política e Urbana - Nota Máxima: 9</v>
      </c>
    </row>
    <row r="1484">
      <c r="A1484" s="390" t="str">
        <f>IFERROR(__xludf.DUMMYFUNCTION("""COMPUTED_VALUE"""),"#SLGA - Segunda Licenciatura em Geografia - Segunda Licenciatura em Geografia - Beatriz Cristina Batista Rodrigues - Geografia Física, Política e Urbana - Nota Máxima: 7")</f>
        <v>#SLGA - Segunda Licenciatura em Geografia - Segunda Licenciatura em Geografia - Beatriz Cristina Batista Rodrigues - Geografia Física, Política e Urbana - Nota Máxima: 7</v>
      </c>
    </row>
    <row r="1485">
      <c r="A1485" s="390" t="str">
        <f>IFERROR(__xludf.DUMMYFUNCTION("""COMPUTED_VALUE"""),"#SLGA - Segunda Licenciatura em Geografia - Segunda Licenciatura em Geografia - Beatriz Cristina Batista Rodrigues - Geologia - Nota Máxima: 9")</f>
        <v>#SLGA - Segunda Licenciatura em Geografia - Segunda Licenciatura em Geografia - Beatriz Cristina Batista Rodrigues - Geologia - Nota Máxima: 9</v>
      </c>
    </row>
    <row r="1486">
      <c r="A1486" s="390" t="str">
        <f>IFERROR(__xludf.DUMMYFUNCTION("""COMPUTED_VALUE"""),"#SLGA - Segunda Licenciatura em Geografia - Segunda Licenciatura em Geografia - Beatriz Cristina Batista Rodrigues - Geologia - Nota Máxima: 9")</f>
        <v>#SLGA - Segunda Licenciatura em Geografia - Segunda Licenciatura em Geografia - Beatriz Cristina Batista Rodrigues - Geologia - Nota Máxima: 9</v>
      </c>
    </row>
    <row r="1487">
      <c r="A1487" s="390" t="str">
        <f>IFERROR(__xludf.DUMMYFUNCTION("""COMPUTED_VALUE"""),"#SLGA - Segunda Licenciatura em Geografia - Segunda Licenciatura em Geografia - Beatriz Cristina Batista Rodrigues - Geomorfologia - Nota Máxima: 9")</f>
        <v>#SLGA - Segunda Licenciatura em Geografia - Segunda Licenciatura em Geografia - Beatriz Cristina Batista Rodrigues - Geomorfologia - Nota Máxima: 9</v>
      </c>
    </row>
    <row r="1488">
      <c r="A1488" s="390" t="str">
        <f>IFERROR(__xludf.DUMMYFUNCTION("""COMPUTED_VALUE"""),"#SLGA - Segunda Licenciatura em Geografia - Segunda Licenciatura em Geografia - Beatriz Cristina Batista Rodrigues - Legislação Educacional/a - Nota Máxima: 8")</f>
        <v>#SLGA - Segunda Licenciatura em Geografia - Segunda Licenciatura em Geografia - Beatriz Cristina Batista Rodrigues - Legislação Educacional/a - Nota Máxima: 8</v>
      </c>
    </row>
    <row r="1489">
      <c r="A1489" s="390" t="str">
        <f>IFERROR(__xludf.DUMMYFUNCTION("""COMPUTED_VALUE"""),"#SLGA - Segunda Licenciatura em Geografia - Segunda Licenciatura em Geografia - Beatriz Cristina Batista Rodrigues - Legislação Educacional/a - Nota Máxima: 6")</f>
        <v>#SLGA - Segunda Licenciatura em Geografia - Segunda Licenciatura em Geografia - Beatriz Cristina Batista Rodrigues - Legislação Educacional/a - Nota Máxima: 6</v>
      </c>
    </row>
    <row r="1490">
      <c r="A1490" s="390" t="str">
        <f>IFERROR(__xludf.DUMMYFUNCTION("""COMPUTED_VALUE"""),"#SLGA - Segunda Licenciatura em Geografia - Segunda Licenciatura em Geografia - Beatriz Cristina Batista Rodrigues - Planejamento, Gestão Educacional e Currículo/a - Nota Máxima: 9")</f>
        <v>#SLGA - Segunda Licenciatura em Geografia - Segunda Licenciatura em Geografia - Beatriz Cristina Batista Rodrigues - Planejamento, Gestão Educacional e Currículo/a - Nota Máxima: 9</v>
      </c>
    </row>
    <row r="1491">
      <c r="A1491" s="390" t="str">
        <f>IFERROR(__xludf.DUMMYFUNCTION("""COMPUTED_VALUE"""),"#SLGA - Segunda Licenciatura em Geografia - Segunda Licenciatura em Geografia - Beatriz Cristina Batista Rodrigues - Planejamento, Gestão Educacional e Currículo/a - Nota Máxima: 8")</f>
        <v>#SLGA - Segunda Licenciatura em Geografia - Segunda Licenciatura em Geografia - Beatriz Cristina Batista Rodrigues - Planejamento, Gestão Educacional e Currículo/a - Nota Máxima: 8</v>
      </c>
    </row>
    <row r="1492">
      <c r="A1492" s="390" t="str">
        <f>IFERROR(__xludf.DUMMYFUNCTION("""COMPUTED_VALUE"""),"#SLGA - Segunda Licenciatura em Geografia - Segunda Licenciatura em Geografia - Beatriz Cristina Batista Rodrigues - Psicologia da Educação/a - Nota Máxima: 9")</f>
        <v>#SLGA - Segunda Licenciatura em Geografia - Segunda Licenciatura em Geografia - Beatriz Cristina Batista Rodrigues - Psicologia da Educação/a - Nota Máxima: 9</v>
      </c>
    </row>
    <row r="1493">
      <c r="A1493" s="390" t="str">
        <f>IFERROR(__xludf.DUMMYFUNCTION("""COMPUTED_VALUE"""),"#SLGA - Segunda Licenciatura em Geografia - Segunda Licenciatura em Geografia - Beatriz Cristina Batista Rodrigues - Psicologia da Educação/a - Nota Máxima: 7")</f>
        <v>#SLGA - Segunda Licenciatura em Geografia - Segunda Licenciatura em Geografia - Beatriz Cristina Batista Rodrigues - Psicologia da Educação/a - Nota Máxima: 7</v>
      </c>
    </row>
    <row r="1494">
      <c r="A1494" s="390" t="str">
        <f>IFERROR(__xludf.DUMMYFUNCTION("""COMPUTED_VALUE"""),"#SLGA - Segunda Licenciatura em Geografia - Segunda Licenciatura em Geografia - Izaura Aparecida Ferreira - A cognição Humana - Nota Máxima: 10")</f>
        <v>#SLGA - Segunda Licenciatura em Geografia - Segunda Licenciatura em Geografia - Izaura Aparecida Ferreira - A cognição Humana - Nota Máxima: 10</v>
      </c>
    </row>
    <row r="1495">
      <c r="A1495" s="390" t="str">
        <f>IFERROR(__xludf.DUMMYFUNCTION("""COMPUTED_VALUE"""),"#SLGA - Segunda Licenciatura em Geografia - Segunda Licenciatura em Geografia - Izaura Aparecida Ferreira - A cognição Humana - Nota Máxima: 3")</f>
        <v>#SLGA - Segunda Licenciatura em Geografia - Segunda Licenciatura em Geografia - Izaura Aparecida Ferreira - A cognição Humana - Nota Máxima: 3</v>
      </c>
    </row>
    <row r="1496">
      <c r="A1496" s="390" t="str">
        <f>IFERROR(__xludf.DUMMYFUNCTION("""COMPUTED_VALUE"""),"#SLGA - Segunda Licenciatura em Geografia - Segunda Licenciatura em Geografia - Izaura Aparecida Ferreira - Biogeografia - Nota Máxima: 10")</f>
        <v>#SLGA - Segunda Licenciatura em Geografia - Segunda Licenciatura em Geografia - Izaura Aparecida Ferreira - Biogeografia - Nota Máxima: 10</v>
      </c>
    </row>
    <row r="1497">
      <c r="A1497" s="390" t="str">
        <f>IFERROR(__xludf.DUMMYFUNCTION("""COMPUTED_VALUE"""),"#SLGA - Segunda Licenciatura em Geografia - Segunda Licenciatura em Geografia - Izaura Aparecida Ferreira - Biogeografia - Nota Máxima: 8")</f>
        <v>#SLGA - Segunda Licenciatura em Geografia - Segunda Licenciatura em Geografia - Izaura Aparecida Ferreira - Biogeografia - Nota Máxima: 8</v>
      </c>
    </row>
    <row r="1498">
      <c r="A1498" s="390" t="str">
        <f>IFERROR(__xludf.DUMMYFUNCTION("""COMPUTED_VALUE"""),"#SLGA - Segunda Licenciatura em Geografia - Segunda Licenciatura em Geografia - Izaura Aparecida Ferreira - Cartografia - Nota Máxima: 9")</f>
        <v>#SLGA - Segunda Licenciatura em Geografia - Segunda Licenciatura em Geografia - Izaura Aparecida Ferreira - Cartografia - Nota Máxima: 9</v>
      </c>
    </row>
    <row r="1499">
      <c r="A1499" s="390" t="str">
        <f>IFERROR(__xludf.DUMMYFUNCTION("""COMPUTED_VALUE"""),"#SLGA - Segunda Licenciatura em Geografia - Segunda Licenciatura em Geografia - Izaura Aparecida Ferreira - Cartografia - Nota Máxima: 7")</f>
        <v>#SLGA - Segunda Licenciatura em Geografia - Segunda Licenciatura em Geografia - Izaura Aparecida Ferreira - Cartografia - Nota Máxima: 7</v>
      </c>
    </row>
    <row r="1500">
      <c r="A1500" s="390" t="str">
        <f>IFERROR(__xludf.DUMMYFUNCTION("""COMPUTED_VALUE"""),"#SLGA - Segunda Licenciatura em Geografia - Segunda Licenciatura em Geografia - Izaura Aparecida Ferreira - Deficiência Auditiva e Libras/a - Nota Máxima: 10")</f>
        <v>#SLGA - Segunda Licenciatura em Geografia - Segunda Licenciatura em Geografia - Izaura Aparecida Ferreira - Deficiência Auditiva e Libras/a - Nota Máxima: 10</v>
      </c>
    </row>
    <row r="1501">
      <c r="A1501" s="390" t="str">
        <f>IFERROR(__xludf.DUMMYFUNCTION("""COMPUTED_VALUE"""),"#SLGA - Segunda Licenciatura em Geografia - Segunda Licenciatura em Geografia - Izaura Aparecida Ferreira - Deficiência Auditiva e Libras/a - Nota Máxima: 9")</f>
        <v>#SLGA - Segunda Licenciatura em Geografia - Segunda Licenciatura em Geografia - Izaura Aparecida Ferreira - Deficiência Auditiva e Libras/a - Nota Máxima: 9</v>
      </c>
    </row>
    <row r="1502">
      <c r="A1502" s="390" t="str">
        <f>IFERROR(__xludf.DUMMYFUNCTION("""COMPUTED_VALUE"""),"#SLGA - Segunda Licenciatura em Geografia - Segunda Licenciatura em Geografia - Izaura Aparecida Ferreira - Desenvolvimento do Capital Humano - Nota Máxima: 8")</f>
        <v>#SLGA - Segunda Licenciatura em Geografia - Segunda Licenciatura em Geografia - Izaura Aparecida Ferreira - Desenvolvimento do Capital Humano - Nota Máxima: 8</v>
      </c>
    </row>
    <row r="1503">
      <c r="A1503" s="390" t="str">
        <f>IFERROR(__xludf.DUMMYFUNCTION("""COMPUTED_VALUE"""),"#SLGA - Segunda Licenciatura em Geografia - Segunda Licenciatura em Geografia - Izaura Aparecida Ferreira - Desenvolvimento do Capital Humano - Nota Máxima: 7")</f>
        <v>#SLGA - Segunda Licenciatura em Geografia - Segunda Licenciatura em Geografia - Izaura Aparecida Ferreira - Desenvolvimento do Capital Humano - Nota Máxima: 7</v>
      </c>
    </row>
    <row r="1504">
      <c r="A1504" s="390" t="str">
        <f>IFERROR(__xludf.DUMMYFUNCTION("""COMPUTED_VALUE"""),"#SLGA - Segunda Licenciatura em Geografia - Segunda Licenciatura em Geografia - Izaura Aparecida Ferreira - Educação Especial, Inclusão Escolar e Adaptações Curriculares - Nota Máxima: 10")</f>
        <v>#SLGA - Segunda Licenciatura em Geografia - Segunda Licenciatura em Geografia - Izaura Aparecida Ferreira - Educação Especial, Inclusão Escolar e Adaptações Curriculares - Nota Máxima: 10</v>
      </c>
    </row>
    <row r="1505">
      <c r="A1505" s="390" t="str">
        <f>IFERROR(__xludf.DUMMYFUNCTION("""COMPUTED_VALUE"""),"#SLGA - Segunda Licenciatura em Geografia - Segunda Licenciatura em Geografia - Izaura Aparecida Ferreira - Educação Especial, Inclusão Escolar e Adaptações Curriculares - Nota Máxima: 9")</f>
        <v>#SLGA - Segunda Licenciatura em Geografia - Segunda Licenciatura em Geografia - Izaura Aparecida Ferreira - Educação Especial, Inclusão Escolar e Adaptações Curriculares - Nota Máxima: 9</v>
      </c>
    </row>
    <row r="1506">
      <c r="A1506" s="390" t="str">
        <f>IFERROR(__xludf.DUMMYFUNCTION("""COMPUTED_VALUE"""),"#SLGA - Segunda Licenciatura em Geografia - Segunda Licenciatura em Geografia - Izaura Aparecida Ferreira - Educação, História, Cultura e Práticas Indígenas/a - Nota Máxima: 10")</f>
        <v>#SLGA - Segunda Licenciatura em Geografia - Segunda Licenciatura em Geografia - Izaura Aparecida Ferreira - Educação, História, Cultura e Práticas Indígenas/a - Nota Máxima: 10</v>
      </c>
    </row>
    <row r="1507">
      <c r="A1507" s="390" t="str">
        <f>IFERROR(__xludf.DUMMYFUNCTION("""COMPUTED_VALUE"""),"#SLGA - Segunda Licenciatura em Geografia - Segunda Licenciatura em Geografia - Izaura Aparecida Ferreira - Educação, História, Cultura e Práticas Indígenas/a - Nota Máxima: 8")</f>
        <v>#SLGA - Segunda Licenciatura em Geografia - Segunda Licenciatura em Geografia - Izaura Aparecida Ferreira - Educação, História, Cultura e Práticas Indígenas/a - Nota Máxima: 8</v>
      </c>
    </row>
    <row r="1508">
      <c r="A1508" s="390" t="str">
        <f>IFERROR(__xludf.DUMMYFUNCTION("""COMPUTED_VALUE"""),"#SLGA - Segunda Licenciatura em Geografia - Segunda Licenciatura em Geografia - Izaura Aparecida Ferreira - Estudos Populacionais - Nota Máxima: 10")</f>
        <v>#SLGA - Segunda Licenciatura em Geografia - Segunda Licenciatura em Geografia - Izaura Aparecida Ferreira - Estudos Populacionais - Nota Máxima: 10</v>
      </c>
    </row>
    <row r="1509">
      <c r="A1509" s="390" t="str">
        <f>IFERROR(__xludf.DUMMYFUNCTION("""COMPUTED_VALUE"""),"#SLGA - Segunda Licenciatura em Geografia - Segunda Licenciatura em Geografia - Izaura Aparecida Ferreira - Estudos Populacionais - Nota Máxima: 10")</f>
        <v>#SLGA - Segunda Licenciatura em Geografia - Segunda Licenciatura em Geografia - Izaura Aparecida Ferreira - Estudos Populacionais - Nota Máxima: 10</v>
      </c>
    </row>
    <row r="1510">
      <c r="A1510" s="390" t="str">
        <f>IFERROR(__xludf.DUMMYFUNCTION("""COMPUTED_VALUE"""),"#SLGA - Segunda Licenciatura em Geografia - Segunda Licenciatura em Geografia - Izaura Aparecida Ferreira - Geografia Física, Política e Urbana - Nota Máxima: 9")</f>
        <v>#SLGA - Segunda Licenciatura em Geografia - Segunda Licenciatura em Geografia - Izaura Aparecida Ferreira - Geografia Física, Política e Urbana - Nota Máxima: 9</v>
      </c>
    </row>
    <row r="1511">
      <c r="A1511" s="390" t="str">
        <f>IFERROR(__xludf.DUMMYFUNCTION("""COMPUTED_VALUE"""),"#SLGA - Segunda Licenciatura em Geografia - Segunda Licenciatura em Geografia - Izaura Aparecida Ferreira - Geografia Física, Política e Urbana - Nota Máxima: 6")</f>
        <v>#SLGA - Segunda Licenciatura em Geografia - Segunda Licenciatura em Geografia - Izaura Aparecida Ferreira - Geografia Física, Política e Urbana - Nota Máxima: 6</v>
      </c>
    </row>
    <row r="1512">
      <c r="A1512" s="390" t="str">
        <f>IFERROR(__xludf.DUMMYFUNCTION("""COMPUTED_VALUE"""),"#SLGA - Segunda Licenciatura em Geografia - Segunda Licenciatura em Geografia - Izaura Aparecida Ferreira - Geologia - Nota Máxima: 10")</f>
        <v>#SLGA - Segunda Licenciatura em Geografia - Segunda Licenciatura em Geografia - Izaura Aparecida Ferreira - Geologia - Nota Máxima: 10</v>
      </c>
    </row>
    <row r="1513">
      <c r="A1513" s="390" t="str">
        <f>IFERROR(__xludf.DUMMYFUNCTION("""COMPUTED_VALUE"""),"#SLGA - Segunda Licenciatura em Geografia - Segunda Licenciatura em Geografia - Izaura Aparecida Ferreira - Geologia - Nota Máxima: 1")</f>
        <v>#SLGA - Segunda Licenciatura em Geografia - Segunda Licenciatura em Geografia - Izaura Aparecida Ferreira - Geologia - Nota Máxima: 1</v>
      </c>
    </row>
    <row r="1514">
      <c r="A1514" s="390" t="str">
        <f>IFERROR(__xludf.DUMMYFUNCTION("""COMPUTED_VALUE"""),"#SLGA - Segunda Licenciatura em Geografia - Segunda Licenciatura em Geografia - Izaura Aparecida Ferreira - Geomorfologia - Nota Máxima: 9")</f>
        <v>#SLGA - Segunda Licenciatura em Geografia - Segunda Licenciatura em Geografia - Izaura Aparecida Ferreira - Geomorfologia - Nota Máxima: 9</v>
      </c>
    </row>
    <row r="1515">
      <c r="A1515" s="390" t="str">
        <f>IFERROR(__xludf.DUMMYFUNCTION("""COMPUTED_VALUE"""),"#SLGA - Segunda Licenciatura em Geografia - Segunda Licenciatura em Geografia - Izaura Aparecida Ferreira - Geomorfologia - Nota Máxima: 6")</f>
        <v>#SLGA - Segunda Licenciatura em Geografia - Segunda Licenciatura em Geografia - Izaura Aparecida Ferreira - Geomorfologia - Nota Máxima: 6</v>
      </c>
    </row>
    <row r="1516">
      <c r="A1516" s="390" t="str">
        <f>IFERROR(__xludf.DUMMYFUNCTION("""COMPUTED_VALUE"""),"#SLGA - Segunda Licenciatura em Geografia - Segunda Licenciatura em Geografia - Izaura Aparecida Ferreira - Legislação Educacional/a - Nota Máxima: 9")</f>
        <v>#SLGA - Segunda Licenciatura em Geografia - Segunda Licenciatura em Geografia - Izaura Aparecida Ferreira - Legislação Educacional/a - Nota Máxima: 9</v>
      </c>
    </row>
    <row r="1517">
      <c r="A1517" s="390" t="str">
        <f>IFERROR(__xludf.DUMMYFUNCTION("""COMPUTED_VALUE"""),"#SLGA - Segunda Licenciatura em Geografia - Segunda Licenciatura em Geografia - Izaura Aparecida Ferreira - Legislação Educacional/a - Nota Máxima: 6")</f>
        <v>#SLGA - Segunda Licenciatura em Geografia - Segunda Licenciatura em Geografia - Izaura Aparecida Ferreira - Legislação Educacional/a - Nota Máxima: 6</v>
      </c>
    </row>
    <row r="1518">
      <c r="A1518" s="390" t="str">
        <f>IFERROR(__xludf.DUMMYFUNCTION("""COMPUTED_VALUE"""),"#SLGA - Segunda Licenciatura em Geografia - Segunda Licenciatura em Geografia - Izaura Aparecida Ferreira - Planejamento, Gestão Educacional e Currículo/a - Nota Máxima: 10")</f>
        <v>#SLGA - Segunda Licenciatura em Geografia - Segunda Licenciatura em Geografia - Izaura Aparecida Ferreira - Planejamento, Gestão Educacional e Currículo/a - Nota Máxima: 10</v>
      </c>
    </row>
    <row r="1519">
      <c r="A1519" s="390" t="str">
        <f>IFERROR(__xludf.DUMMYFUNCTION("""COMPUTED_VALUE"""),"#SLGA - Segunda Licenciatura em Geografia - Segunda Licenciatura em Geografia - Izaura Aparecida Ferreira - Planejamento, Gestão Educacional e Currículo/a - Nota Máxima: 10")</f>
        <v>#SLGA - Segunda Licenciatura em Geografia - Segunda Licenciatura em Geografia - Izaura Aparecida Ferreira - Planejamento, Gestão Educacional e Currículo/a - Nota Máxima: 10</v>
      </c>
    </row>
    <row r="1520">
      <c r="A1520" s="390" t="str">
        <f>IFERROR(__xludf.DUMMYFUNCTION("""COMPUTED_VALUE"""),"#SLGA - Segunda Licenciatura em Geografia - Segunda Licenciatura em Geografia - Izaura Aparecida Ferreira - Psicologia da Educação/a - Nota Máxima: 10")</f>
        <v>#SLGA - Segunda Licenciatura em Geografia - Segunda Licenciatura em Geografia - Izaura Aparecida Ferreira - Psicologia da Educação/a - Nota Máxima: 10</v>
      </c>
    </row>
    <row r="1521">
      <c r="A1521" s="390" t="str">
        <f>IFERROR(__xludf.DUMMYFUNCTION("""COMPUTED_VALUE"""),"#SLGA - Segunda Licenciatura em Geografia - Segunda Licenciatura em Geografia - Izaura Aparecida Ferreira - Psicologia da Educação/a - Nota Máxima: 4")</f>
        <v>#SLGA - Segunda Licenciatura em Geografia - Segunda Licenciatura em Geografia - Izaura Aparecida Ferreira - Psicologia da Educação/a - Nota Máxima: 4</v>
      </c>
    </row>
    <row r="1522">
      <c r="A1522" s="390" t="str">
        <f>IFERROR(__xludf.DUMMYFUNCTION("""COMPUTED_VALUE"""),"#SLGA - Segunda Licenciatura em Geografia - SEGUNDA LICENCIATURA EM GEOGRAFIA- U - Nádia Maria Dorneles - Biogeografia - Nota Máxima: 10")</f>
        <v>#SLGA - Segunda Licenciatura em Geografia - SEGUNDA LICENCIATURA EM GEOGRAFIA- U - Nádia Maria Dorneles - Biogeografia - Nota Máxima: 10</v>
      </c>
    </row>
    <row r="1523">
      <c r="A1523" s="390" t="str">
        <f>IFERROR(__xludf.DUMMYFUNCTION("""COMPUTED_VALUE"""),"#SLGA - Segunda Licenciatura em Geografia - SEGUNDA LICENCIATURA EM GEOGRAFIA- U - Nádia Maria Dorneles - Biogeografia - Nota Máxima: 6")</f>
        <v>#SLGA - Segunda Licenciatura em Geografia - SEGUNDA LICENCIATURA EM GEOGRAFIA- U - Nádia Maria Dorneles - Biogeografia - Nota Máxima: 6</v>
      </c>
    </row>
    <row r="1524">
      <c r="A1524" s="390" t="str">
        <f>IFERROR(__xludf.DUMMYFUNCTION("""COMPUTED_VALUE"""),"#SLGA - Segunda Licenciatura em Geografia - SEGUNDA LICENCIATURA EM GEOGRAFIA- U - Nádia Maria Dorneles - Práticas Pedagógicas - 400 Horas - Nota Máxima: 4")</f>
        <v>#SLGA - Segunda Licenciatura em Geografia - SEGUNDA LICENCIATURA EM GEOGRAFIA- U - Nádia Maria Dorneles - Práticas Pedagógicas - 400 Horas - Nota Máxima: 4</v>
      </c>
    </row>
    <row r="1525">
      <c r="A1525" s="390" t="str">
        <f>IFERROR(__xludf.DUMMYFUNCTION("""COMPUTED_VALUE"""),"#SLGA - Segunda Licenciatura em Geografia - SEGUNDA LICENCIATURA EM GEOGRAFIA- U - Nádia Maria Dorneles - Práticas Pedagógicas - 400 Horas - Nota Máxima: 3")</f>
        <v>#SLGA - Segunda Licenciatura em Geografia - SEGUNDA LICENCIATURA EM GEOGRAFIA- U - Nádia Maria Dorneles - Práticas Pedagógicas - 400 Horas - Nota Máxima: 3</v>
      </c>
    </row>
    <row r="1526">
      <c r="A1526" s="390" t="str">
        <f>IFERROR(__xludf.DUMMYFUNCTION("""COMPUTED_VALUE"""),"Formação Pedagógica em Química - Formação Pedagógica em Química - Flávio Ferreira de Souza - A cognição Humana - Nota Máxima: 9")</f>
        <v>Formação Pedagógica em Química - Formação Pedagógica em Química - Flávio Ferreira de Souza - A cognição Humana - Nota Máxima: 9</v>
      </c>
    </row>
    <row r="1527">
      <c r="A1527" s="390" t="str">
        <f>IFERROR(__xludf.DUMMYFUNCTION("""COMPUTED_VALUE"""),"Formação Pedagógica em Química - Formação Pedagógica em Química - Flávio Ferreira de Souza - Características e Funções de Elementos Químicos - Nota Máxima: 10")</f>
        <v>Formação Pedagógica em Química - Formação Pedagógica em Química - Flávio Ferreira de Souza - Características e Funções de Elementos Químicos - Nota Máxima: 10</v>
      </c>
    </row>
    <row r="1528">
      <c r="A1528" s="390" t="str">
        <f>IFERROR(__xludf.DUMMYFUNCTION("""COMPUTED_VALUE"""),"Formação Pedagógica em Química - Formação Pedagógica em Química - Flávio Ferreira de Souza - Deficiência Auditiva e Libras/a - Nota Máxima: 10")</f>
        <v>Formação Pedagógica em Química - Formação Pedagógica em Química - Flávio Ferreira de Souza - Deficiência Auditiva e Libras/a - Nota Máxima: 10</v>
      </c>
    </row>
    <row r="1529">
      <c r="A1529" s="390" t="str">
        <f>IFERROR(__xludf.DUMMYFUNCTION("""COMPUTED_VALUE"""),"Formação Pedagógica em Química - Formação Pedagógica em Química - Flávio Ferreira de Souza - Educação e as Tic's - Nota Máxima: 10")</f>
        <v>Formação Pedagógica em Química - Formação Pedagógica em Química - Flávio Ferreira de Souza - Educação e as Tic's - Nota Máxima: 10</v>
      </c>
    </row>
    <row r="1530">
      <c r="A1530" s="390" t="str">
        <f>IFERROR(__xludf.DUMMYFUNCTION("""COMPUTED_VALUE"""),"Formação Pedagógica em Química - Formação Pedagógica em Química - Flávio Ferreira de Souza - Educação e as Tic's - Nota Máxima: 10")</f>
        <v>Formação Pedagógica em Química - Formação Pedagógica em Química - Flávio Ferreira de Souza - Educação e as Tic's - Nota Máxima: 10</v>
      </c>
    </row>
    <row r="1531">
      <c r="A1531" s="390" t="str">
        <f>IFERROR(__xludf.DUMMYFUNCTION("""COMPUTED_VALUE"""),"Formação Pedagógica em Química - Formação Pedagógica em Química - Flávio Ferreira de Souza - Educação Especial, Inclusão Escolar e Adaptações Curriculares - Nota Máxima: 10")</f>
        <v>Formação Pedagógica em Química - Formação Pedagógica em Química - Flávio Ferreira de Souza - Educação Especial, Inclusão Escolar e Adaptações Curriculares - Nota Máxima: 10</v>
      </c>
    </row>
    <row r="1532">
      <c r="A1532" s="390" t="str">
        <f>IFERROR(__xludf.DUMMYFUNCTION("""COMPUTED_VALUE"""),"Formação Pedagógica em Química - Formação Pedagógica em Química - Flávio Ferreira de Souza - Educação, História, Cultura e Práticas Indígenas/a - Nota Máxima: 9")</f>
        <v>Formação Pedagógica em Química - Formação Pedagógica em Química - Flávio Ferreira de Souza - Educação, História, Cultura e Práticas Indígenas/a - Nota Máxima: 9</v>
      </c>
    </row>
    <row r="1533">
      <c r="A1533" s="390" t="str">
        <f>IFERROR(__xludf.DUMMYFUNCTION("""COMPUTED_VALUE"""),"Formação Pedagógica em Química - Formação Pedagógica em Química - Flávio Ferreira de Souza - Ensino de Química na Educação Básica - Nota Máxima: 10")</f>
        <v>Formação Pedagógica em Química - Formação Pedagógica em Química - Flávio Ferreira de Souza - Ensino de Química na Educação Básica - Nota Máxima: 10</v>
      </c>
    </row>
    <row r="1534">
      <c r="A1534" s="390" t="str">
        <f>IFERROR(__xludf.DUMMYFUNCTION("""COMPUTED_VALUE"""),"Formação Pedagógica em Química - Formação Pedagógica em Química - Flávio Ferreira de Souza - Fundamentos da Química Analítica - Nota Máxima: 10")</f>
        <v>Formação Pedagógica em Química - Formação Pedagógica em Química - Flávio Ferreira de Souza - Fundamentos da Química Analítica - Nota Máxima: 10</v>
      </c>
    </row>
    <row r="1535">
      <c r="A1535" s="390" t="str">
        <f>IFERROR(__xludf.DUMMYFUNCTION("""COMPUTED_VALUE"""),"Formação Pedagógica em Química - Formação Pedagógica em Química - Flávio Ferreira de Souza - Fundamentos da Química Orgânica - Nota Máxima: 9")</f>
        <v>Formação Pedagógica em Química - Formação Pedagógica em Química - Flávio Ferreira de Souza - Fundamentos da Química Orgânica - Nota Máxima: 9</v>
      </c>
    </row>
    <row r="1536">
      <c r="A1536" s="390" t="str">
        <f>IFERROR(__xludf.DUMMYFUNCTION("""COMPUTED_VALUE"""),"Formação Pedagógica em Química - Formação Pedagógica em Química - Flávio Ferreira de Souza - Legislação Educacional/a - Nota Máxima: 9")</f>
        <v>Formação Pedagógica em Química - Formação Pedagógica em Química - Flávio Ferreira de Souza - Legislação Educacional/a - Nota Máxima: 9</v>
      </c>
    </row>
    <row r="1537">
      <c r="A1537" s="390" t="str">
        <f>IFERROR(__xludf.DUMMYFUNCTION("""COMPUTED_VALUE"""),"Formação Pedagógica em Química - Formação Pedagógica em Química - Flávio Ferreira de Souza - Planejamento, Gestão Educacional e Currículo/a - Nota Máxima: 10")</f>
        <v>Formação Pedagógica em Química - Formação Pedagógica em Química - Flávio Ferreira de Souza - Planejamento, Gestão Educacional e Currículo/a - Nota Máxima: 10</v>
      </c>
    </row>
    <row r="1538">
      <c r="A1538" s="390" t="str">
        <f>IFERROR(__xludf.DUMMYFUNCTION("""COMPUTED_VALUE"""),"Formação Pedagógica em Química - Formação Pedagógica em Química - Flávio Ferreira de Souza - Probabilidade e Estatística - Nota Máxima: 10")</f>
        <v>Formação Pedagógica em Química - Formação Pedagógica em Química - Flávio Ferreira de Souza - Probabilidade e Estatística - Nota Máxima: 10</v>
      </c>
    </row>
    <row r="1539">
      <c r="A1539" s="390" t="str">
        <f>IFERROR(__xludf.DUMMYFUNCTION("""COMPUTED_VALUE"""),"Formação Pedagógica em Química - Formação Pedagógica em Química - Flávio Ferreira de Souza - Psicologia da Educação/a - Nota Máxima: 10")</f>
        <v>Formação Pedagógica em Química - Formação Pedagógica em Química - Flávio Ferreira de Souza - Psicologia da Educação/a - Nota Máxima: 10</v>
      </c>
    </row>
    <row r="1540">
      <c r="A1540" s="390" t="str">
        <f>IFERROR(__xludf.DUMMYFUNCTION("""COMPUTED_VALUE"""),"Formação Pedagógica em Química - Formação Pedagógica em Química - Flávio Ferreira de Souza - Química Inorgânica - Nota Máxima: 10")</f>
        <v>Formação Pedagógica em Química - Formação Pedagógica em Química - Flávio Ferreira de Souza - Química Inorgânica - Nota Máxima: 10</v>
      </c>
    </row>
    <row r="1541">
      <c r="A1541" s="390" t="str">
        <f>IFERROR(__xludf.DUMMYFUNCTION("""COMPUTED_VALUE"""),"#SLLPA - Segunda Licenciatura Letras - Português - #SLLPA - Segunda Licenciatura Letras - Português - Fernanda de Araujo Moraes Massari - Deficiência Auditiva e Libras/a - Nota Máxima: 10")</f>
        <v>#SLLPA - Segunda Licenciatura Letras - Português - #SLLPA - Segunda Licenciatura Letras - Português - Fernanda de Araujo Moraes Massari - Deficiência Auditiva e Libras/a - Nota Máxima: 10</v>
      </c>
    </row>
    <row r="1542">
      <c r="A1542" s="390" t="str">
        <f>IFERROR(__xludf.DUMMYFUNCTION("""COMPUTED_VALUE"""),"#SLLPA - Segunda Licenciatura Letras - Português - #SLLPA - Segunda Licenciatura Letras - Português - Fernanda de Araujo Moraes Massari - Deficiência Auditiva e Libras/a - Nota Máxima: 10")</f>
        <v>#SLLPA - Segunda Licenciatura Letras - Português - #SLLPA - Segunda Licenciatura Letras - Português - Fernanda de Araujo Moraes Massari - Deficiência Auditiva e Libras/a - Nota Máxima: 10</v>
      </c>
    </row>
    <row r="1543">
      <c r="A1543" s="390" t="str">
        <f>IFERROR(__xludf.DUMMYFUNCTION("""COMPUTED_VALUE"""),"#SLLPA - Segunda Licenciatura Letras - Português - #SLLPA - Segunda Licenciatura Letras - Português - Fernanda de Araujo Moraes Massari - Distúrbios de Aprendizagem na Leitura E Escrita - Nota Máxima: 10")</f>
        <v>#SLLPA - Segunda Licenciatura Letras - Português - #SLLPA - Segunda Licenciatura Letras - Português - Fernanda de Araujo Moraes Massari - Distúrbios de Aprendizagem na Leitura E Escrita - Nota Máxima: 10</v>
      </c>
    </row>
    <row r="1544">
      <c r="A1544" s="390" t="str">
        <f>IFERROR(__xludf.DUMMYFUNCTION("""COMPUTED_VALUE"""),"#SLLPA - Segunda Licenciatura Letras - Português - #SLLPA - Segunda Licenciatura Letras - Português - Fernanda de Araujo Moraes Massari - Distúrbios de Aprendizagem na Leitura E Escrita - Nota Máxima: 10")</f>
        <v>#SLLPA - Segunda Licenciatura Letras - Português - #SLLPA - Segunda Licenciatura Letras - Português - Fernanda de Araujo Moraes Massari - Distúrbios de Aprendizagem na Leitura E Escrita - Nota Máxima: 10</v>
      </c>
    </row>
    <row r="1545">
      <c r="A1545" s="390" t="str">
        <f>IFERROR(__xludf.DUMMYFUNCTION("""COMPUTED_VALUE"""),"#SLLPA - Segunda Licenciatura Letras - Português - #SLLPA - Segunda Licenciatura Letras - Português - Leonara Oliveira Barbosa - Deficiência Auditiva e Libras/a - Nota Máxima: 10")</f>
        <v>#SLLPA - Segunda Licenciatura Letras - Português - #SLLPA - Segunda Licenciatura Letras - Português - Leonara Oliveira Barbosa - Deficiência Auditiva e Libras/a - Nota Máxima: 10</v>
      </c>
    </row>
    <row r="1546">
      <c r="A1546" s="390" t="str">
        <f>IFERROR(__xludf.DUMMYFUNCTION("""COMPUTED_VALUE"""),"#SLLPA - Segunda Licenciatura Letras - Português - #SLLPA - Segunda Licenciatura Letras - Português - Leonara Oliveira Barbosa - Deficiência Auditiva e Libras/a - Nota Máxima: 6")</f>
        <v>#SLLPA - Segunda Licenciatura Letras - Português - #SLLPA - Segunda Licenciatura Letras - Português - Leonara Oliveira Barbosa - Deficiência Auditiva e Libras/a - Nota Máxima: 6</v>
      </c>
    </row>
    <row r="1547">
      <c r="A1547" s="390" t="str">
        <f>IFERROR(__xludf.DUMMYFUNCTION("""COMPUTED_VALUE"""),"#SLLPA - Segunda Licenciatura Letras - Português - #SLLPA - Segunda Licenciatura Letras - Português - Leonara Oliveira Barbosa - Distúrbios de Aprendizagem na Leitura E Escrita - Nota Máxima: 9")</f>
        <v>#SLLPA - Segunda Licenciatura Letras - Português - #SLLPA - Segunda Licenciatura Letras - Português - Leonara Oliveira Barbosa - Distúrbios de Aprendizagem na Leitura E Escrita - Nota Máxima: 9</v>
      </c>
    </row>
    <row r="1548">
      <c r="A1548" s="390" t="str">
        <f>IFERROR(__xludf.DUMMYFUNCTION("""COMPUTED_VALUE"""),"#SLLPA - Segunda Licenciatura Letras - Português - #SLLPA - Segunda Licenciatura Letras - Português - Leonara Oliveira Barbosa - Distúrbios de Aprendizagem na Leitura E Escrita - Nota Máxima: 8")</f>
        <v>#SLLPA - Segunda Licenciatura Letras - Português - #SLLPA - Segunda Licenciatura Letras - Português - Leonara Oliveira Barbosa - Distúrbios de Aprendizagem na Leitura E Escrita - Nota Máxima: 8</v>
      </c>
    </row>
    <row r="1549">
      <c r="A1549" s="390" t="str">
        <f>IFERROR(__xludf.DUMMYFUNCTION("""COMPUTED_VALUE"""),"#SLLPA - Segunda Licenciatura Letras - Português - #SLLPA - Segunda Licenciatura Letras - Português - Leonara Oliveira Barbosa - Educação Especial, Inclusão Escolar e Adaptações Curriculares - Nota Máxima: 8")</f>
        <v>#SLLPA - Segunda Licenciatura Letras - Português - #SLLPA - Segunda Licenciatura Letras - Português - Leonara Oliveira Barbosa - Educação Especial, Inclusão Escolar e Adaptações Curriculares - Nota Máxima: 8</v>
      </c>
    </row>
    <row r="1550">
      <c r="A1550" s="390" t="str">
        <f>IFERROR(__xludf.DUMMYFUNCTION("""COMPUTED_VALUE"""),"#SLLPA - Segunda Licenciatura Letras - Português - #SLLPA - Segunda Licenciatura Letras - Português - Leonara Oliveira Barbosa - Educação Especial, Inclusão Escolar e Adaptações Curriculares - Nota Máxima: 7")</f>
        <v>#SLLPA - Segunda Licenciatura Letras - Português - #SLLPA - Segunda Licenciatura Letras - Português - Leonara Oliveira Barbosa - Educação Especial, Inclusão Escolar e Adaptações Curriculares - Nota Máxima: 7</v>
      </c>
    </row>
    <row r="1551">
      <c r="A1551" s="390" t="str">
        <f>IFERROR(__xludf.DUMMYFUNCTION("""COMPUTED_VALUE"""),"#SLLPA - Segunda Licenciatura Letras - Português - #SLLPA - Segunda Licenciatura Letras - Português - Leonara Oliveira Barbosa - Educação, História, Cultura e Práticas Indígenas/b - Nota Máxima: 9")</f>
        <v>#SLLPA - Segunda Licenciatura Letras - Português - #SLLPA - Segunda Licenciatura Letras - Português - Leonara Oliveira Barbosa - Educação, História, Cultura e Práticas Indígenas/b - Nota Máxima: 9</v>
      </c>
    </row>
    <row r="1552">
      <c r="A1552" s="390" t="str">
        <f>IFERROR(__xludf.DUMMYFUNCTION("""COMPUTED_VALUE"""),"#SLLPA - Segunda Licenciatura Letras - Português - #SLLPA - Segunda Licenciatura Letras - Português - Leonara Oliveira Barbosa - Educação, História, Cultura e Práticas Indígenas/b - Nota Máxima: 6")</f>
        <v>#SLLPA - Segunda Licenciatura Letras - Português - #SLLPA - Segunda Licenciatura Letras - Português - Leonara Oliveira Barbosa - Educação, História, Cultura e Práticas Indígenas/b - Nota Máxima: 6</v>
      </c>
    </row>
    <row r="1553">
      <c r="A1553" s="390" t="str">
        <f>IFERROR(__xludf.DUMMYFUNCTION("""COMPUTED_VALUE"""),"#SLLPA - Segunda Licenciatura Letras - Português - #SLLPA - Segunda Licenciatura Letras - Português - Leonara Oliveira Barbosa - Estudos Morfossintáticos da Língua Portuguesa/b - Nota Máxima: 10")</f>
        <v>#SLLPA - Segunda Licenciatura Letras - Português - #SLLPA - Segunda Licenciatura Letras - Português - Leonara Oliveira Barbosa - Estudos Morfossintáticos da Língua Portuguesa/b - Nota Máxima: 10</v>
      </c>
    </row>
    <row r="1554">
      <c r="A1554" s="390" t="str">
        <f>IFERROR(__xludf.DUMMYFUNCTION("""COMPUTED_VALUE"""),"#SLLPA - Segunda Licenciatura Letras - Português - #SLLPA - Segunda Licenciatura Letras - Português - Leonara Oliveira Barbosa - Estudos Morfossintáticos da Língua Portuguesa/b - Nota Máxima: 7")</f>
        <v>#SLLPA - Segunda Licenciatura Letras - Português - #SLLPA - Segunda Licenciatura Letras - Português - Leonara Oliveira Barbosa - Estudos Morfossintáticos da Língua Portuguesa/b - Nota Máxima: 7</v>
      </c>
    </row>
    <row r="1555">
      <c r="A1555" s="390" t="str">
        <f>IFERROR(__xludf.DUMMYFUNCTION("""COMPUTED_VALUE"""),"#SLLPA - Segunda Licenciatura Letras - Português - #SLLPA - Segunda Licenciatura Letras - Português - Leonara Oliveira Barbosa - Legislação Educacional/a - Nota Máxima: 10")</f>
        <v>#SLLPA - Segunda Licenciatura Letras - Português - #SLLPA - Segunda Licenciatura Letras - Português - Leonara Oliveira Barbosa - Legislação Educacional/a - Nota Máxima: 10</v>
      </c>
    </row>
    <row r="1556">
      <c r="A1556" s="390" t="str">
        <f>IFERROR(__xludf.DUMMYFUNCTION("""COMPUTED_VALUE"""),"#SLLPA - Segunda Licenciatura Letras - Português - #SLLPA - Segunda Licenciatura Letras - Português - Leonara Oliveira Barbosa - Legislação Educacional/a - Nota Máxima: 6")</f>
        <v>#SLLPA - Segunda Licenciatura Letras - Português - #SLLPA - Segunda Licenciatura Letras - Português - Leonara Oliveira Barbosa - Legislação Educacional/a - Nota Máxima: 6</v>
      </c>
    </row>
    <row r="1557">
      <c r="A1557" s="390" t="str">
        <f>IFERROR(__xludf.DUMMYFUNCTION("""COMPUTED_VALUE"""),"#SLLPA - Segunda Licenciatura Letras - Português - #SLLPA - Segunda Licenciatura Letras - Português - Leonara Oliveira Barbosa - Linguística Aplicada ao Ensino de Português/a - Nota Máxima: 10")</f>
        <v>#SLLPA - Segunda Licenciatura Letras - Português - #SLLPA - Segunda Licenciatura Letras - Português - Leonara Oliveira Barbosa - Linguística Aplicada ao Ensino de Português/a - Nota Máxima: 10</v>
      </c>
    </row>
    <row r="1558">
      <c r="A1558" s="390" t="str">
        <f>IFERROR(__xludf.DUMMYFUNCTION("""COMPUTED_VALUE"""),"#SLLPA - Segunda Licenciatura Letras - Português - #SLLPA - Segunda Licenciatura Letras - Português - Leonara Oliveira Barbosa - Linguística Aplicada ao Ensino de Português/a - Nota Máxima: 6")</f>
        <v>#SLLPA - Segunda Licenciatura Letras - Português - #SLLPA - Segunda Licenciatura Letras - Português - Leonara Oliveira Barbosa - Linguística Aplicada ao Ensino de Português/a - Nota Máxima: 6</v>
      </c>
    </row>
    <row r="1559">
      <c r="A1559" s="390" t="str">
        <f>IFERROR(__xludf.DUMMYFUNCTION("""COMPUTED_VALUE"""),"#SLLPA - Segunda Licenciatura Letras - Português - #SLLPA - Segunda Licenciatura Letras - Português - Leonara Oliveira Barbosa - Metodologia do Ensino da Língua Portuguesa I - Nota Máxima: 10")</f>
        <v>#SLLPA - Segunda Licenciatura Letras - Português - #SLLPA - Segunda Licenciatura Letras - Português - Leonara Oliveira Barbosa - Metodologia do Ensino da Língua Portuguesa I - Nota Máxima: 10</v>
      </c>
    </row>
    <row r="1560">
      <c r="A1560" s="390" t="str">
        <f>IFERROR(__xludf.DUMMYFUNCTION("""COMPUTED_VALUE"""),"#SLLPA - Segunda Licenciatura Letras - Português - #SLLPA - Segunda Licenciatura Letras - Português - Leonara Oliveira Barbosa - Metodologia do Ensino da Língua Portuguesa I - Nota Máxima: 9")</f>
        <v>#SLLPA - Segunda Licenciatura Letras - Português - #SLLPA - Segunda Licenciatura Letras - Português - Leonara Oliveira Barbosa - Metodologia do Ensino da Língua Portuguesa I - Nota Máxima: 9</v>
      </c>
    </row>
    <row r="1561">
      <c r="A1561" s="390" t="str">
        <f>IFERROR(__xludf.DUMMYFUNCTION("""COMPUTED_VALUE"""),"#SLLPA - Segunda Licenciatura Letras - Português - #SLLPA - Segunda Licenciatura Letras - Português - Leonara Oliveira Barbosa - Metodologia do Ensino da Língua Portuguesa II.. - Nota Máxima: 10")</f>
        <v>#SLLPA - Segunda Licenciatura Letras - Português - #SLLPA - Segunda Licenciatura Letras - Português - Leonara Oliveira Barbosa - Metodologia do Ensino da Língua Portuguesa II.. - Nota Máxima: 10</v>
      </c>
    </row>
    <row r="1562">
      <c r="A1562" s="390" t="str">
        <f>IFERROR(__xludf.DUMMYFUNCTION("""COMPUTED_VALUE"""),"#SLLPA - Segunda Licenciatura Letras - Português - #SLLPA - Segunda Licenciatura Letras - Português - Leonara Oliveira Barbosa - Metodologia do Ensino da Língua Portuguesa II.. - Nota Máxima: 6")</f>
        <v>#SLLPA - Segunda Licenciatura Letras - Português - #SLLPA - Segunda Licenciatura Letras - Português - Leonara Oliveira Barbosa - Metodologia do Ensino da Língua Portuguesa II.. - Nota Máxima: 6</v>
      </c>
    </row>
    <row r="1563">
      <c r="A1563" s="390" t="str">
        <f>IFERROR(__xludf.DUMMYFUNCTION("""COMPUTED_VALUE"""),"#SLLPA - Segunda Licenciatura Letras - Português - #SLLPA - Segunda Licenciatura Letras - Português - Leonara Oliveira Barbosa - Planejamento, Gestão Educacional e Currículo/a - Nota Máxima: 10")</f>
        <v>#SLLPA - Segunda Licenciatura Letras - Português - #SLLPA - Segunda Licenciatura Letras - Português - Leonara Oliveira Barbosa - Planejamento, Gestão Educacional e Currículo/a - Nota Máxima: 10</v>
      </c>
    </row>
    <row r="1564">
      <c r="A1564" s="390" t="str">
        <f>IFERROR(__xludf.DUMMYFUNCTION("""COMPUTED_VALUE"""),"#SLLPA - Segunda Licenciatura Letras - Português - #SLLPA - Segunda Licenciatura Letras - Português - Leonara Oliveira Barbosa - Planejamento, Gestão Educacional e Currículo/a - Nota Máxima: 10")</f>
        <v>#SLLPA - Segunda Licenciatura Letras - Português - #SLLPA - Segunda Licenciatura Letras - Português - Leonara Oliveira Barbosa - Planejamento, Gestão Educacional e Currículo/a - Nota Máxima: 10</v>
      </c>
    </row>
    <row r="1565">
      <c r="A1565" s="390" t="str">
        <f>IFERROR(__xludf.DUMMYFUNCTION("""COMPUTED_VALUE"""),"#SLLPA - Segunda Licenciatura Letras - Português - #SLLPA - Segunda Licenciatura Letras - Português - Leonara Oliveira Barbosa - Psicologia da Educação – 100H - Nota Máxima: 8")</f>
        <v>#SLLPA - Segunda Licenciatura Letras - Português - #SLLPA - Segunda Licenciatura Letras - Português - Leonara Oliveira Barbosa - Psicologia da Educação – 100H - Nota Máxima: 8</v>
      </c>
    </row>
    <row r="1566">
      <c r="A1566" s="390" t="str">
        <f>IFERROR(__xludf.DUMMYFUNCTION("""COMPUTED_VALUE"""),"#SLLPA - Segunda Licenciatura Letras - Português - #SLLPA - Segunda Licenciatura Letras - Português - Leonara Oliveira Barbosa - Psicologia da Educação – 100H - Nota Máxima: 7")</f>
        <v>#SLLPA - Segunda Licenciatura Letras - Português - #SLLPA - Segunda Licenciatura Letras - Português - Leonara Oliveira Barbosa - Psicologia da Educação – 100H - Nota Máxima: 7</v>
      </c>
    </row>
    <row r="1567">
      <c r="A1567" s="390" t="str">
        <f>IFERROR(__xludf.DUMMYFUNCTION("""COMPUTED_VALUE"""),"#SLLPA - Segunda Licenciatura Letras - Português - #SLLPA - Segunda Licenciatura Letras - Português - Leonara Oliveira Barbosa - Psicomotricidade e Linguagem na Alfabetização/b - Nota Máxima: 9")</f>
        <v>#SLLPA - Segunda Licenciatura Letras - Português - #SLLPA - Segunda Licenciatura Letras - Português - Leonara Oliveira Barbosa - Psicomotricidade e Linguagem na Alfabetização/b - Nota Máxima: 9</v>
      </c>
    </row>
    <row r="1568">
      <c r="A1568" s="390" t="str">
        <f>IFERROR(__xludf.DUMMYFUNCTION("""COMPUTED_VALUE"""),"#SLLPA - Segunda Licenciatura Letras - Português - #SLLPA - Segunda Licenciatura Letras - Português - Leonara Oliveira Barbosa - Psicomotricidade e Linguagem na Alfabetização/b - Nota Máxima: 5")</f>
        <v>#SLLPA - Segunda Licenciatura Letras - Português - #SLLPA - Segunda Licenciatura Letras - Português - Leonara Oliveira Barbosa - Psicomotricidade e Linguagem na Alfabetização/b - Nota Máxima: 5</v>
      </c>
    </row>
    <row r="1569">
      <c r="A1569" s="390" t="str">
        <f>IFERROR(__xludf.DUMMYFUNCTION("""COMPUTED_VALUE"""),"#SLLPA - Segunda Licenciatura Letras - Português - #SLLPA - Segunda Licenciatura Letras - Português - Leonara Oliveira Barbosa - Teoria da Literatura/b - Nota Máxima: 10")</f>
        <v>#SLLPA - Segunda Licenciatura Letras - Português - #SLLPA - Segunda Licenciatura Letras - Português - Leonara Oliveira Barbosa - Teoria da Literatura/b - Nota Máxima: 10</v>
      </c>
    </row>
    <row r="1570">
      <c r="A1570" s="390" t="str">
        <f>IFERROR(__xludf.DUMMYFUNCTION("""COMPUTED_VALUE"""),"#SLLPA - Segunda Licenciatura Letras - Português - #SLLPA - Segunda Licenciatura Letras - Português - Leonara Oliveira Barbosa - Teoria da Literatura/b - Nota Máxima: 9")</f>
        <v>#SLLPA - Segunda Licenciatura Letras - Português - #SLLPA - Segunda Licenciatura Letras - Português - Leonara Oliveira Barbosa - Teoria da Literatura/b - Nota Máxima: 9</v>
      </c>
    </row>
    <row r="1571">
      <c r="A1571" s="390" t="str">
        <f>IFERROR(__xludf.DUMMYFUNCTION("""COMPUTED_VALUE"""),"#SLLPA - Segunda Licenciatura Letras - Português - #SLLPA - Segunda Licenciatura Letras - Português - Denise Andrea Nobre Lopes - Deficiência Auditiva e Libras/a - Nota Máxima: 10")</f>
        <v>#SLLPA - Segunda Licenciatura Letras - Português - #SLLPA - Segunda Licenciatura Letras - Português - Denise Andrea Nobre Lopes - Deficiência Auditiva e Libras/a - Nota Máxima: 10</v>
      </c>
    </row>
    <row r="1572">
      <c r="A1572" s="390" t="str">
        <f>IFERROR(__xludf.DUMMYFUNCTION("""COMPUTED_VALUE"""),"#SLLPA - Segunda Licenciatura Letras - Português - #SLLPA - Segunda Licenciatura Letras - Português - Denise Andrea Nobre Lopes - Deficiência Auditiva e Libras/a - Nota Máxima: 10")</f>
        <v>#SLLPA - Segunda Licenciatura Letras - Português - #SLLPA - Segunda Licenciatura Letras - Português - Denise Andrea Nobre Lopes - Deficiência Auditiva e Libras/a - Nota Máxima: 10</v>
      </c>
    </row>
    <row r="1573">
      <c r="A1573" s="390" t="str">
        <f>IFERROR(__xludf.DUMMYFUNCTION("""COMPUTED_VALUE"""),"#SLLPA - Segunda Licenciatura Letras - Português - #SLLPA - Segunda Licenciatura Letras - Português - Denise Andrea Nobre Lopes - Distúrbios de Aprendizagem na Leitura E Escrita - Nota Máxima: 10")</f>
        <v>#SLLPA - Segunda Licenciatura Letras - Português - #SLLPA - Segunda Licenciatura Letras - Português - Denise Andrea Nobre Lopes - Distúrbios de Aprendizagem na Leitura E Escrita - Nota Máxima: 10</v>
      </c>
    </row>
    <row r="1574">
      <c r="A1574" s="390" t="str">
        <f>IFERROR(__xludf.DUMMYFUNCTION("""COMPUTED_VALUE"""),"#SLLPA - Segunda Licenciatura Letras - Português - #SLLPA - Segunda Licenciatura Letras - Português - Denise Andrea Nobre Lopes - Distúrbios de Aprendizagem na Leitura E Escrita - Nota Máxima: 9")</f>
        <v>#SLLPA - Segunda Licenciatura Letras - Português - #SLLPA - Segunda Licenciatura Letras - Português - Denise Andrea Nobre Lopes - Distúrbios de Aprendizagem na Leitura E Escrita - Nota Máxima: 9</v>
      </c>
    </row>
    <row r="1575">
      <c r="A1575" s="390" t="str">
        <f>IFERROR(__xludf.DUMMYFUNCTION("""COMPUTED_VALUE"""),"#SLLPA - Segunda Licenciatura Letras - Português - #SLLPA - Segunda Licenciatura Letras - Português - Denise Andrea Nobre Lopes - Educação Especial, Inclusão Escolar e Adaptações Curriculares - Nota Máxima: 10")</f>
        <v>#SLLPA - Segunda Licenciatura Letras - Português - #SLLPA - Segunda Licenciatura Letras - Português - Denise Andrea Nobre Lopes - Educação Especial, Inclusão Escolar e Adaptações Curriculares - Nota Máxima: 10</v>
      </c>
    </row>
    <row r="1576">
      <c r="A1576" s="390" t="str">
        <f>IFERROR(__xludf.DUMMYFUNCTION("""COMPUTED_VALUE"""),"#SLLPA - Segunda Licenciatura Letras - Português - #SLLPA - Segunda Licenciatura Letras - Português - Denise Andrea Nobre Lopes - Educação Especial, Inclusão Escolar e Adaptações Curriculares - Nota Máxima: 8")</f>
        <v>#SLLPA - Segunda Licenciatura Letras - Português - #SLLPA - Segunda Licenciatura Letras - Português - Denise Andrea Nobre Lopes - Educação Especial, Inclusão Escolar e Adaptações Curriculares - Nota Máxima: 8</v>
      </c>
    </row>
    <row r="1577">
      <c r="A1577" s="390" t="str">
        <f>IFERROR(__xludf.DUMMYFUNCTION("""COMPUTED_VALUE"""),"#SLLPA - Segunda Licenciatura Letras - Português - #SLLPA - Segunda Licenciatura Letras - Português - Denise Andrea Nobre Lopes - Educação, História, Cultura e Práticas Indígenas/b - Nota Máxima: 10")</f>
        <v>#SLLPA - Segunda Licenciatura Letras - Português - #SLLPA - Segunda Licenciatura Letras - Português - Denise Andrea Nobre Lopes - Educação, História, Cultura e Práticas Indígenas/b - Nota Máxima: 10</v>
      </c>
    </row>
    <row r="1578">
      <c r="A1578" s="390" t="str">
        <f>IFERROR(__xludf.DUMMYFUNCTION("""COMPUTED_VALUE"""),"#SLLPA - Segunda Licenciatura Letras - Português - #SLLPA - Segunda Licenciatura Letras - Português - Denise Andrea Nobre Lopes - Educação, História, Cultura e Práticas Indígenas/b - Nota Máxima: 9")</f>
        <v>#SLLPA - Segunda Licenciatura Letras - Português - #SLLPA - Segunda Licenciatura Letras - Português - Denise Andrea Nobre Lopes - Educação, História, Cultura e Práticas Indígenas/b - Nota Máxima: 9</v>
      </c>
    </row>
    <row r="1579">
      <c r="A1579" s="390" t="str">
        <f>IFERROR(__xludf.DUMMYFUNCTION("""COMPUTED_VALUE"""),"#SLLPA - Segunda Licenciatura Letras - Português - #SLLPA - Segunda Licenciatura Letras - Português - Denise Andrea Nobre Lopes - Estudos Morfossintáticos da Língua Portuguesa/b - Nota Máxima: 10")</f>
        <v>#SLLPA - Segunda Licenciatura Letras - Português - #SLLPA - Segunda Licenciatura Letras - Português - Denise Andrea Nobre Lopes - Estudos Morfossintáticos da Língua Portuguesa/b - Nota Máxima: 10</v>
      </c>
    </row>
    <row r="1580">
      <c r="A1580" s="390" t="str">
        <f>IFERROR(__xludf.DUMMYFUNCTION("""COMPUTED_VALUE"""),"#SLLPA - Segunda Licenciatura Letras - Português - #SLLPA - Segunda Licenciatura Letras - Português - Denise Andrea Nobre Lopes - Estudos Morfossintáticos da Língua Portuguesa/b - Nota Máxima: 8")</f>
        <v>#SLLPA - Segunda Licenciatura Letras - Português - #SLLPA - Segunda Licenciatura Letras - Português - Denise Andrea Nobre Lopes - Estudos Morfossintáticos da Língua Portuguesa/b - Nota Máxima: 8</v>
      </c>
    </row>
    <row r="1581">
      <c r="A1581" s="390" t="str">
        <f>IFERROR(__xludf.DUMMYFUNCTION("""COMPUTED_VALUE"""),"#SLLPA - Segunda Licenciatura Letras - Português - #SLLPA - Segunda Licenciatura Letras - Português - Denise Andrea Nobre Lopes - Legislação Educacional/a - Nota Máxima: 10")</f>
        <v>#SLLPA - Segunda Licenciatura Letras - Português - #SLLPA - Segunda Licenciatura Letras - Português - Denise Andrea Nobre Lopes - Legislação Educacional/a - Nota Máxima: 10</v>
      </c>
    </row>
    <row r="1582">
      <c r="A1582" s="390" t="str">
        <f>IFERROR(__xludf.DUMMYFUNCTION("""COMPUTED_VALUE"""),"#SLLPA - Segunda Licenciatura Letras - Português - #SLLPA - Segunda Licenciatura Letras - Português - Denise Andrea Nobre Lopes - Legislação Educacional/a - Nota Máxima: 9")</f>
        <v>#SLLPA - Segunda Licenciatura Letras - Português - #SLLPA - Segunda Licenciatura Letras - Português - Denise Andrea Nobre Lopes - Legislação Educacional/a - Nota Máxima: 9</v>
      </c>
    </row>
    <row r="1583">
      <c r="A1583" s="390" t="str">
        <f>IFERROR(__xludf.DUMMYFUNCTION("""COMPUTED_VALUE"""),"#SLLPA - Segunda Licenciatura Letras - Português - #SLLPA - Segunda Licenciatura Letras - Português - Denise Andrea Nobre Lopes - Linguística Aplicada ao Ensino de Português/a - Nota Máxima: 10")</f>
        <v>#SLLPA - Segunda Licenciatura Letras - Português - #SLLPA - Segunda Licenciatura Letras - Português - Denise Andrea Nobre Lopes - Linguística Aplicada ao Ensino de Português/a - Nota Máxima: 10</v>
      </c>
    </row>
    <row r="1584">
      <c r="A1584" s="390" t="str">
        <f>IFERROR(__xludf.DUMMYFUNCTION("""COMPUTED_VALUE"""),"#SLLPA - Segunda Licenciatura Letras - Português - #SLLPA - Segunda Licenciatura Letras - Português - Denise Andrea Nobre Lopes - Linguística Aplicada ao Ensino de Português/a - Nota Máxima: 5")</f>
        <v>#SLLPA - Segunda Licenciatura Letras - Português - #SLLPA - Segunda Licenciatura Letras - Português - Denise Andrea Nobre Lopes - Linguística Aplicada ao Ensino de Português/a - Nota Máxima: 5</v>
      </c>
    </row>
    <row r="1585">
      <c r="A1585" s="390" t="str">
        <f>IFERROR(__xludf.DUMMYFUNCTION("""COMPUTED_VALUE"""),"#SLLPA - Segunda Licenciatura Letras - Português - #SLLPA - Segunda Licenciatura Letras - Português - Denise Andrea Nobre Lopes - Metodologia do Ensino da Língua Portuguesa I - Nota Máxima: 10")</f>
        <v>#SLLPA - Segunda Licenciatura Letras - Português - #SLLPA - Segunda Licenciatura Letras - Português - Denise Andrea Nobre Lopes - Metodologia do Ensino da Língua Portuguesa I - Nota Máxima: 10</v>
      </c>
    </row>
    <row r="1586">
      <c r="A1586" s="390" t="str">
        <f>IFERROR(__xludf.DUMMYFUNCTION("""COMPUTED_VALUE"""),"#SLLPA - Segunda Licenciatura Letras - Português - #SLLPA - Segunda Licenciatura Letras - Português - Denise Andrea Nobre Lopes - Metodologia do Ensino da Língua Portuguesa I - Nota Máxima: 9")</f>
        <v>#SLLPA - Segunda Licenciatura Letras - Português - #SLLPA - Segunda Licenciatura Letras - Português - Denise Andrea Nobre Lopes - Metodologia do Ensino da Língua Portuguesa I - Nota Máxima: 9</v>
      </c>
    </row>
    <row r="1587">
      <c r="A1587" s="390" t="str">
        <f>IFERROR(__xludf.DUMMYFUNCTION("""COMPUTED_VALUE"""),"#SLLPA - Segunda Licenciatura Letras - Português - #SLLPA - Segunda Licenciatura Letras - Português - Denise Andrea Nobre Lopes - Metodologia do Ensino da Língua Portuguesa II.. - Nota Máxima: 10")</f>
        <v>#SLLPA - Segunda Licenciatura Letras - Português - #SLLPA - Segunda Licenciatura Letras - Português - Denise Andrea Nobre Lopes - Metodologia do Ensino da Língua Portuguesa II.. - Nota Máxima: 10</v>
      </c>
    </row>
    <row r="1588">
      <c r="A1588" s="390" t="str">
        <f>IFERROR(__xludf.DUMMYFUNCTION("""COMPUTED_VALUE"""),"#SLLPA - Segunda Licenciatura Letras - Português - #SLLPA - Segunda Licenciatura Letras - Português - Denise Andrea Nobre Lopes - Metodologia do Ensino da Língua Portuguesa II.. - Nota Máxima: 9")</f>
        <v>#SLLPA - Segunda Licenciatura Letras - Português - #SLLPA - Segunda Licenciatura Letras - Português - Denise Andrea Nobre Lopes - Metodologia do Ensino da Língua Portuguesa II.. - Nota Máxima: 9</v>
      </c>
    </row>
    <row r="1589">
      <c r="A1589" s="390" t="str">
        <f>IFERROR(__xludf.DUMMYFUNCTION("""COMPUTED_VALUE"""),"#SLLPA - Segunda Licenciatura Letras - Português - #SLLPA - Segunda Licenciatura Letras - Português - Denise Andrea Nobre Lopes - Planejamento, Gestão Educacional e Currículo/a - Nota Máxima: 10")</f>
        <v>#SLLPA - Segunda Licenciatura Letras - Português - #SLLPA - Segunda Licenciatura Letras - Português - Denise Andrea Nobre Lopes - Planejamento, Gestão Educacional e Currículo/a - Nota Máxima: 10</v>
      </c>
    </row>
    <row r="1590">
      <c r="A1590" s="390" t="str">
        <f>IFERROR(__xludf.DUMMYFUNCTION("""COMPUTED_VALUE"""),"#SLLPA - Segunda Licenciatura Letras - Português - #SLLPA - Segunda Licenciatura Letras - Português - Denise Andrea Nobre Lopes - Planejamento, Gestão Educacional e Currículo/a - Nota Máxima: 10")</f>
        <v>#SLLPA - Segunda Licenciatura Letras - Português - #SLLPA - Segunda Licenciatura Letras - Português - Denise Andrea Nobre Lopes - Planejamento, Gestão Educacional e Currículo/a - Nota Máxima: 10</v>
      </c>
    </row>
    <row r="1591">
      <c r="A1591" s="390" t="str">
        <f>IFERROR(__xludf.DUMMYFUNCTION("""COMPUTED_VALUE"""),"#SLLPA - Segunda Licenciatura Letras - Português - #SLLPA - Segunda Licenciatura Letras - Português - Denise Andrea Nobre Lopes - Práticas Pedagógicas - 400 Horas - Nota Máxima: 10")</f>
        <v>#SLLPA - Segunda Licenciatura Letras - Português - #SLLPA - Segunda Licenciatura Letras - Português - Denise Andrea Nobre Lopes - Práticas Pedagógicas - 400 Horas - Nota Máxima: 10</v>
      </c>
    </row>
    <row r="1592">
      <c r="A1592" s="390" t="str">
        <f>IFERROR(__xludf.DUMMYFUNCTION("""COMPUTED_VALUE"""),"#SLLPA - Segunda Licenciatura Letras - Português - #SLLPA - Segunda Licenciatura Letras - Português - Denise Andrea Nobre Lopes - Práticas Pedagógicas - 400 Horas - Nota Máxima: 45784")</f>
        <v>#SLLPA - Segunda Licenciatura Letras - Português - #SLLPA - Segunda Licenciatura Letras - Português - Denise Andrea Nobre Lopes - Práticas Pedagógicas - 400 Horas - Nota Máxima: 45784</v>
      </c>
    </row>
    <row r="1593">
      <c r="A1593" s="390" t="str">
        <f>IFERROR(__xludf.DUMMYFUNCTION("""COMPUTED_VALUE"""),"#SLLPA - Segunda Licenciatura Letras - Português - #SLLPA - Segunda Licenciatura Letras - Português - Denise Andrea Nobre Lopes - Psicologia da Educação – 100H - Nota Máxima: 10")</f>
        <v>#SLLPA - Segunda Licenciatura Letras - Português - #SLLPA - Segunda Licenciatura Letras - Português - Denise Andrea Nobre Lopes - Psicologia da Educação – 100H - Nota Máxima: 10</v>
      </c>
    </row>
    <row r="1594">
      <c r="A1594" s="390" t="str">
        <f>IFERROR(__xludf.DUMMYFUNCTION("""COMPUTED_VALUE"""),"#SLLPA - Segunda Licenciatura Letras - Português - #SLLPA - Segunda Licenciatura Letras - Português - Denise Andrea Nobre Lopes - Psicologia da Educação – 100H - Nota Máxima: 5")</f>
        <v>#SLLPA - Segunda Licenciatura Letras - Português - #SLLPA - Segunda Licenciatura Letras - Português - Denise Andrea Nobre Lopes - Psicologia da Educação – 100H - Nota Máxima: 5</v>
      </c>
    </row>
    <row r="1595">
      <c r="A1595" s="390" t="str">
        <f>IFERROR(__xludf.DUMMYFUNCTION("""COMPUTED_VALUE"""),"#SLLPA - Segunda Licenciatura Letras - Português - #SLLPA - Segunda Licenciatura Letras - Português - Denise Andrea Nobre Lopes - Psicomotricidade e Linguagem na Alfabetização/b - Nota Máxima: 10")</f>
        <v>#SLLPA - Segunda Licenciatura Letras - Português - #SLLPA - Segunda Licenciatura Letras - Português - Denise Andrea Nobre Lopes - Psicomotricidade e Linguagem na Alfabetização/b - Nota Máxima: 10</v>
      </c>
    </row>
    <row r="1596">
      <c r="A1596" s="390" t="str">
        <f>IFERROR(__xludf.DUMMYFUNCTION("""COMPUTED_VALUE"""),"#SLLPA - Segunda Licenciatura Letras - Português - #SLLPA - Segunda Licenciatura Letras - Português - Denise Andrea Nobre Lopes - Psicomotricidade e Linguagem na Alfabetização/b - Nota Máxima: 8")</f>
        <v>#SLLPA - Segunda Licenciatura Letras - Português - #SLLPA - Segunda Licenciatura Letras - Português - Denise Andrea Nobre Lopes - Psicomotricidade e Linguagem na Alfabetização/b - Nota Máxima: 8</v>
      </c>
    </row>
    <row r="1597">
      <c r="A1597" s="390" t="str">
        <f>IFERROR(__xludf.DUMMYFUNCTION("""COMPUTED_VALUE"""),"#SLLPA - Segunda Licenciatura Letras - Português - #SLLPA - Segunda Licenciatura Letras - Português - Denise Andrea Nobre Lopes - Teoria da Literatura/b - Nota Máxima: 10")</f>
        <v>#SLLPA - Segunda Licenciatura Letras - Português - #SLLPA - Segunda Licenciatura Letras - Português - Denise Andrea Nobre Lopes - Teoria da Literatura/b - Nota Máxima: 10</v>
      </c>
    </row>
    <row r="1598">
      <c r="A1598" s="390" t="str">
        <f>IFERROR(__xludf.DUMMYFUNCTION("""COMPUTED_VALUE"""),"#SLLPA - Segunda Licenciatura Letras - Português - #SLLPA - Segunda Licenciatura Letras - Português - Denise Andrea Nobre Lopes - Teoria da Literatura/b - Nota Máxima: 6")</f>
        <v>#SLLPA - Segunda Licenciatura Letras - Português - #SLLPA - Segunda Licenciatura Letras - Português - Denise Andrea Nobre Lopes - Teoria da Literatura/b - Nota Máxima: 6</v>
      </c>
    </row>
    <row r="1599">
      <c r="A1599" s="390" t="str">
        <f>IFERROR(__xludf.DUMMYFUNCTION("""COMPUTED_VALUE"""),"#SLLPA - Segunda Licenciatura Letras - Português - #SLLPA - Segunda Licenciatura Letras - Português - Vanessa Konig Ritter - Deficiência Auditiva e Libras/a - Nota Máxima: 9")</f>
        <v>#SLLPA - Segunda Licenciatura Letras - Português - #SLLPA - Segunda Licenciatura Letras - Português - Vanessa Konig Ritter - Deficiência Auditiva e Libras/a - Nota Máxima: 9</v>
      </c>
    </row>
    <row r="1600">
      <c r="A1600" s="390" t="str">
        <f>IFERROR(__xludf.DUMMYFUNCTION("""COMPUTED_VALUE"""),"#SLLPA - Segunda Licenciatura Letras - Português - #SLLPA - Segunda Licenciatura Letras - Português - Vanessa Konig Ritter - Distúrbios de Aprendizagem na Leitura E Escrita - Nota Máxima: 8")</f>
        <v>#SLLPA - Segunda Licenciatura Letras - Português - #SLLPA - Segunda Licenciatura Letras - Português - Vanessa Konig Ritter - Distúrbios de Aprendizagem na Leitura E Escrita - Nota Máxima: 8</v>
      </c>
    </row>
    <row r="1601">
      <c r="A1601" s="390" t="str">
        <f>IFERROR(__xludf.DUMMYFUNCTION("""COMPUTED_VALUE"""),"#SLLPA - Segunda Licenciatura Letras - Português - #SLLPA - Segunda Licenciatura Letras - Português - Juliana Gonçalves de Camargo - Deficiência Auditiva e Libras/a - Nota Máxima: 10")</f>
        <v>#SLLPA - Segunda Licenciatura Letras - Português - #SLLPA - Segunda Licenciatura Letras - Português - Juliana Gonçalves de Camargo - Deficiência Auditiva e Libras/a - Nota Máxima: 10</v>
      </c>
    </row>
    <row r="1602">
      <c r="A1602" s="390" t="str">
        <f>IFERROR(__xludf.DUMMYFUNCTION("""COMPUTED_VALUE"""),"#SLLPA - Segunda Licenciatura Letras - Português - #SLLPA - Segunda Licenciatura Letras - Português - Juliana Gonçalves de Camargo - Deficiência Auditiva e Libras/a - Nota Máxima: 10")</f>
        <v>#SLLPA - Segunda Licenciatura Letras - Português - #SLLPA - Segunda Licenciatura Letras - Português - Juliana Gonçalves de Camargo - Deficiência Auditiva e Libras/a - Nota Máxima: 10</v>
      </c>
    </row>
    <row r="1603">
      <c r="A1603" s="390" t="str">
        <f>IFERROR(__xludf.DUMMYFUNCTION("""COMPUTED_VALUE"""),"#SLLPA - Segunda Licenciatura Letras - Português - #SLLPA - Segunda Licenciatura Letras - Português - Juliana Gonçalves de Camargo - Distúrbios de Aprendizagem na Leitura E Escrita - Nota Máxima: 10")</f>
        <v>#SLLPA - Segunda Licenciatura Letras - Português - #SLLPA - Segunda Licenciatura Letras - Português - Juliana Gonçalves de Camargo - Distúrbios de Aprendizagem na Leitura E Escrita - Nota Máxima: 10</v>
      </c>
    </row>
    <row r="1604">
      <c r="A1604" s="390" t="str">
        <f>IFERROR(__xludf.DUMMYFUNCTION("""COMPUTED_VALUE"""),"#SLLPA - Segunda Licenciatura Letras - Português - #SLLPA - Segunda Licenciatura Letras - Português - Juliana Gonçalves de Camargo - Distúrbios de Aprendizagem na Leitura E Escrita - Nota Máxima: 9")</f>
        <v>#SLLPA - Segunda Licenciatura Letras - Português - #SLLPA - Segunda Licenciatura Letras - Português - Juliana Gonçalves de Camargo - Distúrbios de Aprendizagem na Leitura E Escrita - Nota Máxima: 9</v>
      </c>
    </row>
    <row r="1605">
      <c r="A1605" s="390" t="str">
        <f>IFERROR(__xludf.DUMMYFUNCTION("""COMPUTED_VALUE"""),"#SLLPA - Segunda Licenciatura Letras - Português - #SLLPA - Segunda Licenciatura Letras - Português - Juliana Gonçalves de Camargo - Educação Especial, Inclusão Escolar e Adaptações Curriculares - Nota Máxima: 10")</f>
        <v>#SLLPA - Segunda Licenciatura Letras - Português - #SLLPA - Segunda Licenciatura Letras - Português - Juliana Gonçalves de Camargo - Educação Especial, Inclusão Escolar e Adaptações Curriculares - Nota Máxima: 10</v>
      </c>
    </row>
    <row r="1606">
      <c r="A1606" s="390" t="str">
        <f>IFERROR(__xludf.DUMMYFUNCTION("""COMPUTED_VALUE"""),"#SLLPA - Segunda Licenciatura Letras - Português - #SLLPA - Segunda Licenciatura Letras - Português - Juliana Gonçalves de Camargo - Educação Especial, Inclusão Escolar e Adaptações Curriculares - Nota Máxima: 10")</f>
        <v>#SLLPA - Segunda Licenciatura Letras - Português - #SLLPA - Segunda Licenciatura Letras - Português - Juliana Gonçalves de Camargo - Educação Especial, Inclusão Escolar e Adaptações Curriculares - Nota Máxima: 10</v>
      </c>
    </row>
    <row r="1607">
      <c r="A1607" s="390" t="str">
        <f>IFERROR(__xludf.DUMMYFUNCTION("""COMPUTED_VALUE"""),"#SLLPA - Segunda Licenciatura Letras - Português - #SLLPA - Segunda Licenciatura Letras - Português - Juliana Gonçalves de Camargo - Educação, História, Cultura e Práticas Indígenas/b - Nota Máxima: 10")</f>
        <v>#SLLPA - Segunda Licenciatura Letras - Português - #SLLPA - Segunda Licenciatura Letras - Português - Juliana Gonçalves de Camargo - Educação, História, Cultura e Práticas Indígenas/b - Nota Máxima: 10</v>
      </c>
    </row>
    <row r="1608">
      <c r="A1608" s="390" t="str">
        <f>IFERROR(__xludf.DUMMYFUNCTION("""COMPUTED_VALUE"""),"#SLLPA - Segunda Licenciatura Letras - Português - #SLLPA - Segunda Licenciatura Letras - Português - Juliana Gonçalves de Camargo - Educação, História, Cultura e Práticas Indígenas/b - Nota Máxima: 7")</f>
        <v>#SLLPA - Segunda Licenciatura Letras - Português - #SLLPA - Segunda Licenciatura Letras - Português - Juliana Gonçalves de Camargo - Educação, História, Cultura e Práticas Indígenas/b - Nota Máxima: 7</v>
      </c>
    </row>
    <row r="1609">
      <c r="A1609" s="390" t="str">
        <f>IFERROR(__xludf.DUMMYFUNCTION("""COMPUTED_VALUE"""),"#SLLPA - Segunda Licenciatura Letras - Português - #SLLPA - Segunda Licenciatura Letras - Português - Juliana Gonçalves de Camargo - Estudos Morfossintáticos da Língua Portuguesa/b - Nota Máxima: 10")</f>
        <v>#SLLPA - Segunda Licenciatura Letras - Português - #SLLPA - Segunda Licenciatura Letras - Português - Juliana Gonçalves de Camargo - Estudos Morfossintáticos da Língua Portuguesa/b - Nota Máxima: 10</v>
      </c>
    </row>
    <row r="1610">
      <c r="A1610" s="390" t="str">
        <f>IFERROR(__xludf.DUMMYFUNCTION("""COMPUTED_VALUE"""),"#SLLPA - Segunda Licenciatura Letras - Português - #SLLPA - Segunda Licenciatura Letras - Português - Juliana Gonçalves de Camargo - Estudos Morfossintáticos da Língua Portuguesa/b - Nota Máxima: 8")</f>
        <v>#SLLPA - Segunda Licenciatura Letras - Português - #SLLPA - Segunda Licenciatura Letras - Português - Juliana Gonçalves de Camargo - Estudos Morfossintáticos da Língua Portuguesa/b - Nota Máxima: 8</v>
      </c>
    </row>
    <row r="1611">
      <c r="A1611" s="390" t="str">
        <f>IFERROR(__xludf.DUMMYFUNCTION("""COMPUTED_VALUE"""),"#SLLPA - Segunda Licenciatura Letras - Português - #SLLPA - Segunda Licenciatura Letras - Português - Juliana Gonçalves de Camargo - Legislação Educacional/a - Nota Máxima: 10")</f>
        <v>#SLLPA - Segunda Licenciatura Letras - Português - #SLLPA - Segunda Licenciatura Letras - Português - Juliana Gonçalves de Camargo - Legislação Educacional/a - Nota Máxima: 10</v>
      </c>
    </row>
    <row r="1612">
      <c r="A1612" s="390" t="str">
        <f>IFERROR(__xludf.DUMMYFUNCTION("""COMPUTED_VALUE"""),"#SLLPA - Segunda Licenciatura Letras - Português - #SLLPA - Segunda Licenciatura Letras - Português - Juliana Gonçalves de Camargo - Legislação Educacional/a - Nota Máxima: 9")</f>
        <v>#SLLPA - Segunda Licenciatura Letras - Português - #SLLPA - Segunda Licenciatura Letras - Português - Juliana Gonçalves de Camargo - Legislação Educacional/a - Nota Máxima: 9</v>
      </c>
    </row>
    <row r="1613">
      <c r="A1613" s="390" t="str">
        <f>IFERROR(__xludf.DUMMYFUNCTION("""COMPUTED_VALUE"""),"#SLLPA - Segunda Licenciatura Letras - Português - #SLLPA - Segunda Licenciatura Letras - Português - Juliana Gonçalves de Camargo - Linguística Aplicada ao Ensino de Português/a - Nota Máxima: 10")</f>
        <v>#SLLPA - Segunda Licenciatura Letras - Português - #SLLPA - Segunda Licenciatura Letras - Português - Juliana Gonçalves de Camargo - Linguística Aplicada ao Ensino de Português/a - Nota Máxima: 10</v>
      </c>
    </row>
    <row r="1614">
      <c r="A1614" s="390" t="str">
        <f>IFERROR(__xludf.DUMMYFUNCTION("""COMPUTED_VALUE"""),"#SLLPA - Segunda Licenciatura Letras - Português - #SLLPA - Segunda Licenciatura Letras - Português - Juliana Gonçalves de Camargo - Linguística Aplicada ao Ensino de Português/a - Nota Máxima: 7")</f>
        <v>#SLLPA - Segunda Licenciatura Letras - Português - #SLLPA - Segunda Licenciatura Letras - Português - Juliana Gonçalves de Camargo - Linguística Aplicada ao Ensino de Português/a - Nota Máxima: 7</v>
      </c>
    </row>
    <row r="1615">
      <c r="A1615" s="390" t="str">
        <f>IFERROR(__xludf.DUMMYFUNCTION("""COMPUTED_VALUE"""),"#SLLPA - Segunda Licenciatura Letras - Português - #SLLPA - Segunda Licenciatura Letras - Português - Juliana Gonçalves de Camargo - Metodologia do Ensino da Língua Portuguesa I - Nota Máxima: 10")</f>
        <v>#SLLPA - Segunda Licenciatura Letras - Português - #SLLPA - Segunda Licenciatura Letras - Português - Juliana Gonçalves de Camargo - Metodologia do Ensino da Língua Portuguesa I - Nota Máxima: 10</v>
      </c>
    </row>
    <row r="1616">
      <c r="A1616" s="390" t="str">
        <f>IFERROR(__xludf.DUMMYFUNCTION("""COMPUTED_VALUE"""),"#SLLPA - Segunda Licenciatura Letras - Português - #SLLPA - Segunda Licenciatura Letras - Português - Juliana Gonçalves de Camargo - Metodologia do Ensino da Língua Portuguesa I - Nota Máxima: 10")</f>
        <v>#SLLPA - Segunda Licenciatura Letras - Português - #SLLPA - Segunda Licenciatura Letras - Português - Juliana Gonçalves de Camargo - Metodologia do Ensino da Língua Portuguesa I - Nota Máxima: 10</v>
      </c>
    </row>
    <row r="1617">
      <c r="A1617" s="390" t="str">
        <f>IFERROR(__xludf.DUMMYFUNCTION("""COMPUTED_VALUE"""),"#SLLPA - Segunda Licenciatura Letras - Português - #SLLPA - Segunda Licenciatura Letras - Português - Juliana Gonçalves de Camargo - Metodologia do Ensino da Língua Portuguesa II.. - Nota Máxima: 10")</f>
        <v>#SLLPA - Segunda Licenciatura Letras - Português - #SLLPA - Segunda Licenciatura Letras - Português - Juliana Gonçalves de Camargo - Metodologia do Ensino da Língua Portuguesa II.. - Nota Máxima: 10</v>
      </c>
    </row>
    <row r="1618">
      <c r="A1618" s="390" t="str">
        <f>IFERROR(__xludf.DUMMYFUNCTION("""COMPUTED_VALUE"""),"#SLLPA - Segunda Licenciatura Letras - Português - #SLLPA - Segunda Licenciatura Letras - Português - Juliana Gonçalves de Camargo - Metodologia do Ensino da Língua Portuguesa II.. - Nota Máxima: 7")</f>
        <v>#SLLPA - Segunda Licenciatura Letras - Português - #SLLPA - Segunda Licenciatura Letras - Português - Juliana Gonçalves de Camargo - Metodologia do Ensino da Língua Portuguesa II.. - Nota Máxima: 7</v>
      </c>
    </row>
    <row r="1619">
      <c r="A1619" s="390" t="str">
        <f>IFERROR(__xludf.DUMMYFUNCTION("""COMPUTED_VALUE"""),"#SLLPA - Segunda Licenciatura Letras - Português - #SLLPA - Segunda Licenciatura Letras - Português - Juliana Gonçalves de Camargo - Planejamento, Gestão Educacional e Currículo/a - Nota Máxima: 10")</f>
        <v>#SLLPA - Segunda Licenciatura Letras - Português - #SLLPA - Segunda Licenciatura Letras - Português - Juliana Gonçalves de Camargo - Planejamento, Gestão Educacional e Currículo/a - Nota Máxima: 10</v>
      </c>
    </row>
    <row r="1620">
      <c r="A1620" s="390" t="str">
        <f>IFERROR(__xludf.DUMMYFUNCTION("""COMPUTED_VALUE"""),"#SLLPA - Segunda Licenciatura Letras - Português - #SLLPA - Segunda Licenciatura Letras - Português - Juliana Gonçalves de Camargo - Planejamento, Gestão Educacional e Currículo/a - Nota Máxima: 10")</f>
        <v>#SLLPA - Segunda Licenciatura Letras - Português - #SLLPA - Segunda Licenciatura Letras - Português - Juliana Gonçalves de Camargo - Planejamento, Gestão Educacional e Currículo/a - Nota Máxima: 10</v>
      </c>
    </row>
    <row r="1621">
      <c r="A1621" s="390" t="str">
        <f>IFERROR(__xludf.DUMMYFUNCTION("""COMPUTED_VALUE"""),"#SLLPA - Segunda Licenciatura Letras - Português - #SLLPA - Segunda Licenciatura Letras - Português - Juliana Gonçalves de Camargo - Práticas Pedagógicas - 400 Horas - Nota Máxima: 4")</f>
        <v>#SLLPA - Segunda Licenciatura Letras - Português - #SLLPA - Segunda Licenciatura Letras - Português - Juliana Gonçalves de Camargo - Práticas Pedagógicas - 400 Horas - Nota Máxima: 4</v>
      </c>
    </row>
    <row r="1622">
      <c r="A1622" s="390" t="str">
        <f>IFERROR(__xludf.DUMMYFUNCTION("""COMPUTED_VALUE"""),"#SLLPA - Segunda Licenciatura Letras - Português - #SLLPA - Segunda Licenciatura Letras - Português - Juliana Gonçalves de Camargo - Psicologia da Educação – 100H - Nota Máxima: 10")</f>
        <v>#SLLPA - Segunda Licenciatura Letras - Português - #SLLPA - Segunda Licenciatura Letras - Português - Juliana Gonçalves de Camargo - Psicologia da Educação – 100H - Nota Máxima: 10</v>
      </c>
    </row>
    <row r="1623">
      <c r="A1623" s="390" t="str">
        <f>IFERROR(__xludf.DUMMYFUNCTION("""COMPUTED_VALUE"""),"#SLLPA - Segunda Licenciatura Letras - Português - #SLLPA - Segunda Licenciatura Letras - Português - Juliana Gonçalves de Camargo - Psicologia da Educação – 100H - Nota Máxima: 8")</f>
        <v>#SLLPA - Segunda Licenciatura Letras - Português - #SLLPA - Segunda Licenciatura Letras - Português - Juliana Gonçalves de Camargo - Psicologia da Educação – 100H - Nota Máxima: 8</v>
      </c>
    </row>
    <row r="1624">
      <c r="A1624" s="390" t="str">
        <f>IFERROR(__xludf.DUMMYFUNCTION("""COMPUTED_VALUE"""),"#SLLPA - Segunda Licenciatura Letras - Português - #SLLPA - Segunda Licenciatura Letras - Português - Juliana Gonçalves de Camargo - Psicomotricidade e Linguagem na Alfabetização/b - Nota Máxima: 10")</f>
        <v>#SLLPA - Segunda Licenciatura Letras - Português - #SLLPA - Segunda Licenciatura Letras - Português - Juliana Gonçalves de Camargo - Psicomotricidade e Linguagem na Alfabetização/b - Nota Máxima: 10</v>
      </c>
    </row>
    <row r="1625">
      <c r="A1625" s="390" t="str">
        <f>IFERROR(__xludf.DUMMYFUNCTION("""COMPUTED_VALUE"""),"#SLLPA - Segunda Licenciatura Letras - Português - #SLLPA - Segunda Licenciatura Letras - Português - Juliana Gonçalves de Camargo - Psicomotricidade e Linguagem na Alfabetização/b - Nota Máxima: 8")</f>
        <v>#SLLPA - Segunda Licenciatura Letras - Português - #SLLPA - Segunda Licenciatura Letras - Português - Juliana Gonçalves de Camargo - Psicomotricidade e Linguagem na Alfabetização/b - Nota Máxima: 8</v>
      </c>
    </row>
    <row r="1626">
      <c r="A1626" s="390" t="str">
        <f>IFERROR(__xludf.DUMMYFUNCTION("""COMPUTED_VALUE"""),"#SLLPA - Segunda Licenciatura Letras - Português - #SLLPA - Segunda Licenciatura Letras - Português - Juliana Gonçalves de Camargo - Teoria da Literatura/b - Nota Máxima: 10")</f>
        <v>#SLLPA - Segunda Licenciatura Letras - Português - #SLLPA - Segunda Licenciatura Letras - Português - Juliana Gonçalves de Camargo - Teoria da Literatura/b - Nota Máxima: 10</v>
      </c>
    </row>
    <row r="1627">
      <c r="A1627" s="390" t="str">
        <f>IFERROR(__xludf.DUMMYFUNCTION("""COMPUTED_VALUE"""),"#SLLPA - Segunda Licenciatura Letras - Português - #SLLPA - Segunda Licenciatura Letras - Português - Juliana Gonçalves de Camargo - Teoria da Literatura/b - Nota Máxima: 7")</f>
        <v>#SLLPA - Segunda Licenciatura Letras - Português - #SLLPA - Segunda Licenciatura Letras - Português - Juliana Gonçalves de Camargo - Teoria da Literatura/b - Nota Máxima: 7</v>
      </c>
    </row>
    <row r="1628">
      <c r="A1628" s="390" t="str">
        <f>IFERROR(__xludf.DUMMYFUNCTION("""COMPUTED_VALUE"""),"#SLLPA - Segunda Licenciatura Letras - Português - #SLLPA - Segunda Licenciatura Letras - Português - Priscila Almeida da Cruz Brito - Deficiência Auditiva e Libras/a - Nota Máxima: 10")</f>
        <v>#SLLPA - Segunda Licenciatura Letras - Português - #SLLPA - Segunda Licenciatura Letras - Português - Priscila Almeida da Cruz Brito - Deficiência Auditiva e Libras/a - Nota Máxima: 10</v>
      </c>
    </row>
    <row r="1629">
      <c r="A1629" s="390" t="str">
        <f>IFERROR(__xludf.DUMMYFUNCTION("""COMPUTED_VALUE"""),"#SLLPA - Segunda Licenciatura Letras - Português - #SLLPA - Segunda Licenciatura Letras - Português - Priscila Almeida da Cruz Brito - Deficiência Auditiva e Libras/a - Nota Máxima: 7")</f>
        <v>#SLLPA - Segunda Licenciatura Letras - Português - #SLLPA - Segunda Licenciatura Letras - Português - Priscila Almeida da Cruz Brito - Deficiência Auditiva e Libras/a - Nota Máxima: 7</v>
      </c>
    </row>
    <row r="1630">
      <c r="A1630" s="390" t="str">
        <f>IFERROR(__xludf.DUMMYFUNCTION("""COMPUTED_VALUE"""),"#SLLPA - Segunda Licenciatura Letras - Português - #SLLPA - Segunda Licenciatura Letras - Português - Priscila Almeida da Cruz Brito - Distúrbios de Aprendizagem na Leitura E Escrita - Nota Máxima: 7")</f>
        <v>#SLLPA - Segunda Licenciatura Letras - Português - #SLLPA - Segunda Licenciatura Letras - Português - Priscila Almeida da Cruz Brito - Distúrbios de Aprendizagem na Leitura E Escrita - Nota Máxima: 7</v>
      </c>
    </row>
    <row r="1631">
      <c r="A1631" s="390" t="str">
        <f>IFERROR(__xludf.DUMMYFUNCTION("""COMPUTED_VALUE"""),"#SLLPA - Segunda Licenciatura Letras - Português - #SLLPA - Segunda Licenciatura Letras - Português - Priscila Almeida da Cruz Brito - Distúrbios de Aprendizagem na Leitura E Escrita - Nota Máxima: 9")</f>
        <v>#SLLPA - Segunda Licenciatura Letras - Português - #SLLPA - Segunda Licenciatura Letras - Português - Priscila Almeida da Cruz Brito - Distúrbios de Aprendizagem na Leitura E Escrita - Nota Máxima: 9</v>
      </c>
    </row>
    <row r="1632">
      <c r="A1632" s="390" t="str">
        <f>IFERROR(__xludf.DUMMYFUNCTION("""COMPUTED_VALUE"""),"#SLLPA - Segunda Licenciatura Letras - Português - #SLLPA - Segunda Licenciatura Letras - Português - Priscila Almeida da Cruz Brito - Educação Especial, Inclusão Escolar e Adaptações Curriculares - Nota Máxima: 8")</f>
        <v>#SLLPA - Segunda Licenciatura Letras - Português - #SLLPA - Segunda Licenciatura Letras - Português - Priscila Almeida da Cruz Brito - Educação Especial, Inclusão Escolar e Adaptações Curriculares - Nota Máxima: 8</v>
      </c>
    </row>
    <row r="1633">
      <c r="A1633" s="390" t="str">
        <f>IFERROR(__xludf.DUMMYFUNCTION("""COMPUTED_VALUE"""),"#SLLPA - Segunda Licenciatura Letras - Português - #SLLPA - Segunda Licenciatura Letras - Português - Priscila Almeida da Cruz Brito - Educação Especial, Inclusão Escolar e Adaptações Curriculares - Nota Máxima: 10")</f>
        <v>#SLLPA - Segunda Licenciatura Letras - Português - #SLLPA - Segunda Licenciatura Letras - Português - Priscila Almeida da Cruz Brito - Educação Especial, Inclusão Escolar e Adaptações Curriculares - Nota Máxima: 10</v>
      </c>
    </row>
    <row r="1634">
      <c r="A1634" s="390" t="str">
        <f>IFERROR(__xludf.DUMMYFUNCTION("""COMPUTED_VALUE"""),"#SLLPA - Segunda Licenciatura Letras - Português - #SLLPA - Segunda Licenciatura Letras - Português - Priscila Almeida da Cruz Brito - Educação, História, Cultura e Práticas Indígenas/b - Nota Máxima: 9")</f>
        <v>#SLLPA - Segunda Licenciatura Letras - Português - #SLLPA - Segunda Licenciatura Letras - Português - Priscila Almeida da Cruz Brito - Educação, História, Cultura e Práticas Indígenas/b - Nota Máxima: 9</v>
      </c>
    </row>
    <row r="1635">
      <c r="A1635" s="390" t="str">
        <f>IFERROR(__xludf.DUMMYFUNCTION("""COMPUTED_VALUE"""),"#SLLPA - Segunda Licenciatura Letras - Português - #SLLPA - Segunda Licenciatura Letras - Português - Priscila Almeida da Cruz Brito - Educação, História, Cultura e Práticas Indígenas/b - Nota Máxima: 10")</f>
        <v>#SLLPA - Segunda Licenciatura Letras - Português - #SLLPA - Segunda Licenciatura Letras - Português - Priscila Almeida da Cruz Brito - Educação, História, Cultura e Práticas Indígenas/b - Nota Máxima: 10</v>
      </c>
    </row>
    <row r="1636">
      <c r="A1636" s="390" t="str">
        <f>IFERROR(__xludf.DUMMYFUNCTION("""COMPUTED_VALUE"""),"#SLLPA - Segunda Licenciatura Letras - Português - #SLLPA - Segunda Licenciatura Letras - Português - Priscila Almeida da Cruz Brito - Estudos Morfossintáticos da Língua Portuguesa/b - Nota Máxima: 10")</f>
        <v>#SLLPA - Segunda Licenciatura Letras - Português - #SLLPA - Segunda Licenciatura Letras - Português - Priscila Almeida da Cruz Brito - Estudos Morfossintáticos da Língua Portuguesa/b - Nota Máxima: 10</v>
      </c>
    </row>
    <row r="1637">
      <c r="A1637" s="390" t="str">
        <f>IFERROR(__xludf.DUMMYFUNCTION("""COMPUTED_VALUE"""),"#SLLPA - Segunda Licenciatura Letras - Português - #SLLPA - Segunda Licenciatura Letras - Português - Priscila Almeida da Cruz Brito - Estudos Morfossintáticos da Língua Portuguesa/b - Nota Máxima: 10")</f>
        <v>#SLLPA - Segunda Licenciatura Letras - Português - #SLLPA - Segunda Licenciatura Letras - Português - Priscila Almeida da Cruz Brito - Estudos Morfossintáticos da Língua Portuguesa/b - Nota Máxima: 10</v>
      </c>
    </row>
    <row r="1638">
      <c r="A1638" s="390" t="str">
        <f>IFERROR(__xludf.DUMMYFUNCTION("""COMPUTED_VALUE"""),"#SLLPA - Segunda Licenciatura Letras - Português - #SLLPA - Segunda Licenciatura Letras - Português - Priscila Almeida da Cruz Brito - Legislação Educacional/a - Nota Máxima: 10")</f>
        <v>#SLLPA - Segunda Licenciatura Letras - Português - #SLLPA - Segunda Licenciatura Letras - Português - Priscila Almeida da Cruz Brito - Legislação Educacional/a - Nota Máxima: 10</v>
      </c>
    </row>
    <row r="1639">
      <c r="A1639" s="390" t="str">
        <f>IFERROR(__xludf.DUMMYFUNCTION("""COMPUTED_VALUE"""),"#SLLPA - Segunda Licenciatura Letras - Português - #SLLPA - Segunda Licenciatura Letras - Português - Priscila Almeida da Cruz Brito - Legislação Educacional/a - Nota Máxima: 10")</f>
        <v>#SLLPA - Segunda Licenciatura Letras - Português - #SLLPA - Segunda Licenciatura Letras - Português - Priscila Almeida da Cruz Brito - Legislação Educacional/a - Nota Máxima: 10</v>
      </c>
    </row>
    <row r="1640">
      <c r="A1640" s="390" t="str">
        <f>IFERROR(__xludf.DUMMYFUNCTION("""COMPUTED_VALUE"""),"#SLLPA - Segunda Licenciatura Letras - Português - #SLLPA - Segunda Licenciatura Letras - Português - Priscila Almeida da Cruz Brito - Linguística Aplicada ao Ensino de Português/a - Nota Máxima: 9")</f>
        <v>#SLLPA - Segunda Licenciatura Letras - Português - #SLLPA - Segunda Licenciatura Letras - Português - Priscila Almeida da Cruz Brito - Linguística Aplicada ao Ensino de Português/a - Nota Máxima: 9</v>
      </c>
    </row>
    <row r="1641">
      <c r="A1641" s="390" t="str">
        <f>IFERROR(__xludf.DUMMYFUNCTION("""COMPUTED_VALUE"""),"#SLLPA - Segunda Licenciatura Letras - Português - #SLLPA - Segunda Licenciatura Letras - Português - Priscila Almeida da Cruz Brito - Linguística Aplicada ao Ensino de Português/a - Nota Máxima: 10")</f>
        <v>#SLLPA - Segunda Licenciatura Letras - Português - #SLLPA - Segunda Licenciatura Letras - Português - Priscila Almeida da Cruz Brito - Linguística Aplicada ao Ensino de Português/a - Nota Máxima: 10</v>
      </c>
    </row>
    <row r="1642">
      <c r="A1642" s="390" t="str">
        <f>IFERROR(__xludf.DUMMYFUNCTION("""COMPUTED_VALUE"""),"#SLLPA - Segunda Licenciatura Letras - Português - #SLLPA - Segunda Licenciatura Letras - Português - Priscila Almeida da Cruz Brito - Metodologia do Ensino da Língua Portuguesa I - Nota Máxima: 8")</f>
        <v>#SLLPA - Segunda Licenciatura Letras - Português - #SLLPA - Segunda Licenciatura Letras - Português - Priscila Almeida da Cruz Brito - Metodologia do Ensino da Língua Portuguesa I - Nota Máxima: 8</v>
      </c>
    </row>
    <row r="1643">
      <c r="A1643" s="390" t="str">
        <f>IFERROR(__xludf.DUMMYFUNCTION("""COMPUTED_VALUE"""),"#SLLPA - Segunda Licenciatura Letras - Português - #SLLPA - Segunda Licenciatura Letras - Português - Priscila Almeida da Cruz Brito - Metodologia do Ensino da Língua Portuguesa I - Nota Máxima: 9")</f>
        <v>#SLLPA - Segunda Licenciatura Letras - Português - #SLLPA - Segunda Licenciatura Letras - Português - Priscila Almeida da Cruz Brito - Metodologia do Ensino da Língua Portuguesa I - Nota Máxima: 9</v>
      </c>
    </row>
    <row r="1644">
      <c r="A1644" s="390" t="str">
        <f>IFERROR(__xludf.DUMMYFUNCTION("""COMPUTED_VALUE"""),"#SLLPA - Segunda Licenciatura Letras - Português - #SLLPA - Segunda Licenciatura Letras - Português - Priscila Almeida da Cruz Brito - Metodologia do Ensino da Língua Portuguesa II.. - Nota Máxima: 9")</f>
        <v>#SLLPA - Segunda Licenciatura Letras - Português - #SLLPA - Segunda Licenciatura Letras - Português - Priscila Almeida da Cruz Brito - Metodologia do Ensino da Língua Portuguesa II.. - Nota Máxima: 9</v>
      </c>
    </row>
    <row r="1645">
      <c r="A1645" s="390" t="str">
        <f>IFERROR(__xludf.DUMMYFUNCTION("""COMPUTED_VALUE"""),"#SLLPA - Segunda Licenciatura Letras - Português - #SLLPA - Segunda Licenciatura Letras - Português - Priscila Almeida da Cruz Brito - Metodologia do Ensino da Língua Portuguesa II.. - Nota Máxima: 10")</f>
        <v>#SLLPA - Segunda Licenciatura Letras - Português - #SLLPA - Segunda Licenciatura Letras - Português - Priscila Almeida da Cruz Brito - Metodologia do Ensino da Língua Portuguesa II.. - Nota Máxima: 10</v>
      </c>
    </row>
    <row r="1646">
      <c r="A1646" s="390" t="str">
        <f>IFERROR(__xludf.DUMMYFUNCTION("""COMPUTED_VALUE"""),"#SLLPA - Segunda Licenciatura Letras - Português - #SLLPA - Segunda Licenciatura Letras - Português - Priscila Almeida da Cruz Brito - Planejamento, Gestão Educacional e Currículo/a - Nota Máxima: 9")</f>
        <v>#SLLPA - Segunda Licenciatura Letras - Português - #SLLPA - Segunda Licenciatura Letras - Português - Priscila Almeida da Cruz Brito - Planejamento, Gestão Educacional e Currículo/a - Nota Máxima: 9</v>
      </c>
    </row>
    <row r="1647">
      <c r="A1647" s="390" t="str">
        <f>IFERROR(__xludf.DUMMYFUNCTION("""COMPUTED_VALUE"""),"#SLLPA - Segunda Licenciatura Letras - Português - #SLLPA - Segunda Licenciatura Letras - Português - Priscila Almeida da Cruz Brito - Planejamento, Gestão Educacional e Currículo/a - Nota Máxima: 10")</f>
        <v>#SLLPA - Segunda Licenciatura Letras - Português - #SLLPA - Segunda Licenciatura Letras - Português - Priscila Almeida da Cruz Brito - Planejamento, Gestão Educacional e Currículo/a - Nota Máxima: 10</v>
      </c>
    </row>
    <row r="1648">
      <c r="A1648" s="390" t="str">
        <f>IFERROR(__xludf.DUMMYFUNCTION("""COMPUTED_VALUE"""),"#SLLPA - Segunda Licenciatura Letras - Português - #SLLPA - Segunda Licenciatura Letras - Português - Priscila Almeida da Cruz Brito - Práticas Pedagógicas - 400 Horas - Nota Máxima: 10")</f>
        <v>#SLLPA - Segunda Licenciatura Letras - Português - #SLLPA - Segunda Licenciatura Letras - Português - Priscila Almeida da Cruz Brito - Práticas Pedagógicas - 400 Horas - Nota Máxima: 10</v>
      </c>
    </row>
    <row r="1649">
      <c r="A1649" s="390" t="str">
        <f>IFERROR(__xludf.DUMMYFUNCTION("""COMPUTED_VALUE"""),"#SLLPA - Segunda Licenciatura Letras - Português - #SLLPA - Segunda Licenciatura Letras - Português - Priscila Almeida da Cruz Brito - Práticas Pedagógicas - 400 Horas - Nota Máxima: 10")</f>
        <v>#SLLPA - Segunda Licenciatura Letras - Português - #SLLPA - Segunda Licenciatura Letras - Português - Priscila Almeida da Cruz Brito - Práticas Pedagógicas - 400 Horas - Nota Máxima: 10</v>
      </c>
    </row>
    <row r="1650">
      <c r="A1650" s="390" t="str">
        <f>IFERROR(__xludf.DUMMYFUNCTION("""COMPUTED_VALUE"""),"#SLLPA - Segunda Licenciatura Letras - Português - #SLLPA - Segunda Licenciatura Letras - Português - Priscila Almeida da Cruz Brito - Psicologia da Educação – 100H - Nota Máxima: 8")</f>
        <v>#SLLPA - Segunda Licenciatura Letras - Português - #SLLPA - Segunda Licenciatura Letras - Português - Priscila Almeida da Cruz Brito - Psicologia da Educação – 100H - Nota Máxima: 8</v>
      </c>
    </row>
    <row r="1651">
      <c r="A1651" s="390" t="str">
        <f>IFERROR(__xludf.DUMMYFUNCTION("""COMPUTED_VALUE"""),"#SLLPA - Segunda Licenciatura Letras - Português - #SLLPA - Segunda Licenciatura Letras - Português - Priscila Almeida da Cruz Brito - Psicologia da Educação – 100H - Nota Máxima: 9")</f>
        <v>#SLLPA - Segunda Licenciatura Letras - Português - #SLLPA - Segunda Licenciatura Letras - Português - Priscila Almeida da Cruz Brito - Psicologia da Educação – 100H - Nota Máxima: 9</v>
      </c>
    </row>
    <row r="1652">
      <c r="A1652" s="390" t="str">
        <f>IFERROR(__xludf.DUMMYFUNCTION("""COMPUTED_VALUE"""),"#SLLPA - Segunda Licenciatura Letras - Português - #SLLPA - Segunda Licenciatura Letras - Português - Priscila Almeida da Cruz Brito - Psicomotricidade e Linguagem na Alfabetização/b - Nota Máxima: 10")</f>
        <v>#SLLPA - Segunda Licenciatura Letras - Português - #SLLPA - Segunda Licenciatura Letras - Português - Priscila Almeida da Cruz Brito - Psicomotricidade e Linguagem na Alfabetização/b - Nota Máxima: 10</v>
      </c>
    </row>
    <row r="1653">
      <c r="A1653" s="390" t="str">
        <f>IFERROR(__xludf.DUMMYFUNCTION("""COMPUTED_VALUE"""),"#SLLPA - Segunda Licenciatura Letras - Português - #SLLPA - Segunda Licenciatura Letras - Português - Priscila Almeida da Cruz Brito - Psicomotricidade e Linguagem na Alfabetização/b - Nota Máxima: 10")</f>
        <v>#SLLPA - Segunda Licenciatura Letras - Português - #SLLPA - Segunda Licenciatura Letras - Português - Priscila Almeida da Cruz Brito - Psicomotricidade e Linguagem na Alfabetização/b - Nota Máxima: 10</v>
      </c>
    </row>
    <row r="1654">
      <c r="A1654" s="390" t="str">
        <f>IFERROR(__xludf.DUMMYFUNCTION("""COMPUTED_VALUE"""),"#SLLPA - Segunda Licenciatura Letras - Português - #SLLPA - Segunda Licenciatura Letras - Português - Priscila Almeida da Cruz Brito - Teoria da Literatura/b - Nota Máxima: 8")</f>
        <v>#SLLPA - Segunda Licenciatura Letras - Português - #SLLPA - Segunda Licenciatura Letras - Português - Priscila Almeida da Cruz Brito - Teoria da Literatura/b - Nota Máxima: 8</v>
      </c>
    </row>
    <row r="1655">
      <c r="A1655" s="390" t="str">
        <f>IFERROR(__xludf.DUMMYFUNCTION("""COMPUTED_VALUE"""),"#SLLPA - Segunda Licenciatura Letras - Português - #SLLPA - Segunda Licenciatura Letras - Português - Priscila Almeida da Cruz Brito - Teoria da Literatura/b - Nota Máxima: 10")</f>
        <v>#SLLPA - Segunda Licenciatura Letras - Português - #SLLPA - Segunda Licenciatura Letras - Português - Priscila Almeida da Cruz Brito - Teoria da Literatura/b - Nota Máxima: 10</v>
      </c>
    </row>
    <row r="1656">
      <c r="A1656" s="390" t="str">
        <f>IFERROR(__xludf.DUMMYFUNCTION("""COMPUTED_VALUE"""),"#SLLPA - Segunda Licenciatura Letras - Português - #SLLPA - Segunda Licenciatura Letras - Português - Celyte Raquel Ferreira Santana Silva - Deficiência Auditiva e Libras/a - Nota Máxima: 10")</f>
        <v>#SLLPA - Segunda Licenciatura Letras - Português - #SLLPA - Segunda Licenciatura Letras - Português - Celyte Raquel Ferreira Santana Silva - Deficiência Auditiva e Libras/a - Nota Máxima: 10</v>
      </c>
    </row>
    <row r="1657">
      <c r="A1657" s="390" t="str">
        <f>IFERROR(__xludf.DUMMYFUNCTION("""COMPUTED_VALUE"""),"#SLLPA - Segunda Licenciatura Letras - Português - #SLLPA - Segunda Licenciatura Letras - Português - Celyte Raquel Ferreira Santana Silva - Deficiência Auditiva e Libras/a - Nota Máxima: 10")</f>
        <v>#SLLPA - Segunda Licenciatura Letras - Português - #SLLPA - Segunda Licenciatura Letras - Português - Celyte Raquel Ferreira Santana Silva - Deficiência Auditiva e Libras/a - Nota Máxima: 10</v>
      </c>
    </row>
    <row r="1658">
      <c r="A1658" s="390" t="str">
        <f>IFERROR(__xludf.DUMMYFUNCTION("""COMPUTED_VALUE"""),"#SLLPA - Segunda Licenciatura Letras - Português - #SLLPA - Segunda Licenciatura Letras - Português - Celyte Raquel Ferreira Santana Silva - Distúrbios de Aprendizagem na Leitura E Escrita - Nota Máxima: 10")</f>
        <v>#SLLPA - Segunda Licenciatura Letras - Português - #SLLPA - Segunda Licenciatura Letras - Português - Celyte Raquel Ferreira Santana Silva - Distúrbios de Aprendizagem na Leitura E Escrita - Nota Máxima: 10</v>
      </c>
    </row>
    <row r="1659">
      <c r="A1659" s="390" t="str">
        <f>IFERROR(__xludf.DUMMYFUNCTION("""COMPUTED_VALUE"""),"#SLLPA - Segunda Licenciatura Letras - Português - #SLLPA - Segunda Licenciatura Letras - Português - Celyte Raquel Ferreira Santana Silva - Distúrbios de Aprendizagem na Leitura E Escrita - Nota Máxima: 10")</f>
        <v>#SLLPA - Segunda Licenciatura Letras - Português - #SLLPA - Segunda Licenciatura Letras - Português - Celyte Raquel Ferreira Santana Silva - Distúrbios de Aprendizagem na Leitura E Escrita - Nota Máxima: 10</v>
      </c>
    </row>
    <row r="1660">
      <c r="A1660" s="390" t="str">
        <f>IFERROR(__xludf.DUMMYFUNCTION("""COMPUTED_VALUE"""),"#SLLPA - Segunda Licenciatura Letras - Português - #SLLPA - Segunda Licenciatura Letras - Português - Celyte Raquel Ferreira Santana Silva - Educação Especial, Inclusão Escolar e Adaptações Curriculares - Nota Máxima: 10")</f>
        <v>#SLLPA - Segunda Licenciatura Letras - Português - #SLLPA - Segunda Licenciatura Letras - Português - Celyte Raquel Ferreira Santana Silva - Educação Especial, Inclusão Escolar e Adaptações Curriculares - Nota Máxima: 10</v>
      </c>
    </row>
    <row r="1661">
      <c r="A1661" s="390" t="str">
        <f>IFERROR(__xludf.DUMMYFUNCTION("""COMPUTED_VALUE"""),"#SLLPA - Segunda Licenciatura Letras - Português - #SLLPA - Segunda Licenciatura Letras - Português - Celyte Raquel Ferreira Santana Silva - Educação Especial, Inclusão Escolar e Adaptações Curriculares - Nota Máxima: 10")</f>
        <v>#SLLPA - Segunda Licenciatura Letras - Português - #SLLPA - Segunda Licenciatura Letras - Português - Celyte Raquel Ferreira Santana Silva - Educação Especial, Inclusão Escolar e Adaptações Curriculares - Nota Máxima: 10</v>
      </c>
    </row>
    <row r="1662">
      <c r="A1662" s="390" t="str">
        <f>IFERROR(__xludf.DUMMYFUNCTION("""COMPUTED_VALUE"""),"#SLLPA - Segunda Licenciatura Letras - Português - #SLLPA - Segunda Licenciatura Letras - Português - Celyte Raquel Ferreira Santana Silva - Educação, História, Cultura e Práticas Indígenas/b - Nota Máxima: 10")</f>
        <v>#SLLPA - Segunda Licenciatura Letras - Português - #SLLPA - Segunda Licenciatura Letras - Português - Celyte Raquel Ferreira Santana Silva - Educação, História, Cultura e Práticas Indígenas/b - Nota Máxima: 10</v>
      </c>
    </row>
    <row r="1663">
      <c r="A1663" s="390" t="str">
        <f>IFERROR(__xludf.DUMMYFUNCTION("""COMPUTED_VALUE"""),"#SLLPA - Segunda Licenciatura Letras - Português - #SLLPA - Segunda Licenciatura Letras - Português - Celyte Raquel Ferreira Santana Silva - Educação, História, Cultura e Práticas Indígenas/b - Nota Máxima: 7")</f>
        <v>#SLLPA - Segunda Licenciatura Letras - Português - #SLLPA - Segunda Licenciatura Letras - Português - Celyte Raquel Ferreira Santana Silva - Educação, História, Cultura e Práticas Indígenas/b - Nota Máxima: 7</v>
      </c>
    </row>
    <row r="1664">
      <c r="A1664" s="390" t="str">
        <f>IFERROR(__xludf.DUMMYFUNCTION("""COMPUTED_VALUE"""),"#SLLPA - Segunda Licenciatura Letras - Português - #SLLPA - Segunda Licenciatura Letras - Português - Celyte Raquel Ferreira Santana Silva - Estudos Morfossintáticos da Língua Portuguesa/b - Nota Máxima: 10")</f>
        <v>#SLLPA - Segunda Licenciatura Letras - Português - #SLLPA - Segunda Licenciatura Letras - Português - Celyte Raquel Ferreira Santana Silva - Estudos Morfossintáticos da Língua Portuguesa/b - Nota Máxima: 10</v>
      </c>
    </row>
    <row r="1665">
      <c r="A1665" s="390" t="str">
        <f>IFERROR(__xludf.DUMMYFUNCTION("""COMPUTED_VALUE"""),"#SLLPA - Segunda Licenciatura Letras - Português - #SLLPA - Segunda Licenciatura Letras - Português - Celyte Raquel Ferreira Santana Silva - Estudos Morfossintáticos da Língua Portuguesa/b - Nota Máxima: 10")</f>
        <v>#SLLPA - Segunda Licenciatura Letras - Português - #SLLPA - Segunda Licenciatura Letras - Português - Celyte Raquel Ferreira Santana Silva - Estudos Morfossintáticos da Língua Portuguesa/b - Nota Máxima: 10</v>
      </c>
    </row>
    <row r="1666">
      <c r="A1666" s="390" t="str">
        <f>IFERROR(__xludf.DUMMYFUNCTION("""COMPUTED_VALUE"""),"#SLLPA - Segunda Licenciatura Letras - Português - #SLLPA - Segunda Licenciatura Letras - Português - Celyte Raquel Ferreira Santana Silva - Legislação Educacional/a - Nota Máxima: 10")</f>
        <v>#SLLPA - Segunda Licenciatura Letras - Português - #SLLPA - Segunda Licenciatura Letras - Português - Celyte Raquel Ferreira Santana Silva - Legislação Educacional/a - Nota Máxima: 10</v>
      </c>
    </row>
    <row r="1667">
      <c r="A1667" s="390" t="str">
        <f>IFERROR(__xludf.DUMMYFUNCTION("""COMPUTED_VALUE"""),"#SLLPA - Segunda Licenciatura Letras - Português - #SLLPA - Segunda Licenciatura Letras - Português - Celyte Raquel Ferreira Santana Silva - Legislação Educacional/a - Nota Máxima: 10")</f>
        <v>#SLLPA - Segunda Licenciatura Letras - Português - #SLLPA - Segunda Licenciatura Letras - Português - Celyte Raquel Ferreira Santana Silva - Legislação Educacional/a - Nota Máxima: 10</v>
      </c>
    </row>
    <row r="1668">
      <c r="A1668" s="390" t="str">
        <f>IFERROR(__xludf.DUMMYFUNCTION("""COMPUTED_VALUE"""),"#SLLPA - Segunda Licenciatura Letras - Português - #SLLPA - Segunda Licenciatura Letras - Português - Celyte Raquel Ferreira Santana Silva - Linguística Aplicada ao Ensino de Português/a - Nota Máxima: 10")</f>
        <v>#SLLPA - Segunda Licenciatura Letras - Português - #SLLPA - Segunda Licenciatura Letras - Português - Celyte Raquel Ferreira Santana Silva - Linguística Aplicada ao Ensino de Português/a - Nota Máxima: 10</v>
      </c>
    </row>
    <row r="1669">
      <c r="A1669" s="390" t="str">
        <f>IFERROR(__xludf.DUMMYFUNCTION("""COMPUTED_VALUE"""),"#SLLPA - Segunda Licenciatura Letras - Português - #SLLPA - Segunda Licenciatura Letras - Português - Celyte Raquel Ferreira Santana Silva - Linguística Aplicada ao Ensino de Português/a - Nota Máxima: 10")</f>
        <v>#SLLPA - Segunda Licenciatura Letras - Português - #SLLPA - Segunda Licenciatura Letras - Português - Celyte Raquel Ferreira Santana Silva - Linguística Aplicada ao Ensino de Português/a - Nota Máxima: 10</v>
      </c>
    </row>
    <row r="1670">
      <c r="A1670" s="390" t="str">
        <f>IFERROR(__xludf.DUMMYFUNCTION("""COMPUTED_VALUE"""),"#SLLPA - Segunda Licenciatura Letras - Português - #SLLPA - Segunda Licenciatura Letras - Português - Celyte Raquel Ferreira Santana Silva - Metodologia do Ensino da Língua Portuguesa I - Nota Máxima: 10")</f>
        <v>#SLLPA - Segunda Licenciatura Letras - Português - #SLLPA - Segunda Licenciatura Letras - Português - Celyte Raquel Ferreira Santana Silva - Metodologia do Ensino da Língua Portuguesa I - Nota Máxima: 10</v>
      </c>
    </row>
    <row r="1671">
      <c r="A1671" s="390" t="str">
        <f>IFERROR(__xludf.DUMMYFUNCTION("""COMPUTED_VALUE"""),"#SLLPA - Segunda Licenciatura Letras - Português - #SLLPA - Segunda Licenciatura Letras - Português - Celyte Raquel Ferreira Santana Silva - Metodologia do Ensino da Língua Portuguesa I - Nota Máxima: 10")</f>
        <v>#SLLPA - Segunda Licenciatura Letras - Português - #SLLPA - Segunda Licenciatura Letras - Português - Celyte Raquel Ferreira Santana Silva - Metodologia do Ensino da Língua Portuguesa I - Nota Máxima: 10</v>
      </c>
    </row>
    <row r="1672">
      <c r="A1672" s="390" t="str">
        <f>IFERROR(__xludf.DUMMYFUNCTION("""COMPUTED_VALUE"""),"#SLLPA - Segunda Licenciatura Letras - Português - #SLLPA - Segunda Licenciatura Letras - Português - Celyte Raquel Ferreira Santana Silva - Metodologia do Ensino da Língua Portuguesa II.. - Nota Máxima: 10")</f>
        <v>#SLLPA - Segunda Licenciatura Letras - Português - #SLLPA - Segunda Licenciatura Letras - Português - Celyte Raquel Ferreira Santana Silva - Metodologia do Ensino da Língua Portuguesa II.. - Nota Máxima: 10</v>
      </c>
    </row>
    <row r="1673">
      <c r="A1673" s="390" t="str">
        <f>IFERROR(__xludf.DUMMYFUNCTION("""COMPUTED_VALUE"""),"#SLLPA - Segunda Licenciatura Letras - Português - #SLLPA - Segunda Licenciatura Letras - Português - Celyte Raquel Ferreira Santana Silva - Metodologia do Ensino da Língua Portuguesa II.. - Nota Máxima: 10")</f>
        <v>#SLLPA - Segunda Licenciatura Letras - Português - #SLLPA - Segunda Licenciatura Letras - Português - Celyte Raquel Ferreira Santana Silva - Metodologia do Ensino da Língua Portuguesa II.. - Nota Máxima: 10</v>
      </c>
    </row>
    <row r="1674">
      <c r="A1674" s="390" t="str">
        <f>IFERROR(__xludf.DUMMYFUNCTION("""COMPUTED_VALUE"""),"#SLLPA - Segunda Licenciatura Letras - Português - #SLLPA - Segunda Licenciatura Letras - Português - Celyte Raquel Ferreira Santana Silva - Planejamento, Gestão Educacional e Currículo/a - Nota Máxima: 10")</f>
        <v>#SLLPA - Segunda Licenciatura Letras - Português - #SLLPA - Segunda Licenciatura Letras - Português - Celyte Raquel Ferreira Santana Silva - Planejamento, Gestão Educacional e Currículo/a - Nota Máxima: 10</v>
      </c>
    </row>
    <row r="1675">
      <c r="A1675" s="390" t="str">
        <f>IFERROR(__xludf.DUMMYFUNCTION("""COMPUTED_VALUE"""),"#SLLPA - Segunda Licenciatura Letras - Português - #SLLPA - Segunda Licenciatura Letras - Português - Celyte Raquel Ferreira Santana Silva - Planejamento, Gestão Educacional e Currículo/a - Nota Máxima: 10")</f>
        <v>#SLLPA - Segunda Licenciatura Letras - Português - #SLLPA - Segunda Licenciatura Letras - Português - Celyte Raquel Ferreira Santana Silva - Planejamento, Gestão Educacional e Currículo/a - Nota Máxima: 10</v>
      </c>
    </row>
    <row r="1676">
      <c r="A1676" s="390" t="str">
        <f>IFERROR(__xludf.DUMMYFUNCTION("""COMPUTED_VALUE"""),"#SLLPA - Segunda Licenciatura Letras - Português - #SLLPA - Segunda Licenciatura Letras - Português - Celyte Raquel Ferreira Santana Silva - Práticas Pedagógicas - 400 Horas - Nota Máxima: 4")</f>
        <v>#SLLPA - Segunda Licenciatura Letras - Português - #SLLPA - Segunda Licenciatura Letras - Português - Celyte Raquel Ferreira Santana Silva - Práticas Pedagógicas - 400 Horas - Nota Máxima: 4</v>
      </c>
    </row>
    <row r="1677">
      <c r="A1677" s="390" t="str">
        <f>IFERROR(__xludf.DUMMYFUNCTION("""COMPUTED_VALUE"""),"#SLLPA - Segunda Licenciatura Letras - Português - #SLLPA - Segunda Licenciatura Letras - Português - Celyte Raquel Ferreira Santana Silva - Práticas Pedagógicas - 400 Horas - Nota Máxima: 4")</f>
        <v>#SLLPA - Segunda Licenciatura Letras - Português - #SLLPA - Segunda Licenciatura Letras - Português - Celyte Raquel Ferreira Santana Silva - Práticas Pedagógicas - 400 Horas - Nota Máxima: 4</v>
      </c>
    </row>
    <row r="1678">
      <c r="A1678" s="390" t="str">
        <f>IFERROR(__xludf.DUMMYFUNCTION("""COMPUTED_VALUE"""),"#SLLPA - Segunda Licenciatura Letras - Português - #SLLPA - Segunda Licenciatura Letras - Português - Celyte Raquel Ferreira Santana Silva - Psicologia da Educação – 100H - Nota Máxima: 10")</f>
        <v>#SLLPA - Segunda Licenciatura Letras - Português - #SLLPA - Segunda Licenciatura Letras - Português - Celyte Raquel Ferreira Santana Silva - Psicologia da Educação – 100H - Nota Máxima: 10</v>
      </c>
    </row>
    <row r="1679">
      <c r="A1679" s="390" t="str">
        <f>IFERROR(__xludf.DUMMYFUNCTION("""COMPUTED_VALUE"""),"#SLLPA - Segunda Licenciatura Letras - Português - #SLLPA - Segunda Licenciatura Letras - Português - Celyte Raquel Ferreira Santana Silva - Psicologia da Educação – 100H - Nota Máxima: 10")</f>
        <v>#SLLPA - Segunda Licenciatura Letras - Português - #SLLPA - Segunda Licenciatura Letras - Português - Celyte Raquel Ferreira Santana Silva - Psicologia da Educação – 100H - Nota Máxima: 10</v>
      </c>
    </row>
    <row r="1680">
      <c r="A1680" s="390" t="str">
        <f>IFERROR(__xludf.DUMMYFUNCTION("""COMPUTED_VALUE"""),"#SLLPA - Segunda Licenciatura Letras - Português - #SLLPA - Segunda Licenciatura Letras - Português - Celyte Raquel Ferreira Santana Silva - Psicomotricidade e Linguagem na Alfabetização/b - Nota Máxima: 10")</f>
        <v>#SLLPA - Segunda Licenciatura Letras - Português - #SLLPA - Segunda Licenciatura Letras - Português - Celyte Raquel Ferreira Santana Silva - Psicomotricidade e Linguagem na Alfabetização/b - Nota Máxima: 10</v>
      </c>
    </row>
    <row r="1681">
      <c r="A1681" s="390" t="str">
        <f>IFERROR(__xludf.DUMMYFUNCTION("""COMPUTED_VALUE"""),"#SLLPA - Segunda Licenciatura Letras - Português - #SLLPA - Segunda Licenciatura Letras - Português - Celyte Raquel Ferreira Santana Silva - Psicomotricidade e Linguagem na Alfabetização/b - Nota Máxima: 10")</f>
        <v>#SLLPA - Segunda Licenciatura Letras - Português - #SLLPA - Segunda Licenciatura Letras - Português - Celyte Raquel Ferreira Santana Silva - Psicomotricidade e Linguagem na Alfabetização/b - Nota Máxima: 10</v>
      </c>
    </row>
    <row r="1682">
      <c r="A1682" s="390" t="str">
        <f>IFERROR(__xludf.DUMMYFUNCTION("""COMPUTED_VALUE"""),"#SLLPA - Segunda Licenciatura Letras - Português - #SLLPA - Segunda Licenciatura Letras - Português - Celyte Raquel Ferreira Santana Silva - Teoria da Literatura/b - Nota Máxima: 10")</f>
        <v>#SLLPA - Segunda Licenciatura Letras - Português - #SLLPA - Segunda Licenciatura Letras - Português - Celyte Raquel Ferreira Santana Silva - Teoria da Literatura/b - Nota Máxima: 10</v>
      </c>
    </row>
    <row r="1683">
      <c r="A1683" s="390" t="str">
        <f>IFERROR(__xludf.DUMMYFUNCTION("""COMPUTED_VALUE"""),"#SLLPA - Segunda Licenciatura Letras - Português - #SLLPA - Segunda Licenciatura Letras - Português - Celyte Raquel Ferreira Santana Silva - Teoria da Literatura/b - Nota Máxima: 10")</f>
        <v>#SLLPA - Segunda Licenciatura Letras - Português - #SLLPA - Segunda Licenciatura Letras - Português - Celyte Raquel Ferreira Santana Silva - Teoria da Literatura/b - Nota Máxima: 10</v>
      </c>
    </row>
    <row r="1684">
      <c r="A1684" s="390" t="str">
        <f>IFERROR(__xludf.DUMMYFUNCTION("""COMPUTED_VALUE"""),"#SLLPA - Segunda Licenciatura Letras - Português - #SLLPA - Segunda Licenciatura Letras - Português - Maria Regina Rodrigues Ferronatto - Deficiência Auditiva e Libras/a - Nota Máxima: 10")</f>
        <v>#SLLPA - Segunda Licenciatura Letras - Português - #SLLPA - Segunda Licenciatura Letras - Português - Maria Regina Rodrigues Ferronatto - Deficiência Auditiva e Libras/a - Nota Máxima: 10</v>
      </c>
    </row>
    <row r="1685">
      <c r="A1685" s="390" t="str">
        <f>IFERROR(__xludf.DUMMYFUNCTION("""COMPUTED_VALUE"""),"#SLLPA - Segunda Licenciatura Letras - Português - #SLLPA - Segunda Licenciatura Letras - Português - Maria Regina Rodrigues Ferronatto - Deficiência Auditiva e Libras/a - Nota Máxima: 8")</f>
        <v>#SLLPA - Segunda Licenciatura Letras - Português - #SLLPA - Segunda Licenciatura Letras - Português - Maria Regina Rodrigues Ferronatto - Deficiência Auditiva e Libras/a - Nota Máxima: 8</v>
      </c>
    </row>
    <row r="1686">
      <c r="A1686" s="390" t="str">
        <f>IFERROR(__xludf.DUMMYFUNCTION("""COMPUTED_VALUE"""),"#SLLPA - Segunda Licenciatura Letras - Português - #SLLPA - Segunda Licenciatura Letras - Português - Maria Regina Rodrigues Ferronatto - Distúrbios de Aprendizagem na Leitura E Escrita - Nota Máxima: 10")</f>
        <v>#SLLPA - Segunda Licenciatura Letras - Português - #SLLPA - Segunda Licenciatura Letras - Português - Maria Regina Rodrigues Ferronatto - Distúrbios de Aprendizagem na Leitura E Escrita - Nota Máxima: 10</v>
      </c>
    </row>
    <row r="1687">
      <c r="A1687" s="390" t="str">
        <f>IFERROR(__xludf.DUMMYFUNCTION("""COMPUTED_VALUE"""),"#SLLPA - Segunda Licenciatura Letras - Português - #SLLPA - Segunda Licenciatura Letras - Português - Maria Regina Rodrigues Ferronatto - Distúrbios de Aprendizagem na Leitura E Escrita - Nota Máxima: 7")</f>
        <v>#SLLPA - Segunda Licenciatura Letras - Português - #SLLPA - Segunda Licenciatura Letras - Português - Maria Regina Rodrigues Ferronatto - Distúrbios de Aprendizagem na Leitura E Escrita - Nota Máxima: 7</v>
      </c>
    </row>
    <row r="1688">
      <c r="A1688" s="390" t="str">
        <f>IFERROR(__xludf.DUMMYFUNCTION("""COMPUTED_VALUE"""),"#SLLPA - Segunda Licenciatura Letras - Português - #SLLPA - Segunda Licenciatura Letras - Português - Maria Regina Rodrigues Ferronatto - Educação Especial, Inclusão Escolar e Adaptações Curriculares - Nota Máxima: 10")</f>
        <v>#SLLPA - Segunda Licenciatura Letras - Português - #SLLPA - Segunda Licenciatura Letras - Português - Maria Regina Rodrigues Ferronatto - Educação Especial, Inclusão Escolar e Adaptações Curriculares - Nota Máxima: 10</v>
      </c>
    </row>
    <row r="1689">
      <c r="A1689" s="390" t="str">
        <f>IFERROR(__xludf.DUMMYFUNCTION("""COMPUTED_VALUE"""),"#SLLPA - Segunda Licenciatura Letras - Português - #SLLPA - Segunda Licenciatura Letras - Português - Maria Regina Rodrigues Ferronatto - Educação Especial, Inclusão Escolar e Adaptações Curriculares - Nota Máxima: 8")</f>
        <v>#SLLPA - Segunda Licenciatura Letras - Português - #SLLPA - Segunda Licenciatura Letras - Português - Maria Regina Rodrigues Ferronatto - Educação Especial, Inclusão Escolar e Adaptações Curriculares - Nota Máxima: 8</v>
      </c>
    </row>
    <row r="1690">
      <c r="A1690" s="390" t="str">
        <f>IFERROR(__xludf.DUMMYFUNCTION("""COMPUTED_VALUE"""),"#SLLPA - Segunda Licenciatura Letras - Português - #SLLPA - Segunda Licenciatura Letras - Português - Maria Regina Rodrigues Ferronatto - Educação, História, Cultura e Práticas Indígenas/b - Nota Máxima: 10")</f>
        <v>#SLLPA - Segunda Licenciatura Letras - Português - #SLLPA - Segunda Licenciatura Letras - Português - Maria Regina Rodrigues Ferronatto - Educação, História, Cultura e Práticas Indígenas/b - Nota Máxima: 10</v>
      </c>
    </row>
    <row r="1691">
      <c r="A1691" s="390" t="str">
        <f>IFERROR(__xludf.DUMMYFUNCTION("""COMPUTED_VALUE"""),"#SLLPA - Segunda Licenciatura Letras - Português - #SLLPA - Segunda Licenciatura Letras - Português - Maria Regina Rodrigues Ferronatto - Educação, História, Cultura e Práticas Indígenas/b - Nota Máxima: 7")</f>
        <v>#SLLPA - Segunda Licenciatura Letras - Português - #SLLPA - Segunda Licenciatura Letras - Português - Maria Regina Rodrigues Ferronatto - Educação, História, Cultura e Práticas Indígenas/b - Nota Máxima: 7</v>
      </c>
    </row>
    <row r="1692">
      <c r="A1692" s="390" t="str">
        <f>IFERROR(__xludf.DUMMYFUNCTION("""COMPUTED_VALUE"""),"#SLLPA - Segunda Licenciatura Letras - Português - #SLLPA - Segunda Licenciatura Letras - Português - Maria Regina Rodrigues Ferronatto - Estudos Morfossintáticos da Língua Portuguesa/b - Nota Máxima: 10")</f>
        <v>#SLLPA - Segunda Licenciatura Letras - Português - #SLLPA - Segunda Licenciatura Letras - Português - Maria Regina Rodrigues Ferronatto - Estudos Morfossintáticos da Língua Portuguesa/b - Nota Máxima: 10</v>
      </c>
    </row>
    <row r="1693">
      <c r="A1693" s="390" t="str">
        <f>IFERROR(__xludf.DUMMYFUNCTION("""COMPUTED_VALUE"""),"#SLLPA - Segunda Licenciatura Letras - Português - #SLLPA - Segunda Licenciatura Letras - Português - Maria Regina Rodrigues Ferronatto - Estudos Morfossintáticos da Língua Portuguesa/b - Nota Máxima: 8")</f>
        <v>#SLLPA - Segunda Licenciatura Letras - Português - #SLLPA - Segunda Licenciatura Letras - Português - Maria Regina Rodrigues Ferronatto - Estudos Morfossintáticos da Língua Portuguesa/b - Nota Máxima: 8</v>
      </c>
    </row>
    <row r="1694">
      <c r="A1694" s="390" t="str">
        <f>IFERROR(__xludf.DUMMYFUNCTION("""COMPUTED_VALUE"""),"#SLLPA - Segunda Licenciatura Letras - Português - #SLLPA - Segunda Licenciatura Letras - Português - Maria Regina Rodrigues Ferronatto - Legislação Educacional/a - Nota Máxima: 10")</f>
        <v>#SLLPA - Segunda Licenciatura Letras - Português - #SLLPA - Segunda Licenciatura Letras - Português - Maria Regina Rodrigues Ferronatto - Legislação Educacional/a - Nota Máxima: 10</v>
      </c>
    </row>
    <row r="1695">
      <c r="A1695" s="390" t="str">
        <f>IFERROR(__xludf.DUMMYFUNCTION("""COMPUTED_VALUE"""),"#SLLPA - Segunda Licenciatura Letras - Português - #SLLPA - Segunda Licenciatura Letras - Português - Maria Regina Rodrigues Ferronatto - Legislação Educacional/a - Nota Máxima: 6")</f>
        <v>#SLLPA - Segunda Licenciatura Letras - Português - #SLLPA - Segunda Licenciatura Letras - Português - Maria Regina Rodrigues Ferronatto - Legislação Educacional/a - Nota Máxima: 6</v>
      </c>
    </row>
    <row r="1696">
      <c r="A1696" s="390" t="str">
        <f>IFERROR(__xludf.DUMMYFUNCTION("""COMPUTED_VALUE"""),"#SLLPA - Segunda Licenciatura Letras - Português - #SLLPA - Segunda Licenciatura Letras - Português - Maria Regina Rodrigues Ferronatto - Linguística Aplicada ao Ensino de Português/a - Nota Máxima: 10")</f>
        <v>#SLLPA - Segunda Licenciatura Letras - Português - #SLLPA - Segunda Licenciatura Letras - Português - Maria Regina Rodrigues Ferronatto - Linguística Aplicada ao Ensino de Português/a - Nota Máxima: 10</v>
      </c>
    </row>
    <row r="1697">
      <c r="A1697" s="390" t="str">
        <f>IFERROR(__xludf.DUMMYFUNCTION("""COMPUTED_VALUE"""),"#SLLPA - Segunda Licenciatura Letras - Português - #SLLPA - Segunda Licenciatura Letras - Português - Maria Regina Rodrigues Ferronatto - Linguística Aplicada ao Ensino de Português/a - Nota Máxima: 8")</f>
        <v>#SLLPA - Segunda Licenciatura Letras - Português - #SLLPA - Segunda Licenciatura Letras - Português - Maria Regina Rodrigues Ferronatto - Linguística Aplicada ao Ensino de Português/a - Nota Máxima: 8</v>
      </c>
    </row>
    <row r="1698">
      <c r="A1698" s="390" t="str">
        <f>IFERROR(__xludf.DUMMYFUNCTION("""COMPUTED_VALUE"""),"#SLLPA - Segunda Licenciatura Letras - Português - #SLLPA - Segunda Licenciatura Letras - Português - Maria Regina Rodrigues Ferronatto - Metodologia do Ensino da Língua Portuguesa I - Nota Máxima: 10")</f>
        <v>#SLLPA - Segunda Licenciatura Letras - Português - #SLLPA - Segunda Licenciatura Letras - Português - Maria Regina Rodrigues Ferronatto - Metodologia do Ensino da Língua Portuguesa I - Nota Máxima: 10</v>
      </c>
    </row>
    <row r="1699">
      <c r="A1699" s="390" t="str">
        <f>IFERROR(__xludf.DUMMYFUNCTION("""COMPUTED_VALUE"""),"#SLLPA - Segunda Licenciatura Letras - Português - #SLLPA - Segunda Licenciatura Letras - Português - Maria Regina Rodrigues Ferronatto - Metodologia do Ensino da Língua Portuguesa I - Nota Máxima: 6")</f>
        <v>#SLLPA - Segunda Licenciatura Letras - Português - #SLLPA - Segunda Licenciatura Letras - Português - Maria Regina Rodrigues Ferronatto - Metodologia do Ensino da Língua Portuguesa I - Nota Máxima: 6</v>
      </c>
    </row>
    <row r="1700">
      <c r="A1700" s="390" t="str">
        <f>IFERROR(__xludf.DUMMYFUNCTION("""COMPUTED_VALUE"""),"#SLLPA - Segunda Licenciatura Letras - Português - #SLLPA - Segunda Licenciatura Letras - Português - Maria Regina Rodrigues Ferronatto - Metodologia do Ensino da Língua Portuguesa II.. - Nota Máxima: 10")</f>
        <v>#SLLPA - Segunda Licenciatura Letras - Português - #SLLPA - Segunda Licenciatura Letras - Português - Maria Regina Rodrigues Ferronatto - Metodologia do Ensino da Língua Portuguesa II.. - Nota Máxima: 10</v>
      </c>
    </row>
    <row r="1701">
      <c r="A1701" s="390" t="str">
        <f>IFERROR(__xludf.DUMMYFUNCTION("""COMPUTED_VALUE"""),"#SLLPA - Segunda Licenciatura Letras - Português - #SLLPA - Segunda Licenciatura Letras - Português - Maria Regina Rodrigues Ferronatto - Metodologia do Ensino da Língua Portuguesa II.. - Nota Máxima: 7")</f>
        <v>#SLLPA - Segunda Licenciatura Letras - Português - #SLLPA - Segunda Licenciatura Letras - Português - Maria Regina Rodrigues Ferronatto - Metodologia do Ensino da Língua Portuguesa II.. - Nota Máxima: 7</v>
      </c>
    </row>
    <row r="1702">
      <c r="A1702" s="390" t="str">
        <f>IFERROR(__xludf.DUMMYFUNCTION("""COMPUTED_VALUE"""),"#SLLPA - Segunda Licenciatura Letras - Português - #SLLPA - Segunda Licenciatura Letras - Português - Maria Regina Rodrigues Ferronatto - Planejamento, Gestão Educacional e Currículo/a - Nota Máxima: 10")</f>
        <v>#SLLPA - Segunda Licenciatura Letras - Português - #SLLPA - Segunda Licenciatura Letras - Português - Maria Regina Rodrigues Ferronatto - Planejamento, Gestão Educacional e Currículo/a - Nota Máxima: 10</v>
      </c>
    </row>
    <row r="1703">
      <c r="A1703" s="390" t="str">
        <f>IFERROR(__xludf.DUMMYFUNCTION("""COMPUTED_VALUE"""),"#SLLPA - Segunda Licenciatura Letras - Português - #SLLPA - Segunda Licenciatura Letras - Português - Maria Regina Rodrigues Ferronatto - Planejamento, Gestão Educacional e Currículo/a - Nota Máxima: 10")</f>
        <v>#SLLPA - Segunda Licenciatura Letras - Português - #SLLPA - Segunda Licenciatura Letras - Português - Maria Regina Rodrigues Ferronatto - Planejamento, Gestão Educacional e Currículo/a - Nota Máxima: 10</v>
      </c>
    </row>
    <row r="1704">
      <c r="A1704" s="390" t="str">
        <f>IFERROR(__xludf.DUMMYFUNCTION("""COMPUTED_VALUE"""),"#SLLPA - Segunda Licenciatura Letras - Português - #SLLPA - Segunda Licenciatura Letras - Português - Maria Regina Rodrigues Ferronatto - Práticas Pedagógicas - 400 Horas - Nota Máxima: 45784")</f>
        <v>#SLLPA - Segunda Licenciatura Letras - Português - #SLLPA - Segunda Licenciatura Letras - Português - Maria Regina Rodrigues Ferronatto - Práticas Pedagógicas - 400 Horas - Nota Máxima: 45784</v>
      </c>
    </row>
    <row r="1705">
      <c r="A1705" s="390" t="str">
        <f>IFERROR(__xludf.DUMMYFUNCTION("""COMPUTED_VALUE"""),"#SLLPA - Segunda Licenciatura Letras - Português - #SLLPA - Segunda Licenciatura Letras - Português - Maria Regina Rodrigues Ferronatto - Psicologia da Educação – 100H - Nota Máxima: 10")</f>
        <v>#SLLPA - Segunda Licenciatura Letras - Português - #SLLPA - Segunda Licenciatura Letras - Português - Maria Regina Rodrigues Ferronatto - Psicologia da Educação – 100H - Nota Máxima: 10</v>
      </c>
    </row>
    <row r="1706">
      <c r="A1706" s="390" t="str">
        <f>IFERROR(__xludf.DUMMYFUNCTION("""COMPUTED_VALUE"""),"#SLLPA - Segunda Licenciatura Letras - Português - #SLLPA - Segunda Licenciatura Letras - Português - Maria Regina Rodrigues Ferronatto - Psicologia da Educação – 100H - Nota Máxima: 10")</f>
        <v>#SLLPA - Segunda Licenciatura Letras - Português - #SLLPA - Segunda Licenciatura Letras - Português - Maria Regina Rodrigues Ferronatto - Psicologia da Educação – 100H - Nota Máxima: 10</v>
      </c>
    </row>
    <row r="1707">
      <c r="A1707" s="390" t="str">
        <f>IFERROR(__xludf.DUMMYFUNCTION("""COMPUTED_VALUE"""),"#SLLPA - Segunda Licenciatura Letras - Português - #SLLPA - Segunda Licenciatura Letras - Português - Maria Regina Rodrigues Ferronatto - Psicomotricidade e Linguagem na Alfabetização/b - Nota Máxima: 10")</f>
        <v>#SLLPA - Segunda Licenciatura Letras - Português - #SLLPA - Segunda Licenciatura Letras - Português - Maria Regina Rodrigues Ferronatto - Psicomotricidade e Linguagem na Alfabetização/b - Nota Máxima: 10</v>
      </c>
    </row>
    <row r="1708">
      <c r="A1708" s="390" t="str">
        <f>IFERROR(__xludf.DUMMYFUNCTION("""COMPUTED_VALUE"""),"#SLLPA - Segunda Licenciatura Letras - Português - #SLLPA - Segunda Licenciatura Letras - Português - Maria Regina Rodrigues Ferronatto - Psicomotricidade e Linguagem na Alfabetização/b - Nota Máxima: 7")</f>
        <v>#SLLPA - Segunda Licenciatura Letras - Português - #SLLPA - Segunda Licenciatura Letras - Português - Maria Regina Rodrigues Ferronatto - Psicomotricidade e Linguagem na Alfabetização/b - Nota Máxima: 7</v>
      </c>
    </row>
    <row r="1709">
      <c r="A1709" s="390" t="str">
        <f>IFERROR(__xludf.DUMMYFUNCTION("""COMPUTED_VALUE"""),"#SLLPA - Segunda Licenciatura Letras - Português - #SLLPA - Segunda Licenciatura Letras - Português - Adão do Carmo Muniz - Deficiência Auditiva e Libras/a - Nota Máxima: 10")</f>
        <v>#SLLPA - Segunda Licenciatura Letras - Português - #SLLPA - Segunda Licenciatura Letras - Português - Adão do Carmo Muniz - Deficiência Auditiva e Libras/a - Nota Máxima: 10</v>
      </c>
    </row>
    <row r="1710">
      <c r="A1710" s="390" t="str">
        <f>IFERROR(__xludf.DUMMYFUNCTION("""COMPUTED_VALUE"""),"#SLLPA - Segunda Licenciatura Letras - Português - #SLLPA - Segunda Licenciatura Letras - Português - Adão do Carmo Muniz - Deficiência Auditiva e Libras/a - Nota Máxima: 9")</f>
        <v>#SLLPA - Segunda Licenciatura Letras - Português - #SLLPA - Segunda Licenciatura Letras - Português - Adão do Carmo Muniz - Deficiência Auditiva e Libras/a - Nota Máxima: 9</v>
      </c>
    </row>
    <row r="1711">
      <c r="A1711" s="390" t="str">
        <f>IFERROR(__xludf.DUMMYFUNCTION("""COMPUTED_VALUE"""),"#SLLPA - Segunda Licenciatura Letras - Português - #SLLPA - Segunda Licenciatura Letras - Português - Adão do Carmo Muniz - Distúrbios de Aprendizagem na Leitura E Escrita - Nota Máxima: 10")</f>
        <v>#SLLPA - Segunda Licenciatura Letras - Português - #SLLPA - Segunda Licenciatura Letras - Português - Adão do Carmo Muniz - Distúrbios de Aprendizagem na Leitura E Escrita - Nota Máxima: 10</v>
      </c>
    </row>
    <row r="1712">
      <c r="A1712" s="390" t="str">
        <f>IFERROR(__xludf.DUMMYFUNCTION("""COMPUTED_VALUE"""),"#SLLPA - Segunda Licenciatura Letras - Português - #SLLPA - Segunda Licenciatura Letras - Português - Adão do Carmo Muniz - Distúrbios de Aprendizagem na Leitura E Escrita - Nota Máxima: 8")</f>
        <v>#SLLPA - Segunda Licenciatura Letras - Português - #SLLPA - Segunda Licenciatura Letras - Português - Adão do Carmo Muniz - Distúrbios de Aprendizagem na Leitura E Escrita - Nota Máxima: 8</v>
      </c>
    </row>
    <row r="1713">
      <c r="A1713" s="390" t="str">
        <f>IFERROR(__xludf.DUMMYFUNCTION("""COMPUTED_VALUE"""),"#SLLPA - Segunda Licenciatura Letras - Português - #SLLPA - Segunda Licenciatura Letras - Português - Adão do Carmo Muniz - Educação Especial, Inclusão Escolar e Adaptações Curriculares - Nota Máxima: 10")</f>
        <v>#SLLPA - Segunda Licenciatura Letras - Português - #SLLPA - Segunda Licenciatura Letras - Português - Adão do Carmo Muniz - Educação Especial, Inclusão Escolar e Adaptações Curriculares - Nota Máxima: 10</v>
      </c>
    </row>
    <row r="1714">
      <c r="A1714" s="390" t="str">
        <f>IFERROR(__xludf.DUMMYFUNCTION("""COMPUTED_VALUE"""),"#SLLPA - Segunda Licenciatura Letras - Português - #SLLPA - Segunda Licenciatura Letras - Português - Adão do Carmo Muniz - Educação Especial, Inclusão Escolar e Adaptações Curriculares - Nota Máxima: 5")</f>
        <v>#SLLPA - Segunda Licenciatura Letras - Português - #SLLPA - Segunda Licenciatura Letras - Português - Adão do Carmo Muniz - Educação Especial, Inclusão Escolar e Adaptações Curriculares - Nota Máxima: 5</v>
      </c>
    </row>
    <row r="1715">
      <c r="A1715" s="390" t="str">
        <f>IFERROR(__xludf.DUMMYFUNCTION("""COMPUTED_VALUE"""),"#SLLPA - Segunda Licenciatura Letras - Português - #SLLPA - Segunda Licenciatura Letras - Português - Adão do Carmo Muniz - Educação, História, Cultura e Práticas Indígenas/b - Nota Máxima: 10")</f>
        <v>#SLLPA - Segunda Licenciatura Letras - Português - #SLLPA - Segunda Licenciatura Letras - Português - Adão do Carmo Muniz - Educação, História, Cultura e Práticas Indígenas/b - Nota Máxima: 10</v>
      </c>
    </row>
    <row r="1716">
      <c r="A1716" s="390" t="str">
        <f>IFERROR(__xludf.DUMMYFUNCTION("""COMPUTED_VALUE"""),"#SLLPA - Segunda Licenciatura Letras - Português - #SLLPA - Segunda Licenciatura Letras - Português - Adão do Carmo Muniz - Educação, História, Cultura e Práticas Indígenas/b - Nota Máxima: 10")</f>
        <v>#SLLPA - Segunda Licenciatura Letras - Português - #SLLPA - Segunda Licenciatura Letras - Português - Adão do Carmo Muniz - Educação, História, Cultura e Práticas Indígenas/b - Nota Máxima: 10</v>
      </c>
    </row>
    <row r="1717">
      <c r="A1717" s="390" t="str">
        <f>IFERROR(__xludf.DUMMYFUNCTION("""COMPUTED_VALUE"""),"#SLLPA - Segunda Licenciatura Letras - Português - #SLLPA - Segunda Licenciatura Letras - Português - Adão do Carmo Muniz - Estudos Morfossintáticos da Língua Portuguesa/b - Nota Máxima: 10")</f>
        <v>#SLLPA - Segunda Licenciatura Letras - Português - #SLLPA - Segunda Licenciatura Letras - Português - Adão do Carmo Muniz - Estudos Morfossintáticos da Língua Portuguesa/b - Nota Máxima: 10</v>
      </c>
    </row>
    <row r="1718">
      <c r="A1718" s="390" t="str">
        <f>IFERROR(__xludf.DUMMYFUNCTION("""COMPUTED_VALUE"""),"#SLLPA - Segunda Licenciatura Letras - Português - #SLLPA - Segunda Licenciatura Letras - Português - Adão do Carmo Muniz - Estudos Morfossintáticos da Língua Portuguesa/b - Nota Máxima: 8")</f>
        <v>#SLLPA - Segunda Licenciatura Letras - Português - #SLLPA - Segunda Licenciatura Letras - Português - Adão do Carmo Muniz - Estudos Morfossintáticos da Língua Portuguesa/b - Nota Máxima: 8</v>
      </c>
    </row>
    <row r="1719">
      <c r="A1719" s="390" t="str">
        <f>IFERROR(__xludf.DUMMYFUNCTION("""COMPUTED_VALUE"""),"#SLLPA - Segunda Licenciatura Letras - Português - #SLLPA - Segunda Licenciatura Letras - Português - Adão do Carmo Muniz - Legislação Educacional/a - Nota Máxima: 10")</f>
        <v>#SLLPA - Segunda Licenciatura Letras - Português - #SLLPA - Segunda Licenciatura Letras - Português - Adão do Carmo Muniz - Legislação Educacional/a - Nota Máxima: 10</v>
      </c>
    </row>
    <row r="1720">
      <c r="A1720" s="390" t="str">
        <f>IFERROR(__xludf.DUMMYFUNCTION("""COMPUTED_VALUE"""),"#SLLPA - Segunda Licenciatura Letras - Português - #SLLPA - Segunda Licenciatura Letras - Português - Adão do Carmo Muniz - Legislação Educacional/a - Nota Máxima: 8")</f>
        <v>#SLLPA - Segunda Licenciatura Letras - Português - #SLLPA - Segunda Licenciatura Letras - Português - Adão do Carmo Muniz - Legislação Educacional/a - Nota Máxima: 8</v>
      </c>
    </row>
    <row r="1721">
      <c r="A1721" s="390" t="str">
        <f>IFERROR(__xludf.DUMMYFUNCTION("""COMPUTED_VALUE"""),"#SLLPA - Segunda Licenciatura Letras - Português - #SLLPA - Segunda Licenciatura Letras - Português - Adão do Carmo Muniz - Linguística Aplicada ao Ensino de Português/a - Nota Máxima: 10")</f>
        <v>#SLLPA - Segunda Licenciatura Letras - Português - #SLLPA - Segunda Licenciatura Letras - Português - Adão do Carmo Muniz - Linguística Aplicada ao Ensino de Português/a - Nota Máxima: 10</v>
      </c>
    </row>
    <row r="1722">
      <c r="A1722" s="390" t="str">
        <f>IFERROR(__xludf.DUMMYFUNCTION("""COMPUTED_VALUE"""),"#SLLPA - Segunda Licenciatura Letras - Português - #SLLPA - Segunda Licenciatura Letras - Português - Adão do Carmo Muniz - Linguística Aplicada ao Ensino de Português/a - Nota Máxima: 9")</f>
        <v>#SLLPA - Segunda Licenciatura Letras - Português - #SLLPA - Segunda Licenciatura Letras - Português - Adão do Carmo Muniz - Linguística Aplicada ao Ensino de Português/a - Nota Máxima: 9</v>
      </c>
    </row>
    <row r="1723">
      <c r="A1723" s="390" t="str">
        <f>IFERROR(__xludf.DUMMYFUNCTION("""COMPUTED_VALUE"""),"#SLLPA - Segunda Licenciatura Letras - Português - #SLLPA - Segunda Licenciatura Letras - Português - Adão do Carmo Muniz - Metodologia do Ensino da Língua Portuguesa I - Nota Máxima: 10")</f>
        <v>#SLLPA - Segunda Licenciatura Letras - Português - #SLLPA - Segunda Licenciatura Letras - Português - Adão do Carmo Muniz - Metodologia do Ensino da Língua Portuguesa I - Nota Máxima: 10</v>
      </c>
    </row>
    <row r="1724">
      <c r="A1724" s="390" t="str">
        <f>IFERROR(__xludf.DUMMYFUNCTION("""COMPUTED_VALUE"""),"#SLLPA - Segunda Licenciatura Letras - Português - #SLLPA - Segunda Licenciatura Letras - Português - Adão do Carmo Muniz - Metodologia do Ensino da Língua Portuguesa I - Nota Máxima: 10")</f>
        <v>#SLLPA - Segunda Licenciatura Letras - Português - #SLLPA - Segunda Licenciatura Letras - Português - Adão do Carmo Muniz - Metodologia do Ensino da Língua Portuguesa I - Nota Máxima: 10</v>
      </c>
    </row>
    <row r="1725">
      <c r="A1725" s="390" t="str">
        <f>IFERROR(__xludf.DUMMYFUNCTION("""COMPUTED_VALUE"""),"#SLLPA - Segunda Licenciatura Letras - Português - #SLLPA - Segunda Licenciatura Letras - Português - Adão do Carmo Muniz - Metodologia do Ensino da Língua Portuguesa II.. - Nota Máxima: 10")</f>
        <v>#SLLPA - Segunda Licenciatura Letras - Português - #SLLPA - Segunda Licenciatura Letras - Português - Adão do Carmo Muniz - Metodologia do Ensino da Língua Portuguesa II.. - Nota Máxima: 10</v>
      </c>
    </row>
    <row r="1726">
      <c r="A1726" s="390" t="str">
        <f>IFERROR(__xludf.DUMMYFUNCTION("""COMPUTED_VALUE"""),"#SLLPA - Segunda Licenciatura Letras - Português - #SLLPA - Segunda Licenciatura Letras - Português - Adão do Carmo Muniz - Metodologia do Ensino da Língua Portuguesa II.. - Nota Máxima: 9")</f>
        <v>#SLLPA - Segunda Licenciatura Letras - Português - #SLLPA - Segunda Licenciatura Letras - Português - Adão do Carmo Muniz - Metodologia do Ensino da Língua Portuguesa II.. - Nota Máxima: 9</v>
      </c>
    </row>
    <row r="1727">
      <c r="A1727" s="390" t="str">
        <f>IFERROR(__xludf.DUMMYFUNCTION("""COMPUTED_VALUE"""),"#SLLPA - Segunda Licenciatura Letras - Português - #SLLPA - Segunda Licenciatura Letras - Português - Adão do Carmo Muniz - Planejamento, Gestão Educacional e Currículo/a - Nota Máxima: 10")</f>
        <v>#SLLPA - Segunda Licenciatura Letras - Português - #SLLPA - Segunda Licenciatura Letras - Português - Adão do Carmo Muniz - Planejamento, Gestão Educacional e Currículo/a - Nota Máxima: 10</v>
      </c>
    </row>
    <row r="1728">
      <c r="A1728" s="390" t="str">
        <f>IFERROR(__xludf.DUMMYFUNCTION("""COMPUTED_VALUE"""),"#SLLPA - Segunda Licenciatura Letras - Português - #SLLPA - Segunda Licenciatura Letras - Português - Adão do Carmo Muniz - Planejamento, Gestão Educacional e Currículo/a - Nota Máxima: 10")</f>
        <v>#SLLPA - Segunda Licenciatura Letras - Português - #SLLPA - Segunda Licenciatura Letras - Português - Adão do Carmo Muniz - Planejamento, Gestão Educacional e Currículo/a - Nota Máxima: 10</v>
      </c>
    </row>
    <row r="1729">
      <c r="A1729" s="390" t="str">
        <f>IFERROR(__xludf.DUMMYFUNCTION("""COMPUTED_VALUE"""),"#SLLPA - Segunda Licenciatura Letras - Português - #SLLPA - Segunda Licenciatura Letras - Português - Adão do Carmo Muniz - Práticas Pedagógicas - 400 Horas - Nota Máxima: 4")</f>
        <v>#SLLPA - Segunda Licenciatura Letras - Português - #SLLPA - Segunda Licenciatura Letras - Português - Adão do Carmo Muniz - Práticas Pedagógicas - 400 Horas - Nota Máxima: 4</v>
      </c>
    </row>
    <row r="1730">
      <c r="A1730" s="390" t="str">
        <f>IFERROR(__xludf.DUMMYFUNCTION("""COMPUTED_VALUE"""),"#SLLPA - Segunda Licenciatura Letras - Português - #SLLPA - Segunda Licenciatura Letras - Português - Adão do Carmo Muniz - Práticas Pedagógicas - 400 Horas - Nota Máxima: 3")</f>
        <v>#SLLPA - Segunda Licenciatura Letras - Português - #SLLPA - Segunda Licenciatura Letras - Português - Adão do Carmo Muniz - Práticas Pedagógicas - 400 Horas - Nota Máxima: 3</v>
      </c>
    </row>
    <row r="1731">
      <c r="A1731" s="390" t="str">
        <f>IFERROR(__xludf.DUMMYFUNCTION("""COMPUTED_VALUE"""),"#SLLPA - Segunda Licenciatura Letras - Português - #SLLPA - Segunda Licenciatura Letras - Português - Adão do Carmo Muniz - Psicologia da Educação – 100H - Nota Máxima: 10")</f>
        <v>#SLLPA - Segunda Licenciatura Letras - Português - #SLLPA - Segunda Licenciatura Letras - Português - Adão do Carmo Muniz - Psicologia da Educação – 100H - Nota Máxima: 10</v>
      </c>
    </row>
    <row r="1732">
      <c r="A1732" s="390" t="str">
        <f>IFERROR(__xludf.DUMMYFUNCTION("""COMPUTED_VALUE"""),"#SLLPA - Segunda Licenciatura Letras - Português - #SLLPA - Segunda Licenciatura Letras - Português - Adão do Carmo Muniz - Psicologia da Educação – 100H - Nota Máxima: 10")</f>
        <v>#SLLPA - Segunda Licenciatura Letras - Português - #SLLPA - Segunda Licenciatura Letras - Português - Adão do Carmo Muniz - Psicologia da Educação – 100H - Nota Máxima: 10</v>
      </c>
    </row>
    <row r="1733">
      <c r="A1733" s="390" t="str">
        <f>IFERROR(__xludf.DUMMYFUNCTION("""COMPUTED_VALUE"""),"#SLLPA - Segunda Licenciatura Letras - Português - #SLLPA - Segunda Licenciatura Letras - Português - Adão do Carmo Muniz - Psicomotricidade e Linguagem na Alfabetização/b - Nota Máxima: 10")</f>
        <v>#SLLPA - Segunda Licenciatura Letras - Português - #SLLPA - Segunda Licenciatura Letras - Português - Adão do Carmo Muniz - Psicomotricidade e Linguagem na Alfabetização/b - Nota Máxima: 10</v>
      </c>
    </row>
    <row r="1734">
      <c r="A1734" s="390" t="str">
        <f>IFERROR(__xludf.DUMMYFUNCTION("""COMPUTED_VALUE"""),"#SLLPA - Segunda Licenciatura Letras - Português - #SLLPA - Segunda Licenciatura Letras - Português - Adão do Carmo Muniz - Psicomotricidade e Linguagem na Alfabetização/b - Nota Máxima: 10")</f>
        <v>#SLLPA - Segunda Licenciatura Letras - Português - #SLLPA - Segunda Licenciatura Letras - Português - Adão do Carmo Muniz - Psicomotricidade e Linguagem na Alfabetização/b - Nota Máxima: 10</v>
      </c>
    </row>
    <row r="1735">
      <c r="A1735" s="390" t="str">
        <f>IFERROR(__xludf.DUMMYFUNCTION("""COMPUTED_VALUE"""),"#SLLPA - Segunda Licenciatura Letras - Português - #SLLPA - Segunda Licenciatura Letras - Português - Adão do Carmo Muniz - Teoria da Literatura/b - Nota Máxima: 10")</f>
        <v>#SLLPA - Segunda Licenciatura Letras - Português - #SLLPA - Segunda Licenciatura Letras - Português - Adão do Carmo Muniz - Teoria da Literatura/b - Nota Máxima: 10</v>
      </c>
    </row>
    <row r="1736">
      <c r="A1736" s="390" t="str">
        <f>IFERROR(__xludf.DUMMYFUNCTION("""COMPUTED_VALUE"""),"#SLLPA - Segunda Licenciatura Letras - Português - #SLLPA - Segunda Licenciatura Letras - Português - Adão do Carmo Muniz - Teoria da Literatura/b - Nota Máxima: 10")</f>
        <v>#SLLPA - Segunda Licenciatura Letras - Português - #SLLPA - Segunda Licenciatura Letras - Português - Adão do Carmo Muniz - Teoria da Literatura/b - Nota Máxima: 10</v>
      </c>
    </row>
    <row r="1737">
      <c r="A1737" s="390" t="str">
        <f>IFERROR(__xludf.DUMMYFUNCTION("""COMPUTED_VALUE"""),"#SLLPA - Segunda Licenciatura Letras - Português - #SLLPA - Segunda Licenciatura Letras - Português - Neide Francisca Cidreira Bigoni - Deficiência Auditiva e Libras/a - Nota Máxima: 9")</f>
        <v>#SLLPA - Segunda Licenciatura Letras - Português - #SLLPA - Segunda Licenciatura Letras - Português - Neide Francisca Cidreira Bigoni - Deficiência Auditiva e Libras/a - Nota Máxima: 9</v>
      </c>
    </row>
    <row r="1738">
      <c r="A1738" s="390" t="str">
        <f>IFERROR(__xludf.DUMMYFUNCTION("""COMPUTED_VALUE"""),"#SLLPA - Segunda Licenciatura Letras - Português - #SLLPA - Segunda Licenciatura Letras - Português - Neide Francisca Cidreira Bigoni - Distúrbios de Aprendizagem na Leitura E Escrita - Nota Máxima: 9")</f>
        <v>#SLLPA - Segunda Licenciatura Letras - Português - #SLLPA - Segunda Licenciatura Letras - Português - Neide Francisca Cidreira Bigoni - Distúrbios de Aprendizagem na Leitura E Escrita - Nota Máxima: 9</v>
      </c>
    </row>
    <row r="1739">
      <c r="A1739" s="390" t="str">
        <f>IFERROR(__xludf.DUMMYFUNCTION("""COMPUTED_VALUE"""),"#SLLPA - Segunda Licenciatura Letras - Português - #SLLPA - Segunda Licenciatura Letras - Português - Neide Francisca Cidreira Bigoni - Educação Especial, Inclusão Escolar e Adaptações Curriculares - Nota Máxima: 9")</f>
        <v>#SLLPA - Segunda Licenciatura Letras - Português - #SLLPA - Segunda Licenciatura Letras - Português - Neide Francisca Cidreira Bigoni - Educação Especial, Inclusão Escolar e Adaptações Curriculares - Nota Máxima: 9</v>
      </c>
    </row>
    <row r="1740">
      <c r="A1740" s="390" t="str">
        <f>IFERROR(__xludf.DUMMYFUNCTION("""COMPUTED_VALUE"""),"#SLLPA - Segunda Licenciatura Letras - Português - #SLLPA - Segunda Licenciatura Letras - Português - Neide Francisca Cidreira Bigoni - Educação, História, Cultura e Práticas Indígenas/b - Nota Máxima: 9")</f>
        <v>#SLLPA - Segunda Licenciatura Letras - Português - #SLLPA - Segunda Licenciatura Letras - Português - Neide Francisca Cidreira Bigoni - Educação, História, Cultura e Práticas Indígenas/b - Nota Máxima: 9</v>
      </c>
    </row>
    <row r="1741">
      <c r="A1741" s="390" t="str">
        <f>IFERROR(__xludf.DUMMYFUNCTION("""COMPUTED_VALUE"""),"#SLLPA - Segunda Licenciatura Letras - Português - #SLLPA - Segunda Licenciatura Letras - Português - Neide Francisca Cidreira Bigoni - Estudos Morfossintáticos da Língua Portuguesa/b - Nota Máxima: 7")</f>
        <v>#SLLPA - Segunda Licenciatura Letras - Português - #SLLPA - Segunda Licenciatura Letras - Português - Neide Francisca Cidreira Bigoni - Estudos Morfossintáticos da Língua Portuguesa/b - Nota Máxima: 7</v>
      </c>
    </row>
    <row r="1742">
      <c r="A1742" s="390" t="str">
        <f>IFERROR(__xludf.DUMMYFUNCTION("""COMPUTED_VALUE"""),"#SLLPA - Segunda Licenciatura Letras - Português - #SLLPA - Segunda Licenciatura Letras - Português - Neide Francisca Cidreira Bigoni - Legislação Educacional/a - Nota Máxima: 9")</f>
        <v>#SLLPA - Segunda Licenciatura Letras - Português - #SLLPA - Segunda Licenciatura Letras - Português - Neide Francisca Cidreira Bigoni - Legislação Educacional/a - Nota Máxima: 9</v>
      </c>
    </row>
    <row r="1743">
      <c r="A1743" s="390" t="str">
        <f>IFERROR(__xludf.DUMMYFUNCTION("""COMPUTED_VALUE"""),"#SLLPA - Segunda Licenciatura Letras - Português - #SLLPA - Segunda Licenciatura Letras - Português - Neide Francisca Cidreira Bigoni - Linguística Aplicada ao Ensino de Português/a - Nota Máxima: 9")</f>
        <v>#SLLPA - Segunda Licenciatura Letras - Português - #SLLPA - Segunda Licenciatura Letras - Português - Neide Francisca Cidreira Bigoni - Linguística Aplicada ao Ensino de Português/a - Nota Máxima: 9</v>
      </c>
    </row>
    <row r="1744">
      <c r="A1744" s="390" t="str">
        <f>IFERROR(__xludf.DUMMYFUNCTION("""COMPUTED_VALUE"""),"#SLLPA - Segunda Licenciatura Letras - Português - #SLLPA - Segunda Licenciatura Letras - Português - Neide Francisca Cidreira Bigoni - Metodologia do Ensino da Língua Portuguesa I - Nota Máxima: 8")</f>
        <v>#SLLPA - Segunda Licenciatura Letras - Português - #SLLPA - Segunda Licenciatura Letras - Português - Neide Francisca Cidreira Bigoni - Metodologia do Ensino da Língua Portuguesa I - Nota Máxima: 8</v>
      </c>
    </row>
    <row r="1745">
      <c r="A1745" s="390" t="str">
        <f>IFERROR(__xludf.DUMMYFUNCTION("""COMPUTED_VALUE"""),"#SLLPA - Segunda Licenciatura Letras - Português - #SLLPA - Segunda Licenciatura Letras - Português - Neide Francisca Cidreira Bigoni - Metodologia do Ensino da Língua Portuguesa II.. - Nota Máxima: 9")</f>
        <v>#SLLPA - Segunda Licenciatura Letras - Português - #SLLPA - Segunda Licenciatura Letras - Português - Neide Francisca Cidreira Bigoni - Metodologia do Ensino da Língua Portuguesa II.. - Nota Máxima: 9</v>
      </c>
    </row>
    <row r="1746">
      <c r="A1746" s="390" t="str">
        <f>IFERROR(__xludf.DUMMYFUNCTION("""COMPUTED_VALUE"""),"#SLLPA - Segunda Licenciatura Letras - Português - #SLLPA - Segunda Licenciatura Letras - Português - Neide Francisca Cidreira Bigoni - Planejamento, Gestão Educacional e Currículo/a - Nota Máxima: 9")</f>
        <v>#SLLPA - Segunda Licenciatura Letras - Português - #SLLPA - Segunda Licenciatura Letras - Português - Neide Francisca Cidreira Bigoni - Planejamento, Gestão Educacional e Currículo/a - Nota Máxima: 9</v>
      </c>
    </row>
    <row r="1747">
      <c r="A1747" s="390" t="str">
        <f>IFERROR(__xludf.DUMMYFUNCTION("""COMPUTED_VALUE"""),"#SLLPA - Segunda Licenciatura Letras - Português - #SLLPA - Segunda Licenciatura Letras - Português - Neide Francisca Cidreira Bigoni - Psicologia da Educação – 100H - Nota Máxima: 9")</f>
        <v>#SLLPA - Segunda Licenciatura Letras - Português - #SLLPA - Segunda Licenciatura Letras - Português - Neide Francisca Cidreira Bigoni - Psicologia da Educação – 100H - Nota Máxima: 9</v>
      </c>
    </row>
    <row r="1748">
      <c r="A1748" s="390" t="str">
        <f>IFERROR(__xludf.DUMMYFUNCTION("""COMPUTED_VALUE"""),"#SLLPA - Segunda Licenciatura Letras - Português - #SLLPA - Segunda Licenciatura Letras - Português - Neide Francisca Cidreira Bigoni - Psicomotricidade e Linguagem na Alfabetização/b - Nota Máxima: 9")</f>
        <v>#SLLPA - Segunda Licenciatura Letras - Português - #SLLPA - Segunda Licenciatura Letras - Português - Neide Francisca Cidreira Bigoni - Psicomotricidade e Linguagem na Alfabetização/b - Nota Máxima: 9</v>
      </c>
    </row>
    <row r="1749">
      <c r="A1749" s="390" t="str">
        <f>IFERROR(__xludf.DUMMYFUNCTION("""COMPUTED_VALUE"""),"#SLLPA - Segunda Licenciatura Letras - Português - #SLLPA - Segunda Licenciatura Letras - Português - Neide Francisca Cidreira Bigoni - Teoria da Literatura/b - Nota Máxima: 8")</f>
        <v>#SLLPA - Segunda Licenciatura Letras - Português - #SLLPA - Segunda Licenciatura Letras - Português - Neide Francisca Cidreira Bigoni - Teoria da Literatura/b - Nota Máxima: 8</v>
      </c>
    </row>
    <row r="1750">
      <c r="A1750" s="390" t="str">
        <f>IFERROR(__xludf.DUMMYFUNCTION("""COMPUTED_VALUE"""),"")</f>
        <v/>
      </c>
    </row>
    <row r="1751">
      <c r="A1751" s="390" t="str">
        <f>IFERROR(__xludf.DUMMYFUNCTION("""COMPUTED_VALUE"""),"#SLLPA - Segunda Licenciatura Letras - Português - #SLLPA - Segunda Licenciatura Letras - Português - Andrea Edna Da Silva Martins - Deficiência Auditiva e Libras/a - Nota Máxima: 7")</f>
        <v>#SLLPA - Segunda Licenciatura Letras - Português - #SLLPA - Segunda Licenciatura Letras - Português - Andrea Edna Da Silva Martins - Deficiência Auditiva e Libras/a - Nota Máxima: 7</v>
      </c>
    </row>
    <row r="1752">
      <c r="A1752" s="390" t="str">
        <f>IFERROR(__xludf.DUMMYFUNCTION("""COMPUTED_VALUE"""),"#SLLPA - Segunda Licenciatura Letras - Português - #SLLPA - Segunda Licenciatura Letras - Português - Andrea Edna Da Silva Martins - Distúrbios de Aprendizagem na Leitura E Escrita - Nota Máxima: 9")</f>
        <v>#SLLPA - Segunda Licenciatura Letras - Português - #SLLPA - Segunda Licenciatura Letras - Português - Andrea Edna Da Silva Martins - Distúrbios de Aprendizagem na Leitura E Escrita - Nota Máxima: 9</v>
      </c>
    </row>
    <row r="1753">
      <c r="A1753" s="390" t="str">
        <f>IFERROR(__xludf.DUMMYFUNCTION("""COMPUTED_VALUE"""),"#SLLPA - Segunda Licenciatura Letras - Português - #SLLPA - Segunda Licenciatura Letras - Português - Andrea Edna Da Silva Martins - Educação Especial, Inclusão Escolar e Adaptações Curriculares - Nota Máxima: 9")</f>
        <v>#SLLPA - Segunda Licenciatura Letras - Português - #SLLPA - Segunda Licenciatura Letras - Português - Andrea Edna Da Silva Martins - Educação Especial, Inclusão Escolar e Adaptações Curriculares - Nota Máxima: 9</v>
      </c>
    </row>
    <row r="1754">
      <c r="A1754" s="390" t="str">
        <f>IFERROR(__xludf.DUMMYFUNCTION("""COMPUTED_VALUE"""),"#SLLPA - Segunda Licenciatura Letras - Português - #SLLPA - Segunda Licenciatura Letras - Português - Andrea Edna Da Silva Martins - Educação, História, Cultura e Práticas Indígenas/b - Nota Máxima: 8")</f>
        <v>#SLLPA - Segunda Licenciatura Letras - Português - #SLLPA - Segunda Licenciatura Letras - Português - Andrea Edna Da Silva Martins - Educação, História, Cultura e Práticas Indígenas/b - Nota Máxima: 8</v>
      </c>
    </row>
    <row r="1755">
      <c r="A1755" s="390" t="str">
        <f>IFERROR(__xludf.DUMMYFUNCTION("""COMPUTED_VALUE"""),"#SLLPA - Segunda Licenciatura Letras - Português - #SLLPA - Segunda Licenciatura Letras - Português - Andrea Edna Da Silva Martins - Estudos Morfossintáticos da Língua Portuguesa/b - Nota Máxima: 8")</f>
        <v>#SLLPA - Segunda Licenciatura Letras - Português - #SLLPA - Segunda Licenciatura Letras - Português - Andrea Edna Da Silva Martins - Estudos Morfossintáticos da Língua Portuguesa/b - Nota Máxima: 8</v>
      </c>
    </row>
    <row r="1756">
      <c r="A1756" s="390" t="str">
        <f>IFERROR(__xludf.DUMMYFUNCTION("""COMPUTED_VALUE"""),"#SLLPA - Segunda Licenciatura Letras - Português - #SLLPA - Segunda Licenciatura Letras - Português - Andrea Edna Da Silva Martins - Legislação Educacional/a - Nota Máxima: 9")</f>
        <v>#SLLPA - Segunda Licenciatura Letras - Português - #SLLPA - Segunda Licenciatura Letras - Português - Andrea Edna Da Silva Martins - Legislação Educacional/a - Nota Máxima: 9</v>
      </c>
    </row>
    <row r="1757">
      <c r="A1757" s="390" t="str">
        <f>IFERROR(__xludf.DUMMYFUNCTION("""COMPUTED_VALUE"""),"#SLLPA - Segunda Licenciatura Letras - Português - #SLLPA - Segunda Licenciatura Letras - Português - Andrea Edna Da Silva Martins - Linguística Aplicada ao Ensino de Português/a - Nota Máxima: 7")</f>
        <v>#SLLPA - Segunda Licenciatura Letras - Português - #SLLPA - Segunda Licenciatura Letras - Português - Andrea Edna Da Silva Martins - Linguística Aplicada ao Ensino de Português/a - Nota Máxima: 7</v>
      </c>
    </row>
    <row r="1758">
      <c r="A1758" s="390" t="str">
        <f>IFERROR(__xludf.DUMMYFUNCTION("""COMPUTED_VALUE"""),"#SLLPA - Segunda Licenciatura Letras - Português - #SLLPA - Segunda Licenciatura Letras - Português - Andrea Edna Da Silva Martins - Metodologia do Ensino da Língua Portuguesa I - Nota Máxima: 7")</f>
        <v>#SLLPA - Segunda Licenciatura Letras - Português - #SLLPA - Segunda Licenciatura Letras - Português - Andrea Edna Da Silva Martins - Metodologia do Ensino da Língua Portuguesa I - Nota Máxima: 7</v>
      </c>
    </row>
    <row r="1759">
      <c r="A1759" s="390" t="str">
        <f>IFERROR(__xludf.DUMMYFUNCTION("""COMPUTED_VALUE"""),"#SLLPA - Segunda Licenciatura Letras - Português - #SLLPA - Segunda Licenciatura Letras - Português - Andrea Edna Da Silva Martins - Metodologia do Ensino da Língua Portuguesa II.. - Nota Máxima: 8")</f>
        <v>#SLLPA - Segunda Licenciatura Letras - Português - #SLLPA - Segunda Licenciatura Letras - Português - Andrea Edna Da Silva Martins - Metodologia do Ensino da Língua Portuguesa II.. - Nota Máxima: 8</v>
      </c>
    </row>
    <row r="1760">
      <c r="A1760" s="390" t="str">
        <f>IFERROR(__xludf.DUMMYFUNCTION("""COMPUTED_VALUE"""),"#SLLPA - Segunda Licenciatura Letras - Português - #SLLPA - Segunda Licenciatura Letras - Português - Andrea Edna Da Silva Martins - Planejamento, Gestão Educacional e Currículo/a - Nota Máxima: 9")</f>
        <v>#SLLPA - Segunda Licenciatura Letras - Português - #SLLPA - Segunda Licenciatura Letras - Português - Andrea Edna Da Silva Martins - Planejamento, Gestão Educacional e Currículo/a - Nota Máxima: 9</v>
      </c>
    </row>
    <row r="1761">
      <c r="A1761" s="390" t="str">
        <f>IFERROR(__xludf.DUMMYFUNCTION("""COMPUTED_VALUE"""),"#SLLPA - Segunda Licenciatura Letras - Português - #SLLPA - Segunda Licenciatura Letras - Português - Andrea Edna Da Silva Martins - Práticas Pedagógicas - 400 Horas - Nota Máxima: 10")</f>
        <v>#SLLPA - Segunda Licenciatura Letras - Português - #SLLPA - Segunda Licenciatura Letras - Português - Andrea Edna Da Silva Martins - Práticas Pedagógicas - 400 Horas - Nota Máxima: 10</v>
      </c>
    </row>
    <row r="1762">
      <c r="A1762" s="390" t="str">
        <f>IFERROR(__xludf.DUMMYFUNCTION("""COMPUTED_VALUE"""),"#SLLPA - Segunda Licenciatura Letras - Português - #SLLPA - Segunda Licenciatura Letras - Português - Andrea Edna Da Silva Martins - Psicologia da Educação – 100H - Nota Máxima: 8")</f>
        <v>#SLLPA - Segunda Licenciatura Letras - Português - #SLLPA - Segunda Licenciatura Letras - Português - Andrea Edna Da Silva Martins - Psicologia da Educação – 100H - Nota Máxima: 8</v>
      </c>
    </row>
    <row r="1763">
      <c r="A1763" s="390" t="str">
        <f>IFERROR(__xludf.DUMMYFUNCTION("""COMPUTED_VALUE"""),"#SLLPA - Segunda Licenciatura Letras - Português - #SLLPA - Segunda Licenciatura Letras - Português - Andrea Edna Da Silva Martins - Psicomotricidade e Linguagem na Alfabetização/b - Nota Máxima: 9")</f>
        <v>#SLLPA - Segunda Licenciatura Letras - Português - #SLLPA - Segunda Licenciatura Letras - Português - Andrea Edna Da Silva Martins - Psicomotricidade e Linguagem na Alfabetização/b - Nota Máxima: 9</v>
      </c>
    </row>
    <row r="1764">
      <c r="A1764" s="390" t="str">
        <f>IFERROR(__xludf.DUMMYFUNCTION("""COMPUTED_VALUE"""),"#SLLPA - Segunda Licenciatura Letras - Português - #SLLPA - Segunda Licenciatura Letras - Português - Andrea Edna Da Silva Martins - Teoria da Literatura/b - Nota Máxima: 9")</f>
        <v>#SLLPA - Segunda Licenciatura Letras - Português - #SLLPA - Segunda Licenciatura Letras - Português - Andrea Edna Da Silva Martins - Teoria da Literatura/b - Nota Máxima: 9</v>
      </c>
    </row>
    <row r="1765">
      <c r="A1765" s="390" t="str">
        <f>IFERROR(__xludf.DUMMYFUNCTION("""COMPUTED_VALUE"""),"#SLLPA - Segunda Licenciatura Letras - Português - #SLLPA - Segunda Licenciatura Letras - Português - Daniela Aparecida de Oliveira - Deficiência Auditiva e Libras/a - Nota Máxima: 8")</f>
        <v>#SLLPA - Segunda Licenciatura Letras - Português - #SLLPA - Segunda Licenciatura Letras - Português - Daniela Aparecida de Oliveira - Deficiência Auditiva e Libras/a - Nota Máxima: 8</v>
      </c>
    </row>
    <row r="1766">
      <c r="A1766" s="390" t="str">
        <f>IFERROR(__xludf.DUMMYFUNCTION("""COMPUTED_VALUE"""),"#SLLPA - Segunda Licenciatura Letras - Português - #SLLPA - Segunda Licenciatura Letras - Português - Daniela Aparecida de Oliveira - Distúrbios de Aprendizagem na Leitura E Escrita - Nota Máxima: 9")</f>
        <v>#SLLPA - Segunda Licenciatura Letras - Português - #SLLPA - Segunda Licenciatura Letras - Português - Daniela Aparecida de Oliveira - Distúrbios de Aprendizagem na Leitura E Escrita - Nota Máxima: 9</v>
      </c>
    </row>
    <row r="1767">
      <c r="A1767" s="390" t="str">
        <f>IFERROR(__xludf.DUMMYFUNCTION("""COMPUTED_VALUE"""),"#SLLPA - Segunda Licenciatura Letras - Português - #SLLPA - Segunda Licenciatura Letras - Português - Daniela Aparecida de Oliveira - Educação Especial, Inclusão Escolar e Adaptações Curriculares - Nota Máxima: 9")</f>
        <v>#SLLPA - Segunda Licenciatura Letras - Português - #SLLPA - Segunda Licenciatura Letras - Português - Daniela Aparecida de Oliveira - Educação Especial, Inclusão Escolar e Adaptações Curriculares - Nota Máxima: 9</v>
      </c>
    </row>
    <row r="1768">
      <c r="A1768" s="390" t="str">
        <f>IFERROR(__xludf.DUMMYFUNCTION("""COMPUTED_VALUE"""),"#SLLPA - Segunda Licenciatura Letras - Português - #SLLPA - Segunda Licenciatura Letras - Português - Daniela Aparecida de Oliveira - Educação, História, Cultura e Práticas Indígenas/b - Nota Máxima: 9")</f>
        <v>#SLLPA - Segunda Licenciatura Letras - Português - #SLLPA - Segunda Licenciatura Letras - Português - Daniela Aparecida de Oliveira - Educação, História, Cultura e Práticas Indígenas/b - Nota Máxima: 9</v>
      </c>
    </row>
    <row r="1769">
      <c r="A1769" s="390" t="str">
        <f>IFERROR(__xludf.DUMMYFUNCTION("""COMPUTED_VALUE"""),"#SLLPA - Segunda Licenciatura Letras - Português - #SLLPA - Segunda Licenciatura Letras - Português - Daniela Aparecida de Oliveira - Educação, História, Cultura e Práticas Indígenas/b - Nota Máxima: 9")</f>
        <v>#SLLPA - Segunda Licenciatura Letras - Português - #SLLPA - Segunda Licenciatura Letras - Português - Daniela Aparecida de Oliveira - Educação, História, Cultura e Práticas Indígenas/b - Nota Máxima: 9</v>
      </c>
    </row>
    <row r="1770">
      <c r="A1770" s="390" t="str">
        <f>IFERROR(__xludf.DUMMYFUNCTION("""COMPUTED_VALUE"""),"#SLLPA - Segunda Licenciatura Letras - Português - #SLLPA - Segunda Licenciatura Letras - Português - Daniela Aparecida de Oliveira - Estudos Morfossintáticos da Língua Portuguesa/b - Nota Máxima: 8")</f>
        <v>#SLLPA - Segunda Licenciatura Letras - Português - #SLLPA - Segunda Licenciatura Letras - Português - Daniela Aparecida de Oliveira - Estudos Morfossintáticos da Língua Portuguesa/b - Nota Máxima: 8</v>
      </c>
    </row>
    <row r="1771">
      <c r="A1771" s="390" t="str">
        <f>IFERROR(__xludf.DUMMYFUNCTION("""COMPUTED_VALUE"""),"#SLLPA - Segunda Licenciatura Letras - Português - #SLLPA - Segunda Licenciatura Letras - Português - Daniela Aparecida de Oliveira - Estudos Morfossintáticos da Língua Portuguesa/b - Nota Máxima: 8")</f>
        <v>#SLLPA - Segunda Licenciatura Letras - Português - #SLLPA - Segunda Licenciatura Letras - Português - Daniela Aparecida de Oliveira - Estudos Morfossintáticos da Língua Portuguesa/b - Nota Máxima: 8</v>
      </c>
    </row>
    <row r="1772">
      <c r="A1772" s="390" t="str">
        <f>IFERROR(__xludf.DUMMYFUNCTION("""COMPUTED_VALUE"""),"#SLLPA - Segunda Licenciatura Letras - Português - #SLLPA - Segunda Licenciatura Letras - Português - Daniela Aparecida de Oliveira - Legislação Educacional/a - Nota Máxima: 8")</f>
        <v>#SLLPA - Segunda Licenciatura Letras - Português - #SLLPA - Segunda Licenciatura Letras - Português - Daniela Aparecida de Oliveira - Legislação Educacional/a - Nota Máxima: 8</v>
      </c>
    </row>
    <row r="1773">
      <c r="A1773" s="390" t="str">
        <f>IFERROR(__xludf.DUMMYFUNCTION("""COMPUTED_VALUE"""),"#SLLPA - Segunda Licenciatura Letras - Português - #SLLPA - Segunda Licenciatura Letras - Português - Daniela Aparecida de Oliveira - Legislação Educacional/a - Nota Máxima: 7")</f>
        <v>#SLLPA - Segunda Licenciatura Letras - Português - #SLLPA - Segunda Licenciatura Letras - Português - Daniela Aparecida de Oliveira - Legislação Educacional/a - Nota Máxima: 7</v>
      </c>
    </row>
    <row r="1774">
      <c r="A1774" s="390" t="str">
        <f>IFERROR(__xludf.DUMMYFUNCTION("""COMPUTED_VALUE"""),"#SLLPA - Segunda Licenciatura Letras - Português - #SLLPA - Segunda Licenciatura Letras - Português - Daniela Aparecida de Oliveira - Linguística Aplicada ao Ensino de Português/a - Nota Máxima: 7")</f>
        <v>#SLLPA - Segunda Licenciatura Letras - Português - #SLLPA - Segunda Licenciatura Letras - Português - Daniela Aparecida de Oliveira - Linguística Aplicada ao Ensino de Português/a - Nota Máxima: 7</v>
      </c>
    </row>
    <row r="1775">
      <c r="A1775" s="390" t="str">
        <f>IFERROR(__xludf.DUMMYFUNCTION("""COMPUTED_VALUE"""),"#SLLPA - Segunda Licenciatura Letras - Português - #SLLPA - Segunda Licenciatura Letras - Português - Daniela Aparecida de Oliveira - Metodologia do Ensino da Língua Portuguesa I - Nota Máxima: 8")</f>
        <v>#SLLPA - Segunda Licenciatura Letras - Português - #SLLPA - Segunda Licenciatura Letras - Português - Daniela Aparecida de Oliveira - Metodologia do Ensino da Língua Portuguesa I - Nota Máxima: 8</v>
      </c>
    </row>
    <row r="1776">
      <c r="A1776" s="390" t="str">
        <f>IFERROR(__xludf.DUMMYFUNCTION("""COMPUTED_VALUE"""),"#SLLPA - Segunda Licenciatura Letras - Português - #SLLPA - Segunda Licenciatura Letras - Português - Daniela Aparecida de Oliveira - Metodologia do Ensino da Língua Portuguesa II.. - Nota Máxima: 8")</f>
        <v>#SLLPA - Segunda Licenciatura Letras - Português - #SLLPA - Segunda Licenciatura Letras - Português - Daniela Aparecida de Oliveira - Metodologia do Ensino da Língua Portuguesa II.. - Nota Máxima: 8</v>
      </c>
    </row>
    <row r="1777">
      <c r="A1777" s="390" t="str">
        <f>IFERROR(__xludf.DUMMYFUNCTION("""COMPUTED_VALUE"""),"#SLLPA - Segunda Licenciatura Letras - Português - #SLLPA - Segunda Licenciatura Letras - Português - Daniela Aparecida de Oliveira - Metodologia do Ensino da Língua Portuguesa II.. - Nota Máxima: 10")</f>
        <v>#SLLPA - Segunda Licenciatura Letras - Português - #SLLPA - Segunda Licenciatura Letras - Português - Daniela Aparecida de Oliveira - Metodologia do Ensino da Língua Portuguesa II.. - Nota Máxima: 10</v>
      </c>
    </row>
    <row r="1778">
      <c r="A1778" s="390" t="str">
        <f>IFERROR(__xludf.DUMMYFUNCTION("""COMPUTED_VALUE"""),"#SLLPA - Segunda Licenciatura Letras - Português - #SLLPA - Segunda Licenciatura Letras - Português - Daniela Aparecida de Oliveira - Planejamento, Gestão Educacional e Currículo/a - Nota Máxima: 10")</f>
        <v>#SLLPA - Segunda Licenciatura Letras - Português - #SLLPA - Segunda Licenciatura Letras - Português - Daniela Aparecida de Oliveira - Planejamento, Gestão Educacional e Currículo/a - Nota Máxima: 10</v>
      </c>
    </row>
    <row r="1779">
      <c r="A1779" s="390" t="str">
        <f>IFERROR(__xludf.DUMMYFUNCTION("""COMPUTED_VALUE"""),"#SLLPA - Segunda Licenciatura Letras - Português - #SLLPA - Segunda Licenciatura Letras - Português - Daniela Aparecida de Oliveira - Práticas Pedagógicas - 400 Horas - Nota Máxima: 10")</f>
        <v>#SLLPA - Segunda Licenciatura Letras - Português - #SLLPA - Segunda Licenciatura Letras - Português - Daniela Aparecida de Oliveira - Práticas Pedagógicas - 400 Horas - Nota Máxima: 10</v>
      </c>
    </row>
    <row r="1780">
      <c r="A1780" s="390" t="str">
        <f>IFERROR(__xludf.DUMMYFUNCTION("""COMPUTED_VALUE"""),"#SLLPA - Segunda Licenciatura Letras - Português - #SLLPA - Segunda Licenciatura Letras - Português - Daniela Aparecida de Oliveira - Práticas Pedagógicas - 400 Horas - Nota Máxima: 10")</f>
        <v>#SLLPA - Segunda Licenciatura Letras - Português - #SLLPA - Segunda Licenciatura Letras - Português - Daniela Aparecida de Oliveira - Práticas Pedagógicas - 400 Horas - Nota Máxima: 10</v>
      </c>
    </row>
    <row r="1781">
      <c r="A1781" s="390" t="str">
        <f>IFERROR(__xludf.DUMMYFUNCTION("""COMPUTED_VALUE"""),"#SLLPA - Segunda Licenciatura Letras - Português - #SLLPA - Segunda Licenciatura Letras - Português - Daniela Aparecida de Oliveira - Psicologia da Educação – 100H - Nota Máxima: 8")</f>
        <v>#SLLPA - Segunda Licenciatura Letras - Português - #SLLPA - Segunda Licenciatura Letras - Português - Daniela Aparecida de Oliveira - Psicologia da Educação – 100H - Nota Máxima: 8</v>
      </c>
    </row>
    <row r="1782">
      <c r="A1782" s="390" t="str">
        <f>IFERROR(__xludf.DUMMYFUNCTION("""COMPUTED_VALUE"""),"#SLLPA - Segunda Licenciatura Letras - Português - #SLLPA - Segunda Licenciatura Letras - Português - Daniela Aparecida de Oliveira - Psicologia da Educação – 100H - Nota Máxima: 7")</f>
        <v>#SLLPA - Segunda Licenciatura Letras - Português - #SLLPA - Segunda Licenciatura Letras - Português - Daniela Aparecida de Oliveira - Psicologia da Educação – 100H - Nota Máxima: 7</v>
      </c>
    </row>
    <row r="1783">
      <c r="A1783" s="390" t="str">
        <f>IFERROR(__xludf.DUMMYFUNCTION("""COMPUTED_VALUE"""),"#SLLPA - Segunda Licenciatura Letras - Português - #SLLPA - Segunda Licenciatura Letras - Português - Daniela Aparecida de Oliveira - Psicomotricidade e Linguagem na Alfabetização/b - Nota Máxima: 8")</f>
        <v>#SLLPA - Segunda Licenciatura Letras - Português - #SLLPA - Segunda Licenciatura Letras - Português - Daniela Aparecida de Oliveira - Psicomotricidade e Linguagem na Alfabetização/b - Nota Máxima: 8</v>
      </c>
    </row>
    <row r="1784">
      <c r="A1784" s="390" t="str">
        <f>IFERROR(__xludf.DUMMYFUNCTION("""COMPUTED_VALUE"""),"#SLLPA - Segunda Licenciatura Letras - Português - #SLLPA - Segunda Licenciatura Letras - Português - Daniela Aparecida de Oliveira - Psicomotricidade e Linguagem na Alfabetização/b - Nota Máxima: 8")</f>
        <v>#SLLPA - Segunda Licenciatura Letras - Português - #SLLPA - Segunda Licenciatura Letras - Português - Daniela Aparecida de Oliveira - Psicomotricidade e Linguagem na Alfabetização/b - Nota Máxima: 8</v>
      </c>
    </row>
    <row r="1785">
      <c r="A1785" s="390" t="str">
        <f>IFERROR(__xludf.DUMMYFUNCTION("""COMPUTED_VALUE"""),"#SLLPA - Segunda Licenciatura Letras - Português - #SLLPA - Segunda Licenciatura Letras - Português - Daniela Aparecida de Oliveira - Teoria da Literatura/b - Nota Máxima: 9")</f>
        <v>#SLLPA - Segunda Licenciatura Letras - Português - #SLLPA - Segunda Licenciatura Letras - Português - Daniela Aparecida de Oliveira - Teoria da Literatura/b - Nota Máxima: 9</v>
      </c>
    </row>
    <row r="1786">
      <c r="A1786" s="390" t="str">
        <f>IFERROR(__xludf.DUMMYFUNCTION("""COMPUTED_VALUE"""),"#SLLPA - Segunda Licenciatura Letras - Português - #SLLPA - Segunda Licenciatura Letras - Português - Daniela Aparecida de Oliveira - Teoria da Literatura/b - Nota Máxima: 7")</f>
        <v>#SLLPA - Segunda Licenciatura Letras - Português - #SLLPA - Segunda Licenciatura Letras - Português - Daniela Aparecida de Oliveira - Teoria da Literatura/b - Nota Máxima: 7</v>
      </c>
    </row>
    <row r="1787">
      <c r="A1787" s="390" t="str">
        <f>IFERROR(__xludf.DUMMYFUNCTION("""COMPUTED_VALUE"""),"#SLLPA - Segunda Licenciatura Letras - Português - #SLLPA - Segunda Licenciatura Letras - Português - Ana Paula Santana do Rosario Barbosa - Deficiência Auditiva e Libras/a - Nota Máxima: 9")</f>
        <v>#SLLPA - Segunda Licenciatura Letras - Português - #SLLPA - Segunda Licenciatura Letras - Português - Ana Paula Santana do Rosario Barbosa - Deficiência Auditiva e Libras/a - Nota Máxima: 9</v>
      </c>
    </row>
    <row r="1788">
      <c r="A1788" s="390" t="str">
        <f>IFERROR(__xludf.DUMMYFUNCTION("""COMPUTED_VALUE"""),"#SLLPA - Segunda Licenciatura Letras - Português - #SLLPA - Segunda Licenciatura Letras - Português - Ana Paula Santana do Rosario Barbosa - Deficiência Auditiva e Libras/a - Nota Máxima: 8")</f>
        <v>#SLLPA - Segunda Licenciatura Letras - Português - #SLLPA - Segunda Licenciatura Letras - Português - Ana Paula Santana do Rosario Barbosa - Deficiência Auditiva e Libras/a - Nota Máxima: 8</v>
      </c>
    </row>
    <row r="1789">
      <c r="A1789" s="390" t="str">
        <f>IFERROR(__xludf.DUMMYFUNCTION("""COMPUTED_VALUE"""),"#SLLPA - Segunda Licenciatura Letras - Português - #SLLPA - Segunda Licenciatura Letras - Português - Ana Paula Santana do Rosario Barbosa - Distúrbios de Aprendizagem na Leitura E Escrita - Nota Máxima: 10")</f>
        <v>#SLLPA - Segunda Licenciatura Letras - Português - #SLLPA - Segunda Licenciatura Letras - Português - Ana Paula Santana do Rosario Barbosa - Distúrbios de Aprendizagem na Leitura E Escrita - Nota Máxima: 10</v>
      </c>
    </row>
    <row r="1790">
      <c r="A1790" s="390" t="str">
        <f>IFERROR(__xludf.DUMMYFUNCTION("""COMPUTED_VALUE"""),"#SLLPA - Segunda Licenciatura Letras - Português - #SLLPA - Segunda Licenciatura Letras - Português - Ana Paula Santana do Rosario Barbosa - Distúrbios de Aprendizagem na Leitura E Escrita - Nota Máxima: 9")</f>
        <v>#SLLPA - Segunda Licenciatura Letras - Português - #SLLPA - Segunda Licenciatura Letras - Português - Ana Paula Santana do Rosario Barbosa - Distúrbios de Aprendizagem na Leitura E Escrita - Nota Máxima: 9</v>
      </c>
    </row>
    <row r="1791">
      <c r="A1791" s="390" t="str">
        <f>IFERROR(__xludf.DUMMYFUNCTION("""COMPUTED_VALUE"""),"#SLLPA - Segunda Licenciatura Letras - Português - #SLLPA - Segunda Licenciatura Letras - Português - Ana Paula Santana do Rosario Barbosa - Educação Especial, Inclusão Escolar e Adaptações Curriculares - Nota Máxima: 10")</f>
        <v>#SLLPA - Segunda Licenciatura Letras - Português - #SLLPA - Segunda Licenciatura Letras - Português - Ana Paula Santana do Rosario Barbosa - Educação Especial, Inclusão Escolar e Adaptações Curriculares - Nota Máxima: 10</v>
      </c>
    </row>
    <row r="1792">
      <c r="A1792" s="390" t="str">
        <f>IFERROR(__xludf.DUMMYFUNCTION("""COMPUTED_VALUE"""),"#SLLPA - Segunda Licenciatura Letras - Português - #SLLPA - Segunda Licenciatura Letras - Português - Ana Paula Santana do Rosario Barbosa - Legislação Educacional/a - Nota Máxima: 10")</f>
        <v>#SLLPA - Segunda Licenciatura Letras - Português - #SLLPA - Segunda Licenciatura Letras - Português - Ana Paula Santana do Rosario Barbosa - Legislação Educacional/a - Nota Máxima: 10</v>
      </c>
    </row>
    <row r="1793">
      <c r="A1793" s="390" t="str">
        <f>IFERROR(__xludf.DUMMYFUNCTION("""COMPUTED_VALUE"""),"#SLLPA - Segunda Licenciatura Letras - Português - #SLLPA - Segunda Licenciatura Letras - Português - Ana Paula Santana do Rosario Barbosa - Psicologia da Educação – 100H - Nota Máxima: 10")</f>
        <v>#SLLPA - Segunda Licenciatura Letras - Português - #SLLPA - Segunda Licenciatura Letras - Português - Ana Paula Santana do Rosario Barbosa - Psicologia da Educação – 100H - Nota Máxima: 10</v>
      </c>
    </row>
    <row r="1794">
      <c r="A1794" s="390" t="str">
        <f>IFERROR(__xludf.DUMMYFUNCTION("""COMPUTED_VALUE"""),"#SLLPA - Segunda Licenciatura Letras - Português - #SLLPA - Segunda Licenciatura Letras - Português - Ana Paula Santana do Rosario Barbosa - Psicologia da Educação – 100H - Nota Máxima: 10")</f>
        <v>#SLLPA - Segunda Licenciatura Letras - Português - #SLLPA - Segunda Licenciatura Letras - Português - Ana Paula Santana do Rosario Barbosa - Psicologia da Educação – 100H - Nota Máxima: 10</v>
      </c>
    </row>
    <row r="1795">
      <c r="A1795" s="390" t="str">
        <f>IFERROR(__xludf.DUMMYFUNCTION("""COMPUTED_VALUE"""),"#SLLPA - Segunda Licenciatura Letras - Português - #SLLPA - Segunda Licenciatura Letras - Português - Ana Paula Santana do Rosario Barbosa - Teoria da Literatura/b - Nota Máxima: 6")</f>
        <v>#SLLPA - Segunda Licenciatura Letras - Português - #SLLPA - Segunda Licenciatura Letras - Português - Ana Paula Santana do Rosario Barbosa - Teoria da Literatura/b - Nota Máxima: 6</v>
      </c>
    </row>
    <row r="1796">
      <c r="A1796" s="390" t="str">
        <f>IFERROR(__xludf.DUMMYFUNCTION("""COMPUTED_VALUE"""),"#SLLPA - Segunda Licenciatura Letras - Português - #SLLPA - Segunda Licenciatura Letras - Português - Felene Mônica Soares da Costa - Deficiência Auditiva e Libras/a - Nota Máxima: 10")</f>
        <v>#SLLPA - Segunda Licenciatura Letras - Português - #SLLPA - Segunda Licenciatura Letras - Português - Felene Mônica Soares da Costa - Deficiência Auditiva e Libras/a - Nota Máxima: 10</v>
      </c>
    </row>
    <row r="1797">
      <c r="A1797" s="390" t="str">
        <f>IFERROR(__xludf.DUMMYFUNCTION("""COMPUTED_VALUE"""),"#SLLPA - Segunda Licenciatura Letras - Português - #SLLPA - Segunda Licenciatura Letras - Português - Felene Mônica Soares da Costa - Distúrbios de Aprendizagem na Leitura E Escrita - Nota Máxima: 9")</f>
        <v>#SLLPA - Segunda Licenciatura Letras - Português - #SLLPA - Segunda Licenciatura Letras - Português - Felene Mônica Soares da Costa - Distúrbios de Aprendizagem na Leitura E Escrita - Nota Máxima: 9</v>
      </c>
    </row>
    <row r="1798">
      <c r="A1798" s="390" t="str">
        <f>IFERROR(__xludf.DUMMYFUNCTION("""COMPUTED_VALUE"""),"#SLLPA - Segunda Licenciatura Letras - Português - #SLLPA - Segunda Licenciatura Letras - Português - Felene Mônica Soares da Costa - Educação, História, Cultura e Práticas Indígenas/b - Nota Máxima: 8")</f>
        <v>#SLLPA - Segunda Licenciatura Letras - Português - #SLLPA - Segunda Licenciatura Letras - Português - Felene Mônica Soares da Costa - Educação, História, Cultura e Práticas Indígenas/b - Nota Máxima: 8</v>
      </c>
    </row>
    <row r="1799">
      <c r="A1799" s="390" t="str">
        <f>IFERROR(__xludf.DUMMYFUNCTION("""COMPUTED_VALUE"""),"#SLLPA - Segunda Licenciatura Letras - Português - #SLLPA - Segunda Licenciatura Letras - Português - Felene Mônica Soares da Costa - Estudos Morfossintáticos da Língua Portuguesa/b - Nota Máxima: 8")</f>
        <v>#SLLPA - Segunda Licenciatura Letras - Português - #SLLPA - Segunda Licenciatura Letras - Português - Felene Mônica Soares da Costa - Estudos Morfossintáticos da Língua Portuguesa/b - Nota Máxima: 8</v>
      </c>
    </row>
    <row r="1800">
      <c r="A1800" s="390" t="str">
        <f>IFERROR(__xludf.DUMMYFUNCTION("""COMPUTED_VALUE"""),"#SLLPA - Segunda Licenciatura Letras - Português - #SLLPA - Segunda Licenciatura Letras - Português - Felene Mônica Soares da Costa - Legislação Educacional/a - Nota Máxima: 8")</f>
        <v>#SLLPA - Segunda Licenciatura Letras - Português - #SLLPA - Segunda Licenciatura Letras - Português - Felene Mônica Soares da Costa - Legislação Educacional/a - Nota Máxima: 8</v>
      </c>
    </row>
    <row r="1801">
      <c r="A1801" s="390" t="str">
        <f>IFERROR(__xludf.DUMMYFUNCTION("""COMPUTED_VALUE"""),"#SLLPA - Segunda Licenciatura Letras - Português - #SLLPA - Segunda Licenciatura Letras - Português - Felene Mônica Soares da Costa - Metodologia do Ensino da Língua Portuguesa I - Nota Máxima: 9")</f>
        <v>#SLLPA - Segunda Licenciatura Letras - Português - #SLLPA - Segunda Licenciatura Letras - Português - Felene Mônica Soares da Costa - Metodologia do Ensino da Língua Portuguesa I - Nota Máxima: 9</v>
      </c>
    </row>
    <row r="1802">
      <c r="A1802" s="390" t="str">
        <f>IFERROR(__xludf.DUMMYFUNCTION("""COMPUTED_VALUE"""),"#SLLPA - Segunda Licenciatura Letras - Português - #SLLPA - Segunda Licenciatura Letras - Português - Felene Mônica Soares da Costa - Metodologia do Ensino da Língua Portuguesa II.. - Nota Máxima: 9")</f>
        <v>#SLLPA - Segunda Licenciatura Letras - Português - #SLLPA - Segunda Licenciatura Letras - Português - Felene Mônica Soares da Costa - Metodologia do Ensino da Língua Portuguesa II.. - Nota Máxima: 9</v>
      </c>
    </row>
    <row r="1803">
      <c r="A1803" s="390" t="str">
        <f>IFERROR(__xludf.DUMMYFUNCTION("""COMPUTED_VALUE"""),"#SLLPA - Segunda Licenciatura Letras - Português - #SLLPA - Segunda Licenciatura Letras - Português - Felene Mônica Soares da Costa - Práticas Pedagógicas - 400 Horas - Nota Máxima: 10")</f>
        <v>#SLLPA - Segunda Licenciatura Letras - Português - #SLLPA - Segunda Licenciatura Letras - Português - Felene Mônica Soares da Costa - Práticas Pedagógicas - 400 Horas - Nota Máxima: 10</v>
      </c>
    </row>
    <row r="1804">
      <c r="A1804" s="390" t="str">
        <f>IFERROR(__xludf.DUMMYFUNCTION("""COMPUTED_VALUE"""),"#SLLPA - Segunda Licenciatura Letras - Português - #SLLPA - Segunda Licenciatura Letras - Português - Felene Mônica Soares da Costa - Psicomotricidade e Linguagem na Alfabetização/b - Nota Máxima: 7")</f>
        <v>#SLLPA - Segunda Licenciatura Letras - Português - #SLLPA - Segunda Licenciatura Letras - Português - Felene Mônica Soares da Costa - Psicomotricidade e Linguagem na Alfabetização/b - Nota Máxima: 7</v>
      </c>
    </row>
    <row r="1805">
      <c r="A1805" s="390" t="str">
        <f>IFERROR(__xludf.DUMMYFUNCTION("""COMPUTED_VALUE"""),"#SLLPA - Segunda Licenciatura Letras - Português - #SLLPA - Segunda Licenciatura Letras - Português - Felene Mônica Soares da Costa - Teoria da Literatura/b - Nota Máxima: 7")</f>
        <v>#SLLPA - Segunda Licenciatura Letras - Português - #SLLPA - Segunda Licenciatura Letras - Português - Felene Mônica Soares da Costa - Teoria da Literatura/b - Nota Máxima: 7</v>
      </c>
    </row>
    <row r="1806">
      <c r="A1806" s="390" t="str">
        <f>IFERROR(__xludf.DUMMYFUNCTION("""COMPUTED_VALUE"""),"#SLLPA - Segunda Licenciatura Letras - Português - #SLLPA - Segunda Licenciatura Letras - Português - Paloma de Campos Alé Pereira - Deficiência Auditiva e Libras/a - Nota Máxima: 10")</f>
        <v>#SLLPA - Segunda Licenciatura Letras - Português - #SLLPA - Segunda Licenciatura Letras - Português - Paloma de Campos Alé Pereira - Deficiência Auditiva e Libras/a - Nota Máxima: 10</v>
      </c>
    </row>
    <row r="1807">
      <c r="A1807" s="390" t="str">
        <f>IFERROR(__xludf.DUMMYFUNCTION("""COMPUTED_VALUE"""),"#SLLPA - Segunda Licenciatura Letras - Português - #SLLPA - Segunda Licenciatura Letras - Português - Paloma de Campos Alé Pereira - Deficiência Auditiva e Libras/a - Nota Máxima: 10")</f>
        <v>#SLLPA - Segunda Licenciatura Letras - Português - #SLLPA - Segunda Licenciatura Letras - Português - Paloma de Campos Alé Pereira - Deficiência Auditiva e Libras/a - Nota Máxima: 10</v>
      </c>
    </row>
    <row r="1808">
      <c r="A1808" s="390" t="str">
        <f>IFERROR(__xludf.DUMMYFUNCTION("""COMPUTED_VALUE"""),"#SLLPA - Segunda Licenciatura Letras - Português - #SLLPA - Segunda Licenciatura Letras - Português - Paloma de Campos Alé Pereira - Distúrbios de Aprendizagem na Leitura E Escrita - Nota Máxima: 10")</f>
        <v>#SLLPA - Segunda Licenciatura Letras - Português - #SLLPA - Segunda Licenciatura Letras - Português - Paloma de Campos Alé Pereira - Distúrbios de Aprendizagem na Leitura E Escrita - Nota Máxima: 10</v>
      </c>
    </row>
    <row r="1809">
      <c r="A1809" s="390" t="str">
        <f>IFERROR(__xludf.DUMMYFUNCTION("""COMPUTED_VALUE"""),"#SLLPA - Segunda Licenciatura Letras - Português - #SLLPA - Segunda Licenciatura Letras - Português - Paloma de Campos Alé Pereira - Distúrbios de Aprendizagem na Leitura E Escrita - Nota Máxima: 10")</f>
        <v>#SLLPA - Segunda Licenciatura Letras - Português - #SLLPA - Segunda Licenciatura Letras - Português - Paloma de Campos Alé Pereira - Distúrbios de Aprendizagem na Leitura E Escrita - Nota Máxima: 10</v>
      </c>
    </row>
    <row r="1810">
      <c r="A1810" s="390" t="str">
        <f>IFERROR(__xludf.DUMMYFUNCTION("""COMPUTED_VALUE"""),"#SLLPA - Segunda Licenciatura Letras - Português - #SLLPA - Segunda Licenciatura Letras - Português - Paloma de Campos Alé Pereira - Educação, História, Cultura e Práticas Indígenas/b - Nota Máxima: 10")</f>
        <v>#SLLPA - Segunda Licenciatura Letras - Português - #SLLPA - Segunda Licenciatura Letras - Português - Paloma de Campos Alé Pereira - Educação, História, Cultura e Práticas Indígenas/b - Nota Máxima: 10</v>
      </c>
    </row>
    <row r="1811">
      <c r="A1811" s="390" t="str">
        <f>IFERROR(__xludf.DUMMYFUNCTION("""COMPUTED_VALUE"""),"#SLLPA - Segunda Licenciatura Letras - Português - #SLLPA - Segunda Licenciatura Letras - Português - Paloma de Campos Alé Pereira - Educação, História, Cultura e Práticas Indígenas/b - Nota Máxima: 10")</f>
        <v>#SLLPA - Segunda Licenciatura Letras - Português - #SLLPA - Segunda Licenciatura Letras - Português - Paloma de Campos Alé Pereira - Educação, História, Cultura e Práticas Indígenas/b - Nota Máxima: 10</v>
      </c>
    </row>
    <row r="1812">
      <c r="A1812" s="390" t="str">
        <f>IFERROR(__xludf.DUMMYFUNCTION("""COMPUTED_VALUE"""),"#SLLPA - Segunda Licenciatura Letras - Português - #SLLPA - Segunda Licenciatura Letras - Português - Paloma de Campos Alé Pereira - Estudos Morfossintáticos da Língua Portuguesa/b - Nota Máxima: 10")</f>
        <v>#SLLPA - Segunda Licenciatura Letras - Português - #SLLPA - Segunda Licenciatura Letras - Português - Paloma de Campos Alé Pereira - Estudos Morfossintáticos da Língua Portuguesa/b - Nota Máxima: 10</v>
      </c>
    </row>
    <row r="1813">
      <c r="A1813" s="390" t="str">
        <f>IFERROR(__xludf.DUMMYFUNCTION("""COMPUTED_VALUE"""),"#SLLPA - Segunda Licenciatura Letras - Português - #SLLPA - Segunda Licenciatura Letras - Português - Paloma de Campos Alé Pereira - Estudos Morfossintáticos da Língua Portuguesa/b - Nota Máxima: 10")</f>
        <v>#SLLPA - Segunda Licenciatura Letras - Português - #SLLPA - Segunda Licenciatura Letras - Português - Paloma de Campos Alé Pereira - Estudos Morfossintáticos da Língua Portuguesa/b - Nota Máxima: 10</v>
      </c>
    </row>
    <row r="1814">
      <c r="A1814" s="390" t="str">
        <f>IFERROR(__xludf.DUMMYFUNCTION("""COMPUTED_VALUE"""),"#SLLPA - Segunda Licenciatura Letras - Português - #SLLPA - Segunda Licenciatura Letras - Português - Paloma de Campos Alé Pereira - Legislação Educacional/a - Nota Máxima: 10")</f>
        <v>#SLLPA - Segunda Licenciatura Letras - Português - #SLLPA - Segunda Licenciatura Letras - Português - Paloma de Campos Alé Pereira - Legislação Educacional/a - Nota Máxima: 10</v>
      </c>
    </row>
    <row r="1815">
      <c r="A1815" s="390" t="str">
        <f>IFERROR(__xludf.DUMMYFUNCTION("""COMPUTED_VALUE"""),"#SLLPA - Segunda Licenciatura Letras - Português - #SLLPA - Segunda Licenciatura Letras - Português - Paloma de Campos Alé Pereira - Legislação Educacional/a - Nota Máxima: 10")</f>
        <v>#SLLPA - Segunda Licenciatura Letras - Português - #SLLPA - Segunda Licenciatura Letras - Português - Paloma de Campos Alé Pereira - Legislação Educacional/a - Nota Máxima: 10</v>
      </c>
    </row>
    <row r="1816">
      <c r="A1816" s="390" t="str">
        <f>IFERROR(__xludf.DUMMYFUNCTION("""COMPUTED_VALUE"""),"#SLLPA - Segunda Licenciatura Letras - Português - #SLLPA - Segunda Licenciatura Letras - Português - Paloma de Campos Alé Pereira - Linguística Aplicada ao Ensino de Português/a - Nota Máxima: 10")</f>
        <v>#SLLPA - Segunda Licenciatura Letras - Português - #SLLPA - Segunda Licenciatura Letras - Português - Paloma de Campos Alé Pereira - Linguística Aplicada ao Ensino de Português/a - Nota Máxima: 10</v>
      </c>
    </row>
    <row r="1817">
      <c r="A1817" s="390" t="str">
        <f>IFERROR(__xludf.DUMMYFUNCTION("""COMPUTED_VALUE"""),"#SLLPA - Segunda Licenciatura Letras - Português - #SLLPA - Segunda Licenciatura Letras - Português - Paloma de Campos Alé Pereira - Linguística Aplicada ao Ensino de Português/a - Nota Máxima: 10")</f>
        <v>#SLLPA - Segunda Licenciatura Letras - Português - #SLLPA - Segunda Licenciatura Letras - Português - Paloma de Campos Alé Pereira - Linguística Aplicada ao Ensino de Português/a - Nota Máxima: 10</v>
      </c>
    </row>
    <row r="1818">
      <c r="A1818" s="390" t="str">
        <f>IFERROR(__xludf.DUMMYFUNCTION("""COMPUTED_VALUE"""),"#SLLPA - Segunda Licenciatura Letras - Português - #SLLPA - Segunda Licenciatura Letras - Português - Paloma de Campos Alé Pereira - Metodologia do Ensino da Língua Portuguesa I - Nota Máxima: 10")</f>
        <v>#SLLPA - Segunda Licenciatura Letras - Português - #SLLPA - Segunda Licenciatura Letras - Português - Paloma de Campos Alé Pereira - Metodologia do Ensino da Língua Portuguesa I - Nota Máxima: 10</v>
      </c>
    </row>
    <row r="1819">
      <c r="A1819" s="390" t="str">
        <f>IFERROR(__xludf.DUMMYFUNCTION("""COMPUTED_VALUE"""),"#SLLPA - Segunda Licenciatura Letras - Português - #SLLPA - Segunda Licenciatura Letras - Português - Paloma de Campos Alé Pereira - Metodologia do Ensino da Língua Portuguesa I - Nota Máxima: 10")</f>
        <v>#SLLPA - Segunda Licenciatura Letras - Português - #SLLPA - Segunda Licenciatura Letras - Português - Paloma de Campos Alé Pereira - Metodologia do Ensino da Língua Portuguesa I - Nota Máxima: 10</v>
      </c>
    </row>
    <row r="1820">
      <c r="A1820" s="390" t="str">
        <f>IFERROR(__xludf.DUMMYFUNCTION("""COMPUTED_VALUE"""),"#SLLPA - Segunda Licenciatura Letras - Português - #SLLPA - Segunda Licenciatura Letras - Português - Paloma de Campos Alé Pereira - Metodologia do Ensino da Língua Portuguesa II.. - Nota Máxima: 10")</f>
        <v>#SLLPA - Segunda Licenciatura Letras - Português - #SLLPA - Segunda Licenciatura Letras - Português - Paloma de Campos Alé Pereira - Metodologia do Ensino da Língua Portuguesa II.. - Nota Máxima: 10</v>
      </c>
    </row>
    <row r="1821">
      <c r="A1821" s="390" t="str">
        <f>IFERROR(__xludf.DUMMYFUNCTION("""COMPUTED_VALUE"""),"#SLLPA - Segunda Licenciatura Letras - Português - #SLLPA - Segunda Licenciatura Letras - Português - Paloma de Campos Alé Pereira - Metodologia do Ensino da Língua Portuguesa II.. - Nota Máxima: 10")</f>
        <v>#SLLPA - Segunda Licenciatura Letras - Português - #SLLPA - Segunda Licenciatura Letras - Português - Paloma de Campos Alé Pereira - Metodologia do Ensino da Língua Portuguesa II.. - Nota Máxima: 10</v>
      </c>
    </row>
    <row r="1822">
      <c r="A1822" s="390" t="str">
        <f>IFERROR(__xludf.DUMMYFUNCTION("""COMPUTED_VALUE"""),"#SLLPA - Segunda Licenciatura Letras - Português - #SLLPA - Segunda Licenciatura Letras - Português - Paloma de Campos Alé Pereira - Práticas Pedagógicas - 400 Horas - Nota Máxima: 10")</f>
        <v>#SLLPA - Segunda Licenciatura Letras - Português - #SLLPA - Segunda Licenciatura Letras - Português - Paloma de Campos Alé Pereira - Práticas Pedagógicas - 400 Horas - Nota Máxima: 10</v>
      </c>
    </row>
    <row r="1823">
      <c r="A1823" s="390" t="str">
        <f>IFERROR(__xludf.DUMMYFUNCTION("""COMPUTED_VALUE"""),"#SLLPA - Segunda Licenciatura Letras - Português - #SLLPA - Segunda Licenciatura Letras - Português - Paloma de Campos Alé Pereira - Práticas Pedagógicas - 400 Horas - Nota Máxima: 10")</f>
        <v>#SLLPA - Segunda Licenciatura Letras - Português - #SLLPA - Segunda Licenciatura Letras - Português - Paloma de Campos Alé Pereira - Práticas Pedagógicas - 400 Horas - Nota Máxima: 10</v>
      </c>
    </row>
    <row r="1824">
      <c r="A1824" s="390" t="str">
        <f>IFERROR(__xludf.DUMMYFUNCTION("""COMPUTED_VALUE"""),"#SLLPA - Segunda Licenciatura Letras - Português - #SLLPA - Segunda Licenciatura Letras - Português - Paloma de Campos Alé Pereira - Psicologia da Educação – 100H - Nota Máxima: 10")</f>
        <v>#SLLPA - Segunda Licenciatura Letras - Português - #SLLPA - Segunda Licenciatura Letras - Português - Paloma de Campos Alé Pereira - Psicologia da Educação – 100H - Nota Máxima: 10</v>
      </c>
    </row>
    <row r="1825">
      <c r="A1825" s="390" t="str">
        <f>IFERROR(__xludf.DUMMYFUNCTION("""COMPUTED_VALUE"""),"#SLLPA - Segunda Licenciatura Letras - Português - #SLLPA - Segunda Licenciatura Letras - Português - Paloma de Campos Alé Pereira - Psicologia da Educação – 100H - Nota Máxima: 10")</f>
        <v>#SLLPA - Segunda Licenciatura Letras - Português - #SLLPA - Segunda Licenciatura Letras - Português - Paloma de Campos Alé Pereira - Psicologia da Educação – 100H - Nota Máxima: 10</v>
      </c>
    </row>
    <row r="1826">
      <c r="A1826" s="390" t="str">
        <f>IFERROR(__xludf.DUMMYFUNCTION("""COMPUTED_VALUE"""),"#SLLPA - Segunda Licenciatura Letras - Português - #SLLPA - Segunda Licenciatura Letras - Português - Paloma de Campos Alé Pereira - Psicomotricidade e Linguagem na Alfabetização/b - Nota Máxima: 10")</f>
        <v>#SLLPA - Segunda Licenciatura Letras - Português - #SLLPA - Segunda Licenciatura Letras - Português - Paloma de Campos Alé Pereira - Psicomotricidade e Linguagem na Alfabetização/b - Nota Máxima: 10</v>
      </c>
    </row>
    <row r="1827">
      <c r="A1827" s="390" t="str">
        <f>IFERROR(__xludf.DUMMYFUNCTION("""COMPUTED_VALUE"""),"#SLLPA - Segunda Licenciatura Letras - Português - #SLLPA - Segunda Licenciatura Letras - Português - Paloma de Campos Alé Pereira - Psicomotricidade e Linguagem na Alfabetização/b - Nota Máxima: 10")</f>
        <v>#SLLPA - Segunda Licenciatura Letras - Português - #SLLPA - Segunda Licenciatura Letras - Português - Paloma de Campos Alé Pereira - Psicomotricidade e Linguagem na Alfabetização/b - Nota Máxima: 10</v>
      </c>
    </row>
    <row r="1828">
      <c r="A1828" s="390" t="str">
        <f>IFERROR(__xludf.DUMMYFUNCTION("""COMPUTED_VALUE"""),"#SLLPA - Segunda Licenciatura Letras - Português - #SLLPA - Segunda Licenciatura Letras - Português - Paloma de Campos Alé Pereira - Teoria da Literatura/b - Nota Máxima: 10")</f>
        <v>#SLLPA - Segunda Licenciatura Letras - Português - #SLLPA - Segunda Licenciatura Letras - Português - Paloma de Campos Alé Pereira - Teoria da Literatura/b - Nota Máxima: 10</v>
      </c>
    </row>
    <row r="1829">
      <c r="A1829" s="390" t="str">
        <f>IFERROR(__xludf.DUMMYFUNCTION("""COMPUTED_VALUE"""),"#SLLPA - Segunda Licenciatura Letras - Português - #SLLPA - Segunda Licenciatura Letras - Português - Paloma de Campos Alé Pereira - Teoria da Literatura/b - Nota Máxima: 9")</f>
        <v>#SLLPA - Segunda Licenciatura Letras - Português - #SLLPA - Segunda Licenciatura Letras - Português - Paloma de Campos Alé Pereira - Teoria da Literatura/b - Nota Máxima: 9</v>
      </c>
    </row>
    <row r="1830">
      <c r="A1830" s="390" t="str">
        <f>IFERROR(__xludf.DUMMYFUNCTION("""COMPUTED_VALUE"""),"#SLIA - Segunda Licenciatura Letras - Inglês - Segunda Licenciatura Letras - Inglês - Marcos Rogério Andrade do Nascimento - Deficiência Auditiva e Libras/a - Nota Máxima: 10")</f>
        <v>#SLIA - Segunda Licenciatura Letras - Inglês - Segunda Licenciatura Letras - Inglês - Marcos Rogério Andrade do Nascimento - Deficiência Auditiva e Libras/a - Nota Máxima: 10</v>
      </c>
    </row>
    <row r="1831">
      <c r="A1831" s="390" t="str">
        <f>IFERROR(__xludf.DUMMYFUNCTION("""COMPUTED_VALUE"""),"#SLIA - Segunda Licenciatura Letras - Inglês - Segunda Licenciatura Letras - Inglês - Marcos Rogério Andrade do Nascimento - Deficiência Auditiva e Libras/a - Nota Máxima: 6")</f>
        <v>#SLIA - Segunda Licenciatura Letras - Inglês - Segunda Licenciatura Letras - Inglês - Marcos Rogério Andrade do Nascimento - Deficiência Auditiva e Libras/a - Nota Máxima: 6</v>
      </c>
    </row>
    <row r="1832">
      <c r="A1832" s="390" t="str">
        <f>IFERROR(__xludf.DUMMYFUNCTION("""COMPUTED_VALUE"""),"#SLIA - Segunda Licenciatura Letras - Inglês - Segunda Licenciatura Letras - Inglês - Marcos Rogério Andrade do Nascimento - Educação e as Tic's - Nota Máxima: 10")</f>
        <v>#SLIA - Segunda Licenciatura Letras - Inglês - Segunda Licenciatura Letras - Inglês - Marcos Rogério Andrade do Nascimento - Educação e as Tic's - Nota Máxima: 10</v>
      </c>
    </row>
    <row r="1833">
      <c r="A1833" s="390" t="str">
        <f>IFERROR(__xludf.DUMMYFUNCTION("""COMPUTED_VALUE"""),"#SLIA - Segunda Licenciatura Letras - Inglês - Segunda Licenciatura Letras - Inglês - Marcos Rogério Andrade do Nascimento - Educação e as Tic's - Nota Máxima: 10")</f>
        <v>#SLIA - Segunda Licenciatura Letras - Inglês - Segunda Licenciatura Letras - Inglês - Marcos Rogério Andrade do Nascimento - Educação e as Tic's - Nota Máxima: 10</v>
      </c>
    </row>
    <row r="1834">
      <c r="A1834" s="390" t="str">
        <f>IFERROR(__xludf.DUMMYFUNCTION("""COMPUTED_VALUE"""),"#SLIA - Segunda Licenciatura Letras - Inglês - Segunda Licenciatura Letras - Inglês - Marcos Rogério Andrade do Nascimento - Educação Especial, Inclusão Escolar e Adaptações Curriculares - Nota Máxima: 10")</f>
        <v>#SLIA - Segunda Licenciatura Letras - Inglês - Segunda Licenciatura Letras - Inglês - Marcos Rogério Andrade do Nascimento - Educação Especial, Inclusão Escolar e Adaptações Curriculares - Nota Máxima: 10</v>
      </c>
    </row>
    <row r="1835">
      <c r="A1835" s="390" t="str">
        <f>IFERROR(__xludf.DUMMYFUNCTION("""COMPUTED_VALUE"""),"#SLIA - Segunda Licenciatura Letras - Inglês - Segunda Licenciatura Letras - Inglês - Marcos Rogério Andrade do Nascimento - Educação Especial, Inclusão Escolar e Adaptações Curriculares - Nota Máxima: 7")</f>
        <v>#SLIA - Segunda Licenciatura Letras - Inglês - Segunda Licenciatura Letras - Inglês - Marcos Rogério Andrade do Nascimento - Educação Especial, Inclusão Escolar e Adaptações Curriculares - Nota Máxima: 7</v>
      </c>
    </row>
    <row r="1836">
      <c r="A1836" s="390" t="str">
        <f>IFERROR(__xludf.DUMMYFUNCTION("""COMPUTED_VALUE"""),"#SLIA - Segunda Licenciatura Letras - Inglês - Segunda Licenciatura Letras - Inglês - Marcos Rogério Andrade do Nascimento - Educação, História, Cultura e Práticas Indígenas/a - Nota Máxima: 10")</f>
        <v>#SLIA - Segunda Licenciatura Letras - Inglês - Segunda Licenciatura Letras - Inglês - Marcos Rogério Andrade do Nascimento - Educação, História, Cultura e Práticas Indígenas/a - Nota Máxima: 10</v>
      </c>
    </row>
    <row r="1837">
      <c r="A1837" s="390" t="str">
        <f>IFERROR(__xludf.DUMMYFUNCTION("""COMPUTED_VALUE"""),"#SLIA - Segunda Licenciatura Letras - Inglês - Segunda Licenciatura Letras - Inglês - Marcos Rogério Andrade do Nascimento - Educação, História, Cultura e Práticas Indígenas/a - Nota Máxima: 6")</f>
        <v>#SLIA - Segunda Licenciatura Letras - Inglês - Segunda Licenciatura Letras - Inglês - Marcos Rogério Andrade do Nascimento - Educação, História, Cultura e Práticas Indígenas/a - Nota Máxima: 6</v>
      </c>
    </row>
    <row r="1838">
      <c r="A1838" s="390" t="str">
        <f>IFERROR(__xludf.DUMMYFUNCTION("""COMPUTED_VALUE"""),"#SLIA - Segunda Licenciatura Letras - Inglês - Segunda Licenciatura Letras - Inglês - Marcos Rogério Andrade do Nascimento - Estudos Morfossintáticos da Língua Inglesa - Nota Máxima: 10")</f>
        <v>#SLIA - Segunda Licenciatura Letras - Inglês - Segunda Licenciatura Letras - Inglês - Marcos Rogério Andrade do Nascimento - Estudos Morfossintáticos da Língua Inglesa - Nota Máxima: 10</v>
      </c>
    </row>
    <row r="1839">
      <c r="A1839" s="390" t="str">
        <f>IFERROR(__xludf.DUMMYFUNCTION("""COMPUTED_VALUE"""),"#SLIA - Segunda Licenciatura Letras - Inglês - Segunda Licenciatura Letras - Inglês - Marcos Rogério Andrade do Nascimento - Estudos Morfossintáticos da Língua Inglesa - Nota Máxima: 5")</f>
        <v>#SLIA - Segunda Licenciatura Letras - Inglês - Segunda Licenciatura Letras - Inglês - Marcos Rogério Andrade do Nascimento - Estudos Morfossintáticos da Língua Inglesa - Nota Máxima: 5</v>
      </c>
    </row>
    <row r="1840">
      <c r="A1840" s="390" t="str">
        <f>IFERROR(__xludf.DUMMYFUNCTION("""COMPUTED_VALUE"""),"#SLIA - Segunda Licenciatura Letras - Inglês - Segunda Licenciatura Letras - Inglês - Marcos Rogério Andrade do Nascimento - Legislação Educacional/a - Nota Máxima: 10")</f>
        <v>#SLIA - Segunda Licenciatura Letras - Inglês - Segunda Licenciatura Letras - Inglês - Marcos Rogério Andrade do Nascimento - Legislação Educacional/a - Nota Máxima: 10</v>
      </c>
    </row>
    <row r="1841">
      <c r="A1841" s="390" t="str">
        <f>IFERROR(__xludf.DUMMYFUNCTION("""COMPUTED_VALUE"""),"#SLIA - Segunda Licenciatura Letras - Inglês - Segunda Licenciatura Letras - Inglês - Marcos Rogério Andrade do Nascimento - Legislação Educacional/a - Nota Máxima: 7")</f>
        <v>#SLIA - Segunda Licenciatura Letras - Inglês - Segunda Licenciatura Letras - Inglês - Marcos Rogério Andrade do Nascimento - Legislação Educacional/a - Nota Máxima: 7</v>
      </c>
    </row>
    <row r="1842">
      <c r="A1842" s="390" t="str">
        <f>IFERROR(__xludf.DUMMYFUNCTION("""COMPUTED_VALUE"""),"#SLIA - Segunda Licenciatura Letras - Inglês - Segunda Licenciatura Letras - Inglês - Marcos Rogério Andrade do Nascimento - Linguística Aplicada a Língua Inglesa - Nota Máxima: 9")</f>
        <v>#SLIA - Segunda Licenciatura Letras - Inglês - Segunda Licenciatura Letras - Inglês - Marcos Rogério Andrade do Nascimento - Linguística Aplicada a Língua Inglesa - Nota Máxima: 9</v>
      </c>
    </row>
    <row r="1843">
      <c r="A1843" s="390" t="str">
        <f>IFERROR(__xludf.DUMMYFUNCTION("""COMPUTED_VALUE"""),"#SLIA - Segunda Licenciatura Letras - Inglês - Segunda Licenciatura Letras - Inglês - Marcos Rogério Andrade do Nascimento - Linguística Aplicada a Língua Inglesa - Nota Máxima: 10")</f>
        <v>#SLIA - Segunda Licenciatura Letras - Inglês - Segunda Licenciatura Letras - Inglês - Marcos Rogério Andrade do Nascimento - Linguística Aplicada a Língua Inglesa - Nota Máxima: 10</v>
      </c>
    </row>
    <row r="1844">
      <c r="A1844" s="390" t="str">
        <f>IFERROR(__xludf.DUMMYFUNCTION("""COMPUTED_VALUE"""),"#SLIA - Segunda Licenciatura Letras - Inglês - Segunda Licenciatura Letras - Inglês - Marcos Rogério Andrade do Nascimento - Literatura em Língua Inglesa - Nota Máxima: 10")</f>
        <v>#SLIA - Segunda Licenciatura Letras - Inglês - Segunda Licenciatura Letras - Inglês - Marcos Rogério Andrade do Nascimento - Literatura em Língua Inglesa - Nota Máxima: 10</v>
      </c>
    </row>
    <row r="1845">
      <c r="A1845" s="390" t="str">
        <f>IFERROR(__xludf.DUMMYFUNCTION("""COMPUTED_VALUE"""),"#SLIA - Segunda Licenciatura Letras - Inglês - Segunda Licenciatura Letras - Inglês - Marcos Rogério Andrade do Nascimento - Literatura em Língua Inglesa - Nota Máxima: 8")</f>
        <v>#SLIA - Segunda Licenciatura Letras - Inglês - Segunda Licenciatura Letras - Inglês - Marcos Rogério Andrade do Nascimento - Literatura em Língua Inglesa - Nota Máxima: 8</v>
      </c>
    </row>
    <row r="1846">
      <c r="A1846" s="390" t="str">
        <f>IFERROR(__xludf.DUMMYFUNCTION("""COMPUTED_VALUE"""),"#SLIA - Segunda Licenciatura Letras - Inglês - Segunda Licenciatura Letras - Inglês - Marcos Rogério Andrade do Nascimento - Metodologia do Ensino da Literatura Inglesa: Ensino Fundamental e Médio - Nota Máxima: 10")</f>
        <v>#SLIA - Segunda Licenciatura Letras - Inglês - Segunda Licenciatura Letras - Inglês - Marcos Rogério Andrade do Nascimento - Metodologia do Ensino da Literatura Inglesa: Ensino Fundamental e Médio - Nota Máxima: 10</v>
      </c>
    </row>
    <row r="1847">
      <c r="A1847" s="390" t="str">
        <f>IFERROR(__xludf.DUMMYFUNCTION("""COMPUTED_VALUE"""),"#SLIA - Segunda Licenciatura Letras - Inglês - Segunda Licenciatura Letras - Inglês - Marcos Rogério Andrade do Nascimento - Metodologia do Ensino da Literatura Inglesa: Ensino Fundamental e Médio - Nota Máxima: 6")</f>
        <v>#SLIA - Segunda Licenciatura Letras - Inglês - Segunda Licenciatura Letras - Inglês - Marcos Rogério Andrade do Nascimento - Metodologia do Ensino da Literatura Inglesa: Ensino Fundamental e Médio - Nota Máxima: 6</v>
      </c>
    </row>
    <row r="1848">
      <c r="A1848" s="390" t="str">
        <f>IFERROR(__xludf.DUMMYFUNCTION("""COMPUTED_VALUE"""),"#SLIA - Segunda Licenciatura Letras - Inglês - Segunda Licenciatura Letras - Inglês - Marcos Rogério Andrade do Nascimento - Metodologias Ativas no Ensino de Inglês - Nota Máxima: 10")</f>
        <v>#SLIA - Segunda Licenciatura Letras - Inglês - Segunda Licenciatura Letras - Inglês - Marcos Rogério Andrade do Nascimento - Metodologias Ativas no Ensino de Inglês - Nota Máxima: 10</v>
      </c>
    </row>
    <row r="1849">
      <c r="A1849" s="390" t="str">
        <f>IFERROR(__xludf.DUMMYFUNCTION("""COMPUTED_VALUE"""),"#SLIA - Segunda Licenciatura Letras - Inglês - Segunda Licenciatura Letras - Inglês - Marcos Rogério Andrade do Nascimento - Metodologias Ativas no Ensino de Inglês - Nota Máxima: 9")</f>
        <v>#SLIA - Segunda Licenciatura Letras - Inglês - Segunda Licenciatura Letras - Inglês - Marcos Rogério Andrade do Nascimento - Metodologias Ativas no Ensino de Inglês - Nota Máxima: 9</v>
      </c>
    </row>
    <row r="1850">
      <c r="A1850" s="390" t="str">
        <f>IFERROR(__xludf.DUMMYFUNCTION("""COMPUTED_VALUE"""),"#SLIA - Segunda Licenciatura Letras - Inglês - Segunda Licenciatura Letras - Inglês - Marcos Rogério Andrade do Nascimento - Ortografia e Pronúncia da Língua Inglesa - Nota Máxima: 10")</f>
        <v>#SLIA - Segunda Licenciatura Letras - Inglês - Segunda Licenciatura Letras - Inglês - Marcos Rogério Andrade do Nascimento - Ortografia e Pronúncia da Língua Inglesa - Nota Máxima: 10</v>
      </c>
    </row>
    <row r="1851">
      <c r="A1851" s="390" t="str">
        <f>IFERROR(__xludf.DUMMYFUNCTION("""COMPUTED_VALUE"""),"#SLIA - Segunda Licenciatura Letras - Inglês - Segunda Licenciatura Letras - Inglês - Marcos Rogério Andrade do Nascimento - Ortografia e Pronúncia da Língua Inglesa - Nota Máxima: 7")</f>
        <v>#SLIA - Segunda Licenciatura Letras - Inglês - Segunda Licenciatura Letras - Inglês - Marcos Rogério Andrade do Nascimento - Ortografia e Pronúncia da Língua Inglesa - Nota Máxima: 7</v>
      </c>
    </row>
    <row r="1852">
      <c r="A1852" s="390" t="str">
        <f>IFERROR(__xludf.DUMMYFUNCTION("""COMPUTED_VALUE"""),"#SLIA - Segunda Licenciatura Letras - Inglês - Segunda Licenciatura Letras - Inglês - Marcos Rogério Andrade do Nascimento - Planejamento, Gestão Educacional e Currículo/a - Nota Máxima: 10")</f>
        <v>#SLIA - Segunda Licenciatura Letras - Inglês - Segunda Licenciatura Letras - Inglês - Marcos Rogério Andrade do Nascimento - Planejamento, Gestão Educacional e Currículo/a - Nota Máxima: 10</v>
      </c>
    </row>
    <row r="1853">
      <c r="A1853" s="390" t="str">
        <f>IFERROR(__xludf.DUMMYFUNCTION("""COMPUTED_VALUE"""),"#SLIA - Segunda Licenciatura Letras - Inglês - Segunda Licenciatura Letras - Inglês - Marcos Rogério Andrade do Nascimento - Planejamento, Gestão Educacional e Currículo/a - Nota Máxima: 10")</f>
        <v>#SLIA - Segunda Licenciatura Letras - Inglês - Segunda Licenciatura Letras - Inglês - Marcos Rogério Andrade do Nascimento - Planejamento, Gestão Educacional e Currículo/a - Nota Máxima: 10</v>
      </c>
    </row>
    <row r="1854">
      <c r="A1854" s="390" t="str">
        <f>IFERROR(__xludf.DUMMYFUNCTION("""COMPUTED_VALUE"""),"#SLIA - Segunda Licenciatura Letras - Inglês - Segunda Licenciatura Letras - Inglês - Marcos Rogério Andrade do Nascimento - Práticas Pedagógicas - 400 Horas - Nota Máxima: 4")</f>
        <v>#SLIA - Segunda Licenciatura Letras - Inglês - Segunda Licenciatura Letras - Inglês - Marcos Rogério Andrade do Nascimento - Práticas Pedagógicas - 400 Horas - Nota Máxima: 4</v>
      </c>
    </row>
    <row r="1855">
      <c r="A1855" s="390" t="str">
        <f>IFERROR(__xludf.DUMMYFUNCTION("""COMPUTED_VALUE"""),"#SLIA - Segunda Licenciatura Letras - Inglês - Segunda Licenciatura Letras - Inglês - Marcos Rogério Andrade do Nascimento - Práticas Pedagógicas - 400 Horas - Nota Máxima: 3")</f>
        <v>#SLIA - Segunda Licenciatura Letras - Inglês - Segunda Licenciatura Letras - Inglês - Marcos Rogério Andrade do Nascimento - Práticas Pedagógicas - 400 Horas - Nota Máxima: 3</v>
      </c>
    </row>
    <row r="1856">
      <c r="A1856" s="390" t="str">
        <f>IFERROR(__xludf.DUMMYFUNCTION("""COMPUTED_VALUE"""),"#SLIA - Segunda Licenciatura Letras - Inglês - Segunda Licenciatura Letras - Inglês - Marcos Rogério Andrade do Nascimento - Psicologia da Educação/a - Nota Máxima: 10")</f>
        <v>#SLIA - Segunda Licenciatura Letras - Inglês - Segunda Licenciatura Letras - Inglês - Marcos Rogério Andrade do Nascimento - Psicologia da Educação/a - Nota Máxima: 10</v>
      </c>
    </row>
    <row r="1857">
      <c r="A1857" s="390" t="str">
        <f>IFERROR(__xludf.DUMMYFUNCTION("""COMPUTED_VALUE"""),"#SLIA - Segunda Licenciatura Letras - Inglês - Segunda Licenciatura Letras - Inglês - Marcos Rogério Andrade do Nascimento - Psicologia da Educação/a - Nota Máxima: 9")</f>
        <v>#SLIA - Segunda Licenciatura Letras - Inglês - Segunda Licenciatura Letras - Inglês - Marcos Rogério Andrade do Nascimento - Psicologia da Educação/a - Nota Máxima: 9</v>
      </c>
    </row>
    <row r="1858">
      <c r="A1858" s="390" t="str">
        <f>IFERROR(__xludf.DUMMYFUNCTION("""COMPUTED_VALUE"""),"#SLIA - Segunda Licenciatura Letras - Inglês - Segunda Licenciatura Letras - Inglês - CAMILLA EVELYN DOS SANTOS RODRIGUES MARQUES - Deficiência Auditiva e Libras/a - Nota Máxima: 10")</f>
        <v>#SLIA - Segunda Licenciatura Letras - Inglês - Segunda Licenciatura Letras - Inglês - CAMILLA EVELYN DOS SANTOS RODRIGUES MARQUES - Deficiência Auditiva e Libras/a - Nota Máxima: 10</v>
      </c>
    </row>
    <row r="1859">
      <c r="A1859" s="390" t="str">
        <f>IFERROR(__xludf.DUMMYFUNCTION("""COMPUTED_VALUE"""),"#SLIA - Segunda Licenciatura Letras - Inglês - Segunda Licenciatura Letras - Inglês - CAMILLA EVELYN DOS SANTOS RODRIGUES MARQUES - Deficiência Auditiva e Libras/a - Nota Máxima: 10")</f>
        <v>#SLIA - Segunda Licenciatura Letras - Inglês - Segunda Licenciatura Letras - Inglês - CAMILLA EVELYN DOS SANTOS RODRIGUES MARQUES - Deficiência Auditiva e Libras/a - Nota Máxima: 10</v>
      </c>
    </row>
    <row r="1860">
      <c r="A1860" s="390" t="str">
        <f>IFERROR(__xludf.DUMMYFUNCTION("""COMPUTED_VALUE"""),"#SLIA - Segunda Licenciatura Letras - Inglês - Segunda Licenciatura Letras - Inglês - CAMILLA EVELYN DOS SANTOS RODRIGUES MARQUES - Educação Especial, Inclusão Escolar e Adaptações Curriculares - Nota Máxima: 10")</f>
        <v>#SLIA - Segunda Licenciatura Letras - Inglês - Segunda Licenciatura Letras - Inglês - CAMILLA EVELYN DOS SANTOS RODRIGUES MARQUES - Educação Especial, Inclusão Escolar e Adaptações Curriculares - Nota Máxima: 10</v>
      </c>
    </row>
    <row r="1861">
      <c r="A1861" s="390" t="str">
        <f>IFERROR(__xludf.DUMMYFUNCTION("""COMPUTED_VALUE"""),"#SLIA - Segunda Licenciatura Letras - Inglês - Segunda Licenciatura Letras - Inglês - CAMILLA EVELYN DOS SANTOS RODRIGUES MARQUES - Educação Especial, Inclusão Escolar e Adaptações Curriculares - Nota Máxima: 10")</f>
        <v>#SLIA - Segunda Licenciatura Letras - Inglês - Segunda Licenciatura Letras - Inglês - CAMILLA EVELYN DOS SANTOS RODRIGUES MARQUES - Educação Especial, Inclusão Escolar e Adaptações Curriculares - Nota Máxima: 10</v>
      </c>
    </row>
    <row r="1862">
      <c r="A1862" s="390" t="str">
        <f>IFERROR(__xludf.DUMMYFUNCTION("""COMPUTED_VALUE"""),"#SLIA - Segunda Licenciatura Letras - Inglês - Segunda Licenciatura Letras - Inglês - Ana Catarina Soares Villas Boas - Deficiência Auditiva e Libras/a - Nota Máxima: 9")</f>
        <v>#SLIA - Segunda Licenciatura Letras - Inglês - Segunda Licenciatura Letras - Inglês - Ana Catarina Soares Villas Boas - Deficiência Auditiva e Libras/a - Nota Máxima: 9</v>
      </c>
    </row>
    <row r="1863">
      <c r="A1863" s="390" t="str">
        <f>IFERROR(__xludf.DUMMYFUNCTION("""COMPUTED_VALUE"""),"#SLIA - Segunda Licenciatura Letras - Inglês - Segunda Licenciatura Letras - Inglês - Ana Catarina Soares Villas Boas - Educação e as Tic's - Nota Máxima: 10")</f>
        <v>#SLIA - Segunda Licenciatura Letras - Inglês - Segunda Licenciatura Letras - Inglês - Ana Catarina Soares Villas Boas - Educação e as Tic's - Nota Máxima: 10</v>
      </c>
    </row>
    <row r="1864">
      <c r="A1864" s="390" t="str">
        <f>IFERROR(__xludf.DUMMYFUNCTION("""COMPUTED_VALUE"""),"#SLIA - Segunda Licenciatura Letras - Inglês - Segunda Licenciatura Letras - Inglês - Ana Catarina Soares Villas Boas - Educação e as Tic's - Nota Máxima: 6")</f>
        <v>#SLIA - Segunda Licenciatura Letras - Inglês - Segunda Licenciatura Letras - Inglês - Ana Catarina Soares Villas Boas - Educação e as Tic's - Nota Máxima: 6</v>
      </c>
    </row>
    <row r="1865">
      <c r="A1865" s="390" t="str">
        <f>IFERROR(__xludf.DUMMYFUNCTION("""COMPUTED_VALUE"""),"#SLIA - Segunda Licenciatura Letras - Inglês - Segunda Licenciatura Letras - Inglês - Ana Catarina Soares Villas Boas - Estudos Morfossintáticos da Língua Inglesa - Nota Máxima: 9")</f>
        <v>#SLIA - Segunda Licenciatura Letras - Inglês - Segunda Licenciatura Letras - Inglês - Ana Catarina Soares Villas Boas - Estudos Morfossintáticos da Língua Inglesa - Nota Máxima: 9</v>
      </c>
    </row>
    <row r="1866">
      <c r="A1866" s="390" t="str">
        <f>IFERROR(__xludf.DUMMYFUNCTION("""COMPUTED_VALUE"""),"#SLIA - Segunda Licenciatura Letras - Inglês - Segunda Licenciatura Letras - Inglês - Ana Catarina Soares Villas Boas - Estudos Morfossintáticos da Língua Inglesa - Nota Máxima: 5")</f>
        <v>#SLIA - Segunda Licenciatura Letras - Inglês - Segunda Licenciatura Letras - Inglês - Ana Catarina Soares Villas Boas - Estudos Morfossintáticos da Língua Inglesa - Nota Máxima: 5</v>
      </c>
    </row>
    <row r="1867">
      <c r="A1867" s="390" t="str">
        <f>IFERROR(__xludf.DUMMYFUNCTION("""COMPUTED_VALUE"""),"#SLIA - Segunda Licenciatura Letras - Inglês - Segunda Licenciatura Letras - Inglês - Ana Catarina Soares Villas Boas - Linguística Aplicada a Língua Inglesa - Nota Máxima: 10")</f>
        <v>#SLIA - Segunda Licenciatura Letras - Inglês - Segunda Licenciatura Letras - Inglês - Ana Catarina Soares Villas Boas - Linguística Aplicada a Língua Inglesa - Nota Máxima: 10</v>
      </c>
    </row>
    <row r="1868">
      <c r="A1868" s="390" t="str">
        <f>IFERROR(__xludf.DUMMYFUNCTION("""COMPUTED_VALUE"""),"#SLIA - Segunda Licenciatura Letras - Inglês - Segunda Licenciatura Letras - Inglês - Ana Catarina Soares Villas Boas - Linguística Aplicada a Língua Inglesa - Nota Máxima: 6")</f>
        <v>#SLIA - Segunda Licenciatura Letras - Inglês - Segunda Licenciatura Letras - Inglês - Ana Catarina Soares Villas Boas - Linguística Aplicada a Língua Inglesa - Nota Máxima: 6</v>
      </c>
    </row>
    <row r="1869">
      <c r="A1869" s="390" t="str">
        <f>IFERROR(__xludf.DUMMYFUNCTION("""COMPUTED_VALUE"""),"#SLIA - Segunda Licenciatura Letras - Inglês - Segunda Licenciatura Letras - Inglês - Ana Catarina Soares Villas Boas - Literatura em Língua Inglesa - Nota Máxima: 10")</f>
        <v>#SLIA - Segunda Licenciatura Letras - Inglês - Segunda Licenciatura Letras - Inglês - Ana Catarina Soares Villas Boas - Literatura em Língua Inglesa - Nota Máxima: 10</v>
      </c>
    </row>
    <row r="1870">
      <c r="A1870" s="390" t="str">
        <f>IFERROR(__xludf.DUMMYFUNCTION("""COMPUTED_VALUE"""),"#SLIA - Segunda Licenciatura Letras - Inglês - Segunda Licenciatura Letras - Inglês - Ana Catarina Soares Villas Boas - Literatura em Língua Inglesa - Nota Máxima: 2")</f>
        <v>#SLIA - Segunda Licenciatura Letras - Inglês - Segunda Licenciatura Letras - Inglês - Ana Catarina Soares Villas Boas - Literatura em Língua Inglesa - Nota Máxima: 2</v>
      </c>
    </row>
    <row r="1871">
      <c r="A1871" s="390" t="str">
        <f>IFERROR(__xludf.DUMMYFUNCTION("""COMPUTED_VALUE"""),"#SLIA - Segunda Licenciatura Letras - Inglês - Segunda Licenciatura Letras - Inglês - Ana Catarina Soares Villas Boas - Metodologia do Ensino da Literatura Inglesa: Ensino Fundamental e Médio - Nota Máxima: 10")</f>
        <v>#SLIA - Segunda Licenciatura Letras - Inglês - Segunda Licenciatura Letras - Inglês - Ana Catarina Soares Villas Boas - Metodologia do Ensino da Literatura Inglesa: Ensino Fundamental e Médio - Nota Máxima: 10</v>
      </c>
    </row>
    <row r="1872">
      <c r="A1872" s="390" t="str">
        <f>IFERROR(__xludf.DUMMYFUNCTION("""COMPUTED_VALUE"""),"#SLIA - Segunda Licenciatura Letras - Inglês - Segunda Licenciatura Letras - Inglês - Ana Catarina Soares Villas Boas - Metodologia do Ensino da Literatura Inglesa: Ensino Fundamental e Médio - Nota Máxima: 5")</f>
        <v>#SLIA - Segunda Licenciatura Letras - Inglês - Segunda Licenciatura Letras - Inglês - Ana Catarina Soares Villas Boas - Metodologia do Ensino da Literatura Inglesa: Ensino Fundamental e Médio - Nota Máxima: 5</v>
      </c>
    </row>
    <row r="1873">
      <c r="A1873" s="390" t="str">
        <f>IFERROR(__xludf.DUMMYFUNCTION("""COMPUTED_VALUE"""),"#SLIA - Segunda Licenciatura Letras - Inglês - Segunda Licenciatura Letras - Inglês - Ana Catarina Soares Villas Boas - Metodologias Ativas no Ensino de Inglês - Nota Máxima: 10")</f>
        <v>#SLIA - Segunda Licenciatura Letras - Inglês - Segunda Licenciatura Letras - Inglês - Ana Catarina Soares Villas Boas - Metodologias Ativas no Ensino de Inglês - Nota Máxima: 10</v>
      </c>
    </row>
    <row r="1874">
      <c r="A1874" s="390" t="str">
        <f>IFERROR(__xludf.DUMMYFUNCTION("""COMPUTED_VALUE"""),"#SLIA - Segunda Licenciatura Letras - Inglês - Segunda Licenciatura Letras - Inglês - Ana Catarina Soares Villas Boas - Metodologias Ativas no Ensino de Inglês - Nota Máxima: 4")</f>
        <v>#SLIA - Segunda Licenciatura Letras - Inglês - Segunda Licenciatura Letras - Inglês - Ana Catarina Soares Villas Boas - Metodologias Ativas no Ensino de Inglês - Nota Máxima: 4</v>
      </c>
    </row>
    <row r="1875">
      <c r="A1875" s="390" t="str">
        <f>IFERROR(__xludf.DUMMYFUNCTION("""COMPUTED_VALUE"""),"#SLIA - Segunda Licenciatura Letras - Inglês - Segunda Licenciatura Letras - Inglês - Ana Catarina Soares Villas Boas - Ortografia e Pronúncia da Língua Inglesa - Nota Máxima: 10")</f>
        <v>#SLIA - Segunda Licenciatura Letras - Inglês - Segunda Licenciatura Letras - Inglês - Ana Catarina Soares Villas Boas - Ortografia e Pronúncia da Língua Inglesa - Nota Máxima: 10</v>
      </c>
    </row>
    <row r="1876">
      <c r="A1876" s="390" t="str">
        <f>IFERROR(__xludf.DUMMYFUNCTION("""COMPUTED_VALUE"""),"#SLIA - Segunda Licenciatura Letras - Inglês - Segunda Licenciatura Letras - Inglês - Ana Catarina Soares Villas Boas - Ortografia e Pronúncia da Língua Inglesa - Nota Máxima: 8")</f>
        <v>#SLIA - Segunda Licenciatura Letras - Inglês - Segunda Licenciatura Letras - Inglês - Ana Catarina Soares Villas Boas - Ortografia e Pronúncia da Língua Inglesa - Nota Máxima: 8</v>
      </c>
    </row>
    <row r="1877">
      <c r="A1877" s="390" t="str">
        <f>IFERROR(__xludf.DUMMYFUNCTION("""COMPUTED_VALUE"""),"#SLIA - Segunda Licenciatura Letras - Inglês - Segunda Licenciatura Letras - Inglês - Ana Catarina Soares Villas Boas - Planejamento, Gestão Educacional e Currículo/a - Nota Máxima: 10")</f>
        <v>#SLIA - Segunda Licenciatura Letras - Inglês - Segunda Licenciatura Letras - Inglês - Ana Catarina Soares Villas Boas - Planejamento, Gestão Educacional e Currículo/a - Nota Máxima: 10</v>
      </c>
    </row>
    <row r="1878">
      <c r="A1878" s="390" t="str">
        <f>IFERROR(__xludf.DUMMYFUNCTION("""COMPUTED_VALUE"""),"#SLIA - Segunda Licenciatura Letras - Inglês - Segunda Licenciatura Letras - Inglês - Ana Catarina Soares Villas Boas - Planejamento, Gestão Educacional e Currículo/a - Nota Máxima: 10")</f>
        <v>#SLIA - Segunda Licenciatura Letras - Inglês - Segunda Licenciatura Letras - Inglês - Ana Catarina Soares Villas Boas - Planejamento, Gestão Educacional e Currículo/a - Nota Máxima: 10</v>
      </c>
    </row>
    <row r="1879">
      <c r="A1879" s="390" t="str">
        <f>IFERROR(__xludf.DUMMYFUNCTION("""COMPUTED_VALUE"""),"#SLIA - Segunda Licenciatura Letras - Inglês - Segunda Licenciatura Letras - Inglês - Ana Catarina Soares Villas Boas - Práticas Pedagógicas - 400 Horas - Nota Máxima: 4")</f>
        <v>#SLIA - Segunda Licenciatura Letras - Inglês - Segunda Licenciatura Letras - Inglês - Ana Catarina Soares Villas Boas - Práticas Pedagógicas - 400 Horas - Nota Máxima: 4</v>
      </c>
    </row>
    <row r="1880">
      <c r="A1880" s="390" t="str">
        <f>IFERROR(__xludf.DUMMYFUNCTION("""COMPUTED_VALUE"""),"#SLIA - Segunda Licenciatura Letras - Inglês - Segunda Licenciatura Letras - Inglês - Ana Catarina Soares Villas Boas - Práticas Pedagógicas - 400 Horas - Nota Máxima: 1")</f>
        <v>#SLIA - Segunda Licenciatura Letras - Inglês - Segunda Licenciatura Letras - Inglês - Ana Catarina Soares Villas Boas - Práticas Pedagógicas - 400 Horas - Nota Máxima: 1</v>
      </c>
    </row>
    <row r="1881">
      <c r="A1881" s="390" t="str">
        <f>IFERROR(__xludf.DUMMYFUNCTION("""COMPUTED_VALUE"""),"#SLIA - Segunda Licenciatura Letras - Inglês - Segunda Licenciatura Letras - Inglês - Renate Baron - Deficiência Auditiva e Libras/a - Nota Máxima: 9")</f>
        <v>#SLIA - Segunda Licenciatura Letras - Inglês - Segunda Licenciatura Letras - Inglês - Renate Baron - Deficiência Auditiva e Libras/a - Nota Máxima: 9</v>
      </c>
    </row>
    <row r="1882">
      <c r="A1882" s="390" t="str">
        <f>IFERROR(__xludf.DUMMYFUNCTION("""COMPUTED_VALUE"""),"#SLIA - Segunda Licenciatura Letras - Inglês - Segunda Licenciatura Letras - Inglês - Renate Baron - Educação e as Tic's - Nota Máxima: 9")</f>
        <v>#SLIA - Segunda Licenciatura Letras - Inglês - Segunda Licenciatura Letras - Inglês - Renate Baron - Educação e as Tic's - Nota Máxima: 9</v>
      </c>
    </row>
    <row r="1883">
      <c r="A1883" s="390" t="str">
        <f>IFERROR(__xludf.DUMMYFUNCTION("""COMPUTED_VALUE"""),"#SLIA - Segunda Licenciatura Letras - Inglês - Segunda Licenciatura Letras - Inglês - Renate Baron - Educação Especial, Inclusão Escolar e Adaptações Curriculares - Nota Máxima: 8")</f>
        <v>#SLIA - Segunda Licenciatura Letras - Inglês - Segunda Licenciatura Letras - Inglês - Renate Baron - Educação Especial, Inclusão Escolar e Adaptações Curriculares - Nota Máxima: 8</v>
      </c>
    </row>
    <row r="1884">
      <c r="A1884" s="390" t="str">
        <f>IFERROR(__xludf.DUMMYFUNCTION("""COMPUTED_VALUE"""),"#SLIA - Segunda Licenciatura Letras - Inglês - Segunda Licenciatura Letras - Inglês - Renate Baron - Educação Especial, Inclusão Escolar e Adaptações Curriculares - Nota Máxima: 9")</f>
        <v>#SLIA - Segunda Licenciatura Letras - Inglês - Segunda Licenciatura Letras - Inglês - Renate Baron - Educação Especial, Inclusão Escolar e Adaptações Curriculares - Nota Máxima: 9</v>
      </c>
    </row>
    <row r="1885">
      <c r="A1885" s="390" t="str">
        <f>IFERROR(__xludf.DUMMYFUNCTION("""COMPUTED_VALUE"""),"#SLIA - Segunda Licenciatura Letras - Inglês - Segunda Licenciatura Letras - Inglês - Renate Baron - Educação, História, Cultura e Práticas Indígenas/a - Nota Máxima: 8")</f>
        <v>#SLIA - Segunda Licenciatura Letras - Inglês - Segunda Licenciatura Letras - Inglês - Renate Baron - Educação, História, Cultura e Práticas Indígenas/a - Nota Máxima: 8</v>
      </c>
    </row>
    <row r="1886">
      <c r="A1886" s="390" t="str">
        <f>IFERROR(__xludf.DUMMYFUNCTION("""COMPUTED_VALUE"""),"#SLIA - Segunda Licenciatura Letras - Inglês - Segunda Licenciatura Letras - Inglês - Renate Baron - Estudos Morfossintáticos da Língua Inglesa - Nota Máxima: 10")</f>
        <v>#SLIA - Segunda Licenciatura Letras - Inglês - Segunda Licenciatura Letras - Inglês - Renate Baron - Estudos Morfossintáticos da Língua Inglesa - Nota Máxima: 10</v>
      </c>
    </row>
    <row r="1887">
      <c r="A1887" s="390" t="str">
        <f>IFERROR(__xludf.DUMMYFUNCTION("""COMPUTED_VALUE"""),"#SLIA - Segunda Licenciatura Letras - Inglês - Segunda Licenciatura Letras - Inglês - Renate Baron - Estudos Morfossintáticos da Língua Inglesa - Nota Máxima: 6")</f>
        <v>#SLIA - Segunda Licenciatura Letras - Inglês - Segunda Licenciatura Letras - Inglês - Renate Baron - Estudos Morfossintáticos da Língua Inglesa - Nota Máxima: 6</v>
      </c>
    </row>
    <row r="1888">
      <c r="A1888" s="390" t="str">
        <f>IFERROR(__xludf.DUMMYFUNCTION("""COMPUTED_VALUE"""),"#SLIA - Segunda Licenciatura Letras - Inglês - Segunda Licenciatura Letras - Inglês - Renate Baron - Legislação Educacional/a - Nota Máxima: 8")</f>
        <v>#SLIA - Segunda Licenciatura Letras - Inglês - Segunda Licenciatura Letras - Inglês - Renate Baron - Legislação Educacional/a - Nota Máxima: 8</v>
      </c>
    </row>
    <row r="1889">
      <c r="A1889" s="390" t="str">
        <f>IFERROR(__xludf.DUMMYFUNCTION("""COMPUTED_VALUE"""),"#SLIA - Segunda Licenciatura Letras - Inglês - Segunda Licenciatura Letras - Inglês - Renate Baron - Linguística Aplicada a Língua Inglesa - Nota Máxima: 10")</f>
        <v>#SLIA - Segunda Licenciatura Letras - Inglês - Segunda Licenciatura Letras - Inglês - Renate Baron - Linguística Aplicada a Língua Inglesa - Nota Máxima: 10</v>
      </c>
    </row>
    <row r="1890">
      <c r="A1890" s="390" t="str">
        <f>IFERROR(__xludf.DUMMYFUNCTION("""COMPUTED_VALUE"""),"#SLIA - Segunda Licenciatura Letras - Inglês - Segunda Licenciatura Letras - Inglês - Renate Baron - Linguística Aplicada a Língua Inglesa - Nota Máxima: 5")</f>
        <v>#SLIA - Segunda Licenciatura Letras - Inglês - Segunda Licenciatura Letras - Inglês - Renate Baron - Linguística Aplicada a Língua Inglesa - Nota Máxima: 5</v>
      </c>
    </row>
    <row r="1891">
      <c r="A1891" s="390" t="str">
        <f>IFERROR(__xludf.DUMMYFUNCTION("""COMPUTED_VALUE"""),"#SLIA - Segunda Licenciatura Letras - Inglês - Segunda Licenciatura Letras - Inglês - Renate Baron - Literatura em Língua Inglesa - Nota Máxima: 10")</f>
        <v>#SLIA - Segunda Licenciatura Letras - Inglês - Segunda Licenciatura Letras - Inglês - Renate Baron - Literatura em Língua Inglesa - Nota Máxima: 10</v>
      </c>
    </row>
    <row r="1892">
      <c r="A1892" s="390" t="str">
        <f>IFERROR(__xludf.DUMMYFUNCTION("""COMPUTED_VALUE"""),"#SLIA - Segunda Licenciatura Letras - Inglês - Segunda Licenciatura Letras - Inglês - Renate Baron - Literatura em Língua Inglesa - Nota Máxima: 9")</f>
        <v>#SLIA - Segunda Licenciatura Letras - Inglês - Segunda Licenciatura Letras - Inglês - Renate Baron - Literatura em Língua Inglesa - Nota Máxima: 9</v>
      </c>
    </row>
    <row r="1893">
      <c r="A1893" s="390" t="str">
        <f>IFERROR(__xludf.DUMMYFUNCTION("""COMPUTED_VALUE"""),"#SLIA - Segunda Licenciatura Letras - Inglês - Segunda Licenciatura Letras - Inglês - Renate Baron - Metodologia do Ensino da Literatura Inglesa: Ensino Fundamental e Médio - Nota Máxima: 8")</f>
        <v>#SLIA - Segunda Licenciatura Letras - Inglês - Segunda Licenciatura Letras - Inglês - Renate Baron - Metodologia do Ensino da Literatura Inglesa: Ensino Fundamental e Médio - Nota Máxima: 8</v>
      </c>
    </row>
    <row r="1894">
      <c r="A1894" s="390" t="str">
        <f>IFERROR(__xludf.DUMMYFUNCTION("""COMPUTED_VALUE"""),"#SLIA - Segunda Licenciatura Letras - Inglês - Segunda Licenciatura Letras - Inglês - Renate Baron - Metodologias Ativas no Ensino de Inglês - Nota Máxima: 10")</f>
        <v>#SLIA - Segunda Licenciatura Letras - Inglês - Segunda Licenciatura Letras - Inglês - Renate Baron - Metodologias Ativas no Ensino de Inglês - Nota Máxima: 10</v>
      </c>
    </row>
    <row r="1895">
      <c r="A1895" s="390" t="str">
        <f>IFERROR(__xludf.DUMMYFUNCTION("""COMPUTED_VALUE"""),"#SLIA - Segunda Licenciatura Letras - Inglês - Segunda Licenciatura Letras - Inglês - Renate Baron - Metodologias Ativas no Ensino de Inglês - Nota Máxima: 10")</f>
        <v>#SLIA - Segunda Licenciatura Letras - Inglês - Segunda Licenciatura Letras - Inglês - Renate Baron - Metodologias Ativas no Ensino de Inglês - Nota Máxima: 10</v>
      </c>
    </row>
    <row r="1896">
      <c r="A1896" s="390" t="str">
        <f>IFERROR(__xludf.DUMMYFUNCTION("""COMPUTED_VALUE"""),"#SLIA - Segunda Licenciatura Letras - Inglês - Segunda Licenciatura Letras - Inglês - Renate Baron - Ortografia e Pronúncia da Língua Inglesa - Nota Máxima: 10")</f>
        <v>#SLIA - Segunda Licenciatura Letras - Inglês - Segunda Licenciatura Letras - Inglês - Renate Baron - Ortografia e Pronúncia da Língua Inglesa - Nota Máxima: 10</v>
      </c>
    </row>
    <row r="1897">
      <c r="A1897" s="390" t="str">
        <f>IFERROR(__xludf.DUMMYFUNCTION("""COMPUTED_VALUE"""),"#SLIA - Segunda Licenciatura Letras - Inglês - Segunda Licenciatura Letras - Inglês - Renate Baron - Ortografia e Pronúncia da Língua Inglesa - Nota Máxima: 9")</f>
        <v>#SLIA - Segunda Licenciatura Letras - Inglês - Segunda Licenciatura Letras - Inglês - Renate Baron - Ortografia e Pronúncia da Língua Inglesa - Nota Máxima: 9</v>
      </c>
    </row>
    <row r="1898">
      <c r="A1898" s="390" t="str">
        <f>IFERROR(__xludf.DUMMYFUNCTION("""COMPUTED_VALUE"""),"#SLIA - Segunda Licenciatura Letras - Inglês - Segunda Licenciatura Letras - Inglês - Renate Baron - Planejamento, Gestão Educacional e Currículo/a - Nota Máxima: 10")</f>
        <v>#SLIA - Segunda Licenciatura Letras - Inglês - Segunda Licenciatura Letras - Inglês - Renate Baron - Planejamento, Gestão Educacional e Currículo/a - Nota Máxima: 10</v>
      </c>
    </row>
    <row r="1899">
      <c r="A1899" s="390" t="str">
        <f>IFERROR(__xludf.DUMMYFUNCTION("""COMPUTED_VALUE"""),"#SLIA - Segunda Licenciatura Letras - Inglês - Segunda Licenciatura Letras - Inglês - Renate Baron - Práticas Pedagógicas - 400 Horas - Nota Máxima: 4")</f>
        <v>#SLIA - Segunda Licenciatura Letras - Inglês - Segunda Licenciatura Letras - Inglês - Renate Baron - Práticas Pedagógicas - 400 Horas - Nota Máxima: 4</v>
      </c>
    </row>
    <row r="1900">
      <c r="A1900" s="390" t="str">
        <f>IFERROR(__xludf.DUMMYFUNCTION("""COMPUTED_VALUE"""),"#SLIA - Segunda Licenciatura Letras - Inglês - Segunda Licenciatura Letras - Inglês - Renate Baron - Psicologia da Educação/a - Nota Máxima: 7")</f>
        <v>#SLIA - Segunda Licenciatura Letras - Inglês - Segunda Licenciatura Letras - Inglês - Renate Baron - Psicologia da Educação/a - Nota Máxima: 7</v>
      </c>
    </row>
    <row r="1901">
      <c r="A1901" s="390" t="str">
        <f>IFERROR(__xludf.DUMMYFUNCTION("""COMPUTED_VALUE"""),"#SLIA - Segunda Licenciatura Letras - Inglês - Segunda Licenciatura Letras - Inglês - Davyson Vieira de Oliveira - Deficiência Auditiva e Libras/a - Nota Máxima: 10")</f>
        <v>#SLIA - Segunda Licenciatura Letras - Inglês - Segunda Licenciatura Letras - Inglês - Davyson Vieira de Oliveira - Deficiência Auditiva e Libras/a - Nota Máxima: 10</v>
      </c>
    </row>
    <row r="1902">
      <c r="A1902" s="390" t="str">
        <f>IFERROR(__xludf.DUMMYFUNCTION("""COMPUTED_VALUE"""),"#SLIA - Segunda Licenciatura Letras - Inglês - Segunda Licenciatura Letras - Inglês - Davyson Vieira de Oliveira - Educação e as Tic's - Nota Máxima: 9")</f>
        <v>#SLIA - Segunda Licenciatura Letras - Inglês - Segunda Licenciatura Letras - Inglês - Davyson Vieira de Oliveira - Educação e as Tic's - Nota Máxima: 9</v>
      </c>
    </row>
    <row r="1903">
      <c r="A1903" s="390" t="str">
        <f>IFERROR(__xludf.DUMMYFUNCTION("""COMPUTED_VALUE"""),"#SLIA - Segunda Licenciatura Letras - Inglês - Segunda Licenciatura Letras - Inglês - Davyson Vieira de Oliveira - Educação Especial, Inclusão Escolar e Adaptações Curriculares - Nota Máxima: 10")</f>
        <v>#SLIA - Segunda Licenciatura Letras - Inglês - Segunda Licenciatura Letras - Inglês - Davyson Vieira de Oliveira - Educação Especial, Inclusão Escolar e Adaptações Curriculares - Nota Máxima: 10</v>
      </c>
    </row>
    <row r="1904">
      <c r="A1904" s="390" t="str">
        <f>IFERROR(__xludf.DUMMYFUNCTION("""COMPUTED_VALUE"""),"#SLIA - Segunda Licenciatura Letras - Inglês - Segunda Licenciatura Letras - Inglês - Davyson Vieira de Oliveira - Educação, História, Cultura e Práticas Indígenas/a - Nota Máxima: 10")</f>
        <v>#SLIA - Segunda Licenciatura Letras - Inglês - Segunda Licenciatura Letras - Inglês - Davyson Vieira de Oliveira - Educação, História, Cultura e Práticas Indígenas/a - Nota Máxima: 10</v>
      </c>
    </row>
    <row r="1905">
      <c r="A1905" s="390" t="str">
        <f>IFERROR(__xludf.DUMMYFUNCTION("""COMPUTED_VALUE"""),"#SLIA - Segunda Licenciatura Letras - Inglês - Segunda Licenciatura Letras - Inglês - Davyson Vieira de Oliveira - Estudos Morfossintáticos da Língua Inglesa - Nota Máxima: 10")</f>
        <v>#SLIA - Segunda Licenciatura Letras - Inglês - Segunda Licenciatura Letras - Inglês - Davyson Vieira de Oliveira - Estudos Morfossintáticos da Língua Inglesa - Nota Máxima: 10</v>
      </c>
    </row>
    <row r="1906">
      <c r="A1906" s="390" t="str">
        <f>IFERROR(__xludf.DUMMYFUNCTION("""COMPUTED_VALUE"""),"#SLIA - Segunda Licenciatura Letras - Inglês - Segunda Licenciatura Letras - Inglês - Davyson Vieira de Oliveira - Legislação Educacional/a - Nota Máxima: 9")</f>
        <v>#SLIA - Segunda Licenciatura Letras - Inglês - Segunda Licenciatura Letras - Inglês - Davyson Vieira de Oliveira - Legislação Educacional/a - Nota Máxima: 9</v>
      </c>
    </row>
    <row r="1907">
      <c r="A1907" s="390" t="str">
        <f>IFERROR(__xludf.DUMMYFUNCTION("""COMPUTED_VALUE"""),"#SLIA - Segunda Licenciatura Letras - Inglês - Segunda Licenciatura Letras - Inglês - Davyson Vieira de Oliveira - Linguística Aplicada a Língua Inglesa - Nota Máxima: 10")</f>
        <v>#SLIA - Segunda Licenciatura Letras - Inglês - Segunda Licenciatura Letras - Inglês - Davyson Vieira de Oliveira - Linguística Aplicada a Língua Inglesa - Nota Máxima: 10</v>
      </c>
    </row>
    <row r="1908">
      <c r="A1908" s="390" t="str">
        <f>IFERROR(__xludf.DUMMYFUNCTION("""COMPUTED_VALUE"""),"#SLIA - Segunda Licenciatura Letras - Inglês - Segunda Licenciatura Letras - Inglês - Davyson Vieira de Oliveira - Literatura em Língua Inglesa - Nota Máxima: 9")</f>
        <v>#SLIA - Segunda Licenciatura Letras - Inglês - Segunda Licenciatura Letras - Inglês - Davyson Vieira de Oliveira - Literatura em Língua Inglesa - Nota Máxima: 9</v>
      </c>
    </row>
    <row r="1909">
      <c r="A1909" s="390" t="str">
        <f>IFERROR(__xludf.DUMMYFUNCTION("""COMPUTED_VALUE"""),"#SLIA - Segunda Licenciatura Letras - Inglês - Segunda Licenciatura Letras - Inglês - Davyson Vieira de Oliveira - Metodologia do Ensino da Literatura Inglesa: Ensino Fundamental e Médio - Nota Máxima: 7")</f>
        <v>#SLIA - Segunda Licenciatura Letras - Inglês - Segunda Licenciatura Letras - Inglês - Davyson Vieira de Oliveira - Metodologia do Ensino da Literatura Inglesa: Ensino Fundamental e Médio - Nota Máxima: 7</v>
      </c>
    </row>
    <row r="1910">
      <c r="A1910" s="390" t="str">
        <f>IFERROR(__xludf.DUMMYFUNCTION("""COMPUTED_VALUE"""),"#SLIA - Segunda Licenciatura Letras - Inglês - Segunda Licenciatura Letras - Inglês - Davyson Vieira de Oliveira - Metodologias Ativas no Ensino de Inglês - Nota Máxima: 9")</f>
        <v>#SLIA - Segunda Licenciatura Letras - Inglês - Segunda Licenciatura Letras - Inglês - Davyson Vieira de Oliveira - Metodologias Ativas no Ensino de Inglês - Nota Máxima: 9</v>
      </c>
    </row>
    <row r="1911">
      <c r="A1911" s="390" t="str">
        <f>IFERROR(__xludf.DUMMYFUNCTION("""COMPUTED_VALUE"""),"#SLIA - Segunda Licenciatura Letras - Inglês - Segunda Licenciatura Letras - Inglês - Davyson Vieira de Oliveira - Ortografia e Pronúncia da Língua Inglesa - Nota Máxima: 10")</f>
        <v>#SLIA - Segunda Licenciatura Letras - Inglês - Segunda Licenciatura Letras - Inglês - Davyson Vieira de Oliveira - Ortografia e Pronúncia da Língua Inglesa - Nota Máxima: 10</v>
      </c>
    </row>
    <row r="1912">
      <c r="A1912" s="390" t="str">
        <f>IFERROR(__xludf.DUMMYFUNCTION("""COMPUTED_VALUE"""),"#SLIA - Segunda Licenciatura Letras - Inglês - Segunda Licenciatura Letras - Inglês - Davyson Vieira de Oliveira - Planejamento, Gestão Educacional e Currículo/a - Nota Máxima: 9")</f>
        <v>#SLIA - Segunda Licenciatura Letras - Inglês - Segunda Licenciatura Letras - Inglês - Davyson Vieira de Oliveira - Planejamento, Gestão Educacional e Currículo/a - Nota Máxima: 9</v>
      </c>
    </row>
    <row r="1913">
      <c r="A1913" s="390" t="str">
        <f>IFERROR(__xludf.DUMMYFUNCTION("""COMPUTED_VALUE"""),"#SLIA - Segunda Licenciatura Letras - Inglês - Segunda Licenciatura Letras - Inglês - Davyson Vieira de Oliveira - Práticas Pedagógicas - 400 Horas - Nota Máxima: 10")</f>
        <v>#SLIA - Segunda Licenciatura Letras - Inglês - Segunda Licenciatura Letras - Inglês - Davyson Vieira de Oliveira - Práticas Pedagógicas - 400 Horas - Nota Máxima: 10</v>
      </c>
    </row>
    <row r="1914">
      <c r="A1914" s="390" t="str">
        <f>IFERROR(__xludf.DUMMYFUNCTION("""COMPUTED_VALUE"""),"#SLIA - Segunda Licenciatura Letras - Inglês - Segunda Licenciatura Letras - Inglês - Davyson Vieira de Oliveira - Psicologia da Educação/a - Nota Máxima: 10")</f>
        <v>#SLIA - Segunda Licenciatura Letras - Inglês - Segunda Licenciatura Letras - Inglês - Davyson Vieira de Oliveira - Psicologia da Educação/a - Nota Máxima: 10</v>
      </c>
    </row>
    <row r="1915">
      <c r="A1915" s="390" t="str">
        <f>IFERROR(__xludf.DUMMYFUNCTION("""COMPUTED_VALUE"""),"#SLIA - Segunda Licenciatura Letras - Inglês - Segunda Licenciatura Letras - Inglês - Eller Rafael da Silva - Deficiência Auditiva e Libras/a - Nota Máxima: 7")</f>
        <v>#SLIA - Segunda Licenciatura Letras - Inglês - Segunda Licenciatura Letras - Inglês - Eller Rafael da Silva - Deficiência Auditiva e Libras/a - Nota Máxima: 7</v>
      </c>
    </row>
    <row r="1916">
      <c r="A1916" s="390" t="str">
        <f>IFERROR(__xludf.DUMMYFUNCTION("""COMPUTED_VALUE"""),"#SLIA - Segunda Licenciatura Letras - Inglês - Segunda Licenciatura Letras - Inglês - Eller Rafael da Silva - Educação e as Tic's - Nota Máxima: 8")</f>
        <v>#SLIA - Segunda Licenciatura Letras - Inglês - Segunda Licenciatura Letras - Inglês - Eller Rafael da Silva - Educação e as Tic's - Nota Máxima: 8</v>
      </c>
    </row>
    <row r="1917">
      <c r="A1917" s="390" t="str">
        <f>IFERROR(__xludf.DUMMYFUNCTION("""COMPUTED_VALUE"""),"#SLIA - Segunda Licenciatura Letras - Inglês - Segunda Licenciatura Letras - Inglês - Eller Rafael da Silva - Educação Especial, Inclusão Escolar e Adaptações Curriculares - Nota Máxima: 9")</f>
        <v>#SLIA - Segunda Licenciatura Letras - Inglês - Segunda Licenciatura Letras - Inglês - Eller Rafael da Silva - Educação Especial, Inclusão Escolar e Adaptações Curriculares - Nota Máxima: 9</v>
      </c>
    </row>
    <row r="1918">
      <c r="A1918" s="390" t="str">
        <f>IFERROR(__xludf.DUMMYFUNCTION("""COMPUTED_VALUE"""),"#SLIA - Segunda Licenciatura Letras - Inglês - Segunda Licenciatura Letras - Inglês - Eller Rafael da Silva - Educação, História, Cultura e Práticas Indígenas/a - Nota Máxima: 7")</f>
        <v>#SLIA - Segunda Licenciatura Letras - Inglês - Segunda Licenciatura Letras - Inglês - Eller Rafael da Silva - Educação, História, Cultura e Práticas Indígenas/a - Nota Máxima: 7</v>
      </c>
    </row>
    <row r="1919">
      <c r="A1919" s="390" t="str">
        <f>IFERROR(__xludf.DUMMYFUNCTION("""COMPUTED_VALUE"""),"#SLIA - Segunda Licenciatura Letras - Inglês - Segunda Licenciatura Letras - Inglês - Eller Rafael da Silva - Estudos Morfossintáticos da Língua Inglesa - Nota Máxima: 8")</f>
        <v>#SLIA - Segunda Licenciatura Letras - Inglês - Segunda Licenciatura Letras - Inglês - Eller Rafael da Silva - Estudos Morfossintáticos da Língua Inglesa - Nota Máxima: 8</v>
      </c>
    </row>
    <row r="1920">
      <c r="A1920" s="390" t="str">
        <f>IFERROR(__xludf.DUMMYFUNCTION("""COMPUTED_VALUE"""),"#SLIA - Segunda Licenciatura Letras - Inglês - Segunda Licenciatura Letras - Inglês - Eller Rafael da Silva - Legislação Educacional/a - Nota Máxima: 7")</f>
        <v>#SLIA - Segunda Licenciatura Letras - Inglês - Segunda Licenciatura Letras - Inglês - Eller Rafael da Silva - Legislação Educacional/a - Nota Máxima: 7</v>
      </c>
    </row>
    <row r="1921">
      <c r="A1921" s="390" t="str">
        <f>IFERROR(__xludf.DUMMYFUNCTION("""COMPUTED_VALUE"""),"#SLIA - Segunda Licenciatura Letras - Inglês - Segunda Licenciatura Letras - Inglês - Eller Rafael da Silva - Linguística Aplicada a Língua Inglesa - Nota Máxima: 7")</f>
        <v>#SLIA - Segunda Licenciatura Letras - Inglês - Segunda Licenciatura Letras - Inglês - Eller Rafael da Silva - Linguística Aplicada a Língua Inglesa - Nota Máxima: 7</v>
      </c>
    </row>
    <row r="1922">
      <c r="A1922" s="390" t="str">
        <f>IFERROR(__xludf.DUMMYFUNCTION("""COMPUTED_VALUE"""),"#SLIA - Segunda Licenciatura Letras - Inglês - Segunda Licenciatura Letras - Inglês - Eller Rafael da Silva - Literatura em Língua Inglesa - Nota Máxima: 8")</f>
        <v>#SLIA - Segunda Licenciatura Letras - Inglês - Segunda Licenciatura Letras - Inglês - Eller Rafael da Silva - Literatura em Língua Inglesa - Nota Máxima: 8</v>
      </c>
    </row>
    <row r="1923">
      <c r="A1923" s="390" t="str">
        <f>IFERROR(__xludf.DUMMYFUNCTION("""COMPUTED_VALUE"""),"#SLIA - Segunda Licenciatura Letras - Inglês - Segunda Licenciatura Letras - Inglês - Eller Rafael da Silva - Metodologia do Ensino da Literatura Inglesa: Ensino Fundamental e Médio - Nota Máxima: 8")</f>
        <v>#SLIA - Segunda Licenciatura Letras - Inglês - Segunda Licenciatura Letras - Inglês - Eller Rafael da Silva - Metodologia do Ensino da Literatura Inglesa: Ensino Fundamental e Médio - Nota Máxima: 8</v>
      </c>
    </row>
    <row r="1924">
      <c r="A1924" s="390" t="str">
        <f>IFERROR(__xludf.DUMMYFUNCTION("""COMPUTED_VALUE"""),"#SLIA - Segunda Licenciatura Letras - Inglês - Segunda Licenciatura Letras - Inglês - Eller Rafael da Silva - Metodologias Ativas no Ensino de Inglês - Nota Máxima: 9")</f>
        <v>#SLIA - Segunda Licenciatura Letras - Inglês - Segunda Licenciatura Letras - Inglês - Eller Rafael da Silva - Metodologias Ativas no Ensino de Inglês - Nota Máxima: 9</v>
      </c>
    </row>
    <row r="1925">
      <c r="A1925" s="390" t="str">
        <f>IFERROR(__xludf.DUMMYFUNCTION("""COMPUTED_VALUE"""),"#SLIA - Segunda Licenciatura Letras - Inglês - Segunda Licenciatura Letras - Inglês - Eller Rafael da Silva - Ortografia e Pronúncia da Língua Inglesa - Nota Máxima: 8")</f>
        <v>#SLIA - Segunda Licenciatura Letras - Inglês - Segunda Licenciatura Letras - Inglês - Eller Rafael da Silva - Ortografia e Pronúncia da Língua Inglesa - Nota Máxima: 8</v>
      </c>
    </row>
    <row r="1926">
      <c r="A1926" s="390" t="str">
        <f>IFERROR(__xludf.DUMMYFUNCTION("""COMPUTED_VALUE"""),"#SLIA - Segunda Licenciatura Letras - Inglês - Segunda Licenciatura Letras - Inglês - Eller Rafael da Silva - Planejamento, Gestão Educacional e Currículo/a - Nota Máxima: 8")</f>
        <v>#SLIA - Segunda Licenciatura Letras - Inglês - Segunda Licenciatura Letras - Inglês - Eller Rafael da Silva - Planejamento, Gestão Educacional e Currículo/a - Nota Máxima: 8</v>
      </c>
    </row>
    <row r="1927">
      <c r="A1927" s="390" t="str">
        <f>IFERROR(__xludf.DUMMYFUNCTION("""COMPUTED_VALUE"""),"#SLIA - Segunda Licenciatura Letras - Inglês - Segunda Licenciatura Letras - Inglês - Eller Rafael da Silva - Práticas Pedagógicas - 400 Horas - Nota Máxima: 3")</f>
        <v>#SLIA - Segunda Licenciatura Letras - Inglês - Segunda Licenciatura Letras - Inglês - Eller Rafael da Silva - Práticas Pedagógicas - 400 Horas - Nota Máxima: 3</v>
      </c>
    </row>
    <row r="1928">
      <c r="A1928" s="390" t="str">
        <f>IFERROR(__xludf.DUMMYFUNCTION("""COMPUTED_VALUE"""),"#SLIA - Segunda Licenciatura Letras - Inglês - Segunda Licenciatura Letras - Inglês - Eller Rafael da Silva - Psicologia da Educação/a - Nota Máxima: 6")</f>
        <v>#SLIA - Segunda Licenciatura Letras - Inglês - Segunda Licenciatura Letras - Inglês - Eller Rafael da Silva - Psicologia da Educação/a - Nota Máxima: 6</v>
      </c>
    </row>
    <row r="1929">
      <c r="A1929" s="390" t="str">
        <f>IFERROR(__xludf.DUMMYFUNCTION("""COMPUTED_VALUE"""),"#SLIA - Segunda Licenciatura Letras - Inglês - Segunda Licenciatura Letras - Inglês - Claudia Teresa Romualdo da Silva - Deficiência Auditiva e Libras/a - Nota Máxima: 8")</f>
        <v>#SLIA - Segunda Licenciatura Letras - Inglês - Segunda Licenciatura Letras - Inglês - Claudia Teresa Romualdo da Silva - Deficiência Auditiva e Libras/a - Nota Máxima: 8</v>
      </c>
    </row>
    <row r="1930">
      <c r="A1930" s="390" t="str">
        <f>IFERROR(__xludf.DUMMYFUNCTION("""COMPUTED_VALUE"""),"#SLIA - Segunda Licenciatura Letras - Inglês - Segunda Licenciatura Letras - Inglês - Claudia Teresa Romualdo da Silva - Deficiência Auditiva e Libras/a - Nota Máxima: 5")</f>
        <v>#SLIA - Segunda Licenciatura Letras - Inglês - Segunda Licenciatura Letras - Inglês - Claudia Teresa Romualdo da Silva - Deficiência Auditiva e Libras/a - Nota Máxima: 5</v>
      </c>
    </row>
    <row r="1931">
      <c r="A1931" s="390" t="str">
        <f>IFERROR(__xludf.DUMMYFUNCTION("""COMPUTED_VALUE"""),"#SLIA - Segunda Licenciatura Letras - Inglês - Segunda Licenciatura Letras - Inglês - Claudia Teresa Romualdo da Silva - Educação e as Tic's - Nota Máxima: 8")</f>
        <v>#SLIA - Segunda Licenciatura Letras - Inglês - Segunda Licenciatura Letras - Inglês - Claudia Teresa Romualdo da Silva - Educação e as Tic's - Nota Máxima: 8</v>
      </c>
    </row>
    <row r="1932">
      <c r="A1932" s="390" t="str">
        <f>IFERROR(__xludf.DUMMYFUNCTION("""COMPUTED_VALUE"""),"#SLIA - Segunda Licenciatura Letras - Inglês - Segunda Licenciatura Letras - Inglês - Claudia Teresa Romualdo da Silva - Educação e as Tic's - Nota Máxima: 10")</f>
        <v>#SLIA - Segunda Licenciatura Letras - Inglês - Segunda Licenciatura Letras - Inglês - Claudia Teresa Romualdo da Silva - Educação e as Tic's - Nota Máxima: 10</v>
      </c>
    </row>
    <row r="1933">
      <c r="A1933" s="390" t="str">
        <f>IFERROR(__xludf.DUMMYFUNCTION("""COMPUTED_VALUE"""),"#SLIA - Segunda Licenciatura Letras - Inglês - Segunda Licenciatura Letras - Inglês - Claudia Teresa Romualdo da Silva - Educação Especial, Inclusão Escolar e Adaptações Curriculares - Nota Máxima: 8")</f>
        <v>#SLIA - Segunda Licenciatura Letras - Inglês - Segunda Licenciatura Letras - Inglês - Claudia Teresa Romualdo da Silva - Educação Especial, Inclusão Escolar e Adaptações Curriculares - Nota Máxima: 8</v>
      </c>
    </row>
    <row r="1934">
      <c r="A1934" s="390" t="str">
        <f>IFERROR(__xludf.DUMMYFUNCTION("""COMPUTED_VALUE"""),"#SLIA - Segunda Licenciatura Letras - Inglês - Segunda Licenciatura Letras - Inglês - Claudia Teresa Romualdo da Silva - Educação Especial, Inclusão Escolar e Adaptações Curriculares - Nota Máxima: 7")</f>
        <v>#SLIA - Segunda Licenciatura Letras - Inglês - Segunda Licenciatura Letras - Inglês - Claudia Teresa Romualdo da Silva - Educação Especial, Inclusão Escolar e Adaptações Curriculares - Nota Máxima: 7</v>
      </c>
    </row>
    <row r="1935">
      <c r="A1935" s="390" t="str">
        <f>IFERROR(__xludf.DUMMYFUNCTION("""COMPUTED_VALUE"""),"#SLIA - Segunda Licenciatura Letras - Inglês - Segunda Licenciatura Letras - Inglês - Claudia Teresa Romualdo da Silva - Educação, História, Cultura e Práticas Indígenas/a - Nota Máxima: 9")</f>
        <v>#SLIA - Segunda Licenciatura Letras - Inglês - Segunda Licenciatura Letras - Inglês - Claudia Teresa Romualdo da Silva - Educação, História, Cultura e Práticas Indígenas/a - Nota Máxima: 9</v>
      </c>
    </row>
    <row r="1936">
      <c r="A1936" s="390" t="str">
        <f>IFERROR(__xludf.DUMMYFUNCTION("""COMPUTED_VALUE"""),"#SLIA - Segunda Licenciatura Letras - Inglês - Segunda Licenciatura Letras - Inglês - Claudia Teresa Romualdo da Silva - Educação, História, Cultura e Práticas Indígenas/a - Nota Máxima: 6")</f>
        <v>#SLIA - Segunda Licenciatura Letras - Inglês - Segunda Licenciatura Letras - Inglês - Claudia Teresa Romualdo da Silva - Educação, História, Cultura e Práticas Indígenas/a - Nota Máxima: 6</v>
      </c>
    </row>
    <row r="1937">
      <c r="A1937" s="390" t="str">
        <f>IFERROR(__xludf.DUMMYFUNCTION("""COMPUTED_VALUE"""),"#SLIA - Segunda Licenciatura Letras - Inglês - Segunda Licenciatura Letras - Inglês - Claudia Teresa Romualdo da Silva - Estudos Morfossintáticos da Língua Inglesa - Nota Máxima: 9")</f>
        <v>#SLIA - Segunda Licenciatura Letras - Inglês - Segunda Licenciatura Letras - Inglês - Claudia Teresa Romualdo da Silva - Estudos Morfossintáticos da Língua Inglesa - Nota Máxima: 9</v>
      </c>
    </row>
    <row r="1938">
      <c r="A1938" s="390" t="str">
        <f>IFERROR(__xludf.DUMMYFUNCTION("""COMPUTED_VALUE"""),"#SLIA - Segunda Licenciatura Letras - Inglês - Segunda Licenciatura Letras - Inglês - Claudia Teresa Romualdo da Silva - Estudos Morfossintáticos da Língua Inglesa - Nota Máxima: 9")</f>
        <v>#SLIA - Segunda Licenciatura Letras - Inglês - Segunda Licenciatura Letras - Inglês - Claudia Teresa Romualdo da Silva - Estudos Morfossintáticos da Língua Inglesa - Nota Máxima: 9</v>
      </c>
    </row>
    <row r="1939">
      <c r="A1939" s="390" t="str">
        <f>IFERROR(__xludf.DUMMYFUNCTION("""COMPUTED_VALUE"""),"#SLIA - Segunda Licenciatura Letras - Inglês - Segunda Licenciatura Letras - Inglês - Claudia Teresa Romualdo da Silva - Legislação Educacional/a - Nota Máxima: 10")</f>
        <v>#SLIA - Segunda Licenciatura Letras - Inglês - Segunda Licenciatura Letras - Inglês - Claudia Teresa Romualdo da Silva - Legislação Educacional/a - Nota Máxima: 10</v>
      </c>
    </row>
    <row r="1940">
      <c r="A1940" s="390" t="str">
        <f>IFERROR(__xludf.DUMMYFUNCTION("""COMPUTED_VALUE"""),"#SLIA - Segunda Licenciatura Letras - Inglês - Segunda Licenciatura Letras - Inglês - Claudia Teresa Romualdo da Silva - Legislação Educacional/a - Nota Máxima: 6")</f>
        <v>#SLIA - Segunda Licenciatura Letras - Inglês - Segunda Licenciatura Letras - Inglês - Claudia Teresa Romualdo da Silva - Legislação Educacional/a - Nota Máxima: 6</v>
      </c>
    </row>
    <row r="1941">
      <c r="A1941" s="390" t="str">
        <f>IFERROR(__xludf.DUMMYFUNCTION("""COMPUTED_VALUE"""),"#SLIA - Segunda Licenciatura Letras - Inglês - Segunda Licenciatura Letras - Inglês - Claudia Teresa Romualdo da Silva - Linguística Aplicada a Língua Inglesa - Nota Máxima: 7")</f>
        <v>#SLIA - Segunda Licenciatura Letras - Inglês - Segunda Licenciatura Letras - Inglês - Claudia Teresa Romualdo da Silva - Linguística Aplicada a Língua Inglesa - Nota Máxima: 7</v>
      </c>
    </row>
    <row r="1942">
      <c r="A1942" s="390" t="str">
        <f>IFERROR(__xludf.DUMMYFUNCTION("""COMPUTED_VALUE"""),"#SLIA - Segunda Licenciatura Letras - Inglês - Segunda Licenciatura Letras - Inglês - Claudia Teresa Romualdo da Silva - Linguística Aplicada a Língua Inglesa - Nota Máxima: 7")</f>
        <v>#SLIA - Segunda Licenciatura Letras - Inglês - Segunda Licenciatura Letras - Inglês - Claudia Teresa Romualdo da Silva - Linguística Aplicada a Língua Inglesa - Nota Máxima: 7</v>
      </c>
    </row>
    <row r="1943">
      <c r="A1943" s="390" t="str">
        <f>IFERROR(__xludf.DUMMYFUNCTION("""COMPUTED_VALUE"""),"#SLIA - Segunda Licenciatura Letras - Inglês - Segunda Licenciatura Letras - Inglês - Claudia Teresa Romualdo da Silva - Literatura em Língua Inglesa - Nota Máxima: 10")</f>
        <v>#SLIA - Segunda Licenciatura Letras - Inglês - Segunda Licenciatura Letras - Inglês - Claudia Teresa Romualdo da Silva - Literatura em Língua Inglesa - Nota Máxima: 10</v>
      </c>
    </row>
    <row r="1944">
      <c r="A1944" s="390" t="str">
        <f>IFERROR(__xludf.DUMMYFUNCTION("""COMPUTED_VALUE"""),"#SLIA - Segunda Licenciatura Letras - Inglês - Segunda Licenciatura Letras - Inglês - Claudia Teresa Romualdo da Silva - Literatura em Língua Inglesa - Nota Máxima: 9")</f>
        <v>#SLIA - Segunda Licenciatura Letras - Inglês - Segunda Licenciatura Letras - Inglês - Claudia Teresa Romualdo da Silva - Literatura em Língua Inglesa - Nota Máxima: 9</v>
      </c>
    </row>
    <row r="1945">
      <c r="A1945" s="390" t="str">
        <f>IFERROR(__xludf.DUMMYFUNCTION("""COMPUTED_VALUE"""),"#SLIA - Segunda Licenciatura Letras - Inglês - Segunda Licenciatura Letras - Inglês - Claudia Teresa Romualdo da Silva - Metodologia do Ensino da Literatura Inglesa: Ensino Fundamental e Médio - Nota Máxima: 10")</f>
        <v>#SLIA - Segunda Licenciatura Letras - Inglês - Segunda Licenciatura Letras - Inglês - Claudia Teresa Romualdo da Silva - Metodologia do Ensino da Literatura Inglesa: Ensino Fundamental e Médio - Nota Máxima: 10</v>
      </c>
    </row>
    <row r="1946">
      <c r="A1946" s="390" t="str">
        <f>IFERROR(__xludf.DUMMYFUNCTION("""COMPUTED_VALUE"""),"#SLIA - Segunda Licenciatura Letras - Inglês - Segunda Licenciatura Letras - Inglês - Claudia Teresa Romualdo da Silva - Metodologia do Ensino da Literatura Inglesa: Ensino Fundamental e Médio - Nota Máxima: 8")</f>
        <v>#SLIA - Segunda Licenciatura Letras - Inglês - Segunda Licenciatura Letras - Inglês - Claudia Teresa Romualdo da Silva - Metodologia do Ensino da Literatura Inglesa: Ensino Fundamental e Médio - Nota Máxima: 8</v>
      </c>
    </row>
    <row r="1947">
      <c r="A1947" s="390" t="str">
        <f>IFERROR(__xludf.DUMMYFUNCTION("""COMPUTED_VALUE"""),"#SLIA - Segunda Licenciatura Letras - Inglês - Segunda Licenciatura Letras - Inglês - Claudia Teresa Romualdo da Silva - Metodologias Ativas no Ensino de Inglês - Nota Máxima: 9")</f>
        <v>#SLIA - Segunda Licenciatura Letras - Inglês - Segunda Licenciatura Letras - Inglês - Claudia Teresa Romualdo da Silva - Metodologias Ativas no Ensino de Inglês - Nota Máxima: 9</v>
      </c>
    </row>
    <row r="1948">
      <c r="A1948" s="390" t="str">
        <f>IFERROR(__xludf.DUMMYFUNCTION("""COMPUTED_VALUE"""),"#SLIA - Segunda Licenciatura Letras - Inglês - Segunda Licenciatura Letras - Inglês - Claudia Teresa Romualdo da Silva - Metodologias Ativas no Ensino de Inglês - Nota Máxima: 5")</f>
        <v>#SLIA - Segunda Licenciatura Letras - Inglês - Segunda Licenciatura Letras - Inglês - Claudia Teresa Romualdo da Silva - Metodologias Ativas no Ensino de Inglês - Nota Máxima: 5</v>
      </c>
    </row>
    <row r="1949">
      <c r="A1949" s="390" t="str">
        <f>IFERROR(__xludf.DUMMYFUNCTION("""COMPUTED_VALUE"""),"#SLIA - Segunda Licenciatura Letras - Inglês - Segunda Licenciatura Letras - Inglês - Claudia Teresa Romualdo da Silva - Ortografia e Pronúncia da Língua Inglesa - Nota Máxima: 9")</f>
        <v>#SLIA - Segunda Licenciatura Letras - Inglês - Segunda Licenciatura Letras - Inglês - Claudia Teresa Romualdo da Silva - Ortografia e Pronúncia da Língua Inglesa - Nota Máxima: 9</v>
      </c>
    </row>
    <row r="1950">
      <c r="A1950" s="390" t="str">
        <f>IFERROR(__xludf.DUMMYFUNCTION("""COMPUTED_VALUE"""),"#SLIA - Segunda Licenciatura Letras - Inglês - Segunda Licenciatura Letras - Inglês - Claudia Teresa Romualdo da Silva - Ortografia e Pronúncia da Língua Inglesa - Nota Máxima: 7")</f>
        <v>#SLIA - Segunda Licenciatura Letras - Inglês - Segunda Licenciatura Letras - Inglês - Claudia Teresa Romualdo da Silva - Ortografia e Pronúncia da Língua Inglesa - Nota Máxima: 7</v>
      </c>
    </row>
    <row r="1951">
      <c r="A1951" s="390" t="str">
        <f>IFERROR(__xludf.DUMMYFUNCTION("""COMPUTED_VALUE"""),"#SLIA - Segunda Licenciatura Letras - Inglês - Segunda Licenciatura Letras - Inglês - Claudia Teresa Romualdo da Silva - Planejamento, Gestão Educacional e Currículo/a - Nota Máxima: 9")</f>
        <v>#SLIA - Segunda Licenciatura Letras - Inglês - Segunda Licenciatura Letras - Inglês - Claudia Teresa Romualdo da Silva - Planejamento, Gestão Educacional e Currículo/a - Nota Máxima: 9</v>
      </c>
    </row>
    <row r="1952">
      <c r="A1952" s="390" t="str">
        <f>IFERROR(__xludf.DUMMYFUNCTION("""COMPUTED_VALUE"""),"#SLIA - Segunda Licenciatura Letras - Inglês - Segunda Licenciatura Letras - Inglês - Claudia Teresa Romualdo da Silva - Planejamento, Gestão Educacional e Currículo/a - Nota Máxima: 9")</f>
        <v>#SLIA - Segunda Licenciatura Letras - Inglês - Segunda Licenciatura Letras - Inglês - Claudia Teresa Romualdo da Silva - Planejamento, Gestão Educacional e Currículo/a - Nota Máxima: 9</v>
      </c>
    </row>
    <row r="1953">
      <c r="A1953" s="390" t="str">
        <f>IFERROR(__xludf.DUMMYFUNCTION("""COMPUTED_VALUE"""),"#SLIA - Segunda Licenciatura Letras - Inglês - Segunda Licenciatura Letras - Inglês - Claudia Teresa Romualdo da Silva - Práticas Pedagógicas - 400 Horas - Nota Máxima: 10")</f>
        <v>#SLIA - Segunda Licenciatura Letras - Inglês - Segunda Licenciatura Letras - Inglês - Claudia Teresa Romualdo da Silva - Práticas Pedagógicas - 400 Horas - Nota Máxima: 10</v>
      </c>
    </row>
    <row r="1954">
      <c r="A1954" s="390" t="str">
        <f>IFERROR(__xludf.DUMMYFUNCTION("""COMPUTED_VALUE"""),"#SLIA - Segunda Licenciatura Letras - Inglês - Segunda Licenciatura Letras - Inglês - Claudia Teresa Romualdo da Silva - Práticas Pedagógicas - 400 Horas - Nota Máxima: 45784")</f>
        <v>#SLIA - Segunda Licenciatura Letras - Inglês - Segunda Licenciatura Letras - Inglês - Claudia Teresa Romualdo da Silva - Práticas Pedagógicas - 400 Horas - Nota Máxima: 45784</v>
      </c>
    </row>
    <row r="1955">
      <c r="A1955" s="390" t="str">
        <f>IFERROR(__xludf.DUMMYFUNCTION("""COMPUTED_VALUE"""),"#SLIA - Segunda Licenciatura Letras - Inglês - Segunda Licenciatura Letras - Inglês - Claudia Teresa Romualdo da Silva - Psicologia da Educação/a - Nota Máxima: 7")</f>
        <v>#SLIA - Segunda Licenciatura Letras - Inglês - Segunda Licenciatura Letras - Inglês - Claudia Teresa Romualdo da Silva - Psicologia da Educação/a - Nota Máxima: 7</v>
      </c>
    </row>
    <row r="1956">
      <c r="A1956" s="390" t="str">
        <f>IFERROR(__xludf.DUMMYFUNCTION("""COMPUTED_VALUE"""),"#SLIA - Segunda Licenciatura Letras - Inglês - Segunda Licenciatura Letras - Inglês - Claudia Teresa Romualdo da Silva - Psicologia da Educação/a - Nota Máxima: 2")</f>
        <v>#SLIA - Segunda Licenciatura Letras - Inglês - Segunda Licenciatura Letras - Inglês - Claudia Teresa Romualdo da Silva - Psicologia da Educação/a - Nota Máxima: 2</v>
      </c>
    </row>
    <row r="1957">
      <c r="A1957" s="390" t="str">
        <f>IFERROR(__xludf.DUMMYFUNCTION("""COMPUTED_VALUE"""),"#SLIA - Segunda Licenciatura Letras - Inglês - #SLLIA - Segunda Licenciatura em Letras Inglês 760Horas - Laíssa Rodrigues Novais Duarte - Inglês na Sala de Aula - Nota Máxima: 9")</f>
        <v>#SLIA - Segunda Licenciatura Letras - Inglês - #SLLIA - Segunda Licenciatura em Letras Inglês 760Horas - Laíssa Rodrigues Novais Duarte - Inglês na Sala de Aula - Nota Máxima: 9</v>
      </c>
    </row>
    <row r="1958">
      <c r="A1958" s="390" t="str">
        <f>IFERROR(__xludf.DUMMYFUNCTION("""COMPUTED_VALUE"""),"#SLQA - Segunda Licenciatura em Química - Segunda Licenciatura em Química - Julia Lopes Munhoz - Características e Funções de Elementos Químicos - Nota Máxima: 9")</f>
        <v>#SLQA - Segunda Licenciatura em Química - Segunda Licenciatura em Química - Julia Lopes Munhoz - Características e Funções de Elementos Químicos - Nota Máxima: 9</v>
      </c>
    </row>
    <row r="1959">
      <c r="A1959" s="390" t="str">
        <f>IFERROR(__xludf.DUMMYFUNCTION("""COMPUTED_VALUE"""),"#SLQA - Segunda Licenciatura em Química - Segunda Licenciatura em Química - Julia Lopes Munhoz - Deficiência Auditiva e Libras/a - Nota Máxima: 9")</f>
        <v>#SLQA - Segunda Licenciatura em Química - Segunda Licenciatura em Química - Julia Lopes Munhoz - Deficiência Auditiva e Libras/a - Nota Máxima: 9</v>
      </c>
    </row>
    <row r="1960">
      <c r="A1960" s="390" t="str">
        <f>IFERROR(__xludf.DUMMYFUNCTION("""COMPUTED_VALUE"""),"#SLQA - Segunda Licenciatura em Química - Segunda Licenciatura em Química - Julia Lopes Munhoz - Educação e as Tic's - Nota Máxima: 8")</f>
        <v>#SLQA - Segunda Licenciatura em Química - Segunda Licenciatura em Química - Julia Lopes Munhoz - Educação e as Tic's - Nota Máxima: 8</v>
      </c>
    </row>
    <row r="1961">
      <c r="A1961" s="390" t="str">
        <f>IFERROR(__xludf.DUMMYFUNCTION("""COMPUTED_VALUE"""),"#SLQA - Segunda Licenciatura em Química - Segunda Licenciatura em Química - Julia Lopes Munhoz - Educação Especial, Inclusão Escolar e Adaptações Curriculares - Nota Máxima: 9")</f>
        <v>#SLQA - Segunda Licenciatura em Química - Segunda Licenciatura em Química - Julia Lopes Munhoz - Educação Especial, Inclusão Escolar e Adaptações Curriculares - Nota Máxima: 9</v>
      </c>
    </row>
    <row r="1962">
      <c r="A1962" s="390" t="str">
        <f>IFERROR(__xludf.DUMMYFUNCTION("""COMPUTED_VALUE"""),"#SLQA - Segunda Licenciatura em Química - Segunda Licenciatura em Química - Julia Lopes Munhoz - Educação, História, Cultura e Práticas Indígenas/a - Nota Máxima: 10")</f>
        <v>#SLQA - Segunda Licenciatura em Química - Segunda Licenciatura em Química - Julia Lopes Munhoz - Educação, História, Cultura e Práticas Indígenas/a - Nota Máxima: 10</v>
      </c>
    </row>
    <row r="1963">
      <c r="A1963" s="390" t="str">
        <f>IFERROR(__xludf.DUMMYFUNCTION("""COMPUTED_VALUE"""),"#SLQA - Segunda Licenciatura em Química - Segunda Licenciatura em Química - Julia Lopes Munhoz - Educação, História, Cultura e Práticas Indígenas/a - Nota Máxima: 10")</f>
        <v>#SLQA - Segunda Licenciatura em Química - Segunda Licenciatura em Química - Julia Lopes Munhoz - Educação, História, Cultura e Práticas Indígenas/a - Nota Máxima: 10</v>
      </c>
    </row>
    <row r="1964">
      <c r="A1964" s="390" t="str">
        <f>IFERROR(__xludf.DUMMYFUNCTION("""COMPUTED_VALUE"""),"#SLQA - Segunda Licenciatura em Química - Segunda Licenciatura em Química - Julia Lopes Munhoz - Ensino de Química na Educação Básica - Nota Máxima: 9")</f>
        <v>#SLQA - Segunda Licenciatura em Química - Segunda Licenciatura em Química - Julia Lopes Munhoz - Ensino de Química na Educação Básica - Nota Máxima: 9</v>
      </c>
    </row>
    <row r="1965">
      <c r="A1965" s="390" t="str">
        <f>IFERROR(__xludf.DUMMYFUNCTION("""COMPUTED_VALUE"""),"#SLQA - Segunda Licenciatura em Química - Segunda Licenciatura em Química - Julia Lopes Munhoz - Fundamentos da Química Analítica - Nota Máxima: 10")</f>
        <v>#SLQA - Segunda Licenciatura em Química - Segunda Licenciatura em Química - Julia Lopes Munhoz - Fundamentos da Química Analítica - Nota Máxima: 10</v>
      </c>
    </row>
    <row r="1966">
      <c r="A1966" s="390" t="str">
        <f>IFERROR(__xludf.DUMMYFUNCTION("""COMPUTED_VALUE"""),"#SLQA - Segunda Licenciatura em Química - Segunda Licenciatura em Química - Julia Lopes Munhoz - Fundamentos da Química Orgânica - Nota Máxima: 10")</f>
        <v>#SLQA - Segunda Licenciatura em Química - Segunda Licenciatura em Química - Julia Lopes Munhoz - Fundamentos da Química Orgânica - Nota Máxima: 10</v>
      </c>
    </row>
    <row r="1967">
      <c r="A1967" s="390" t="str">
        <f>IFERROR(__xludf.DUMMYFUNCTION("""COMPUTED_VALUE"""),"#SLQA - Segunda Licenciatura em Química - Segunda Licenciatura em Química - Julia Lopes Munhoz - Fundamentos da Química Orgânica - Nota Máxima: 4")</f>
        <v>#SLQA - Segunda Licenciatura em Química - Segunda Licenciatura em Química - Julia Lopes Munhoz - Fundamentos da Química Orgânica - Nota Máxima: 4</v>
      </c>
    </row>
    <row r="1968">
      <c r="A1968" s="390" t="str">
        <f>IFERROR(__xludf.DUMMYFUNCTION("""COMPUTED_VALUE"""),"#SLQA - Segunda Licenciatura em Química - Segunda Licenciatura em Química - Julia Lopes Munhoz - Legislação Educacional/a - Nota Máxima: 10")</f>
        <v>#SLQA - Segunda Licenciatura em Química - Segunda Licenciatura em Química - Julia Lopes Munhoz - Legislação Educacional/a - Nota Máxima: 10</v>
      </c>
    </row>
    <row r="1969">
      <c r="A1969" s="390" t="str">
        <f>IFERROR(__xludf.DUMMYFUNCTION("""COMPUTED_VALUE"""),"#SLQA - Segunda Licenciatura em Química - Segunda Licenciatura em Química - Julia Lopes Munhoz - Legislação Educacional/a - Nota Máxima: 6")</f>
        <v>#SLQA - Segunda Licenciatura em Química - Segunda Licenciatura em Química - Julia Lopes Munhoz - Legislação Educacional/a - Nota Máxima: 6</v>
      </c>
    </row>
    <row r="1970">
      <c r="A1970" s="390" t="str">
        <f>IFERROR(__xludf.DUMMYFUNCTION("""COMPUTED_VALUE"""),"#SLQA - Segunda Licenciatura em Química - Segunda Licenciatura em Química - Julia Lopes Munhoz - Planejamento, Gestão Educacional e Currículo/a - Nota Máxima: 10")</f>
        <v>#SLQA - Segunda Licenciatura em Química - Segunda Licenciatura em Química - Julia Lopes Munhoz - Planejamento, Gestão Educacional e Currículo/a - Nota Máxima: 10</v>
      </c>
    </row>
    <row r="1971">
      <c r="A1971" s="390" t="str">
        <f>IFERROR(__xludf.DUMMYFUNCTION("""COMPUTED_VALUE"""),"#SLQA - Segunda Licenciatura em Química - Segunda Licenciatura em Química - Julia Lopes Munhoz - Probabilidade e Estatística - Nota Máxima: 10")</f>
        <v>#SLQA - Segunda Licenciatura em Química - Segunda Licenciatura em Química - Julia Lopes Munhoz - Probabilidade e Estatística - Nota Máxima: 10</v>
      </c>
    </row>
    <row r="1972">
      <c r="A1972" s="390" t="str">
        <f>IFERROR(__xludf.DUMMYFUNCTION("""COMPUTED_VALUE"""),"#SLQA - Segunda Licenciatura em Química - Segunda Licenciatura em Química - Julia Lopes Munhoz - Psicologia da Educação/a - Nota Máxima: 10")</f>
        <v>#SLQA - Segunda Licenciatura em Química - Segunda Licenciatura em Química - Julia Lopes Munhoz - Psicologia da Educação/a - Nota Máxima: 10</v>
      </c>
    </row>
    <row r="1973">
      <c r="A1973" s="390" t="str">
        <f>IFERROR(__xludf.DUMMYFUNCTION("""COMPUTED_VALUE"""),"#SLQA - Segunda Licenciatura em Química - Segunda Licenciatura em Química - Julia Lopes Munhoz - Química Inorgânica - Nota Máxima: 10")</f>
        <v>#SLQA - Segunda Licenciatura em Química - Segunda Licenciatura em Química - Julia Lopes Munhoz - Química Inorgânica - Nota Máxima: 10</v>
      </c>
    </row>
    <row r="1974">
      <c r="A1974" s="390" t="str">
        <f>IFERROR(__xludf.DUMMYFUNCTION("""COMPUTED_VALUE"""),"#FPEEF- Formação Pedagógica Educação Física - #SLEEF- Segunda Licenciatura Educação Física - Cristiano Rosa Marciano - Anatomia Humana - Nota Máxima: 10")</f>
        <v>#FPEEF- Formação Pedagógica Educação Física - #SLEEF- Segunda Licenciatura Educação Física - Cristiano Rosa Marciano - Anatomia Humana - Nota Máxima: 10</v>
      </c>
    </row>
    <row r="1975">
      <c r="A1975" s="390" t="str">
        <f>IFERROR(__xludf.DUMMYFUNCTION("""COMPUTED_VALUE"""),"#FPEEF- Formação Pedagógica Educação Física - #SLEEF- Segunda Licenciatura Educação Física - Cristiano Rosa Marciano - Deficiência Auditiva e Libras/a - Nota Máxima: 10")</f>
        <v>#FPEEF- Formação Pedagógica Educação Física - #SLEEF- Segunda Licenciatura Educação Física - Cristiano Rosa Marciano - Deficiência Auditiva e Libras/a - Nota Máxima: 10</v>
      </c>
    </row>
    <row r="1976">
      <c r="A1976" s="390" t="str">
        <f>IFERROR(__xludf.DUMMYFUNCTION("""COMPUTED_VALUE"""),"#FPEEF- Formação Pedagógica Educação Física - #SLEEF- Segunda Licenciatura Educação Física - Cristiano Rosa Marciano - Educação Especial, Inclusão Escolar e Adaptações Curriculares - Nota Máxima: 9")</f>
        <v>#FPEEF- Formação Pedagógica Educação Física - #SLEEF- Segunda Licenciatura Educação Física - Cristiano Rosa Marciano - Educação Especial, Inclusão Escolar e Adaptações Curriculares - Nota Máxima: 9</v>
      </c>
    </row>
    <row r="1977">
      <c r="A1977" s="390" t="str">
        <f>IFERROR(__xludf.DUMMYFUNCTION("""COMPUTED_VALUE"""),"#FPEEF- Formação Pedagógica Educação Física - #SLEEF- Segunda Licenciatura Educação Física - Cristiano Rosa Marciano - Educação, História, Cultura e Práticas Indígenas/a - Nota Máxima: 10")</f>
        <v>#FPEEF- Formação Pedagógica Educação Física - #SLEEF- Segunda Licenciatura Educação Física - Cristiano Rosa Marciano - Educação, História, Cultura e Práticas Indígenas/a - Nota Máxima: 10</v>
      </c>
    </row>
    <row r="1978">
      <c r="A1978" s="390" t="str">
        <f>IFERROR(__xludf.DUMMYFUNCTION("""COMPUTED_VALUE"""),"#FPEEF- Formação Pedagógica Educação Física - #SLEEF- Segunda Licenciatura Educação Física - Cristiano Rosa Marciano - Fisiologia Humana - Nota Máxima: 10")</f>
        <v>#FPEEF- Formação Pedagógica Educação Física - #SLEEF- Segunda Licenciatura Educação Física - Cristiano Rosa Marciano - Fisiologia Humana - Nota Máxima: 10</v>
      </c>
    </row>
    <row r="1979">
      <c r="A1979" s="390" t="str">
        <f>IFERROR(__xludf.DUMMYFUNCTION("""COMPUTED_VALUE"""),"#FPEEF- Formação Pedagógica Educação Física - #SLEEF- Segunda Licenciatura Educação Física - Cristiano Rosa Marciano - Fundamentos Pedagógicos dos Esportes e das Atividades Físicas - Nota Máxima: 8")</f>
        <v>#FPEEF- Formação Pedagógica Educação Física - #SLEEF- Segunda Licenciatura Educação Física - Cristiano Rosa Marciano - Fundamentos Pedagógicos dos Esportes e das Atividades Físicas - Nota Máxima: 8</v>
      </c>
    </row>
    <row r="1980">
      <c r="A1980" s="390" t="str">
        <f>IFERROR(__xludf.DUMMYFUNCTION("""COMPUTED_VALUE"""),"#FPEEF- Formação Pedagógica Educação Física - #SLEEF- Segunda Licenciatura Educação Física - Cristiano Rosa Marciano - Introdução à Neurociência e Neuroeducação - Nota Máxima: 10")</f>
        <v>#FPEEF- Formação Pedagógica Educação Física - #SLEEF- Segunda Licenciatura Educação Física - Cristiano Rosa Marciano - Introdução à Neurociência e Neuroeducação - Nota Máxima: 10</v>
      </c>
    </row>
    <row r="1981">
      <c r="A1981" s="390" t="str">
        <f>IFERROR(__xludf.DUMMYFUNCTION("""COMPUTED_VALUE"""),"#FPEEF- Formação Pedagógica Educação Física - #SLEEF- Segunda Licenciatura Educação Física - Cristiano Rosa Marciano - Jogos e Recreação - Nota Máxima: 10")</f>
        <v>#FPEEF- Formação Pedagógica Educação Física - #SLEEF- Segunda Licenciatura Educação Física - Cristiano Rosa Marciano - Jogos e Recreação - Nota Máxima: 10</v>
      </c>
    </row>
    <row r="1982">
      <c r="A1982" s="390" t="str">
        <f>IFERROR(__xludf.DUMMYFUNCTION("""COMPUTED_VALUE"""),"#FPEEF- Formação Pedagógica Educação Física - #SLEEF- Segunda Licenciatura Educação Física - Cristiano Rosa Marciano - Legislação Educacional/a - Nota Máxima: 10")</f>
        <v>#FPEEF- Formação Pedagógica Educação Física - #SLEEF- Segunda Licenciatura Educação Física - Cristiano Rosa Marciano - Legislação Educacional/a - Nota Máxima: 10</v>
      </c>
    </row>
    <row r="1983">
      <c r="A1983" s="390" t="str">
        <f>IFERROR(__xludf.DUMMYFUNCTION("""COMPUTED_VALUE"""),"#FPEEF- Formação Pedagógica Educação Física - #SLEEF- Segunda Licenciatura Educação Física - Cristiano Rosa Marciano - Planejamento, Gestão Educacional e Currículo/a - Nota Máxima: 10")</f>
        <v>#FPEEF- Formação Pedagógica Educação Física - #SLEEF- Segunda Licenciatura Educação Física - Cristiano Rosa Marciano - Planejamento, Gestão Educacional e Currículo/a - Nota Máxima: 10</v>
      </c>
    </row>
    <row r="1984">
      <c r="A1984" s="390" t="str">
        <f>IFERROR(__xludf.DUMMYFUNCTION("""COMPUTED_VALUE"""),"#FPEEF- Formação Pedagógica Educação Física - #SLEEF- Segunda Licenciatura Educação Física - Cristiano Rosa Marciano - Práticas Corporais Adaptadas para Grupos Especiais/a - Nota Máxima: 9")</f>
        <v>#FPEEF- Formação Pedagógica Educação Física - #SLEEF- Segunda Licenciatura Educação Física - Cristiano Rosa Marciano - Práticas Corporais Adaptadas para Grupos Especiais/a - Nota Máxima: 9</v>
      </c>
    </row>
    <row r="1985">
      <c r="A1985" s="390" t="str">
        <f>IFERROR(__xludf.DUMMYFUNCTION("""COMPUTED_VALUE"""),"#FPEEF- Formação Pedagógica Educação Física - #SLEEF- Segunda Licenciatura Educação Física - Cristiano Rosa Marciano - Práticas Pedagógicas - 400 Horas - Nota Máxima: 4")</f>
        <v>#FPEEF- Formação Pedagógica Educação Física - #SLEEF- Segunda Licenciatura Educação Física - Cristiano Rosa Marciano - Práticas Pedagógicas - 400 Horas - Nota Máxima: 4</v>
      </c>
    </row>
    <row r="1986">
      <c r="A1986" s="390" t="str">
        <f>IFERROR(__xludf.DUMMYFUNCTION("""COMPUTED_VALUE"""),"#FPEEF- Formação Pedagógica Educação Física - #SLEEF- Segunda Licenciatura Educação Física - Cristiano Rosa Marciano - Psicologia da Educação/a - Nota Máxima: 10")</f>
        <v>#FPEEF- Formação Pedagógica Educação Física - #SLEEF- Segunda Licenciatura Educação Física - Cristiano Rosa Marciano - Psicologia da Educação/a - Nota Máxima: 10</v>
      </c>
    </row>
    <row r="1987">
      <c r="A1987" s="390" t="str">
        <f>IFERROR(__xludf.DUMMYFUNCTION("""COMPUTED_VALUE"""),"#FPEEF- Formação Pedagógica Educação Física - #SLEEF- Segunda Licenciatura Educação Física - Cristiano Rosa Marciano - Psicomotricidade e Ludopedagogia - Nota Máxima: 9")</f>
        <v>#FPEEF- Formação Pedagógica Educação Física - #SLEEF- Segunda Licenciatura Educação Física - Cristiano Rosa Marciano - Psicomotricidade e Ludopedagogia - Nota Máxima: 9</v>
      </c>
    </row>
    <row r="1988">
      <c r="A1988" s="390" t="str">
        <f>IFERROR(__xludf.DUMMYFUNCTION("""COMPUTED_VALUE"""),"#FPEEF- Formação Pedagógica Educação Física - #SLEEF- Segunda Licenciatura Educação Física - Vinicius Figueiredo Santos - Anatomia Humana - Nota Máxima: 10")</f>
        <v>#FPEEF- Formação Pedagógica Educação Física - #SLEEF- Segunda Licenciatura Educação Física - Vinicius Figueiredo Santos - Anatomia Humana - Nota Máxima: 10</v>
      </c>
    </row>
    <row r="1989">
      <c r="A1989" s="390" t="str">
        <f>IFERROR(__xludf.DUMMYFUNCTION("""COMPUTED_VALUE"""),"#FPEEF- Formação Pedagógica Educação Física - #SLEEF- Segunda Licenciatura Educação Física - Vinicius Figueiredo Santos - Deficiência Auditiva e Libras/a - Nota Máxima: 8")</f>
        <v>#FPEEF- Formação Pedagógica Educação Física - #SLEEF- Segunda Licenciatura Educação Física - Vinicius Figueiredo Santos - Deficiência Auditiva e Libras/a - Nota Máxima: 8</v>
      </c>
    </row>
    <row r="1990">
      <c r="A1990" s="390" t="str">
        <f>IFERROR(__xludf.DUMMYFUNCTION("""COMPUTED_VALUE"""),"#FPEEF- Formação Pedagógica Educação Física - #SLEEF- Segunda Licenciatura Educação Física - Vinicius Figueiredo Santos - Educação Especial, Inclusão Escolar e Adaptações Curriculares - Nota Máxima: 10")</f>
        <v>#FPEEF- Formação Pedagógica Educação Física - #SLEEF- Segunda Licenciatura Educação Física - Vinicius Figueiredo Santos - Educação Especial, Inclusão Escolar e Adaptações Curriculares - Nota Máxima: 10</v>
      </c>
    </row>
    <row r="1991">
      <c r="A1991" s="390" t="str">
        <f>IFERROR(__xludf.DUMMYFUNCTION("""COMPUTED_VALUE"""),"#FPEEF- Formação Pedagógica Educação Física - #SLEEF- Segunda Licenciatura Educação Física - Vinicius Figueiredo Santos - Educação, História, Cultura e Práticas Indígenas/a - Nota Máxima: 10")</f>
        <v>#FPEEF- Formação Pedagógica Educação Física - #SLEEF- Segunda Licenciatura Educação Física - Vinicius Figueiredo Santos - Educação, História, Cultura e Práticas Indígenas/a - Nota Máxima: 10</v>
      </c>
    </row>
    <row r="1992">
      <c r="A1992" s="390" t="str">
        <f>IFERROR(__xludf.DUMMYFUNCTION("""COMPUTED_VALUE"""),"#FPEEF- Formação Pedagógica Educação Física - #SLEEF- Segunda Licenciatura Educação Física - Vinicius Figueiredo Santos - Fisiologia Humana - Nota Máxima: 9")</f>
        <v>#FPEEF- Formação Pedagógica Educação Física - #SLEEF- Segunda Licenciatura Educação Física - Vinicius Figueiredo Santos - Fisiologia Humana - Nota Máxima: 9</v>
      </c>
    </row>
    <row r="1993">
      <c r="A1993" s="390" t="str">
        <f>IFERROR(__xludf.DUMMYFUNCTION("""COMPUTED_VALUE"""),"#FPEEF- Formação Pedagógica Educação Física - #SLEEF- Segunda Licenciatura Educação Física - Vinicius Figueiredo Santos - Fundamentos Pedagógicos dos Esportes e das Atividades Físicas - Nota Máxima: 8")</f>
        <v>#FPEEF- Formação Pedagógica Educação Física - #SLEEF- Segunda Licenciatura Educação Física - Vinicius Figueiredo Santos - Fundamentos Pedagógicos dos Esportes e das Atividades Físicas - Nota Máxima: 8</v>
      </c>
    </row>
    <row r="1994">
      <c r="A1994" s="390" t="str">
        <f>IFERROR(__xludf.DUMMYFUNCTION("""COMPUTED_VALUE"""),"#FPEEF- Formação Pedagógica Educação Física - #SLEEF- Segunda Licenciatura Educação Física - Vinicius Figueiredo Santos - Introdução à Neurociência e Neuroeducação - Nota Máxima: 7")</f>
        <v>#FPEEF- Formação Pedagógica Educação Física - #SLEEF- Segunda Licenciatura Educação Física - Vinicius Figueiredo Santos - Introdução à Neurociência e Neuroeducação - Nota Máxima: 7</v>
      </c>
    </row>
    <row r="1995">
      <c r="A1995" s="390" t="str">
        <f>IFERROR(__xludf.DUMMYFUNCTION("""COMPUTED_VALUE"""),"#FPEEF- Formação Pedagógica Educação Física - #SLEEF- Segunda Licenciatura Educação Física - Vinicius Figueiredo Santos - Jogos e Recreação - Nota Máxima: 10")</f>
        <v>#FPEEF- Formação Pedagógica Educação Física - #SLEEF- Segunda Licenciatura Educação Física - Vinicius Figueiredo Santos - Jogos e Recreação - Nota Máxima: 10</v>
      </c>
    </row>
    <row r="1996">
      <c r="A1996" s="390" t="str">
        <f>IFERROR(__xludf.DUMMYFUNCTION("""COMPUTED_VALUE"""),"#FPEEF- Formação Pedagógica Educação Física - #SLEEF- Segunda Licenciatura Educação Física - Vinicius Figueiredo Santos - Legislação Educacional/a - Nota Máxima: 7")</f>
        <v>#FPEEF- Formação Pedagógica Educação Física - #SLEEF- Segunda Licenciatura Educação Física - Vinicius Figueiredo Santos - Legislação Educacional/a - Nota Máxima: 7</v>
      </c>
    </row>
    <row r="1997">
      <c r="A1997" s="390" t="str">
        <f>IFERROR(__xludf.DUMMYFUNCTION("""COMPUTED_VALUE"""),"#FPEEF- Formação Pedagógica Educação Física - #SLEEF- Segunda Licenciatura Educação Física - Vinicius Figueiredo Santos - Planejamento, Gestão Educacional e Currículo/a - Nota Máxima: 9")</f>
        <v>#FPEEF- Formação Pedagógica Educação Física - #SLEEF- Segunda Licenciatura Educação Física - Vinicius Figueiredo Santos - Planejamento, Gestão Educacional e Currículo/a - Nota Máxima: 9</v>
      </c>
    </row>
    <row r="1998">
      <c r="A1998" s="390" t="str">
        <f>IFERROR(__xludf.DUMMYFUNCTION("""COMPUTED_VALUE"""),"#FPEEF- Formação Pedagógica Educação Física - #SLEEF- Segunda Licenciatura Educação Física - Vinicius Figueiredo Santos - Práticas Corporais Adaptadas para Grupos Especiais/a - Nota Máxima: 8")</f>
        <v>#FPEEF- Formação Pedagógica Educação Física - #SLEEF- Segunda Licenciatura Educação Física - Vinicius Figueiredo Santos - Práticas Corporais Adaptadas para Grupos Especiais/a - Nota Máxima: 8</v>
      </c>
    </row>
    <row r="1999">
      <c r="A1999" s="390" t="str">
        <f>IFERROR(__xludf.DUMMYFUNCTION("""COMPUTED_VALUE"""),"#FPEEF- Formação Pedagógica Educação Física - #SLEEF- Segunda Licenciatura Educação Física - Vinicius Figueiredo Santos - Práticas Pedagógicas - 400 Horas - Nota Máxima: 10")</f>
        <v>#FPEEF- Formação Pedagógica Educação Física - #SLEEF- Segunda Licenciatura Educação Física - Vinicius Figueiredo Santos - Práticas Pedagógicas - 400 Horas - Nota Máxima: 10</v>
      </c>
    </row>
    <row r="2000">
      <c r="A2000" s="390" t="str">
        <f>IFERROR(__xludf.DUMMYFUNCTION("""COMPUTED_VALUE"""),"#FPEEF- Formação Pedagógica Educação Física - #SLEEF- Segunda Licenciatura Educação Física - Vinicius Figueiredo Santos - Psicologia da Educação/a - Nota Máxima: 7")</f>
        <v>#FPEEF- Formação Pedagógica Educação Física - #SLEEF- Segunda Licenciatura Educação Física - Vinicius Figueiredo Santos - Psicologia da Educação/a - Nota Máxima: 7</v>
      </c>
    </row>
    <row r="2001">
      <c r="A2001" s="390" t="str">
        <f>IFERROR(__xludf.DUMMYFUNCTION("""COMPUTED_VALUE"""),"#FPEEF- Formação Pedagógica Educação Física - #SLEEF- Segunda Licenciatura Educação Física - Vinicius Figueiredo Santos - Psicomotricidade e Ludopedagogia - Nota Máxima: 7")</f>
        <v>#FPEEF- Formação Pedagógica Educação Física - #SLEEF- Segunda Licenciatura Educação Física - Vinicius Figueiredo Santos - Psicomotricidade e Ludopedagogia - Nota Máxima: 7</v>
      </c>
    </row>
    <row r="2002">
      <c r="A2002" s="390" t="str">
        <f>IFERROR(__xludf.DUMMYFUNCTION("""COMPUTED_VALUE"""),"#FPEEF- Formação Pedagógica Educação Física - #FPEEF- Formação Pedagógica Educação Física - Ênio Richard Goulart de Oliveira - Atuação Docente na Educação Inclusiva - Nota Máxima: 10")</f>
        <v>#FPEEF- Formação Pedagógica Educação Física - #FPEEF- Formação Pedagógica Educação Física - Ênio Richard Goulart de Oliveira - Atuação Docente na Educação Inclusiva - Nota Máxima: 10</v>
      </c>
    </row>
    <row r="2003">
      <c r="A2003" s="390" t="str">
        <f>IFERROR(__xludf.DUMMYFUNCTION("""COMPUTED_VALUE"""),"#FPEEF- Formação Pedagógica Educação Física - #FPEEF- Formação Pedagógica Educação Física - Ênio Richard Goulart de Oliveira - Atuação Docente na Educação Inclusiva - Nota Máxima: 10")</f>
        <v>#FPEEF- Formação Pedagógica Educação Física - #FPEEF- Formação Pedagógica Educação Física - Ênio Richard Goulart de Oliveira - Atuação Docente na Educação Inclusiva - Nota Máxima: 10</v>
      </c>
    </row>
    <row r="2004">
      <c r="A2004" s="390" t="str">
        <f>IFERROR(__xludf.DUMMYFUNCTION("""COMPUTED_VALUE"""),"#FPEEF- Formação Pedagógica Educação Física - #FPEEF- Formação Pedagógica Educação Física - Ênio Richard Goulart de Oliveira - Cultura e Diversidade - Nota Máxima: 10")</f>
        <v>#FPEEF- Formação Pedagógica Educação Física - #FPEEF- Formação Pedagógica Educação Física - Ênio Richard Goulart de Oliveira - Cultura e Diversidade - Nota Máxima: 10</v>
      </c>
    </row>
    <row r="2005">
      <c r="A2005" s="390" t="str">
        <f>IFERROR(__xludf.DUMMYFUNCTION("""COMPUTED_VALUE"""),"#FPEEF- Formação Pedagógica Educação Física - #FPEEF- Formação Pedagógica Educação Física - Ênio Richard Goulart de Oliveira - Cultura e Diversidade - Nota Máxima: 9")</f>
        <v>#FPEEF- Formação Pedagógica Educação Física - #FPEEF- Formação Pedagógica Educação Física - Ênio Richard Goulart de Oliveira - Cultura e Diversidade - Nota Máxima: 9</v>
      </c>
    </row>
    <row r="2006">
      <c r="A2006" s="390" t="str">
        <f>IFERROR(__xludf.DUMMYFUNCTION("""COMPUTED_VALUE"""),"#FPEEF- Formação Pedagógica Educação Física - #FPEEF- Formação Pedagógica Educação Física - Ênio Richard Goulart de Oliveira - Deficiência Auditiva e Libras/a - Nota Máxima: 10")</f>
        <v>#FPEEF- Formação Pedagógica Educação Física - #FPEEF- Formação Pedagógica Educação Física - Ênio Richard Goulart de Oliveira - Deficiência Auditiva e Libras/a - Nota Máxima: 10</v>
      </c>
    </row>
    <row r="2007">
      <c r="A2007" s="390" t="str">
        <f>IFERROR(__xludf.DUMMYFUNCTION("""COMPUTED_VALUE"""),"#FPEEF- Formação Pedagógica Educação Física - #FPEEF- Formação Pedagógica Educação Física - Ênio Richard Goulart de Oliveira - Deficiência Auditiva e Libras/a - Nota Máxima: 8")</f>
        <v>#FPEEF- Formação Pedagógica Educação Física - #FPEEF- Formação Pedagógica Educação Física - Ênio Richard Goulart de Oliveira - Deficiência Auditiva e Libras/a - Nota Máxima: 8</v>
      </c>
    </row>
    <row r="2008">
      <c r="A2008" s="390" t="str">
        <f>IFERROR(__xludf.DUMMYFUNCTION("""COMPUTED_VALUE"""),"#FPEEF- Formação Pedagógica Educação Física - #FPEEF- Formação Pedagógica Educação Física - Ênio Richard Goulart de Oliveira - Educação em Direitos Humanos/a - Nota Máxima: 10")</f>
        <v>#FPEEF- Formação Pedagógica Educação Física - #FPEEF- Formação Pedagógica Educação Física - Ênio Richard Goulart de Oliveira - Educação em Direitos Humanos/a - Nota Máxima: 10</v>
      </c>
    </row>
    <row r="2009">
      <c r="A2009" s="390" t="str">
        <f>IFERROR(__xludf.DUMMYFUNCTION("""COMPUTED_VALUE"""),"#FPEEF- Formação Pedagógica Educação Física - #FPEEF- Formação Pedagógica Educação Física - Ênio Richard Goulart de Oliveira - Educação em Direitos Humanos/a - Nota Máxima: 9")</f>
        <v>#FPEEF- Formação Pedagógica Educação Física - #FPEEF- Formação Pedagógica Educação Física - Ênio Richard Goulart de Oliveira - Educação em Direitos Humanos/a - Nota Máxima: 9</v>
      </c>
    </row>
    <row r="2010">
      <c r="A2010" s="390" t="str">
        <f>IFERROR(__xludf.DUMMYFUNCTION("""COMPUTED_VALUE"""),"#FPEEF- Formação Pedagógica Educação Física - #FPEEF- Formação Pedagógica Educação Física - Ênio Richard Goulart de Oliveira - Educação Especial em Educação Física - Nota Máxima: 10")</f>
        <v>#FPEEF- Formação Pedagógica Educação Física - #FPEEF- Formação Pedagógica Educação Física - Ênio Richard Goulart de Oliveira - Educação Especial em Educação Física - Nota Máxima: 10</v>
      </c>
    </row>
    <row r="2011">
      <c r="A2011" s="390" t="str">
        <f>IFERROR(__xludf.DUMMYFUNCTION("""COMPUTED_VALUE"""),"#FPEEF- Formação Pedagógica Educação Física - #FPEEF- Formação Pedagógica Educação Física - Ênio Richard Goulart de Oliveira - Educação Especial em Educação Física - Nota Máxima: 9")</f>
        <v>#FPEEF- Formação Pedagógica Educação Física - #FPEEF- Formação Pedagógica Educação Física - Ênio Richard Goulart de Oliveira - Educação Especial em Educação Física - Nota Máxima: 9</v>
      </c>
    </row>
    <row r="2012">
      <c r="A2012" s="390" t="str">
        <f>IFERROR(__xludf.DUMMYFUNCTION("""COMPUTED_VALUE"""),"#FPEEF- Formação Pedagógica Educação Física - #FPEEF- Formação Pedagógica Educação Física - Ênio Richard Goulart de Oliveira - Educação Especial, Inclusão Escolar e Adaptações Curriculares - Nota Máxima: 10")</f>
        <v>#FPEEF- Formação Pedagógica Educação Física - #FPEEF- Formação Pedagógica Educação Física - Ênio Richard Goulart de Oliveira - Educação Especial, Inclusão Escolar e Adaptações Curriculares - Nota Máxima: 10</v>
      </c>
    </row>
    <row r="2013">
      <c r="A2013" s="390" t="str">
        <f>IFERROR(__xludf.DUMMYFUNCTION("""COMPUTED_VALUE"""),"#FPEEF- Formação Pedagógica Educação Física - #FPEEF- Formação Pedagógica Educação Física - Ênio Richard Goulart de Oliveira - Educação Especial, Inclusão Escolar e Adaptações Curriculares - Nota Máxima: 10")</f>
        <v>#FPEEF- Formação Pedagógica Educação Física - #FPEEF- Formação Pedagógica Educação Física - Ênio Richard Goulart de Oliveira - Educação Especial, Inclusão Escolar e Adaptações Curriculares - Nota Máxima: 10</v>
      </c>
    </row>
    <row r="2014">
      <c r="A2014" s="390" t="str">
        <f>IFERROR(__xludf.DUMMYFUNCTION("""COMPUTED_VALUE"""),"#FPEEF- Formação Pedagógica Educação Física - #FPEEF- Formação Pedagógica Educação Física - Ênio Richard Goulart de Oliveira - Fundamentos Pedagógicos dos Esportes e das Atividades Físicas - Nota Máxima: 10")</f>
        <v>#FPEEF- Formação Pedagógica Educação Física - #FPEEF- Formação Pedagógica Educação Física - Ênio Richard Goulart de Oliveira - Fundamentos Pedagógicos dos Esportes e das Atividades Físicas - Nota Máxima: 10</v>
      </c>
    </row>
    <row r="2015">
      <c r="A2015" s="390" t="str">
        <f>IFERROR(__xludf.DUMMYFUNCTION("""COMPUTED_VALUE"""),"#FPEEF- Formação Pedagógica Educação Física - #FPEEF- Formação Pedagógica Educação Física - Ênio Richard Goulart de Oliveira - Fundamentos Pedagógicos dos Esportes e das Atividades Físicas - Nota Máxima: 9")</f>
        <v>#FPEEF- Formação Pedagógica Educação Física - #FPEEF- Formação Pedagógica Educação Física - Ênio Richard Goulart de Oliveira - Fundamentos Pedagógicos dos Esportes e das Atividades Físicas - Nota Máxima: 9</v>
      </c>
    </row>
    <row r="2016">
      <c r="A2016" s="390" t="str">
        <f>IFERROR(__xludf.DUMMYFUNCTION("""COMPUTED_VALUE"""),"#FPEEF- Formação Pedagógica Educação Física - #FPEEF- Formação Pedagógica Educação Física - Ênio Richard Goulart de Oliveira - Introdução à Neurociência e Neuroeducação - Nota Máxima: 10")</f>
        <v>#FPEEF- Formação Pedagógica Educação Física - #FPEEF- Formação Pedagógica Educação Física - Ênio Richard Goulart de Oliveira - Introdução à Neurociência e Neuroeducação - Nota Máxima: 10</v>
      </c>
    </row>
    <row r="2017">
      <c r="A2017" s="390" t="str">
        <f>IFERROR(__xludf.DUMMYFUNCTION("""COMPUTED_VALUE"""),"#FPEEF- Formação Pedagógica Educação Física - #FPEEF- Formação Pedagógica Educação Física - Ênio Richard Goulart de Oliveira - Introdução à Neurociência e Neuroeducação - Nota Máxima: 5")</f>
        <v>#FPEEF- Formação Pedagógica Educação Física - #FPEEF- Formação Pedagógica Educação Física - Ênio Richard Goulart de Oliveira - Introdução à Neurociência e Neuroeducação - Nota Máxima: 5</v>
      </c>
    </row>
    <row r="2018">
      <c r="A2018" s="390" t="str">
        <f>IFERROR(__xludf.DUMMYFUNCTION("""COMPUTED_VALUE"""),"#FPEEF- Formação Pedagógica Educação Física - #FPEEF- Formação Pedagógica Educação Física - Ênio Richard Goulart de Oliveira - Legislação e Políticas para Educação Inclusiva e Especial - Nota Máxima: 10")</f>
        <v>#FPEEF- Formação Pedagógica Educação Física - #FPEEF- Formação Pedagógica Educação Física - Ênio Richard Goulart de Oliveira - Legislação e Políticas para Educação Inclusiva e Especial - Nota Máxima: 10</v>
      </c>
    </row>
    <row r="2019">
      <c r="A2019" s="390" t="str">
        <f>IFERROR(__xludf.DUMMYFUNCTION("""COMPUTED_VALUE"""),"#FPEEF- Formação Pedagógica Educação Física - #FPEEF- Formação Pedagógica Educação Física - Ênio Richard Goulart de Oliveira - Legislação e Políticas para Educação Inclusiva e Especial - Nota Máxima: 8")</f>
        <v>#FPEEF- Formação Pedagógica Educação Física - #FPEEF- Formação Pedagógica Educação Física - Ênio Richard Goulart de Oliveira - Legislação e Políticas para Educação Inclusiva e Especial - Nota Máxima: 8</v>
      </c>
    </row>
    <row r="2020">
      <c r="A2020" s="390" t="str">
        <f>IFERROR(__xludf.DUMMYFUNCTION("""COMPUTED_VALUE"""),"#FPEEF- Formação Pedagógica Educação Física - #FPEEF- Formação Pedagógica Educação Física - Ênio Richard Goulart de Oliveira - Legislação Educacional/a - Nota Máxima: 10")</f>
        <v>#FPEEF- Formação Pedagógica Educação Física - #FPEEF- Formação Pedagógica Educação Física - Ênio Richard Goulart de Oliveira - Legislação Educacional/a - Nota Máxima: 10</v>
      </c>
    </row>
    <row r="2021">
      <c r="A2021" s="390" t="str">
        <f>IFERROR(__xludf.DUMMYFUNCTION("""COMPUTED_VALUE"""),"#FPEEF- Formação Pedagógica Educação Física - #FPEEF- Formação Pedagógica Educação Física - Ênio Richard Goulart de Oliveira - Legislação Educacional/a - Nota Máxima: 10")</f>
        <v>#FPEEF- Formação Pedagógica Educação Física - #FPEEF- Formação Pedagógica Educação Física - Ênio Richard Goulart de Oliveira - Legislação Educacional/a - Nota Máxima: 10</v>
      </c>
    </row>
    <row r="2022">
      <c r="A2022" s="390" t="str">
        <f>IFERROR(__xludf.DUMMYFUNCTION("""COMPUTED_VALUE"""),"#FPEEF- Formação Pedagógica Educação Física - #FPEEF- Formação Pedagógica Educação Física - Ênio Richard Goulart de Oliveira - Planejamento, Gestão Educacional e Currículo/a - Nota Máxima: 10")</f>
        <v>#FPEEF- Formação Pedagógica Educação Física - #FPEEF- Formação Pedagógica Educação Física - Ênio Richard Goulart de Oliveira - Planejamento, Gestão Educacional e Currículo/a - Nota Máxima: 10</v>
      </c>
    </row>
    <row r="2023">
      <c r="A2023" s="390" t="str">
        <f>IFERROR(__xludf.DUMMYFUNCTION("""COMPUTED_VALUE"""),"#FPEEF- Formação Pedagógica Educação Física - #FPEEF- Formação Pedagógica Educação Física - Ênio Richard Goulart de Oliveira - Planejamento, Gestão Educacional e Currículo/a - Nota Máxima: 10")</f>
        <v>#FPEEF- Formação Pedagógica Educação Física - #FPEEF- Formação Pedagógica Educação Física - Ênio Richard Goulart de Oliveira - Planejamento, Gestão Educacional e Currículo/a - Nota Máxima: 10</v>
      </c>
    </row>
    <row r="2024">
      <c r="A2024" s="390" t="str">
        <f>IFERROR(__xludf.DUMMYFUNCTION("""COMPUTED_VALUE"""),"#FPEEF- Formação Pedagógica Educação Física - #FPEEF- Formação Pedagógica Educação Física - Ênio Richard Goulart de Oliveira - Práticas Corporais Adaptadas para Grupos Especiais/a - Nota Máxima: 10")</f>
        <v>#FPEEF- Formação Pedagógica Educação Física - #FPEEF- Formação Pedagógica Educação Física - Ênio Richard Goulart de Oliveira - Práticas Corporais Adaptadas para Grupos Especiais/a - Nota Máxima: 10</v>
      </c>
    </row>
    <row r="2025">
      <c r="A2025" s="390" t="str">
        <f>IFERROR(__xludf.DUMMYFUNCTION("""COMPUTED_VALUE"""),"#FPEEF- Formação Pedagógica Educação Física - #FPEEF- Formação Pedagógica Educação Física - Ênio Richard Goulart de Oliveira - Práticas Corporais Adaptadas para Grupos Especiais/a - Nota Máxima: 9")</f>
        <v>#FPEEF- Formação Pedagógica Educação Física - #FPEEF- Formação Pedagógica Educação Física - Ênio Richard Goulart de Oliveira - Práticas Corporais Adaptadas para Grupos Especiais/a - Nota Máxima: 9</v>
      </c>
    </row>
    <row r="2026">
      <c r="A2026" s="390" t="str">
        <f>IFERROR(__xludf.DUMMYFUNCTION("""COMPUTED_VALUE"""),"#FPEEF- Formação Pedagógica Educação Física - #FPEEF- Formação Pedagógica Educação Física - Ênio Richard Goulart de Oliveira - Práticas Pedagógicas - 400 Horas - Nota Máxima: 10")</f>
        <v>#FPEEF- Formação Pedagógica Educação Física - #FPEEF- Formação Pedagógica Educação Física - Ênio Richard Goulart de Oliveira - Práticas Pedagógicas - 400 Horas - Nota Máxima: 10</v>
      </c>
    </row>
    <row r="2027">
      <c r="A2027" s="390" t="str">
        <f>IFERROR(__xludf.DUMMYFUNCTION("""COMPUTED_VALUE"""),"#FPEEF- Formação Pedagógica Educação Física - #FPEEF- Formação Pedagógica Educação Física - Ênio Richard Goulart de Oliveira - Práticas Pedagógicas - 400 Horas - Nota Máxima: 10")</f>
        <v>#FPEEF- Formação Pedagógica Educação Física - #FPEEF- Formação Pedagógica Educação Física - Ênio Richard Goulart de Oliveira - Práticas Pedagógicas - 400 Horas - Nota Máxima: 10</v>
      </c>
    </row>
    <row r="2028">
      <c r="A2028" s="390" t="str">
        <f>IFERROR(__xludf.DUMMYFUNCTION("""COMPUTED_VALUE"""),"#FPEEF- Formação Pedagógica Educação Física - #FPEEF- Formação Pedagógica Educação Física - Ênio Richard Goulart de Oliveira - Psicologia da Educação/a - Nota Máxima: 10")</f>
        <v>#FPEEF- Formação Pedagógica Educação Física - #FPEEF- Formação Pedagógica Educação Física - Ênio Richard Goulart de Oliveira - Psicologia da Educação/a - Nota Máxima: 10</v>
      </c>
    </row>
    <row r="2029">
      <c r="A2029" s="390" t="str">
        <f>IFERROR(__xludf.DUMMYFUNCTION("""COMPUTED_VALUE"""),"#FPEEF- Formação Pedagógica Educação Física - #FPEEF- Formação Pedagógica Educação Física - Ênio Richard Goulart de Oliveira - Psicologia da Educação/a - Nota Máxima: 8")</f>
        <v>#FPEEF- Formação Pedagógica Educação Física - #FPEEF- Formação Pedagógica Educação Física - Ênio Richard Goulart de Oliveira - Psicologia da Educação/a - Nota Máxima: 8</v>
      </c>
    </row>
    <row r="2030">
      <c r="A2030" s="390" t="str">
        <f>IFERROR(__xludf.DUMMYFUNCTION("""COMPUTED_VALUE"""),"#FPEEF- Formação Pedagógica Educação Física - #FPEEF- Formação Pedagógica Educação Física - Antonio Clesivan da Silva - Cultura e Diversidade - Nota Máxima: 10")</f>
        <v>#FPEEF- Formação Pedagógica Educação Física - #FPEEF- Formação Pedagógica Educação Física - Antonio Clesivan da Silva - Cultura e Diversidade - Nota Máxima: 10</v>
      </c>
    </row>
    <row r="2031">
      <c r="A2031" s="390" t="str">
        <f>IFERROR(__xludf.DUMMYFUNCTION("""COMPUTED_VALUE"""),"#FPEEF- Formação Pedagógica Educação Física - #FPEEF- Formação Pedagógica Educação Física - Antonio Clesivan da Silva - Cultura e Diversidade - Nota Máxima: 8")</f>
        <v>#FPEEF- Formação Pedagógica Educação Física - #FPEEF- Formação Pedagógica Educação Física - Antonio Clesivan da Silva - Cultura e Diversidade - Nota Máxima: 8</v>
      </c>
    </row>
    <row r="2032">
      <c r="A2032" s="390" t="str">
        <f>IFERROR(__xludf.DUMMYFUNCTION("""COMPUTED_VALUE"""),"#FPEEF- Formação Pedagógica Educação Física - #FPEEF- Formação Pedagógica Educação Física - Antonio Clesivan da Silva - Deficiência Auditiva e Libras/a - Nota Máxima: 9")</f>
        <v>#FPEEF- Formação Pedagógica Educação Física - #FPEEF- Formação Pedagógica Educação Física - Antonio Clesivan da Silva - Deficiência Auditiva e Libras/a - Nota Máxima: 9</v>
      </c>
    </row>
    <row r="2033">
      <c r="A2033" s="390" t="str">
        <f>IFERROR(__xludf.DUMMYFUNCTION("""COMPUTED_VALUE"""),"#FPEEF- Formação Pedagógica Educação Física - #FPEEF- Formação Pedagógica Educação Física - Antonio Clesivan da Silva - Deficiência Auditiva e Libras/a - Nota Máxima: 9")</f>
        <v>#FPEEF- Formação Pedagógica Educação Física - #FPEEF- Formação Pedagógica Educação Física - Antonio Clesivan da Silva - Deficiência Auditiva e Libras/a - Nota Máxima: 9</v>
      </c>
    </row>
    <row r="2034">
      <c r="A2034" s="390" t="str">
        <f>IFERROR(__xludf.DUMMYFUNCTION("""COMPUTED_VALUE"""),"#FPEEF- Formação Pedagógica Educação Física - #FPEEF- Formação Pedagógica Educação Física - Antonio Clesivan da Silva - Educação em Direitos Humanos/a - Nota Máxima: 9")</f>
        <v>#FPEEF- Formação Pedagógica Educação Física - #FPEEF- Formação Pedagógica Educação Física - Antonio Clesivan da Silva - Educação em Direitos Humanos/a - Nota Máxima: 9</v>
      </c>
    </row>
    <row r="2035">
      <c r="A2035" s="390" t="str">
        <f>IFERROR(__xludf.DUMMYFUNCTION("""COMPUTED_VALUE"""),"#FPEEF- Formação Pedagógica Educação Física - #FPEEF- Formação Pedagógica Educação Física - Antonio Clesivan da Silva - Educação Especial em Educação Física - Nota Máxima: 10")</f>
        <v>#FPEEF- Formação Pedagógica Educação Física - #FPEEF- Formação Pedagógica Educação Física - Antonio Clesivan da Silva - Educação Especial em Educação Física - Nota Máxima: 10</v>
      </c>
    </row>
    <row r="2036">
      <c r="A2036" s="390" t="str">
        <f>IFERROR(__xludf.DUMMYFUNCTION("""COMPUTED_VALUE"""),"#FPEEF- Formação Pedagógica Educação Física - #FPEEF- Formação Pedagógica Educação Física - Antonio Clesivan da Silva - Educação Especial em Educação Física - Nota Máxima: 4")</f>
        <v>#FPEEF- Formação Pedagógica Educação Física - #FPEEF- Formação Pedagógica Educação Física - Antonio Clesivan da Silva - Educação Especial em Educação Física - Nota Máxima: 4</v>
      </c>
    </row>
    <row r="2037">
      <c r="A2037" s="390" t="str">
        <f>IFERROR(__xludf.DUMMYFUNCTION("""COMPUTED_VALUE"""),"#FPEEF- Formação Pedagógica Educação Física - #FPEEF- Formação Pedagógica Educação Física - Antonio Clesivan da Silva - Educação Especial, Inclusão Escolar e Adaptações Curriculares - Nota Máxima: 10")</f>
        <v>#FPEEF- Formação Pedagógica Educação Física - #FPEEF- Formação Pedagógica Educação Física - Antonio Clesivan da Silva - Educação Especial, Inclusão Escolar e Adaptações Curriculares - Nota Máxima: 10</v>
      </c>
    </row>
    <row r="2038">
      <c r="A2038" s="390" t="str">
        <f>IFERROR(__xludf.DUMMYFUNCTION("""COMPUTED_VALUE"""),"#FPEEF- Formação Pedagógica Educação Física - #FPEEF- Formação Pedagógica Educação Física - Antonio Clesivan da Silva - Educação Especial, Inclusão Escolar e Adaptações Curriculares - Nota Máxima: 9")</f>
        <v>#FPEEF- Formação Pedagógica Educação Física - #FPEEF- Formação Pedagógica Educação Física - Antonio Clesivan da Silva - Educação Especial, Inclusão Escolar e Adaptações Curriculares - Nota Máxima: 9</v>
      </c>
    </row>
    <row r="2039">
      <c r="A2039" s="390" t="str">
        <f>IFERROR(__xludf.DUMMYFUNCTION("""COMPUTED_VALUE"""),"#FPEEF- Formação Pedagógica Educação Física - #FPEEF- Formação Pedagógica Educação Física - Antonio Clesivan da Silva - Legislação e Políticas para Educação Inclusiva e Especial - Nota Máxima: 10")</f>
        <v>#FPEEF- Formação Pedagógica Educação Física - #FPEEF- Formação Pedagógica Educação Física - Antonio Clesivan da Silva - Legislação e Políticas para Educação Inclusiva e Especial - Nota Máxima: 10</v>
      </c>
    </row>
    <row r="2040">
      <c r="A2040" s="390" t="str">
        <f>IFERROR(__xludf.DUMMYFUNCTION("""COMPUTED_VALUE"""),"#FPEEF- Formação Pedagógica Educação Física - #FPEEF- Formação Pedagógica Educação Física - Antonio Clesivan da Silva - Legislação e Políticas para Educação Inclusiva e Especial - Nota Máxima: 7")</f>
        <v>#FPEEF- Formação Pedagógica Educação Física - #FPEEF- Formação Pedagógica Educação Física - Antonio Clesivan da Silva - Legislação e Políticas para Educação Inclusiva e Especial - Nota Máxima: 7</v>
      </c>
    </row>
    <row r="2041">
      <c r="A2041" s="390" t="str">
        <f>IFERROR(__xludf.DUMMYFUNCTION("""COMPUTED_VALUE"""),"#FPEEF- Formação Pedagógica Educação Física - #FPEEF- Formação Pedagógica Educação Física - Antonio Clesivan da Silva - Legislação Educacional/a - Nota Máxima: 9")</f>
        <v>#FPEEF- Formação Pedagógica Educação Física - #FPEEF- Formação Pedagógica Educação Física - Antonio Clesivan da Silva - Legislação Educacional/a - Nota Máxima: 9</v>
      </c>
    </row>
    <row r="2042">
      <c r="A2042" s="390" t="str">
        <f>IFERROR(__xludf.DUMMYFUNCTION("""COMPUTED_VALUE"""),"#FPEEF- Formação Pedagógica Educação Física - #FPEEF- Formação Pedagógica Educação Física - Antonio Clesivan da Silva - Legislação Educacional/a - Nota Máxima: 7")</f>
        <v>#FPEEF- Formação Pedagógica Educação Física - #FPEEF- Formação Pedagógica Educação Física - Antonio Clesivan da Silva - Legislação Educacional/a - Nota Máxima: 7</v>
      </c>
    </row>
    <row r="2043">
      <c r="A2043" s="390" t="str">
        <f>IFERROR(__xludf.DUMMYFUNCTION("""COMPUTED_VALUE"""),"#FPEEF- Formação Pedagógica Educação Física - #FPEEF- Formação Pedagógica Educação Física - Antonio Clesivan da Silva - Planejamento, Gestão Educacional e Currículo/a - Nota Máxima: 10")</f>
        <v>#FPEEF- Formação Pedagógica Educação Física - #FPEEF- Formação Pedagógica Educação Física - Antonio Clesivan da Silva - Planejamento, Gestão Educacional e Currículo/a - Nota Máxima: 10</v>
      </c>
    </row>
    <row r="2044">
      <c r="A2044" s="390" t="str">
        <f>IFERROR(__xludf.DUMMYFUNCTION("""COMPUTED_VALUE"""),"#FPEEF- Formação Pedagógica Educação Física - #FPEEF- Formação Pedagógica Educação Física - Antonio Clesivan da Silva - Planejamento, Gestão Educacional e Currículo/a - Nota Máxima: 9")</f>
        <v>#FPEEF- Formação Pedagógica Educação Física - #FPEEF- Formação Pedagógica Educação Física - Antonio Clesivan da Silva - Planejamento, Gestão Educacional e Currículo/a - Nota Máxima: 9</v>
      </c>
    </row>
    <row r="2045">
      <c r="A2045" s="390" t="str">
        <f>IFERROR(__xludf.DUMMYFUNCTION("""COMPUTED_VALUE"""),"#FPEEF- Formação Pedagógica Educação Física - #FPEEF- Formação Pedagógica Educação Física - Antonio Clesivan da Silva - Práticas Corporais Adaptadas para Grupos Especiais/a - Nota Máxima: 10")</f>
        <v>#FPEEF- Formação Pedagógica Educação Física - #FPEEF- Formação Pedagógica Educação Física - Antonio Clesivan da Silva - Práticas Corporais Adaptadas para Grupos Especiais/a - Nota Máxima: 10</v>
      </c>
    </row>
    <row r="2046">
      <c r="A2046" s="390" t="str">
        <f>IFERROR(__xludf.DUMMYFUNCTION("""COMPUTED_VALUE"""),"#FPEEF- Formação Pedagógica Educação Física - #FPEEF- Formação Pedagógica Educação Física - Antonio Clesivan da Silva - Práticas Corporais Adaptadas para Grupos Especiais/a - Nota Máxima: 10")</f>
        <v>#FPEEF- Formação Pedagógica Educação Física - #FPEEF- Formação Pedagógica Educação Física - Antonio Clesivan da Silva - Práticas Corporais Adaptadas para Grupos Especiais/a - Nota Máxima: 10</v>
      </c>
    </row>
    <row r="2047">
      <c r="A2047" s="390" t="str">
        <f>IFERROR(__xludf.DUMMYFUNCTION("""COMPUTED_VALUE"""),"#FPEEF- Formação Pedagógica Educação Física - #FPEEF- Formação Pedagógica Educação Física - Antonio Clesivan da Silva - Psicologia da Educação/a - Nota Máxima: 10")</f>
        <v>#FPEEF- Formação Pedagógica Educação Física - #FPEEF- Formação Pedagógica Educação Física - Antonio Clesivan da Silva - Psicologia da Educação/a - Nota Máxima: 10</v>
      </c>
    </row>
    <row r="2048">
      <c r="A2048" s="390" t="str">
        <f>IFERROR(__xludf.DUMMYFUNCTION("""COMPUTED_VALUE"""),"#FPEEF- Formação Pedagógica Educação Física - #FPEEF- Formação Pedagógica Educação Física - Raícza Victória Tricarico Ferreira Tancredo - Deficiência Auditiva e Libras/a - Nota Máxima: 10")</f>
        <v>#FPEEF- Formação Pedagógica Educação Física - #FPEEF- Formação Pedagógica Educação Física - Raícza Victória Tricarico Ferreira Tancredo - Deficiência Auditiva e Libras/a - Nota Máxima: 10</v>
      </c>
    </row>
    <row r="2049">
      <c r="A2049" s="390" t="str">
        <f>IFERROR(__xludf.DUMMYFUNCTION("""COMPUTED_VALUE"""),"#FPEEF- Formação Pedagógica Educação Física - #FPEEF- Formação Pedagógica Educação Física - Raícza Victória Tricarico Ferreira Tancredo - Deficiência Auditiva e Libras/a - Nota Máxima: 9")</f>
        <v>#FPEEF- Formação Pedagógica Educação Física - #FPEEF- Formação Pedagógica Educação Física - Raícza Victória Tricarico Ferreira Tancredo - Deficiência Auditiva e Libras/a - Nota Máxima: 9</v>
      </c>
    </row>
    <row r="2050">
      <c r="A2050" s="390" t="str">
        <f>IFERROR(__xludf.DUMMYFUNCTION("""COMPUTED_VALUE"""),"#FPEEF- Formação Pedagógica Educação Física - #FPEEF- Formação Pedagógica Educação Física - Gilmar Sousa da Silva - Atuação Docente na Educação Inclusiva - Nota Máxima: 8")</f>
        <v>#FPEEF- Formação Pedagógica Educação Física - #FPEEF- Formação Pedagógica Educação Física - Gilmar Sousa da Silva - Atuação Docente na Educação Inclusiva - Nota Máxima: 8</v>
      </c>
    </row>
    <row r="2051">
      <c r="A2051" s="390" t="str">
        <f>IFERROR(__xludf.DUMMYFUNCTION("""COMPUTED_VALUE"""),"#FPEEF- Formação Pedagógica Educação Física - #FPEEF- Formação Pedagógica Educação Física - Gilmar Sousa da Silva - Cultura e Diversidade - Nota Máxima: 9")</f>
        <v>#FPEEF- Formação Pedagógica Educação Física - #FPEEF- Formação Pedagógica Educação Física - Gilmar Sousa da Silva - Cultura e Diversidade - Nota Máxima: 9</v>
      </c>
    </row>
    <row r="2052">
      <c r="A2052" s="390" t="str">
        <f>IFERROR(__xludf.DUMMYFUNCTION("""COMPUTED_VALUE"""),"#FPEEF- Formação Pedagógica Educação Física - #FPEEF- Formação Pedagógica Educação Física - Gilmar Sousa da Silva - Deficiência Auditiva e Libras/a - Nota Máxima: 8")</f>
        <v>#FPEEF- Formação Pedagógica Educação Física - #FPEEF- Formação Pedagógica Educação Física - Gilmar Sousa da Silva - Deficiência Auditiva e Libras/a - Nota Máxima: 8</v>
      </c>
    </row>
    <row r="2053">
      <c r="A2053" s="390" t="str">
        <f>IFERROR(__xludf.DUMMYFUNCTION("""COMPUTED_VALUE"""),"#FPEEF- Formação Pedagógica Educação Física - #FPEEF- Formação Pedagógica Educação Física - Gilmar Sousa da Silva - Educação em Direitos Humanos/a - Nota Máxima: 10")</f>
        <v>#FPEEF- Formação Pedagógica Educação Física - #FPEEF- Formação Pedagógica Educação Física - Gilmar Sousa da Silva - Educação em Direitos Humanos/a - Nota Máxima: 10</v>
      </c>
    </row>
    <row r="2054">
      <c r="A2054" s="390" t="str">
        <f>IFERROR(__xludf.DUMMYFUNCTION("""COMPUTED_VALUE"""),"#FPEEF- Formação Pedagógica Educação Física - #FPEEF- Formação Pedagógica Educação Física - Gilmar Sousa da Silva - Educação Especial em Educação Física - Nota Máxima: 9")</f>
        <v>#FPEEF- Formação Pedagógica Educação Física - #FPEEF- Formação Pedagógica Educação Física - Gilmar Sousa da Silva - Educação Especial em Educação Física - Nota Máxima: 9</v>
      </c>
    </row>
    <row r="2055">
      <c r="A2055" s="390" t="str">
        <f>IFERROR(__xludf.DUMMYFUNCTION("""COMPUTED_VALUE"""),"#FPEEF- Formação Pedagógica Educação Física - #FPEEF- Formação Pedagógica Educação Física - Gilmar Sousa da Silva - Educação Especial, Inclusão Escolar e Adaptações Curriculares - Nota Máxima: 10")</f>
        <v>#FPEEF- Formação Pedagógica Educação Física - #FPEEF- Formação Pedagógica Educação Física - Gilmar Sousa da Silva - Educação Especial, Inclusão Escolar e Adaptações Curriculares - Nota Máxima: 10</v>
      </c>
    </row>
    <row r="2056">
      <c r="A2056" s="390" t="str">
        <f>IFERROR(__xludf.DUMMYFUNCTION("""COMPUTED_VALUE"""),"#FPEEF- Formação Pedagógica Educação Física - #FPEEF- Formação Pedagógica Educação Física - Gilmar Sousa da Silva - Fundamentos Pedagógicos dos Esportes e das Atividades Físicas - Nota Máxima: 10")</f>
        <v>#FPEEF- Formação Pedagógica Educação Física - #FPEEF- Formação Pedagógica Educação Física - Gilmar Sousa da Silva - Fundamentos Pedagógicos dos Esportes e das Atividades Físicas - Nota Máxima: 10</v>
      </c>
    </row>
    <row r="2057">
      <c r="A2057" s="390" t="str">
        <f>IFERROR(__xludf.DUMMYFUNCTION("""COMPUTED_VALUE"""),"#FPEEF- Formação Pedagógica Educação Física - #FPEEF- Formação Pedagógica Educação Física - Gilmar Sousa da Silva - Introdução à Neurociência e Neuroeducação - Nota Máxima: 9")</f>
        <v>#FPEEF- Formação Pedagógica Educação Física - #FPEEF- Formação Pedagógica Educação Física - Gilmar Sousa da Silva - Introdução à Neurociência e Neuroeducação - Nota Máxima: 9</v>
      </c>
    </row>
    <row r="2058">
      <c r="A2058" s="390" t="str">
        <f>IFERROR(__xludf.DUMMYFUNCTION("""COMPUTED_VALUE"""),"#FPEEF- Formação Pedagógica Educação Física - #FPEEF- Formação Pedagógica Educação Física - Gilmar Sousa da Silva - Legislação e Políticas para Educação Inclusiva e Especial - Nota Máxima: 8")</f>
        <v>#FPEEF- Formação Pedagógica Educação Física - #FPEEF- Formação Pedagógica Educação Física - Gilmar Sousa da Silva - Legislação e Políticas para Educação Inclusiva e Especial - Nota Máxima: 8</v>
      </c>
    </row>
    <row r="2059">
      <c r="A2059" s="390" t="str">
        <f>IFERROR(__xludf.DUMMYFUNCTION("""COMPUTED_VALUE"""),"#FPEEF- Formação Pedagógica Educação Física - #FPEEF- Formação Pedagógica Educação Física - Gilmar Sousa da Silva - Legislação Educacional/a - Nota Máxima: 10")</f>
        <v>#FPEEF- Formação Pedagógica Educação Física - #FPEEF- Formação Pedagógica Educação Física - Gilmar Sousa da Silva - Legislação Educacional/a - Nota Máxima: 10</v>
      </c>
    </row>
    <row r="2060">
      <c r="A2060" s="390" t="str">
        <f>IFERROR(__xludf.DUMMYFUNCTION("""COMPUTED_VALUE"""),"#FPEEF- Formação Pedagógica Educação Física - #FPEEF- Formação Pedagógica Educação Física - Gilmar Sousa da Silva - Planejamento, Gestão Educacional e Currículo/a - Nota Máxima: 9")</f>
        <v>#FPEEF- Formação Pedagógica Educação Física - #FPEEF- Formação Pedagógica Educação Física - Gilmar Sousa da Silva - Planejamento, Gestão Educacional e Currículo/a - Nota Máxima: 9</v>
      </c>
    </row>
    <row r="2061">
      <c r="A2061" s="390" t="str">
        <f>IFERROR(__xludf.DUMMYFUNCTION("""COMPUTED_VALUE"""),"#FPEEF- Formação Pedagógica Educação Física - #FPEEF- Formação Pedagógica Educação Física - Gilmar Sousa da Silva - Práticas Corporais Adaptadas para Grupos Especiais/a - Nota Máxima: 9")</f>
        <v>#FPEEF- Formação Pedagógica Educação Física - #FPEEF- Formação Pedagógica Educação Física - Gilmar Sousa da Silva - Práticas Corporais Adaptadas para Grupos Especiais/a - Nota Máxima: 9</v>
      </c>
    </row>
    <row r="2062">
      <c r="A2062" s="390" t="str">
        <f>IFERROR(__xludf.DUMMYFUNCTION("""COMPUTED_VALUE"""),"#FPEEF- Formação Pedagógica Educação Física - #FPEEF- Formação Pedagógica Educação Física - Gilmar Sousa da Silva - Psicologia da Educação/a - Nota Máxima: 10")</f>
        <v>#FPEEF- Formação Pedagógica Educação Física - #FPEEF- Formação Pedagógica Educação Física - Gilmar Sousa da Silva - Psicologia da Educação/a - Nota Máxima: 10</v>
      </c>
    </row>
    <row r="2063">
      <c r="A2063" s="390" t="str">
        <f>IFERROR(__xludf.DUMMYFUNCTION("""COMPUTED_VALUE"""),"#FPEEF- Formação Pedagógica Educação Física - #FPEEF- Formação Pedagógica Educação Física - Ricardo Militão de Lima - Atuação Docente na Educação Inclusiva - Nota Máxima: 10")</f>
        <v>#FPEEF- Formação Pedagógica Educação Física - #FPEEF- Formação Pedagógica Educação Física - Ricardo Militão de Lima - Atuação Docente na Educação Inclusiva - Nota Máxima: 10</v>
      </c>
    </row>
    <row r="2064">
      <c r="A2064" s="390" t="str">
        <f>IFERROR(__xludf.DUMMYFUNCTION("""COMPUTED_VALUE"""),"#FPEEF- Formação Pedagógica Educação Física - #FPEEF- Formação Pedagógica Educação Física - Ricardo Militão de Lima - Atuação Docente na Educação Inclusiva - Nota Máxima: 10")</f>
        <v>#FPEEF- Formação Pedagógica Educação Física - #FPEEF- Formação Pedagógica Educação Física - Ricardo Militão de Lima - Atuação Docente na Educação Inclusiva - Nota Máxima: 10</v>
      </c>
    </row>
    <row r="2065">
      <c r="A2065" s="390" t="str">
        <f>IFERROR(__xludf.DUMMYFUNCTION("""COMPUTED_VALUE"""),"#FPEEF- Formação Pedagógica Educação Física - #FPEEF- Formação Pedagógica Educação Física - Ricardo Militão de Lima - Cultura e Diversidade - Nota Máxima: 10")</f>
        <v>#FPEEF- Formação Pedagógica Educação Física - #FPEEF- Formação Pedagógica Educação Física - Ricardo Militão de Lima - Cultura e Diversidade - Nota Máxima: 10</v>
      </c>
    </row>
    <row r="2066">
      <c r="A2066" s="390" t="str">
        <f>IFERROR(__xludf.DUMMYFUNCTION("""COMPUTED_VALUE"""),"#FPEEF- Formação Pedagógica Educação Física - #FPEEF- Formação Pedagógica Educação Física - Ricardo Militão de Lima - Cultura e Diversidade - Nota Máxima: 9")</f>
        <v>#FPEEF- Formação Pedagógica Educação Física - #FPEEF- Formação Pedagógica Educação Física - Ricardo Militão de Lima - Cultura e Diversidade - Nota Máxima: 9</v>
      </c>
    </row>
    <row r="2067">
      <c r="A2067" s="390" t="str">
        <f>IFERROR(__xludf.DUMMYFUNCTION("""COMPUTED_VALUE"""),"#FPEEF- Formação Pedagógica Educação Física - #FPEEF- Formação Pedagógica Educação Física - Ricardo Militão de Lima - Deficiência Auditiva e Libras/a - Nota Máxima: 10")</f>
        <v>#FPEEF- Formação Pedagógica Educação Física - #FPEEF- Formação Pedagógica Educação Física - Ricardo Militão de Lima - Deficiência Auditiva e Libras/a - Nota Máxima: 10</v>
      </c>
    </row>
    <row r="2068">
      <c r="A2068" s="390" t="str">
        <f>IFERROR(__xludf.DUMMYFUNCTION("""COMPUTED_VALUE"""),"#FPEEF- Formação Pedagógica Educação Física - #FPEEF- Formação Pedagógica Educação Física - Ricardo Militão de Lima - Deficiência Auditiva e Libras/a - Nota Máxima: 10")</f>
        <v>#FPEEF- Formação Pedagógica Educação Física - #FPEEF- Formação Pedagógica Educação Física - Ricardo Militão de Lima - Deficiência Auditiva e Libras/a - Nota Máxima: 10</v>
      </c>
    </row>
    <row r="2069">
      <c r="A2069" s="390" t="str">
        <f>IFERROR(__xludf.DUMMYFUNCTION("""COMPUTED_VALUE"""),"#FPEEF- Formação Pedagógica Educação Física - #FPEEF- Formação Pedagógica Educação Física - Ricardo Militão de Lima - Educação em Direitos Humanos/a - Nota Máxima: 10")</f>
        <v>#FPEEF- Formação Pedagógica Educação Física - #FPEEF- Formação Pedagógica Educação Física - Ricardo Militão de Lima - Educação em Direitos Humanos/a - Nota Máxima: 10</v>
      </c>
    </row>
    <row r="2070">
      <c r="A2070" s="390" t="str">
        <f>IFERROR(__xludf.DUMMYFUNCTION("""COMPUTED_VALUE"""),"#FPEEF- Formação Pedagógica Educação Física - #FPEEF- Formação Pedagógica Educação Física - Ricardo Militão de Lima - Educação em Direitos Humanos/a - Nota Máxima: 10")</f>
        <v>#FPEEF- Formação Pedagógica Educação Física - #FPEEF- Formação Pedagógica Educação Física - Ricardo Militão de Lima - Educação em Direitos Humanos/a - Nota Máxima: 10</v>
      </c>
    </row>
    <row r="2071">
      <c r="A2071" s="390" t="str">
        <f>IFERROR(__xludf.DUMMYFUNCTION("""COMPUTED_VALUE"""),"#FPEEF- Formação Pedagógica Educação Física - #FPEEF- Formação Pedagógica Educação Física - Ricardo Militão de Lima - Educação Especial em Educação Física - Nota Máxima: 10")</f>
        <v>#FPEEF- Formação Pedagógica Educação Física - #FPEEF- Formação Pedagógica Educação Física - Ricardo Militão de Lima - Educação Especial em Educação Física - Nota Máxima: 10</v>
      </c>
    </row>
    <row r="2072">
      <c r="A2072" s="390" t="str">
        <f>IFERROR(__xludf.DUMMYFUNCTION("""COMPUTED_VALUE"""),"#FPEEF- Formação Pedagógica Educação Física - #FPEEF- Formação Pedagógica Educação Física - Ricardo Militão de Lima - Educação Especial em Educação Física - Nota Máxima: 10")</f>
        <v>#FPEEF- Formação Pedagógica Educação Física - #FPEEF- Formação Pedagógica Educação Física - Ricardo Militão de Lima - Educação Especial em Educação Física - Nota Máxima: 10</v>
      </c>
    </row>
    <row r="2073">
      <c r="A2073" s="390" t="str">
        <f>IFERROR(__xludf.DUMMYFUNCTION("""COMPUTED_VALUE"""),"#FPEEF- Formação Pedagógica Educação Física - #FPEEF- Formação Pedagógica Educação Física - Ricardo Militão de Lima - Educação Especial, Inclusão Escolar e Adaptações Curriculares - Nota Máxima: 10")</f>
        <v>#FPEEF- Formação Pedagógica Educação Física - #FPEEF- Formação Pedagógica Educação Física - Ricardo Militão de Lima - Educação Especial, Inclusão Escolar e Adaptações Curriculares - Nota Máxima: 10</v>
      </c>
    </row>
    <row r="2074">
      <c r="A2074" s="390" t="str">
        <f>IFERROR(__xludf.DUMMYFUNCTION("""COMPUTED_VALUE"""),"#FPEEF- Formação Pedagógica Educação Física - #FPEEF- Formação Pedagógica Educação Física - Ricardo Militão de Lima - Educação Especial, Inclusão Escolar e Adaptações Curriculares - Nota Máxima: 10")</f>
        <v>#FPEEF- Formação Pedagógica Educação Física - #FPEEF- Formação Pedagógica Educação Física - Ricardo Militão de Lima - Educação Especial, Inclusão Escolar e Adaptações Curriculares - Nota Máxima: 10</v>
      </c>
    </row>
    <row r="2075">
      <c r="A2075" s="390" t="str">
        <f>IFERROR(__xludf.DUMMYFUNCTION("""COMPUTED_VALUE"""),"#FPEEF- Formação Pedagógica Educação Física - #FPEEF- Formação Pedagógica Educação Física - Ricardo Militão de Lima - Fundamentos Pedagógicos dos Esportes e das Atividades Físicas - Nota Máxima: 10")</f>
        <v>#FPEEF- Formação Pedagógica Educação Física - #FPEEF- Formação Pedagógica Educação Física - Ricardo Militão de Lima - Fundamentos Pedagógicos dos Esportes e das Atividades Físicas - Nota Máxima: 10</v>
      </c>
    </row>
    <row r="2076">
      <c r="A2076" s="390" t="str">
        <f>IFERROR(__xludf.DUMMYFUNCTION("""COMPUTED_VALUE"""),"#FPEEF- Formação Pedagógica Educação Física - #FPEEF- Formação Pedagógica Educação Física - Ricardo Militão de Lima - Fundamentos Pedagógicos dos Esportes e das Atividades Físicas - Nota Máxima: 8")</f>
        <v>#FPEEF- Formação Pedagógica Educação Física - #FPEEF- Formação Pedagógica Educação Física - Ricardo Militão de Lima - Fundamentos Pedagógicos dos Esportes e das Atividades Físicas - Nota Máxima: 8</v>
      </c>
    </row>
    <row r="2077">
      <c r="A2077" s="390" t="str">
        <f>IFERROR(__xludf.DUMMYFUNCTION("""COMPUTED_VALUE"""),"#FPEEF- Formação Pedagógica Educação Física - #FPEEF- Formação Pedagógica Educação Física - Ricardo Militão de Lima - Introdução à Neurociência e Neuroeducação - Nota Máxima: 10")</f>
        <v>#FPEEF- Formação Pedagógica Educação Física - #FPEEF- Formação Pedagógica Educação Física - Ricardo Militão de Lima - Introdução à Neurociência e Neuroeducação - Nota Máxima: 10</v>
      </c>
    </row>
    <row r="2078">
      <c r="A2078" s="390" t="str">
        <f>IFERROR(__xludf.DUMMYFUNCTION("""COMPUTED_VALUE"""),"#FPEEF- Formação Pedagógica Educação Física - #FPEEF- Formação Pedagógica Educação Física - Ricardo Militão de Lima - Introdução à Neurociência e Neuroeducação - Nota Máxima: 8")</f>
        <v>#FPEEF- Formação Pedagógica Educação Física - #FPEEF- Formação Pedagógica Educação Física - Ricardo Militão de Lima - Introdução à Neurociência e Neuroeducação - Nota Máxima: 8</v>
      </c>
    </row>
    <row r="2079">
      <c r="A2079" s="390" t="str">
        <f>IFERROR(__xludf.DUMMYFUNCTION("""COMPUTED_VALUE"""),"#FPEEF- Formação Pedagógica Educação Física - #FPEEF- Formação Pedagógica Educação Física - Ricardo Militão de Lima - Legislação e Políticas para Educação Inclusiva e Especial - Nota Máxima: 10")</f>
        <v>#FPEEF- Formação Pedagógica Educação Física - #FPEEF- Formação Pedagógica Educação Física - Ricardo Militão de Lima - Legislação e Políticas para Educação Inclusiva e Especial - Nota Máxima: 10</v>
      </c>
    </row>
    <row r="2080">
      <c r="A2080" s="390" t="str">
        <f>IFERROR(__xludf.DUMMYFUNCTION("""COMPUTED_VALUE"""),"#FPEEF- Formação Pedagógica Educação Física - #FPEEF- Formação Pedagógica Educação Física - Ricardo Militão de Lima - Legislação e Políticas para Educação Inclusiva e Especial - Nota Máxima: 10")</f>
        <v>#FPEEF- Formação Pedagógica Educação Física - #FPEEF- Formação Pedagógica Educação Física - Ricardo Militão de Lima - Legislação e Políticas para Educação Inclusiva e Especial - Nota Máxima: 10</v>
      </c>
    </row>
    <row r="2081">
      <c r="A2081" s="390" t="str">
        <f>IFERROR(__xludf.DUMMYFUNCTION("""COMPUTED_VALUE"""),"#FPEEF- Formação Pedagógica Educação Física - #FPEEF- Formação Pedagógica Educação Física - Ricardo Militão de Lima - Legislação Educacional/a - Nota Máxima: 10")</f>
        <v>#FPEEF- Formação Pedagógica Educação Física - #FPEEF- Formação Pedagógica Educação Física - Ricardo Militão de Lima - Legislação Educacional/a - Nota Máxima: 10</v>
      </c>
    </row>
    <row r="2082">
      <c r="A2082" s="390" t="str">
        <f>IFERROR(__xludf.DUMMYFUNCTION("""COMPUTED_VALUE"""),"#FPEEF- Formação Pedagógica Educação Física - #FPEEF- Formação Pedagógica Educação Física - Ricardo Militão de Lima - Legislação Educacional/a - Nota Máxima: 8")</f>
        <v>#FPEEF- Formação Pedagógica Educação Física - #FPEEF- Formação Pedagógica Educação Física - Ricardo Militão de Lima - Legislação Educacional/a - Nota Máxima: 8</v>
      </c>
    </row>
    <row r="2083">
      <c r="A2083" s="390" t="str">
        <f>IFERROR(__xludf.DUMMYFUNCTION("""COMPUTED_VALUE"""),"#FPEEF- Formação Pedagógica Educação Física - #FPEEF- Formação Pedagógica Educação Física - Ricardo Militão de Lima - Planejamento, Gestão Educacional e Currículo/a - Nota Máxima: 10")</f>
        <v>#FPEEF- Formação Pedagógica Educação Física - #FPEEF- Formação Pedagógica Educação Física - Ricardo Militão de Lima - Planejamento, Gestão Educacional e Currículo/a - Nota Máxima: 10</v>
      </c>
    </row>
    <row r="2084">
      <c r="A2084" s="390" t="str">
        <f>IFERROR(__xludf.DUMMYFUNCTION("""COMPUTED_VALUE"""),"#FPEEF- Formação Pedagógica Educação Física - #FPEEF- Formação Pedagógica Educação Física - Ricardo Militão de Lima - Planejamento, Gestão Educacional e Currículo/a - Nota Máxima: 9")</f>
        <v>#FPEEF- Formação Pedagógica Educação Física - #FPEEF- Formação Pedagógica Educação Física - Ricardo Militão de Lima - Planejamento, Gestão Educacional e Currículo/a - Nota Máxima: 9</v>
      </c>
    </row>
    <row r="2085">
      <c r="A2085" s="390" t="str">
        <f>IFERROR(__xludf.DUMMYFUNCTION("""COMPUTED_VALUE"""),"#FPEEF- Formação Pedagógica Educação Física - #FPEEF- Formação Pedagógica Educação Física - Ricardo Militão de Lima - Práticas Corporais Adaptadas para Grupos Especiais/a - Nota Máxima: 10")</f>
        <v>#FPEEF- Formação Pedagógica Educação Física - #FPEEF- Formação Pedagógica Educação Física - Ricardo Militão de Lima - Práticas Corporais Adaptadas para Grupos Especiais/a - Nota Máxima: 10</v>
      </c>
    </row>
    <row r="2086">
      <c r="A2086" s="390" t="str">
        <f>IFERROR(__xludf.DUMMYFUNCTION("""COMPUTED_VALUE"""),"#FPEEF- Formação Pedagógica Educação Física - #FPEEF- Formação Pedagógica Educação Física - Ricardo Militão de Lima - Práticas Corporais Adaptadas para Grupos Especiais/a - Nota Máxima: 10")</f>
        <v>#FPEEF- Formação Pedagógica Educação Física - #FPEEF- Formação Pedagógica Educação Física - Ricardo Militão de Lima - Práticas Corporais Adaptadas para Grupos Especiais/a - Nota Máxima: 10</v>
      </c>
    </row>
    <row r="2087">
      <c r="A2087" s="390" t="str">
        <f>IFERROR(__xludf.DUMMYFUNCTION("""COMPUTED_VALUE"""),"#FPEEF- Formação Pedagógica Educação Física - #FPEEF- Formação Pedagógica Educação Física - Ricardo Militão de Lima - Psicologia da Educação/a - Nota Máxima: 10")</f>
        <v>#FPEEF- Formação Pedagógica Educação Física - #FPEEF- Formação Pedagógica Educação Física - Ricardo Militão de Lima - Psicologia da Educação/a - Nota Máxima: 10</v>
      </c>
    </row>
    <row r="2088">
      <c r="A2088" s="390" t="str">
        <f>IFERROR(__xludf.DUMMYFUNCTION("""COMPUTED_VALUE"""),"#FPEEF- Formação Pedagógica Educação Física - #FPEEF- Formação Pedagógica Educação Física - Ricardo Militão de Lima - Psicologia da Educação/a - Nota Máxima: 4")</f>
        <v>#FPEEF- Formação Pedagógica Educação Física - #FPEEF- Formação Pedagógica Educação Física - Ricardo Militão de Lima - Psicologia da Educação/a - Nota Máxima: 4</v>
      </c>
    </row>
    <row r="2089">
      <c r="A2089" s="390" t="str">
        <f>IFERROR(__xludf.DUMMYFUNCTION("""COMPUTED_VALUE"""),"#FPEEF- Formação Pedagógica Educação Física - #FPEEF- Formação Pedagógica Educação Física - Wagner Giongo - Atuação Docente na Educação Inclusiva - Nota Máxima: 10")</f>
        <v>#FPEEF- Formação Pedagógica Educação Física - #FPEEF- Formação Pedagógica Educação Física - Wagner Giongo - Atuação Docente na Educação Inclusiva - Nota Máxima: 10</v>
      </c>
    </row>
    <row r="2090">
      <c r="A2090" s="390" t="str">
        <f>IFERROR(__xludf.DUMMYFUNCTION("""COMPUTED_VALUE"""),"#FPEEF- Formação Pedagógica Educação Física - #FPEEF- Formação Pedagógica Educação Física - Wagner Giongo - Atuação Docente na Educação Inclusiva - Nota Máxima: 9")</f>
        <v>#FPEEF- Formação Pedagógica Educação Física - #FPEEF- Formação Pedagógica Educação Física - Wagner Giongo - Atuação Docente na Educação Inclusiva - Nota Máxima: 9</v>
      </c>
    </row>
    <row r="2091">
      <c r="A2091" s="390" t="str">
        <f>IFERROR(__xludf.DUMMYFUNCTION("""COMPUTED_VALUE"""),"#FPEEF- Formação Pedagógica Educação Física - #FPEEF- Formação Pedagógica Educação Física - Wagner Giongo - Cultura e Diversidade - Nota Máxima: 10")</f>
        <v>#FPEEF- Formação Pedagógica Educação Física - #FPEEF- Formação Pedagógica Educação Física - Wagner Giongo - Cultura e Diversidade - Nota Máxima: 10</v>
      </c>
    </row>
    <row r="2092">
      <c r="A2092" s="390" t="str">
        <f>IFERROR(__xludf.DUMMYFUNCTION("""COMPUTED_VALUE"""),"#FPEEF- Formação Pedagógica Educação Física - #FPEEF- Formação Pedagógica Educação Física - Wagner Giongo - Cultura e Diversidade - Nota Máxima: 7")</f>
        <v>#FPEEF- Formação Pedagógica Educação Física - #FPEEF- Formação Pedagógica Educação Física - Wagner Giongo - Cultura e Diversidade - Nota Máxima: 7</v>
      </c>
    </row>
    <row r="2093">
      <c r="A2093" s="390" t="str">
        <f>IFERROR(__xludf.DUMMYFUNCTION("""COMPUTED_VALUE"""),"#FPEEF- Formação Pedagógica Educação Física - #FPEEF- Formação Pedagógica Educação Física - Wagner Giongo - Deficiência Auditiva e Libras/a - Nota Máxima: 9")</f>
        <v>#FPEEF- Formação Pedagógica Educação Física - #FPEEF- Formação Pedagógica Educação Física - Wagner Giongo - Deficiência Auditiva e Libras/a - Nota Máxima: 9</v>
      </c>
    </row>
    <row r="2094">
      <c r="A2094" s="390" t="str">
        <f>IFERROR(__xludf.DUMMYFUNCTION("""COMPUTED_VALUE"""),"#FPEEF- Formação Pedagógica Educação Física - #FPEEF- Formação Pedagógica Educação Física - Wagner Giongo - Deficiência Auditiva e Libras/a - Nota Máxima: 8")</f>
        <v>#FPEEF- Formação Pedagógica Educação Física - #FPEEF- Formação Pedagógica Educação Física - Wagner Giongo - Deficiência Auditiva e Libras/a - Nota Máxima: 8</v>
      </c>
    </row>
    <row r="2095">
      <c r="A2095" s="390" t="str">
        <f>IFERROR(__xludf.DUMMYFUNCTION("""COMPUTED_VALUE"""),"#FPEEF- Formação Pedagógica Educação Física - #FPEEF- Formação Pedagógica Educação Física - Wagner Giongo - Educação em Direitos Humanos/a - Nota Máxima: 10")</f>
        <v>#FPEEF- Formação Pedagógica Educação Física - #FPEEF- Formação Pedagógica Educação Física - Wagner Giongo - Educação em Direitos Humanos/a - Nota Máxima: 10</v>
      </c>
    </row>
    <row r="2096">
      <c r="A2096" s="390" t="str">
        <f>IFERROR(__xludf.DUMMYFUNCTION("""COMPUTED_VALUE"""),"#FPEEF- Formação Pedagógica Educação Física - #FPEEF- Formação Pedagógica Educação Física - Wagner Giongo - Educação em Direitos Humanos/a - Nota Máxima: 9")</f>
        <v>#FPEEF- Formação Pedagógica Educação Física - #FPEEF- Formação Pedagógica Educação Física - Wagner Giongo - Educação em Direitos Humanos/a - Nota Máxima: 9</v>
      </c>
    </row>
    <row r="2097">
      <c r="A2097" s="390" t="str">
        <f>IFERROR(__xludf.DUMMYFUNCTION("""COMPUTED_VALUE"""),"#FPEEF- Formação Pedagógica Educação Física - #FPEEF- Formação Pedagógica Educação Física - Wagner Giongo - Educação Especial em Educação Física - Nota Máxima: 10")</f>
        <v>#FPEEF- Formação Pedagógica Educação Física - #FPEEF- Formação Pedagógica Educação Física - Wagner Giongo - Educação Especial em Educação Física - Nota Máxima: 10</v>
      </c>
    </row>
    <row r="2098">
      <c r="A2098" s="390" t="str">
        <f>IFERROR(__xludf.DUMMYFUNCTION("""COMPUTED_VALUE"""),"#FPEEF- Formação Pedagógica Educação Física - #FPEEF- Formação Pedagógica Educação Física - Wagner Giongo - Educação Especial em Educação Física - Nota Máxima: 10")</f>
        <v>#FPEEF- Formação Pedagógica Educação Física - #FPEEF- Formação Pedagógica Educação Física - Wagner Giongo - Educação Especial em Educação Física - Nota Máxima: 10</v>
      </c>
    </row>
    <row r="2099">
      <c r="A2099" s="390" t="str">
        <f>IFERROR(__xludf.DUMMYFUNCTION("""COMPUTED_VALUE"""),"#FPEEF- Formação Pedagógica Educação Física - #FPEEF- Formação Pedagógica Educação Física - Wagner Giongo - Educação Especial, Inclusão Escolar e Adaptações Curriculares - Nota Máxima: 10")</f>
        <v>#FPEEF- Formação Pedagógica Educação Física - #FPEEF- Formação Pedagógica Educação Física - Wagner Giongo - Educação Especial, Inclusão Escolar e Adaptações Curriculares - Nota Máxima: 10</v>
      </c>
    </row>
    <row r="2100">
      <c r="A2100" s="390" t="str">
        <f>IFERROR(__xludf.DUMMYFUNCTION("""COMPUTED_VALUE"""),"#FPEEF- Formação Pedagógica Educação Física - #FPEEF- Formação Pedagógica Educação Física - Wagner Giongo - Educação Especial, Inclusão Escolar e Adaptações Curriculares - Nota Máxima: 10")</f>
        <v>#FPEEF- Formação Pedagógica Educação Física - #FPEEF- Formação Pedagógica Educação Física - Wagner Giongo - Educação Especial, Inclusão Escolar e Adaptações Curriculares - Nota Máxima: 10</v>
      </c>
    </row>
    <row r="2101">
      <c r="A2101" s="390" t="str">
        <f>IFERROR(__xludf.DUMMYFUNCTION("""COMPUTED_VALUE"""),"#FPEEF- Formação Pedagógica Educação Física - #FPEEF- Formação Pedagógica Educação Física - Wagner Giongo - Fundamentos Pedagógicos dos Esportes e das Atividades Físicas - Nota Máxima: 10")</f>
        <v>#FPEEF- Formação Pedagógica Educação Física - #FPEEF- Formação Pedagógica Educação Física - Wagner Giongo - Fundamentos Pedagógicos dos Esportes e das Atividades Físicas - Nota Máxima: 10</v>
      </c>
    </row>
    <row r="2102">
      <c r="A2102" s="390" t="str">
        <f>IFERROR(__xludf.DUMMYFUNCTION("""COMPUTED_VALUE"""),"#FPEEF- Formação Pedagógica Educação Física - #FPEEF- Formação Pedagógica Educação Física - Wagner Giongo - Fundamentos Pedagógicos dos Esportes e das Atividades Físicas - Nota Máxima: 9")</f>
        <v>#FPEEF- Formação Pedagógica Educação Física - #FPEEF- Formação Pedagógica Educação Física - Wagner Giongo - Fundamentos Pedagógicos dos Esportes e das Atividades Físicas - Nota Máxima: 9</v>
      </c>
    </row>
    <row r="2103">
      <c r="A2103" s="390" t="str">
        <f>IFERROR(__xludf.DUMMYFUNCTION("""COMPUTED_VALUE"""),"#FPEEF- Formação Pedagógica Educação Física - #FPEEF- Formação Pedagógica Educação Física - Wagner Giongo - Introdução à Neurociência e Neuroeducação - Nota Máxima: 10")</f>
        <v>#FPEEF- Formação Pedagógica Educação Física - #FPEEF- Formação Pedagógica Educação Física - Wagner Giongo - Introdução à Neurociência e Neuroeducação - Nota Máxima: 10</v>
      </c>
    </row>
    <row r="2104">
      <c r="A2104" s="390" t="str">
        <f>IFERROR(__xludf.DUMMYFUNCTION("""COMPUTED_VALUE"""),"#FPEEF- Formação Pedagógica Educação Física - #FPEEF- Formação Pedagógica Educação Física - Wagner Giongo - Legislação e Políticas para Educação Inclusiva e Especial - Nota Máxima: 10")</f>
        <v>#FPEEF- Formação Pedagógica Educação Física - #FPEEF- Formação Pedagógica Educação Física - Wagner Giongo - Legislação e Políticas para Educação Inclusiva e Especial - Nota Máxima: 10</v>
      </c>
    </row>
    <row r="2105">
      <c r="A2105" s="390" t="str">
        <f>IFERROR(__xludf.DUMMYFUNCTION("""COMPUTED_VALUE"""),"#FPEEF- Formação Pedagógica Educação Física - #FPEEF- Formação Pedagógica Educação Física - Wagner Giongo - Legislação e Políticas para Educação Inclusiva e Especial - Nota Máxima: 8")</f>
        <v>#FPEEF- Formação Pedagógica Educação Física - #FPEEF- Formação Pedagógica Educação Física - Wagner Giongo - Legislação e Políticas para Educação Inclusiva e Especial - Nota Máxima: 8</v>
      </c>
    </row>
    <row r="2106">
      <c r="A2106" s="390" t="str">
        <f>IFERROR(__xludf.DUMMYFUNCTION("""COMPUTED_VALUE"""),"#FPEEF- Formação Pedagógica Educação Física - #FPEEF- Formação Pedagógica Educação Física - Wagner Giongo - Legislação Educacional/a - Nota Máxima: 10")</f>
        <v>#FPEEF- Formação Pedagógica Educação Física - #FPEEF- Formação Pedagógica Educação Física - Wagner Giongo - Legislação Educacional/a - Nota Máxima: 10</v>
      </c>
    </row>
    <row r="2107">
      <c r="A2107" s="390" t="str">
        <f>IFERROR(__xludf.DUMMYFUNCTION("""COMPUTED_VALUE"""),"#FPEEF- Formação Pedagógica Educação Física - #FPEEF- Formação Pedagógica Educação Física - Wagner Giongo - Legislação Educacional/a - Nota Máxima: 7")</f>
        <v>#FPEEF- Formação Pedagógica Educação Física - #FPEEF- Formação Pedagógica Educação Física - Wagner Giongo - Legislação Educacional/a - Nota Máxima: 7</v>
      </c>
    </row>
    <row r="2108">
      <c r="A2108" s="390" t="str">
        <f>IFERROR(__xludf.DUMMYFUNCTION("""COMPUTED_VALUE"""),"#FPEEF- Formação Pedagógica Educação Física - #FPEEF- Formação Pedagógica Educação Física - Wagner Giongo - Planejamento, Gestão Educacional e Currículo/a - Nota Máxima: 10")</f>
        <v>#FPEEF- Formação Pedagógica Educação Física - #FPEEF- Formação Pedagógica Educação Física - Wagner Giongo - Planejamento, Gestão Educacional e Currículo/a - Nota Máxima: 10</v>
      </c>
    </row>
    <row r="2109">
      <c r="A2109" s="390" t="str">
        <f>IFERROR(__xludf.DUMMYFUNCTION("""COMPUTED_VALUE"""),"#FPEEF- Formação Pedagógica Educação Física - #FPEEF- Formação Pedagógica Educação Física - Wagner Giongo - Planejamento, Gestão Educacional e Currículo/a - Nota Máxima: 9")</f>
        <v>#FPEEF- Formação Pedagógica Educação Física - #FPEEF- Formação Pedagógica Educação Física - Wagner Giongo - Planejamento, Gestão Educacional e Currículo/a - Nota Máxima: 9</v>
      </c>
    </row>
    <row r="2110">
      <c r="A2110" s="390" t="str">
        <f>IFERROR(__xludf.DUMMYFUNCTION("""COMPUTED_VALUE"""),"#FPEEF- Formação Pedagógica Educação Física - #FPEEF- Formação Pedagógica Educação Física - Wagner Giongo - Práticas Corporais Adaptadas para Grupos Especiais/a - Nota Máxima: 10")</f>
        <v>#FPEEF- Formação Pedagógica Educação Física - #FPEEF- Formação Pedagógica Educação Física - Wagner Giongo - Práticas Corporais Adaptadas para Grupos Especiais/a - Nota Máxima: 10</v>
      </c>
    </row>
    <row r="2111">
      <c r="A2111" s="390" t="str">
        <f>IFERROR(__xludf.DUMMYFUNCTION("""COMPUTED_VALUE"""),"#FPEEF- Formação Pedagógica Educação Física - #FPEEF- Formação Pedagógica Educação Física - Wagner Giongo - Práticas Corporais Adaptadas para Grupos Especiais/a - Nota Máxima: 9")</f>
        <v>#FPEEF- Formação Pedagógica Educação Física - #FPEEF- Formação Pedagógica Educação Física - Wagner Giongo - Práticas Corporais Adaptadas para Grupos Especiais/a - Nota Máxima: 9</v>
      </c>
    </row>
    <row r="2112">
      <c r="A2112" s="390" t="str">
        <f>IFERROR(__xludf.DUMMYFUNCTION("""COMPUTED_VALUE"""),"#FPEEF- Formação Pedagógica Educação Física - #FPEEF- Formação Pedagógica Educação Física - Wagner Giongo - Práticas Pedagógicas - 400 Horas - Nota Máxima: 4")</f>
        <v>#FPEEF- Formação Pedagógica Educação Física - #FPEEF- Formação Pedagógica Educação Física - Wagner Giongo - Práticas Pedagógicas - 400 Horas - Nota Máxima: 4</v>
      </c>
    </row>
    <row r="2113">
      <c r="A2113" s="390" t="str">
        <f>IFERROR(__xludf.DUMMYFUNCTION("""COMPUTED_VALUE"""),"#FPEEF- Formação Pedagógica Educação Física - #FPEEF- Formação Pedagógica Educação Física - Wagner Giongo - Práticas Pedagógicas - 400 Horas - Nota Máxima: 4")</f>
        <v>#FPEEF- Formação Pedagógica Educação Física - #FPEEF- Formação Pedagógica Educação Física - Wagner Giongo - Práticas Pedagógicas - 400 Horas - Nota Máxima: 4</v>
      </c>
    </row>
    <row r="2114">
      <c r="A2114" s="390" t="str">
        <f>IFERROR(__xludf.DUMMYFUNCTION("""COMPUTED_VALUE"""),"#FPEEF- Formação Pedagógica Educação Física - #FPEEF- Formação Pedagógica Educação Física - Wagner Giongo - Psicologia da Educação/a - Nota Máxima: 10")</f>
        <v>#FPEEF- Formação Pedagógica Educação Física - #FPEEF- Formação Pedagógica Educação Física - Wagner Giongo - Psicologia da Educação/a - Nota Máxima: 10</v>
      </c>
    </row>
    <row r="2115">
      <c r="A2115" s="390" t="str">
        <f>IFERROR(__xludf.DUMMYFUNCTION("""COMPUTED_VALUE"""),"#FPEEF- Formação Pedagógica Educação Física - #FPEEF- Formação Pedagógica Educação Física - Wagner Giongo - Psicologia da Educação/a - Nota Máxima: 10")</f>
        <v>#FPEEF- Formação Pedagógica Educação Física - #FPEEF- Formação Pedagógica Educação Física - Wagner Giongo - Psicologia da Educação/a - Nota Máxima: 10</v>
      </c>
    </row>
    <row r="2116">
      <c r="A2116" s="390" t="str">
        <f>IFERROR(__xludf.DUMMYFUNCTION("""COMPUTED_VALUE"""),"#FPEEF- Formação Pedagógica Educação Física - #FPEEF- Formação Pedagógica Educação Física - Ednelson hilario souza - Atuação Docente na Educação Inclusiva - Nota Máxima: 10")</f>
        <v>#FPEEF- Formação Pedagógica Educação Física - #FPEEF- Formação Pedagógica Educação Física - Ednelson hilario souza - Atuação Docente na Educação Inclusiva - Nota Máxima: 10</v>
      </c>
    </row>
    <row r="2117">
      <c r="A2117" s="390" t="str">
        <f>IFERROR(__xludf.DUMMYFUNCTION("""COMPUTED_VALUE"""),"#FPEEF- Formação Pedagógica Educação Física - #FPEEF- Formação Pedagógica Educação Física - Ednelson hilario souza - Atuação Docente na Educação Inclusiva - Nota Máxima: 4")</f>
        <v>#FPEEF- Formação Pedagógica Educação Física - #FPEEF- Formação Pedagógica Educação Física - Ednelson hilario souza - Atuação Docente na Educação Inclusiva - Nota Máxima: 4</v>
      </c>
    </row>
    <row r="2118">
      <c r="A2118" s="390" t="str">
        <f>IFERROR(__xludf.DUMMYFUNCTION("""COMPUTED_VALUE"""),"#FPEEF- Formação Pedagógica Educação Física - #FPEEF- Formação Pedagógica Educação Física - Ednelson hilario souza - Cultura e Diversidade - Nota Máxima: 10")</f>
        <v>#FPEEF- Formação Pedagógica Educação Física - #FPEEF- Formação Pedagógica Educação Física - Ednelson hilario souza - Cultura e Diversidade - Nota Máxima: 10</v>
      </c>
    </row>
    <row r="2119">
      <c r="A2119" s="390" t="str">
        <f>IFERROR(__xludf.DUMMYFUNCTION("""COMPUTED_VALUE"""),"#FPEEF- Formação Pedagógica Educação Física - #FPEEF- Formação Pedagógica Educação Física - Ednelson hilario souza - Cultura e Diversidade - Nota Máxima: 7")</f>
        <v>#FPEEF- Formação Pedagógica Educação Física - #FPEEF- Formação Pedagógica Educação Física - Ednelson hilario souza - Cultura e Diversidade - Nota Máxima: 7</v>
      </c>
    </row>
    <row r="2120">
      <c r="A2120" s="390" t="str">
        <f>IFERROR(__xludf.DUMMYFUNCTION("""COMPUTED_VALUE"""),"#FPEEF- Formação Pedagógica Educação Física - #FPEEF- Formação Pedagógica Educação Física - Ednelson hilario souza - Deficiência Auditiva e Libras/a - Nota Máxima: 10")</f>
        <v>#FPEEF- Formação Pedagógica Educação Física - #FPEEF- Formação Pedagógica Educação Física - Ednelson hilario souza - Deficiência Auditiva e Libras/a - Nota Máxima: 10</v>
      </c>
    </row>
    <row r="2121">
      <c r="A2121" s="390" t="str">
        <f>IFERROR(__xludf.DUMMYFUNCTION("""COMPUTED_VALUE"""),"#FPEEF- Formação Pedagógica Educação Física - #FPEEF- Formação Pedagógica Educação Física - Ednelson hilario souza - Deficiência Auditiva e Libras/a - Nota Máxima: 10")</f>
        <v>#FPEEF- Formação Pedagógica Educação Física - #FPEEF- Formação Pedagógica Educação Física - Ednelson hilario souza - Deficiência Auditiva e Libras/a - Nota Máxima: 10</v>
      </c>
    </row>
    <row r="2122">
      <c r="A2122" s="390" t="str">
        <f>IFERROR(__xludf.DUMMYFUNCTION("""COMPUTED_VALUE"""),"#FPEEF- Formação Pedagógica Educação Física - #FPEEF- Formação Pedagógica Educação Física - Ednelson hilario souza - Educação em Direitos Humanos/a - Nota Máxima: 10")</f>
        <v>#FPEEF- Formação Pedagógica Educação Física - #FPEEF- Formação Pedagógica Educação Física - Ednelson hilario souza - Educação em Direitos Humanos/a - Nota Máxima: 10</v>
      </c>
    </row>
    <row r="2123">
      <c r="A2123" s="390" t="str">
        <f>IFERROR(__xludf.DUMMYFUNCTION("""COMPUTED_VALUE"""),"#FPEEF- Formação Pedagógica Educação Física - #FPEEF- Formação Pedagógica Educação Física - Ednelson hilario souza - Educação em Direitos Humanos/a - Nota Máxima: 9")</f>
        <v>#FPEEF- Formação Pedagógica Educação Física - #FPEEF- Formação Pedagógica Educação Física - Ednelson hilario souza - Educação em Direitos Humanos/a - Nota Máxima: 9</v>
      </c>
    </row>
    <row r="2124">
      <c r="A2124" s="390" t="str">
        <f>IFERROR(__xludf.DUMMYFUNCTION("""COMPUTED_VALUE"""),"#FPEEF- Formação Pedagógica Educação Física - #FPEEF- Formação Pedagógica Educação Física - Ednelson hilario souza - Educação Especial em Educação Física - Nota Máxima: 10")</f>
        <v>#FPEEF- Formação Pedagógica Educação Física - #FPEEF- Formação Pedagógica Educação Física - Ednelson hilario souza - Educação Especial em Educação Física - Nota Máxima: 10</v>
      </c>
    </row>
    <row r="2125">
      <c r="A2125" s="390" t="str">
        <f>IFERROR(__xludf.DUMMYFUNCTION("""COMPUTED_VALUE"""),"#FPEEF- Formação Pedagógica Educação Física - #FPEEF- Formação Pedagógica Educação Física - Ednelson hilario souza - Educação Especial em Educação Física - Nota Máxima: 10")</f>
        <v>#FPEEF- Formação Pedagógica Educação Física - #FPEEF- Formação Pedagógica Educação Física - Ednelson hilario souza - Educação Especial em Educação Física - Nota Máxima: 10</v>
      </c>
    </row>
    <row r="2126">
      <c r="A2126" s="390" t="str">
        <f>IFERROR(__xludf.DUMMYFUNCTION("""COMPUTED_VALUE"""),"#FPEEF- Formação Pedagógica Educação Física - #FPEEF- Formação Pedagógica Educação Física - Ednelson hilario souza - Educação Especial, Inclusão Escolar e Adaptações Curriculares - Nota Máxima: 10")</f>
        <v>#FPEEF- Formação Pedagógica Educação Física - #FPEEF- Formação Pedagógica Educação Física - Ednelson hilario souza - Educação Especial, Inclusão Escolar e Adaptações Curriculares - Nota Máxima: 10</v>
      </c>
    </row>
    <row r="2127">
      <c r="A2127" s="390" t="str">
        <f>IFERROR(__xludf.DUMMYFUNCTION("""COMPUTED_VALUE"""),"#FPEEF- Formação Pedagógica Educação Física - #FPEEF- Formação Pedagógica Educação Física - Ednelson hilario souza - Educação Especial, Inclusão Escolar e Adaptações Curriculares - Nota Máxima: 10")</f>
        <v>#FPEEF- Formação Pedagógica Educação Física - #FPEEF- Formação Pedagógica Educação Física - Ednelson hilario souza - Educação Especial, Inclusão Escolar e Adaptações Curriculares - Nota Máxima: 10</v>
      </c>
    </row>
    <row r="2128">
      <c r="A2128" s="390" t="str">
        <f>IFERROR(__xludf.DUMMYFUNCTION("""COMPUTED_VALUE"""),"#FPEEF- Formação Pedagógica Educação Física - #FPEEF- Formação Pedagógica Educação Física - Ednelson hilario souza - Fundamentos Pedagógicos dos Esportes e das Atividades Físicas - Nota Máxima: 10")</f>
        <v>#FPEEF- Formação Pedagógica Educação Física - #FPEEF- Formação Pedagógica Educação Física - Ednelson hilario souza - Fundamentos Pedagógicos dos Esportes e das Atividades Físicas - Nota Máxima: 10</v>
      </c>
    </row>
    <row r="2129">
      <c r="A2129" s="390" t="str">
        <f>IFERROR(__xludf.DUMMYFUNCTION("""COMPUTED_VALUE"""),"#FPEEF- Formação Pedagógica Educação Física - #FPEEF- Formação Pedagógica Educação Física - Ednelson hilario souza - Fundamentos Pedagógicos dos Esportes e das Atividades Físicas - Nota Máxima: 10")</f>
        <v>#FPEEF- Formação Pedagógica Educação Física - #FPEEF- Formação Pedagógica Educação Física - Ednelson hilario souza - Fundamentos Pedagógicos dos Esportes e das Atividades Físicas - Nota Máxima: 10</v>
      </c>
    </row>
    <row r="2130">
      <c r="A2130" s="390" t="str">
        <f>IFERROR(__xludf.DUMMYFUNCTION("""COMPUTED_VALUE"""),"#FPEEF- Formação Pedagógica Educação Física - #FPEEF- Formação Pedagógica Educação Física - Ednelson hilario souza - Introdução à Neurociência e Neuroeducação - Nota Máxima: 10")</f>
        <v>#FPEEF- Formação Pedagógica Educação Física - #FPEEF- Formação Pedagógica Educação Física - Ednelson hilario souza - Introdução à Neurociência e Neuroeducação - Nota Máxima: 10</v>
      </c>
    </row>
    <row r="2131">
      <c r="A2131" s="390" t="str">
        <f>IFERROR(__xludf.DUMMYFUNCTION("""COMPUTED_VALUE"""),"#FPEEF- Formação Pedagógica Educação Física - #FPEEF- Formação Pedagógica Educação Física - Ednelson hilario souza - Introdução à Neurociência e Neuroeducação - Nota Máxima: 8")</f>
        <v>#FPEEF- Formação Pedagógica Educação Física - #FPEEF- Formação Pedagógica Educação Física - Ednelson hilario souza - Introdução à Neurociência e Neuroeducação - Nota Máxima: 8</v>
      </c>
    </row>
    <row r="2132">
      <c r="A2132" s="390" t="str">
        <f>IFERROR(__xludf.DUMMYFUNCTION("""COMPUTED_VALUE"""),"#FPEEF- Formação Pedagógica Educação Física - #FPEEF- Formação Pedagógica Educação Física - Ednelson hilario souza - Legislação e Políticas para Educação Inclusiva e Especial - Nota Máxima: 10")</f>
        <v>#FPEEF- Formação Pedagógica Educação Física - #FPEEF- Formação Pedagógica Educação Física - Ednelson hilario souza - Legislação e Políticas para Educação Inclusiva e Especial - Nota Máxima: 10</v>
      </c>
    </row>
    <row r="2133">
      <c r="A2133" s="390" t="str">
        <f>IFERROR(__xludf.DUMMYFUNCTION("""COMPUTED_VALUE"""),"#FPEEF- Formação Pedagógica Educação Física - #FPEEF- Formação Pedagógica Educação Física - Ednelson hilario souza - Legislação e Políticas para Educação Inclusiva e Especial - Nota Máxima: 6")</f>
        <v>#FPEEF- Formação Pedagógica Educação Física - #FPEEF- Formação Pedagógica Educação Física - Ednelson hilario souza - Legislação e Políticas para Educação Inclusiva e Especial - Nota Máxima: 6</v>
      </c>
    </row>
    <row r="2134">
      <c r="A2134" s="390" t="str">
        <f>IFERROR(__xludf.DUMMYFUNCTION("""COMPUTED_VALUE"""),"#FPEEF- Formação Pedagógica Educação Física - #FPEEF- Formação Pedagógica Educação Física - Ednelson hilario souza - Legislação Educacional/a - Nota Máxima: 10")</f>
        <v>#FPEEF- Formação Pedagógica Educação Física - #FPEEF- Formação Pedagógica Educação Física - Ednelson hilario souza - Legislação Educacional/a - Nota Máxima: 10</v>
      </c>
    </row>
    <row r="2135">
      <c r="A2135" s="390" t="str">
        <f>IFERROR(__xludf.DUMMYFUNCTION("""COMPUTED_VALUE"""),"#FPEEF- Formação Pedagógica Educação Física - #FPEEF- Formação Pedagógica Educação Física - Ednelson hilario souza - Legislação Educacional/a - Nota Máxima: 7")</f>
        <v>#FPEEF- Formação Pedagógica Educação Física - #FPEEF- Formação Pedagógica Educação Física - Ednelson hilario souza - Legislação Educacional/a - Nota Máxima: 7</v>
      </c>
    </row>
    <row r="2136">
      <c r="A2136" s="390" t="str">
        <f>IFERROR(__xludf.DUMMYFUNCTION("""COMPUTED_VALUE"""),"#FPEEF- Formação Pedagógica Educação Física - #FPEEF- Formação Pedagógica Educação Física - Ednelson hilario souza - Planejamento, Gestão Educacional e Currículo/a - Nota Máxima: 10")</f>
        <v>#FPEEF- Formação Pedagógica Educação Física - #FPEEF- Formação Pedagógica Educação Física - Ednelson hilario souza - Planejamento, Gestão Educacional e Currículo/a - Nota Máxima: 10</v>
      </c>
    </row>
    <row r="2137">
      <c r="A2137" s="390" t="str">
        <f>IFERROR(__xludf.DUMMYFUNCTION("""COMPUTED_VALUE"""),"#FPEEF- Formação Pedagógica Educação Física - #FPEEF- Formação Pedagógica Educação Física - Ednelson hilario souza - Planejamento, Gestão Educacional e Currículo/a - Nota Máxima: 10")</f>
        <v>#FPEEF- Formação Pedagógica Educação Física - #FPEEF- Formação Pedagógica Educação Física - Ednelson hilario souza - Planejamento, Gestão Educacional e Currículo/a - Nota Máxima: 10</v>
      </c>
    </row>
    <row r="2138">
      <c r="A2138" s="390" t="str">
        <f>IFERROR(__xludf.DUMMYFUNCTION("""COMPUTED_VALUE"""),"#FPEEF- Formação Pedagógica Educação Física - #FPEEF- Formação Pedagógica Educação Física - Ednelson hilario souza - Práticas Corporais Adaptadas para Grupos Especiais/a - Nota Máxima: 10")</f>
        <v>#FPEEF- Formação Pedagógica Educação Física - #FPEEF- Formação Pedagógica Educação Física - Ednelson hilario souza - Práticas Corporais Adaptadas para Grupos Especiais/a - Nota Máxima: 10</v>
      </c>
    </row>
    <row r="2139">
      <c r="A2139" s="390" t="str">
        <f>IFERROR(__xludf.DUMMYFUNCTION("""COMPUTED_VALUE"""),"#FPEEF- Formação Pedagógica Educação Física - #FPEEF- Formação Pedagógica Educação Física - Ednelson hilario souza - Práticas Corporais Adaptadas para Grupos Especiais/a - Nota Máxima: 8")</f>
        <v>#FPEEF- Formação Pedagógica Educação Física - #FPEEF- Formação Pedagógica Educação Física - Ednelson hilario souza - Práticas Corporais Adaptadas para Grupos Especiais/a - Nota Máxima: 8</v>
      </c>
    </row>
    <row r="2140">
      <c r="A2140" s="390" t="str">
        <f>IFERROR(__xludf.DUMMYFUNCTION("""COMPUTED_VALUE"""),"#FPEEF- Formação Pedagógica Educação Física - #FPEEF- Formação Pedagógica Educação Física - Ednelson hilario souza - Práticas Pedagógicas - 400 Horas - Nota Máxima: 4")</f>
        <v>#FPEEF- Formação Pedagógica Educação Física - #FPEEF- Formação Pedagógica Educação Física - Ednelson hilario souza - Práticas Pedagógicas - 400 Horas - Nota Máxima: 4</v>
      </c>
    </row>
    <row r="2141">
      <c r="A2141" s="390" t="str">
        <f>IFERROR(__xludf.DUMMYFUNCTION("""COMPUTED_VALUE"""),"#FPEEF- Formação Pedagógica Educação Física - #FPEEF- Formação Pedagógica Educação Física - Ednelson hilario souza - Práticas Pedagógicas - 400 Horas - Nota Máxima: 4")</f>
        <v>#FPEEF- Formação Pedagógica Educação Física - #FPEEF- Formação Pedagógica Educação Física - Ednelson hilario souza - Práticas Pedagógicas - 400 Horas - Nota Máxima: 4</v>
      </c>
    </row>
    <row r="2142">
      <c r="A2142" s="390" t="str">
        <f>IFERROR(__xludf.DUMMYFUNCTION("""COMPUTED_VALUE"""),"#FPEEF- Formação Pedagógica Educação Física - #FPEEF- Formação Pedagógica Educação Física - Ednelson hilario souza - Psicologia da Educação/a - Nota Máxima: 10")</f>
        <v>#FPEEF- Formação Pedagógica Educação Física - #FPEEF- Formação Pedagógica Educação Física - Ednelson hilario souza - Psicologia da Educação/a - Nota Máxima: 10</v>
      </c>
    </row>
    <row r="2143">
      <c r="A2143" s="390" t="str">
        <f>IFERROR(__xludf.DUMMYFUNCTION("""COMPUTED_VALUE"""),"#FPEEF- Formação Pedagógica Educação Física - #FPEEF- Formação Pedagógica Educação Física - Ednelson hilario souza - Psicologia da Educação/a - Nota Máxima: 6")</f>
        <v>#FPEEF- Formação Pedagógica Educação Física - #FPEEF- Formação Pedagógica Educação Física - Ednelson hilario souza - Psicologia da Educação/a - Nota Máxima: 6</v>
      </c>
    </row>
    <row r="2144">
      <c r="A2144" s="390" t="str">
        <f>IFERROR(__xludf.DUMMYFUNCTION("""COMPUTED_VALUE"""),"#FPEEF- Formação Pedagógica Educação Física - #FPEEF- Formação Pedagógica Educação Física - Saloed Correia Leandro - Atuação Docente na Educação Inclusiva - Nota Máxima: 10")</f>
        <v>#FPEEF- Formação Pedagógica Educação Física - #FPEEF- Formação Pedagógica Educação Física - Saloed Correia Leandro - Atuação Docente na Educação Inclusiva - Nota Máxima: 10</v>
      </c>
    </row>
    <row r="2145">
      <c r="A2145" s="390" t="str">
        <f>IFERROR(__xludf.DUMMYFUNCTION("""COMPUTED_VALUE"""),"#FPEEF- Formação Pedagógica Educação Física - #FPEEF- Formação Pedagógica Educação Física - Saloed Correia Leandro - Cultura e Diversidade - Nota Máxima: 9")</f>
        <v>#FPEEF- Formação Pedagógica Educação Física - #FPEEF- Formação Pedagógica Educação Física - Saloed Correia Leandro - Cultura e Diversidade - Nota Máxima: 9</v>
      </c>
    </row>
    <row r="2146">
      <c r="A2146" s="390" t="str">
        <f>IFERROR(__xludf.DUMMYFUNCTION("""COMPUTED_VALUE"""),"#FPEEF- Formação Pedagógica Educação Física - #FPEEF- Formação Pedagógica Educação Física - Saloed Correia Leandro - Deficiência Auditiva e Libras/a - Nota Máxima: 10")</f>
        <v>#FPEEF- Formação Pedagógica Educação Física - #FPEEF- Formação Pedagógica Educação Física - Saloed Correia Leandro - Deficiência Auditiva e Libras/a - Nota Máxima: 10</v>
      </c>
    </row>
    <row r="2147">
      <c r="A2147" s="390" t="str">
        <f>IFERROR(__xludf.DUMMYFUNCTION("""COMPUTED_VALUE"""),"#FPEEF- Formação Pedagógica Educação Física - #FPEEF- Formação Pedagógica Educação Física - Saloed Correia Leandro - Educação em Direitos Humanos/a - Nota Máxima: 10")</f>
        <v>#FPEEF- Formação Pedagógica Educação Física - #FPEEF- Formação Pedagógica Educação Física - Saloed Correia Leandro - Educação em Direitos Humanos/a - Nota Máxima: 10</v>
      </c>
    </row>
    <row r="2148">
      <c r="A2148" s="390" t="str">
        <f>IFERROR(__xludf.DUMMYFUNCTION("""COMPUTED_VALUE"""),"#FPEEF- Formação Pedagógica Educação Física - #FPEEF- Formação Pedagógica Educação Física - Saloed Correia Leandro - Educação Especial em Educação Física - Nota Máxima: 8")</f>
        <v>#FPEEF- Formação Pedagógica Educação Física - #FPEEF- Formação Pedagógica Educação Física - Saloed Correia Leandro - Educação Especial em Educação Física - Nota Máxima: 8</v>
      </c>
    </row>
    <row r="2149">
      <c r="A2149" s="390" t="str">
        <f>IFERROR(__xludf.DUMMYFUNCTION("""COMPUTED_VALUE"""),"#FPEEF- Formação Pedagógica Educação Física - #FPEEF- Formação Pedagógica Educação Física - Saloed Correia Leandro - Educação Especial, Inclusão Escolar e Adaptações Curriculares - Nota Máxima: 8")</f>
        <v>#FPEEF- Formação Pedagógica Educação Física - #FPEEF- Formação Pedagógica Educação Física - Saloed Correia Leandro - Educação Especial, Inclusão Escolar e Adaptações Curriculares - Nota Máxima: 8</v>
      </c>
    </row>
    <row r="2150">
      <c r="A2150" s="390" t="str">
        <f>IFERROR(__xludf.DUMMYFUNCTION("""COMPUTED_VALUE"""),"#FPEEF- Formação Pedagógica Educação Física - #FPEEF- Formação Pedagógica Educação Física - Saloed Correia Leandro - Fundamentos Pedagógicos dos Esportes e das Atividades Físicas - Nota Máxima: 9")</f>
        <v>#FPEEF- Formação Pedagógica Educação Física - #FPEEF- Formação Pedagógica Educação Física - Saloed Correia Leandro - Fundamentos Pedagógicos dos Esportes e das Atividades Físicas - Nota Máxima: 9</v>
      </c>
    </row>
    <row r="2151">
      <c r="A2151" s="390" t="str">
        <f>IFERROR(__xludf.DUMMYFUNCTION("""COMPUTED_VALUE"""),"#FPEEF- Formação Pedagógica Educação Física - #FPEEF- Formação Pedagógica Educação Física - Saloed Correia Leandro - Introdução à Neurociência e Neuroeducação - Nota Máxima: 9")</f>
        <v>#FPEEF- Formação Pedagógica Educação Física - #FPEEF- Formação Pedagógica Educação Física - Saloed Correia Leandro - Introdução à Neurociência e Neuroeducação - Nota Máxima: 9</v>
      </c>
    </row>
    <row r="2152">
      <c r="A2152" s="390" t="str">
        <f>IFERROR(__xludf.DUMMYFUNCTION("""COMPUTED_VALUE"""),"#FPEEF- Formação Pedagógica Educação Física - #FPEEF- Formação Pedagógica Educação Física - Saloed Correia Leandro - Legislação e Políticas para Educação Inclusiva e Especial - Nota Máxima: 7")</f>
        <v>#FPEEF- Formação Pedagógica Educação Física - #FPEEF- Formação Pedagógica Educação Física - Saloed Correia Leandro - Legislação e Políticas para Educação Inclusiva e Especial - Nota Máxima: 7</v>
      </c>
    </row>
    <row r="2153">
      <c r="A2153" s="390" t="str">
        <f>IFERROR(__xludf.DUMMYFUNCTION("""COMPUTED_VALUE"""),"#FPEEF- Formação Pedagógica Educação Física - #FPEEF- Formação Pedagógica Educação Física - Saloed Correia Leandro - Legislação Educacional/a - Nota Máxima: 8")</f>
        <v>#FPEEF- Formação Pedagógica Educação Física - #FPEEF- Formação Pedagógica Educação Física - Saloed Correia Leandro - Legislação Educacional/a - Nota Máxima: 8</v>
      </c>
    </row>
    <row r="2154">
      <c r="A2154" s="390" t="str">
        <f>IFERROR(__xludf.DUMMYFUNCTION("""COMPUTED_VALUE"""),"#FPEEF- Formação Pedagógica Educação Física - #FPEEF- Formação Pedagógica Educação Física - Saloed Correia Leandro - Planejamento, Gestão Educacional e Currículo/a - Nota Máxima: 10")</f>
        <v>#FPEEF- Formação Pedagógica Educação Física - #FPEEF- Formação Pedagógica Educação Física - Saloed Correia Leandro - Planejamento, Gestão Educacional e Currículo/a - Nota Máxima: 10</v>
      </c>
    </row>
    <row r="2155">
      <c r="A2155" s="390" t="str">
        <f>IFERROR(__xludf.DUMMYFUNCTION("""COMPUTED_VALUE"""),"#FPEEF- Formação Pedagógica Educação Física - #FPEEF- Formação Pedagógica Educação Física - Saloed Correia Leandro - Práticas Corporais Adaptadas para Grupos Especiais/a - Nota Máxima: 7")</f>
        <v>#FPEEF- Formação Pedagógica Educação Física - #FPEEF- Formação Pedagógica Educação Física - Saloed Correia Leandro - Práticas Corporais Adaptadas para Grupos Especiais/a - Nota Máxima: 7</v>
      </c>
    </row>
    <row r="2156">
      <c r="A2156" s="390" t="str">
        <f>IFERROR(__xludf.DUMMYFUNCTION("""COMPUTED_VALUE"""),"#FPEEF- Formação Pedagógica Educação Física - #FPEEF- Formação Pedagógica Educação Física - Saloed Correia Leandro - Psicologia da Educação/a - Nota Máxima: 10")</f>
        <v>#FPEEF- Formação Pedagógica Educação Física - #FPEEF- Formação Pedagógica Educação Física - Saloed Correia Leandro - Psicologia da Educação/a - Nota Máxima: 10</v>
      </c>
    </row>
    <row r="2157">
      <c r="A2157" s="390" t="str">
        <f>IFERROR(__xludf.DUMMYFUNCTION("""COMPUTED_VALUE"""),"#FPEEF- Formação Pedagógica Educação Física - #FPEEF- Formação Pedagógica Educação Física - Lucilene Miranda de Sousa vaz - Deficiência Auditiva e Libras/a - Nota Máxima: 8")</f>
        <v>#FPEEF- Formação Pedagógica Educação Física - #FPEEF- Formação Pedagógica Educação Física - Lucilene Miranda de Sousa vaz - Deficiência Auditiva e Libras/a - Nota Máxima: 8</v>
      </c>
    </row>
    <row r="2158">
      <c r="A2158" s="390" t="str">
        <f>IFERROR(__xludf.DUMMYFUNCTION("""COMPUTED_VALUE"""),"#FPEEF- Formação Pedagógica Educação Física - #FPEEF- Formação Pedagógica Educação Física - Lucilene Miranda de Sousa vaz - Deficiência Auditiva e Libras/a - Nota Máxima: 7")</f>
        <v>#FPEEF- Formação Pedagógica Educação Física - #FPEEF- Formação Pedagógica Educação Física - Lucilene Miranda de Sousa vaz - Deficiência Auditiva e Libras/a - Nota Máxima: 7</v>
      </c>
    </row>
    <row r="2159">
      <c r="A2159" s="390" t="str">
        <f>IFERROR(__xludf.DUMMYFUNCTION("""COMPUTED_VALUE"""),"#FPEEF- Formação Pedagógica Educação Física - #FPEEF- Formação Pedagógica Educação Física - Lucilene Miranda de Sousa vaz - Educação Especial, Inclusão Escolar e Adaptações Curriculares - Nota Máxima: 8")</f>
        <v>#FPEEF- Formação Pedagógica Educação Física - #FPEEF- Formação Pedagógica Educação Física - Lucilene Miranda de Sousa vaz - Educação Especial, Inclusão Escolar e Adaptações Curriculares - Nota Máxima: 8</v>
      </c>
    </row>
    <row r="2160">
      <c r="A2160" s="390" t="str">
        <f>IFERROR(__xludf.DUMMYFUNCTION("""COMPUTED_VALUE"""),"#FPEEF- Formação Pedagógica Educação Física - #FPEEF- Formação Pedagógica Educação Física - Lucilene Miranda de Sousa vaz - Educação Especial, Inclusão Escolar e Adaptações Curriculares - Nota Máxima: 10")</f>
        <v>#FPEEF- Formação Pedagógica Educação Física - #FPEEF- Formação Pedagógica Educação Física - Lucilene Miranda de Sousa vaz - Educação Especial, Inclusão Escolar e Adaptações Curriculares - Nota Máxima: 10</v>
      </c>
    </row>
    <row r="2161">
      <c r="A2161" s="390" t="str">
        <f>IFERROR(__xludf.DUMMYFUNCTION("""COMPUTED_VALUE"""),"#FPEEF- Formação Pedagógica Educação Física - #FPEEF- Formação Pedagógica Educação Física - Lucilene Miranda de Sousa vaz - Legislação Educacional/a - Nota Máxima: 9")</f>
        <v>#FPEEF- Formação Pedagógica Educação Física - #FPEEF- Formação Pedagógica Educação Física - Lucilene Miranda de Sousa vaz - Legislação Educacional/a - Nota Máxima: 9</v>
      </c>
    </row>
    <row r="2162">
      <c r="A2162" s="390" t="str">
        <f>IFERROR(__xludf.DUMMYFUNCTION("""COMPUTED_VALUE"""),"#FPEEF- Formação Pedagógica Educação Física - #FPEEF- Formação Pedagógica Educação Física - Lucilene Miranda de Sousa vaz - Planejamento, Gestão Educacional e Currículo/a - Nota Máxima: 9")</f>
        <v>#FPEEF- Formação Pedagógica Educação Física - #FPEEF- Formação Pedagógica Educação Física - Lucilene Miranda de Sousa vaz - Planejamento, Gestão Educacional e Currículo/a - Nota Máxima: 9</v>
      </c>
    </row>
    <row r="2163">
      <c r="A2163" s="390" t="str">
        <f>IFERROR(__xludf.DUMMYFUNCTION("""COMPUTED_VALUE"""),"#FPEEF- Formação Pedagógica Educação Física - #FPEEF- Formação Pedagógica Educação Física - Rodrigo Santana de Oliveira - Atuação Docente na Educação Inclusiva - Nota Máxima: 10")</f>
        <v>#FPEEF- Formação Pedagógica Educação Física - #FPEEF- Formação Pedagógica Educação Física - Rodrigo Santana de Oliveira - Atuação Docente na Educação Inclusiva - Nota Máxima: 10</v>
      </c>
    </row>
    <row r="2164">
      <c r="A2164" s="390" t="str">
        <f>IFERROR(__xludf.DUMMYFUNCTION("""COMPUTED_VALUE"""),"#FPEEF- Formação Pedagógica Educação Física - #FPEEF- Formação Pedagógica Educação Física - Rodrigo Santana de Oliveira - Atuação Docente na Educação Inclusiva - Nota Máxima: 10")</f>
        <v>#FPEEF- Formação Pedagógica Educação Física - #FPEEF- Formação Pedagógica Educação Física - Rodrigo Santana de Oliveira - Atuação Docente na Educação Inclusiva - Nota Máxima: 10</v>
      </c>
    </row>
    <row r="2165">
      <c r="A2165" s="390" t="str">
        <f>IFERROR(__xludf.DUMMYFUNCTION("""COMPUTED_VALUE"""),"#FPEEF- Formação Pedagógica Educação Física - #FPEEF- Formação Pedagógica Educação Física - Rodrigo Santana de Oliveira - Cultura e Diversidade - Nota Máxima: 10")</f>
        <v>#FPEEF- Formação Pedagógica Educação Física - #FPEEF- Formação Pedagógica Educação Física - Rodrigo Santana de Oliveira - Cultura e Diversidade - Nota Máxima: 10</v>
      </c>
    </row>
    <row r="2166">
      <c r="A2166" s="390" t="str">
        <f>IFERROR(__xludf.DUMMYFUNCTION("""COMPUTED_VALUE"""),"#FPEEF- Formação Pedagógica Educação Física - #FPEEF- Formação Pedagógica Educação Física - Rodrigo Santana de Oliveira - Cultura e Diversidade - Nota Máxima: 9")</f>
        <v>#FPEEF- Formação Pedagógica Educação Física - #FPEEF- Formação Pedagógica Educação Física - Rodrigo Santana de Oliveira - Cultura e Diversidade - Nota Máxima: 9</v>
      </c>
    </row>
    <row r="2167">
      <c r="A2167" s="390" t="str">
        <f>IFERROR(__xludf.DUMMYFUNCTION("""COMPUTED_VALUE"""),"#FPEEF- Formação Pedagógica Educação Física - #FPEEF- Formação Pedagógica Educação Física - Rodrigo Santana de Oliveira - Deficiência Auditiva e Libras/a - Nota Máxima: 9")</f>
        <v>#FPEEF- Formação Pedagógica Educação Física - #FPEEF- Formação Pedagógica Educação Física - Rodrigo Santana de Oliveira - Deficiência Auditiva e Libras/a - Nota Máxima: 9</v>
      </c>
    </row>
    <row r="2168">
      <c r="A2168" s="390" t="str">
        <f>IFERROR(__xludf.DUMMYFUNCTION("""COMPUTED_VALUE"""),"#FPEEF- Formação Pedagógica Educação Física - #FPEEF- Formação Pedagógica Educação Física - Rodrigo Santana de Oliveira - Deficiência Auditiva e Libras/a - Nota Máxima: 8")</f>
        <v>#FPEEF- Formação Pedagógica Educação Física - #FPEEF- Formação Pedagógica Educação Física - Rodrigo Santana de Oliveira - Deficiência Auditiva e Libras/a - Nota Máxima: 8</v>
      </c>
    </row>
    <row r="2169">
      <c r="A2169" s="390" t="str">
        <f>IFERROR(__xludf.DUMMYFUNCTION("""COMPUTED_VALUE"""),"#FPEEF- Formação Pedagógica Educação Física - #FPEEF- Formação Pedagógica Educação Física - Rodrigo Santana de Oliveira - Educação Especial, Inclusão Escolar e Adaptações Curriculares - Nota Máxima: 10")</f>
        <v>#FPEEF- Formação Pedagógica Educação Física - #FPEEF- Formação Pedagógica Educação Física - Rodrigo Santana de Oliveira - Educação Especial, Inclusão Escolar e Adaptações Curriculares - Nota Máxima: 10</v>
      </c>
    </row>
    <row r="2170">
      <c r="A2170" s="390" t="str">
        <f>IFERROR(__xludf.DUMMYFUNCTION("""COMPUTED_VALUE"""),"#FPEEF- Formação Pedagógica Educação Física - #FPEEF- Formação Pedagógica Educação Física - Rodrigo Santana de Oliveira - Educação Especial, Inclusão Escolar e Adaptações Curriculares - Nota Máxima: 9")</f>
        <v>#FPEEF- Formação Pedagógica Educação Física - #FPEEF- Formação Pedagógica Educação Física - Rodrigo Santana de Oliveira - Educação Especial, Inclusão Escolar e Adaptações Curriculares - Nota Máxima: 9</v>
      </c>
    </row>
    <row r="2171">
      <c r="A2171" s="390" t="str">
        <f>IFERROR(__xludf.DUMMYFUNCTION("""COMPUTED_VALUE"""),"#FPEEF- Formação Pedagógica Educação Física - #FPEEF- Formação Pedagógica Educação Física - Rodrigo Santana de Oliveira - Legislação Educacional/a - Nota Máxima: 10")</f>
        <v>#FPEEF- Formação Pedagógica Educação Física - #FPEEF- Formação Pedagógica Educação Física - Rodrigo Santana de Oliveira - Legislação Educacional/a - Nota Máxima: 10</v>
      </c>
    </row>
    <row r="2172">
      <c r="A2172" s="390" t="str">
        <f>IFERROR(__xludf.DUMMYFUNCTION("""COMPUTED_VALUE"""),"#FPEEF- Formação Pedagógica Educação Física - #FPEEF- Formação Pedagógica Educação Física - Rodrigo Santana de Oliveira - Legislação Educacional/a - Nota Máxima: 7")</f>
        <v>#FPEEF- Formação Pedagógica Educação Física - #FPEEF- Formação Pedagógica Educação Física - Rodrigo Santana de Oliveira - Legislação Educacional/a - Nota Máxima: 7</v>
      </c>
    </row>
    <row r="2173">
      <c r="A2173" s="390" t="str">
        <f>IFERROR(__xludf.DUMMYFUNCTION("""COMPUTED_VALUE"""),"#FPEEF- Formação Pedagógica Educação Física - #FPEEF- Formação Pedagógica Educação Física - Rodrigo Santana de Oliveira - Planejamento, Gestão Educacional e Currículo/a - Nota Máxima: 10")</f>
        <v>#FPEEF- Formação Pedagógica Educação Física - #FPEEF- Formação Pedagógica Educação Física - Rodrigo Santana de Oliveira - Planejamento, Gestão Educacional e Currículo/a - Nota Máxima: 10</v>
      </c>
    </row>
    <row r="2174">
      <c r="A2174" s="390" t="str">
        <f>IFERROR(__xludf.DUMMYFUNCTION("""COMPUTED_VALUE"""),"#FPEEF- Formação Pedagógica Educação Física - #FPEEF- Formação Pedagógica Educação Física - Rodrigo Santana de Oliveira - Planejamento, Gestão Educacional e Currículo/a - Nota Máxima: 10")</f>
        <v>#FPEEF- Formação Pedagógica Educação Física - #FPEEF- Formação Pedagógica Educação Física - Rodrigo Santana de Oliveira - Planejamento, Gestão Educacional e Currículo/a - Nota Máxima: 10</v>
      </c>
    </row>
    <row r="2175">
      <c r="A2175" s="390" t="str">
        <f>IFERROR(__xludf.DUMMYFUNCTION("""COMPUTED_VALUE"""),"#FPEEF- Formação Pedagógica Educação Física - #FPEEF- Formação Pedagógica Educação Física - Rodrigo Santana de Oliveira - Psicologia da Educação/a - Nota Máxima: 10")</f>
        <v>#FPEEF- Formação Pedagógica Educação Física - #FPEEF- Formação Pedagógica Educação Física - Rodrigo Santana de Oliveira - Psicologia da Educação/a - Nota Máxima: 10</v>
      </c>
    </row>
    <row r="2176">
      <c r="A2176" s="390" t="str">
        <f>IFERROR(__xludf.DUMMYFUNCTION("""COMPUTED_VALUE"""),"#FPEEF- Formação Pedagógica Educação Física - #FPEEF- Formação Pedagógica Educação Física - Rodrigo Santana de Oliveira - Psicologia da Educação/a - Nota Máxima: 6")</f>
        <v>#FPEEF- Formação Pedagógica Educação Física - #FPEEF- Formação Pedagógica Educação Física - Rodrigo Santana de Oliveira - Psicologia da Educação/a - Nota Máxima: 6</v>
      </c>
    </row>
    <row r="2177">
      <c r="A2177" s="390" t="str">
        <f>IFERROR(__xludf.DUMMYFUNCTION("""COMPUTED_VALUE"""),"#FPEEF- Formação Pedagógica Educação Física - #FPEEF- Formação Pedagógica Educação Física - Guilherme Martinez Freire - Atuação Docente na Educação Inclusiva - Nota Máxima: 10")</f>
        <v>#FPEEF- Formação Pedagógica Educação Física - #FPEEF- Formação Pedagógica Educação Física - Guilherme Martinez Freire - Atuação Docente na Educação Inclusiva - Nota Máxima: 10</v>
      </c>
    </row>
    <row r="2178">
      <c r="A2178" s="390" t="str">
        <f>IFERROR(__xludf.DUMMYFUNCTION("""COMPUTED_VALUE"""),"#FPEEF- Formação Pedagógica Educação Física - #FPEEF- Formação Pedagógica Educação Física - Guilherme Martinez Freire - Cultura e Diversidade - Nota Máxima: 9")</f>
        <v>#FPEEF- Formação Pedagógica Educação Física - #FPEEF- Formação Pedagógica Educação Física - Guilherme Martinez Freire - Cultura e Diversidade - Nota Máxima: 9</v>
      </c>
    </row>
    <row r="2179">
      <c r="A2179" s="390" t="str">
        <f>IFERROR(__xludf.DUMMYFUNCTION("""COMPUTED_VALUE"""),"#FPEEF- Formação Pedagógica Educação Física - #FPEEF- Formação Pedagógica Educação Física - Guilherme Martinez Freire - Deficiência Auditiva e Libras/a - Nota Máxima: 9")</f>
        <v>#FPEEF- Formação Pedagógica Educação Física - #FPEEF- Formação Pedagógica Educação Física - Guilherme Martinez Freire - Deficiência Auditiva e Libras/a - Nota Máxima: 9</v>
      </c>
    </row>
    <row r="2180">
      <c r="A2180" s="390" t="str">
        <f>IFERROR(__xludf.DUMMYFUNCTION("""COMPUTED_VALUE"""),"#FPEEF- Formação Pedagógica Educação Física - #FPEEF- Formação Pedagógica Educação Física - Guilherme Martinez Freire - Educação em Direitos Humanos/a - Nota Máxima: 9")</f>
        <v>#FPEEF- Formação Pedagógica Educação Física - #FPEEF- Formação Pedagógica Educação Física - Guilherme Martinez Freire - Educação em Direitos Humanos/a - Nota Máxima: 9</v>
      </c>
    </row>
    <row r="2181">
      <c r="A2181" s="390" t="str">
        <f>IFERROR(__xludf.DUMMYFUNCTION("""COMPUTED_VALUE"""),"#FPEEF- Formação Pedagógica Educação Física - #FPEEF- Formação Pedagógica Educação Física - Guilherme Martinez Freire - Educação Especial em Educação Física - Nota Máxima: 9")</f>
        <v>#FPEEF- Formação Pedagógica Educação Física - #FPEEF- Formação Pedagógica Educação Física - Guilherme Martinez Freire - Educação Especial em Educação Física - Nota Máxima: 9</v>
      </c>
    </row>
    <row r="2182">
      <c r="A2182" s="390" t="str">
        <f>IFERROR(__xludf.DUMMYFUNCTION("""COMPUTED_VALUE"""),"#FPEEF- Formação Pedagógica Educação Física - #FPEEF- Formação Pedagógica Educação Física - Guilherme Martinez Freire - Educação Especial, Inclusão Escolar e Adaptações Curriculares - Nota Máxima: 9")</f>
        <v>#FPEEF- Formação Pedagógica Educação Física - #FPEEF- Formação Pedagógica Educação Física - Guilherme Martinez Freire - Educação Especial, Inclusão Escolar e Adaptações Curriculares - Nota Máxima: 9</v>
      </c>
    </row>
    <row r="2183">
      <c r="A2183" s="390" t="str">
        <f>IFERROR(__xludf.DUMMYFUNCTION("""COMPUTED_VALUE"""),"#FPEEF- Formação Pedagógica Educação Física - #FPEEF- Formação Pedagógica Educação Física - Guilherme Martinez Freire - Fundamentos Pedagógicos dos Esportes e das Atividades Físicas - Nota Máxima: 9")</f>
        <v>#FPEEF- Formação Pedagógica Educação Física - #FPEEF- Formação Pedagógica Educação Física - Guilherme Martinez Freire - Fundamentos Pedagógicos dos Esportes e das Atividades Físicas - Nota Máxima: 9</v>
      </c>
    </row>
    <row r="2184">
      <c r="A2184" s="390" t="str">
        <f>IFERROR(__xludf.DUMMYFUNCTION("""COMPUTED_VALUE"""),"#FPEEF- Formação Pedagógica Educação Física - #FPEEF- Formação Pedagógica Educação Física - Guilherme Martinez Freire - Introdução à Neurociência e Neuroeducação - Nota Máxima: 10")</f>
        <v>#FPEEF- Formação Pedagógica Educação Física - #FPEEF- Formação Pedagógica Educação Física - Guilherme Martinez Freire - Introdução à Neurociência e Neuroeducação - Nota Máxima: 10</v>
      </c>
    </row>
    <row r="2185">
      <c r="A2185" s="390" t="str">
        <f>IFERROR(__xludf.DUMMYFUNCTION("""COMPUTED_VALUE"""),"#FPEEF- Formação Pedagógica Educação Física - #FPEEF- Formação Pedagógica Educação Física - Guilherme Martinez Freire - Legislação e Políticas para Educação Inclusiva e Especial - Nota Máxima: 10")</f>
        <v>#FPEEF- Formação Pedagógica Educação Física - #FPEEF- Formação Pedagógica Educação Física - Guilherme Martinez Freire - Legislação e Políticas para Educação Inclusiva e Especial - Nota Máxima: 10</v>
      </c>
    </row>
    <row r="2186">
      <c r="A2186" s="390" t="str">
        <f>IFERROR(__xludf.DUMMYFUNCTION("""COMPUTED_VALUE"""),"#FPEEF- Formação Pedagógica Educação Física - #FPEEF- Formação Pedagógica Educação Física - Guilherme Martinez Freire - Legislação Educacional/a - Nota Máxima: 10")</f>
        <v>#FPEEF- Formação Pedagógica Educação Física - #FPEEF- Formação Pedagógica Educação Física - Guilherme Martinez Freire - Legislação Educacional/a - Nota Máxima: 10</v>
      </c>
    </row>
    <row r="2187">
      <c r="A2187" s="390" t="str">
        <f>IFERROR(__xludf.DUMMYFUNCTION("""COMPUTED_VALUE"""),"#FPEEF- Formação Pedagógica Educação Física - #FPEEF- Formação Pedagógica Educação Física - Guilherme Martinez Freire - Planejamento, Gestão Educacional e Currículo/a - Nota Máxima: 10")</f>
        <v>#FPEEF- Formação Pedagógica Educação Física - #FPEEF- Formação Pedagógica Educação Física - Guilherme Martinez Freire - Planejamento, Gestão Educacional e Currículo/a - Nota Máxima: 10</v>
      </c>
    </row>
    <row r="2188">
      <c r="A2188" s="390" t="str">
        <f>IFERROR(__xludf.DUMMYFUNCTION("""COMPUTED_VALUE"""),"#FPEEF- Formação Pedagógica Educação Física - #FPEEF- Formação Pedagógica Educação Física - Guilherme Martinez Freire - Práticas Corporais Adaptadas para Grupos Especiais/a - Nota Máxima: 10")</f>
        <v>#FPEEF- Formação Pedagógica Educação Física - #FPEEF- Formação Pedagógica Educação Física - Guilherme Martinez Freire - Práticas Corporais Adaptadas para Grupos Especiais/a - Nota Máxima: 10</v>
      </c>
    </row>
    <row r="2189">
      <c r="A2189" s="390" t="str">
        <f>IFERROR(__xludf.DUMMYFUNCTION("""COMPUTED_VALUE"""),"#FPEEF- Formação Pedagógica Educação Física - #FPEEF- Formação Pedagógica Educação Física - Guilherme Martinez Freire - Práticas Pedagógicas - 400 Horas - Nota Máxima: 10")</f>
        <v>#FPEEF- Formação Pedagógica Educação Física - #FPEEF- Formação Pedagógica Educação Física - Guilherme Martinez Freire - Práticas Pedagógicas - 400 Horas - Nota Máxima: 10</v>
      </c>
    </row>
    <row r="2190">
      <c r="A2190" s="390" t="str">
        <f>IFERROR(__xludf.DUMMYFUNCTION("""COMPUTED_VALUE"""),"#FPEEF- Formação Pedagógica Educação Física - #FPEEF- Formação Pedagógica Educação Física - Guilherme Martinez Freire - Psicologia da Educação/a - Nota Máxima: 9")</f>
        <v>#FPEEF- Formação Pedagógica Educação Física - #FPEEF- Formação Pedagógica Educação Física - Guilherme Martinez Freire - Psicologia da Educação/a - Nota Máxima: 9</v>
      </c>
    </row>
    <row r="2191">
      <c r="A2191" s="390" t="str">
        <f>IFERROR(__xludf.DUMMYFUNCTION("""COMPUTED_VALUE"""),"#FPEEF- Formação Pedagógica Educação Física - #FPEEF- Formação Pedagógica Educação Física - LAURIANNE CAMARGO FERREIRA DE SOUZA SANTOS - Atuação Docente na Educação Inclusiva - Nota Máxima: 10")</f>
        <v>#FPEEF- Formação Pedagógica Educação Física - #FPEEF- Formação Pedagógica Educação Física - LAURIANNE CAMARGO FERREIRA DE SOUZA SANTOS - Atuação Docente na Educação Inclusiva - Nota Máxima: 10</v>
      </c>
    </row>
    <row r="2192">
      <c r="A2192" s="390" t="str">
        <f>IFERROR(__xludf.DUMMYFUNCTION("""COMPUTED_VALUE"""),"#FPEEF- Formação Pedagógica Educação Física - #FPEEF- Formação Pedagógica Educação Física - LAURIANNE CAMARGO FERREIRA DE SOUZA SANTOS - Atuação Docente na Educação Inclusiva - Nota Máxima: 9")</f>
        <v>#FPEEF- Formação Pedagógica Educação Física - #FPEEF- Formação Pedagógica Educação Física - LAURIANNE CAMARGO FERREIRA DE SOUZA SANTOS - Atuação Docente na Educação Inclusiva - Nota Máxima: 9</v>
      </c>
    </row>
    <row r="2193">
      <c r="A2193" s="390" t="str">
        <f>IFERROR(__xludf.DUMMYFUNCTION("""COMPUTED_VALUE"""),"#FPEEF- Formação Pedagógica Educação Física - #FPEEF- Formação Pedagógica Educação Física - LAURIANNE CAMARGO FERREIRA DE SOUZA SANTOS - Cultura e Diversidade - Nota Máxima: 9")</f>
        <v>#FPEEF- Formação Pedagógica Educação Física - #FPEEF- Formação Pedagógica Educação Física - LAURIANNE CAMARGO FERREIRA DE SOUZA SANTOS - Cultura e Diversidade - Nota Máxima: 9</v>
      </c>
    </row>
    <row r="2194">
      <c r="A2194" s="390" t="str">
        <f>IFERROR(__xludf.DUMMYFUNCTION("""COMPUTED_VALUE"""),"#FPEEF- Formação Pedagógica Educação Física - #FPEEF- Formação Pedagógica Educação Física - LAURIANNE CAMARGO FERREIRA DE SOUZA SANTOS - Cultura e Diversidade - Nota Máxima: 9")</f>
        <v>#FPEEF- Formação Pedagógica Educação Física - #FPEEF- Formação Pedagógica Educação Física - LAURIANNE CAMARGO FERREIRA DE SOUZA SANTOS - Cultura e Diversidade - Nota Máxima: 9</v>
      </c>
    </row>
    <row r="2195">
      <c r="A2195" s="390" t="str">
        <f>IFERROR(__xludf.DUMMYFUNCTION("""COMPUTED_VALUE"""),"#FPEEF- Formação Pedagógica Educação Física - #FPEEF- Formação Pedagógica Educação Física - LAURIANNE CAMARGO FERREIRA DE SOUZA SANTOS - Educação em Direitos Humanos/a - Nota Máxima: 10")</f>
        <v>#FPEEF- Formação Pedagógica Educação Física - #FPEEF- Formação Pedagógica Educação Física - LAURIANNE CAMARGO FERREIRA DE SOUZA SANTOS - Educação em Direitos Humanos/a - Nota Máxima: 10</v>
      </c>
    </row>
    <row r="2196">
      <c r="A2196" s="390" t="str">
        <f>IFERROR(__xludf.DUMMYFUNCTION("""COMPUTED_VALUE"""),"#FPEEF- Formação Pedagógica Educação Física - #FPEEF- Formação Pedagógica Educação Física - LAURIANNE CAMARGO FERREIRA DE SOUZA SANTOS - Educação em Direitos Humanos/a - Nota Máxima: 10")</f>
        <v>#FPEEF- Formação Pedagógica Educação Física - #FPEEF- Formação Pedagógica Educação Física - LAURIANNE CAMARGO FERREIRA DE SOUZA SANTOS - Educação em Direitos Humanos/a - Nota Máxima: 10</v>
      </c>
    </row>
    <row r="2197">
      <c r="A2197" s="390" t="str">
        <f>IFERROR(__xludf.DUMMYFUNCTION("""COMPUTED_VALUE"""),"#FPEEF- Formação Pedagógica Educação Física - #FPEEF- Formação Pedagógica Educação Física - LAURIANNE CAMARGO FERREIRA DE SOUZA SANTOS - Educação Especial, Inclusão Escolar e Adaptações Curriculares - Nota Máxima: 10")</f>
        <v>#FPEEF- Formação Pedagógica Educação Física - #FPEEF- Formação Pedagógica Educação Física - LAURIANNE CAMARGO FERREIRA DE SOUZA SANTOS - Educação Especial, Inclusão Escolar e Adaptações Curriculares - Nota Máxima: 10</v>
      </c>
    </row>
    <row r="2198">
      <c r="A2198" s="390" t="str">
        <f>IFERROR(__xludf.DUMMYFUNCTION("""COMPUTED_VALUE"""),"#FPEEF- Formação Pedagógica Educação Física - #FPEEF- Formação Pedagógica Educação Física - LAURIANNE CAMARGO FERREIRA DE SOUZA SANTOS - Educação Especial, Inclusão Escolar e Adaptações Curriculares - Nota Máxima: 10")</f>
        <v>#FPEEF- Formação Pedagógica Educação Física - #FPEEF- Formação Pedagógica Educação Física - LAURIANNE CAMARGO FERREIRA DE SOUZA SANTOS - Educação Especial, Inclusão Escolar e Adaptações Curriculares - Nota Máxima: 10</v>
      </c>
    </row>
    <row r="2199">
      <c r="A2199" s="390" t="str">
        <f>IFERROR(__xludf.DUMMYFUNCTION("""COMPUTED_VALUE"""),"#FPEEF- Formação Pedagógica Educação Física - #FPEEF- Formação Pedagógica Educação Física - LAURIANNE CAMARGO FERREIRA DE SOUZA SANTOS - Introdução à Neurociência e Neuroeducação - Nota Máxima: 10")</f>
        <v>#FPEEF- Formação Pedagógica Educação Física - #FPEEF- Formação Pedagógica Educação Física - LAURIANNE CAMARGO FERREIRA DE SOUZA SANTOS - Introdução à Neurociência e Neuroeducação - Nota Máxima: 10</v>
      </c>
    </row>
    <row r="2200">
      <c r="A2200" s="390" t="str">
        <f>IFERROR(__xludf.DUMMYFUNCTION("""COMPUTED_VALUE"""),"#FPEEF- Formação Pedagógica Educação Física - #FPEEF- Formação Pedagógica Educação Física - LAURIANNE CAMARGO FERREIRA DE SOUZA SANTOS - Introdução à Neurociência e Neuroeducação - Nota Máxima: 9")</f>
        <v>#FPEEF- Formação Pedagógica Educação Física - #FPEEF- Formação Pedagógica Educação Física - LAURIANNE CAMARGO FERREIRA DE SOUZA SANTOS - Introdução à Neurociência e Neuroeducação - Nota Máxima: 9</v>
      </c>
    </row>
    <row r="2201">
      <c r="A2201" s="390" t="str">
        <f>IFERROR(__xludf.DUMMYFUNCTION("""COMPUTED_VALUE"""),"#FPEEF- Formação Pedagógica Educação Física - #FPEEF- Formação Pedagógica Educação Física - LAURIANNE CAMARGO FERREIRA DE SOUZA SANTOS - Legislação Educacional/a - Nota Máxima: 9")</f>
        <v>#FPEEF- Formação Pedagógica Educação Física - #FPEEF- Formação Pedagógica Educação Física - LAURIANNE CAMARGO FERREIRA DE SOUZA SANTOS - Legislação Educacional/a - Nota Máxima: 9</v>
      </c>
    </row>
    <row r="2202">
      <c r="A2202" s="390" t="str">
        <f>IFERROR(__xludf.DUMMYFUNCTION("""COMPUTED_VALUE"""),"#FPEEF- Formação Pedagógica Educação Física - #FPEEF- Formação Pedagógica Educação Física - LAURIANNE CAMARGO FERREIRA DE SOUZA SANTOS - Legislação Educacional/a - Nota Máxima: 9")</f>
        <v>#FPEEF- Formação Pedagógica Educação Física - #FPEEF- Formação Pedagógica Educação Física - LAURIANNE CAMARGO FERREIRA DE SOUZA SANTOS - Legislação Educacional/a - Nota Máxima: 9</v>
      </c>
    </row>
    <row r="2203">
      <c r="A2203" s="390" t="str">
        <f>IFERROR(__xludf.DUMMYFUNCTION("""COMPUTED_VALUE"""),"#FPEEF- Formação Pedagógica Educação Física - #FPEEF- Formação Pedagógica Educação Física - LAURIANNE CAMARGO FERREIRA DE SOUZA SANTOS - Planejamento, Gestão Educacional e Currículo/a - Nota Máxima: 10")</f>
        <v>#FPEEF- Formação Pedagógica Educação Física - #FPEEF- Formação Pedagógica Educação Física - LAURIANNE CAMARGO FERREIRA DE SOUZA SANTOS - Planejamento, Gestão Educacional e Currículo/a - Nota Máxima: 10</v>
      </c>
    </row>
    <row r="2204">
      <c r="A2204" s="390" t="str">
        <f>IFERROR(__xludf.DUMMYFUNCTION("""COMPUTED_VALUE"""),"#FPEEF- Formação Pedagógica Educação Física - #FPEEF- Formação Pedagógica Educação Física - LAURIANNE CAMARGO FERREIRA DE SOUZA SANTOS - Planejamento, Gestão Educacional e Currículo/a - Nota Máxima: 10")</f>
        <v>#FPEEF- Formação Pedagógica Educação Física - #FPEEF- Formação Pedagógica Educação Física - LAURIANNE CAMARGO FERREIRA DE SOUZA SANTOS - Planejamento, Gestão Educacional e Currículo/a - Nota Máxima: 10</v>
      </c>
    </row>
    <row r="2205">
      <c r="A2205" s="390" t="str">
        <f>IFERROR(__xludf.DUMMYFUNCTION("""COMPUTED_VALUE"""),"#FPEEF- Formação Pedagógica Educação Física - #FPEEF- Formação Pedagógica Educação Física - LAURIANNE CAMARGO FERREIRA DE SOUZA SANTOS - Práticas Pedagógicas - 400 Horas - Nota Máxima: 10")</f>
        <v>#FPEEF- Formação Pedagógica Educação Física - #FPEEF- Formação Pedagógica Educação Física - LAURIANNE CAMARGO FERREIRA DE SOUZA SANTOS - Práticas Pedagógicas - 400 Horas - Nota Máxima: 10</v>
      </c>
    </row>
    <row r="2206">
      <c r="A2206" s="390" t="str">
        <f>IFERROR(__xludf.DUMMYFUNCTION("""COMPUTED_VALUE"""),"#FPEEF- Formação Pedagógica Educação Física - #FPEEF- Formação Pedagógica Educação Física - LAURIANNE CAMARGO FERREIRA DE SOUZA SANTOS - Práticas Pedagógicas - 400 Horas - Nota Máxima: 45784")</f>
        <v>#FPEEF- Formação Pedagógica Educação Física - #FPEEF- Formação Pedagógica Educação Física - LAURIANNE CAMARGO FERREIRA DE SOUZA SANTOS - Práticas Pedagógicas - 400 Horas - Nota Máxima: 45784</v>
      </c>
    </row>
    <row r="2207">
      <c r="A2207" s="390" t="str">
        <f>IFERROR(__xludf.DUMMYFUNCTION("""COMPUTED_VALUE"""),"#FPEEF- Formação Pedagógica Educação Física - #FPEEF- Formação Pedagógica Educação Física - LAURIANNE CAMARGO FERREIRA DE SOUZA SANTOS - Educação em Direitos Humanos/a - Nota Máxima: 10")</f>
        <v>#FPEEF- Formação Pedagógica Educação Física - #FPEEF- Formação Pedagógica Educação Física - LAURIANNE CAMARGO FERREIRA DE SOUZA SANTOS - Educação em Direitos Humanos/a - Nota Máxima: 10</v>
      </c>
    </row>
    <row r="2208">
      <c r="A2208" s="390" t="str">
        <f>IFERROR(__xludf.DUMMYFUNCTION("""COMPUTED_VALUE"""),"#FPEEF- Formação Pedagógica Educação Física - #FPEEF- Formação Pedagógica Educação Física - LAURIANNE CAMARGO FERREIRA DE SOUZA SANTOS - Educação em Direitos Humanos/a - Nota Máxima: 10")</f>
        <v>#FPEEF- Formação Pedagógica Educação Física - #FPEEF- Formação Pedagógica Educação Física - LAURIANNE CAMARGO FERREIRA DE SOUZA SANTOS - Educação em Direitos Humanos/a - Nota Máxima: 10</v>
      </c>
    </row>
    <row r="2209">
      <c r="A2209" s="390" t="str">
        <f>IFERROR(__xludf.DUMMYFUNCTION("""COMPUTED_VALUE"""),"#FPEEF- Formação Pedagógica Educação Física - #FPEEF- Formação Pedagógica Educação Física - LAURIANNE CAMARGO FERREIRA DE SOUZA SANTOS - Fundamentos Pedagógicos dos Esportes e das Atividades Físicas - Nota Máxima: 10")</f>
        <v>#FPEEF- Formação Pedagógica Educação Física - #FPEEF- Formação Pedagógica Educação Física - LAURIANNE CAMARGO FERREIRA DE SOUZA SANTOS - Fundamentos Pedagógicos dos Esportes e das Atividades Físicas - Nota Máxima: 10</v>
      </c>
    </row>
    <row r="2210">
      <c r="A2210" s="390" t="str">
        <f>IFERROR(__xludf.DUMMYFUNCTION("""COMPUTED_VALUE"""),"#FPEEF- Formação Pedagógica Educação Física - #FPEEF- Formação Pedagógica Educação Física - LAURIANNE CAMARGO FERREIRA DE SOUZA SANTOS - Fundamentos Pedagógicos dos Esportes e das Atividades Físicas - Nota Máxima: 9")</f>
        <v>#FPEEF- Formação Pedagógica Educação Física - #FPEEF- Formação Pedagógica Educação Física - LAURIANNE CAMARGO FERREIRA DE SOUZA SANTOS - Fundamentos Pedagógicos dos Esportes e das Atividades Físicas - Nota Máxima: 9</v>
      </c>
    </row>
    <row r="2211">
      <c r="A2211" s="390" t="str">
        <f>IFERROR(__xludf.DUMMYFUNCTION("""COMPUTED_VALUE"""),"#FPEEF- Formação Pedagógica Educação Física - #FPEEF- Formação Pedagógica Educação Física - LAURIANNE CAMARGO FERREIRA DE SOUZA SANTOS - Legislação e Políticas para Educação Inclusiva e Especial - Nota Máxima: 10")</f>
        <v>#FPEEF- Formação Pedagógica Educação Física - #FPEEF- Formação Pedagógica Educação Física - LAURIANNE CAMARGO FERREIRA DE SOUZA SANTOS - Legislação e Políticas para Educação Inclusiva e Especial - Nota Máxima: 10</v>
      </c>
    </row>
    <row r="2212">
      <c r="A2212" s="390" t="str">
        <f>IFERROR(__xludf.DUMMYFUNCTION("""COMPUTED_VALUE"""),"#FPEEF- Formação Pedagógica Educação Física - #FPEEF- Formação Pedagógica Educação Física - LAURIANNE CAMARGO FERREIRA DE SOUZA SANTOS - Legislação e Políticas para Educação Inclusiva e Especial - Nota Máxima: 9")</f>
        <v>#FPEEF- Formação Pedagógica Educação Física - #FPEEF- Formação Pedagógica Educação Física - LAURIANNE CAMARGO FERREIRA DE SOUZA SANTOS - Legislação e Políticas para Educação Inclusiva e Especial - Nota Máxima: 9</v>
      </c>
    </row>
    <row r="2213">
      <c r="A2213" s="390" t="str">
        <f>IFERROR(__xludf.DUMMYFUNCTION("""COMPUTED_VALUE"""),"#FPEEF- Formação Pedagógica Educação Física - #FPEEF- Formação Pedagógica Educação Física - LAURIANNE CAMARGO FERREIRA DE SOUZA SANTOS - Práticas Pedagógicas - 400 Horas - Nota Máxima: 10")</f>
        <v>#FPEEF- Formação Pedagógica Educação Física - #FPEEF- Formação Pedagógica Educação Física - LAURIANNE CAMARGO FERREIRA DE SOUZA SANTOS - Práticas Pedagógicas - 400 Horas - Nota Máxima: 10</v>
      </c>
    </row>
    <row r="2214">
      <c r="A2214" s="390" t="str">
        <f>IFERROR(__xludf.DUMMYFUNCTION("""COMPUTED_VALUE"""),"#FPEEF- Formação Pedagógica Educação Física - #FPEEF- Formação Pedagógica Educação Física - LAURIANNE CAMARGO FERREIRA DE SOUZA SANTOS - Práticas Pedagógicas - 400 Horas - Nota Máxima: 45779")</f>
        <v>#FPEEF- Formação Pedagógica Educação Física - #FPEEF- Formação Pedagógica Educação Física - LAURIANNE CAMARGO FERREIRA DE SOUZA SANTOS - Práticas Pedagógicas - 400 Horas - Nota Máxima: 45779</v>
      </c>
    </row>
    <row r="2215">
      <c r="A2215" s="390" t="str">
        <f>IFERROR(__xludf.DUMMYFUNCTION("""COMPUTED_VALUE"""),"#FPEEF- Formação Pedagógica Educação Física - #FPEEF- Formação Pedagógica Educação Física - Catiel Ferreira da silva - Deficiência Auditiva e Libras/a - Nota Máxima: 7")</f>
        <v>#FPEEF- Formação Pedagógica Educação Física - #FPEEF- Formação Pedagógica Educação Física - Catiel Ferreira da silva - Deficiência Auditiva e Libras/a - Nota Máxima: 7</v>
      </c>
    </row>
    <row r="2216">
      <c r="A2216" s="390" t="str">
        <f>IFERROR(__xludf.DUMMYFUNCTION("""COMPUTED_VALUE"""),"#FPEEF- Formação Pedagógica Educação Física - #FPEEF- Formação Pedagógica Educação Física - Catiel Ferreira da silva - Educação Especial, Inclusão Escolar e Adaptações Curriculares - Nota Máxima: 8")</f>
        <v>#FPEEF- Formação Pedagógica Educação Física - #FPEEF- Formação Pedagógica Educação Física - Catiel Ferreira da silva - Educação Especial, Inclusão Escolar e Adaptações Curriculares - Nota Máxima: 8</v>
      </c>
    </row>
    <row r="2217">
      <c r="A2217" s="390" t="str">
        <f>IFERROR(__xludf.DUMMYFUNCTION("""COMPUTED_VALUE"""),"#FPEEF- Formação Pedagógica Educação Física - #FPEEF- Formação Pedagógica Educação Física - Catiel Ferreira da silva - Legislação Educacional/a - Nota Máxima: 4")</f>
        <v>#FPEEF- Formação Pedagógica Educação Física - #FPEEF- Formação Pedagógica Educação Física - Catiel Ferreira da silva - Legislação Educacional/a - Nota Máxima: 4</v>
      </c>
    </row>
    <row r="2218">
      <c r="A2218" s="390" t="str">
        <f>IFERROR(__xludf.DUMMYFUNCTION("""COMPUTED_VALUE"""),"#FPEEF- Formação Pedagógica Educação Física - #FPEEF- Formação Pedagógica Educação Física - Catiel Ferreira da silva - Planejamento, Gestão Educacional e Currículo/a - Nota Máxima: 10")</f>
        <v>#FPEEF- Formação Pedagógica Educação Física - #FPEEF- Formação Pedagógica Educação Física - Catiel Ferreira da silva - Planejamento, Gestão Educacional e Currículo/a - Nota Máxima: 10</v>
      </c>
    </row>
    <row r="2219">
      <c r="A2219" s="390" t="str">
        <f>IFERROR(__xludf.DUMMYFUNCTION("""COMPUTED_VALUE"""),"#FPEEF- Formação Pedagógica Educação Física - #FPEEF- Formação Pedagógica Educação Física - Leonardo da Silva Oliveira dos Santos - Atuação Docente na Educação Inclusiva - Nota Máxima: 10")</f>
        <v>#FPEEF- Formação Pedagógica Educação Física - #FPEEF- Formação Pedagógica Educação Física - Leonardo da Silva Oliveira dos Santos - Atuação Docente na Educação Inclusiva - Nota Máxima: 10</v>
      </c>
    </row>
    <row r="2220">
      <c r="A2220" s="390" t="str">
        <f>IFERROR(__xludf.DUMMYFUNCTION("""COMPUTED_VALUE"""),"#FPEEF- Formação Pedagógica Educação Física - #FPEEF- Formação Pedagógica Educação Física - Leonardo da Silva Oliveira dos Santos - Atuação Docente na Educação Inclusiva - Nota Máxima: 10")</f>
        <v>#FPEEF- Formação Pedagógica Educação Física - #FPEEF- Formação Pedagógica Educação Física - Leonardo da Silva Oliveira dos Santos - Atuação Docente na Educação Inclusiva - Nota Máxima: 10</v>
      </c>
    </row>
    <row r="2221">
      <c r="A2221" s="390" t="str">
        <f>IFERROR(__xludf.DUMMYFUNCTION("""COMPUTED_VALUE"""),"#FPEEF- Formação Pedagógica Educação Física - #FPEEF- Formação Pedagógica Educação Física - Leonardo da Silva Oliveira dos Santos - Cultura e Diversidade - Nota Máxima: 10")</f>
        <v>#FPEEF- Formação Pedagógica Educação Física - #FPEEF- Formação Pedagógica Educação Física - Leonardo da Silva Oliveira dos Santos - Cultura e Diversidade - Nota Máxima: 10</v>
      </c>
    </row>
    <row r="2222">
      <c r="A2222" s="390" t="str">
        <f>IFERROR(__xludf.DUMMYFUNCTION("""COMPUTED_VALUE"""),"#FPEEF- Formação Pedagógica Educação Física - #FPEEF- Formação Pedagógica Educação Física - Leonardo da Silva Oliveira dos Santos - Cultura e Diversidade - Nota Máxima: 7")</f>
        <v>#FPEEF- Formação Pedagógica Educação Física - #FPEEF- Formação Pedagógica Educação Física - Leonardo da Silva Oliveira dos Santos - Cultura e Diversidade - Nota Máxima: 7</v>
      </c>
    </row>
    <row r="2223">
      <c r="A2223" s="390" t="str">
        <f>IFERROR(__xludf.DUMMYFUNCTION("""COMPUTED_VALUE"""),"#FPEEF- Formação Pedagógica Educação Física - #FPEEF- Formação Pedagógica Educação Física - Leonardo da Silva Oliveira dos Santos - Deficiência Auditiva e Libras/a - Nota Máxima: 10")</f>
        <v>#FPEEF- Formação Pedagógica Educação Física - #FPEEF- Formação Pedagógica Educação Física - Leonardo da Silva Oliveira dos Santos - Deficiência Auditiva e Libras/a - Nota Máxima: 10</v>
      </c>
    </row>
    <row r="2224">
      <c r="A2224" s="390" t="str">
        <f>IFERROR(__xludf.DUMMYFUNCTION("""COMPUTED_VALUE"""),"#FPEEF- Formação Pedagógica Educação Física - #FPEEF- Formação Pedagógica Educação Física - Leonardo da Silva Oliveira dos Santos - Deficiência Auditiva e Libras/a - Nota Máxima: 2")</f>
        <v>#FPEEF- Formação Pedagógica Educação Física - #FPEEF- Formação Pedagógica Educação Física - Leonardo da Silva Oliveira dos Santos - Deficiência Auditiva e Libras/a - Nota Máxima: 2</v>
      </c>
    </row>
    <row r="2225">
      <c r="A2225" s="390" t="str">
        <f>IFERROR(__xludf.DUMMYFUNCTION("""COMPUTED_VALUE"""),"#FPEEF- Formação Pedagógica Educação Física - #FPEEF- Formação Pedagógica Educação Física - Leonardo da Silva Oliveira dos Santos - Educação em Direitos Humanos/a - Nota Máxima: 10")</f>
        <v>#FPEEF- Formação Pedagógica Educação Física - #FPEEF- Formação Pedagógica Educação Física - Leonardo da Silva Oliveira dos Santos - Educação em Direitos Humanos/a - Nota Máxima: 10</v>
      </c>
    </row>
    <row r="2226">
      <c r="A2226" s="390" t="str">
        <f>IFERROR(__xludf.DUMMYFUNCTION("""COMPUTED_VALUE"""),"#FPEEF- Formação Pedagógica Educação Física - #FPEEF- Formação Pedagógica Educação Física - Leonardo da Silva Oliveira dos Santos - Educação em Direitos Humanos/a - Nota Máxima: 8")</f>
        <v>#FPEEF- Formação Pedagógica Educação Física - #FPEEF- Formação Pedagógica Educação Física - Leonardo da Silva Oliveira dos Santos - Educação em Direitos Humanos/a - Nota Máxima: 8</v>
      </c>
    </row>
    <row r="2227">
      <c r="A2227" s="390" t="str">
        <f>IFERROR(__xludf.DUMMYFUNCTION("""COMPUTED_VALUE"""),"#FPEEF- Formação Pedagógica Educação Física - #FPEEF- Formação Pedagógica Educação Física - Leonardo da Silva Oliveira dos Santos - Educação Especial em Educação Física - Nota Máxima: 10")</f>
        <v>#FPEEF- Formação Pedagógica Educação Física - #FPEEF- Formação Pedagógica Educação Física - Leonardo da Silva Oliveira dos Santos - Educação Especial em Educação Física - Nota Máxima: 10</v>
      </c>
    </row>
    <row r="2228">
      <c r="A2228" s="390" t="str">
        <f>IFERROR(__xludf.DUMMYFUNCTION("""COMPUTED_VALUE"""),"#FPEEF- Formação Pedagógica Educação Física - #FPEEF- Formação Pedagógica Educação Física - Leonardo da Silva Oliveira dos Santos - Educação Especial em Educação Física - Nota Máxima: 10")</f>
        <v>#FPEEF- Formação Pedagógica Educação Física - #FPEEF- Formação Pedagógica Educação Física - Leonardo da Silva Oliveira dos Santos - Educação Especial em Educação Física - Nota Máxima: 10</v>
      </c>
    </row>
    <row r="2229">
      <c r="A2229" s="390" t="str">
        <f>IFERROR(__xludf.DUMMYFUNCTION("""COMPUTED_VALUE"""),"#FPEEF- Formação Pedagógica Educação Física - #FPEEF- Formação Pedagógica Educação Física - Leonardo da Silva Oliveira dos Santos - Educação Especial, Inclusão Escolar e Adaptações Curriculares - Nota Máxima: 10")</f>
        <v>#FPEEF- Formação Pedagógica Educação Física - #FPEEF- Formação Pedagógica Educação Física - Leonardo da Silva Oliveira dos Santos - Educação Especial, Inclusão Escolar e Adaptações Curriculares - Nota Máxima: 10</v>
      </c>
    </row>
    <row r="2230">
      <c r="A2230" s="390" t="str">
        <f>IFERROR(__xludf.DUMMYFUNCTION("""COMPUTED_VALUE"""),"#FPEEF- Formação Pedagógica Educação Física - #FPEEF- Formação Pedagógica Educação Física - Leonardo da Silva Oliveira dos Santos - Educação Especial, Inclusão Escolar e Adaptações Curriculares - Nota Máxima: 8")</f>
        <v>#FPEEF- Formação Pedagógica Educação Física - #FPEEF- Formação Pedagógica Educação Física - Leonardo da Silva Oliveira dos Santos - Educação Especial, Inclusão Escolar e Adaptações Curriculares - Nota Máxima: 8</v>
      </c>
    </row>
    <row r="2231">
      <c r="A2231" s="390" t="str">
        <f>IFERROR(__xludf.DUMMYFUNCTION("""COMPUTED_VALUE"""),"#FPEEF- Formação Pedagógica Educação Física - #FPEEF- Formação Pedagógica Educação Física - Leonardo da Silva Oliveira dos Santos - Fundamentos Pedagógicos dos Esportes e das Atividades Físicas - Nota Máxima: 10")</f>
        <v>#FPEEF- Formação Pedagógica Educação Física - #FPEEF- Formação Pedagógica Educação Física - Leonardo da Silva Oliveira dos Santos - Fundamentos Pedagógicos dos Esportes e das Atividades Físicas - Nota Máxima: 10</v>
      </c>
    </row>
    <row r="2232">
      <c r="A2232" s="390" t="str">
        <f>IFERROR(__xludf.DUMMYFUNCTION("""COMPUTED_VALUE"""),"#FPEEF- Formação Pedagógica Educação Física - #FPEEF- Formação Pedagógica Educação Física - Leonardo da Silva Oliveira dos Santos - Fundamentos Pedagógicos dos Esportes e das Atividades Físicas - Nota Máxima: 6")</f>
        <v>#FPEEF- Formação Pedagógica Educação Física - #FPEEF- Formação Pedagógica Educação Física - Leonardo da Silva Oliveira dos Santos - Fundamentos Pedagógicos dos Esportes e das Atividades Físicas - Nota Máxima: 6</v>
      </c>
    </row>
    <row r="2233">
      <c r="A2233" s="390" t="str">
        <f>IFERROR(__xludf.DUMMYFUNCTION("""COMPUTED_VALUE"""),"#FPEEF- Formação Pedagógica Educação Física - #FPEEF- Formação Pedagógica Educação Física - Leonardo da Silva Oliveira dos Santos - Introdução à Neurociência e Neuroeducação - Nota Máxima: 10")</f>
        <v>#FPEEF- Formação Pedagógica Educação Física - #FPEEF- Formação Pedagógica Educação Física - Leonardo da Silva Oliveira dos Santos - Introdução à Neurociência e Neuroeducação - Nota Máxima: 10</v>
      </c>
    </row>
    <row r="2234">
      <c r="A2234" s="390" t="str">
        <f>IFERROR(__xludf.DUMMYFUNCTION("""COMPUTED_VALUE"""),"#FPEEF- Formação Pedagógica Educação Física - #FPEEF- Formação Pedagógica Educação Física - Leonardo da Silva Oliveira dos Santos - Introdução à Neurociência e Neuroeducação - Nota Máxima: 6")</f>
        <v>#FPEEF- Formação Pedagógica Educação Física - #FPEEF- Formação Pedagógica Educação Física - Leonardo da Silva Oliveira dos Santos - Introdução à Neurociência e Neuroeducação - Nota Máxima: 6</v>
      </c>
    </row>
    <row r="2235">
      <c r="A2235" s="390" t="str">
        <f>IFERROR(__xludf.DUMMYFUNCTION("""COMPUTED_VALUE"""),"#FPEEF- Formação Pedagógica Educação Física - #FPEEF- Formação Pedagógica Educação Física - Leonardo da Silva Oliveira dos Santos - Legislação e Políticas para Educação Inclusiva e Especial - Nota Máxima: 10")</f>
        <v>#FPEEF- Formação Pedagógica Educação Física - #FPEEF- Formação Pedagógica Educação Física - Leonardo da Silva Oliveira dos Santos - Legislação e Políticas para Educação Inclusiva e Especial - Nota Máxima: 10</v>
      </c>
    </row>
    <row r="2236">
      <c r="A2236" s="390" t="str">
        <f>IFERROR(__xludf.DUMMYFUNCTION("""COMPUTED_VALUE"""),"#FPEEF- Formação Pedagógica Educação Física - #FPEEF- Formação Pedagógica Educação Física - Leonardo da Silva Oliveira dos Santos - Legislação e Políticas para Educação Inclusiva e Especial - Nota Máxima: 6")</f>
        <v>#FPEEF- Formação Pedagógica Educação Física - #FPEEF- Formação Pedagógica Educação Física - Leonardo da Silva Oliveira dos Santos - Legislação e Políticas para Educação Inclusiva e Especial - Nota Máxima: 6</v>
      </c>
    </row>
    <row r="2237">
      <c r="A2237" s="390" t="str">
        <f>IFERROR(__xludf.DUMMYFUNCTION("""COMPUTED_VALUE"""),"#FPEEF- Formação Pedagógica Educação Física - #FPEEF- Formação Pedagógica Educação Física - Leonardo da Silva Oliveira dos Santos - Legislação Educacional/a - Nota Máxima: 10")</f>
        <v>#FPEEF- Formação Pedagógica Educação Física - #FPEEF- Formação Pedagógica Educação Física - Leonardo da Silva Oliveira dos Santos - Legislação Educacional/a - Nota Máxima: 10</v>
      </c>
    </row>
    <row r="2238">
      <c r="A2238" s="390" t="str">
        <f>IFERROR(__xludf.DUMMYFUNCTION("""COMPUTED_VALUE"""),"#FPEEF- Formação Pedagógica Educação Física - #FPEEF- Formação Pedagógica Educação Física - Leonardo da Silva Oliveira dos Santos - Legislação Educacional/a - Nota Máxima: 3")</f>
        <v>#FPEEF- Formação Pedagógica Educação Física - #FPEEF- Formação Pedagógica Educação Física - Leonardo da Silva Oliveira dos Santos - Legislação Educacional/a - Nota Máxima: 3</v>
      </c>
    </row>
    <row r="2239">
      <c r="A2239" s="390" t="str">
        <f>IFERROR(__xludf.DUMMYFUNCTION("""COMPUTED_VALUE"""),"#FPEEF- Formação Pedagógica Educação Física - #FPEEF- Formação Pedagógica Educação Física - Leonardo da Silva Oliveira dos Santos - Planejamento, Gestão Educacional e Currículo/a - Nota Máxima: 10")</f>
        <v>#FPEEF- Formação Pedagógica Educação Física - #FPEEF- Formação Pedagógica Educação Física - Leonardo da Silva Oliveira dos Santos - Planejamento, Gestão Educacional e Currículo/a - Nota Máxima: 10</v>
      </c>
    </row>
    <row r="2240">
      <c r="A2240" s="390" t="str">
        <f>IFERROR(__xludf.DUMMYFUNCTION("""COMPUTED_VALUE"""),"#FPEEF- Formação Pedagógica Educação Física - #FPEEF- Formação Pedagógica Educação Física - Leonardo da Silva Oliveira dos Santos - Planejamento, Gestão Educacional e Currículo/a - Nota Máxima: 10")</f>
        <v>#FPEEF- Formação Pedagógica Educação Física - #FPEEF- Formação Pedagógica Educação Física - Leonardo da Silva Oliveira dos Santos - Planejamento, Gestão Educacional e Currículo/a - Nota Máxima: 10</v>
      </c>
    </row>
    <row r="2241">
      <c r="A2241" s="390" t="str">
        <f>IFERROR(__xludf.DUMMYFUNCTION("""COMPUTED_VALUE"""),"#FPEEF- Formação Pedagógica Educação Física - #FPEEF- Formação Pedagógica Educação Física - Leonardo da Silva Oliveira dos Santos - Práticas Pedagógicas - 400 Horas - Nota Máxima: 4")</f>
        <v>#FPEEF- Formação Pedagógica Educação Física - #FPEEF- Formação Pedagógica Educação Física - Leonardo da Silva Oliveira dos Santos - Práticas Pedagógicas - 400 Horas - Nota Máxima: 4</v>
      </c>
    </row>
    <row r="2242">
      <c r="A2242" s="390" t="str">
        <f>IFERROR(__xludf.DUMMYFUNCTION("""COMPUTED_VALUE"""),"#FPEEF- Formação Pedagógica Educação Física - #FPEEF- Formação Pedagógica Educação Física - Leonardo da Silva Oliveira dos Santos - Práticas Pedagógicas - 400 Horas - Nota Máxima: 4")</f>
        <v>#FPEEF- Formação Pedagógica Educação Física - #FPEEF- Formação Pedagógica Educação Física - Leonardo da Silva Oliveira dos Santos - Práticas Pedagógicas - 400 Horas - Nota Máxima: 4</v>
      </c>
    </row>
    <row r="2243">
      <c r="A2243" s="390" t="str">
        <f>IFERROR(__xludf.DUMMYFUNCTION("""COMPUTED_VALUE"""),"#FPEEF- Formação Pedagógica Educação Física - #FPEEF- Formação Pedagógica Educação Física - JONATHAN FELIPE BRESSAN - Atuação Docente na Educação Inclusiva - Nota Máxima: 10")</f>
        <v>#FPEEF- Formação Pedagógica Educação Física - #FPEEF- Formação Pedagógica Educação Física - JONATHAN FELIPE BRESSAN - Atuação Docente na Educação Inclusiva - Nota Máxima: 10</v>
      </c>
    </row>
    <row r="2244">
      <c r="A2244" s="390" t="str">
        <f>IFERROR(__xludf.DUMMYFUNCTION("""COMPUTED_VALUE"""),"#FPEEF- Formação Pedagógica Educação Física - #FPEEF- Formação Pedagógica Educação Física - JONATHAN FELIPE BRESSAN - Atuação Docente na Educação Inclusiva - Nota Máxima: 9")</f>
        <v>#FPEEF- Formação Pedagógica Educação Física - #FPEEF- Formação Pedagógica Educação Física - JONATHAN FELIPE BRESSAN - Atuação Docente na Educação Inclusiva - Nota Máxima: 9</v>
      </c>
    </row>
    <row r="2245">
      <c r="A2245" s="390" t="str">
        <f>IFERROR(__xludf.DUMMYFUNCTION("""COMPUTED_VALUE"""),"#FPEEF- Formação Pedagógica Educação Física - #FPEEF- Formação Pedagógica Educação Física - JONATHAN FELIPE BRESSAN - Cultura e Diversidade - Nota Máxima: 10")</f>
        <v>#FPEEF- Formação Pedagógica Educação Física - #FPEEF- Formação Pedagógica Educação Física - JONATHAN FELIPE BRESSAN - Cultura e Diversidade - Nota Máxima: 10</v>
      </c>
    </row>
    <row r="2246">
      <c r="A2246" s="390" t="str">
        <f>IFERROR(__xludf.DUMMYFUNCTION("""COMPUTED_VALUE"""),"#FPEEF- Formação Pedagógica Educação Física - #FPEEF- Formação Pedagógica Educação Física - JONATHAN FELIPE BRESSAN - Cultura e Diversidade - Nota Máxima: 9")</f>
        <v>#FPEEF- Formação Pedagógica Educação Física - #FPEEF- Formação Pedagógica Educação Física - JONATHAN FELIPE BRESSAN - Cultura e Diversidade - Nota Máxima: 9</v>
      </c>
    </row>
    <row r="2247">
      <c r="A2247" s="390" t="str">
        <f>IFERROR(__xludf.DUMMYFUNCTION("""COMPUTED_VALUE"""),"#FPEEF- Formação Pedagógica Educação Física - #FPEEF- Formação Pedagógica Educação Física - JONATHAN FELIPE BRESSAN - Educação em Direitos Humanos/a - Nota Máxima: 10")</f>
        <v>#FPEEF- Formação Pedagógica Educação Física - #FPEEF- Formação Pedagógica Educação Física - JONATHAN FELIPE BRESSAN - Educação em Direitos Humanos/a - Nota Máxima: 10</v>
      </c>
    </row>
    <row r="2248">
      <c r="A2248" s="390" t="str">
        <f>IFERROR(__xludf.DUMMYFUNCTION("""COMPUTED_VALUE"""),"#FPEEF- Formação Pedagógica Educação Física - #FPEEF- Formação Pedagógica Educação Física - JONATHAN FELIPE BRESSAN - Educação em Direitos Humanos/a - Nota Máxima: 10")</f>
        <v>#FPEEF- Formação Pedagógica Educação Física - #FPEEF- Formação Pedagógica Educação Física - JONATHAN FELIPE BRESSAN - Educação em Direitos Humanos/a - Nota Máxima: 10</v>
      </c>
    </row>
    <row r="2249">
      <c r="A2249" s="390" t="str">
        <f>IFERROR(__xludf.DUMMYFUNCTION("""COMPUTED_VALUE"""),"#FPEEF- Formação Pedagógica Educação Física - #FPEEF- Formação Pedagógica Educação Física - JONATHAN FELIPE BRESSAN - Educação Especial em Educação Física - Nota Máxima: 10")</f>
        <v>#FPEEF- Formação Pedagógica Educação Física - #FPEEF- Formação Pedagógica Educação Física - JONATHAN FELIPE BRESSAN - Educação Especial em Educação Física - Nota Máxima: 10</v>
      </c>
    </row>
    <row r="2250">
      <c r="A2250" s="390" t="str">
        <f>IFERROR(__xludf.DUMMYFUNCTION("""COMPUTED_VALUE"""),"#FPEEF- Formação Pedagógica Educação Física - #FPEEF- Formação Pedagógica Educação Física - JONATHAN FELIPE BRESSAN - Educação Especial em Educação Física - Nota Máxima: 10")</f>
        <v>#FPEEF- Formação Pedagógica Educação Física - #FPEEF- Formação Pedagógica Educação Física - JONATHAN FELIPE BRESSAN - Educação Especial em Educação Física - Nota Máxima: 10</v>
      </c>
    </row>
    <row r="2251">
      <c r="A2251" s="390" t="str">
        <f>IFERROR(__xludf.DUMMYFUNCTION("""COMPUTED_VALUE"""),"#FPEEF- Formação Pedagógica Educação Física - #FPEEF- Formação Pedagógica Educação Física - JONATHAN FELIPE BRESSAN - Fundamentos Pedagógicos dos Esportes e das Atividades Físicas - Nota Máxima: 10")</f>
        <v>#FPEEF- Formação Pedagógica Educação Física - #FPEEF- Formação Pedagógica Educação Física - JONATHAN FELIPE BRESSAN - Fundamentos Pedagógicos dos Esportes e das Atividades Físicas - Nota Máxima: 10</v>
      </c>
    </row>
    <row r="2252">
      <c r="A2252" s="390" t="str">
        <f>IFERROR(__xludf.DUMMYFUNCTION("""COMPUTED_VALUE"""),"#FPEEF- Formação Pedagógica Educação Física - #FPEEF- Formação Pedagógica Educação Física - JONATHAN FELIPE BRESSAN - Fundamentos Pedagógicos dos Esportes e das Atividades Físicas - Nota Máxima: 7")</f>
        <v>#FPEEF- Formação Pedagógica Educação Física - #FPEEF- Formação Pedagógica Educação Física - JONATHAN FELIPE BRESSAN - Fundamentos Pedagógicos dos Esportes e das Atividades Físicas - Nota Máxima: 7</v>
      </c>
    </row>
    <row r="2253">
      <c r="A2253" s="390" t="str">
        <f>IFERROR(__xludf.DUMMYFUNCTION("""COMPUTED_VALUE"""),"#FPEEF- Formação Pedagógica Educação Física - #FPEEF- Formação Pedagógica Educação Física - JONATHAN FELIPE BRESSAN - Introdução à Neurociência e Neuroeducação - Nota Máxima: 10")</f>
        <v>#FPEEF- Formação Pedagógica Educação Física - #FPEEF- Formação Pedagógica Educação Física - JONATHAN FELIPE BRESSAN - Introdução à Neurociência e Neuroeducação - Nota Máxima: 10</v>
      </c>
    </row>
    <row r="2254">
      <c r="A2254" s="390" t="str">
        <f>IFERROR(__xludf.DUMMYFUNCTION("""COMPUTED_VALUE"""),"#FPEEF- Formação Pedagógica Educação Física - #FPEEF- Formação Pedagógica Educação Física - JONATHAN FELIPE BRESSAN - Introdução à Neurociência e Neuroeducação - Nota Máxima: 9")</f>
        <v>#FPEEF- Formação Pedagógica Educação Física - #FPEEF- Formação Pedagógica Educação Física - JONATHAN FELIPE BRESSAN - Introdução à Neurociência e Neuroeducação - Nota Máxima: 9</v>
      </c>
    </row>
    <row r="2255">
      <c r="A2255" s="390" t="str">
        <f>IFERROR(__xludf.DUMMYFUNCTION("""COMPUTED_VALUE"""),"#FPEEF- Formação Pedagógica Educação Física - #FPEEF- Formação Pedagógica Educação Física - JONATHAN FELIPE BRESSAN - Legislação e Políticas para Educação Inclusiva e Especial - Nota Máxima: 10")</f>
        <v>#FPEEF- Formação Pedagógica Educação Física - #FPEEF- Formação Pedagógica Educação Física - JONATHAN FELIPE BRESSAN - Legislação e Políticas para Educação Inclusiva e Especial - Nota Máxima: 10</v>
      </c>
    </row>
    <row r="2256">
      <c r="A2256" s="390" t="str">
        <f>IFERROR(__xludf.DUMMYFUNCTION("""COMPUTED_VALUE"""),"#FPEEF- Formação Pedagógica Educação Física - #FPEEF- Formação Pedagógica Educação Física - JONATHAN FELIPE BRESSAN - Legislação e Políticas para Educação Inclusiva e Especial - Nota Máxima: 8")</f>
        <v>#FPEEF- Formação Pedagógica Educação Física - #FPEEF- Formação Pedagógica Educação Física - JONATHAN FELIPE BRESSAN - Legislação e Políticas para Educação Inclusiva e Especial - Nota Máxima: 8</v>
      </c>
    </row>
    <row r="2257">
      <c r="A2257" s="390" t="str">
        <f>IFERROR(__xludf.DUMMYFUNCTION("""COMPUTED_VALUE"""),"#FPEEF- Formação Pedagógica Educação Física - #FPEEF- Formação Pedagógica Educação Física - JONATHAN FELIPE BRESSAN - Planejamento, Gestão Educacional e Currículo/a - Nota Máxima: 10")</f>
        <v>#FPEEF- Formação Pedagógica Educação Física - #FPEEF- Formação Pedagógica Educação Física - JONATHAN FELIPE BRESSAN - Planejamento, Gestão Educacional e Currículo/a - Nota Máxima: 10</v>
      </c>
    </row>
    <row r="2258">
      <c r="A2258" s="390" t="str">
        <f>IFERROR(__xludf.DUMMYFUNCTION("""COMPUTED_VALUE"""),"#FPEEF- Formação Pedagógica Educação Física - #FPEEF- Formação Pedagógica Educação Física - JONATHAN FELIPE BRESSAN - Planejamento, Gestão Educacional e Currículo/a - Nota Máxima: 9")</f>
        <v>#FPEEF- Formação Pedagógica Educação Física - #FPEEF- Formação Pedagógica Educação Física - JONATHAN FELIPE BRESSAN - Planejamento, Gestão Educacional e Currículo/a - Nota Máxima: 9</v>
      </c>
    </row>
    <row r="2259">
      <c r="A2259" s="390" t="str">
        <f>IFERROR(__xludf.DUMMYFUNCTION("""COMPUTED_VALUE"""),"#FPEEF- Formação Pedagógica Educação Física - #FPEEF- Formação Pedagógica Educação Física - JONATHAN FELIPE BRESSAN - Práticas Corporais Adaptadas para Grupos Especiais/a - Nota Máxima: 10")</f>
        <v>#FPEEF- Formação Pedagógica Educação Física - #FPEEF- Formação Pedagógica Educação Física - JONATHAN FELIPE BRESSAN - Práticas Corporais Adaptadas para Grupos Especiais/a - Nota Máxima: 10</v>
      </c>
    </row>
    <row r="2260">
      <c r="A2260" s="390" t="str">
        <f>IFERROR(__xludf.DUMMYFUNCTION("""COMPUTED_VALUE"""),"#FPEEF- Formação Pedagógica Educação Física - #FPEEF- Formação Pedagógica Educação Física - JONATHAN FELIPE BRESSAN - Práticas Corporais Adaptadas para Grupos Especiais/a - Nota Máxima: 6")</f>
        <v>#FPEEF- Formação Pedagógica Educação Física - #FPEEF- Formação Pedagógica Educação Física - JONATHAN FELIPE BRESSAN - Práticas Corporais Adaptadas para Grupos Especiais/a - Nota Máxima: 6</v>
      </c>
    </row>
    <row r="2261">
      <c r="A2261" s="390" t="str">
        <f>IFERROR(__xludf.DUMMYFUNCTION("""COMPUTED_VALUE"""),"#FPEEF- Formação Pedagógica Educação Física - #FPEEF- Formação Pedagógica Educação Física - JONATHAN FELIPE BRESSAN - Práticas Pedagógicas - 400 Horas - Nota Máxima: 10")</f>
        <v>#FPEEF- Formação Pedagógica Educação Física - #FPEEF- Formação Pedagógica Educação Física - JONATHAN FELIPE BRESSAN - Práticas Pedagógicas - 400 Horas - Nota Máxima: 10</v>
      </c>
    </row>
    <row r="2262">
      <c r="A2262" s="390" t="str">
        <f>IFERROR(__xludf.DUMMYFUNCTION("""COMPUTED_VALUE"""),"#FPEEF- Formação Pedagógica Educação Física - #FPEEF- Formação Pedagógica Educação Física - JONATHAN FELIPE BRESSAN - Práticas Pedagógicas - 400 Horas - Nota Máxima: 10")</f>
        <v>#FPEEF- Formação Pedagógica Educação Física - #FPEEF- Formação Pedagógica Educação Física - JONATHAN FELIPE BRESSAN - Práticas Pedagógicas - 400 Horas - Nota Máxima: 10</v>
      </c>
    </row>
    <row r="2263">
      <c r="A2263" s="390" t="str">
        <f>IFERROR(__xludf.DUMMYFUNCTION("""COMPUTED_VALUE"""),"#FPEEF- Formação Pedagógica Educação Física - #FPEEF- Formação Pedagógica Educação Física - Larah Pedro Forte - Atuação Docente na Educação Inclusiva - Nota Máxima: 10")</f>
        <v>#FPEEF- Formação Pedagógica Educação Física - #FPEEF- Formação Pedagógica Educação Física - Larah Pedro Forte - Atuação Docente na Educação Inclusiva - Nota Máxima: 10</v>
      </c>
    </row>
    <row r="2264">
      <c r="A2264" s="390" t="str">
        <f>IFERROR(__xludf.DUMMYFUNCTION("""COMPUTED_VALUE"""),"#FPEEF- Formação Pedagógica Educação Física - #FPEEF- Formação Pedagógica Educação Física - Larah Pedro Forte - Atuação Docente na Educação Inclusiva - Nota Máxima: 9")</f>
        <v>#FPEEF- Formação Pedagógica Educação Física - #FPEEF- Formação Pedagógica Educação Física - Larah Pedro Forte - Atuação Docente na Educação Inclusiva - Nota Máxima: 9</v>
      </c>
    </row>
    <row r="2265">
      <c r="A2265" s="390" t="str">
        <f>IFERROR(__xludf.DUMMYFUNCTION("""COMPUTED_VALUE"""),"#FPEEF- Formação Pedagógica Educação Física - #FPEEF- Formação Pedagógica Educação Física - Larah Pedro Forte - Cultura e Diversidade - Nota Máxima: 10")</f>
        <v>#FPEEF- Formação Pedagógica Educação Física - #FPEEF- Formação Pedagógica Educação Física - Larah Pedro Forte - Cultura e Diversidade - Nota Máxima: 10</v>
      </c>
    </row>
    <row r="2266">
      <c r="A2266" s="390" t="str">
        <f>IFERROR(__xludf.DUMMYFUNCTION("""COMPUTED_VALUE"""),"#FPEEF- Formação Pedagógica Educação Física - #FPEEF- Formação Pedagógica Educação Física - Larah Pedro Forte - Cultura e Diversidade - Nota Máxima: 9")</f>
        <v>#FPEEF- Formação Pedagógica Educação Física - #FPEEF- Formação Pedagógica Educação Física - Larah Pedro Forte - Cultura e Diversidade - Nota Máxima: 9</v>
      </c>
    </row>
    <row r="2267">
      <c r="A2267" s="390" t="str">
        <f>IFERROR(__xludf.DUMMYFUNCTION("""COMPUTED_VALUE"""),"#FPEEF- Formação Pedagógica Educação Física - #FPEEF- Formação Pedagógica Educação Física - Larah Pedro Forte - Deficiência Auditiva e Libras/a - Nota Máxima: 10")</f>
        <v>#FPEEF- Formação Pedagógica Educação Física - #FPEEF- Formação Pedagógica Educação Física - Larah Pedro Forte - Deficiência Auditiva e Libras/a - Nota Máxima: 10</v>
      </c>
    </row>
    <row r="2268">
      <c r="A2268" s="390" t="str">
        <f>IFERROR(__xludf.DUMMYFUNCTION("""COMPUTED_VALUE"""),"#FPEEF- Formação Pedagógica Educação Física - #FPEEF- Formação Pedagógica Educação Física - Larah Pedro Forte - Deficiência Auditiva e Libras/a - Nota Máxima: 10")</f>
        <v>#FPEEF- Formação Pedagógica Educação Física - #FPEEF- Formação Pedagógica Educação Física - Larah Pedro Forte - Deficiência Auditiva e Libras/a - Nota Máxima: 10</v>
      </c>
    </row>
    <row r="2269">
      <c r="A2269" s="390" t="str">
        <f>IFERROR(__xludf.DUMMYFUNCTION("""COMPUTED_VALUE"""),"#FPEEF- Formação Pedagógica Educação Física - #FPEEF- Formação Pedagógica Educação Física - Larah Pedro Forte - Educação em Direitos Humanos/a - Nota Máxima: 10")</f>
        <v>#FPEEF- Formação Pedagógica Educação Física - #FPEEF- Formação Pedagógica Educação Física - Larah Pedro Forte - Educação em Direitos Humanos/a - Nota Máxima: 10</v>
      </c>
    </row>
    <row r="2270">
      <c r="A2270" s="390" t="str">
        <f>IFERROR(__xludf.DUMMYFUNCTION("""COMPUTED_VALUE"""),"#FPEEF- Formação Pedagógica Educação Física - #FPEEF- Formação Pedagógica Educação Física - Larah Pedro Forte - Educação em Direitos Humanos/a - Nota Máxima: 10")</f>
        <v>#FPEEF- Formação Pedagógica Educação Física - #FPEEF- Formação Pedagógica Educação Física - Larah Pedro Forte - Educação em Direitos Humanos/a - Nota Máxima: 10</v>
      </c>
    </row>
    <row r="2271">
      <c r="A2271" s="390" t="str">
        <f>IFERROR(__xludf.DUMMYFUNCTION("""COMPUTED_VALUE"""),"#FPEEF- Formação Pedagógica Educação Física - #FPEEF- Formação Pedagógica Educação Física - Larah Pedro Forte - Educação Especial em Educação Física - Nota Máxima: 14")</f>
        <v>#FPEEF- Formação Pedagógica Educação Física - #FPEEF- Formação Pedagógica Educação Física - Larah Pedro Forte - Educação Especial em Educação Física - Nota Máxima: 14</v>
      </c>
    </row>
    <row r="2272">
      <c r="A2272" s="390" t="str">
        <f>IFERROR(__xludf.DUMMYFUNCTION("""COMPUTED_VALUE"""),"#FPEEF- Formação Pedagógica Educação Física - #FPEEF- Formação Pedagógica Educação Física - Larah Pedro Forte - Educação Especial em Educação Física - Nota Máxima: 10")</f>
        <v>#FPEEF- Formação Pedagógica Educação Física - #FPEEF- Formação Pedagógica Educação Física - Larah Pedro Forte - Educação Especial em Educação Física - Nota Máxima: 10</v>
      </c>
    </row>
    <row r="2273">
      <c r="A2273" s="390" t="str">
        <f>IFERROR(__xludf.DUMMYFUNCTION("""COMPUTED_VALUE"""),"#FPEEF- Formação Pedagógica Educação Física - #FPEEF- Formação Pedagógica Educação Física - Larah Pedro Forte - Fundamentos Pedagógicos dos Esportes e das Atividades Físicas - Nota Máxima: 10")</f>
        <v>#FPEEF- Formação Pedagógica Educação Física - #FPEEF- Formação Pedagógica Educação Física - Larah Pedro Forte - Fundamentos Pedagógicos dos Esportes e das Atividades Físicas - Nota Máxima: 10</v>
      </c>
    </row>
    <row r="2274">
      <c r="A2274" s="390" t="str">
        <f>IFERROR(__xludf.DUMMYFUNCTION("""COMPUTED_VALUE"""),"#FPEEF- Formação Pedagógica Educação Física - #FPEEF- Formação Pedagógica Educação Física - Larah Pedro Forte - Fundamentos Pedagógicos dos Esportes e das Atividades Físicas - Nota Máxima: 9")</f>
        <v>#FPEEF- Formação Pedagógica Educação Física - #FPEEF- Formação Pedagógica Educação Física - Larah Pedro Forte - Fundamentos Pedagógicos dos Esportes e das Atividades Físicas - Nota Máxima: 9</v>
      </c>
    </row>
    <row r="2275">
      <c r="A2275" s="390" t="str">
        <f>IFERROR(__xludf.DUMMYFUNCTION("""COMPUTED_VALUE"""),"#FPEEF- Formação Pedagógica Educação Física - #FPEEF- Formação Pedagógica Educação Física - Larah Pedro Forte - Introdução à Neurociência e Neuroeducação - Nota Máxima: 10")</f>
        <v>#FPEEF- Formação Pedagógica Educação Física - #FPEEF- Formação Pedagógica Educação Física - Larah Pedro Forte - Introdução à Neurociência e Neuroeducação - Nota Máxima: 10</v>
      </c>
    </row>
    <row r="2276">
      <c r="A2276" s="390" t="str">
        <f>IFERROR(__xludf.DUMMYFUNCTION("""COMPUTED_VALUE"""),"#FPEEF- Formação Pedagógica Educação Física - #FPEEF- Formação Pedagógica Educação Física - Larah Pedro Forte - Introdução à Neurociência e Neuroeducação - Nota Máxima: 9")</f>
        <v>#FPEEF- Formação Pedagógica Educação Física - #FPEEF- Formação Pedagógica Educação Física - Larah Pedro Forte - Introdução à Neurociência e Neuroeducação - Nota Máxima: 9</v>
      </c>
    </row>
    <row r="2277">
      <c r="A2277" s="390" t="str">
        <f>IFERROR(__xludf.DUMMYFUNCTION("""COMPUTED_VALUE"""),"#FPEEF- Formação Pedagógica Educação Física - #FPEEF- Formação Pedagógica Educação Física - Larah Pedro Forte - Legislação e Políticas para Educação Inclusiva e Especial - Nota Máxima: 10")</f>
        <v>#FPEEF- Formação Pedagógica Educação Física - #FPEEF- Formação Pedagógica Educação Física - Larah Pedro Forte - Legislação e Políticas para Educação Inclusiva e Especial - Nota Máxima: 10</v>
      </c>
    </row>
    <row r="2278">
      <c r="A2278" s="390" t="str">
        <f>IFERROR(__xludf.DUMMYFUNCTION("""COMPUTED_VALUE"""),"#FPEEF- Formação Pedagógica Educação Física - #FPEEF- Formação Pedagógica Educação Física - Larah Pedro Forte - Legislação e Políticas para Educação Inclusiva e Especial - Nota Máxima: 10")</f>
        <v>#FPEEF- Formação Pedagógica Educação Física - #FPEEF- Formação Pedagógica Educação Física - Larah Pedro Forte - Legislação e Políticas para Educação Inclusiva e Especial - Nota Máxima: 10</v>
      </c>
    </row>
    <row r="2279">
      <c r="A2279" s="390" t="str">
        <f>IFERROR(__xludf.DUMMYFUNCTION("""COMPUTED_VALUE"""),"#FPEEF- Formação Pedagógica Educação Física - #FPEEF- Formação Pedagógica Educação Física - Larah Pedro Forte - Legislação Educacional/a - Nota Máxima: 10")</f>
        <v>#FPEEF- Formação Pedagógica Educação Física - #FPEEF- Formação Pedagógica Educação Física - Larah Pedro Forte - Legislação Educacional/a - Nota Máxima: 10</v>
      </c>
    </row>
    <row r="2280">
      <c r="A2280" s="390" t="str">
        <f>IFERROR(__xludf.DUMMYFUNCTION("""COMPUTED_VALUE"""),"#FPEEF- Formação Pedagógica Educação Física - #FPEEF- Formação Pedagógica Educação Física - Larah Pedro Forte - Legislação Educacional/a - Nota Máxima: 10")</f>
        <v>#FPEEF- Formação Pedagógica Educação Física - #FPEEF- Formação Pedagógica Educação Física - Larah Pedro Forte - Legislação Educacional/a - Nota Máxima: 10</v>
      </c>
    </row>
    <row r="2281">
      <c r="A2281" s="390" t="str">
        <f>IFERROR(__xludf.DUMMYFUNCTION("""COMPUTED_VALUE"""),"#FPEEF- Formação Pedagógica Educação Física - #FPEEF- Formação Pedagógica Educação Física - Larah Pedro Forte - Práticas Corporais Adaptadas para Grupos Especiais/a - Nota Máxima: 10")</f>
        <v>#FPEEF- Formação Pedagógica Educação Física - #FPEEF- Formação Pedagógica Educação Física - Larah Pedro Forte - Práticas Corporais Adaptadas para Grupos Especiais/a - Nota Máxima: 10</v>
      </c>
    </row>
    <row r="2282">
      <c r="A2282" s="390" t="str">
        <f>IFERROR(__xludf.DUMMYFUNCTION("""COMPUTED_VALUE"""),"#FPEEF- Formação Pedagógica Educação Física - #FPEEF- Formação Pedagógica Educação Física - Larah Pedro Forte - Práticas Corporais Adaptadas para Grupos Especiais/a - Nota Máxima: 9")</f>
        <v>#FPEEF- Formação Pedagógica Educação Física - #FPEEF- Formação Pedagógica Educação Física - Larah Pedro Forte - Práticas Corporais Adaptadas para Grupos Especiais/a - Nota Máxima: 9</v>
      </c>
    </row>
    <row r="2283">
      <c r="A2283" s="390" t="str">
        <f>IFERROR(__xludf.DUMMYFUNCTION("""COMPUTED_VALUE"""),"#FPEEF- Formação Pedagógica Educação Física - #FPEEF- Formação Pedagógica Educação Física - Larah Pedro Forte - Práticas Pedagógicas - 400 Horas - Nota Máxima: 10")</f>
        <v>#FPEEF- Formação Pedagógica Educação Física - #FPEEF- Formação Pedagógica Educação Física - Larah Pedro Forte - Práticas Pedagógicas - 400 Horas - Nota Máxima: 10</v>
      </c>
    </row>
    <row r="2284">
      <c r="A2284" s="390" t="str">
        <f>IFERROR(__xludf.DUMMYFUNCTION("""COMPUTED_VALUE"""),"#FPEEF- Formação Pedagógica Educação Física - #FPEEF- Formação Pedagógica Educação Física - Larah Pedro Forte - Práticas Pedagógicas - 400 Horas - Nota Máxima: 45784")</f>
        <v>#FPEEF- Formação Pedagógica Educação Física - #FPEEF- Formação Pedagógica Educação Física - Larah Pedro Forte - Práticas Pedagógicas - 400 Horas - Nota Máxima: 45784</v>
      </c>
    </row>
    <row r="2285">
      <c r="A2285" s="390" t="str">
        <f>IFERROR(__xludf.DUMMYFUNCTION("""COMPUTED_VALUE"""),"#FPEEF- Formação Pedagógica Educação Física - #FPEEF- Formação Pedagógica Educação Física - Larah Pedro Forte - Psicologia da Educação/a - Nota Máxima: 10")</f>
        <v>#FPEEF- Formação Pedagógica Educação Física - #FPEEF- Formação Pedagógica Educação Física - Larah Pedro Forte - Psicologia da Educação/a - Nota Máxima: 10</v>
      </c>
    </row>
    <row r="2286">
      <c r="A2286" s="390" t="str">
        <f>IFERROR(__xludf.DUMMYFUNCTION("""COMPUTED_VALUE"""),"#FPEEF- Formação Pedagógica Educação Física - #FPEEF- Formação Pedagógica Educação Física - Larah Pedro Forte - Psicologia da Educação/a - Nota Máxima: 10")</f>
        <v>#FPEEF- Formação Pedagógica Educação Física - #FPEEF- Formação Pedagógica Educação Física - Larah Pedro Forte - Psicologia da Educação/a - Nota Máxima: 10</v>
      </c>
    </row>
    <row r="2287">
      <c r="A2287" s="390" t="str">
        <f>IFERROR(__xludf.DUMMYFUNCTION("""COMPUTED_VALUE"""),"#FPEEF- Formação Pedagógica Educação Física - #FPEEF- Formação Pedagógica Educação Física - Wescley Mendonça de Oliveira - Cultura e Diversidade - Nota Máxima: 8")</f>
        <v>#FPEEF- Formação Pedagógica Educação Física - #FPEEF- Formação Pedagógica Educação Física - Wescley Mendonça de Oliveira - Cultura e Diversidade - Nota Máxima: 8</v>
      </c>
    </row>
    <row r="2288">
      <c r="A2288" s="390" t="str">
        <f>IFERROR(__xludf.DUMMYFUNCTION("""COMPUTED_VALUE"""),"#FPEEF- Formação Pedagógica Educação Física - #FPEEF- Formação Pedagógica Educação Física - Wescley Mendonça de Oliveira - Deficiência Auditiva e Libras/a - Nota Máxima: 9")</f>
        <v>#FPEEF- Formação Pedagógica Educação Física - #FPEEF- Formação Pedagógica Educação Física - Wescley Mendonça de Oliveira - Deficiência Auditiva e Libras/a - Nota Máxima: 9</v>
      </c>
    </row>
    <row r="2289">
      <c r="A2289" s="390" t="str">
        <f>IFERROR(__xludf.DUMMYFUNCTION("""COMPUTED_VALUE"""),"#FPEEF- Formação Pedagógica Educação Física - #FPEEF- Formação Pedagógica Educação Física - Wescley Mendonça de Oliveira - Deficiência Auditiva e Libras/a - Nota Máxima: 9")</f>
        <v>#FPEEF- Formação Pedagógica Educação Física - #FPEEF- Formação Pedagógica Educação Física - Wescley Mendonça de Oliveira - Deficiência Auditiva e Libras/a - Nota Máxima: 9</v>
      </c>
    </row>
    <row r="2290">
      <c r="A2290" s="390" t="str">
        <f>IFERROR(__xludf.DUMMYFUNCTION("""COMPUTED_VALUE"""),"#FPEEF- Formação Pedagógica Educação Física - #FPEEF- Formação Pedagógica Educação Física - Wescley Mendonça de Oliveira - Educação Especial, Inclusão Escolar e Adaptações Curriculares - Nota Máxima: 8")</f>
        <v>#FPEEF- Formação Pedagógica Educação Física - #FPEEF- Formação Pedagógica Educação Física - Wescley Mendonça de Oliveira - Educação Especial, Inclusão Escolar e Adaptações Curriculares - Nota Máxima: 8</v>
      </c>
    </row>
    <row r="2291">
      <c r="A2291" s="390" t="str">
        <f>IFERROR(__xludf.DUMMYFUNCTION("""COMPUTED_VALUE"""),"#FPEEF- Formação Pedagógica Educação Física - #FPEEF- Formação Pedagógica Educação Física - Wescley Mendonça de Oliveira - Práticas Corporais Adaptadas para Grupos Especiais/a - Nota Máxima: 8")</f>
        <v>#FPEEF- Formação Pedagógica Educação Física - #FPEEF- Formação Pedagógica Educação Física - Wescley Mendonça de Oliveira - Práticas Corporais Adaptadas para Grupos Especiais/a - Nota Máxima: 8</v>
      </c>
    </row>
    <row r="2292">
      <c r="A2292" s="390" t="str">
        <f>IFERROR(__xludf.DUMMYFUNCTION("""COMPUTED_VALUE"""),"#FPEEF- Formação Pedagógica Educação Física - #FPEEF- Formação Pedagógica Educação Física - Wescley Mendonça de Oliveira - Psicologia da Educação/a - Nota Máxima: 10")</f>
        <v>#FPEEF- Formação Pedagógica Educação Física - #FPEEF- Formação Pedagógica Educação Física - Wescley Mendonça de Oliveira - Psicologia da Educação/a - Nota Máxima: 10</v>
      </c>
    </row>
    <row r="2293">
      <c r="A2293" s="390" t="str">
        <f>IFERROR(__xludf.DUMMYFUNCTION("""COMPUTED_VALUE"""),"#FPEEF- Formação Pedagógica Educação Física - #FPEEF- Formação Pedagógica Educação Física - Lúcia Helena Vieira Santiago - Atuação Docente na Educação Inclusiva - Nota Máxima: 10")</f>
        <v>#FPEEF- Formação Pedagógica Educação Física - #FPEEF- Formação Pedagógica Educação Física - Lúcia Helena Vieira Santiago - Atuação Docente na Educação Inclusiva - Nota Máxima: 10</v>
      </c>
    </row>
    <row r="2294">
      <c r="A2294" s="390" t="str">
        <f>IFERROR(__xludf.DUMMYFUNCTION("""COMPUTED_VALUE"""),"#FPEEF- Formação Pedagógica Educação Física - #FPEEF- Formação Pedagógica Educação Física - Lúcia Helena Vieira Santiago - Cultura e Diversidade - Nota Máxima: 9")</f>
        <v>#FPEEF- Formação Pedagógica Educação Física - #FPEEF- Formação Pedagógica Educação Física - Lúcia Helena Vieira Santiago - Cultura e Diversidade - Nota Máxima: 9</v>
      </c>
    </row>
    <row r="2295">
      <c r="A2295" s="390" t="str">
        <f>IFERROR(__xludf.DUMMYFUNCTION("""COMPUTED_VALUE"""),"#FPEEF- Formação Pedagógica Educação Física - #FPEEF- Formação Pedagógica Educação Física - Lúcia Helena Vieira Santiago - Deficiência Auditiva e Libras/a - Nota Máxima: 9")</f>
        <v>#FPEEF- Formação Pedagógica Educação Física - #FPEEF- Formação Pedagógica Educação Física - Lúcia Helena Vieira Santiago - Deficiência Auditiva e Libras/a - Nota Máxima: 9</v>
      </c>
    </row>
    <row r="2296">
      <c r="A2296" s="390" t="str">
        <f>IFERROR(__xludf.DUMMYFUNCTION("""COMPUTED_VALUE"""),"#FPEEF- Formação Pedagógica Educação Física - #FPEEF- Formação Pedagógica Educação Física - Lúcia Helena Vieira Santiago - Educação Especial em Educação Física - Nota Máxima: 13")</f>
        <v>#FPEEF- Formação Pedagógica Educação Física - #FPEEF- Formação Pedagógica Educação Física - Lúcia Helena Vieira Santiago - Educação Especial em Educação Física - Nota Máxima: 13</v>
      </c>
    </row>
    <row r="2297">
      <c r="A2297" s="390" t="str">
        <f>IFERROR(__xludf.DUMMYFUNCTION("""COMPUTED_VALUE"""),"#FPEEF- Formação Pedagógica Educação Física - #FPEEF- Formação Pedagógica Educação Física - Lúcia Helena Vieira Santiago - Fundamentos Pedagógicos dos Esportes e das Atividades Físicas - Nota Máxima: 9")</f>
        <v>#FPEEF- Formação Pedagógica Educação Física - #FPEEF- Formação Pedagógica Educação Física - Lúcia Helena Vieira Santiago - Fundamentos Pedagógicos dos Esportes e das Atividades Físicas - Nota Máxima: 9</v>
      </c>
    </row>
    <row r="2298">
      <c r="A2298" s="390" t="str">
        <f>IFERROR(__xludf.DUMMYFUNCTION("""COMPUTED_VALUE"""),"#FPEEF- Formação Pedagógica Educação Física - #FPEEF- Formação Pedagógica Educação Física - Lúcia Helena Vieira Santiago - Introdução à Neurociência e Neuroeducação - Nota Máxima: 7")</f>
        <v>#FPEEF- Formação Pedagógica Educação Física - #FPEEF- Formação Pedagógica Educação Física - Lúcia Helena Vieira Santiago - Introdução à Neurociência e Neuroeducação - Nota Máxima: 7</v>
      </c>
    </row>
    <row r="2299">
      <c r="A2299" s="390" t="str">
        <f>IFERROR(__xludf.DUMMYFUNCTION("""COMPUTED_VALUE"""),"#FPEEF- Formação Pedagógica Educação Física - #FPEEF- Formação Pedagógica Educação Física - Lúcia Helena Vieira Santiago - Legislação e Políticas para Educação Inclusiva e Especial - Nota Máxima: 8")</f>
        <v>#FPEEF- Formação Pedagógica Educação Física - #FPEEF- Formação Pedagógica Educação Física - Lúcia Helena Vieira Santiago - Legislação e Políticas para Educação Inclusiva e Especial - Nota Máxima: 8</v>
      </c>
    </row>
    <row r="2300">
      <c r="A2300" s="390" t="str">
        <f>IFERROR(__xludf.DUMMYFUNCTION("""COMPUTED_VALUE"""),"#FPEEF- Formação Pedagógica Educação Física - #FPEEF- Formação Pedagógica Educação Física - Lúcia Helena Vieira Santiago - Legislação Educacional/a - Nota Máxima: 9")</f>
        <v>#FPEEF- Formação Pedagógica Educação Física - #FPEEF- Formação Pedagógica Educação Física - Lúcia Helena Vieira Santiago - Legislação Educacional/a - Nota Máxima: 9</v>
      </c>
    </row>
    <row r="2301">
      <c r="A2301" s="390" t="str">
        <f>IFERROR(__xludf.DUMMYFUNCTION("""COMPUTED_VALUE"""),"#FPEEF- Formação Pedagógica Educação Física - #FPEEF- Formação Pedagógica Educação Física - Lúcia Helena Vieira Santiago - Práticas Pedagógicas - 400 Horas - Nota Máxima: 10")</f>
        <v>#FPEEF- Formação Pedagógica Educação Física - #FPEEF- Formação Pedagógica Educação Física - Lúcia Helena Vieira Santiago - Práticas Pedagógicas - 400 Horas - Nota Máxima: 10</v>
      </c>
    </row>
    <row r="2302">
      <c r="A2302" s="390" t="str">
        <f>IFERROR(__xludf.DUMMYFUNCTION("""COMPUTED_VALUE"""),"#FPEEF- Formação Pedagógica Educação Física - #FPEEF- Formação Pedagógica Educação Física - Lúcia Helena Vieira Santiago - Psicologia da Educação/a - Nota Máxima: 9")</f>
        <v>#FPEEF- Formação Pedagógica Educação Física - #FPEEF- Formação Pedagógica Educação Física - Lúcia Helena Vieira Santiago - Psicologia da Educação/a - Nota Máxima: 9</v>
      </c>
    </row>
    <row r="2303">
      <c r="A2303" s="390" t="str">
        <f>IFERROR(__xludf.DUMMYFUNCTION("""COMPUTED_VALUE"""),"#FPEEF- Formação Pedagógica Educação Física - #FPEEF- Formação Pedagógica Educação Física - kelin Marques de Souza - Atuação Docente na Educação Inclusiva - Nota Máxima: 9")</f>
        <v>#FPEEF- Formação Pedagógica Educação Física - #FPEEF- Formação Pedagógica Educação Física - kelin Marques de Souza - Atuação Docente na Educação Inclusiva - Nota Máxima: 9</v>
      </c>
    </row>
    <row r="2304">
      <c r="A2304" s="390" t="str">
        <f>IFERROR(__xludf.DUMMYFUNCTION("""COMPUTED_VALUE"""),"#FPEEF- Formação Pedagógica Educação Física - #FPEEF- Formação Pedagógica Educação Física - kelin Marques de Souza - Cultura e Diversidade - Nota Máxima: 8")</f>
        <v>#FPEEF- Formação Pedagógica Educação Física - #FPEEF- Formação Pedagógica Educação Física - kelin Marques de Souza - Cultura e Diversidade - Nota Máxima: 8</v>
      </c>
    </row>
    <row r="2305">
      <c r="A2305" s="390" t="str">
        <f>IFERROR(__xludf.DUMMYFUNCTION("""COMPUTED_VALUE"""),"#FPEEF- Formação Pedagógica Educação Física - #FPEEF- Formação Pedagógica Educação Física - kelin Marques de Souza - Deficiência Auditiva e Libras/a - Nota Máxima: 10")</f>
        <v>#FPEEF- Formação Pedagógica Educação Física - #FPEEF- Formação Pedagógica Educação Física - kelin Marques de Souza - Deficiência Auditiva e Libras/a - Nota Máxima: 10</v>
      </c>
    </row>
    <row r="2306">
      <c r="A2306" s="390" t="str">
        <f>IFERROR(__xludf.DUMMYFUNCTION("""COMPUTED_VALUE"""),"#FPEEF- Formação Pedagógica Educação Física - #FPEEF- Formação Pedagógica Educação Física - kelin Marques de Souza - Deficiência Auditiva e Libras/a - Nota Máxima: 7")</f>
        <v>#FPEEF- Formação Pedagógica Educação Física - #FPEEF- Formação Pedagógica Educação Física - kelin Marques de Souza - Deficiência Auditiva e Libras/a - Nota Máxima: 7</v>
      </c>
    </row>
    <row r="2307">
      <c r="A2307" s="390" t="str">
        <f>IFERROR(__xludf.DUMMYFUNCTION("""COMPUTED_VALUE"""),"#FPEEF- Formação Pedagógica Educação Física - #FPEEF- Formação Pedagógica Educação Física - kelin Marques de Souza - Educação em Direitos Humanos/a - Nota Máxima: 10")</f>
        <v>#FPEEF- Formação Pedagógica Educação Física - #FPEEF- Formação Pedagógica Educação Física - kelin Marques de Souza - Educação em Direitos Humanos/a - Nota Máxima: 10</v>
      </c>
    </row>
    <row r="2308">
      <c r="A2308" s="390" t="str">
        <f>IFERROR(__xludf.DUMMYFUNCTION("""COMPUTED_VALUE"""),"#FPEEF- Formação Pedagógica Educação Física - #FPEEF- Formação Pedagógica Educação Física - kelin Marques de Souza - Educação Especial em Educação Física - Nota Máxima: 8")</f>
        <v>#FPEEF- Formação Pedagógica Educação Física - #FPEEF- Formação Pedagógica Educação Física - kelin Marques de Souza - Educação Especial em Educação Física - Nota Máxima: 8</v>
      </c>
    </row>
    <row r="2309">
      <c r="A2309" s="390" t="str">
        <f>IFERROR(__xludf.DUMMYFUNCTION("""COMPUTED_VALUE"""),"#FPEEF- Formação Pedagógica Educação Física - #FPEEF- Formação Pedagógica Educação Física - kelin Marques de Souza - Educação Especial, Inclusão Escolar e Adaptações Curriculares - Nota Máxima: 10")</f>
        <v>#FPEEF- Formação Pedagógica Educação Física - #FPEEF- Formação Pedagógica Educação Física - kelin Marques de Souza - Educação Especial, Inclusão Escolar e Adaptações Curriculares - Nota Máxima: 10</v>
      </c>
    </row>
    <row r="2310">
      <c r="A2310" s="390" t="str">
        <f>IFERROR(__xludf.DUMMYFUNCTION("""COMPUTED_VALUE"""),"#FPEEF- Formação Pedagógica Educação Física - #FPEEF- Formação Pedagógica Educação Física - kelin Marques de Souza - Fundamentos Pedagógicos dos Esportes e das Atividades Físicas - Nota Máxima: 10")</f>
        <v>#FPEEF- Formação Pedagógica Educação Física - #FPEEF- Formação Pedagógica Educação Física - kelin Marques de Souza - Fundamentos Pedagógicos dos Esportes e das Atividades Físicas - Nota Máxima: 10</v>
      </c>
    </row>
    <row r="2311">
      <c r="A2311" s="390" t="str">
        <f>IFERROR(__xludf.DUMMYFUNCTION("""COMPUTED_VALUE"""),"#FPEEF- Formação Pedagógica Educação Física - #FPEEF- Formação Pedagógica Educação Física - kelin Marques de Souza - Introdução à Neurociência e Neuroeducação - Nota Máxima: 10")</f>
        <v>#FPEEF- Formação Pedagógica Educação Física - #FPEEF- Formação Pedagógica Educação Física - kelin Marques de Souza - Introdução à Neurociência e Neuroeducação - Nota Máxima: 10</v>
      </c>
    </row>
    <row r="2312">
      <c r="A2312" s="390" t="str">
        <f>IFERROR(__xludf.DUMMYFUNCTION("""COMPUTED_VALUE"""),"#FPEEF- Formação Pedagógica Educação Física - #FPEEF- Formação Pedagógica Educação Física - kelin Marques de Souza - Legislação e Políticas para Educação Inclusiva e Especial - Nota Máxima: 8")</f>
        <v>#FPEEF- Formação Pedagógica Educação Física - #FPEEF- Formação Pedagógica Educação Física - kelin Marques de Souza - Legislação e Políticas para Educação Inclusiva e Especial - Nota Máxima: 8</v>
      </c>
    </row>
    <row r="2313">
      <c r="A2313" s="390" t="str">
        <f>IFERROR(__xludf.DUMMYFUNCTION("""COMPUTED_VALUE"""),"#FPEEF- Formação Pedagógica Educação Física - #FPEEF- Formação Pedagógica Educação Física - kelin Marques de Souza - Legislação Educacional/a - Nota Máxima: 8")</f>
        <v>#FPEEF- Formação Pedagógica Educação Física - #FPEEF- Formação Pedagógica Educação Física - kelin Marques de Souza - Legislação Educacional/a - Nota Máxima: 8</v>
      </c>
    </row>
    <row r="2314">
      <c r="A2314" s="390" t="str">
        <f>IFERROR(__xludf.DUMMYFUNCTION("""COMPUTED_VALUE"""),"#FPEEF- Formação Pedagógica Educação Física - #FPEEF- Formação Pedagógica Educação Física - kelin Marques de Souza - Planejamento, Gestão Educacional e Currículo/a - Nota Máxima: 9")</f>
        <v>#FPEEF- Formação Pedagógica Educação Física - #FPEEF- Formação Pedagógica Educação Física - kelin Marques de Souza - Planejamento, Gestão Educacional e Currículo/a - Nota Máxima: 9</v>
      </c>
    </row>
    <row r="2315">
      <c r="A2315" s="390" t="str">
        <f>IFERROR(__xludf.DUMMYFUNCTION("""COMPUTED_VALUE"""),"#FPEEF- Formação Pedagógica Educação Física - #FPEEF- Formação Pedagógica Educação Física - kelin Marques de Souza - Práticas Corporais Adaptadas para Grupos Especiais/a - Nota Máxima: 8")</f>
        <v>#FPEEF- Formação Pedagógica Educação Física - #FPEEF- Formação Pedagógica Educação Física - kelin Marques de Souza - Práticas Corporais Adaptadas para Grupos Especiais/a - Nota Máxima: 8</v>
      </c>
    </row>
    <row r="2316">
      <c r="A2316" s="390" t="str">
        <f>IFERROR(__xludf.DUMMYFUNCTION("""COMPUTED_VALUE"""),"#FPEEF- Formação Pedagógica Educação Física - #FPEEF- Formação Pedagógica Educação Física - kelin Marques de Souza - Práticas Pedagógicas - 400 Horas - Nota Máxima: 10")</f>
        <v>#FPEEF- Formação Pedagógica Educação Física - #FPEEF- Formação Pedagógica Educação Física - kelin Marques de Souza - Práticas Pedagógicas - 400 Horas - Nota Máxima: 10</v>
      </c>
    </row>
    <row r="2317">
      <c r="A2317" s="390" t="str">
        <f>IFERROR(__xludf.DUMMYFUNCTION("""COMPUTED_VALUE"""),"#FPEEF- Formação Pedagógica Educação Física - #FPEEF- Formação Pedagógica Educação Física - kelin Marques de Souza - Psicologia da Educação/a - Nota Máxima: 10")</f>
        <v>#FPEEF- Formação Pedagógica Educação Física - #FPEEF- Formação Pedagógica Educação Física - kelin Marques de Souza - Psicologia da Educação/a - Nota Máxima: 10</v>
      </c>
    </row>
    <row r="2318">
      <c r="A2318" s="390" t="str">
        <f>IFERROR(__xludf.DUMMYFUNCTION("""COMPUTED_VALUE"""),"#FPEEF- Formação Pedagógica Educação Física - #FPEEF- Formação Pedagógica Educação Física - Amauri José do Nascimento - Atuação Docente na Educação Inclusiva - Nota Máxima: 9")</f>
        <v>#FPEEF- Formação Pedagógica Educação Física - #FPEEF- Formação Pedagógica Educação Física - Amauri José do Nascimento - Atuação Docente na Educação Inclusiva - Nota Máxima: 9</v>
      </c>
    </row>
    <row r="2319">
      <c r="A2319" s="390" t="str">
        <f>IFERROR(__xludf.DUMMYFUNCTION("""COMPUTED_VALUE"""),"#FPEEF- Formação Pedagógica Educação Física - #FPEEF- Formação Pedagógica Educação Física - Amauri José do Nascimento - Atuação Docente na Educação Inclusiva - Nota Máxima: 9")</f>
        <v>#FPEEF- Formação Pedagógica Educação Física - #FPEEF- Formação Pedagógica Educação Física - Amauri José do Nascimento - Atuação Docente na Educação Inclusiva - Nota Máxima: 9</v>
      </c>
    </row>
    <row r="2320">
      <c r="A2320" s="390" t="str">
        <f>IFERROR(__xludf.DUMMYFUNCTION("""COMPUTED_VALUE"""),"#FPEEF- Formação Pedagógica Educação Física - #FPEEF- Formação Pedagógica Educação Física - Amauri José do Nascimento - Cultura e Diversidade - Nota Máxima: 8")</f>
        <v>#FPEEF- Formação Pedagógica Educação Física - #FPEEF- Formação Pedagógica Educação Física - Amauri José do Nascimento - Cultura e Diversidade - Nota Máxima: 8</v>
      </c>
    </row>
    <row r="2321">
      <c r="A2321" s="390" t="str">
        <f>IFERROR(__xludf.DUMMYFUNCTION("""COMPUTED_VALUE"""),"#FPEEF- Formação Pedagógica Educação Física - #FPEEF- Formação Pedagógica Educação Física - Amauri José do Nascimento - Cultura e Diversidade - Nota Máxima: 8")</f>
        <v>#FPEEF- Formação Pedagógica Educação Física - #FPEEF- Formação Pedagógica Educação Física - Amauri José do Nascimento - Cultura e Diversidade - Nota Máxima: 8</v>
      </c>
    </row>
    <row r="2322">
      <c r="A2322" s="390" t="str">
        <f>IFERROR(__xludf.DUMMYFUNCTION("""COMPUTED_VALUE"""),"#FPEEF- Formação Pedagógica Educação Física - #FPEEF- Formação Pedagógica Educação Física - Amauri José do Nascimento - Deficiência Auditiva e Libras/a - Nota Máxima: 8")</f>
        <v>#FPEEF- Formação Pedagógica Educação Física - #FPEEF- Formação Pedagógica Educação Física - Amauri José do Nascimento - Deficiência Auditiva e Libras/a - Nota Máxima: 8</v>
      </c>
    </row>
    <row r="2323">
      <c r="A2323" s="390" t="str">
        <f>IFERROR(__xludf.DUMMYFUNCTION("""COMPUTED_VALUE"""),"#FPEEF- Formação Pedagógica Educação Física - #FPEEF- Formação Pedagógica Educação Física - Amauri José do Nascimento - Deficiência Auditiva e Libras/a - Nota Máxima: 10")</f>
        <v>#FPEEF- Formação Pedagógica Educação Física - #FPEEF- Formação Pedagógica Educação Física - Amauri José do Nascimento - Deficiência Auditiva e Libras/a - Nota Máxima: 10</v>
      </c>
    </row>
    <row r="2324">
      <c r="A2324" s="390" t="str">
        <f>IFERROR(__xludf.DUMMYFUNCTION("""COMPUTED_VALUE"""),"#FPEEF- Formação Pedagógica Educação Física - #FPEEF- Formação Pedagógica Educação Física - Amauri José do Nascimento - Educação em Direitos Humanos/a - Nota Máxima: 9")</f>
        <v>#FPEEF- Formação Pedagógica Educação Física - #FPEEF- Formação Pedagógica Educação Física - Amauri José do Nascimento - Educação em Direitos Humanos/a - Nota Máxima: 9</v>
      </c>
    </row>
    <row r="2325">
      <c r="A2325" s="390" t="str">
        <f>IFERROR(__xludf.DUMMYFUNCTION("""COMPUTED_VALUE"""),"#FPEEF- Formação Pedagógica Educação Física - #FPEEF- Formação Pedagógica Educação Física - Amauri José do Nascimento - Educação em Direitos Humanos/a - Nota Máxima: 7")</f>
        <v>#FPEEF- Formação Pedagógica Educação Física - #FPEEF- Formação Pedagógica Educação Física - Amauri José do Nascimento - Educação em Direitos Humanos/a - Nota Máxima: 7</v>
      </c>
    </row>
    <row r="2326">
      <c r="A2326" s="390" t="str">
        <f>IFERROR(__xludf.DUMMYFUNCTION("""COMPUTED_VALUE"""),"#FPEEF- Formação Pedagógica Educação Física - #FPEEF- Formação Pedagógica Educação Física - Amauri José do Nascimento - Educação Especial em Educação Física - Nota Máxima: 9")</f>
        <v>#FPEEF- Formação Pedagógica Educação Física - #FPEEF- Formação Pedagógica Educação Física - Amauri José do Nascimento - Educação Especial em Educação Física - Nota Máxima: 9</v>
      </c>
    </row>
    <row r="2327">
      <c r="A2327" s="390" t="str">
        <f>IFERROR(__xludf.DUMMYFUNCTION("""COMPUTED_VALUE"""),"#FPEEF- Formação Pedagógica Educação Física - #FPEEF- Formação Pedagógica Educação Física - Amauri José do Nascimento - Educação Especial em Educação Física - Nota Máxima: 10")</f>
        <v>#FPEEF- Formação Pedagógica Educação Física - #FPEEF- Formação Pedagógica Educação Física - Amauri José do Nascimento - Educação Especial em Educação Física - Nota Máxima: 10</v>
      </c>
    </row>
    <row r="2328">
      <c r="A2328" s="390" t="str">
        <f>IFERROR(__xludf.DUMMYFUNCTION("""COMPUTED_VALUE"""),"#FPEEF- Formação Pedagógica Educação Física - #FPEEF- Formação Pedagógica Educação Física - Amauri José do Nascimento - Educação Especial, Inclusão Escolar e Adaptações Curriculares - Nota Máxima: 10")</f>
        <v>#FPEEF- Formação Pedagógica Educação Física - #FPEEF- Formação Pedagógica Educação Física - Amauri José do Nascimento - Educação Especial, Inclusão Escolar e Adaptações Curriculares - Nota Máxima: 10</v>
      </c>
    </row>
    <row r="2329">
      <c r="A2329" s="390" t="str">
        <f>IFERROR(__xludf.DUMMYFUNCTION("""COMPUTED_VALUE"""),"#FPEEF- Formação Pedagógica Educação Física - #FPEEF- Formação Pedagógica Educação Física - Amauri José do Nascimento - Fundamentos Pedagógicos dos Esportes e das Atividades Físicas - Nota Máxima: 9")</f>
        <v>#FPEEF- Formação Pedagógica Educação Física - #FPEEF- Formação Pedagógica Educação Física - Amauri José do Nascimento - Fundamentos Pedagógicos dos Esportes e das Atividades Físicas - Nota Máxima: 9</v>
      </c>
    </row>
    <row r="2330">
      <c r="A2330" s="390" t="str">
        <f>IFERROR(__xludf.DUMMYFUNCTION("""COMPUTED_VALUE"""),"#FPEEF- Formação Pedagógica Educação Física - #FPEEF- Formação Pedagógica Educação Física - Amauri José do Nascimento - Fundamentos Pedagógicos dos Esportes e das Atividades Físicas - Nota Máxima: 8")</f>
        <v>#FPEEF- Formação Pedagógica Educação Física - #FPEEF- Formação Pedagógica Educação Física - Amauri José do Nascimento - Fundamentos Pedagógicos dos Esportes e das Atividades Físicas - Nota Máxima: 8</v>
      </c>
    </row>
    <row r="2331">
      <c r="A2331" s="390" t="str">
        <f>IFERROR(__xludf.DUMMYFUNCTION("""COMPUTED_VALUE"""),"#FPEEF- Formação Pedagógica Educação Física - #FPEEF- Formação Pedagógica Educação Física - Amauri José do Nascimento - Introdução à Neurociência e Neuroeducação - Nota Máxima: 8")</f>
        <v>#FPEEF- Formação Pedagógica Educação Física - #FPEEF- Formação Pedagógica Educação Física - Amauri José do Nascimento - Introdução à Neurociência e Neuroeducação - Nota Máxima: 8</v>
      </c>
    </row>
    <row r="2332">
      <c r="A2332" s="390" t="str">
        <f>IFERROR(__xludf.DUMMYFUNCTION("""COMPUTED_VALUE"""),"#FPEEF- Formação Pedagógica Educação Física - #FPEEF- Formação Pedagógica Educação Física - Amauri José do Nascimento - Introdução à Neurociência e Neuroeducação - Nota Máxima: 8")</f>
        <v>#FPEEF- Formação Pedagógica Educação Física - #FPEEF- Formação Pedagógica Educação Física - Amauri José do Nascimento - Introdução à Neurociência e Neuroeducação - Nota Máxima: 8</v>
      </c>
    </row>
    <row r="2333">
      <c r="A2333" s="390" t="str">
        <f>IFERROR(__xludf.DUMMYFUNCTION("""COMPUTED_VALUE"""),"#FPEEF- Formação Pedagógica Educação Física - #FPEEF- Formação Pedagógica Educação Física - Amauri José do Nascimento - Legislação e Políticas para Educação Inclusiva e Especial - Nota Máxima: 9")</f>
        <v>#FPEEF- Formação Pedagógica Educação Física - #FPEEF- Formação Pedagógica Educação Física - Amauri José do Nascimento - Legislação e Políticas para Educação Inclusiva e Especial - Nota Máxima: 9</v>
      </c>
    </row>
    <row r="2334">
      <c r="A2334" s="390" t="str">
        <f>IFERROR(__xludf.DUMMYFUNCTION("""COMPUTED_VALUE"""),"#FPEEF- Formação Pedagógica Educação Física - #FPEEF- Formação Pedagógica Educação Física - Amauri José do Nascimento - Legislação e Políticas para Educação Inclusiva e Especial - Nota Máxima: 6")</f>
        <v>#FPEEF- Formação Pedagógica Educação Física - #FPEEF- Formação Pedagógica Educação Física - Amauri José do Nascimento - Legislação e Políticas para Educação Inclusiva e Especial - Nota Máxima: 6</v>
      </c>
    </row>
    <row r="2335">
      <c r="A2335" s="390" t="str">
        <f>IFERROR(__xludf.DUMMYFUNCTION("""COMPUTED_VALUE"""),"#FPEEF- Formação Pedagógica Educação Física - #FPEEF- Formação Pedagógica Educação Física - Amauri José do Nascimento - Legislação Educacional/a - Nota Máxima: 8")</f>
        <v>#FPEEF- Formação Pedagógica Educação Física - #FPEEF- Formação Pedagógica Educação Física - Amauri José do Nascimento - Legislação Educacional/a - Nota Máxima: 8</v>
      </c>
    </row>
    <row r="2336">
      <c r="A2336" s="390" t="str">
        <f>IFERROR(__xludf.DUMMYFUNCTION("""COMPUTED_VALUE"""),"#FPEEF- Formação Pedagógica Educação Física - #FPEEF- Formação Pedagógica Educação Física - Amauri José do Nascimento - Legislação Educacional/a - Nota Máxima: 7")</f>
        <v>#FPEEF- Formação Pedagógica Educação Física - #FPEEF- Formação Pedagógica Educação Física - Amauri José do Nascimento - Legislação Educacional/a - Nota Máxima: 7</v>
      </c>
    </row>
    <row r="2337">
      <c r="A2337" s="390" t="str">
        <f>IFERROR(__xludf.DUMMYFUNCTION("""COMPUTED_VALUE"""),"#FPEEF- Formação Pedagógica Educação Física - #FPEEF- Formação Pedagógica Educação Física - Amauri José do Nascimento - Planejamento, Gestão Educacional e Currículo/a - Nota Máxima: 9")</f>
        <v>#FPEEF- Formação Pedagógica Educação Física - #FPEEF- Formação Pedagógica Educação Física - Amauri José do Nascimento - Planejamento, Gestão Educacional e Currículo/a - Nota Máxima: 9</v>
      </c>
    </row>
    <row r="2338">
      <c r="A2338" s="390" t="str">
        <f>IFERROR(__xludf.DUMMYFUNCTION("""COMPUTED_VALUE"""),"#FPEEF- Formação Pedagógica Educação Física - #FPEEF- Formação Pedagógica Educação Física - Amauri José do Nascimento - Planejamento, Gestão Educacional e Currículo/a - Nota Máxima: 8")</f>
        <v>#FPEEF- Formação Pedagógica Educação Física - #FPEEF- Formação Pedagógica Educação Física - Amauri José do Nascimento - Planejamento, Gestão Educacional e Currículo/a - Nota Máxima: 8</v>
      </c>
    </row>
    <row r="2339">
      <c r="A2339" s="390" t="str">
        <f>IFERROR(__xludf.DUMMYFUNCTION("""COMPUTED_VALUE"""),"#FPEEF- Formação Pedagógica Educação Física - #FPEEF- Formação Pedagógica Educação Física - Amauri José do Nascimento - Práticas Corporais Adaptadas para Grupos Especiais/a - Nota Máxima: 9")</f>
        <v>#FPEEF- Formação Pedagógica Educação Física - #FPEEF- Formação Pedagógica Educação Física - Amauri José do Nascimento - Práticas Corporais Adaptadas para Grupos Especiais/a - Nota Máxima: 9</v>
      </c>
    </row>
    <row r="2340">
      <c r="A2340" s="390" t="str">
        <f>IFERROR(__xludf.DUMMYFUNCTION("""COMPUTED_VALUE"""),"#FPEEF- Formação Pedagógica Educação Física - #FPEEF- Formação Pedagógica Educação Física - Amauri José do Nascimento - Práticas Corporais Adaptadas para Grupos Especiais/a - Nota Máxima: 7")</f>
        <v>#FPEEF- Formação Pedagógica Educação Física - #FPEEF- Formação Pedagógica Educação Física - Amauri José do Nascimento - Práticas Corporais Adaptadas para Grupos Especiais/a - Nota Máxima: 7</v>
      </c>
    </row>
    <row r="2341">
      <c r="A2341" s="390" t="str">
        <f>IFERROR(__xludf.DUMMYFUNCTION("""COMPUTED_VALUE"""),"#FPEEF- Formação Pedagógica Educação Física - #FPEEF- Formação Pedagógica Educação Física - Amauri José do Nascimento - Práticas Pedagógicas - 400 Horas - Nota Máxima: 45784")</f>
        <v>#FPEEF- Formação Pedagógica Educação Física - #FPEEF- Formação Pedagógica Educação Física - Amauri José do Nascimento - Práticas Pedagógicas - 400 Horas - Nota Máxima: 45784</v>
      </c>
    </row>
    <row r="2342">
      <c r="A2342" s="390" t="str">
        <f>IFERROR(__xludf.DUMMYFUNCTION("""COMPUTED_VALUE"""),"#FPEEF- Formação Pedagógica Educação Física - #FPEEF- Formação Pedagógica Educação Física - Amauri José do Nascimento - Práticas Pedagógicas - 400 Horas - Nota Máxima: 45784")</f>
        <v>#FPEEF- Formação Pedagógica Educação Física - #FPEEF- Formação Pedagógica Educação Física - Amauri José do Nascimento - Práticas Pedagógicas - 400 Horas - Nota Máxima: 45784</v>
      </c>
    </row>
    <row r="2343">
      <c r="A2343" s="390" t="str">
        <f>IFERROR(__xludf.DUMMYFUNCTION("""COMPUTED_VALUE"""),"#FPEEF- Formação Pedagógica Educação Física - #FPEEF- Formação Pedagógica Educação Física - Amauri José do Nascimento - Psicologia da Educação/a - Nota Máxima: 9")</f>
        <v>#FPEEF- Formação Pedagógica Educação Física - #FPEEF- Formação Pedagógica Educação Física - Amauri José do Nascimento - Psicologia da Educação/a - Nota Máxima: 9</v>
      </c>
    </row>
    <row r="2344">
      <c r="A2344" s="390" t="str">
        <f>IFERROR(__xludf.DUMMYFUNCTION("""COMPUTED_VALUE"""),"#FPEEF- Formação Pedagógica Educação Física - #FPEEF- Formação Pedagógica Educação Física - Amauri José do Nascimento - Psicologia da Educação/a - Nota Máxima: 6")</f>
        <v>#FPEEF- Formação Pedagógica Educação Física - #FPEEF- Formação Pedagógica Educação Física - Amauri José do Nascimento - Psicologia da Educação/a - Nota Máxima: 6</v>
      </c>
    </row>
    <row r="2345">
      <c r="A2345" s="390" t="str">
        <f>IFERROR(__xludf.DUMMYFUNCTION("""COMPUTED_VALUE"""),"#FPEEF- Formação Pedagógica Educação Física - #FPEEF- Formação Pedagógica Educação Física - Delcia Cristina de Oliveira - Atuação Docente na Educação Inclusiva - Nota Máxima: 9")</f>
        <v>#FPEEF- Formação Pedagógica Educação Física - #FPEEF- Formação Pedagógica Educação Física - Delcia Cristina de Oliveira - Atuação Docente na Educação Inclusiva - Nota Máxima: 9</v>
      </c>
    </row>
    <row r="2346">
      <c r="A2346" s="390" t="str">
        <f>IFERROR(__xludf.DUMMYFUNCTION("""COMPUTED_VALUE"""),"#FPEEF- Formação Pedagógica Educação Física - #FPEEF- Formação Pedagógica Educação Física - Delcia Cristina de Oliveira - Cultura e Diversidade - Nota Máxima: 10")</f>
        <v>#FPEEF- Formação Pedagógica Educação Física - #FPEEF- Formação Pedagógica Educação Física - Delcia Cristina de Oliveira - Cultura e Diversidade - Nota Máxima: 10</v>
      </c>
    </row>
    <row r="2347">
      <c r="A2347" s="390" t="str">
        <f>IFERROR(__xludf.DUMMYFUNCTION("""COMPUTED_VALUE"""),"#FPEEF- Formação Pedagógica Educação Física - #FPEEF- Formação Pedagógica Educação Física - Delcia Cristina de Oliveira - Deficiência Auditiva e Libras/a - Nota Máxima: 10")</f>
        <v>#FPEEF- Formação Pedagógica Educação Física - #FPEEF- Formação Pedagógica Educação Física - Delcia Cristina de Oliveira - Deficiência Auditiva e Libras/a - Nota Máxima: 10</v>
      </c>
    </row>
    <row r="2348">
      <c r="A2348" s="390" t="str">
        <f>IFERROR(__xludf.DUMMYFUNCTION("""COMPUTED_VALUE"""),"#FPEEF- Formação Pedagógica Educação Física - #FPEEF- Formação Pedagógica Educação Física - Delcia Cristina de Oliveira - Deficiência Auditiva e Libras/a - Nota Máxima: 9")</f>
        <v>#FPEEF- Formação Pedagógica Educação Física - #FPEEF- Formação Pedagógica Educação Física - Delcia Cristina de Oliveira - Deficiência Auditiva e Libras/a - Nota Máxima: 9</v>
      </c>
    </row>
    <row r="2349">
      <c r="A2349" s="390" t="str">
        <f>IFERROR(__xludf.DUMMYFUNCTION("""COMPUTED_VALUE"""),"#FPEEF- Formação Pedagógica Educação Física - #FPEEF- Formação Pedagógica Educação Física - Delcia Cristina de Oliveira - Educação em Direitos Humanos/a - Nota Máxima: 10")</f>
        <v>#FPEEF- Formação Pedagógica Educação Física - #FPEEF- Formação Pedagógica Educação Física - Delcia Cristina de Oliveira - Educação em Direitos Humanos/a - Nota Máxima: 10</v>
      </c>
    </row>
    <row r="2350">
      <c r="A2350" s="390" t="str">
        <f>IFERROR(__xludf.DUMMYFUNCTION("""COMPUTED_VALUE"""),"#FPEEF- Formação Pedagógica Educação Física - #FPEEF- Formação Pedagógica Educação Física - Delcia Cristina de Oliveira - Educação Especial em Educação Física - Nota Máxima: 10")</f>
        <v>#FPEEF- Formação Pedagógica Educação Física - #FPEEF- Formação Pedagógica Educação Física - Delcia Cristina de Oliveira - Educação Especial em Educação Física - Nota Máxima: 10</v>
      </c>
    </row>
    <row r="2351">
      <c r="A2351" s="390" t="str">
        <f>IFERROR(__xludf.DUMMYFUNCTION("""COMPUTED_VALUE"""),"#FPEEF- Formação Pedagógica Educação Física - #FPEEF- Formação Pedagógica Educação Física - Delcia Cristina de Oliveira - Educação Especial em Educação Física - Nota Máxima: 7")</f>
        <v>#FPEEF- Formação Pedagógica Educação Física - #FPEEF- Formação Pedagógica Educação Física - Delcia Cristina de Oliveira - Educação Especial em Educação Física - Nota Máxima: 7</v>
      </c>
    </row>
    <row r="2352">
      <c r="A2352" s="390" t="str">
        <f>IFERROR(__xludf.DUMMYFUNCTION("""COMPUTED_VALUE"""),"#FPEEF- Formação Pedagógica Educação Física - #FPEEF- Formação Pedagógica Educação Física - Delcia Cristina de Oliveira - Educação Especial, Inclusão Escolar e Adaptações Curriculares - Nota Máxima: 9")</f>
        <v>#FPEEF- Formação Pedagógica Educação Física - #FPEEF- Formação Pedagógica Educação Física - Delcia Cristina de Oliveira - Educação Especial, Inclusão Escolar e Adaptações Curriculares - Nota Máxima: 9</v>
      </c>
    </row>
    <row r="2353">
      <c r="A2353" s="390" t="str">
        <f>IFERROR(__xludf.DUMMYFUNCTION("""COMPUTED_VALUE"""),"#FPEEF- Formação Pedagógica Educação Física - #FPEEF- Formação Pedagógica Educação Física - Delcia Cristina de Oliveira - Educação Especial, Inclusão Escolar e Adaptações Curriculares - Nota Máxima: 8")</f>
        <v>#FPEEF- Formação Pedagógica Educação Física - #FPEEF- Formação Pedagógica Educação Física - Delcia Cristina de Oliveira - Educação Especial, Inclusão Escolar e Adaptações Curriculares - Nota Máxima: 8</v>
      </c>
    </row>
    <row r="2354">
      <c r="A2354" s="390" t="str">
        <f>IFERROR(__xludf.DUMMYFUNCTION("""COMPUTED_VALUE"""),"#FPEEF- Formação Pedagógica Educação Física - #FPEEF- Formação Pedagógica Educação Física - Delcia Cristina de Oliveira - Fundamentos Pedagógicos dos Esportes e das Atividades Físicas - Nota Máxima: 10")</f>
        <v>#FPEEF- Formação Pedagógica Educação Física - #FPEEF- Formação Pedagógica Educação Física - Delcia Cristina de Oliveira - Fundamentos Pedagógicos dos Esportes e das Atividades Físicas - Nota Máxima: 10</v>
      </c>
    </row>
    <row r="2355">
      <c r="A2355" s="390" t="str">
        <f>IFERROR(__xludf.DUMMYFUNCTION("""COMPUTED_VALUE"""),"#FPEEF- Formação Pedagógica Educação Física - #FPEEF- Formação Pedagógica Educação Física - Delcia Cristina de Oliveira - Fundamentos Pedagógicos dos Esportes e das Atividades Físicas - Nota Máxima: 7")</f>
        <v>#FPEEF- Formação Pedagógica Educação Física - #FPEEF- Formação Pedagógica Educação Física - Delcia Cristina de Oliveira - Fundamentos Pedagógicos dos Esportes e das Atividades Físicas - Nota Máxima: 7</v>
      </c>
    </row>
    <row r="2356">
      <c r="A2356" s="390" t="str">
        <f>IFERROR(__xludf.DUMMYFUNCTION("""COMPUTED_VALUE"""),"#FPEEF- Formação Pedagógica Educação Física - #FPEEF- Formação Pedagógica Educação Física - Delcia Cristina de Oliveira - Introdução à Neurociência e Neuroeducação - Nota Máxima: 10")</f>
        <v>#FPEEF- Formação Pedagógica Educação Física - #FPEEF- Formação Pedagógica Educação Física - Delcia Cristina de Oliveira - Introdução à Neurociência e Neuroeducação - Nota Máxima: 10</v>
      </c>
    </row>
    <row r="2357">
      <c r="A2357" s="390" t="str">
        <f>IFERROR(__xludf.DUMMYFUNCTION("""COMPUTED_VALUE"""),"#FPEEF- Formação Pedagógica Educação Física - #FPEEF- Formação Pedagógica Educação Física - Delcia Cristina de Oliveira - Introdução à Neurociência e Neuroeducação - Nota Máxima: 10")</f>
        <v>#FPEEF- Formação Pedagógica Educação Física - #FPEEF- Formação Pedagógica Educação Física - Delcia Cristina de Oliveira - Introdução à Neurociência e Neuroeducação - Nota Máxima: 10</v>
      </c>
    </row>
    <row r="2358">
      <c r="A2358" s="390" t="str">
        <f>IFERROR(__xludf.DUMMYFUNCTION("""COMPUTED_VALUE"""),"#FPEEF- Formação Pedagógica Educação Física - #FPEEF- Formação Pedagógica Educação Física - Delcia Cristina de Oliveira - Legislação e Políticas para Educação Inclusiva e Especial - Nota Máxima: 9")</f>
        <v>#FPEEF- Formação Pedagógica Educação Física - #FPEEF- Formação Pedagógica Educação Física - Delcia Cristina de Oliveira - Legislação e Políticas para Educação Inclusiva e Especial - Nota Máxima: 9</v>
      </c>
    </row>
    <row r="2359">
      <c r="A2359" s="390" t="str">
        <f>IFERROR(__xludf.DUMMYFUNCTION("""COMPUTED_VALUE"""),"#FPEEF- Formação Pedagógica Educação Física - #FPEEF- Formação Pedagógica Educação Física - Delcia Cristina de Oliveira - Legislação e Políticas para Educação Inclusiva e Especial - Nota Máxima: 8")</f>
        <v>#FPEEF- Formação Pedagógica Educação Física - #FPEEF- Formação Pedagógica Educação Física - Delcia Cristina de Oliveira - Legislação e Políticas para Educação Inclusiva e Especial - Nota Máxima: 8</v>
      </c>
    </row>
    <row r="2360">
      <c r="A2360" s="390" t="str">
        <f>IFERROR(__xludf.DUMMYFUNCTION("""COMPUTED_VALUE"""),"#FPEEF- Formação Pedagógica Educação Física - #FPEEF- Formação Pedagógica Educação Física - Delcia Cristina de Oliveira - Legislação Educacional/a - Nota Máxima: 9")</f>
        <v>#FPEEF- Formação Pedagógica Educação Física - #FPEEF- Formação Pedagógica Educação Física - Delcia Cristina de Oliveira - Legislação Educacional/a - Nota Máxima: 9</v>
      </c>
    </row>
    <row r="2361">
      <c r="A2361" s="390" t="str">
        <f>IFERROR(__xludf.DUMMYFUNCTION("""COMPUTED_VALUE"""),"#FPEEF- Formação Pedagógica Educação Física - #FPEEF- Formação Pedagógica Educação Física - Delcia Cristina de Oliveira - Legislação Educacional/a - Nota Máxima: 5")</f>
        <v>#FPEEF- Formação Pedagógica Educação Física - #FPEEF- Formação Pedagógica Educação Física - Delcia Cristina de Oliveira - Legislação Educacional/a - Nota Máxima: 5</v>
      </c>
    </row>
    <row r="2362">
      <c r="A2362" s="390" t="str">
        <f>IFERROR(__xludf.DUMMYFUNCTION("""COMPUTED_VALUE"""),"#FPEEF- Formação Pedagógica Educação Física - #FPEEF- Formação Pedagógica Educação Física - Delcia Cristina de Oliveira - Planejamento, Gestão Educacional e Currículo/a - Nota Máxima: 10")</f>
        <v>#FPEEF- Formação Pedagógica Educação Física - #FPEEF- Formação Pedagógica Educação Física - Delcia Cristina de Oliveira - Planejamento, Gestão Educacional e Currículo/a - Nota Máxima: 10</v>
      </c>
    </row>
    <row r="2363">
      <c r="A2363" s="390" t="str">
        <f>IFERROR(__xludf.DUMMYFUNCTION("""COMPUTED_VALUE"""),"#FPEEF- Formação Pedagógica Educação Física - #FPEEF- Formação Pedagógica Educação Física - Delcia Cristina de Oliveira - Planejamento, Gestão Educacional e Currículo/a - Nota Máxima: 10")</f>
        <v>#FPEEF- Formação Pedagógica Educação Física - #FPEEF- Formação Pedagógica Educação Física - Delcia Cristina de Oliveira - Planejamento, Gestão Educacional e Currículo/a - Nota Máxima: 10</v>
      </c>
    </row>
    <row r="2364">
      <c r="A2364" s="390" t="str">
        <f>IFERROR(__xludf.DUMMYFUNCTION("""COMPUTED_VALUE"""),"#FPEEF- Formação Pedagógica Educação Física - #FPEEF- Formação Pedagógica Educação Física - Delcia Cristina de Oliveira - Práticas Corporais Adaptadas para Grupos Especiais/a - Nota Máxima: 9")</f>
        <v>#FPEEF- Formação Pedagógica Educação Física - #FPEEF- Formação Pedagógica Educação Física - Delcia Cristina de Oliveira - Práticas Corporais Adaptadas para Grupos Especiais/a - Nota Máxima: 9</v>
      </c>
    </row>
    <row r="2365">
      <c r="A2365" s="390" t="str">
        <f>IFERROR(__xludf.DUMMYFUNCTION("""COMPUTED_VALUE"""),"#FPEEF- Formação Pedagógica Educação Física - #FPEEF- Formação Pedagógica Educação Física - Delcia Cristina de Oliveira - Práticas Corporais Adaptadas para Grupos Especiais/a - Nota Máxima: 9")</f>
        <v>#FPEEF- Formação Pedagógica Educação Física - #FPEEF- Formação Pedagógica Educação Física - Delcia Cristina de Oliveira - Práticas Corporais Adaptadas para Grupos Especiais/a - Nota Máxima: 9</v>
      </c>
    </row>
    <row r="2366">
      <c r="A2366" s="390" t="str">
        <f>IFERROR(__xludf.DUMMYFUNCTION("""COMPUTED_VALUE"""),"#FPEEF- Formação Pedagógica Educação Física - #FPEEF- Formação Pedagógica Educação Física - Delcia Cristina de Oliveira - Práticas Pedagógicas - 400 Horas - Nota Máxima: 10")</f>
        <v>#FPEEF- Formação Pedagógica Educação Física - #FPEEF- Formação Pedagógica Educação Física - Delcia Cristina de Oliveira - Práticas Pedagógicas - 400 Horas - Nota Máxima: 10</v>
      </c>
    </row>
    <row r="2367">
      <c r="A2367" s="390" t="str">
        <f>IFERROR(__xludf.DUMMYFUNCTION("""COMPUTED_VALUE"""),"#FPEEF- Formação Pedagógica Educação Física - #FPEEF- Formação Pedagógica Educação Física - Delcia Cristina de Oliveira - Práticas Pedagógicas - 400 Horas - Nota Máxima: 10")</f>
        <v>#FPEEF- Formação Pedagógica Educação Física - #FPEEF- Formação Pedagógica Educação Física - Delcia Cristina de Oliveira - Práticas Pedagógicas - 400 Horas - Nota Máxima: 10</v>
      </c>
    </row>
    <row r="2368">
      <c r="A2368" s="390" t="str">
        <f>IFERROR(__xludf.DUMMYFUNCTION("""COMPUTED_VALUE"""),"#FPEEF- Formação Pedagógica Educação Física - #FPEEF- Formação Pedagógica Educação Física - Delcia Cristina de Oliveira - Psicologia da Educação/a - Nota Máxima: 9")</f>
        <v>#FPEEF- Formação Pedagógica Educação Física - #FPEEF- Formação Pedagógica Educação Física - Delcia Cristina de Oliveira - Psicologia da Educação/a - Nota Máxima: 9</v>
      </c>
    </row>
    <row r="2369">
      <c r="A2369" s="390" t="str">
        <f>IFERROR(__xludf.DUMMYFUNCTION("""COMPUTED_VALUE"""),"#FPEEF- Formação Pedagógica Educação Física - #FPEEF- Formação Pedagógica Educação Física - Elen cristina martos cruz - Atuação Docente na Educação Inclusiva - Nota Máxima: 9")</f>
        <v>#FPEEF- Formação Pedagógica Educação Física - #FPEEF- Formação Pedagógica Educação Física - Elen cristina martos cruz - Atuação Docente na Educação Inclusiva - Nota Máxima: 9</v>
      </c>
    </row>
    <row r="2370">
      <c r="A2370" s="390" t="str">
        <f>IFERROR(__xludf.DUMMYFUNCTION("""COMPUTED_VALUE"""),"#FPEEF- Formação Pedagógica Educação Física - #FPEEF- Formação Pedagógica Educação Física - Elen cristina martos cruz - Cultura e Diversidade - Nota Máxima: 9")</f>
        <v>#FPEEF- Formação Pedagógica Educação Física - #FPEEF- Formação Pedagógica Educação Física - Elen cristina martos cruz - Cultura e Diversidade - Nota Máxima: 9</v>
      </c>
    </row>
    <row r="2371">
      <c r="A2371" s="390" t="str">
        <f>IFERROR(__xludf.DUMMYFUNCTION("""COMPUTED_VALUE"""),"#FPEEF- Formação Pedagógica Educação Física - #FPEEF- Formação Pedagógica Educação Física - Elen cristina martos cruz - Deficiência Auditiva e Libras/a - Nota Máxima: 9")</f>
        <v>#FPEEF- Formação Pedagógica Educação Física - #FPEEF- Formação Pedagógica Educação Física - Elen cristina martos cruz - Deficiência Auditiva e Libras/a - Nota Máxima: 9</v>
      </c>
    </row>
    <row r="2372">
      <c r="A2372" s="390" t="str">
        <f>IFERROR(__xludf.DUMMYFUNCTION("""COMPUTED_VALUE"""),"#FPEEF- Formação Pedagógica Educação Física - #FPEEF- Formação Pedagógica Educação Física - Elen cristina martos cruz - Educação Especial, Inclusão Escolar e Adaptações Curriculares - Nota Máxima: 9")</f>
        <v>#FPEEF- Formação Pedagógica Educação Física - #FPEEF- Formação Pedagógica Educação Física - Elen cristina martos cruz - Educação Especial, Inclusão Escolar e Adaptações Curriculares - Nota Máxima: 9</v>
      </c>
    </row>
    <row r="2373">
      <c r="A2373" s="390" t="str">
        <f>IFERROR(__xludf.DUMMYFUNCTION("""COMPUTED_VALUE"""),"#FPEEF- Formação Pedagógica Educação Física - #FPEEF- Formação Pedagógica Educação Física - Elen cristina martos cruz - Fundamentos Pedagógicos dos Esportes e das Atividades Físicas - Nota Máxima: 9")</f>
        <v>#FPEEF- Formação Pedagógica Educação Física - #FPEEF- Formação Pedagógica Educação Física - Elen cristina martos cruz - Fundamentos Pedagógicos dos Esportes e das Atividades Físicas - Nota Máxima: 9</v>
      </c>
    </row>
    <row r="2374">
      <c r="A2374" s="390" t="str">
        <f>IFERROR(__xludf.DUMMYFUNCTION("""COMPUTED_VALUE"""),"#FPEEF- Formação Pedagógica Educação Física - #FPEEF- Formação Pedagógica Educação Física - Elen cristina martos cruz - Introdução à Neurociência e Neuroeducação - Nota Máxima: 10")</f>
        <v>#FPEEF- Formação Pedagógica Educação Física - #FPEEF- Formação Pedagógica Educação Física - Elen cristina martos cruz - Introdução à Neurociência e Neuroeducação - Nota Máxima: 10</v>
      </c>
    </row>
    <row r="2375">
      <c r="A2375" s="390" t="str">
        <f>IFERROR(__xludf.DUMMYFUNCTION("""COMPUTED_VALUE"""),"#FPEEF- Formação Pedagógica Educação Física - #FPEEF- Formação Pedagógica Educação Física - Elen cristina martos cruz - Legislação e Políticas para Educação Inclusiva e Especial - Nota Máxima: 7")</f>
        <v>#FPEEF- Formação Pedagógica Educação Física - #FPEEF- Formação Pedagógica Educação Física - Elen cristina martos cruz - Legislação e Políticas para Educação Inclusiva e Especial - Nota Máxima: 7</v>
      </c>
    </row>
    <row r="2376">
      <c r="A2376" s="390" t="str">
        <f>IFERROR(__xludf.DUMMYFUNCTION("""COMPUTED_VALUE"""),"#FPEEF- Formação Pedagógica Educação Física - #FPEEF- Formação Pedagógica Educação Física - Elen cristina martos cruz - Legislação Educacional/a - Nota Máxima: 10")</f>
        <v>#FPEEF- Formação Pedagógica Educação Física - #FPEEF- Formação Pedagógica Educação Física - Elen cristina martos cruz - Legislação Educacional/a - Nota Máxima: 10</v>
      </c>
    </row>
    <row r="2377">
      <c r="A2377" s="390" t="str">
        <f>IFERROR(__xludf.DUMMYFUNCTION("""COMPUTED_VALUE"""),"#FPEEF- Formação Pedagógica Educação Física - #FPEEF- Formação Pedagógica Educação Física - Elen cristina martos cruz - Planejamento, Gestão Educacional e Currículo/a - Nota Máxima: 10")</f>
        <v>#FPEEF- Formação Pedagógica Educação Física - #FPEEF- Formação Pedagógica Educação Física - Elen cristina martos cruz - Planejamento, Gestão Educacional e Currículo/a - Nota Máxima: 10</v>
      </c>
    </row>
    <row r="2378">
      <c r="A2378" s="390" t="str">
        <f>IFERROR(__xludf.DUMMYFUNCTION("""COMPUTED_VALUE"""),"#FPEEF- Formação Pedagógica Educação Física - #FPEEF- Formação Pedagógica Educação Física - Elen cristina martos cruz - Práticas Pedagógicas - 400 Horas - Nota Máxima: 10")</f>
        <v>#FPEEF- Formação Pedagógica Educação Física - #FPEEF- Formação Pedagógica Educação Física - Elen cristina martos cruz - Práticas Pedagógicas - 400 Horas - Nota Máxima: 10</v>
      </c>
    </row>
    <row r="2379">
      <c r="A2379" s="390" t="str">
        <f>IFERROR(__xludf.DUMMYFUNCTION("""COMPUTED_VALUE"""),"#FPEEF- Formação Pedagógica Educação Física - #FPEEF- Formação Pedagógica Educação Física - Elen cristina martos cruz - Psicologia da Educação/a - Nota Máxima: 10")</f>
        <v>#FPEEF- Formação Pedagógica Educação Física - #FPEEF- Formação Pedagógica Educação Física - Elen cristina martos cruz - Psicologia da Educação/a - Nota Máxima: 10</v>
      </c>
    </row>
    <row r="2380">
      <c r="A2380" s="390" t="str">
        <f>IFERROR(__xludf.DUMMYFUNCTION("""COMPUTED_VALUE"""),"#FPEEF- Formação Pedagógica Educação Física - #FPEEF- Formação Pedagógica Educação Física - Larissa Costa Da Silva - Atuação Docente na Educação Inclusiva - Nota Máxima: 9")</f>
        <v>#FPEEF- Formação Pedagógica Educação Física - #FPEEF- Formação Pedagógica Educação Física - Larissa Costa Da Silva - Atuação Docente na Educação Inclusiva - Nota Máxima: 9</v>
      </c>
    </row>
    <row r="2381">
      <c r="A2381" s="390" t="str">
        <f>IFERROR(__xludf.DUMMYFUNCTION("""COMPUTED_VALUE"""),"#FPEEF- Formação Pedagógica Educação Física - #FPEEF- Formação Pedagógica Educação Física - Larissa Costa Da Silva - Cultura e Diversidade - Nota Máxima: 8")</f>
        <v>#FPEEF- Formação Pedagógica Educação Física - #FPEEF- Formação Pedagógica Educação Física - Larissa Costa Da Silva - Cultura e Diversidade - Nota Máxima: 8</v>
      </c>
    </row>
    <row r="2382">
      <c r="A2382" s="390" t="str">
        <f>IFERROR(__xludf.DUMMYFUNCTION("""COMPUTED_VALUE"""),"#FPEEF- Formação Pedagógica Educação Física - #FPEEF- Formação Pedagógica Educação Física - Larissa Costa Da Silva - Educação em Direitos Humanos/a - Nota Máxima: 8")</f>
        <v>#FPEEF- Formação Pedagógica Educação Física - #FPEEF- Formação Pedagógica Educação Física - Larissa Costa Da Silva - Educação em Direitos Humanos/a - Nota Máxima: 8</v>
      </c>
    </row>
    <row r="2383">
      <c r="A2383" s="390" t="str">
        <f>IFERROR(__xludf.DUMMYFUNCTION("""COMPUTED_VALUE"""),"#FPEEF- Formação Pedagógica Educação Física - #FPEEF- Formação Pedagógica Educação Física - Larissa Costa Da Silva - Educação Especial em Educação Física - Nota Máxima: 9")</f>
        <v>#FPEEF- Formação Pedagógica Educação Física - #FPEEF- Formação Pedagógica Educação Física - Larissa Costa Da Silva - Educação Especial em Educação Física - Nota Máxima: 9</v>
      </c>
    </row>
    <row r="2384">
      <c r="A2384" s="390" t="str">
        <f>IFERROR(__xludf.DUMMYFUNCTION("""COMPUTED_VALUE"""),"#FPEEF- Formação Pedagógica Educação Física - #FPEEF- Formação Pedagógica Educação Física - Larissa Costa Da Silva - Educação Especial, Inclusão Escolar e Adaptações Curriculares - Nota Máxima: 10")</f>
        <v>#FPEEF- Formação Pedagógica Educação Física - #FPEEF- Formação Pedagógica Educação Física - Larissa Costa Da Silva - Educação Especial, Inclusão Escolar e Adaptações Curriculares - Nota Máxima: 10</v>
      </c>
    </row>
    <row r="2385">
      <c r="A2385" s="390" t="str">
        <f>IFERROR(__xludf.DUMMYFUNCTION("""COMPUTED_VALUE"""),"#FPEEF- Formação Pedagógica Educação Física - #FPEEF- Formação Pedagógica Educação Física - Larissa Costa Da Silva - Fundamentos Pedagógicos dos Esportes e das Atividades Físicas - Nota Máxima: 9")</f>
        <v>#FPEEF- Formação Pedagógica Educação Física - #FPEEF- Formação Pedagógica Educação Física - Larissa Costa Da Silva - Fundamentos Pedagógicos dos Esportes e das Atividades Físicas - Nota Máxima: 9</v>
      </c>
    </row>
    <row r="2386">
      <c r="A2386" s="390" t="str">
        <f>IFERROR(__xludf.DUMMYFUNCTION("""COMPUTED_VALUE"""),"#FPEEF- Formação Pedagógica Educação Física - #FPEEF- Formação Pedagógica Educação Física - Larissa Costa Da Silva - Introdução à Neurociência e Neuroeducação - Nota Máxima: 10")</f>
        <v>#FPEEF- Formação Pedagógica Educação Física - #FPEEF- Formação Pedagógica Educação Física - Larissa Costa Da Silva - Introdução à Neurociência e Neuroeducação - Nota Máxima: 10</v>
      </c>
    </row>
    <row r="2387">
      <c r="A2387" s="390" t="str">
        <f>IFERROR(__xludf.DUMMYFUNCTION("""COMPUTED_VALUE"""),"#FPEEF- Formação Pedagógica Educação Física - #FPEEF- Formação Pedagógica Educação Física - Larissa Costa Da Silva - Legislação e Políticas para Educação Inclusiva e Especial - Nota Máxima: 8")</f>
        <v>#FPEEF- Formação Pedagógica Educação Física - #FPEEF- Formação Pedagógica Educação Física - Larissa Costa Da Silva - Legislação e Políticas para Educação Inclusiva e Especial - Nota Máxima: 8</v>
      </c>
    </row>
    <row r="2388">
      <c r="A2388" s="390" t="str">
        <f>IFERROR(__xludf.DUMMYFUNCTION("""COMPUTED_VALUE"""),"#FPEEF- Formação Pedagógica Educação Física - #FPEEF- Formação Pedagógica Educação Física - Larissa Costa Da Silva - Legislação Educacional/a - Nota Máxima: 10")</f>
        <v>#FPEEF- Formação Pedagógica Educação Física - #FPEEF- Formação Pedagógica Educação Física - Larissa Costa Da Silva - Legislação Educacional/a - Nota Máxima: 10</v>
      </c>
    </row>
    <row r="2389">
      <c r="A2389" s="390" t="str">
        <f>IFERROR(__xludf.DUMMYFUNCTION("""COMPUTED_VALUE"""),"#FPEEF- Formação Pedagógica Educação Física - #FPEEF- Formação Pedagógica Educação Física - Larissa Costa Da Silva - Planejamento, Gestão Educacional e Currículo/a - Nota Máxima: 10")</f>
        <v>#FPEEF- Formação Pedagógica Educação Física - #FPEEF- Formação Pedagógica Educação Física - Larissa Costa Da Silva - Planejamento, Gestão Educacional e Currículo/a - Nota Máxima: 10</v>
      </c>
    </row>
    <row r="2390">
      <c r="A2390" s="390" t="str">
        <f>IFERROR(__xludf.DUMMYFUNCTION("""COMPUTED_VALUE"""),"#FPEEF- Formação Pedagógica Educação Física - #FPEEF- Formação Pedagógica Educação Física - Larissa Costa Da Silva - Práticas Corporais Adaptadas para Grupos Especiais/a - Nota Máxima: 8")</f>
        <v>#FPEEF- Formação Pedagógica Educação Física - #FPEEF- Formação Pedagógica Educação Física - Larissa Costa Da Silva - Práticas Corporais Adaptadas para Grupos Especiais/a - Nota Máxima: 8</v>
      </c>
    </row>
    <row r="2391">
      <c r="A2391" s="390" t="str">
        <f>IFERROR(__xludf.DUMMYFUNCTION("""COMPUTED_VALUE"""),"#FPEEF- Formação Pedagógica Educação Física - #FPEEF- Formação Pedagógica Educação Física - Larissa Costa Da Silva - Psicologia da Educação/a - Nota Máxima: 9")</f>
        <v>#FPEEF- Formação Pedagógica Educação Física - #FPEEF- Formação Pedagógica Educação Física - Larissa Costa Da Silva - Psicologia da Educação/a - Nota Máxima: 9</v>
      </c>
    </row>
    <row r="2392">
      <c r="A2392" s="390" t="str">
        <f>IFERROR(__xludf.DUMMYFUNCTION("""COMPUTED_VALUE"""),"#FPEEF- Formação Pedagógica Educação Física - #FPEEF- Formação Pedagógica Educação Física - Wescley Mendonça de Oliveira - Cultura e Diversidade - Nota Máxima: 8")</f>
        <v>#FPEEF- Formação Pedagógica Educação Física - #FPEEF- Formação Pedagógica Educação Física - Wescley Mendonça de Oliveira - Cultura e Diversidade - Nota Máxima: 8</v>
      </c>
    </row>
    <row r="2393">
      <c r="A2393" s="390" t="str">
        <f>IFERROR(__xludf.DUMMYFUNCTION("""COMPUTED_VALUE"""),"#FPEEF- Formação Pedagógica Educação Física - #FPEEF- Formação Pedagógica Educação Física - Wescley Mendonça de Oliveira - Deficiência Auditiva e Libras/a - Nota Máxima: 9")</f>
        <v>#FPEEF- Formação Pedagógica Educação Física - #FPEEF- Formação Pedagógica Educação Física - Wescley Mendonça de Oliveira - Deficiência Auditiva e Libras/a - Nota Máxima: 9</v>
      </c>
    </row>
    <row r="2394">
      <c r="A2394" s="390" t="str">
        <f>IFERROR(__xludf.DUMMYFUNCTION("""COMPUTED_VALUE"""),"#FPEEF- Formação Pedagógica Educação Física - #FPEEF- Formação Pedagógica Educação Física - Wescley Mendonça de Oliveira - Deficiência Auditiva e Libras/a - Nota Máxima: 9")</f>
        <v>#FPEEF- Formação Pedagógica Educação Física - #FPEEF- Formação Pedagógica Educação Física - Wescley Mendonça de Oliveira - Deficiência Auditiva e Libras/a - Nota Máxima: 9</v>
      </c>
    </row>
    <row r="2395">
      <c r="A2395" s="390" t="str">
        <f>IFERROR(__xludf.DUMMYFUNCTION("""COMPUTED_VALUE"""),"#FPEEF- Formação Pedagógica Educação Física - #FPEEF- Formação Pedagógica Educação Física - Wescley Mendonça de Oliveira - Educação Especial, Inclusão Escolar e Adaptações Curriculares - Nota Máxima: 8")</f>
        <v>#FPEEF- Formação Pedagógica Educação Física - #FPEEF- Formação Pedagógica Educação Física - Wescley Mendonça de Oliveira - Educação Especial, Inclusão Escolar e Adaptações Curriculares - Nota Máxima: 8</v>
      </c>
    </row>
    <row r="2396">
      <c r="A2396" s="390" t="str">
        <f>IFERROR(__xludf.DUMMYFUNCTION("""COMPUTED_VALUE"""),"#FPEEF- Formação Pedagógica Educação Física - #FPEEF- Formação Pedagógica Educação Física - Wescley Mendonça de Oliveira - Práticas Corporais Adaptadas para Grupos Especiais/a - Nota Máxima: 8")</f>
        <v>#FPEEF- Formação Pedagógica Educação Física - #FPEEF- Formação Pedagógica Educação Física - Wescley Mendonça de Oliveira - Práticas Corporais Adaptadas para Grupos Especiais/a - Nota Máxima: 8</v>
      </c>
    </row>
    <row r="2397">
      <c r="A2397" s="390" t="str">
        <f>IFERROR(__xludf.DUMMYFUNCTION("""COMPUTED_VALUE"""),"#FPEEF- Formação Pedagógica Educação Física - #FPEEF- Formação Pedagógica Educação Física - Wescley Mendonça de Oliveira - Psicologia da Educação/a - Nota Máxima: 10")</f>
        <v>#FPEEF- Formação Pedagógica Educação Física - #FPEEF- Formação Pedagógica Educação Física - Wescley Mendonça de Oliveira - Psicologia da Educação/a - Nota Máxima: 10</v>
      </c>
    </row>
    <row r="2398">
      <c r="A2398" s="390" t="str">
        <f>IFERROR(__xludf.DUMMYFUNCTION("""COMPUTED_VALUE"""),"#FPEEF- Formação Pedagógica Educação Física - #FPEEF- Formação Pedagógica Educação Física - Roni Rodrigues Siqueira - Atuação Docente na Educação Inclusiva - Nota Máxima: 10")</f>
        <v>#FPEEF- Formação Pedagógica Educação Física - #FPEEF- Formação Pedagógica Educação Física - Roni Rodrigues Siqueira - Atuação Docente na Educação Inclusiva - Nota Máxima: 10</v>
      </c>
    </row>
    <row r="2399">
      <c r="A2399" s="390" t="str">
        <f>IFERROR(__xludf.DUMMYFUNCTION("""COMPUTED_VALUE"""),"#FPEEF- Formação Pedagógica Educação Física - #FPEEF- Formação Pedagógica Educação Física - Roni Rodrigues Siqueira - Cultura e Diversidade - Nota Máxima: 9")</f>
        <v>#FPEEF- Formação Pedagógica Educação Física - #FPEEF- Formação Pedagógica Educação Física - Roni Rodrigues Siqueira - Cultura e Diversidade - Nota Máxima: 9</v>
      </c>
    </row>
    <row r="2400">
      <c r="A2400" s="390" t="str">
        <f>IFERROR(__xludf.DUMMYFUNCTION("""COMPUTED_VALUE"""),"#FPEEF- Formação Pedagógica Educação Física - #FPEEF- Formação Pedagógica Educação Física - Roni Rodrigues Siqueira - Deficiência Auditiva e Libras/a - Nota Máxima: 10")</f>
        <v>#FPEEF- Formação Pedagógica Educação Física - #FPEEF- Formação Pedagógica Educação Física - Roni Rodrigues Siqueira - Deficiência Auditiva e Libras/a - Nota Máxima: 10</v>
      </c>
    </row>
    <row r="2401">
      <c r="A2401" s="390" t="str">
        <f>IFERROR(__xludf.DUMMYFUNCTION("""COMPUTED_VALUE"""),"#FPEEF- Formação Pedagógica Educação Física - #FPEEF- Formação Pedagógica Educação Física - Roni Rodrigues Siqueira - Educação em Direitos Humanos/a - Nota Máxima: 10")</f>
        <v>#FPEEF- Formação Pedagógica Educação Física - #FPEEF- Formação Pedagógica Educação Física - Roni Rodrigues Siqueira - Educação em Direitos Humanos/a - Nota Máxima: 10</v>
      </c>
    </row>
    <row r="2402">
      <c r="A2402" s="390" t="str">
        <f>IFERROR(__xludf.DUMMYFUNCTION("""COMPUTED_VALUE"""),"#FPEEF- Formação Pedagógica Educação Física - #FPEEF- Formação Pedagógica Educação Física - Roni Rodrigues Siqueira - Educação Especial em Educação Física - Nota Máxima: 9")</f>
        <v>#FPEEF- Formação Pedagógica Educação Física - #FPEEF- Formação Pedagógica Educação Física - Roni Rodrigues Siqueira - Educação Especial em Educação Física - Nota Máxima: 9</v>
      </c>
    </row>
    <row r="2403">
      <c r="A2403" s="390" t="str">
        <f>IFERROR(__xludf.DUMMYFUNCTION("""COMPUTED_VALUE"""),"#FPEEF- Formação Pedagógica Educação Física - #FPEEF- Formação Pedagógica Educação Física - Roni Rodrigues Siqueira - Educação Especial, Inclusão Escolar e Adaptações Curriculares - Nota Máxima: 9")</f>
        <v>#FPEEF- Formação Pedagógica Educação Física - #FPEEF- Formação Pedagógica Educação Física - Roni Rodrigues Siqueira - Educação Especial, Inclusão Escolar e Adaptações Curriculares - Nota Máxima: 9</v>
      </c>
    </row>
    <row r="2404">
      <c r="A2404" s="390" t="str">
        <f>IFERROR(__xludf.DUMMYFUNCTION("""COMPUTED_VALUE"""),"#FPEEF- Formação Pedagógica Educação Física - #FPEEF- Formação Pedagógica Educação Física - Roni Rodrigues Siqueira - Fundamentos Pedagógicos dos Esportes e das Atividades Físicas - Nota Máxima: 10")</f>
        <v>#FPEEF- Formação Pedagógica Educação Física - #FPEEF- Formação Pedagógica Educação Física - Roni Rodrigues Siqueira - Fundamentos Pedagógicos dos Esportes e das Atividades Físicas - Nota Máxima: 10</v>
      </c>
    </row>
    <row r="2405">
      <c r="A2405" s="390" t="str">
        <f>IFERROR(__xludf.DUMMYFUNCTION("""COMPUTED_VALUE"""),"#FPEEF- Formação Pedagógica Educação Física - #FPEEF- Formação Pedagógica Educação Física - Roni Rodrigues Siqueira - Introdução à Neurociência e Neuroeducação - Nota Máxima: 10")</f>
        <v>#FPEEF- Formação Pedagógica Educação Física - #FPEEF- Formação Pedagógica Educação Física - Roni Rodrigues Siqueira - Introdução à Neurociência e Neuroeducação - Nota Máxima: 10</v>
      </c>
    </row>
    <row r="2406">
      <c r="A2406" s="390" t="str">
        <f>IFERROR(__xludf.DUMMYFUNCTION("""COMPUTED_VALUE"""),"#FPEEF- Formação Pedagógica Educação Física - #FPEEF- Formação Pedagógica Educação Física - Roni Rodrigues Siqueira - Legislação e Políticas para Educação Inclusiva e Especial - Nota Máxima: 10")</f>
        <v>#FPEEF- Formação Pedagógica Educação Física - #FPEEF- Formação Pedagógica Educação Física - Roni Rodrigues Siqueira - Legislação e Políticas para Educação Inclusiva e Especial - Nota Máxima: 10</v>
      </c>
    </row>
    <row r="2407">
      <c r="A2407" s="390" t="str">
        <f>IFERROR(__xludf.DUMMYFUNCTION("""COMPUTED_VALUE"""),"#FPEEF- Formação Pedagógica Educação Física - #FPEEF- Formação Pedagógica Educação Física - Roni Rodrigues Siqueira - Legislação Educacional/a - Nota Máxima: 9")</f>
        <v>#FPEEF- Formação Pedagógica Educação Física - #FPEEF- Formação Pedagógica Educação Física - Roni Rodrigues Siqueira - Legislação Educacional/a - Nota Máxima: 9</v>
      </c>
    </row>
    <row r="2408">
      <c r="A2408" s="390" t="str">
        <f>IFERROR(__xludf.DUMMYFUNCTION("""COMPUTED_VALUE"""),"#FPEEF- Formação Pedagógica Educação Física - #FPEEF- Formação Pedagógica Educação Física - Roni Rodrigues Siqueira - Planejamento, Gestão Educacional e Currículo/a - Nota Máxima: 9")</f>
        <v>#FPEEF- Formação Pedagógica Educação Física - #FPEEF- Formação Pedagógica Educação Física - Roni Rodrigues Siqueira - Planejamento, Gestão Educacional e Currículo/a - Nota Máxima: 9</v>
      </c>
    </row>
    <row r="2409">
      <c r="A2409" s="390" t="str">
        <f>IFERROR(__xludf.DUMMYFUNCTION("""COMPUTED_VALUE"""),"#FPEEF- Formação Pedagógica Educação Física - #FPEEF- Formação Pedagógica Educação Física - Roni Rodrigues Siqueira - Práticas Corporais Adaptadas para Grupos Especiais/a - Nota Máxima: 10")</f>
        <v>#FPEEF- Formação Pedagógica Educação Física - #FPEEF- Formação Pedagógica Educação Física - Roni Rodrigues Siqueira - Práticas Corporais Adaptadas para Grupos Especiais/a - Nota Máxima: 10</v>
      </c>
    </row>
    <row r="2410">
      <c r="A2410" s="390" t="str">
        <f>IFERROR(__xludf.DUMMYFUNCTION("""COMPUTED_VALUE"""),"#FPEEF- Formação Pedagógica Educação Física - #FPEEF- Formação Pedagógica Educação Física - Roni Rodrigues Siqueira - Práticas Pedagógicas - 400 Horas - Nota Máxima: 10")</f>
        <v>#FPEEF- Formação Pedagógica Educação Física - #FPEEF- Formação Pedagógica Educação Física - Roni Rodrigues Siqueira - Práticas Pedagógicas - 400 Horas - Nota Máxima: 10</v>
      </c>
    </row>
    <row r="2411">
      <c r="A2411" s="390" t="str">
        <f>IFERROR(__xludf.DUMMYFUNCTION("""COMPUTED_VALUE"""),"#FPEEF- Formação Pedagógica Educação Física - #FPEEF- Formação Pedagógica Educação Física - Roni Rodrigues Siqueira - Psicologia da Educação/a - Nota Máxima: 9")</f>
        <v>#FPEEF- Formação Pedagógica Educação Física - #FPEEF- Formação Pedagógica Educação Física - Roni Rodrigues Siqueira - Psicologia da Educação/a - Nota Máxima: 9</v>
      </c>
    </row>
    <row r="2412">
      <c r="A2412" s="390" t="str">
        <f>IFERROR(__xludf.DUMMYFUNCTION("""COMPUTED_VALUE"""),"Formação Pedagógica em Letras - Inglês - FORMAÇÃO PEDAGÓGICA EM LETRAS - INGLÊS - Julia Christina Silva dos Santos - Deficiência Auditiva e Libras/a - Nota Máxima: 10")</f>
        <v>Formação Pedagógica em Letras - Inglês - FORMAÇÃO PEDAGÓGICA EM LETRAS - INGLÊS - Julia Christina Silva dos Santos - Deficiência Auditiva e Libras/a - Nota Máxima: 10</v>
      </c>
    </row>
    <row r="2413">
      <c r="A2413" s="390" t="str">
        <f>IFERROR(__xludf.DUMMYFUNCTION("""COMPUTED_VALUE"""),"Formação Pedagógica em Letras - Inglês - FORMAÇÃO PEDAGÓGICA EM LETRAS - INGLÊS - Julia Christina Silva dos Santos - Deficiência Auditiva e Libras/a - Nota Máxima: 10")</f>
        <v>Formação Pedagógica em Letras - Inglês - FORMAÇÃO PEDAGÓGICA EM LETRAS - INGLÊS - Julia Christina Silva dos Santos - Deficiência Auditiva e Libras/a - Nota Máxima: 10</v>
      </c>
    </row>
    <row r="2414">
      <c r="A2414" s="390" t="str">
        <f>IFERROR(__xludf.DUMMYFUNCTION("""COMPUTED_VALUE"""),"Formação Pedagógica em Letras - Inglês - FORMAÇÃO PEDAGÓGICA EM LETRAS - INGLÊS - Julia Christina Silva dos Santos - Educação e as Tic's - Nota Máxima: 10")</f>
        <v>Formação Pedagógica em Letras - Inglês - FORMAÇÃO PEDAGÓGICA EM LETRAS - INGLÊS - Julia Christina Silva dos Santos - Educação e as Tic's - Nota Máxima: 10</v>
      </c>
    </row>
    <row r="2415">
      <c r="A2415" s="390" t="str">
        <f>IFERROR(__xludf.DUMMYFUNCTION("""COMPUTED_VALUE"""),"Formação Pedagógica em Letras - Inglês - FORMAÇÃO PEDAGÓGICA EM LETRAS - INGLÊS - Julia Christina Silva dos Santos - Educação e as Tic's - Nota Máxima: 9")</f>
        <v>Formação Pedagógica em Letras - Inglês - FORMAÇÃO PEDAGÓGICA EM LETRAS - INGLÊS - Julia Christina Silva dos Santos - Educação e as Tic's - Nota Máxima: 9</v>
      </c>
    </row>
    <row r="2416">
      <c r="A2416" s="390" t="str">
        <f>IFERROR(__xludf.DUMMYFUNCTION("""COMPUTED_VALUE"""),"Formação Pedagógica em Letras - Inglês - FORMAÇÃO PEDAGÓGICA EM LETRAS - INGLÊS - Julia Christina Silva dos Santos - Educação Especial, Inclusão Escolar e Adaptações Curriculares - Nota Máxima: 10")</f>
        <v>Formação Pedagógica em Letras - Inglês - FORMAÇÃO PEDAGÓGICA EM LETRAS - INGLÊS - Julia Christina Silva dos Santos - Educação Especial, Inclusão Escolar e Adaptações Curriculares - Nota Máxima: 10</v>
      </c>
    </row>
    <row r="2417">
      <c r="A2417" s="390" t="str">
        <f>IFERROR(__xludf.DUMMYFUNCTION("""COMPUTED_VALUE"""),"Formação Pedagógica em Letras - Inglês - FORMAÇÃO PEDAGÓGICA EM LETRAS - INGLÊS - Julia Christina Silva dos Santos - Educação Especial, Inclusão Escolar e Adaptações Curriculares - Nota Máxima: 10")</f>
        <v>Formação Pedagógica em Letras - Inglês - FORMAÇÃO PEDAGÓGICA EM LETRAS - INGLÊS - Julia Christina Silva dos Santos - Educação Especial, Inclusão Escolar e Adaptações Curriculares - Nota Máxima: 10</v>
      </c>
    </row>
    <row r="2418">
      <c r="A2418" s="390" t="str">
        <f>IFERROR(__xludf.DUMMYFUNCTION("""COMPUTED_VALUE"""),"Formação Pedagógica em Letras - Inglês - FORMAÇÃO PEDAGÓGICA EM LETRAS - INGLÊS - Julia Christina Silva dos Santos - Educação, História, Cultura e Práticas Indígenas/a - Nota Máxima: 10")</f>
        <v>Formação Pedagógica em Letras - Inglês - FORMAÇÃO PEDAGÓGICA EM LETRAS - INGLÊS - Julia Christina Silva dos Santos - Educação, História, Cultura e Práticas Indígenas/a - Nota Máxima: 10</v>
      </c>
    </row>
    <row r="2419">
      <c r="A2419" s="390" t="str">
        <f>IFERROR(__xludf.DUMMYFUNCTION("""COMPUTED_VALUE"""),"Formação Pedagógica em Letras - Inglês - FORMAÇÃO PEDAGÓGICA EM LETRAS - INGLÊS - Julia Christina Silva dos Santos - Educação, História, Cultura e Práticas Indígenas/a - Nota Máxima: 8")</f>
        <v>Formação Pedagógica em Letras - Inglês - FORMAÇÃO PEDAGÓGICA EM LETRAS - INGLÊS - Julia Christina Silva dos Santos - Educação, História, Cultura e Práticas Indígenas/a - Nota Máxima: 8</v>
      </c>
    </row>
    <row r="2420">
      <c r="A2420" s="390" t="str">
        <f>IFERROR(__xludf.DUMMYFUNCTION("""COMPUTED_VALUE"""),"Formação Pedagógica em Letras - Inglês - FORMAÇÃO PEDAGÓGICA EM LETRAS - INGLÊS - Julia Christina Silva dos Santos - Estudos Morfossintáticos da Língua Inglesa - Nota Máxima: 10")</f>
        <v>Formação Pedagógica em Letras - Inglês - FORMAÇÃO PEDAGÓGICA EM LETRAS - INGLÊS - Julia Christina Silva dos Santos - Estudos Morfossintáticos da Língua Inglesa - Nota Máxima: 10</v>
      </c>
    </row>
    <row r="2421">
      <c r="A2421" s="390" t="str">
        <f>IFERROR(__xludf.DUMMYFUNCTION("""COMPUTED_VALUE"""),"Formação Pedagógica em Letras - Inglês - FORMAÇÃO PEDAGÓGICA EM LETRAS - INGLÊS - Julia Christina Silva dos Santos - Estudos Morfossintáticos da Língua Inglesa - Nota Máxima: 6")</f>
        <v>Formação Pedagógica em Letras - Inglês - FORMAÇÃO PEDAGÓGICA EM LETRAS - INGLÊS - Julia Christina Silva dos Santos - Estudos Morfossintáticos da Língua Inglesa - Nota Máxima: 6</v>
      </c>
    </row>
    <row r="2422">
      <c r="A2422" s="390" t="str">
        <f>IFERROR(__xludf.DUMMYFUNCTION("""COMPUTED_VALUE"""),"Formação Pedagógica em Letras - Inglês - FORMAÇÃO PEDAGÓGICA EM LETRAS - INGLÊS - Julia Christina Silva dos Santos - Legislação Educacional/a - Nota Máxima: 10")</f>
        <v>Formação Pedagógica em Letras - Inglês - FORMAÇÃO PEDAGÓGICA EM LETRAS - INGLÊS - Julia Christina Silva dos Santos - Legislação Educacional/a - Nota Máxima: 10</v>
      </c>
    </row>
    <row r="2423">
      <c r="A2423" s="390" t="str">
        <f>IFERROR(__xludf.DUMMYFUNCTION("""COMPUTED_VALUE"""),"Formação Pedagógica em Letras - Inglês - FORMAÇÃO PEDAGÓGICA EM LETRAS - INGLÊS - Julia Christina Silva dos Santos - Legislação Educacional/a - Nota Máxima: 6")</f>
        <v>Formação Pedagógica em Letras - Inglês - FORMAÇÃO PEDAGÓGICA EM LETRAS - INGLÊS - Julia Christina Silva dos Santos - Legislação Educacional/a - Nota Máxima: 6</v>
      </c>
    </row>
    <row r="2424">
      <c r="A2424" s="390" t="str">
        <f>IFERROR(__xludf.DUMMYFUNCTION("""COMPUTED_VALUE"""),"Formação Pedagógica em Letras - Inglês - FORMAÇÃO PEDAGÓGICA EM LETRAS - INGLÊS - Julia Christina Silva dos Santos - Linguística Aplicada a Língua Inglesa - Nota Máxima: 9")</f>
        <v>Formação Pedagógica em Letras - Inglês - FORMAÇÃO PEDAGÓGICA EM LETRAS - INGLÊS - Julia Christina Silva dos Santos - Linguística Aplicada a Língua Inglesa - Nota Máxima: 9</v>
      </c>
    </row>
    <row r="2425">
      <c r="A2425" s="390" t="str">
        <f>IFERROR(__xludf.DUMMYFUNCTION("""COMPUTED_VALUE"""),"Formação Pedagógica em Letras - Inglês - FORMAÇÃO PEDAGÓGICA EM LETRAS - INGLÊS - Julia Christina Silva dos Santos - Linguística Aplicada a Língua Inglesa - Nota Máxima: 1")</f>
        <v>Formação Pedagógica em Letras - Inglês - FORMAÇÃO PEDAGÓGICA EM LETRAS - INGLÊS - Julia Christina Silva dos Santos - Linguística Aplicada a Língua Inglesa - Nota Máxima: 1</v>
      </c>
    </row>
    <row r="2426">
      <c r="A2426" s="390" t="str">
        <f>IFERROR(__xludf.DUMMYFUNCTION("""COMPUTED_VALUE"""),"Formação Pedagógica em Letras - Inglês - FORMAÇÃO PEDAGÓGICA EM LETRAS - INGLÊS - Julia Christina Silva dos Santos - Literatura em Língua Inglesa - Nota Máxima: 10")</f>
        <v>Formação Pedagógica em Letras - Inglês - FORMAÇÃO PEDAGÓGICA EM LETRAS - INGLÊS - Julia Christina Silva dos Santos - Literatura em Língua Inglesa - Nota Máxima: 10</v>
      </c>
    </row>
    <row r="2427">
      <c r="A2427" s="390" t="str">
        <f>IFERROR(__xludf.DUMMYFUNCTION("""COMPUTED_VALUE"""),"Formação Pedagógica em Letras - Inglês - FORMAÇÃO PEDAGÓGICA EM LETRAS - INGLÊS - Julia Christina Silva dos Santos - Literatura em Língua Inglesa - Nota Máxima: 6")</f>
        <v>Formação Pedagógica em Letras - Inglês - FORMAÇÃO PEDAGÓGICA EM LETRAS - INGLÊS - Julia Christina Silva dos Santos - Literatura em Língua Inglesa - Nota Máxima: 6</v>
      </c>
    </row>
    <row r="2428">
      <c r="A2428" s="390" t="str">
        <f>IFERROR(__xludf.DUMMYFUNCTION("""COMPUTED_VALUE"""),"Formação Pedagógica em Letras - Inglês - FORMAÇÃO PEDAGÓGICA EM LETRAS - INGLÊS - Julia Christina Silva dos Santos - Metodologia do Ensino da Literatura Inglesa: Ensino Fundamental e Médio - Nota Máxima: 10")</f>
        <v>Formação Pedagógica em Letras - Inglês - FORMAÇÃO PEDAGÓGICA EM LETRAS - INGLÊS - Julia Christina Silva dos Santos - Metodologia do Ensino da Literatura Inglesa: Ensino Fundamental e Médio - Nota Máxima: 10</v>
      </c>
    </row>
    <row r="2429">
      <c r="A2429" s="390" t="str">
        <f>IFERROR(__xludf.DUMMYFUNCTION("""COMPUTED_VALUE"""),"Formação Pedagógica em Letras - Inglês - FORMAÇÃO PEDAGÓGICA EM LETRAS - INGLÊS - Julia Christina Silva dos Santos - Metodologia do Ensino da Literatura Inglesa: Ensino Fundamental e Médio - Nota Máxima: 7")</f>
        <v>Formação Pedagógica em Letras - Inglês - FORMAÇÃO PEDAGÓGICA EM LETRAS - INGLÊS - Julia Christina Silva dos Santos - Metodologia do Ensino da Literatura Inglesa: Ensino Fundamental e Médio - Nota Máxima: 7</v>
      </c>
    </row>
    <row r="2430">
      <c r="A2430" s="390" t="str">
        <f>IFERROR(__xludf.DUMMYFUNCTION("""COMPUTED_VALUE"""),"Formação Pedagógica em Letras - Inglês - FORMAÇÃO PEDAGÓGICA EM LETRAS - INGLÊS - Julia Christina Silva dos Santos - Metodologias Ativas no Ensino de Inglês - Nota Máxima: 10")</f>
        <v>Formação Pedagógica em Letras - Inglês - FORMAÇÃO PEDAGÓGICA EM LETRAS - INGLÊS - Julia Christina Silva dos Santos - Metodologias Ativas no Ensino de Inglês - Nota Máxima: 10</v>
      </c>
    </row>
    <row r="2431">
      <c r="A2431" s="390" t="str">
        <f>IFERROR(__xludf.DUMMYFUNCTION("""COMPUTED_VALUE"""),"Formação Pedagógica em Letras - Inglês - FORMAÇÃO PEDAGÓGICA EM LETRAS - INGLÊS - Julia Christina Silva dos Santos - Metodologias Ativas no Ensino de Inglês - Nota Máxima: 7")</f>
        <v>Formação Pedagógica em Letras - Inglês - FORMAÇÃO PEDAGÓGICA EM LETRAS - INGLÊS - Julia Christina Silva dos Santos - Metodologias Ativas no Ensino de Inglês - Nota Máxima: 7</v>
      </c>
    </row>
    <row r="2432">
      <c r="A2432" s="390" t="str">
        <f>IFERROR(__xludf.DUMMYFUNCTION("""COMPUTED_VALUE"""),"Formação Pedagógica em Letras - Inglês - FORMAÇÃO PEDAGÓGICA EM LETRAS - INGLÊS - Julia Christina Silva dos Santos - Ortografia e Pronúncia da Língua Inglesa - Nota Máxima: 10")</f>
        <v>Formação Pedagógica em Letras - Inglês - FORMAÇÃO PEDAGÓGICA EM LETRAS - INGLÊS - Julia Christina Silva dos Santos - Ortografia e Pronúncia da Língua Inglesa - Nota Máxima: 10</v>
      </c>
    </row>
    <row r="2433">
      <c r="A2433" s="390" t="str">
        <f>IFERROR(__xludf.DUMMYFUNCTION("""COMPUTED_VALUE"""),"Formação Pedagógica em Letras - Inglês - FORMAÇÃO PEDAGÓGICA EM LETRAS - INGLÊS - Julia Christina Silva dos Santos - Ortografia e Pronúncia da Língua Inglesa - Nota Máxima: 7")</f>
        <v>Formação Pedagógica em Letras - Inglês - FORMAÇÃO PEDAGÓGICA EM LETRAS - INGLÊS - Julia Christina Silva dos Santos - Ortografia e Pronúncia da Língua Inglesa - Nota Máxima: 7</v>
      </c>
    </row>
    <row r="2434">
      <c r="A2434" s="390" t="str">
        <f>IFERROR(__xludf.DUMMYFUNCTION("""COMPUTED_VALUE"""),"Formação Pedagógica em Letras - Inglês - FORMAÇÃO PEDAGÓGICA EM LETRAS - INGLÊS - Julia Christina Silva dos Santos - Planejamento, Gestão Educacional e Currículo/a - Nota Máxima: 10")</f>
        <v>Formação Pedagógica em Letras - Inglês - FORMAÇÃO PEDAGÓGICA EM LETRAS - INGLÊS - Julia Christina Silva dos Santos - Planejamento, Gestão Educacional e Currículo/a - Nota Máxima: 10</v>
      </c>
    </row>
    <row r="2435">
      <c r="A2435" s="390" t="str">
        <f>IFERROR(__xludf.DUMMYFUNCTION("""COMPUTED_VALUE"""),"Formação Pedagógica em Letras - Inglês - FORMAÇÃO PEDAGÓGICA EM LETRAS - INGLÊS - Julia Christina Silva dos Santos - Planejamento, Gestão Educacional e Currículo/a - Nota Máxima: 10")</f>
        <v>Formação Pedagógica em Letras - Inglês - FORMAÇÃO PEDAGÓGICA EM LETRAS - INGLÊS - Julia Christina Silva dos Santos - Planejamento, Gestão Educacional e Currículo/a - Nota Máxima: 10</v>
      </c>
    </row>
    <row r="2436">
      <c r="A2436" s="390" t="str">
        <f>IFERROR(__xludf.DUMMYFUNCTION("""COMPUTED_VALUE"""),"Formação Pedagógica em Letras - Inglês - FORMAÇÃO PEDAGÓGICA EM LETRAS - INGLÊS - Julia Christina Silva dos Santos - Práticas Pedagógicas - 400 Horas - Nota Máxima: 10")</f>
        <v>Formação Pedagógica em Letras - Inglês - FORMAÇÃO PEDAGÓGICA EM LETRAS - INGLÊS - Julia Christina Silva dos Santos - Práticas Pedagógicas - 400 Horas - Nota Máxima: 10</v>
      </c>
    </row>
    <row r="2437">
      <c r="A2437" s="390" t="str">
        <f>IFERROR(__xludf.DUMMYFUNCTION("""COMPUTED_VALUE"""),"Formação Pedagógica em Letras - Inglês - FORMAÇÃO PEDAGÓGICA EM LETRAS - INGLÊS - Julia Christina Silva dos Santos - Práticas Pedagógicas - 400 Horas - Nota Máxima: 5")</f>
        <v>Formação Pedagógica em Letras - Inglês - FORMAÇÃO PEDAGÓGICA EM LETRAS - INGLÊS - Julia Christina Silva dos Santos - Práticas Pedagógicas - 400 Horas - Nota Máxima: 5</v>
      </c>
    </row>
    <row r="2438">
      <c r="A2438" s="390" t="str">
        <f>IFERROR(__xludf.DUMMYFUNCTION("""COMPUTED_VALUE"""),"Formação Pedagógica em Letras - Inglês - FORMAÇÃO PEDAGÓGICA EM LETRAS - INGLÊS - Julia Christina Silva dos Santos - Psicologia da Educação/a - Nota Máxima: 10")</f>
        <v>Formação Pedagógica em Letras - Inglês - FORMAÇÃO PEDAGÓGICA EM LETRAS - INGLÊS - Julia Christina Silva dos Santos - Psicologia da Educação/a - Nota Máxima: 10</v>
      </c>
    </row>
    <row r="2439">
      <c r="A2439" s="390" t="str">
        <f>IFERROR(__xludf.DUMMYFUNCTION("""COMPUTED_VALUE"""),"Formação Pedagógica em Letras - Inglês - FORMAÇÃO PEDAGÓGICA EM LETRAS - INGLÊS - Julia Christina Silva dos Santos - Psicologia da Educação/a - Nota Máxima: 6")</f>
        <v>Formação Pedagógica em Letras - Inglês - FORMAÇÃO PEDAGÓGICA EM LETRAS - INGLÊS - Julia Christina Silva dos Santos - Psicologia da Educação/a - Nota Máxima: 6</v>
      </c>
    </row>
    <row r="2440">
      <c r="A2440" s="390" t="str">
        <f>IFERROR(__xludf.DUMMYFUNCTION("""COMPUTED_VALUE"""),"Formação Pedagógica em Letras - Inglês - FORMAÇÃO PEDAGÓGICA EM LETRAS - INGLÊS - Tiago Da Silva Pitts Carneiro - Deficiência Auditiva e Libras/a - Nota Máxima: 10")</f>
        <v>Formação Pedagógica em Letras - Inglês - FORMAÇÃO PEDAGÓGICA EM LETRAS - INGLÊS - Tiago Da Silva Pitts Carneiro - Deficiência Auditiva e Libras/a - Nota Máxima: 10</v>
      </c>
    </row>
    <row r="2441">
      <c r="A2441" s="390" t="str">
        <f>IFERROR(__xludf.DUMMYFUNCTION("""COMPUTED_VALUE"""),"Formação Pedagógica em Letras - Inglês - FORMAÇÃO PEDAGÓGICA EM LETRAS - INGLÊS - Tiago Da Silva Pitts Carneiro - Educação e as Tic's - Nota Máxima: 10")</f>
        <v>Formação Pedagógica em Letras - Inglês - FORMAÇÃO PEDAGÓGICA EM LETRAS - INGLÊS - Tiago Da Silva Pitts Carneiro - Educação e as Tic's - Nota Máxima: 10</v>
      </c>
    </row>
    <row r="2442">
      <c r="A2442" s="390" t="str">
        <f>IFERROR(__xludf.DUMMYFUNCTION("""COMPUTED_VALUE"""),"Formação Pedagógica em Letras - Inglês - FORMAÇÃO PEDAGÓGICA EM LETRAS - INGLÊS - Tiago Da Silva Pitts Carneiro - Educação Especial, Inclusão Escolar e Adaptações Curriculares - Nota Máxima: 10")</f>
        <v>Formação Pedagógica em Letras - Inglês - FORMAÇÃO PEDAGÓGICA EM LETRAS - INGLÊS - Tiago Da Silva Pitts Carneiro - Educação Especial, Inclusão Escolar e Adaptações Curriculares - Nota Máxima: 10</v>
      </c>
    </row>
    <row r="2443">
      <c r="A2443" s="390" t="str">
        <f>IFERROR(__xludf.DUMMYFUNCTION("""COMPUTED_VALUE"""),"Formação Pedagógica em Letras - Inglês - FORMAÇÃO PEDAGÓGICA EM LETRAS - INGLÊS - Tiago Da Silva Pitts Carneiro - Educação, História, Cultura e Práticas Indígenas/a - Nota Máxima: 10")</f>
        <v>Formação Pedagógica em Letras - Inglês - FORMAÇÃO PEDAGÓGICA EM LETRAS - INGLÊS - Tiago Da Silva Pitts Carneiro - Educação, História, Cultura e Práticas Indígenas/a - Nota Máxima: 10</v>
      </c>
    </row>
    <row r="2444">
      <c r="A2444" s="390" t="str">
        <f>IFERROR(__xludf.DUMMYFUNCTION("""COMPUTED_VALUE"""),"Formação Pedagógica em Letras - Inglês - FORMAÇÃO PEDAGÓGICA EM LETRAS - INGLÊS - Tiago Da Silva Pitts Carneiro - Estudos Morfossintáticos da Língua Inglesa - Nota Máxima: 10")</f>
        <v>Formação Pedagógica em Letras - Inglês - FORMAÇÃO PEDAGÓGICA EM LETRAS - INGLÊS - Tiago Da Silva Pitts Carneiro - Estudos Morfossintáticos da Língua Inglesa - Nota Máxima: 10</v>
      </c>
    </row>
    <row r="2445">
      <c r="A2445" s="390" t="str">
        <f>IFERROR(__xludf.DUMMYFUNCTION("""COMPUTED_VALUE"""),"Formação Pedagógica em Letras - Inglês - FORMAÇÃO PEDAGÓGICA EM LETRAS - INGLÊS - Tiago Da Silva Pitts Carneiro - Legislação Educacional/a - Nota Máxima: 10")</f>
        <v>Formação Pedagógica em Letras - Inglês - FORMAÇÃO PEDAGÓGICA EM LETRAS - INGLÊS - Tiago Da Silva Pitts Carneiro - Legislação Educacional/a - Nota Máxima: 10</v>
      </c>
    </row>
    <row r="2446">
      <c r="A2446" s="390" t="str">
        <f>IFERROR(__xludf.DUMMYFUNCTION("""COMPUTED_VALUE"""),"Formação Pedagógica em Letras - Inglês - FORMAÇÃO PEDAGÓGICA EM LETRAS - INGLÊS - Tiago Da Silva Pitts Carneiro - Linguística Aplicada a Língua Inglesa - Nota Máxima: 10")</f>
        <v>Formação Pedagógica em Letras - Inglês - FORMAÇÃO PEDAGÓGICA EM LETRAS - INGLÊS - Tiago Da Silva Pitts Carneiro - Linguística Aplicada a Língua Inglesa - Nota Máxima: 10</v>
      </c>
    </row>
    <row r="2447">
      <c r="A2447" s="390" t="str">
        <f>IFERROR(__xludf.DUMMYFUNCTION("""COMPUTED_VALUE"""),"Formação Pedagógica em Letras - Inglês - FORMAÇÃO PEDAGÓGICA EM LETRAS - INGLÊS - Tiago Da Silva Pitts Carneiro - Literatura em Língua Inglesa - Nota Máxima: 10")</f>
        <v>Formação Pedagógica em Letras - Inglês - FORMAÇÃO PEDAGÓGICA EM LETRAS - INGLÊS - Tiago Da Silva Pitts Carneiro - Literatura em Língua Inglesa - Nota Máxima: 10</v>
      </c>
    </row>
    <row r="2448">
      <c r="A2448" s="390" t="str">
        <f>IFERROR(__xludf.DUMMYFUNCTION("""COMPUTED_VALUE"""),"Formação Pedagógica em Letras - Inglês - FORMAÇÃO PEDAGÓGICA EM LETRAS - INGLÊS - Tiago Da Silva Pitts Carneiro - Metodologia do Ensino da Literatura Inglesa: Ensino Fundamental e Médio - Nota Máxima: 10")</f>
        <v>Formação Pedagógica em Letras - Inglês - FORMAÇÃO PEDAGÓGICA EM LETRAS - INGLÊS - Tiago Da Silva Pitts Carneiro - Metodologia do Ensino da Literatura Inglesa: Ensino Fundamental e Médio - Nota Máxima: 10</v>
      </c>
    </row>
    <row r="2449">
      <c r="A2449" s="390" t="str">
        <f>IFERROR(__xludf.DUMMYFUNCTION("""COMPUTED_VALUE"""),"Formação Pedagógica em Letras - Inglês - FORMAÇÃO PEDAGÓGICA EM LETRAS - INGLÊS - Tiago Da Silva Pitts Carneiro - Metodologias Ativas no Ensino de Inglês - Nota Máxima: 10")</f>
        <v>Formação Pedagógica em Letras - Inglês - FORMAÇÃO PEDAGÓGICA EM LETRAS - INGLÊS - Tiago Da Silva Pitts Carneiro - Metodologias Ativas no Ensino de Inglês - Nota Máxima: 10</v>
      </c>
    </row>
    <row r="2450">
      <c r="A2450" s="390" t="str">
        <f>IFERROR(__xludf.DUMMYFUNCTION("""COMPUTED_VALUE"""),"Formação Pedagógica em Letras - Inglês - FORMAÇÃO PEDAGÓGICA EM LETRAS - INGLÊS - Tiago Da Silva Pitts Carneiro - Ortografia e Pronúncia da Língua Inglesa - Nota Máxima: 10")</f>
        <v>Formação Pedagógica em Letras - Inglês - FORMAÇÃO PEDAGÓGICA EM LETRAS - INGLÊS - Tiago Da Silva Pitts Carneiro - Ortografia e Pronúncia da Língua Inglesa - Nota Máxima: 10</v>
      </c>
    </row>
    <row r="2451">
      <c r="A2451" s="390" t="str">
        <f>IFERROR(__xludf.DUMMYFUNCTION("""COMPUTED_VALUE"""),"Formação Pedagógica em Letras - Inglês - FORMAÇÃO PEDAGÓGICA EM LETRAS - INGLÊS - Tiago Da Silva Pitts Carneiro - Planejamento, Gestão Educacional e Currículo/a - Nota Máxima: 10")</f>
        <v>Formação Pedagógica em Letras - Inglês - FORMAÇÃO PEDAGÓGICA EM LETRAS - INGLÊS - Tiago Da Silva Pitts Carneiro - Planejamento, Gestão Educacional e Currículo/a - Nota Máxima: 10</v>
      </c>
    </row>
    <row r="2452">
      <c r="A2452" s="390" t="str">
        <f>IFERROR(__xludf.DUMMYFUNCTION("""COMPUTED_VALUE"""),"Formação Pedagógica em Letras - Inglês - FORMAÇÃO PEDAGÓGICA EM LETRAS - INGLÊS - Tiago Da Silva Pitts Carneiro - Práticas Pedagógicas - 400 Horas - Nota Máxima: 10")</f>
        <v>Formação Pedagógica em Letras - Inglês - FORMAÇÃO PEDAGÓGICA EM LETRAS - INGLÊS - Tiago Da Silva Pitts Carneiro - Práticas Pedagógicas - 400 Horas - Nota Máxima: 10</v>
      </c>
    </row>
    <row r="2453">
      <c r="A2453" s="390" t="str">
        <f>IFERROR(__xludf.DUMMYFUNCTION("""COMPUTED_VALUE"""),"Formação Pedagógica em Letras - Inglês - FORMAÇÃO PEDAGÓGICA EM LETRAS - INGLÊS - Tiago Da Silva Pitts Carneiro - Psicologia da Educação/a - Nota Máxima: 10")</f>
        <v>Formação Pedagógica em Letras - Inglês - FORMAÇÃO PEDAGÓGICA EM LETRAS - INGLÊS - Tiago Da Silva Pitts Carneiro - Psicologia da Educação/a - Nota Máxima: 10</v>
      </c>
    </row>
    <row r="2454">
      <c r="A2454" s="390" t="str">
        <f>IFERROR(__xludf.DUMMYFUNCTION("""COMPUTED_VALUE"""),"Formação Pedagógica em Ciências Biológicas - Formação Pedagógica em Ciências Biológicas - Jeferson de Oliveira Pessoa - Análises Clínicas e Microbiologia - Nota Máxima: 10")</f>
        <v>Formação Pedagógica em Ciências Biológicas - Formação Pedagógica em Ciências Biológicas - Jeferson de Oliveira Pessoa - Análises Clínicas e Microbiologia - Nota Máxima: 10</v>
      </c>
    </row>
    <row r="2455">
      <c r="A2455" s="390" t="str">
        <f>IFERROR(__xludf.DUMMYFUNCTION("""COMPUTED_VALUE"""),"Formação Pedagógica em Ciências Biológicas - Formação Pedagógica em Ciências Biológicas - Jeferson de Oliveira Pessoa - Análises Clínicas e Microbiologia - Nota Máxima: 8")</f>
        <v>Formação Pedagógica em Ciências Biológicas - Formação Pedagógica em Ciências Biológicas - Jeferson de Oliveira Pessoa - Análises Clínicas e Microbiologia - Nota Máxima: 8</v>
      </c>
    </row>
    <row r="2456">
      <c r="A2456" s="390" t="str">
        <f>IFERROR(__xludf.DUMMYFUNCTION("""COMPUTED_VALUE"""),"Formação Pedagógica em Ciências Biológicas - Formação Pedagógica em Ciências Biológicas - Jeferson de Oliveira Pessoa - Anatomia e Fisiologia Humana - Nota Máxima: 10")</f>
        <v>Formação Pedagógica em Ciências Biológicas - Formação Pedagógica em Ciências Biológicas - Jeferson de Oliveira Pessoa - Anatomia e Fisiologia Humana - Nota Máxima: 10</v>
      </c>
    </row>
    <row r="2457">
      <c r="A2457" s="390" t="str">
        <f>IFERROR(__xludf.DUMMYFUNCTION("""COMPUTED_VALUE"""),"Formação Pedagógica em Ciências Biológicas - Formação Pedagógica em Ciências Biológicas - Jeferson de Oliveira Pessoa - Anatomia e Fisiologia Humana - Nota Máxima: 9")</f>
        <v>Formação Pedagógica em Ciências Biológicas - Formação Pedagógica em Ciências Biológicas - Jeferson de Oliveira Pessoa - Anatomia e Fisiologia Humana - Nota Máxima: 9</v>
      </c>
    </row>
    <row r="2458">
      <c r="A2458" s="390" t="str">
        <f>IFERROR(__xludf.DUMMYFUNCTION("""COMPUTED_VALUE"""),"Formação Pedagógica em Ciências Biológicas - Formação Pedagógica em Ciências Biológicas - Jeferson de Oliveira Pessoa - Ciências Exatas e da Terra - Nota Máxima: 10")</f>
        <v>Formação Pedagógica em Ciências Biológicas - Formação Pedagógica em Ciências Biológicas - Jeferson de Oliveira Pessoa - Ciências Exatas e da Terra - Nota Máxima: 10</v>
      </c>
    </row>
    <row r="2459">
      <c r="A2459" s="390" t="str">
        <f>IFERROR(__xludf.DUMMYFUNCTION("""COMPUTED_VALUE"""),"Formação Pedagógica em Ciências Biológicas - Formação Pedagógica em Ciências Biológicas - Jeferson de Oliveira Pessoa - Ciências Exatas e da Terra - Nota Máxima: 8")</f>
        <v>Formação Pedagógica em Ciências Biológicas - Formação Pedagógica em Ciências Biológicas - Jeferson de Oliveira Pessoa - Ciências Exatas e da Terra - Nota Máxima: 8</v>
      </c>
    </row>
    <row r="2460">
      <c r="A2460" s="390" t="str">
        <f>IFERROR(__xludf.DUMMYFUNCTION("""COMPUTED_VALUE"""),"Formação Pedagógica em Ciências Biológicas - Formação Pedagógica em Ciências Biológicas - Jeferson de Oliveira Pessoa - Deficiência Auditiva e Libras/a - Nota Máxima: 10")</f>
        <v>Formação Pedagógica em Ciências Biológicas - Formação Pedagógica em Ciências Biológicas - Jeferson de Oliveira Pessoa - Deficiência Auditiva e Libras/a - Nota Máxima: 10</v>
      </c>
    </row>
    <row r="2461">
      <c r="A2461" s="390" t="str">
        <f>IFERROR(__xludf.DUMMYFUNCTION("""COMPUTED_VALUE"""),"Formação Pedagógica em Ciências Biológicas - Formação Pedagógica em Ciências Biológicas - Jeferson de Oliveira Pessoa - Deficiência Auditiva e Libras/a - Nota Máxima: 9")</f>
        <v>Formação Pedagógica em Ciências Biológicas - Formação Pedagógica em Ciências Biológicas - Jeferson de Oliveira Pessoa - Deficiência Auditiva e Libras/a - Nota Máxima: 9</v>
      </c>
    </row>
    <row r="2462">
      <c r="A2462" s="390" t="str">
        <f>IFERROR(__xludf.DUMMYFUNCTION("""COMPUTED_VALUE"""),"Formação Pedagógica em Ciências Biológicas - Formação Pedagógica em Ciências Biológicas - Jeferson de Oliveira Pessoa - Educação e as Tic's - Nota Máxima: 10")</f>
        <v>Formação Pedagógica em Ciências Biológicas - Formação Pedagógica em Ciências Biológicas - Jeferson de Oliveira Pessoa - Educação e as Tic's - Nota Máxima: 10</v>
      </c>
    </row>
    <row r="2463">
      <c r="A2463" s="390" t="str">
        <f>IFERROR(__xludf.DUMMYFUNCTION("""COMPUTED_VALUE"""),"Formação Pedagógica em Ciências Biológicas - Formação Pedagógica em Ciências Biológicas - Jeferson de Oliveira Pessoa - Educação e as Tic's - Nota Máxima: 9")</f>
        <v>Formação Pedagógica em Ciências Biológicas - Formação Pedagógica em Ciências Biológicas - Jeferson de Oliveira Pessoa - Educação e as Tic's - Nota Máxima: 9</v>
      </c>
    </row>
    <row r="2464">
      <c r="A2464" s="390" t="str">
        <f>IFERROR(__xludf.DUMMYFUNCTION("""COMPUTED_VALUE"""),"Formação Pedagógica em Ciências Biológicas - Formação Pedagógica em Ciências Biológicas - Jeferson de Oliveira Pessoa - Educação Especial, Inclusão Escolar e Adaptações Curriculares - Nota Máxima: 10")</f>
        <v>Formação Pedagógica em Ciências Biológicas - Formação Pedagógica em Ciências Biológicas - Jeferson de Oliveira Pessoa - Educação Especial, Inclusão Escolar e Adaptações Curriculares - Nota Máxima: 10</v>
      </c>
    </row>
    <row r="2465">
      <c r="A2465" s="390" t="str">
        <f>IFERROR(__xludf.DUMMYFUNCTION("""COMPUTED_VALUE"""),"Formação Pedagógica em Ciências Biológicas - Formação Pedagógica em Ciências Biológicas - Jeferson de Oliveira Pessoa - Educação Especial, Inclusão Escolar e Adaptações Curriculares - Nota Máxima: 10")</f>
        <v>Formação Pedagógica em Ciências Biológicas - Formação Pedagógica em Ciências Biológicas - Jeferson de Oliveira Pessoa - Educação Especial, Inclusão Escolar e Adaptações Curriculares - Nota Máxima: 10</v>
      </c>
    </row>
    <row r="2466">
      <c r="A2466" s="390" t="str">
        <f>IFERROR(__xludf.DUMMYFUNCTION("""COMPUTED_VALUE"""),"Formação Pedagógica em Ciências Biológicas - Formação Pedagógica em Ciências Biológicas - Jeferson de Oliveira Pessoa - Educação, História, Cultura e Práticas Indígenas/a - Nota Máxima: 10")</f>
        <v>Formação Pedagógica em Ciências Biológicas - Formação Pedagógica em Ciências Biológicas - Jeferson de Oliveira Pessoa - Educação, História, Cultura e Práticas Indígenas/a - Nota Máxima: 10</v>
      </c>
    </row>
    <row r="2467">
      <c r="A2467" s="390" t="str">
        <f>IFERROR(__xludf.DUMMYFUNCTION("""COMPUTED_VALUE"""),"Formação Pedagógica em Ciências Biológicas - Formação Pedagógica em Ciências Biológicas - Jeferson de Oliveira Pessoa - Educação, História, Cultura e Práticas Indígenas/a - Nota Máxima: 8")</f>
        <v>Formação Pedagógica em Ciências Biológicas - Formação Pedagógica em Ciências Biológicas - Jeferson de Oliveira Pessoa - Educação, História, Cultura e Práticas Indígenas/a - Nota Máxima: 8</v>
      </c>
    </row>
    <row r="2468">
      <c r="A2468" s="390" t="str">
        <f>IFERROR(__xludf.DUMMYFUNCTION("""COMPUTED_VALUE"""),"Formação Pedagógica em Ciências Biológicas - Formação Pedagógica em Ciências Biológicas - Jeferson de Oliveira Pessoa - Ensino de Ciência e Biologia na Educação Básica - Nota Máxima: 10")</f>
        <v>Formação Pedagógica em Ciências Biológicas - Formação Pedagógica em Ciências Biológicas - Jeferson de Oliveira Pessoa - Ensino de Ciência e Biologia na Educação Básica - Nota Máxima: 10</v>
      </c>
    </row>
    <row r="2469">
      <c r="A2469" s="390" t="str">
        <f>IFERROR(__xludf.DUMMYFUNCTION("""COMPUTED_VALUE"""),"Formação Pedagógica em Ciências Biológicas - Formação Pedagógica em Ciências Biológicas - Jeferson de Oliveira Pessoa - Ensino de Ciência e Biologia na Educação Básica - Nota Máxima: 10")</f>
        <v>Formação Pedagógica em Ciências Biológicas - Formação Pedagógica em Ciências Biológicas - Jeferson de Oliveira Pessoa - Ensino de Ciência e Biologia na Educação Básica - Nota Máxima: 10</v>
      </c>
    </row>
    <row r="2470">
      <c r="A2470" s="390" t="str">
        <f>IFERROR(__xludf.DUMMYFUNCTION("""COMPUTED_VALUE"""),"Formação Pedagógica em Ciências Biológicas - Formação Pedagógica em Ciências Biológicas - Jeferson de Oliveira Pessoa - Imunologia e Microbiologia - Nota Máxima: 10")</f>
        <v>Formação Pedagógica em Ciências Biológicas - Formação Pedagógica em Ciências Biológicas - Jeferson de Oliveira Pessoa - Imunologia e Microbiologia - Nota Máxima: 10</v>
      </c>
    </row>
    <row r="2471">
      <c r="A2471" s="390" t="str">
        <f>IFERROR(__xludf.DUMMYFUNCTION("""COMPUTED_VALUE"""),"Formação Pedagógica em Ciências Biológicas - Formação Pedagógica em Ciências Biológicas - Jeferson de Oliveira Pessoa - Imunologia e Microbiologia - Nota Máxima: 8")</f>
        <v>Formação Pedagógica em Ciências Biológicas - Formação Pedagógica em Ciências Biológicas - Jeferson de Oliveira Pessoa - Imunologia e Microbiologia - Nota Máxima: 8</v>
      </c>
    </row>
    <row r="2472">
      <c r="A2472" s="390" t="str">
        <f>IFERROR(__xludf.DUMMYFUNCTION("""COMPUTED_VALUE"""),"Formação Pedagógica em Ciências Biológicas - Formação Pedagógica em Ciências Biológicas - Jeferson de Oliveira Pessoa - Introdução à Educação Ambiental - Nota Máxima: 10")</f>
        <v>Formação Pedagógica em Ciências Biológicas - Formação Pedagógica em Ciências Biológicas - Jeferson de Oliveira Pessoa - Introdução à Educação Ambiental - Nota Máxima: 10</v>
      </c>
    </row>
    <row r="2473">
      <c r="A2473" s="390" t="str">
        <f>IFERROR(__xludf.DUMMYFUNCTION("""COMPUTED_VALUE"""),"Formação Pedagógica em Ciências Biológicas - Formação Pedagógica em Ciências Biológicas - Jeferson de Oliveira Pessoa - Introdução à Educação Ambiental - Nota Máxima: 10")</f>
        <v>Formação Pedagógica em Ciências Biológicas - Formação Pedagógica em Ciências Biológicas - Jeferson de Oliveira Pessoa - Introdução à Educação Ambiental - Nota Máxima: 10</v>
      </c>
    </row>
    <row r="2474">
      <c r="A2474" s="390" t="str">
        <f>IFERROR(__xludf.DUMMYFUNCTION("""COMPUTED_VALUE"""),"Formação Pedagógica em Ciências Biológicas - Formação Pedagógica em Ciências Biológicas - Jeferson de Oliveira Pessoa - Legislação Educacional/a - Nota Máxima: 10")</f>
        <v>Formação Pedagógica em Ciências Biológicas - Formação Pedagógica em Ciências Biológicas - Jeferson de Oliveira Pessoa - Legislação Educacional/a - Nota Máxima: 10</v>
      </c>
    </row>
    <row r="2475">
      <c r="A2475" s="390" t="str">
        <f>IFERROR(__xludf.DUMMYFUNCTION("""COMPUTED_VALUE"""),"Formação Pedagógica em Ciências Biológicas - Formação Pedagógica em Ciências Biológicas - Jeferson de Oliveira Pessoa - Legislação Educacional/a - Nota Máxima: 8")</f>
        <v>Formação Pedagógica em Ciências Biológicas - Formação Pedagógica em Ciências Biológicas - Jeferson de Oliveira Pessoa - Legislação Educacional/a - Nota Máxima: 8</v>
      </c>
    </row>
    <row r="2476">
      <c r="A2476" s="390" t="str">
        <f>IFERROR(__xludf.DUMMYFUNCTION("""COMPUTED_VALUE"""),"Formação Pedagógica em Ciências Biológicas - Formação Pedagógica em Ciências Biológicas - Jeferson de Oliveira Pessoa - Planejamento, Gestão Educacional e Currículo/a - Nota Máxima: 10")</f>
        <v>Formação Pedagógica em Ciências Biológicas - Formação Pedagógica em Ciências Biológicas - Jeferson de Oliveira Pessoa - Planejamento, Gestão Educacional e Currículo/a - Nota Máxima: 10</v>
      </c>
    </row>
    <row r="2477">
      <c r="A2477" s="390" t="str">
        <f>IFERROR(__xludf.DUMMYFUNCTION("""COMPUTED_VALUE"""),"Formação Pedagógica em Ciências Biológicas - Formação Pedagógica em Ciências Biológicas - Jeferson de Oliveira Pessoa - Planejamento, Gestão Educacional e Currículo/a - Nota Máxima: 10")</f>
        <v>Formação Pedagógica em Ciências Biológicas - Formação Pedagógica em Ciências Biológicas - Jeferson de Oliveira Pessoa - Planejamento, Gestão Educacional e Currículo/a - Nota Máxima: 10</v>
      </c>
    </row>
    <row r="2478">
      <c r="A2478" s="390" t="str">
        <f>IFERROR(__xludf.DUMMYFUNCTION("""COMPUTED_VALUE"""),"Formação Pedagógica em Ciências Biológicas - Formação Pedagógica em Ciências Biológicas - Jeferson de Oliveira Pessoa - Psicologia da Educação/a - Nota Máxima: 10")</f>
        <v>Formação Pedagógica em Ciências Biológicas - Formação Pedagógica em Ciências Biológicas - Jeferson de Oliveira Pessoa - Psicologia da Educação/a - Nota Máxima: 10</v>
      </c>
    </row>
    <row r="2479">
      <c r="A2479" s="390" t="str">
        <f>IFERROR(__xludf.DUMMYFUNCTION("""COMPUTED_VALUE"""),"Formação Pedagógica em Ciências Biológicas - Formação Pedagógica em Ciências Biológicas - Jeferson de Oliveira Pessoa - Psicologia da Educação/a - Nota Máxima: 5")</f>
        <v>Formação Pedagógica em Ciências Biológicas - Formação Pedagógica em Ciências Biológicas - Jeferson de Oliveira Pessoa - Psicologia da Educação/a - Nota Máxima: 5</v>
      </c>
    </row>
    <row r="2480">
      <c r="A2480" s="390" t="str">
        <f>IFERROR(__xludf.DUMMYFUNCTION("""COMPUTED_VALUE"""),"Formação Pedagógica em Ciências Biológicas - Formação Pedagógica em Ciências Biológicas - MAURICIO DE SOUSA DIAS - Análises Clínicas e Microbiologia - Nota Máxima: 10")</f>
        <v>Formação Pedagógica em Ciências Biológicas - Formação Pedagógica em Ciências Biológicas - MAURICIO DE SOUSA DIAS - Análises Clínicas e Microbiologia - Nota Máxima: 10</v>
      </c>
    </row>
    <row r="2481">
      <c r="A2481" s="390" t="str">
        <f>IFERROR(__xludf.DUMMYFUNCTION("""COMPUTED_VALUE"""),"Formação Pedagógica em Ciências Biológicas - Formação Pedagógica em Ciências Biológicas - MAURICIO DE SOUSA DIAS - Análises Clínicas e Microbiologia - Nota Máxima: 7")</f>
        <v>Formação Pedagógica em Ciências Biológicas - Formação Pedagógica em Ciências Biológicas - MAURICIO DE SOUSA DIAS - Análises Clínicas e Microbiologia - Nota Máxima: 7</v>
      </c>
    </row>
    <row r="2482">
      <c r="A2482" s="390" t="str">
        <f>IFERROR(__xludf.DUMMYFUNCTION("""COMPUTED_VALUE"""),"Formação Pedagógica em Ciências Biológicas - Formação Pedagógica em Ciências Biológicas - MAURICIO DE SOUSA DIAS - Anatomia e Fisiologia Humana - Nota Máxima: 10")</f>
        <v>Formação Pedagógica em Ciências Biológicas - Formação Pedagógica em Ciências Biológicas - MAURICIO DE SOUSA DIAS - Anatomia e Fisiologia Humana - Nota Máxima: 10</v>
      </c>
    </row>
    <row r="2483">
      <c r="A2483" s="390" t="str">
        <f>IFERROR(__xludf.DUMMYFUNCTION("""COMPUTED_VALUE"""),"Formação Pedagógica em Ciências Biológicas - Formação Pedagógica em Ciências Biológicas - MAURICIO DE SOUSA DIAS - Anatomia e Fisiologia Humana - Nota Máxima: 7")</f>
        <v>Formação Pedagógica em Ciências Biológicas - Formação Pedagógica em Ciências Biológicas - MAURICIO DE SOUSA DIAS - Anatomia e Fisiologia Humana - Nota Máxima: 7</v>
      </c>
    </row>
    <row r="2484">
      <c r="A2484" s="390" t="str">
        <f>IFERROR(__xludf.DUMMYFUNCTION("""COMPUTED_VALUE"""),"Formação Pedagógica em Ciências Biológicas - Formação Pedagógica em Ciências Biológicas - MAURICIO DE SOUSA DIAS - Ciências Exatas e da Terra - Nota Máxima: 10")</f>
        <v>Formação Pedagógica em Ciências Biológicas - Formação Pedagógica em Ciências Biológicas - MAURICIO DE SOUSA DIAS - Ciências Exatas e da Terra - Nota Máxima: 10</v>
      </c>
    </row>
    <row r="2485">
      <c r="A2485" s="390" t="str">
        <f>IFERROR(__xludf.DUMMYFUNCTION("""COMPUTED_VALUE"""),"Formação Pedagógica em Ciências Biológicas - Formação Pedagógica em Ciências Biológicas - MAURICIO DE SOUSA DIAS - Ciências Exatas e da Terra - Nota Máxima: 9")</f>
        <v>Formação Pedagógica em Ciências Biológicas - Formação Pedagógica em Ciências Biológicas - MAURICIO DE SOUSA DIAS - Ciências Exatas e da Terra - Nota Máxima: 9</v>
      </c>
    </row>
    <row r="2486">
      <c r="A2486" s="390" t="str">
        <f>IFERROR(__xludf.DUMMYFUNCTION("""COMPUTED_VALUE"""),"Formação Pedagógica em Ciências Biológicas - Formação Pedagógica em Ciências Biológicas - MAURICIO DE SOUSA DIAS - Deficiência Auditiva e Libras/a - Nota Máxima: 10")</f>
        <v>Formação Pedagógica em Ciências Biológicas - Formação Pedagógica em Ciências Biológicas - MAURICIO DE SOUSA DIAS - Deficiência Auditiva e Libras/a - Nota Máxima: 10</v>
      </c>
    </row>
    <row r="2487">
      <c r="A2487" s="390" t="str">
        <f>IFERROR(__xludf.DUMMYFUNCTION("""COMPUTED_VALUE"""),"Formação Pedagógica em Ciências Biológicas - Formação Pedagógica em Ciências Biológicas - MAURICIO DE SOUSA DIAS - Educação e as Tic's - Nota Máxima: 10")</f>
        <v>Formação Pedagógica em Ciências Biológicas - Formação Pedagógica em Ciências Biológicas - MAURICIO DE SOUSA DIAS - Educação e as Tic's - Nota Máxima: 10</v>
      </c>
    </row>
    <row r="2488">
      <c r="A2488" s="390" t="str">
        <f>IFERROR(__xludf.DUMMYFUNCTION("""COMPUTED_VALUE"""),"Formação Pedagógica em Ciências Biológicas - Formação Pedagógica em Ciências Biológicas - MAURICIO DE SOUSA DIAS - Educação e as Tic's - Nota Máxima: 7")</f>
        <v>Formação Pedagógica em Ciências Biológicas - Formação Pedagógica em Ciências Biológicas - MAURICIO DE SOUSA DIAS - Educação e as Tic's - Nota Máxima: 7</v>
      </c>
    </row>
    <row r="2489">
      <c r="A2489" s="390" t="str">
        <f>IFERROR(__xludf.DUMMYFUNCTION("""COMPUTED_VALUE"""),"Formação Pedagógica em Ciências Biológicas - Formação Pedagógica em Ciências Biológicas - MAURICIO DE SOUSA DIAS - Educação Especial, Inclusão Escolar e Adaptações Curriculares - Nota Máxima: 10")</f>
        <v>Formação Pedagógica em Ciências Biológicas - Formação Pedagógica em Ciências Biológicas - MAURICIO DE SOUSA DIAS - Educação Especial, Inclusão Escolar e Adaptações Curriculares - Nota Máxima: 10</v>
      </c>
    </row>
    <row r="2490">
      <c r="A2490" s="390" t="str">
        <f>IFERROR(__xludf.DUMMYFUNCTION("""COMPUTED_VALUE"""),"Formação Pedagógica em Ciências Biológicas - Formação Pedagógica em Ciências Biológicas - MAURICIO DE SOUSA DIAS - Educação Especial, Inclusão Escolar e Adaptações Curriculares - Nota Máxima: 6")</f>
        <v>Formação Pedagógica em Ciências Biológicas - Formação Pedagógica em Ciências Biológicas - MAURICIO DE SOUSA DIAS - Educação Especial, Inclusão Escolar e Adaptações Curriculares - Nota Máxima: 6</v>
      </c>
    </row>
    <row r="2491">
      <c r="A2491" s="390" t="str">
        <f>IFERROR(__xludf.DUMMYFUNCTION("""COMPUTED_VALUE"""),"Formação Pedagógica em Ciências Biológicas - Formação Pedagógica em Ciências Biológicas - MAURICIO DE SOUSA DIAS - Educação, História, Cultura e Práticas Indígenas/a - Nota Máxima: 10")</f>
        <v>Formação Pedagógica em Ciências Biológicas - Formação Pedagógica em Ciências Biológicas - MAURICIO DE SOUSA DIAS - Educação, História, Cultura e Práticas Indígenas/a - Nota Máxima: 10</v>
      </c>
    </row>
    <row r="2492">
      <c r="A2492" s="390" t="str">
        <f>IFERROR(__xludf.DUMMYFUNCTION("""COMPUTED_VALUE"""),"Formação Pedagógica em Ciências Biológicas - Formação Pedagógica em Ciências Biológicas - MAURICIO DE SOUSA DIAS - Educação, História, Cultura e Práticas Indígenas/a - Nota Máxima: 10")</f>
        <v>Formação Pedagógica em Ciências Biológicas - Formação Pedagógica em Ciências Biológicas - MAURICIO DE SOUSA DIAS - Educação, História, Cultura e Práticas Indígenas/a - Nota Máxima: 10</v>
      </c>
    </row>
    <row r="2493">
      <c r="A2493" s="390" t="str">
        <f>IFERROR(__xludf.DUMMYFUNCTION("""COMPUTED_VALUE"""),"Formação Pedagógica em Ciências Biológicas - Formação Pedagógica em Ciências Biológicas - MAURICIO DE SOUSA DIAS - Ensino de Ciência e Biologia na Educação Básica - Nota Máxima: 10")</f>
        <v>Formação Pedagógica em Ciências Biológicas - Formação Pedagógica em Ciências Biológicas - MAURICIO DE SOUSA DIAS - Ensino de Ciência e Biologia na Educação Básica - Nota Máxima: 10</v>
      </c>
    </row>
    <row r="2494">
      <c r="A2494" s="390" t="str">
        <f>IFERROR(__xludf.DUMMYFUNCTION("""COMPUTED_VALUE"""),"Formação Pedagógica em Ciências Biológicas - Formação Pedagógica em Ciências Biológicas - MAURICIO DE SOUSA DIAS - Imunologia e Microbiologia - Nota Máxima: 10")</f>
        <v>Formação Pedagógica em Ciências Biológicas - Formação Pedagógica em Ciências Biológicas - MAURICIO DE SOUSA DIAS - Imunologia e Microbiologia - Nota Máxima: 10</v>
      </c>
    </row>
    <row r="2495">
      <c r="A2495" s="390" t="str">
        <f>IFERROR(__xludf.DUMMYFUNCTION("""COMPUTED_VALUE"""),"Formação Pedagógica em Ciências Biológicas - Formação Pedagógica em Ciências Biológicas - MAURICIO DE SOUSA DIAS - Introdução à Educação Ambiental - Nota Máxima: 10")</f>
        <v>Formação Pedagógica em Ciências Biológicas - Formação Pedagógica em Ciências Biológicas - MAURICIO DE SOUSA DIAS - Introdução à Educação Ambiental - Nota Máxima: 10</v>
      </c>
    </row>
    <row r="2496">
      <c r="A2496" s="390" t="str">
        <f>IFERROR(__xludf.DUMMYFUNCTION("""COMPUTED_VALUE"""),"Formação Pedagógica em Ciências Biológicas - Formação Pedagógica em Ciências Biológicas - MAURICIO DE SOUSA DIAS - Introdução à Educação Ambiental - Nota Máxima: 6")</f>
        <v>Formação Pedagógica em Ciências Biológicas - Formação Pedagógica em Ciências Biológicas - MAURICIO DE SOUSA DIAS - Introdução à Educação Ambiental - Nota Máxima: 6</v>
      </c>
    </row>
    <row r="2497">
      <c r="A2497" s="390" t="str">
        <f>IFERROR(__xludf.DUMMYFUNCTION("""COMPUTED_VALUE"""),"Formação Pedagógica em Ciências Biológicas - Formação Pedagógica em Ciências Biológicas - MAURICIO DE SOUSA DIAS - Legislação Educacional/a - Nota Máxima: 10")</f>
        <v>Formação Pedagógica em Ciências Biológicas - Formação Pedagógica em Ciências Biológicas - MAURICIO DE SOUSA DIAS - Legislação Educacional/a - Nota Máxima: 10</v>
      </c>
    </row>
    <row r="2498">
      <c r="A2498" s="390" t="str">
        <f>IFERROR(__xludf.DUMMYFUNCTION("""COMPUTED_VALUE"""),"Formação Pedagógica em Ciências Biológicas - Formação Pedagógica em Ciências Biológicas - MAURICIO DE SOUSA DIAS - Planejamento, Gestão Educacional e Currículo/a - Nota Máxima: 10")</f>
        <v>Formação Pedagógica em Ciências Biológicas - Formação Pedagógica em Ciências Biológicas - MAURICIO DE SOUSA DIAS - Planejamento, Gestão Educacional e Currículo/a - Nota Máxima: 10</v>
      </c>
    </row>
    <row r="2499">
      <c r="A2499" s="390" t="str">
        <f>IFERROR(__xludf.DUMMYFUNCTION("""COMPUTED_VALUE"""),"Formação Pedagógica em Ciências Biológicas - Formação Pedagógica em Ciências Biológicas - MAURICIO DE SOUSA DIAS - Práticas Pedagógicas - 400 Horas - Nota Máxima: 10")</f>
        <v>Formação Pedagógica em Ciências Biológicas - Formação Pedagógica em Ciências Biológicas - MAURICIO DE SOUSA DIAS - Práticas Pedagógicas - 400 Horas - Nota Máxima: 10</v>
      </c>
    </row>
    <row r="2500">
      <c r="A2500" s="390" t="str">
        <f>IFERROR(__xludf.DUMMYFUNCTION("""COMPUTED_VALUE"""),"Formação Pedagógica em Ciências Biológicas - Formação Pedagógica em Ciências Biológicas - MAURICIO DE SOUSA DIAS - Psicologia da Educação/a - Nota Máxima: 10")</f>
        <v>Formação Pedagógica em Ciências Biológicas - Formação Pedagógica em Ciências Biológicas - MAURICIO DE SOUSA DIAS - Psicologia da Educação/a - Nota Máxima: 10</v>
      </c>
    </row>
    <row r="2501">
      <c r="A2501" s="390" t="str">
        <f>IFERROR(__xludf.DUMMYFUNCTION("""COMPUTED_VALUE"""),"Formação Pedagógica em Ciências Biológicas - Formação Pedagógica em Ciências Biológicas - MAURICIO DE SOUSA DIAS - Psicologia da Educação/a - Nota Máxima: 5")</f>
        <v>Formação Pedagógica em Ciências Biológicas - Formação Pedagógica em Ciências Biológicas - MAURICIO DE SOUSA DIAS - Psicologia da Educação/a - Nota Máxima: 5</v>
      </c>
    </row>
    <row r="2502">
      <c r="A2502" s="390" t="str">
        <f>IFERROR(__xludf.DUMMYFUNCTION("""COMPUTED_VALUE"""),"Formação Pedagógica em Ciências Biológicas - Formação Pedagógica em Ciências Biológicas - Paulo Roberto Maciel dos Santos - Análises Clínicas e Microbiologia - Nota Máxima: 9")</f>
        <v>Formação Pedagógica em Ciências Biológicas - Formação Pedagógica em Ciências Biológicas - Paulo Roberto Maciel dos Santos - Análises Clínicas e Microbiologia - Nota Máxima: 9</v>
      </c>
    </row>
    <row r="2503">
      <c r="A2503" s="390" t="str">
        <f>IFERROR(__xludf.DUMMYFUNCTION("""COMPUTED_VALUE"""),"Formação Pedagógica em Ciências Biológicas - Formação Pedagógica em Ciências Biológicas - Paulo Roberto Maciel dos Santos - Análises Clínicas e Microbiologia - Nota Máxima: 8")</f>
        <v>Formação Pedagógica em Ciências Biológicas - Formação Pedagógica em Ciências Biológicas - Paulo Roberto Maciel dos Santos - Análises Clínicas e Microbiologia - Nota Máxima: 8</v>
      </c>
    </row>
    <row r="2504">
      <c r="A2504" s="390" t="str">
        <f>IFERROR(__xludf.DUMMYFUNCTION("""COMPUTED_VALUE"""),"Formação Pedagógica em Ciências Biológicas - Formação Pedagógica em Ciências Biológicas - Paulo Roberto Maciel dos Santos - Anatomia e Fisiologia Humana - Nota Máxima: 10")</f>
        <v>Formação Pedagógica em Ciências Biológicas - Formação Pedagógica em Ciências Biológicas - Paulo Roberto Maciel dos Santos - Anatomia e Fisiologia Humana - Nota Máxima: 10</v>
      </c>
    </row>
    <row r="2505">
      <c r="A2505" s="390" t="str">
        <f>IFERROR(__xludf.DUMMYFUNCTION("""COMPUTED_VALUE"""),"Formação Pedagógica em Ciências Biológicas - Formação Pedagógica em Ciências Biológicas - Paulo Roberto Maciel dos Santos - Anatomia e Fisiologia Humana - Nota Máxima: 8")</f>
        <v>Formação Pedagógica em Ciências Biológicas - Formação Pedagógica em Ciências Biológicas - Paulo Roberto Maciel dos Santos - Anatomia e Fisiologia Humana - Nota Máxima: 8</v>
      </c>
    </row>
    <row r="2506">
      <c r="A2506" s="390" t="str">
        <f>IFERROR(__xludf.DUMMYFUNCTION("""COMPUTED_VALUE"""),"Formação Pedagógica em Ciências Biológicas - Formação Pedagógica em Ciências Biológicas - Paulo Roberto Maciel dos Santos - Ciências Exatas e da Terra - Nota Máxima: 9")</f>
        <v>Formação Pedagógica em Ciências Biológicas - Formação Pedagógica em Ciências Biológicas - Paulo Roberto Maciel dos Santos - Ciências Exatas e da Terra - Nota Máxima: 9</v>
      </c>
    </row>
    <row r="2507">
      <c r="A2507" s="390" t="str">
        <f>IFERROR(__xludf.DUMMYFUNCTION("""COMPUTED_VALUE"""),"Formação Pedagógica em Ciências Biológicas - Formação Pedagógica em Ciências Biológicas - Paulo Roberto Maciel dos Santos - Ciências Exatas e da Terra - Nota Máxima: 8")</f>
        <v>Formação Pedagógica em Ciências Biológicas - Formação Pedagógica em Ciências Biológicas - Paulo Roberto Maciel dos Santos - Ciências Exatas e da Terra - Nota Máxima: 8</v>
      </c>
    </row>
    <row r="2508">
      <c r="A2508" s="390" t="str">
        <f>IFERROR(__xludf.DUMMYFUNCTION("""COMPUTED_VALUE"""),"Formação Pedagógica em Ciências Biológicas - Formação Pedagógica em Ciências Biológicas - Paulo Roberto Maciel dos Santos - Deficiência Auditiva e Libras/a - Nota Máxima: 10")</f>
        <v>Formação Pedagógica em Ciências Biológicas - Formação Pedagógica em Ciências Biológicas - Paulo Roberto Maciel dos Santos - Deficiência Auditiva e Libras/a - Nota Máxima: 10</v>
      </c>
    </row>
    <row r="2509">
      <c r="A2509" s="390" t="str">
        <f>IFERROR(__xludf.DUMMYFUNCTION("""COMPUTED_VALUE"""),"Formação Pedagógica em Ciências Biológicas - Formação Pedagógica em Ciências Biológicas - Paulo Roberto Maciel dos Santos - Deficiência Auditiva e Libras/a - Nota Máxima: 10")</f>
        <v>Formação Pedagógica em Ciências Biológicas - Formação Pedagógica em Ciências Biológicas - Paulo Roberto Maciel dos Santos - Deficiência Auditiva e Libras/a - Nota Máxima: 10</v>
      </c>
    </row>
    <row r="2510">
      <c r="A2510" s="390" t="str">
        <f>IFERROR(__xludf.DUMMYFUNCTION("""COMPUTED_VALUE"""),"Formação Pedagógica em Ciências Biológicas - Formação Pedagógica em Ciências Biológicas - Paulo Roberto Maciel dos Santos - Educação e as Tic's - Nota Máxima: 10")</f>
        <v>Formação Pedagógica em Ciências Biológicas - Formação Pedagógica em Ciências Biológicas - Paulo Roberto Maciel dos Santos - Educação e as Tic's - Nota Máxima: 10</v>
      </c>
    </row>
    <row r="2511">
      <c r="A2511" s="390" t="str">
        <f>IFERROR(__xludf.DUMMYFUNCTION("""COMPUTED_VALUE"""),"Formação Pedagógica em Ciências Biológicas - Formação Pedagógica em Ciências Biológicas - Paulo Roberto Maciel dos Santos - Educação e as Tic's - Nota Máxima: 8")</f>
        <v>Formação Pedagógica em Ciências Biológicas - Formação Pedagógica em Ciências Biológicas - Paulo Roberto Maciel dos Santos - Educação e as Tic's - Nota Máxima: 8</v>
      </c>
    </row>
    <row r="2512">
      <c r="A2512" s="390" t="str">
        <f>IFERROR(__xludf.DUMMYFUNCTION("""COMPUTED_VALUE"""),"Formação Pedagógica em Ciências Biológicas - Formação Pedagógica em Ciências Biológicas - Paulo Roberto Maciel dos Santos - Educação Especial, Inclusão Escolar e Adaptações Curriculares - Nota Máxima: 10")</f>
        <v>Formação Pedagógica em Ciências Biológicas - Formação Pedagógica em Ciências Biológicas - Paulo Roberto Maciel dos Santos - Educação Especial, Inclusão Escolar e Adaptações Curriculares - Nota Máxima: 10</v>
      </c>
    </row>
    <row r="2513">
      <c r="A2513" s="390" t="str">
        <f>IFERROR(__xludf.DUMMYFUNCTION("""COMPUTED_VALUE"""),"Formação Pedagógica em Ciências Biológicas - Formação Pedagógica em Ciências Biológicas - Paulo Roberto Maciel dos Santos - Educação Especial, Inclusão Escolar e Adaptações Curriculares - Nota Máxima: 8")</f>
        <v>Formação Pedagógica em Ciências Biológicas - Formação Pedagógica em Ciências Biológicas - Paulo Roberto Maciel dos Santos - Educação Especial, Inclusão Escolar e Adaptações Curriculares - Nota Máxima: 8</v>
      </c>
    </row>
    <row r="2514">
      <c r="A2514" s="390" t="str">
        <f>IFERROR(__xludf.DUMMYFUNCTION("""COMPUTED_VALUE"""),"Formação Pedagógica em Ciências Biológicas - Formação Pedagógica em Ciências Biológicas - Paulo Roberto Maciel dos Santos - Educação, História, Cultura e Práticas Indígenas/a - Nota Máxima: 9")</f>
        <v>Formação Pedagógica em Ciências Biológicas - Formação Pedagógica em Ciências Biológicas - Paulo Roberto Maciel dos Santos - Educação, História, Cultura e Práticas Indígenas/a - Nota Máxima: 9</v>
      </c>
    </row>
    <row r="2515">
      <c r="A2515" s="390" t="str">
        <f>IFERROR(__xludf.DUMMYFUNCTION("""COMPUTED_VALUE"""),"Formação Pedagógica em Ciências Biológicas - Formação Pedagógica em Ciências Biológicas - Paulo Roberto Maciel dos Santos - Educação, História, Cultura e Práticas Indígenas/a - Nota Máxima: 9")</f>
        <v>Formação Pedagógica em Ciências Biológicas - Formação Pedagógica em Ciências Biológicas - Paulo Roberto Maciel dos Santos - Educação, História, Cultura e Práticas Indígenas/a - Nota Máxima: 9</v>
      </c>
    </row>
    <row r="2516">
      <c r="A2516" s="390" t="str">
        <f>IFERROR(__xludf.DUMMYFUNCTION("""COMPUTED_VALUE"""),"Formação Pedagógica em Ciências Biológicas - Formação Pedagógica em Ciências Biológicas - Paulo Roberto Maciel dos Santos - Ensino de Ciência e Biologia na Educação Básica - Nota Máxima: 9")</f>
        <v>Formação Pedagógica em Ciências Biológicas - Formação Pedagógica em Ciências Biológicas - Paulo Roberto Maciel dos Santos - Ensino de Ciência e Biologia na Educação Básica - Nota Máxima: 9</v>
      </c>
    </row>
    <row r="2517">
      <c r="A2517" s="390" t="str">
        <f>IFERROR(__xludf.DUMMYFUNCTION("""COMPUTED_VALUE"""),"Formação Pedagógica em Ciências Biológicas - Formação Pedagógica em Ciências Biológicas - Paulo Roberto Maciel dos Santos - Ensino de Ciência e Biologia na Educação Básica - Nota Máxima: 5")</f>
        <v>Formação Pedagógica em Ciências Biológicas - Formação Pedagógica em Ciências Biológicas - Paulo Roberto Maciel dos Santos - Ensino de Ciência e Biologia na Educação Básica - Nota Máxima: 5</v>
      </c>
    </row>
    <row r="2518">
      <c r="A2518" s="390" t="str">
        <f>IFERROR(__xludf.DUMMYFUNCTION("""COMPUTED_VALUE"""),"Formação Pedagógica em Ciências Biológicas - Formação Pedagógica em Ciências Biológicas - Paulo Roberto Maciel dos Santos - Imunologia e Microbiologia - Nota Máxima: 10")</f>
        <v>Formação Pedagógica em Ciências Biológicas - Formação Pedagógica em Ciências Biológicas - Paulo Roberto Maciel dos Santos - Imunologia e Microbiologia - Nota Máxima: 10</v>
      </c>
    </row>
    <row r="2519">
      <c r="A2519" s="390" t="str">
        <f>IFERROR(__xludf.DUMMYFUNCTION("""COMPUTED_VALUE"""),"Formação Pedagógica em Ciências Biológicas - Formação Pedagógica em Ciências Biológicas - Paulo Roberto Maciel dos Santos - Imunologia e Microbiologia - Nota Máxima: 6")</f>
        <v>Formação Pedagógica em Ciências Biológicas - Formação Pedagógica em Ciências Biológicas - Paulo Roberto Maciel dos Santos - Imunologia e Microbiologia - Nota Máxima: 6</v>
      </c>
    </row>
    <row r="2520">
      <c r="A2520" s="390" t="str">
        <f>IFERROR(__xludf.DUMMYFUNCTION("""COMPUTED_VALUE"""),"Formação Pedagógica em Ciências Biológicas - Formação Pedagógica em Ciências Biológicas - Paulo Roberto Maciel dos Santos - Introdução à Educação Ambiental - Nota Máxima: 10")</f>
        <v>Formação Pedagógica em Ciências Biológicas - Formação Pedagógica em Ciências Biológicas - Paulo Roberto Maciel dos Santos - Introdução à Educação Ambiental - Nota Máxima: 10</v>
      </c>
    </row>
    <row r="2521">
      <c r="A2521" s="390" t="str">
        <f>IFERROR(__xludf.DUMMYFUNCTION("""COMPUTED_VALUE"""),"Formação Pedagógica em Ciências Biológicas - Formação Pedagógica em Ciências Biológicas - Paulo Roberto Maciel dos Santos - Introdução à Educação Ambiental - Nota Máxima: 9")</f>
        <v>Formação Pedagógica em Ciências Biológicas - Formação Pedagógica em Ciências Biológicas - Paulo Roberto Maciel dos Santos - Introdução à Educação Ambiental - Nota Máxima: 9</v>
      </c>
    </row>
    <row r="2522">
      <c r="A2522" s="390" t="str">
        <f>IFERROR(__xludf.DUMMYFUNCTION("""COMPUTED_VALUE"""),"Formação Pedagógica em Ciências Biológicas - Formação Pedagógica em Ciências Biológicas - Paulo Roberto Maciel dos Santos - Legislação Educacional/a - Nota Máxima: 9")</f>
        <v>Formação Pedagógica em Ciências Biológicas - Formação Pedagógica em Ciências Biológicas - Paulo Roberto Maciel dos Santos - Legislação Educacional/a - Nota Máxima: 9</v>
      </c>
    </row>
    <row r="2523">
      <c r="A2523" s="390" t="str">
        <f>IFERROR(__xludf.DUMMYFUNCTION("""COMPUTED_VALUE"""),"Formação Pedagógica em Ciências Biológicas - Formação Pedagógica em Ciências Biológicas - Paulo Roberto Maciel dos Santos - Legislação Educacional/a - Nota Máxima: 6")</f>
        <v>Formação Pedagógica em Ciências Biológicas - Formação Pedagógica em Ciências Biológicas - Paulo Roberto Maciel dos Santos - Legislação Educacional/a - Nota Máxima: 6</v>
      </c>
    </row>
    <row r="2524">
      <c r="A2524" s="390" t="str">
        <f>IFERROR(__xludf.DUMMYFUNCTION("""COMPUTED_VALUE"""),"Formação Pedagógica em Ciências Biológicas - Formação Pedagógica em Ciências Biológicas - Paulo Roberto Maciel dos Santos - Planejamento, Gestão Educacional e Currículo/a - Nota Máxima: 10")</f>
        <v>Formação Pedagógica em Ciências Biológicas - Formação Pedagógica em Ciências Biológicas - Paulo Roberto Maciel dos Santos - Planejamento, Gestão Educacional e Currículo/a - Nota Máxima: 10</v>
      </c>
    </row>
    <row r="2525">
      <c r="A2525" s="390" t="str">
        <f>IFERROR(__xludf.DUMMYFUNCTION("""COMPUTED_VALUE"""),"Formação Pedagógica em Ciências Biológicas - Formação Pedagógica em Ciências Biológicas - Paulo Roberto Maciel dos Santos - Planejamento, Gestão Educacional e Currículo/a - Nota Máxima: 9")</f>
        <v>Formação Pedagógica em Ciências Biológicas - Formação Pedagógica em Ciências Biológicas - Paulo Roberto Maciel dos Santos - Planejamento, Gestão Educacional e Currículo/a - Nota Máxima: 9</v>
      </c>
    </row>
    <row r="2526">
      <c r="A2526" s="390" t="str">
        <f>IFERROR(__xludf.DUMMYFUNCTION("""COMPUTED_VALUE"""),"Formação Pedagógica em Ciências Biológicas - Formação Pedagógica em Ciências Biológicas - Paulo Roberto Maciel dos Santos - Psicologia da Educação/a - Nota Máxima: 10")</f>
        <v>Formação Pedagógica em Ciências Biológicas - Formação Pedagógica em Ciências Biológicas - Paulo Roberto Maciel dos Santos - Psicologia da Educação/a - Nota Máxima: 10</v>
      </c>
    </row>
    <row r="2527">
      <c r="A2527" s="390" t="str">
        <f>IFERROR(__xludf.DUMMYFUNCTION("""COMPUTED_VALUE"""),"Formação Pedagógica em Ciências Biológicas - Formação Pedagógica em Ciências Biológicas - Paulo Roberto Maciel dos Santos - Psicologia da Educação/a - Nota Máxima: 5")</f>
        <v>Formação Pedagógica em Ciências Biológicas - Formação Pedagógica em Ciências Biológicas - Paulo Roberto Maciel dos Santos - Psicologia da Educação/a - Nota Máxima: 5</v>
      </c>
    </row>
    <row r="2528">
      <c r="A2528" s="390" t="str">
        <f>IFERROR(__xludf.DUMMYFUNCTION("""COMPUTED_VALUE"""),"Formação Pedagógica em Ciências Biológicas - Formação Pedagógica em Ciências Biológicas - Renan Aparecido Vigaro - Análises Clínicas e Microbiologia - Nota Máxima: 10")</f>
        <v>Formação Pedagógica em Ciências Biológicas - Formação Pedagógica em Ciências Biológicas - Renan Aparecido Vigaro - Análises Clínicas e Microbiologia - Nota Máxima: 10</v>
      </c>
    </row>
    <row r="2529">
      <c r="A2529" s="390" t="str">
        <f>IFERROR(__xludf.DUMMYFUNCTION("""COMPUTED_VALUE"""),"Formação Pedagógica em Ciências Biológicas - Formação Pedagógica em Ciências Biológicas - Renan Aparecido Vigaro - Anatomia e Fisiologia Humana - Nota Máxima: 10")</f>
        <v>Formação Pedagógica em Ciências Biológicas - Formação Pedagógica em Ciências Biológicas - Renan Aparecido Vigaro - Anatomia e Fisiologia Humana - Nota Máxima: 10</v>
      </c>
    </row>
    <row r="2530">
      <c r="A2530" s="390" t="str">
        <f>IFERROR(__xludf.DUMMYFUNCTION("""COMPUTED_VALUE"""),"Formação Pedagógica em Ciências Biológicas - Formação Pedagógica em Ciências Biológicas - Renan Aparecido Vigaro - Ciências Exatas e da Terra - Nota Máxima: 9")</f>
        <v>Formação Pedagógica em Ciências Biológicas - Formação Pedagógica em Ciências Biológicas - Renan Aparecido Vigaro - Ciências Exatas e da Terra - Nota Máxima: 9</v>
      </c>
    </row>
    <row r="2531">
      <c r="A2531" s="390" t="str">
        <f>IFERROR(__xludf.DUMMYFUNCTION("""COMPUTED_VALUE"""),"Formação Pedagógica em Ciências Biológicas - Formação Pedagógica em Ciências Biológicas - Renan Aparecido Vigaro - Deficiência Auditiva e Libras/a - Nota Máxima: 10")</f>
        <v>Formação Pedagógica em Ciências Biológicas - Formação Pedagógica em Ciências Biológicas - Renan Aparecido Vigaro - Deficiência Auditiva e Libras/a - Nota Máxima: 10</v>
      </c>
    </row>
    <row r="2532">
      <c r="A2532" s="390" t="str">
        <f>IFERROR(__xludf.DUMMYFUNCTION("""COMPUTED_VALUE"""),"Formação Pedagógica em Ciências Biológicas - Formação Pedagógica em Ciências Biológicas - Renan Aparecido Vigaro - Educação e as Tic's - Nota Máxima: 10")</f>
        <v>Formação Pedagógica em Ciências Biológicas - Formação Pedagógica em Ciências Biológicas - Renan Aparecido Vigaro - Educação e as Tic's - Nota Máxima: 10</v>
      </c>
    </row>
    <row r="2533">
      <c r="A2533" s="390" t="str">
        <f>IFERROR(__xludf.DUMMYFUNCTION("""COMPUTED_VALUE"""),"Formação Pedagógica em Ciências Biológicas - Formação Pedagógica em Ciências Biológicas - Renan Aparecido Vigaro - Educação Especial, Inclusão Escolar e Adaptações Curriculares - Nota Máxima: 10")</f>
        <v>Formação Pedagógica em Ciências Biológicas - Formação Pedagógica em Ciências Biológicas - Renan Aparecido Vigaro - Educação Especial, Inclusão Escolar e Adaptações Curriculares - Nota Máxima: 10</v>
      </c>
    </row>
    <row r="2534">
      <c r="A2534" s="390" t="str">
        <f>IFERROR(__xludf.DUMMYFUNCTION("""COMPUTED_VALUE"""),"Formação Pedagógica em Ciências Biológicas - Formação Pedagógica em Ciências Biológicas - Renan Aparecido Vigaro - Educação, História, Cultura e Práticas Indígenas/a - Nota Máxima: 8")</f>
        <v>Formação Pedagógica em Ciências Biológicas - Formação Pedagógica em Ciências Biológicas - Renan Aparecido Vigaro - Educação, História, Cultura e Práticas Indígenas/a - Nota Máxima: 8</v>
      </c>
    </row>
    <row r="2535">
      <c r="A2535" s="390" t="str">
        <f>IFERROR(__xludf.DUMMYFUNCTION("""COMPUTED_VALUE"""),"Formação Pedagógica em Ciências Biológicas - Formação Pedagógica em Ciências Biológicas - Renan Aparecido Vigaro - Ensino de Ciência e Biologia na Educação Básica - Nota Máxima: 9")</f>
        <v>Formação Pedagógica em Ciências Biológicas - Formação Pedagógica em Ciências Biológicas - Renan Aparecido Vigaro - Ensino de Ciência e Biologia na Educação Básica - Nota Máxima: 9</v>
      </c>
    </row>
    <row r="2536">
      <c r="A2536" s="390" t="str">
        <f>IFERROR(__xludf.DUMMYFUNCTION("""COMPUTED_VALUE"""),"Formação Pedagógica em Ciências Biológicas - Formação Pedagógica em Ciências Biológicas - Renan Aparecido Vigaro - Imunologia e Microbiologia - Nota Máxima: 8")</f>
        <v>Formação Pedagógica em Ciências Biológicas - Formação Pedagógica em Ciências Biológicas - Renan Aparecido Vigaro - Imunologia e Microbiologia - Nota Máxima: 8</v>
      </c>
    </row>
    <row r="2537">
      <c r="A2537" s="390" t="str">
        <f>IFERROR(__xludf.DUMMYFUNCTION("""COMPUTED_VALUE"""),"Formação Pedagógica em Ciências Biológicas - Formação Pedagógica em Ciências Biológicas - Renan Aparecido Vigaro - Introdução à Educação Ambiental - Nota Máxima: 9")</f>
        <v>Formação Pedagógica em Ciências Biológicas - Formação Pedagógica em Ciências Biológicas - Renan Aparecido Vigaro - Introdução à Educação Ambiental - Nota Máxima: 9</v>
      </c>
    </row>
    <row r="2538">
      <c r="A2538" s="390" t="str">
        <f>IFERROR(__xludf.DUMMYFUNCTION("""COMPUTED_VALUE"""),"Formação Pedagógica em Ciências Biológicas - Formação Pedagógica em Ciências Biológicas - Eduarda Carlos de Lima - Análises Clínicas e Microbiologia - Nota Máxima: 8")</f>
        <v>Formação Pedagógica em Ciências Biológicas - Formação Pedagógica em Ciências Biológicas - Eduarda Carlos de Lima - Análises Clínicas e Microbiologia - Nota Máxima: 8</v>
      </c>
    </row>
    <row r="2539">
      <c r="A2539" s="390" t="str">
        <f>IFERROR(__xludf.DUMMYFUNCTION("""COMPUTED_VALUE"""),"Formação Pedagógica em Ciências Biológicas - Formação Pedagógica em Ciências Biológicas - Eduarda Carlos de Lima - Análises Clínicas e Microbiologia - Nota Máxima: 9")</f>
        <v>Formação Pedagógica em Ciências Biológicas - Formação Pedagógica em Ciências Biológicas - Eduarda Carlos de Lima - Análises Clínicas e Microbiologia - Nota Máxima: 9</v>
      </c>
    </row>
    <row r="2540">
      <c r="A2540" s="390" t="str">
        <f>IFERROR(__xludf.DUMMYFUNCTION("""COMPUTED_VALUE"""),"Formação Pedagógica em Ciências Biológicas - Formação Pedagógica em Ciências Biológicas - Eduarda Carlos de Lima - Anatomia e Fisiologia Humana - Nota Máxima: 8")</f>
        <v>Formação Pedagógica em Ciências Biológicas - Formação Pedagógica em Ciências Biológicas - Eduarda Carlos de Lima - Anatomia e Fisiologia Humana - Nota Máxima: 8</v>
      </c>
    </row>
    <row r="2541">
      <c r="A2541" s="390" t="str">
        <f>IFERROR(__xludf.DUMMYFUNCTION("""COMPUTED_VALUE"""),"Formação Pedagógica em Ciências Biológicas - Formação Pedagógica em Ciências Biológicas - Eduarda Carlos de Lima - Anatomia e Fisiologia Humana - Nota Máxima: 10")</f>
        <v>Formação Pedagógica em Ciências Biológicas - Formação Pedagógica em Ciências Biológicas - Eduarda Carlos de Lima - Anatomia e Fisiologia Humana - Nota Máxima: 10</v>
      </c>
    </row>
    <row r="2542">
      <c r="A2542" s="390" t="str">
        <f>IFERROR(__xludf.DUMMYFUNCTION("""COMPUTED_VALUE"""),"Formação Pedagógica em Ciências Biológicas - Formação Pedagógica em Ciências Biológicas - Eduarda Carlos de Lima - Ciências Exatas e da Terra - Nota Máxima: 8")</f>
        <v>Formação Pedagógica em Ciências Biológicas - Formação Pedagógica em Ciências Biológicas - Eduarda Carlos de Lima - Ciências Exatas e da Terra - Nota Máxima: 8</v>
      </c>
    </row>
    <row r="2543">
      <c r="A2543" s="390" t="str">
        <f>IFERROR(__xludf.DUMMYFUNCTION("""COMPUTED_VALUE"""),"Formação Pedagógica em Ciências Biológicas - Formação Pedagógica em Ciências Biológicas - Eduarda Carlos de Lima - Ciências Exatas e da Terra - Nota Máxima: 7")</f>
        <v>Formação Pedagógica em Ciências Biológicas - Formação Pedagógica em Ciências Biológicas - Eduarda Carlos de Lima - Ciências Exatas e da Terra - Nota Máxima: 7</v>
      </c>
    </row>
    <row r="2544">
      <c r="A2544" s="390" t="str">
        <f>IFERROR(__xludf.DUMMYFUNCTION("""COMPUTED_VALUE"""),"Formação Pedagógica em Ciências Biológicas - Formação Pedagógica em Ciências Biológicas - Eduarda Carlos de Lima - Deficiência Auditiva e Libras/a - Nota Máxima: 9")</f>
        <v>Formação Pedagógica em Ciências Biológicas - Formação Pedagógica em Ciências Biológicas - Eduarda Carlos de Lima - Deficiência Auditiva e Libras/a - Nota Máxima: 9</v>
      </c>
    </row>
    <row r="2545">
      <c r="A2545" s="390" t="str">
        <f>IFERROR(__xludf.DUMMYFUNCTION("""COMPUTED_VALUE"""),"Formação Pedagógica em Ciências Biológicas - Formação Pedagógica em Ciências Biológicas - Eduarda Carlos de Lima - Deficiência Auditiva e Libras/a - Nota Máxima: 10")</f>
        <v>Formação Pedagógica em Ciências Biológicas - Formação Pedagógica em Ciências Biológicas - Eduarda Carlos de Lima - Deficiência Auditiva e Libras/a - Nota Máxima: 10</v>
      </c>
    </row>
    <row r="2546">
      <c r="A2546" s="390" t="str">
        <f>IFERROR(__xludf.DUMMYFUNCTION("""COMPUTED_VALUE"""),"Formação Pedagógica em Ciências Biológicas - Formação Pedagógica em Ciências Biológicas - Eduarda Carlos de Lima - Educação e as Tic's - Nota Máxima: 10")</f>
        <v>Formação Pedagógica em Ciências Biológicas - Formação Pedagógica em Ciências Biológicas - Eduarda Carlos de Lima - Educação e as Tic's - Nota Máxima: 10</v>
      </c>
    </row>
    <row r="2547">
      <c r="A2547" s="390" t="str">
        <f>IFERROR(__xludf.DUMMYFUNCTION("""COMPUTED_VALUE"""),"Formação Pedagógica em Ciências Biológicas - Formação Pedagógica em Ciências Biológicas - Eduarda Carlos de Lima - Educação e as Tic's - Nota Máxima: 10")</f>
        <v>Formação Pedagógica em Ciências Biológicas - Formação Pedagógica em Ciências Biológicas - Eduarda Carlos de Lima - Educação e as Tic's - Nota Máxima: 10</v>
      </c>
    </row>
    <row r="2548">
      <c r="A2548" s="390" t="str">
        <f>IFERROR(__xludf.DUMMYFUNCTION("""COMPUTED_VALUE"""),"Formação Pedagógica em Ciências Biológicas - Formação Pedagógica em Ciências Biológicas - Eduarda Carlos de Lima - Educação Especial, Inclusão Escolar e Adaptações Curriculares - Nota Máxima: 8")</f>
        <v>Formação Pedagógica em Ciências Biológicas - Formação Pedagógica em Ciências Biológicas - Eduarda Carlos de Lima - Educação Especial, Inclusão Escolar e Adaptações Curriculares - Nota Máxima: 8</v>
      </c>
    </row>
    <row r="2549">
      <c r="A2549" s="390" t="str">
        <f>IFERROR(__xludf.DUMMYFUNCTION("""COMPUTED_VALUE"""),"Formação Pedagógica em Ciências Biológicas - Formação Pedagógica em Ciências Biológicas - Eduarda Carlos de Lima - Educação Especial, Inclusão Escolar e Adaptações Curriculares - Nota Máxima: 10")</f>
        <v>Formação Pedagógica em Ciências Biológicas - Formação Pedagógica em Ciências Biológicas - Eduarda Carlos de Lima - Educação Especial, Inclusão Escolar e Adaptações Curriculares - Nota Máxima: 10</v>
      </c>
    </row>
    <row r="2550">
      <c r="A2550" s="390" t="str">
        <f>IFERROR(__xludf.DUMMYFUNCTION("""COMPUTED_VALUE"""),"Formação Pedagógica em Ciências Biológicas - Formação Pedagógica em Ciências Biológicas - Eduarda Carlos de Lima - Educação, História, Cultura e Práticas Indígenas/a - Nota Máxima: 7")</f>
        <v>Formação Pedagógica em Ciências Biológicas - Formação Pedagógica em Ciências Biológicas - Eduarda Carlos de Lima - Educação, História, Cultura e Práticas Indígenas/a - Nota Máxima: 7</v>
      </c>
    </row>
    <row r="2551">
      <c r="A2551" s="390" t="str">
        <f>IFERROR(__xludf.DUMMYFUNCTION("""COMPUTED_VALUE"""),"Formação Pedagógica em Ciências Biológicas - Formação Pedagógica em Ciências Biológicas - Eduarda Carlos de Lima - Educação, História, Cultura e Práticas Indígenas/a - Nota Máxima: 8")</f>
        <v>Formação Pedagógica em Ciências Biológicas - Formação Pedagógica em Ciências Biológicas - Eduarda Carlos de Lima - Educação, História, Cultura e Práticas Indígenas/a - Nota Máxima: 8</v>
      </c>
    </row>
    <row r="2552">
      <c r="A2552" s="390" t="str">
        <f>IFERROR(__xludf.DUMMYFUNCTION("""COMPUTED_VALUE"""),"Formação Pedagógica em Ciências Biológicas - Formação Pedagógica em Ciências Biológicas - Eduarda Carlos de Lima - Ensino de Ciência e Biologia na Educação Básica - Nota Máxima: 7")</f>
        <v>Formação Pedagógica em Ciências Biológicas - Formação Pedagógica em Ciências Biológicas - Eduarda Carlos de Lima - Ensino de Ciência e Biologia na Educação Básica - Nota Máxima: 7</v>
      </c>
    </row>
    <row r="2553">
      <c r="A2553" s="390" t="str">
        <f>IFERROR(__xludf.DUMMYFUNCTION("""COMPUTED_VALUE"""),"Formação Pedagógica em Ciências Biológicas - Formação Pedagógica em Ciências Biológicas - Eduarda Carlos de Lima - Ensino de Ciência e Biologia na Educação Básica - Nota Máxima: 8")</f>
        <v>Formação Pedagógica em Ciências Biológicas - Formação Pedagógica em Ciências Biológicas - Eduarda Carlos de Lima - Ensino de Ciência e Biologia na Educação Básica - Nota Máxima: 8</v>
      </c>
    </row>
    <row r="2554">
      <c r="A2554" s="390" t="str">
        <f>IFERROR(__xludf.DUMMYFUNCTION("""COMPUTED_VALUE"""),"Formação Pedagógica em Ciências Biológicas - Formação Pedagógica em Ciências Biológicas - Eduarda Carlos de Lima - Imunologia e Microbiologia - Nota Máxima: 10")</f>
        <v>Formação Pedagógica em Ciências Biológicas - Formação Pedagógica em Ciências Biológicas - Eduarda Carlos de Lima - Imunologia e Microbiologia - Nota Máxima: 10</v>
      </c>
    </row>
    <row r="2555">
      <c r="A2555" s="390" t="str">
        <f>IFERROR(__xludf.DUMMYFUNCTION("""COMPUTED_VALUE"""),"Formação Pedagógica em Ciências Biológicas - Formação Pedagógica em Ciências Biológicas - Eduarda Carlos de Lima - Imunologia e Microbiologia - Nota Máxima: 9")</f>
        <v>Formação Pedagógica em Ciências Biológicas - Formação Pedagógica em Ciências Biológicas - Eduarda Carlos de Lima - Imunologia e Microbiologia - Nota Máxima: 9</v>
      </c>
    </row>
    <row r="2556">
      <c r="A2556" s="390" t="str">
        <f>IFERROR(__xludf.DUMMYFUNCTION("""COMPUTED_VALUE"""),"Formação Pedagógica em Ciências Biológicas - Formação Pedagógica em Ciências Biológicas - Eduarda Carlos de Lima - Introdução à Educação Ambiental - Nota Máxima: 9")</f>
        <v>Formação Pedagógica em Ciências Biológicas - Formação Pedagógica em Ciências Biológicas - Eduarda Carlos de Lima - Introdução à Educação Ambiental - Nota Máxima: 9</v>
      </c>
    </row>
    <row r="2557">
      <c r="A2557" s="390" t="str">
        <f>IFERROR(__xludf.DUMMYFUNCTION("""COMPUTED_VALUE"""),"Formação Pedagógica em Ciências Biológicas - Formação Pedagógica em Ciências Biológicas - Eduarda Carlos de Lima - Legislação Educacional/a - Nota Máxima: 7")</f>
        <v>Formação Pedagógica em Ciências Biológicas - Formação Pedagógica em Ciências Biológicas - Eduarda Carlos de Lima - Legislação Educacional/a - Nota Máxima: 7</v>
      </c>
    </row>
    <row r="2558">
      <c r="A2558" s="390" t="str">
        <f>IFERROR(__xludf.DUMMYFUNCTION("""COMPUTED_VALUE"""),"Formação Pedagógica em Ciências Biológicas - Formação Pedagógica em Ciências Biológicas - Eduarda Carlos de Lima - Planejamento, Gestão Educacional e Currículo/a - Nota Máxima: 9")</f>
        <v>Formação Pedagógica em Ciências Biológicas - Formação Pedagógica em Ciências Biológicas - Eduarda Carlos de Lima - Planejamento, Gestão Educacional e Currículo/a - Nota Máxima: 9</v>
      </c>
    </row>
    <row r="2559">
      <c r="A2559" s="390" t="str">
        <f>IFERROR(__xludf.DUMMYFUNCTION("""COMPUTED_VALUE"""),"Formação Pedagógica em Ciências Biológicas - Formação Pedagógica em Ciências Biológicas - Eduarda Carlos de Lima - Planejamento, Gestão Educacional e Currículo/a - Nota Máxima: 10")</f>
        <v>Formação Pedagógica em Ciências Biológicas - Formação Pedagógica em Ciências Biológicas - Eduarda Carlos de Lima - Planejamento, Gestão Educacional e Currículo/a - Nota Máxima: 10</v>
      </c>
    </row>
    <row r="2560">
      <c r="A2560" s="390" t="str">
        <f>IFERROR(__xludf.DUMMYFUNCTION("""COMPUTED_VALUE"""),"Formação Pedagógica em Ciências Biológicas - Formação Pedagógica em Ciências Biológicas - Eduarda Carlos de Lima - Psicologia da Educação/a - Nota Máxima: 4")</f>
        <v>Formação Pedagógica em Ciências Biológicas - Formação Pedagógica em Ciências Biológicas - Eduarda Carlos de Lima - Psicologia da Educação/a - Nota Máxima: 4</v>
      </c>
    </row>
    <row r="2561">
      <c r="A2561" s="390" t="str">
        <f>IFERROR(__xludf.DUMMYFUNCTION("""COMPUTED_VALUE"""),"Formação Pedagógica em Ciências Biológicas - Formação Pedagógica em Ciências Biológicas - Eclayr Luiz González Junior - Análises Clínicas e Microbiologia - Nota Máxima: 10")</f>
        <v>Formação Pedagógica em Ciências Biológicas - Formação Pedagógica em Ciências Biológicas - Eclayr Luiz González Junior - Análises Clínicas e Microbiologia - Nota Máxima: 10</v>
      </c>
    </row>
    <row r="2562">
      <c r="A2562" s="390" t="str">
        <f>IFERROR(__xludf.DUMMYFUNCTION("""COMPUTED_VALUE"""),"Formação Pedagógica em Ciências Biológicas - Formação Pedagógica em Ciências Biológicas - Eclayr Luiz González Junior - Análises Clínicas e Microbiologia - Nota Máxima: 10")</f>
        <v>Formação Pedagógica em Ciências Biológicas - Formação Pedagógica em Ciências Biológicas - Eclayr Luiz González Junior - Análises Clínicas e Microbiologia - Nota Máxima: 10</v>
      </c>
    </row>
    <row r="2563">
      <c r="A2563" s="390" t="str">
        <f>IFERROR(__xludf.DUMMYFUNCTION("""COMPUTED_VALUE"""),"Formação Pedagógica em Ciências Biológicas - Formação Pedagógica em Ciências Biológicas - Eclayr Luiz González Junior - Anatomia e Fisiologia Humana - Nota Máxima: 10")</f>
        <v>Formação Pedagógica em Ciências Biológicas - Formação Pedagógica em Ciências Biológicas - Eclayr Luiz González Junior - Anatomia e Fisiologia Humana - Nota Máxima: 10</v>
      </c>
    </row>
    <row r="2564">
      <c r="A2564" s="390" t="str">
        <f>IFERROR(__xludf.DUMMYFUNCTION("""COMPUTED_VALUE"""),"Formação Pedagógica em Ciências Biológicas - Formação Pedagógica em Ciências Biológicas - Eclayr Luiz González Junior - Anatomia e Fisiologia Humana - Nota Máxima: 10")</f>
        <v>Formação Pedagógica em Ciências Biológicas - Formação Pedagógica em Ciências Biológicas - Eclayr Luiz González Junior - Anatomia e Fisiologia Humana - Nota Máxima: 10</v>
      </c>
    </row>
    <row r="2565">
      <c r="A2565" s="390" t="str">
        <f>IFERROR(__xludf.DUMMYFUNCTION("""COMPUTED_VALUE"""),"Formação Pedagógica em Ciências Biológicas - Formação Pedagógica em Ciências Biológicas - Eclayr Luiz González Junior - Ciências Exatas e da Terra - Nota Máxima: 10")</f>
        <v>Formação Pedagógica em Ciências Biológicas - Formação Pedagógica em Ciências Biológicas - Eclayr Luiz González Junior - Ciências Exatas e da Terra - Nota Máxima: 10</v>
      </c>
    </row>
    <row r="2566">
      <c r="A2566" s="390" t="str">
        <f>IFERROR(__xludf.DUMMYFUNCTION("""COMPUTED_VALUE"""),"Formação Pedagógica em Ciências Biológicas - Formação Pedagógica em Ciências Biológicas - Eclayr Luiz González Junior - Ciências Exatas e da Terra - Nota Máxima: 10")</f>
        <v>Formação Pedagógica em Ciências Biológicas - Formação Pedagógica em Ciências Biológicas - Eclayr Luiz González Junior - Ciências Exatas e da Terra - Nota Máxima: 10</v>
      </c>
    </row>
    <row r="2567">
      <c r="A2567" s="390" t="str">
        <f>IFERROR(__xludf.DUMMYFUNCTION("""COMPUTED_VALUE"""),"Formação Pedagógica em Ciências Biológicas - Formação Pedagógica em Ciências Biológicas - Eclayr Luiz González Junior - Deficiência Auditiva e Libras/a - Nota Máxima: 10")</f>
        <v>Formação Pedagógica em Ciências Biológicas - Formação Pedagógica em Ciências Biológicas - Eclayr Luiz González Junior - Deficiência Auditiva e Libras/a - Nota Máxima: 10</v>
      </c>
    </row>
    <row r="2568">
      <c r="A2568" s="390" t="str">
        <f>IFERROR(__xludf.DUMMYFUNCTION("""COMPUTED_VALUE"""),"Formação Pedagógica em Ciências Biológicas - Formação Pedagógica em Ciências Biológicas - Eclayr Luiz González Junior - Deficiência Auditiva e Libras/a - Nota Máxima: 10")</f>
        <v>Formação Pedagógica em Ciências Biológicas - Formação Pedagógica em Ciências Biológicas - Eclayr Luiz González Junior - Deficiência Auditiva e Libras/a - Nota Máxima: 10</v>
      </c>
    </row>
    <row r="2569">
      <c r="A2569" s="390" t="str">
        <f>IFERROR(__xludf.DUMMYFUNCTION("""COMPUTED_VALUE"""),"Formação Pedagógica em Ciências Biológicas - Formação Pedagógica em Ciências Biológicas - Eclayr Luiz González Junior - Educação e as Tic's - Nota Máxima: 10")</f>
        <v>Formação Pedagógica em Ciências Biológicas - Formação Pedagógica em Ciências Biológicas - Eclayr Luiz González Junior - Educação e as Tic's - Nota Máxima: 10</v>
      </c>
    </row>
    <row r="2570">
      <c r="A2570" s="390" t="str">
        <f>IFERROR(__xludf.DUMMYFUNCTION("""COMPUTED_VALUE"""),"Formação Pedagógica em Ciências Biológicas - Formação Pedagógica em Ciências Biológicas - Eclayr Luiz González Junior - Educação e as Tic's - Nota Máxima: 10")</f>
        <v>Formação Pedagógica em Ciências Biológicas - Formação Pedagógica em Ciências Biológicas - Eclayr Luiz González Junior - Educação e as Tic's - Nota Máxima: 10</v>
      </c>
    </row>
    <row r="2571">
      <c r="A2571" s="390" t="str">
        <f>IFERROR(__xludf.DUMMYFUNCTION("""COMPUTED_VALUE"""),"Formação Pedagógica em Ciências Biológicas - Formação Pedagógica em Ciências Biológicas - Eclayr Luiz González Junior - Educação Especial, Inclusão Escolar e Adaptações Curriculares - Nota Máxima: 10")</f>
        <v>Formação Pedagógica em Ciências Biológicas - Formação Pedagógica em Ciências Biológicas - Eclayr Luiz González Junior - Educação Especial, Inclusão Escolar e Adaptações Curriculares - Nota Máxima: 10</v>
      </c>
    </row>
    <row r="2572">
      <c r="A2572" s="390" t="str">
        <f>IFERROR(__xludf.DUMMYFUNCTION("""COMPUTED_VALUE"""),"Formação Pedagógica em Ciências Biológicas - Formação Pedagógica em Ciências Biológicas - Eclayr Luiz González Junior - Educação Especial, Inclusão Escolar e Adaptações Curriculares - Nota Máxima: 10")</f>
        <v>Formação Pedagógica em Ciências Biológicas - Formação Pedagógica em Ciências Biológicas - Eclayr Luiz González Junior - Educação Especial, Inclusão Escolar e Adaptações Curriculares - Nota Máxima: 10</v>
      </c>
    </row>
    <row r="2573">
      <c r="A2573" s="390" t="str">
        <f>IFERROR(__xludf.DUMMYFUNCTION("""COMPUTED_VALUE"""),"Formação Pedagógica em Ciências Biológicas - Formação Pedagógica em Ciências Biológicas - Eclayr Luiz González Junior - Educação, História, Cultura e Práticas Indígenas/a - Nota Máxima: 10")</f>
        <v>Formação Pedagógica em Ciências Biológicas - Formação Pedagógica em Ciências Biológicas - Eclayr Luiz González Junior - Educação, História, Cultura e Práticas Indígenas/a - Nota Máxima: 10</v>
      </c>
    </row>
    <row r="2574">
      <c r="A2574" s="390" t="str">
        <f>IFERROR(__xludf.DUMMYFUNCTION("""COMPUTED_VALUE"""),"Formação Pedagógica em Ciências Biológicas - Formação Pedagógica em Ciências Biológicas - Eclayr Luiz González Junior - Educação, História, Cultura e Práticas Indígenas/a - Nota Máxima: 10")</f>
        <v>Formação Pedagógica em Ciências Biológicas - Formação Pedagógica em Ciências Biológicas - Eclayr Luiz González Junior - Educação, História, Cultura e Práticas Indígenas/a - Nota Máxima: 10</v>
      </c>
    </row>
    <row r="2575">
      <c r="A2575" s="390" t="str">
        <f>IFERROR(__xludf.DUMMYFUNCTION("""COMPUTED_VALUE"""),"Formação Pedagógica em Ciências Biológicas - Formação Pedagógica em Ciências Biológicas - Eclayr Luiz González Junior - Ensino de Ciência e Biologia na Educação Básica - Nota Máxima: 10")</f>
        <v>Formação Pedagógica em Ciências Biológicas - Formação Pedagógica em Ciências Biológicas - Eclayr Luiz González Junior - Ensino de Ciência e Biologia na Educação Básica - Nota Máxima: 10</v>
      </c>
    </row>
    <row r="2576">
      <c r="A2576" s="390" t="str">
        <f>IFERROR(__xludf.DUMMYFUNCTION("""COMPUTED_VALUE"""),"Formação Pedagógica em Ciências Biológicas - Formação Pedagógica em Ciências Biológicas - Eclayr Luiz González Junior - Ensino de Ciência e Biologia na Educação Básica - Nota Máxima: 9")</f>
        <v>Formação Pedagógica em Ciências Biológicas - Formação Pedagógica em Ciências Biológicas - Eclayr Luiz González Junior - Ensino de Ciência e Biologia na Educação Básica - Nota Máxima: 9</v>
      </c>
    </row>
    <row r="2577">
      <c r="A2577" s="390" t="str">
        <f>IFERROR(__xludf.DUMMYFUNCTION("""COMPUTED_VALUE"""),"Formação Pedagógica em Ciências Biológicas - Formação Pedagógica em Ciências Biológicas - Eclayr Luiz González Junior - Imunologia e Microbiologia - Nota Máxima: 10")</f>
        <v>Formação Pedagógica em Ciências Biológicas - Formação Pedagógica em Ciências Biológicas - Eclayr Luiz González Junior - Imunologia e Microbiologia - Nota Máxima: 10</v>
      </c>
    </row>
    <row r="2578">
      <c r="A2578" s="390" t="str">
        <f>IFERROR(__xludf.DUMMYFUNCTION("""COMPUTED_VALUE"""),"Formação Pedagógica em Ciências Biológicas - Formação Pedagógica em Ciências Biológicas - Eclayr Luiz González Junior - Imunologia e Microbiologia - Nota Máxima: 10")</f>
        <v>Formação Pedagógica em Ciências Biológicas - Formação Pedagógica em Ciências Biológicas - Eclayr Luiz González Junior - Imunologia e Microbiologia - Nota Máxima: 10</v>
      </c>
    </row>
    <row r="2579">
      <c r="A2579" s="390" t="str">
        <f>IFERROR(__xludf.DUMMYFUNCTION("""COMPUTED_VALUE"""),"Formação Pedagógica em Ciências Biológicas - Formação Pedagógica em Ciências Biológicas - Eclayr Luiz González Junior - Introdução à Educação Ambiental - Nota Máxima: 10")</f>
        <v>Formação Pedagógica em Ciências Biológicas - Formação Pedagógica em Ciências Biológicas - Eclayr Luiz González Junior - Introdução à Educação Ambiental - Nota Máxima: 10</v>
      </c>
    </row>
    <row r="2580">
      <c r="A2580" s="390" t="str">
        <f>IFERROR(__xludf.DUMMYFUNCTION("""COMPUTED_VALUE"""),"Formação Pedagógica em Ciências Biológicas - Formação Pedagógica em Ciências Biológicas - Eclayr Luiz González Junior - Introdução à Educação Ambiental - Nota Máxima: 9")</f>
        <v>Formação Pedagógica em Ciências Biológicas - Formação Pedagógica em Ciências Biológicas - Eclayr Luiz González Junior - Introdução à Educação Ambiental - Nota Máxima: 9</v>
      </c>
    </row>
    <row r="2581">
      <c r="A2581" s="390" t="str">
        <f>IFERROR(__xludf.DUMMYFUNCTION("""COMPUTED_VALUE"""),"Formação Pedagógica em Ciências Biológicas - Formação Pedagógica em Ciências Biológicas - Eclayr Luiz González Junior - Legislação Educacional/a - Nota Máxima: 10")</f>
        <v>Formação Pedagógica em Ciências Biológicas - Formação Pedagógica em Ciências Biológicas - Eclayr Luiz González Junior - Legislação Educacional/a - Nota Máxima: 10</v>
      </c>
    </row>
    <row r="2582">
      <c r="A2582" s="390" t="str">
        <f>IFERROR(__xludf.DUMMYFUNCTION("""COMPUTED_VALUE"""),"Formação Pedagógica em Ciências Biológicas - Formação Pedagógica em Ciências Biológicas - Eclayr Luiz González Junior - Legislação Educacional/a - Nota Máxima: 7")</f>
        <v>Formação Pedagógica em Ciências Biológicas - Formação Pedagógica em Ciências Biológicas - Eclayr Luiz González Junior - Legislação Educacional/a - Nota Máxima: 7</v>
      </c>
    </row>
    <row r="2583">
      <c r="A2583" s="390" t="str">
        <f>IFERROR(__xludf.DUMMYFUNCTION("""COMPUTED_VALUE"""),"Formação Pedagógica em Ciências Biológicas - Formação Pedagógica em Ciências Biológicas - Eclayr Luiz González Junior - Planejamento, Gestão Educacional e Currículo/a - Nota Máxima: 10")</f>
        <v>Formação Pedagógica em Ciências Biológicas - Formação Pedagógica em Ciências Biológicas - Eclayr Luiz González Junior - Planejamento, Gestão Educacional e Currículo/a - Nota Máxima: 10</v>
      </c>
    </row>
    <row r="2584">
      <c r="A2584" s="390" t="str">
        <f>IFERROR(__xludf.DUMMYFUNCTION("""COMPUTED_VALUE"""),"Formação Pedagógica em Ciências Biológicas - Formação Pedagógica em Ciências Biológicas - Eclayr Luiz González Junior - Planejamento, Gestão Educacional e Currículo/a - Nota Máxima: 9")</f>
        <v>Formação Pedagógica em Ciências Biológicas - Formação Pedagógica em Ciências Biológicas - Eclayr Luiz González Junior - Planejamento, Gestão Educacional e Currículo/a - Nota Máxima: 9</v>
      </c>
    </row>
    <row r="2585">
      <c r="A2585" s="390" t="str">
        <f>IFERROR(__xludf.DUMMYFUNCTION("""COMPUTED_VALUE"""),"Formação Pedagógica em Ciências Biológicas - Formação Pedagógica em Ciências Biológicas - Eclayr Luiz González Junior - Práticas Pedagógicas - 400 Horas - Nota Máxima: 10")</f>
        <v>Formação Pedagógica em Ciências Biológicas - Formação Pedagógica em Ciências Biológicas - Eclayr Luiz González Junior - Práticas Pedagógicas - 400 Horas - Nota Máxima: 10</v>
      </c>
    </row>
    <row r="2586">
      <c r="A2586" s="390" t="str">
        <f>IFERROR(__xludf.DUMMYFUNCTION("""COMPUTED_VALUE"""),"Formação Pedagógica em Ciências Biológicas - Formação Pedagógica em Ciências Biológicas - Eclayr Luiz González Junior - Práticas Pedagógicas - 400 Horas - Nota Máxima: 5")</f>
        <v>Formação Pedagógica em Ciências Biológicas - Formação Pedagógica em Ciências Biológicas - Eclayr Luiz González Junior - Práticas Pedagógicas - 400 Horas - Nota Máxima: 5</v>
      </c>
    </row>
    <row r="2587">
      <c r="A2587" s="390" t="str">
        <f>IFERROR(__xludf.DUMMYFUNCTION("""COMPUTED_VALUE"""),"Formação Pedagógica em Ciências Biológicas - Formação Pedagógica em Ciências Biológicas - Eclayr Luiz González Junior - Psicologia da Educação/a - Nota Máxima: 10")</f>
        <v>Formação Pedagógica em Ciências Biológicas - Formação Pedagógica em Ciências Biológicas - Eclayr Luiz González Junior - Psicologia da Educação/a - Nota Máxima: 10</v>
      </c>
    </row>
    <row r="2588">
      <c r="A2588" s="390" t="str">
        <f>IFERROR(__xludf.DUMMYFUNCTION("""COMPUTED_VALUE"""),"Formação Pedagógica em Ciências Biológicas - Formação Pedagógica em Ciências Biológicas - Eclayr Luiz González Junior - Psicologia da Educação/a - Nota Máxima: 8")</f>
        <v>Formação Pedagógica em Ciências Biológicas - Formação Pedagógica em Ciências Biológicas - Eclayr Luiz González Junior - Psicologia da Educação/a - Nota Máxima: 8</v>
      </c>
    </row>
    <row r="2589">
      <c r="A2589" s="390" t="str">
        <f>IFERROR(__xludf.DUMMYFUNCTION("""COMPUTED_VALUE"""),"Formação Pedagógica em Ciências Biológicas - Formação Pedagógica em Ciências Biológicas - Francisco Oliveira de Souza - Análises Clínicas e Microbiologia - Nota Máxima: 6")</f>
        <v>Formação Pedagógica em Ciências Biológicas - Formação Pedagógica em Ciências Biológicas - Francisco Oliveira de Souza - Análises Clínicas e Microbiologia - Nota Máxima: 6</v>
      </c>
    </row>
    <row r="2590">
      <c r="A2590" s="390" t="str">
        <f>IFERROR(__xludf.DUMMYFUNCTION("""COMPUTED_VALUE"""),"Formação Pedagógica em Ciências Biológicas - Formação Pedagógica em Ciências Biológicas - Francisco Oliveira de Souza - Análises Clínicas e Microbiologia - Nota Máxima: 6")</f>
        <v>Formação Pedagógica em Ciências Biológicas - Formação Pedagógica em Ciências Biológicas - Francisco Oliveira de Souza - Análises Clínicas e Microbiologia - Nota Máxima: 6</v>
      </c>
    </row>
    <row r="2591">
      <c r="A2591" s="390" t="str">
        <f>IFERROR(__xludf.DUMMYFUNCTION("""COMPUTED_VALUE"""),"Formação Pedagógica em Ciências Biológicas - Formação Pedagógica em Ciências Biológicas - Francisco Oliveira de Souza - Anatomia e Fisiologia Humana - Nota Máxima: 8")</f>
        <v>Formação Pedagógica em Ciências Biológicas - Formação Pedagógica em Ciências Biológicas - Francisco Oliveira de Souza - Anatomia e Fisiologia Humana - Nota Máxima: 8</v>
      </c>
    </row>
    <row r="2592">
      <c r="A2592" s="390" t="str">
        <f>IFERROR(__xludf.DUMMYFUNCTION("""COMPUTED_VALUE"""),"Formação Pedagógica em Ciências Biológicas - Formação Pedagógica em Ciências Biológicas - Francisco Oliveira de Souza - Anatomia e Fisiologia Humana - Nota Máxima: 8")</f>
        <v>Formação Pedagógica em Ciências Biológicas - Formação Pedagógica em Ciências Biológicas - Francisco Oliveira de Souza - Anatomia e Fisiologia Humana - Nota Máxima: 8</v>
      </c>
    </row>
    <row r="2593">
      <c r="A2593" s="390" t="str">
        <f>IFERROR(__xludf.DUMMYFUNCTION("""COMPUTED_VALUE"""),"Formação Pedagógica em Ciências Biológicas - Formação Pedagógica em Ciências Biológicas - Murilo dias dos santos - Análises Clínicas e Microbiologia - Nota Máxima: 10")</f>
        <v>Formação Pedagógica em Ciências Biológicas - Formação Pedagógica em Ciências Biológicas - Murilo dias dos santos - Análises Clínicas e Microbiologia - Nota Máxima: 10</v>
      </c>
    </row>
    <row r="2594">
      <c r="A2594" s="390" t="str">
        <f>IFERROR(__xludf.DUMMYFUNCTION("""COMPUTED_VALUE"""),"Formação Pedagógica em Ciências Biológicas - Formação Pedagógica em Ciências Biológicas - Murilo dias dos santos - Análises Clínicas e Microbiologia - Nota Máxima: 10")</f>
        <v>Formação Pedagógica em Ciências Biológicas - Formação Pedagógica em Ciências Biológicas - Murilo dias dos santos - Análises Clínicas e Microbiologia - Nota Máxima: 10</v>
      </c>
    </row>
    <row r="2595">
      <c r="A2595" s="390" t="str">
        <f>IFERROR(__xludf.DUMMYFUNCTION("""COMPUTED_VALUE"""),"Formação Pedagógica em Ciências Biológicas - Formação Pedagógica em Ciências Biológicas - Murilo dias dos santos - Anatomia e Fisiologia Humana - Nota Máxima: 10")</f>
        <v>Formação Pedagógica em Ciências Biológicas - Formação Pedagógica em Ciências Biológicas - Murilo dias dos santos - Anatomia e Fisiologia Humana - Nota Máxima: 10</v>
      </c>
    </row>
    <row r="2596">
      <c r="A2596" s="390" t="str">
        <f>IFERROR(__xludf.DUMMYFUNCTION("""COMPUTED_VALUE"""),"Formação Pedagógica em Ciências Biológicas - Formação Pedagógica em Ciências Biológicas - Murilo dias dos santos - Anatomia e Fisiologia Humana - Nota Máxima: 10")</f>
        <v>Formação Pedagógica em Ciências Biológicas - Formação Pedagógica em Ciências Biológicas - Murilo dias dos santos - Anatomia e Fisiologia Humana - Nota Máxima: 10</v>
      </c>
    </row>
    <row r="2597">
      <c r="A2597" s="390" t="str">
        <f>IFERROR(__xludf.DUMMYFUNCTION("""COMPUTED_VALUE"""),"Formação Pedagógica em Ciências Biológicas - Formação Pedagógica em Ciências Biológicas - Murilo dias dos santos - Ciências Exatas e da Terra - Nota Máxima: 10")</f>
        <v>Formação Pedagógica em Ciências Biológicas - Formação Pedagógica em Ciências Biológicas - Murilo dias dos santos - Ciências Exatas e da Terra - Nota Máxima: 10</v>
      </c>
    </row>
    <row r="2598">
      <c r="A2598" s="390" t="str">
        <f>IFERROR(__xludf.DUMMYFUNCTION("""COMPUTED_VALUE"""),"Formação Pedagógica em Ciências Biológicas - Formação Pedagógica em Ciências Biológicas - Murilo dias dos santos - Ciências Exatas e da Terra - Nota Máxima: 8")</f>
        <v>Formação Pedagógica em Ciências Biológicas - Formação Pedagógica em Ciências Biológicas - Murilo dias dos santos - Ciências Exatas e da Terra - Nota Máxima: 8</v>
      </c>
    </row>
    <row r="2599">
      <c r="A2599" s="390" t="str">
        <f>IFERROR(__xludf.DUMMYFUNCTION("""COMPUTED_VALUE"""),"Formação Pedagógica em Ciências Biológicas - Formação Pedagógica em Ciências Biológicas - Murilo dias dos santos - Deficiência Auditiva e Libras/a - Nota Máxima: 10")</f>
        <v>Formação Pedagógica em Ciências Biológicas - Formação Pedagógica em Ciências Biológicas - Murilo dias dos santos - Deficiência Auditiva e Libras/a - Nota Máxima: 10</v>
      </c>
    </row>
    <row r="2600">
      <c r="A2600" s="390" t="str">
        <f>IFERROR(__xludf.DUMMYFUNCTION("""COMPUTED_VALUE"""),"Formação Pedagógica em Ciências Biológicas - Formação Pedagógica em Ciências Biológicas - Murilo dias dos santos - Deficiência Auditiva e Libras/a - Nota Máxima: 7")</f>
        <v>Formação Pedagógica em Ciências Biológicas - Formação Pedagógica em Ciências Biológicas - Murilo dias dos santos - Deficiência Auditiva e Libras/a - Nota Máxima: 7</v>
      </c>
    </row>
    <row r="2601">
      <c r="A2601" s="390" t="str">
        <f>IFERROR(__xludf.DUMMYFUNCTION("""COMPUTED_VALUE"""),"Formação Pedagógica em Ciências Biológicas - Formação Pedagógica em Ciências Biológicas - Murilo dias dos santos - Educação e as Tic's - Nota Máxima: 10")</f>
        <v>Formação Pedagógica em Ciências Biológicas - Formação Pedagógica em Ciências Biológicas - Murilo dias dos santos - Educação e as Tic's - Nota Máxima: 10</v>
      </c>
    </row>
    <row r="2602">
      <c r="A2602" s="390" t="str">
        <f>IFERROR(__xludf.DUMMYFUNCTION("""COMPUTED_VALUE"""),"Formação Pedagógica em Ciências Biológicas - Formação Pedagógica em Ciências Biológicas - Murilo dias dos santos - Educação e as Tic's - Nota Máxima: 9")</f>
        <v>Formação Pedagógica em Ciências Biológicas - Formação Pedagógica em Ciências Biológicas - Murilo dias dos santos - Educação e as Tic's - Nota Máxima: 9</v>
      </c>
    </row>
    <row r="2603">
      <c r="A2603" s="390" t="str">
        <f>IFERROR(__xludf.DUMMYFUNCTION("""COMPUTED_VALUE"""),"Formação Pedagógica em Ciências Biológicas - Formação Pedagógica em Ciências Biológicas - Murilo dias dos santos - Educação Especial, Inclusão Escolar e Adaptações Curriculares - Nota Máxima: 10")</f>
        <v>Formação Pedagógica em Ciências Biológicas - Formação Pedagógica em Ciências Biológicas - Murilo dias dos santos - Educação Especial, Inclusão Escolar e Adaptações Curriculares - Nota Máxima: 10</v>
      </c>
    </row>
    <row r="2604">
      <c r="A2604" s="390" t="str">
        <f>IFERROR(__xludf.DUMMYFUNCTION("""COMPUTED_VALUE"""),"Formação Pedagógica em Ciências Biológicas - Formação Pedagógica em Ciências Biológicas - Murilo dias dos santos - Educação Especial, Inclusão Escolar e Adaptações Curriculares - Nota Máxima: 10")</f>
        <v>Formação Pedagógica em Ciências Biológicas - Formação Pedagógica em Ciências Biológicas - Murilo dias dos santos - Educação Especial, Inclusão Escolar e Adaptações Curriculares - Nota Máxima: 10</v>
      </c>
    </row>
    <row r="2605">
      <c r="A2605" s="390" t="str">
        <f>IFERROR(__xludf.DUMMYFUNCTION("""COMPUTED_VALUE"""),"Formação Pedagógica em Ciências Biológicas - Formação Pedagógica em Ciências Biológicas - Murilo dias dos santos - Educação, História, Cultura e Práticas Indígenas/a - Nota Máxima: 9")</f>
        <v>Formação Pedagógica em Ciências Biológicas - Formação Pedagógica em Ciências Biológicas - Murilo dias dos santos - Educação, História, Cultura e Práticas Indígenas/a - Nota Máxima: 9</v>
      </c>
    </row>
    <row r="2606">
      <c r="A2606" s="390" t="str">
        <f>IFERROR(__xludf.DUMMYFUNCTION("""COMPUTED_VALUE"""),"Formação Pedagógica em Ciências Biológicas - Formação Pedagógica em Ciências Biológicas - Murilo dias dos santos - Educação, História, Cultura e Práticas Indígenas/a - Nota Máxima: 7")</f>
        <v>Formação Pedagógica em Ciências Biológicas - Formação Pedagógica em Ciências Biológicas - Murilo dias dos santos - Educação, História, Cultura e Práticas Indígenas/a - Nota Máxima: 7</v>
      </c>
    </row>
    <row r="2607">
      <c r="A2607" s="390" t="str">
        <f>IFERROR(__xludf.DUMMYFUNCTION("""COMPUTED_VALUE"""),"Formação Pedagógica em Ciências Biológicas - Formação Pedagógica em Ciências Biológicas - Murilo dias dos santos - Ensino de Ciência e Biologia na Educação Básica - Nota Máxima: 8")</f>
        <v>Formação Pedagógica em Ciências Biológicas - Formação Pedagógica em Ciências Biológicas - Murilo dias dos santos - Ensino de Ciência e Biologia na Educação Básica - Nota Máxima: 8</v>
      </c>
    </row>
    <row r="2608">
      <c r="A2608" s="390" t="str">
        <f>IFERROR(__xludf.DUMMYFUNCTION("""COMPUTED_VALUE"""),"Formação Pedagógica em Ciências Biológicas - Formação Pedagógica em Ciências Biológicas - Murilo dias dos santos - Ensino de Ciência e Biologia na Educação Básica - Nota Máxima: 7")</f>
        <v>Formação Pedagógica em Ciências Biológicas - Formação Pedagógica em Ciências Biológicas - Murilo dias dos santos - Ensino de Ciência e Biologia na Educação Básica - Nota Máxima: 7</v>
      </c>
    </row>
    <row r="2609">
      <c r="A2609" s="390" t="str">
        <f>IFERROR(__xludf.DUMMYFUNCTION("""COMPUTED_VALUE"""),"Formação Pedagógica em Ciências Biológicas - Formação Pedagógica em Ciências Biológicas - Murilo dias dos santos - Imunologia e Microbiologia - Nota Máxima: 10")</f>
        <v>Formação Pedagógica em Ciências Biológicas - Formação Pedagógica em Ciências Biológicas - Murilo dias dos santos - Imunologia e Microbiologia - Nota Máxima: 10</v>
      </c>
    </row>
    <row r="2610">
      <c r="A2610" s="390" t="str">
        <f>IFERROR(__xludf.DUMMYFUNCTION("""COMPUTED_VALUE"""),"Formação Pedagógica em Ciências Biológicas - Formação Pedagógica em Ciências Biológicas - Murilo dias dos santos - Imunologia e Microbiologia - Nota Máxima: 4")</f>
        <v>Formação Pedagógica em Ciências Biológicas - Formação Pedagógica em Ciências Biológicas - Murilo dias dos santos - Imunologia e Microbiologia - Nota Máxima: 4</v>
      </c>
    </row>
    <row r="2611">
      <c r="A2611" s="390" t="str">
        <f>IFERROR(__xludf.DUMMYFUNCTION("""COMPUTED_VALUE"""),"Formação Pedagógica em Ciências Biológicas - Formação Pedagógica em Ciências Biológicas - Murilo dias dos santos - Introdução à Educação Ambiental - Nota Máxima: 10")</f>
        <v>Formação Pedagógica em Ciências Biológicas - Formação Pedagógica em Ciências Biológicas - Murilo dias dos santos - Introdução à Educação Ambiental - Nota Máxima: 10</v>
      </c>
    </row>
    <row r="2612">
      <c r="A2612" s="390" t="str">
        <f>IFERROR(__xludf.DUMMYFUNCTION("""COMPUTED_VALUE"""),"Formação Pedagógica em Ciências Biológicas - Formação Pedagógica em Ciências Biológicas - Murilo dias dos santos - Introdução à Educação Ambiental - Nota Máxima: 8")</f>
        <v>Formação Pedagógica em Ciências Biológicas - Formação Pedagógica em Ciências Biológicas - Murilo dias dos santos - Introdução à Educação Ambiental - Nota Máxima: 8</v>
      </c>
    </row>
    <row r="2613">
      <c r="A2613" s="390" t="str">
        <f>IFERROR(__xludf.DUMMYFUNCTION("""COMPUTED_VALUE"""),"Formação Pedagógica em Ciências Biológicas - Formação Pedagógica em Ciências Biológicas - Murilo dias dos santos - Legislação Educacional/a - Nota Máxima: 10")</f>
        <v>Formação Pedagógica em Ciências Biológicas - Formação Pedagógica em Ciências Biológicas - Murilo dias dos santos - Legislação Educacional/a - Nota Máxima: 10</v>
      </c>
    </row>
    <row r="2614">
      <c r="A2614" s="390" t="str">
        <f>IFERROR(__xludf.DUMMYFUNCTION("""COMPUTED_VALUE"""),"Formação Pedagógica em Ciências Biológicas - Formação Pedagógica em Ciências Biológicas - Murilo dias dos santos - Legislação Educacional/a - Nota Máxima: 8")</f>
        <v>Formação Pedagógica em Ciências Biológicas - Formação Pedagógica em Ciências Biológicas - Murilo dias dos santos - Legislação Educacional/a - Nota Máxima: 8</v>
      </c>
    </row>
    <row r="2615">
      <c r="A2615" s="390" t="str">
        <f>IFERROR(__xludf.DUMMYFUNCTION("""COMPUTED_VALUE"""),"Formação Pedagógica em Ciências Biológicas - Formação Pedagógica em Ciências Biológicas - Murilo dias dos santos - Planejamento, Gestão Educacional e Currículo/a - Nota Máxima: 10")</f>
        <v>Formação Pedagógica em Ciências Biológicas - Formação Pedagógica em Ciências Biológicas - Murilo dias dos santos - Planejamento, Gestão Educacional e Currículo/a - Nota Máxima: 10</v>
      </c>
    </row>
    <row r="2616">
      <c r="A2616" s="390" t="str">
        <f>IFERROR(__xludf.DUMMYFUNCTION("""COMPUTED_VALUE"""),"Formação Pedagógica em Ciências Biológicas - Formação Pedagógica em Ciências Biológicas - Murilo dias dos santos - Planejamento, Gestão Educacional e Currículo/a - Nota Máxima: 10")</f>
        <v>Formação Pedagógica em Ciências Biológicas - Formação Pedagógica em Ciências Biológicas - Murilo dias dos santos - Planejamento, Gestão Educacional e Currículo/a - Nota Máxima: 10</v>
      </c>
    </row>
    <row r="2617">
      <c r="A2617" s="390" t="str">
        <f>IFERROR(__xludf.DUMMYFUNCTION("""COMPUTED_VALUE"""),"Formação Pedagógica em Ciências Biológicas - Formação Pedagógica em Ciências Biológicas - Murilo dias dos santos - Psicologia da Educação/a - Nota Máxima: 10")</f>
        <v>Formação Pedagógica em Ciências Biológicas - Formação Pedagógica em Ciências Biológicas - Murilo dias dos santos - Psicologia da Educação/a - Nota Máxima: 10</v>
      </c>
    </row>
    <row r="2618">
      <c r="A2618" s="390" t="str">
        <f>IFERROR(__xludf.DUMMYFUNCTION("""COMPUTED_VALUE"""),"Formação Pedagógica em Ciências Biológicas - Formação Pedagógica em Ciências Biológicas - Murilo dias dos santos - Psicologia da Educação/a - Nota Máxima: 5")</f>
        <v>Formação Pedagógica em Ciências Biológicas - Formação Pedagógica em Ciências Biológicas - Murilo dias dos santos - Psicologia da Educação/a - Nota Máxima: 5</v>
      </c>
    </row>
    <row r="2619">
      <c r="A2619" s="390" t="str">
        <f>IFERROR(__xludf.DUMMYFUNCTION("""COMPUTED_VALUE"""),"Formação Pedagógica em Ciências Biológicas - Formação Pedagógica em Ciências Biológicas - Adriano Ricardo de Andrade - Análises Clínicas e Microbiologia - Nota Máxima: 10")</f>
        <v>Formação Pedagógica em Ciências Biológicas - Formação Pedagógica em Ciências Biológicas - Adriano Ricardo de Andrade - Análises Clínicas e Microbiologia - Nota Máxima: 10</v>
      </c>
    </row>
    <row r="2620">
      <c r="A2620" s="390" t="str">
        <f>IFERROR(__xludf.DUMMYFUNCTION("""COMPUTED_VALUE"""),"Formação Pedagógica em Ciências Biológicas - Formação Pedagógica em Ciências Biológicas - Adriano Ricardo de Andrade - Análises Clínicas e Microbiologia - Nota Máxima: 8")</f>
        <v>Formação Pedagógica em Ciências Biológicas - Formação Pedagógica em Ciências Biológicas - Adriano Ricardo de Andrade - Análises Clínicas e Microbiologia - Nota Máxima: 8</v>
      </c>
    </row>
    <row r="2621">
      <c r="A2621" s="390" t="str">
        <f>IFERROR(__xludf.DUMMYFUNCTION("""COMPUTED_VALUE"""),"Formação Pedagógica em Ciências Biológicas - Formação Pedagógica em Ciências Biológicas - Adriano Ricardo de Andrade - Anatomia e Fisiologia Humana - Nota Máxima: 9")</f>
        <v>Formação Pedagógica em Ciências Biológicas - Formação Pedagógica em Ciências Biológicas - Adriano Ricardo de Andrade - Anatomia e Fisiologia Humana - Nota Máxima: 9</v>
      </c>
    </row>
    <row r="2622">
      <c r="A2622" s="390" t="str">
        <f>IFERROR(__xludf.DUMMYFUNCTION("""COMPUTED_VALUE"""),"Formação Pedagógica em Ciências Biológicas - Formação Pedagógica em Ciências Biológicas - Adriano Ricardo de Andrade - Anatomia e Fisiologia Humana - Nota Máxima: 8")</f>
        <v>Formação Pedagógica em Ciências Biológicas - Formação Pedagógica em Ciências Biológicas - Adriano Ricardo de Andrade - Anatomia e Fisiologia Humana - Nota Máxima: 8</v>
      </c>
    </row>
    <row r="2623">
      <c r="A2623" s="390" t="str">
        <f>IFERROR(__xludf.DUMMYFUNCTION("""COMPUTED_VALUE"""),"Formação Pedagógica em Ciências Biológicas - Formação Pedagógica em Ciências Biológicas - Adriano Ricardo de Andrade - Ciências Exatas e da Terra - Nota Máxima: 10")</f>
        <v>Formação Pedagógica em Ciências Biológicas - Formação Pedagógica em Ciências Biológicas - Adriano Ricardo de Andrade - Ciências Exatas e da Terra - Nota Máxima: 10</v>
      </c>
    </row>
    <row r="2624">
      <c r="A2624" s="390" t="str">
        <f>IFERROR(__xludf.DUMMYFUNCTION("""COMPUTED_VALUE"""),"Formação Pedagógica em Ciências Biológicas - Formação Pedagógica em Ciências Biológicas - Adriano Ricardo de Andrade - Ciências Exatas e da Terra - Nota Máxima: 8")</f>
        <v>Formação Pedagógica em Ciências Biológicas - Formação Pedagógica em Ciências Biológicas - Adriano Ricardo de Andrade - Ciências Exatas e da Terra - Nota Máxima: 8</v>
      </c>
    </row>
    <row r="2625">
      <c r="A2625" s="390" t="str">
        <f>IFERROR(__xludf.DUMMYFUNCTION("""COMPUTED_VALUE"""),"Formação Pedagógica em Ciências Biológicas - Formação Pedagógica em Ciências Biológicas - Adriano Ricardo de Andrade - Deficiência Auditiva e Libras/a - Nota Máxima: 10")</f>
        <v>Formação Pedagógica em Ciências Biológicas - Formação Pedagógica em Ciências Biológicas - Adriano Ricardo de Andrade - Deficiência Auditiva e Libras/a - Nota Máxima: 10</v>
      </c>
    </row>
    <row r="2626">
      <c r="A2626" s="390" t="str">
        <f>IFERROR(__xludf.DUMMYFUNCTION("""COMPUTED_VALUE"""),"Formação Pedagógica em Ciências Biológicas - Formação Pedagógica em Ciências Biológicas - Adriano Ricardo de Andrade - Educação e as Tic's - Nota Máxima: 10")</f>
        <v>Formação Pedagógica em Ciências Biológicas - Formação Pedagógica em Ciências Biológicas - Adriano Ricardo de Andrade - Educação e as Tic's - Nota Máxima: 10</v>
      </c>
    </row>
    <row r="2627">
      <c r="A2627" s="390" t="str">
        <f>IFERROR(__xludf.DUMMYFUNCTION("""COMPUTED_VALUE"""),"Formação Pedagógica em Ciências Biológicas - Formação Pedagógica em Ciências Biológicas - Adriano Ricardo de Andrade - Educação Especial, Inclusão Escolar e Adaptações Curriculares - Nota Máxima: 9")</f>
        <v>Formação Pedagógica em Ciências Biológicas - Formação Pedagógica em Ciências Biológicas - Adriano Ricardo de Andrade - Educação Especial, Inclusão Escolar e Adaptações Curriculares - Nota Máxima: 9</v>
      </c>
    </row>
    <row r="2628">
      <c r="A2628" s="390" t="str">
        <f>IFERROR(__xludf.DUMMYFUNCTION("""COMPUTED_VALUE"""),"Formação Pedagógica em Ciências Biológicas - Formação Pedagógica em Ciências Biológicas - Adriano Ricardo de Andrade - Educação Especial, Inclusão Escolar e Adaptações Curriculares - Nota Máxima: 9")</f>
        <v>Formação Pedagógica em Ciências Biológicas - Formação Pedagógica em Ciências Biológicas - Adriano Ricardo de Andrade - Educação Especial, Inclusão Escolar e Adaptações Curriculares - Nota Máxima: 9</v>
      </c>
    </row>
    <row r="2629">
      <c r="A2629" s="390" t="str">
        <f>IFERROR(__xludf.DUMMYFUNCTION("""COMPUTED_VALUE"""),"Formação Pedagógica em Ciências Biológicas - Formação Pedagógica em Ciências Biológicas - Adriano Ricardo de Andrade - Educação, História, Cultura e Práticas Indígenas/a - Nota Máxima: 8")</f>
        <v>Formação Pedagógica em Ciências Biológicas - Formação Pedagógica em Ciências Biológicas - Adriano Ricardo de Andrade - Educação, História, Cultura e Práticas Indígenas/a - Nota Máxima: 8</v>
      </c>
    </row>
    <row r="2630">
      <c r="A2630" s="390" t="str">
        <f>IFERROR(__xludf.DUMMYFUNCTION("""COMPUTED_VALUE"""),"Formação Pedagógica em Ciências Biológicas - Formação Pedagógica em Ciências Biológicas - Adriano Ricardo de Andrade - Educação, História, Cultura e Práticas Indígenas/a - Nota Máxima: 8")</f>
        <v>Formação Pedagógica em Ciências Biológicas - Formação Pedagógica em Ciências Biológicas - Adriano Ricardo de Andrade - Educação, História, Cultura e Práticas Indígenas/a - Nota Máxima: 8</v>
      </c>
    </row>
    <row r="2631">
      <c r="A2631" s="390" t="str">
        <f>IFERROR(__xludf.DUMMYFUNCTION("""COMPUTED_VALUE"""),"Formação Pedagógica em Ciências Biológicas - Formação Pedagógica em Ciências Biológicas - Adriano Ricardo de Andrade - Ensino de Ciência e Biologia na Educação Básica - Nota Máxima: 7")</f>
        <v>Formação Pedagógica em Ciências Biológicas - Formação Pedagógica em Ciências Biológicas - Adriano Ricardo de Andrade - Ensino de Ciência e Biologia na Educação Básica - Nota Máxima: 7</v>
      </c>
    </row>
    <row r="2632">
      <c r="A2632" s="390" t="str">
        <f>IFERROR(__xludf.DUMMYFUNCTION("""COMPUTED_VALUE"""),"Formação Pedagógica em Ciências Biológicas - Formação Pedagógica em Ciências Biológicas - Adriano Ricardo de Andrade - Ensino de Ciência e Biologia na Educação Básica - Nota Máxima: 9")</f>
        <v>Formação Pedagógica em Ciências Biológicas - Formação Pedagógica em Ciências Biológicas - Adriano Ricardo de Andrade - Ensino de Ciência e Biologia na Educação Básica - Nota Máxima: 9</v>
      </c>
    </row>
    <row r="2633">
      <c r="A2633" s="390" t="str">
        <f>IFERROR(__xludf.DUMMYFUNCTION("""COMPUTED_VALUE"""),"Formação Pedagógica em Ciências Biológicas - Formação Pedagógica em Ciências Biológicas - Adriano Ricardo de Andrade - Imunologia e Microbiologia - Nota Máxima: 7")</f>
        <v>Formação Pedagógica em Ciências Biológicas - Formação Pedagógica em Ciências Biológicas - Adriano Ricardo de Andrade - Imunologia e Microbiologia - Nota Máxima: 7</v>
      </c>
    </row>
    <row r="2634">
      <c r="A2634" s="390" t="str">
        <f>IFERROR(__xludf.DUMMYFUNCTION("""COMPUTED_VALUE"""),"Formação Pedagógica em Ciências Biológicas - Formação Pedagógica em Ciências Biológicas - Adriano Ricardo de Andrade - Imunologia e Microbiologia - Nota Máxima: 6")</f>
        <v>Formação Pedagógica em Ciências Biológicas - Formação Pedagógica em Ciências Biológicas - Adriano Ricardo de Andrade - Imunologia e Microbiologia - Nota Máxima: 6</v>
      </c>
    </row>
    <row r="2635">
      <c r="A2635" s="390" t="str">
        <f>IFERROR(__xludf.DUMMYFUNCTION("""COMPUTED_VALUE"""),"Formação Pedagógica em Ciências Biológicas - Formação Pedagógica em Ciências Biológicas - Adriano Ricardo de Andrade - Introdução à Educação Ambiental - Nota Máxima: 8")</f>
        <v>Formação Pedagógica em Ciências Biológicas - Formação Pedagógica em Ciências Biológicas - Adriano Ricardo de Andrade - Introdução à Educação Ambiental - Nota Máxima: 8</v>
      </c>
    </row>
    <row r="2636">
      <c r="A2636" s="390" t="str">
        <f>IFERROR(__xludf.DUMMYFUNCTION("""COMPUTED_VALUE"""),"Formação Pedagógica em Ciências Biológicas - Formação Pedagógica em Ciências Biológicas - Adriano Ricardo de Andrade - Introdução à Educação Ambiental - Nota Máxima: 6")</f>
        <v>Formação Pedagógica em Ciências Biológicas - Formação Pedagógica em Ciências Biológicas - Adriano Ricardo de Andrade - Introdução à Educação Ambiental - Nota Máxima: 6</v>
      </c>
    </row>
    <row r="2637">
      <c r="A2637" s="390" t="str">
        <f>IFERROR(__xludf.DUMMYFUNCTION("""COMPUTED_VALUE"""),"Formação Pedagógica em Ciências Biológicas - Formação Pedagógica em Ciências Biológicas - Adriano Ricardo de Andrade - Legislação Educacional/a - Nota Máxima: 9")</f>
        <v>Formação Pedagógica em Ciências Biológicas - Formação Pedagógica em Ciências Biológicas - Adriano Ricardo de Andrade - Legislação Educacional/a - Nota Máxima: 9</v>
      </c>
    </row>
    <row r="2638">
      <c r="A2638" s="390" t="str">
        <f>IFERROR(__xludf.DUMMYFUNCTION("""COMPUTED_VALUE"""),"Formação Pedagógica em Ciências Biológicas - Formação Pedagógica em Ciências Biológicas - Adriano Ricardo de Andrade - Planejamento, Gestão Educacional e Currículo/a - Nota Máxima: 9")</f>
        <v>Formação Pedagógica em Ciências Biológicas - Formação Pedagógica em Ciências Biológicas - Adriano Ricardo de Andrade - Planejamento, Gestão Educacional e Currículo/a - Nota Máxima: 9</v>
      </c>
    </row>
    <row r="2639">
      <c r="A2639" s="390" t="str">
        <f>IFERROR(__xludf.DUMMYFUNCTION("""COMPUTED_VALUE"""),"Formação Pedagógica em Ciências Biológicas - Formação Pedagógica em Ciências Biológicas - Adriano Ricardo de Andrade - Práticas Pedagógicas - 400 Horas - Nota Máxima: 10")</f>
        <v>Formação Pedagógica em Ciências Biológicas - Formação Pedagógica em Ciências Biológicas - Adriano Ricardo de Andrade - Práticas Pedagógicas - 400 Horas - Nota Máxima: 10</v>
      </c>
    </row>
    <row r="2640">
      <c r="A2640" s="390" t="str">
        <f>IFERROR(__xludf.DUMMYFUNCTION("""COMPUTED_VALUE"""),"Formação Pedagógica em Ciências Biológicas - Formação Pedagógica em Ciências Biológicas - Adriano Ricardo de Andrade - Práticas Pedagógicas - 400 Horas - Nota Máxima: 45784")</f>
        <v>Formação Pedagógica em Ciências Biológicas - Formação Pedagógica em Ciências Biológicas - Adriano Ricardo de Andrade - Práticas Pedagógicas - 400 Horas - Nota Máxima: 45784</v>
      </c>
    </row>
    <row r="2641">
      <c r="A2641" s="390" t="str">
        <f>IFERROR(__xludf.DUMMYFUNCTION("""COMPUTED_VALUE"""),"Formação Pedagógica em Ciências Biológicas - Formação Pedagógica em Ciências Biológicas - Adriano Ricardo de Andrade - Psicologia da Educação/a - Nota Máxima: 8")</f>
        <v>Formação Pedagógica em Ciências Biológicas - Formação Pedagógica em Ciências Biológicas - Adriano Ricardo de Andrade - Psicologia da Educação/a - Nota Máxima: 8</v>
      </c>
    </row>
    <row r="2642">
      <c r="A2642" s="390" t="str">
        <f>IFERROR(__xludf.DUMMYFUNCTION("""COMPUTED_VALUE"""),"Formação Pedagógica em Ciências Biológicas - Formação Pedagógica em Ciências Biológicas - Jorge Miguel Moura de Araújo - Análises Clínicas e Microbiologia - Nota Máxima: 10")</f>
        <v>Formação Pedagógica em Ciências Biológicas - Formação Pedagógica em Ciências Biológicas - Jorge Miguel Moura de Araújo - Análises Clínicas e Microbiologia - Nota Máxima: 10</v>
      </c>
    </row>
    <row r="2643">
      <c r="A2643" s="390" t="str">
        <f>IFERROR(__xludf.DUMMYFUNCTION("""COMPUTED_VALUE"""),"Formação Pedagógica em Ciências Biológicas - Formação Pedagógica em Ciências Biológicas - Jorge Miguel Moura de Araújo - Análises Clínicas e Microbiologia - Nota Máxima: 9")</f>
        <v>Formação Pedagógica em Ciências Biológicas - Formação Pedagógica em Ciências Biológicas - Jorge Miguel Moura de Araújo - Análises Clínicas e Microbiologia - Nota Máxima: 9</v>
      </c>
    </row>
    <row r="2644">
      <c r="A2644" s="390" t="str">
        <f>IFERROR(__xludf.DUMMYFUNCTION("""COMPUTED_VALUE"""),"Formação Pedagógica em Ciências Biológicas - Formação Pedagógica em Ciências Biológicas - Jorge Miguel Moura de Araújo - Anatomia e Fisiologia Humana - Nota Máxima: 10")</f>
        <v>Formação Pedagógica em Ciências Biológicas - Formação Pedagógica em Ciências Biológicas - Jorge Miguel Moura de Araújo - Anatomia e Fisiologia Humana - Nota Máxima: 10</v>
      </c>
    </row>
    <row r="2645">
      <c r="A2645" s="390" t="str">
        <f>IFERROR(__xludf.DUMMYFUNCTION("""COMPUTED_VALUE"""),"Formação Pedagógica em Ciências Biológicas - Formação Pedagógica em Ciências Biológicas - Jorge Miguel Moura de Araújo - Anatomia e Fisiologia Humana - Nota Máxima: 8")</f>
        <v>Formação Pedagógica em Ciências Biológicas - Formação Pedagógica em Ciências Biológicas - Jorge Miguel Moura de Araújo - Anatomia e Fisiologia Humana - Nota Máxima: 8</v>
      </c>
    </row>
    <row r="2646">
      <c r="A2646" s="390" t="str">
        <f>IFERROR(__xludf.DUMMYFUNCTION("""COMPUTED_VALUE"""),"Formação Pedagógica em Ciências Biológicas - Formação Pedagógica em Ciências Biológicas - Jorge Miguel Moura de Araújo - Ciências Exatas e da Terra - Nota Máxima: 10")</f>
        <v>Formação Pedagógica em Ciências Biológicas - Formação Pedagógica em Ciências Biológicas - Jorge Miguel Moura de Araújo - Ciências Exatas e da Terra - Nota Máxima: 10</v>
      </c>
    </row>
    <row r="2647">
      <c r="A2647" s="390" t="str">
        <f>IFERROR(__xludf.DUMMYFUNCTION("""COMPUTED_VALUE"""),"Formação Pedagógica em Ciências Biológicas - Formação Pedagógica em Ciências Biológicas - Jorge Miguel Moura de Araújo - Ciências Exatas e da Terra - Nota Máxima: 9")</f>
        <v>Formação Pedagógica em Ciências Biológicas - Formação Pedagógica em Ciências Biológicas - Jorge Miguel Moura de Araújo - Ciências Exatas e da Terra - Nota Máxima: 9</v>
      </c>
    </row>
    <row r="2648">
      <c r="A2648" s="390" t="str">
        <f>IFERROR(__xludf.DUMMYFUNCTION("""COMPUTED_VALUE"""),"Formação Pedagógica em Ciências Biológicas - Formação Pedagógica em Ciências Biológicas - Jorge Miguel Moura de Araújo - Deficiência Auditiva e Libras/a - Nota Máxima: 10")</f>
        <v>Formação Pedagógica em Ciências Biológicas - Formação Pedagógica em Ciências Biológicas - Jorge Miguel Moura de Araújo - Deficiência Auditiva e Libras/a - Nota Máxima: 10</v>
      </c>
    </row>
    <row r="2649">
      <c r="A2649" s="390" t="str">
        <f>IFERROR(__xludf.DUMMYFUNCTION("""COMPUTED_VALUE"""),"Formação Pedagógica em Ciências Biológicas - Formação Pedagógica em Ciências Biológicas - Jorge Miguel Moura de Araújo - Deficiência Auditiva e Libras/a - Nota Máxima: 8")</f>
        <v>Formação Pedagógica em Ciências Biológicas - Formação Pedagógica em Ciências Biológicas - Jorge Miguel Moura de Araújo - Deficiência Auditiva e Libras/a - Nota Máxima: 8</v>
      </c>
    </row>
    <row r="2650">
      <c r="A2650" s="390" t="str">
        <f>IFERROR(__xludf.DUMMYFUNCTION("""COMPUTED_VALUE"""),"Formação Pedagógica em Ciências Biológicas - Formação Pedagógica em Ciências Biológicas - Jorge Miguel Moura de Araújo - Educação e as Tic's - Nota Máxima: 10")</f>
        <v>Formação Pedagógica em Ciências Biológicas - Formação Pedagógica em Ciências Biológicas - Jorge Miguel Moura de Araújo - Educação e as Tic's - Nota Máxima: 10</v>
      </c>
    </row>
    <row r="2651">
      <c r="A2651" s="390" t="str">
        <f>IFERROR(__xludf.DUMMYFUNCTION("""COMPUTED_VALUE"""),"Formação Pedagógica em Ciências Biológicas - Formação Pedagógica em Ciências Biológicas - Jorge Miguel Moura de Araújo - Educação e as Tic's - Nota Máxima: 8")</f>
        <v>Formação Pedagógica em Ciências Biológicas - Formação Pedagógica em Ciências Biológicas - Jorge Miguel Moura de Araújo - Educação e as Tic's - Nota Máxima: 8</v>
      </c>
    </row>
    <row r="2652">
      <c r="A2652" s="390" t="str">
        <f>IFERROR(__xludf.DUMMYFUNCTION("""COMPUTED_VALUE"""),"Formação Pedagógica em Ciências Biológicas - Formação Pedagógica em Ciências Biológicas - Jorge Miguel Moura de Araújo - Educação Especial, Inclusão Escolar e Adaptações Curriculares - Nota Máxima: 10")</f>
        <v>Formação Pedagógica em Ciências Biológicas - Formação Pedagógica em Ciências Biológicas - Jorge Miguel Moura de Araújo - Educação Especial, Inclusão Escolar e Adaptações Curriculares - Nota Máxima: 10</v>
      </c>
    </row>
    <row r="2653">
      <c r="A2653" s="390" t="str">
        <f>IFERROR(__xludf.DUMMYFUNCTION("""COMPUTED_VALUE"""),"Formação Pedagógica em Ciências Biológicas - Formação Pedagógica em Ciências Biológicas - Jorge Miguel Moura de Araújo - Educação Especial, Inclusão Escolar e Adaptações Curriculares - Nota Máxima: 10")</f>
        <v>Formação Pedagógica em Ciências Biológicas - Formação Pedagógica em Ciências Biológicas - Jorge Miguel Moura de Araújo - Educação Especial, Inclusão Escolar e Adaptações Curriculares - Nota Máxima: 10</v>
      </c>
    </row>
    <row r="2654">
      <c r="A2654" s="390" t="str">
        <f>IFERROR(__xludf.DUMMYFUNCTION("""COMPUTED_VALUE"""),"Formação Pedagógica em Ciências Biológicas - Formação Pedagógica em Ciências Biológicas - Jorge Miguel Moura de Araújo - Educação, História, Cultura e Práticas Indígenas/a - Nota Máxima: 10")</f>
        <v>Formação Pedagógica em Ciências Biológicas - Formação Pedagógica em Ciências Biológicas - Jorge Miguel Moura de Araújo - Educação, História, Cultura e Práticas Indígenas/a - Nota Máxima: 10</v>
      </c>
    </row>
    <row r="2655">
      <c r="A2655" s="390" t="str">
        <f>IFERROR(__xludf.DUMMYFUNCTION("""COMPUTED_VALUE"""),"Formação Pedagógica em Ciências Biológicas - Formação Pedagógica em Ciências Biológicas - Jorge Miguel Moura de Araújo - Educação, História, Cultura e Práticas Indígenas/a - Nota Máxima: 7")</f>
        <v>Formação Pedagógica em Ciências Biológicas - Formação Pedagógica em Ciências Biológicas - Jorge Miguel Moura de Araújo - Educação, História, Cultura e Práticas Indígenas/a - Nota Máxima: 7</v>
      </c>
    </row>
    <row r="2656">
      <c r="A2656" s="390" t="str">
        <f>IFERROR(__xludf.DUMMYFUNCTION("""COMPUTED_VALUE"""),"Formação Pedagógica em Ciências Biológicas - Formação Pedagógica em Ciências Biológicas - Jorge Miguel Moura de Araújo - Ensino de Ciência e Biologia na Educação Básica - Nota Máxima: 10")</f>
        <v>Formação Pedagógica em Ciências Biológicas - Formação Pedagógica em Ciências Biológicas - Jorge Miguel Moura de Araújo - Ensino de Ciência e Biologia na Educação Básica - Nota Máxima: 10</v>
      </c>
    </row>
    <row r="2657">
      <c r="A2657" s="390" t="str">
        <f>IFERROR(__xludf.DUMMYFUNCTION("""COMPUTED_VALUE"""),"Formação Pedagógica em Ciências Biológicas - Formação Pedagógica em Ciências Biológicas - Jorge Miguel Moura de Araújo - Ensino de Ciência e Biologia na Educação Básica - Nota Máxima: 6")</f>
        <v>Formação Pedagógica em Ciências Biológicas - Formação Pedagógica em Ciências Biológicas - Jorge Miguel Moura de Araújo - Ensino de Ciência e Biologia na Educação Básica - Nota Máxima: 6</v>
      </c>
    </row>
    <row r="2658">
      <c r="A2658" s="390" t="str">
        <f>IFERROR(__xludf.DUMMYFUNCTION("""COMPUTED_VALUE"""),"Formação Pedagógica em Ciências Biológicas - Formação Pedagógica em Ciências Biológicas - Jorge Miguel Moura de Araújo - Imunologia e Microbiologia - Nota Máxima: 10")</f>
        <v>Formação Pedagógica em Ciências Biológicas - Formação Pedagógica em Ciências Biológicas - Jorge Miguel Moura de Araújo - Imunologia e Microbiologia - Nota Máxima: 10</v>
      </c>
    </row>
    <row r="2659">
      <c r="A2659" s="390" t="str">
        <f>IFERROR(__xludf.DUMMYFUNCTION("""COMPUTED_VALUE"""),"Formação Pedagógica em Ciências Biológicas - Formação Pedagógica em Ciências Biológicas - Jorge Miguel Moura de Araújo - Imunologia e Microbiologia - Nota Máxima: 4")</f>
        <v>Formação Pedagógica em Ciências Biológicas - Formação Pedagógica em Ciências Biológicas - Jorge Miguel Moura de Araújo - Imunologia e Microbiologia - Nota Máxima: 4</v>
      </c>
    </row>
    <row r="2660">
      <c r="A2660" s="390" t="str">
        <f>IFERROR(__xludf.DUMMYFUNCTION("""COMPUTED_VALUE"""),"Formação Pedagógica em Ciências Biológicas - Formação Pedagógica em Ciências Biológicas - Jorge Miguel Moura de Araújo - Introdução à Educação Ambiental - Nota Máxima: 10")</f>
        <v>Formação Pedagógica em Ciências Biológicas - Formação Pedagógica em Ciências Biológicas - Jorge Miguel Moura de Araújo - Introdução à Educação Ambiental - Nota Máxima: 10</v>
      </c>
    </row>
    <row r="2661">
      <c r="A2661" s="390" t="str">
        <f>IFERROR(__xludf.DUMMYFUNCTION("""COMPUTED_VALUE"""),"Formação Pedagógica em Ciências Biológicas - Formação Pedagógica em Ciências Biológicas - Jorge Miguel Moura de Araújo - Introdução à Educação Ambiental - Nota Máxima: 7")</f>
        <v>Formação Pedagógica em Ciências Biológicas - Formação Pedagógica em Ciências Biológicas - Jorge Miguel Moura de Araújo - Introdução à Educação Ambiental - Nota Máxima: 7</v>
      </c>
    </row>
    <row r="2662">
      <c r="A2662" s="390" t="str">
        <f>IFERROR(__xludf.DUMMYFUNCTION("""COMPUTED_VALUE"""),"Formação Pedagógica em Ciências Biológicas - Formação Pedagógica em Ciências Biológicas - Jorge Miguel Moura de Araújo - Legislação Educacional/a - Nota Máxima: 10")</f>
        <v>Formação Pedagógica em Ciências Biológicas - Formação Pedagógica em Ciências Biológicas - Jorge Miguel Moura de Araújo - Legislação Educacional/a - Nota Máxima: 10</v>
      </c>
    </row>
    <row r="2663">
      <c r="A2663" s="390" t="str">
        <f>IFERROR(__xludf.DUMMYFUNCTION("""COMPUTED_VALUE"""),"Formação Pedagógica em Ciências Biológicas - Formação Pedagógica em Ciências Biológicas - Jorge Miguel Moura de Araújo - Legislação Educacional/a - Nota Máxima: 8")</f>
        <v>Formação Pedagógica em Ciências Biológicas - Formação Pedagógica em Ciências Biológicas - Jorge Miguel Moura de Araújo - Legislação Educacional/a - Nota Máxima: 8</v>
      </c>
    </row>
    <row r="2664">
      <c r="A2664" s="390" t="str">
        <f>IFERROR(__xludf.DUMMYFUNCTION("""COMPUTED_VALUE"""),"Formação Pedagógica em Ciências Biológicas - Formação Pedagógica em Ciências Biológicas - Jorge Miguel Moura de Araújo - Planejamento, Gestão Educacional e Currículo/a - Nota Máxima: 10")</f>
        <v>Formação Pedagógica em Ciências Biológicas - Formação Pedagógica em Ciências Biológicas - Jorge Miguel Moura de Araújo - Planejamento, Gestão Educacional e Currículo/a - Nota Máxima: 10</v>
      </c>
    </row>
    <row r="2665">
      <c r="A2665" s="390" t="str">
        <f>IFERROR(__xludf.DUMMYFUNCTION("""COMPUTED_VALUE"""),"Formação Pedagógica em Ciências Biológicas - Formação Pedagógica em Ciências Biológicas - Jorge Miguel Moura de Araújo - Planejamento, Gestão Educacional e Currículo/a - Nota Máxima: 10")</f>
        <v>Formação Pedagógica em Ciências Biológicas - Formação Pedagógica em Ciências Biológicas - Jorge Miguel Moura de Araújo - Planejamento, Gestão Educacional e Currículo/a - Nota Máxima: 10</v>
      </c>
    </row>
    <row r="2666">
      <c r="A2666" s="390" t="str">
        <f>IFERROR(__xludf.DUMMYFUNCTION("""COMPUTED_VALUE"""),"Formação Pedagógica em Ciências Biológicas - Formação Pedagógica em Ciências Biológicas - Jorge Miguel Moura de Araújo - Práticas Pedagógicas - 400 Horas - Nota Máxima: 10")</f>
        <v>Formação Pedagógica em Ciências Biológicas - Formação Pedagógica em Ciências Biológicas - Jorge Miguel Moura de Araújo - Práticas Pedagógicas - 400 Horas - Nota Máxima: 10</v>
      </c>
    </row>
    <row r="2667">
      <c r="A2667" s="390" t="str">
        <f>IFERROR(__xludf.DUMMYFUNCTION("""COMPUTED_VALUE"""),"Formação Pedagógica em Ciências Biológicas - Formação Pedagógica em Ciências Biológicas - Jorge Miguel Moura de Araújo - Práticas Pedagógicas - 400 Horas - Nota Máxima: 10")</f>
        <v>Formação Pedagógica em Ciências Biológicas - Formação Pedagógica em Ciências Biológicas - Jorge Miguel Moura de Araújo - Práticas Pedagógicas - 400 Horas - Nota Máxima: 10</v>
      </c>
    </row>
    <row r="2668">
      <c r="A2668" s="390" t="str">
        <f>IFERROR(__xludf.DUMMYFUNCTION("""COMPUTED_VALUE"""),"Formação Pedagógica em Ciências Biológicas - Formação Pedagógica em Ciências Biológicas - Jorge Miguel Moura de Araújo - Psicologia da Educação/a - Nota Máxima: 10")</f>
        <v>Formação Pedagógica em Ciências Biológicas - Formação Pedagógica em Ciências Biológicas - Jorge Miguel Moura de Araújo - Psicologia da Educação/a - Nota Máxima: 10</v>
      </c>
    </row>
    <row r="2669">
      <c r="A2669" s="390" t="str">
        <f>IFERROR(__xludf.DUMMYFUNCTION("""COMPUTED_VALUE"""),"Formação Pedagógica em Ciências Biológicas - Formação Pedagógica em Ciências Biológicas - Jorge Miguel Moura de Araújo - Psicologia da Educação/a - Nota Máxima: 7")</f>
        <v>Formação Pedagógica em Ciências Biológicas - Formação Pedagógica em Ciências Biológicas - Jorge Miguel Moura de Araújo - Psicologia da Educação/a - Nota Máxima: 7</v>
      </c>
    </row>
    <row r="2670">
      <c r="A2670" s="390" t="str">
        <f>IFERROR(__xludf.DUMMYFUNCTION("""COMPUTED_VALUE"""),"Formação Pedagógica em Ciências Biológicas - Formação Pedagógica em Ciências Biológicas - Mariana Nadu Magalhães da Silva - Análises Clínicas e Microbiologia - Nota Máxima: 8")</f>
        <v>Formação Pedagógica em Ciências Biológicas - Formação Pedagógica em Ciências Biológicas - Mariana Nadu Magalhães da Silva - Análises Clínicas e Microbiologia - Nota Máxima: 8</v>
      </c>
    </row>
    <row r="2671">
      <c r="A2671" s="390" t="str">
        <f>IFERROR(__xludf.DUMMYFUNCTION("""COMPUTED_VALUE"""),"Formação Pedagógica em Ciências Biológicas - Formação Pedagógica em Ciências Biológicas - Mariana Nadu Magalhães da Silva - Anatomia e Fisiologia Humana - Nota Máxima: 8")</f>
        <v>Formação Pedagógica em Ciências Biológicas - Formação Pedagógica em Ciências Biológicas - Mariana Nadu Magalhães da Silva - Anatomia e Fisiologia Humana - Nota Máxima: 8</v>
      </c>
    </row>
    <row r="2672">
      <c r="A2672" s="390" t="str">
        <f>IFERROR(__xludf.DUMMYFUNCTION("""COMPUTED_VALUE"""),"Formação Pedagógica em Ciências Biológicas - Formação Pedagógica em Ciências Biológicas - Mariana Nadu Magalhães da Silva - Ciências Exatas e da Terra - Nota Máxima: 8")</f>
        <v>Formação Pedagógica em Ciências Biológicas - Formação Pedagógica em Ciências Biológicas - Mariana Nadu Magalhães da Silva - Ciências Exatas e da Terra - Nota Máxima: 8</v>
      </c>
    </row>
    <row r="2673">
      <c r="A2673" s="390" t="str">
        <f>IFERROR(__xludf.DUMMYFUNCTION("""COMPUTED_VALUE"""),"Formação Pedagógica em Ciências Biológicas - Formação Pedagógica em Ciências Biológicas - Mariana Nadu Magalhães da Silva - Deficiência Auditiva e Libras/a - Nota Máxima: 9")</f>
        <v>Formação Pedagógica em Ciências Biológicas - Formação Pedagógica em Ciências Biológicas - Mariana Nadu Magalhães da Silva - Deficiência Auditiva e Libras/a - Nota Máxima: 9</v>
      </c>
    </row>
    <row r="2674">
      <c r="A2674" s="390" t="str">
        <f>IFERROR(__xludf.DUMMYFUNCTION("""COMPUTED_VALUE"""),"Formação Pedagógica em Ciências Biológicas - Formação Pedagógica em Ciências Biológicas - Mariana Nadu Magalhães da Silva - Educação e as Tic's - Nota Máxima: 8")</f>
        <v>Formação Pedagógica em Ciências Biológicas - Formação Pedagógica em Ciências Biológicas - Mariana Nadu Magalhães da Silva - Educação e as Tic's - Nota Máxima: 8</v>
      </c>
    </row>
    <row r="2675">
      <c r="A2675" s="390" t="str">
        <f>IFERROR(__xludf.DUMMYFUNCTION("""COMPUTED_VALUE"""),"Formação Pedagógica em Ciências Biológicas - Formação Pedagógica em Ciências Biológicas - Jucileia Paula Coelho - Análises Clínicas e Microbiologia - Nota Máxima: 10")</f>
        <v>Formação Pedagógica em Ciências Biológicas - Formação Pedagógica em Ciências Biológicas - Jucileia Paula Coelho - Análises Clínicas e Microbiologia - Nota Máxima: 10</v>
      </c>
    </row>
    <row r="2676">
      <c r="A2676" s="390" t="str">
        <f>IFERROR(__xludf.DUMMYFUNCTION("""COMPUTED_VALUE"""),"Formação Pedagógica em Ciências Biológicas - Formação Pedagógica em Ciências Biológicas - Jucileia Paula Coelho - Anatomia e Fisiologia Humana - Nota Máxima: 8")</f>
        <v>Formação Pedagógica em Ciências Biológicas - Formação Pedagógica em Ciências Biológicas - Jucileia Paula Coelho - Anatomia e Fisiologia Humana - Nota Máxima: 8</v>
      </c>
    </row>
    <row r="2677">
      <c r="A2677" s="390" t="str">
        <f>IFERROR(__xludf.DUMMYFUNCTION("""COMPUTED_VALUE"""),"Formação Pedagógica em Ciências Biológicas - Formação Pedagógica em Ciências Biológicas - Jucileia Paula Coelho - Ciências Exatas e da Terra - Nota Máxima: 8")</f>
        <v>Formação Pedagógica em Ciências Biológicas - Formação Pedagógica em Ciências Biológicas - Jucileia Paula Coelho - Ciências Exatas e da Terra - Nota Máxima: 8</v>
      </c>
    </row>
    <row r="2678">
      <c r="A2678" s="390" t="str">
        <f>IFERROR(__xludf.DUMMYFUNCTION("""COMPUTED_VALUE"""),"Formação Pedagógica em Ciências Biológicas - Formação Pedagógica em Ciências Biológicas - Jucileia Paula Coelho - Ciências Exatas e da Terra - Nota Máxima: 7")</f>
        <v>Formação Pedagógica em Ciências Biológicas - Formação Pedagógica em Ciências Biológicas - Jucileia Paula Coelho - Ciências Exatas e da Terra - Nota Máxima: 7</v>
      </c>
    </row>
    <row r="2679">
      <c r="A2679" s="390" t="str">
        <f>IFERROR(__xludf.DUMMYFUNCTION("""COMPUTED_VALUE"""),"Formação Pedagógica em Ciências Biológicas - Formação Pedagógica em Ciências Biológicas - Jucileia Paula Coelho - Deficiência Auditiva e Libras/a - Nota Máxima: 9")</f>
        <v>Formação Pedagógica em Ciências Biológicas - Formação Pedagógica em Ciências Biológicas - Jucileia Paula Coelho - Deficiência Auditiva e Libras/a - Nota Máxima: 9</v>
      </c>
    </row>
    <row r="2680">
      <c r="A2680" s="390" t="str">
        <f>IFERROR(__xludf.DUMMYFUNCTION("""COMPUTED_VALUE"""),"Formação Pedagógica em Ciências Biológicas - Formação Pedagógica em Ciências Biológicas - Jucileia Paula Coelho - Educação e as Tic's - Nota Máxima: 9")</f>
        <v>Formação Pedagógica em Ciências Biológicas - Formação Pedagógica em Ciências Biológicas - Jucileia Paula Coelho - Educação e as Tic's - Nota Máxima: 9</v>
      </c>
    </row>
    <row r="2681">
      <c r="A2681" s="390" t="str">
        <f>IFERROR(__xludf.DUMMYFUNCTION("""COMPUTED_VALUE"""),"Formação Pedagógica em Ciências Biológicas - Formação Pedagógica em Ciências Biológicas - Jucileia Paula Coelho - Educação Especial, Inclusão Escolar e Adaptações Curriculares - Nota Máxima: 9")</f>
        <v>Formação Pedagógica em Ciências Biológicas - Formação Pedagógica em Ciências Biológicas - Jucileia Paula Coelho - Educação Especial, Inclusão Escolar e Adaptações Curriculares - Nota Máxima: 9</v>
      </c>
    </row>
    <row r="2682">
      <c r="A2682" s="390" t="str">
        <f>IFERROR(__xludf.DUMMYFUNCTION("""COMPUTED_VALUE"""),"Formação Pedagógica em Ciências Biológicas - Formação Pedagógica em Ciências Biológicas - Jucileia Paula Coelho - Educação, História, Cultura e Práticas Indígenas/a - Nota Máxima: 9")</f>
        <v>Formação Pedagógica em Ciências Biológicas - Formação Pedagógica em Ciências Biológicas - Jucileia Paula Coelho - Educação, História, Cultura e Práticas Indígenas/a - Nota Máxima: 9</v>
      </c>
    </row>
    <row r="2683">
      <c r="A2683" s="390" t="str">
        <f>IFERROR(__xludf.DUMMYFUNCTION("""COMPUTED_VALUE"""),"Formação Pedagógica em Ciências Biológicas - Formação Pedagógica em Ciências Biológicas - Jucileia Paula Coelho - Ensino de Ciência e Biologia na Educação Básica - Nota Máxima: 9")</f>
        <v>Formação Pedagógica em Ciências Biológicas - Formação Pedagógica em Ciências Biológicas - Jucileia Paula Coelho - Ensino de Ciência e Biologia na Educação Básica - Nota Máxima: 9</v>
      </c>
    </row>
    <row r="2684">
      <c r="A2684" s="390" t="str">
        <f>IFERROR(__xludf.DUMMYFUNCTION("""COMPUTED_VALUE"""),"Formação Pedagógica em Ciências Biológicas - Formação Pedagógica em Ciências Biológicas - Jucileia Paula Coelho - Imunologia e Microbiologia - Nota Máxima: 9")</f>
        <v>Formação Pedagógica em Ciências Biológicas - Formação Pedagógica em Ciências Biológicas - Jucileia Paula Coelho - Imunologia e Microbiologia - Nota Máxima: 9</v>
      </c>
    </row>
    <row r="2685">
      <c r="A2685" s="390" t="str">
        <f>IFERROR(__xludf.DUMMYFUNCTION("""COMPUTED_VALUE"""),"Formação Pedagógica em Ciências Biológicas - Formação Pedagógica em Ciências Biológicas - Jucileia Paula Coelho - Introdução à Educação Ambiental - Nota Máxima: 10")</f>
        <v>Formação Pedagógica em Ciências Biológicas - Formação Pedagógica em Ciências Biológicas - Jucileia Paula Coelho - Introdução à Educação Ambiental - Nota Máxima: 10</v>
      </c>
    </row>
    <row r="2686">
      <c r="A2686" s="390" t="str">
        <f>IFERROR(__xludf.DUMMYFUNCTION("""COMPUTED_VALUE"""),"Formação Pedagógica em Ciências Biológicas - Formação Pedagógica em Ciências Biológicas - Jucileia Paula Coelho - Legislação Educacional/a - Nota Máxima: 10")</f>
        <v>Formação Pedagógica em Ciências Biológicas - Formação Pedagógica em Ciências Biológicas - Jucileia Paula Coelho - Legislação Educacional/a - Nota Máxima: 10</v>
      </c>
    </row>
    <row r="2687">
      <c r="A2687" s="390" t="str">
        <f>IFERROR(__xludf.DUMMYFUNCTION("""COMPUTED_VALUE"""),"Formação Pedagógica em Ciências Biológicas - Formação Pedagógica em Ciências Biológicas - Jucileia Paula Coelho - Planejamento, Gestão Educacional e Currículo/a - Nota Máxima: 10")</f>
        <v>Formação Pedagógica em Ciências Biológicas - Formação Pedagógica em Ciências Biológicas - Jucileia Paula Coelho - Planejamento, Gestão Educacional e Currículo/a - Nota Máxima: 10</v>
      </c>
    </row>
    <row r="2688">
      <c r="A2688" s="390" t="str">
        <f>IFERROR(__xludf.DUMMYFUNCTION("""COMPUTED_VALUE"""),"Formação Pedagógica em Ciências Biológicas - Formação Pedagógica em Ciências Biológicas - Jucileia Paula Coelho - Práticas Pedagógicas - 400 Horas - Nota Máxima: 45784")</f>
        <v>Formação Pedagógica em Ciências Biológicas - Formação Pedagógica em Ciências Biológicas - Jucileia Paula Coelho - Práticas Pedagógicas - 400 Horas - Nota Máxima: 45784</v>
      </c>
    </row>
    <row r="2689">
      <c r="A2689" s="390" t="str">
        <f>IFERROR(__xludf.DUMMYFUNCTION("""COMPUTED_VALUE"""),"Formação Pedagógica em Ciências Biológicas - Formação Pedagógica em Ciências Biológicas - Jucileia Paula Coelho - Práticas Pedagógicas - 400 Horas - Nota Máxima: 5")</f>
        <v>Formação Pedagógica em Ciências Biológicas - Formação Pedagógica em Ciências Biológicas - Jucileia Paula Coelho - Práticas Pedagógicas - 400 Horas - Nota Máxima: 5</v>
      </c>
    </row>
    <row r="2690">
      <c r="A2690" s="390" t="str">
        <f>IFERROR(__xludf.DUMMYFUNCTION("""COMPUTED_VALUE"""),"Formação Pedagógica em Ciências Biológicas - Formação Pedagógica em Ciências Biológicas - Jucileia Paula Coelho - Psicologia da Educação/a - Nota Máxima: 10")</f>
        <v>Formação Pedagógica em Ciências Biológicas - Formação Pedagógica em Ciências Biológicas - Jucileia Paula Coelho - Psicologia da Educação/a - Nota Máxima: 10</v>
      </c>
    </row>
    <row r="2691">
      <c r="A2691" s="390" t="str">
        <f>IFERROR(__xludf.DUMMYFUNCTION("""COMPUTED_VALUE"""),"Formação Pedagógica Letras - Português - Formação Pedagógica Letras - Português - Iury de Oliveira Amorim - Deficiência Auditiva e Libras/a - Nota Máxima: 10")</f>
        <v>Formação Pedagógica Letras - Português - Formação Pedagógica Letras - Português - Iury de Oliveira Amorim - Deficiência Auditiva e Libras/a - Nota Máxima: 10</v>
      </c>
    </row>
    <row r="2692">
      <c r="A2692" s="390" t="str">
        <f>IFERROR(__xludf.DUMMYFUNCTION("""COMPUTED_VALUE"""),"Formação Pedagógica Letras - Português - Formação Pedagógica Letras - Português - Iury de Oliveira Amorim - Deficiência Auditiva e Libras/a - Nota Máxima: 7")</f>
        <v>Formação Pedagógica Letras - Português - Formação Pedagógica Letras - Português - Iury de Oliveira Amorim - Deficiência Auditiva e Libras/a - Nota Máxima: 7</v>
      </c>
    </row>
    <row r="2693">
      <c r="A2693" s="390" t="str">
        <f>IFERROR(__xludf.DUMMYFUNCTION("""COMPUTED_VALUE"""),"Formação Pedagógica Letras - Português - Formação Pedagógica Letras - Português - Iury de Oliveira Amorim - Distúrbios de Aprendizagem na Leitura E Escrita - Nota Máxima: 10")</f>
        <v>Formação Pedagógica Letras - Português - Formação Pedagógica Letras - Português - Iury de Oliveira Amorim - Distúrbios de Aprendizagem na Leitura E Escrita - Nota Máxima: 10</v>
      </c>
    </row>
    <row r="2694">
      <c r="A2694" s="390" t="str">
        <f>IFERROR(__xludf.DUMMYFUNCTION("""COMPUTED_VALUE"""),"Formação Pedagógica Letras - Português - Formação Pedagógica Letras - Português - Iury de Oliveira Amorim - Educação Especial, Inclusão Escolar e Adaptações Curriculares - Nota Máxima: 10")</f>
        <v>Formação Pedagógica Letras - Português - Formação Pedagógica Letras - Português - Iury de Oliveira Amorim - Educação Especial, Inclusão Escolar e Adaptações Curriculares - Nota Máxima: 10</v>
      </c>
    </row>
    <row r="2695">
      <c r="A2695" s="390" t="str">
        <f>IFERROR(__xludf.DUMMYFUNCTION("""COMPUTED_VALUE"""),"Formação Pedagógica Letras - Português - Formação Pedagógica Letras - Português - Iury de Oliveira Amorim - Educação, História, Cultura e Práticas Indígenas/a - Nota Máxima: 9")</f>
        <v>Formação Pedagógica Letras - Português - Formação Pedagógica Letras - Português - Iury de Oliveira Amorim - Educação, História, Cultura e Práticas Indígenas/a - Nota Máxima: 9</v>
      </c>
    </row>
    <row r="2696">
      <c r="A2696" s="390" t="str">
        <f>IFERROR(__xludf.DUMMYFUNCTION("""COMPUTED_VALUE"""),"Formação Pedagógica Letras - Português - Formação Pedagógica Letras - Português - Iury de Oliveira Amorim - Estudos Morfossintáticos da Língua Portuguesa/a - Nota Máxima: 10")</f>
        <v>Formação Pedagógica Letras - Português - Formação Pedagógica Letras - Português - Iury de Oliveira Amorim - Estudos Morfossintáticos da Língua Portuguesa/a - Nota Máxima: 10</v>
      </c>
    </row>
    <row r="2697">
      <c r="A2697" s="390" t="str">
        <f>IFERROR(__xludf.DUMMYFUNCTION("""COMPUTED_VALUE"""),"Formação Pedagógica Letras - Português - Formação Pedagógica Letras - Português - Iury de Oliveira Amorim - Legislação Educacional/a - Nota Máxima: 10")</f>
        <v>Formação Pedagógica Letras - Português - Formação Pedagógica Letras - Português - Iury de Oliveira Amorim - Legislação Educacional/a - Nota Máxima: 10</v>
      </c>
    </row>
    <row r="2698">
      <c r="A2698" s="390" t="str">
        <f>IFERROR(__xludf.DUMMYFUNCTION("""COMPUTED_VALUE"""),"Formação Pedagógica Letras - Português - Formação Pedagógica Letras - Português - Iury de Oliveira Amorim - Linguística Aplicada ao Ensino de Português/a - Nota Máxima: 10")</f>
        <v>Formação Pedagógica Letras - Português - Formação Pedagógica Letras - Português - Iury de Oliveira Amorim - Linguística Aplicada ao Ensino de Português/a - Nota Máxima: 10</v>
      </c>
    </row>
    <row r="2699">
      <c r="A2699" s="390" t="str">
        <f>IFERROR(__xludf.DUMMYFUNCTION("""COMPUTED_VALUE"""),"Formação Pedagógica Letras - Português - Formação Pedagógica Letras - Português - Iury de Oliveira Amorim - Metodologia do Ensino da Língua Portuguesa I - Nota Máxima: 10")</f>
        <v>Formação Pedagógica Letras - Português - Formação Pedagógica Letras - Português - Iury de Oliveira Amorim - Metodologia do Ensino da Língua Portuguesa I - Nota Máxima: 10</v>
      </c>
    </row>
    <row r="2700">
      <c r="A2700" s="390" t="str">
        <f>IFERROR(__xludf.DUMMYFUNCTION("""COMPUTED_VALUE"""),"Formação Pedagógica Letras - Português - Formação Pedagógica Letras - Português - Iury de Oliveira Amorim - Metodologia do Ensino da Língua Portuguesa II - Nota Máxima: 10")</f>
        <v>Formação Pedagógica Letras - Português - Formação Pedagógica Letras - Português - Iury de Oliveira Amorim - Metodologia do Ensino da Língua Portuguesa II - Nota Máxima: 10</v>
      </c>
    </row>
    <row r="2701">
      <c r="A2701" s="390" t="str">
        <f>IFERROR(__xludf.DUMMYFUNCTION("""COMPUTED_VALUE"""),"Formação Pedagógica Letras - Português - Formação Pedagógica Letras - Português - Iury de Oliveira Amorim - Planejamento, Gestão Educacional e Currículo/a - Nota Máxima: 10")</f>
        <v>Formação Pedagógica Letras - Português - Formação Pedagógica Letras - Português - Iury de Oliveira Amorim - Planejamento, Gestão Educacional e Currículo/a - Nota Máxima: 10</v>
      </c>
    </row>
    <row r="2702">
      <c r="A2702" s="390" t="str">
        <f>IFERROR(__xludf.DUMMYFUNCTION("""COMPUTED_VALUE"""),"Formação Pedagógica Letras - Português - Formação Pedagógica Letras - Português - Iury de Oliveira Amorim - Psicologia da Educação/a - Nota Máxima: 10")</f>
        <v>Formação Pedagógica Letras - Português - Formação Pedagógica Letras - Português - Iury de Oliveira Amorim - Psicologia da Educação/a - Nota Máxima: 10</v>
      </c>
    </row>
    <row r="2703">
      <c r="A2703" s="390" t="str">
        <f>IFERROR(__xludf.DUMMYFUNCTION("""COMPUTED_VALUE"""),"Formação Pedagógica Letras - Português - Formação Pedagógica Letras - Português - Iury de Oliveira Amorim - Psicomotricidade e Linguagem na Alfabetização/a - Nota Máxima: 9")</f>
        <v>Formação Pedagógica Letras - Português - Formação Pedagógica Letras - Português - Iury de Oliveira Amorim - Psicomotricidade e Linguagem na Alfabetização/a - Nota Máxima: 9</v>
      </c>
    </row>
    <row r="2704">
      <c r="A2704" s="390" t="str">
        <f>IFERROR(__xludf.DUMMYFUNCTION("""COMPUTED_VALUE"""),"Formação Pedagógica Letras - Português - Formação Pedagógica Letras - Português - Iury de Oliveira Amorim - Teoria da Literatura/a - Nota Máxima: 8")</f>
        <v>Formação Pedagógica Letras - Português - Formação Pedagógica Letras - Português - Iury de Oliveira Amorim - Teoria da Literatura/a - Nota Máxima: 8</v>
      </c>
    </row>
    <row r="2705">
      <c r="A2705" s="390" t="str">
        <f>IFERROR(__xludf.DUMMYFUNCTION("""COMPUTED_VALUE"""),"Formação Pedagogica em Geografia - Formação Pedagogica em Geografia - Arnaldo Barros dos Santos - Biogeografia - Nota Máxima: 9")</f>
        <v>Formação Pedagogica em Geografia - Formação Pedagogica em Geografia - Arnaldo Barros dos Santos - Biogeografia - Nota Máxima: 9</v>
      </c>
    </row>
    <row r="2706">
      <c r="A2706" s="390" t="str">
        <f>IFERROR(__xludf.DUMMYFUNCTION("""COMPUTED_VALUE"""),"Formação Pedagogica em Geografia - Formação Pedagogica em Geografia - Arnaldo Barros dos Santos - Biogeografia - Nota Máxima: 10")</f>
        <v>Formação Pedagogica em Geografia - Formação Pedagogica em Geografia - Arnaldo Barros dos Santos - Biogeografia - Nota Máxima: 10</v>
      </c>
    </row>
    <row r="2707">
      <c r="A2707" s="390" t="str">
        <f>IFERROR(__xludf.DUMMYFUNCTION("""COMPUTED_VALUE"""),"Formação Pedagogica em Geografia - Formação Pedagogica em Geografia - Arnaldo Barros dos Santos - Cartografia - Nota Máxima: 10")</f>
        <v>Formação Pedagogica em Geografia - Formação Pedagogica em Geografia - Arnaldo Barros dos Santos - Cartografia - Nota Máxima: 10</v>
      </c>
    </row>
    <row r="2708">
      <c r="A2708" s="390" t="str">
        <f>IFERROR(__xludf.DUMMYFUNCTION("""COMPUTED_VALUE"""),"Formação Pedagogica em Geografia - Formação Pedagogica em Geografia - Arnaldo Barros dos Santos - Cartografia - Nota Máxima: 10")</f>
        <v>Formação Pedagogica em Geografia - Formação Pedagogica em Geografia - Arnaldo Barros dos Santos - Cartografia - Nota Máxima: 10</v>
      </c>
    </row>
    <row r="2709">
      <c r="A2709" s="390" t="str">
        <f>IFERROR(__xludf.DUMMYFUNCTION("""COMPUTED_VALUE"""),"Formação Pedagogica em Geografia - Formação Pedagogica em Geografia - Arnaldo Barros dos Santos - Deficiência Auditiva e Libras/a - Nota Máxima: 9")</f>
        <v>Formação Pedagogica em Geografia - Formação Pedagogica em Geografia - Arnaldo Barros dos Santos - Deficiência Auditiva e Libras/a - Nota Máxima: 9</v>
      </c>
    </row>
    <row r="2710">
      <c r="A2710" s="390" t="str">
        <f>IFERROR(__xludf.DUMMYFUNCTION("""COMPUTED_VALUE"""),"Formação Pedagogica em Geografia - Formação Pedagogica em Geografia - Arnaldo Barros dos Santos - Deficiência Auditiva e Libras/a - Nota Máxima: 10")</f>
        <v>Formação Pedagogica em Geografia - Formação Pedagogica em Geografia - Arnaldo Barros dos Santos - Deficiência Auditiva e Libras/a - Nota Máxima: 10</v>
      </c>
    </row>
    <row r="2711">
      <c r="A2711" s="390" t="str">
        <f>IFERROR(__xludf.DUMMYFUNCTION("""COMPUTED_VALUE"""),"Formação Pedagogica em Geografia - Formação Pedagogica em Geografia - Arnaldo Barros dos Santos - Desenvolvimento do Capital Humano - Nota Máxima: 9")</f>
        <v>Formação Pedagogica em Geografia - Formação Pedagogica em Geografia - Arnaldo Barros dos Santos - Desenvolvimento do Capital Humano - Nota Máxima: 9</v>
      </c>
    </row>
    <row r="2712">
      <c r="A2712" s="390" t="str">
        <f>IFERROR(__xludf.DUMMYFUNCTION("""COMPUTED_VALUE"""),"Formação Pedagogica em Geografia - Formação Pedagogica em Geografia - Arnaldo Barros dos Santos - Desenvolvimento do Capital Humano - Nota Máxima: 9")</f>
        <v>Formação Pedagogica em Geografia - Formação Pedagogica em Geografia - Arnaldo Barros dos Santos - Desenvolvimento do Capital Humano - Nota Máxima: 9</v>
      </c>
    </row>
    <row r="2713">
      <c r="A2713" s="390" t="str">
        <f>IFERROR(__xludf.DUMMYFUNCTION("""COMPUTED_VALUE"""),"Formação Pedagogica em Geografia - Formação Pedagogica em Geografia - Arnaldo Barros dos Santos - Educação Especial, Inclusão Escolar e Adaptações Curriculares - Nota Máxima: 10")</f>
        <v>Formação Pedagogica em Geografia - Formação Pedagogica em Geografia - Arnaldo Barros dos Santos - Educação Especial, Inclusão Escolar e Adaptações Curriculares - Nota Máxima: 10</v>
      </c>
    </row>
    <row r="2714">
      <c r="A2714" s="390" t="str">
        <f>IFERROR(__xludf.DUMMYFUNCTION("""COMPUTED_VALUE"""),"Formação Pedagogica em Geografia - Formação Pedagogica em Geografia - Arnaldo Barros dos Santos - Educação Especial, Inclusão Escolar e Adaptações Curriculares - Nota Máxima: 10")</f>
        <v>Formação Pedagogica em Geografia - Formação Pedagogica em Geografia - Arnaldo Barros dos Santos - Educação Especial, Inclusão Escolar e Adaptações Curriculares - Nota Máxima: 10</v>
      </c>
    </row>
    <row r="2715">
      <c r="A2715" s="390" t="str">
        <f>IFERROR(__xludf.DUMMYFUNCTION("""COMPUTED_VALUE"""),"Formação Pedagogica em Geografia - Formação Pedagogica em Geografia - Arnaldo Barros dos Santos - Educação, História, Cultura e Práticas Indígenas/a - Nota Máxima: 10")</f>
        <v>Formação Pedagogica em Geografia - Formação Pedagogica em Geografia - Arnaldo Barros dos Santos - Educação, História, Cultura e Práticas Indígenas/a - Nota Máxima: 10</v>
      </c>
    </row>
    <row r="2716">
      <c r="A2716" s="390" t="str">
        <f>IFERROR(__xludf.DUMMYFUNCTION("""COMPUTED_VALUE"""),"Formação Pedagogica em Geografia - Formação Pedagogica em Geografia - Arnaldo Barros dos Santos - Educação, História, Cultura e Práticas Indígenas/a - Nota Máxima: 7")</f>
        <v>Formação Pedagogica em Geografia - Formação Pedagogica em Geografia - Arnaldo Barros dos Santos - Educação, História, Cultura e Práticas Indígenas/a - Nota Máxima: 7</v>
      </c>
    </row>
    <row r="2717">
      <c r="A2717" s="390" t="str">
        <f>IFERROR(__xludf.DUMMYFUNCTION("""COMPUTED_VALUE"""),"Formação Pedagogica em Geografia - Formação Pedagogica em Geografia - Arnaldo Barros dos Santos - Estudos Populacionais - Nota Máxima: 10")</f>
        <v>Formação Pedagogica em Geografia - Formação Pedagogica em Geografia - Arnaldo Barros dos Santos - Estudos Populacionais - Nota Máxima: 10</v>
      </c>
    </row>
    <row r="2718">
      <c r="A2718" s="390" t="str">
        <f>IFERROR(__xludf.DUMMYFUNCTION("""COMPUTED_VALUE"""),"Formação Pedagogica em Geografia - Formação Pedagogica em Geografia - Arnaldo Barros dos Santos - Estudos Populacionais - Nota Máxima: 10")</f>
        <v>Formação Pedagogica em Geografia - Formação Pedagogica em Geografia - Arnaldo Barros dos Santos - Estudos Populacionais - Nota Máxima: 10</v>
      </c>
    </row>
    <row r="2719">
      <c r="A2719" s="390" t="str">
        <f>IFERROR(__xludf.DUMMYFUNCTION("""COMPUTED_VALUE"""),"Formação Pedagogica em Geografia - Formação Pedagogica em Geografia - Arnaldo Barros dos Santos - Geografia Física, Política e Urbana - Nota Máxima: 10")</f>
        <v>Formação Pedagogica em Geografia - Formação Pedagogica em Geografia - Arnaldo Barros dos Santos - Geografia Física, Política e Urbana - Nota Máxima: 10</v>
      </c>
    </row>
    <row r="2720">
      <c r="A2720" s="390" t="str">
        <f>IFERROR(__xludf.DUMMYFUNCTION("""COMPUTED_VALUE"""),"Formação Pedagogica em Geografia - Formação Pedagogica em Geografia - Arnaldo Barros dos Santos - Geografia Física, Política e Urbana - Nota Máxima: 10")</f>
        <v>Formação Pedagogica em Geografia - Formação Pedagogica em Geografia - Arnaldo Barros dos Santos - Geografia Física, Política e Urbana - Nota Máxima: 10</v>
      </c>
    </row>
    <row r="2721">
      <c r="A2721" s="390" t="str">
        <f>IFERROR(__xludf.DUMMYFUNCTION("""COMPUTED_VALUE"""),"Formação Pedagogica em Geografia - Formação Pedagogica em Geografia - Arnaldo Barros dos Santos - Geologia - Nota Máxima: 10")</f>
        <v>Formação Pedagogica em Geografia - Formação Pedagogica em Geografia - Arnaldo Barros dos Santos - Geologia - Nota Máxima: 10</v>
      </c>
    </row>
    <row r="2722">
      <c r="A2722" s="390" t="str">
        <f>IFERROR(__xludf.DUMMYFUNCTION("""COMPUTED_VALUE"""),"Formação Pedagogica em Geografia - Formação Pedagogica em Geografia - Arnaldo Barros dos Santos - Geologia - Nota Máxima: 10")</f>
        <v>Formação Pedagogica em Geografia - Formação Pedagogica em Geografia - Arnaldo Barros dos Santos - Geologia - Nota Máxima: 10</v>
      </c>
    </row>
    <row r="2723">
      <c r="A2723" s="390" t="str">
        <f>IFERROR(__xludf.DUMMYFUNCTION("""COMPUTED_VALUE"""),"Formação Pedagogica em Geografia - Formação Pedagogica em Geografia - Arnaldo Barros dos Santos - Geomorfologia - Nota Máxima: 10")</f>
        <v>Formação Pedagogica em Geografia - Formação Pedagogica em Geografia - Arnaldo Barros dos Santos - Geomorfologia - Nota Máxima: 10</v>
      </c>
    </row>
    <row r="2724">
      <c r="A2724" s="390" t="str">
        <f>IFERROR(__xludf.DUMMYFUNCTION("""COMPUTED_VALUE"""),"Formação Pedagogica em Geografia - Formação Pedagogica em Geografia - Arnaldo Barros dos Santos - Geomorfologia - Nota Máxima: 10")</f>
        <v>Formação Pedagogica em Geografia - Formação Pedagogica em Geografia - Arnaldo Barros dos Santos - Geomorfologia - Nota Máxima: 10</v>
      </c>
    </row>
    <row r="2725">
      <c r="A2725" s="390" t="str">
        <f>IFERROR(__xludf.DUMMYFUNCTION("""COMPUTED_VALUE"""),"Formação Pedagogica em Geografia - Formação Pedagogica em Geografia - Arnaldo Barros dos Santos - Legislação Educacional/a - Nota Máxima: 8")</f>
        <v>Formação Pedagogica em Geografia - Formação Pedagogica em Geografia - Arnaldo Barros dos Santos - Legislação Educacional/a - Nota Máxima: 8</v>
      </c>
    </row>
    <row r="2726">
      <c r="A2726" s="390" t="str">
        <f>IFERROR(__xludf.DUMMYFUNCTION("""COMPUTED_VALUE"""),"Formação Pedagogica em Geografia - Formação Pedagogica em Geografia - Arnaldo Barros dos Santos - Legislação Educacional/a - Nota Máxima: 10")</f>
        <v>Formação Pedagogica em Geografia - Formação Pedagogica em Geografia - Arnaldo Barros dos Santos - Legislação Educacional/a - Nota Máxima: 10</v>
      </c>
    </row>
    <row r="2727">
      <c r="A2727" s="390" t="str">
        <f>IFERROR(__xludf.DUMMYFUNCTION("""COMPUTED_VALUE"""),"Formação Pedagogica em Geografia - Formação Pedagogica em Geografia - Arnaldo Barros dos Santos - Planejamento, Gestão Educacional e Currículo/a - Nota Máxima: 10")</f>
        <v>Formação Pedagogica em Geografia - Formação Pedagogica em Geografia - Arnaldo Barros dos Santos - Planejamento, Gestão Educacional e Currículo/a - Nota Máxima: 10</v>
      </c>
    </row>
    <row r="2728">
      <c r="A2728" s="390" t="str">
        <f>IFERROR(__xludf.DUMMYFUNCTION("""COMPUTED_VALUE"""),"Formação Pedagogica em Geografia - Formação Pedagogica em Geografia - Arnaldo Barros dos Santos - Planejamento, Gestão Educacional e Currículo/a - Nota Máxima: 10")</f>
        <v>Formação Pedagogica em Geografia - Formação Pedagogica em Geografia - Arnaldo Barros dos Santos - Planejamento, Gestão Educacional e Currículo/a - Nota Máxima: 10</v>
      </c>
    </row>
    <row r="2729">
      <c r="A2729" s="390" t="str">
        <f>IFERROR(__xludf.DUMMYFUNCTION("""COMPUTED_VALUE"""),"Formação Pedagogica em Geografia - Formação Pedagogica em Geografia - Arnaldo Barros dos Santos - Práticas Pedagógicas - 400 Horas - Nota Máxima: 10")</f>
        <v>Formação Pedagogica em Geografia - Formação Pedagogica em Geografia - Arnaldo Barros dos Santos - Práticas Pedagógicas - 400 Horas - Nota Máxima: 10</v>
      </c>
    </row>
    <row r="2730">
      <c r="A2730" s="390" t="str">
        <f>IFERROR(__xludf.DUMMYFUNCTION("""COMPUTED_VALUE"""),"Formação Pedagogica em Geografia - Formação Pedagogica em Geografia - Arnaldo Barros dos Santos - Práticas Pedagógicas - 400 Horas - Nota Máxima: 4")</f>
        <v>Formação Pedagogica em Geografia - Formação Pedagogica em Geografia - Arnaldo Barros dos Santos - Práticas Pedagógicas - 400 Horas - Nota Máxima: 4</v>
      </c>
    </row>
    <row r="2731">
      <c r="A2731" s="390" t="str">
        <f>IFERROR(__xludf.DUMMYFUNCTION("""COMPUTED_VALUE"""),"Formação Pedagogica em Geografia - Formação Pedagogica em Geografia - Arnaldo Barros dos Santos - Psicologia da Educação/a - Nota Máxima: 10")</f>
        <v>Formação Pedagogica em Geografia - Formação Pedagogica em Geografia - Arnaldo Barros dos Santos - Psicologia da Educação/a - Nota Máxima: 10</v>
      </c>
    </row>
    <row r="2732">
      <c r="A2732" s="390" t="str">
        <f>IFERROR(__xludf.DUMMYFUNCTION("""COMPUTED_VALUE"""),"Formação Pedagogica em Geografia - Formação Pedagogica em Geografia - Arnaldo Barros dos Santos - Psicologia da Educação/a - Nota Máxima: 9")</f>
        <v>Formação Pedagogica em Geografia - Formação Pedagogica em Geografia - Arnaldo Barros dos Santos - Psicologia da Educação/a - Nota Máxima: 9</v>
      </c>
    </row>
    <row r="2733">
      <c r="A2733" s="390" t="str">
        <f>IFERROR(__xludf.DUMMYFUNCTION("""COMPUTED_VALUE"""),"Formação Pedagogica em Geografia - Formação Pedagogica em Geografia - Clayton Marcelo de Lima - Biogeografia - Nota Máxima: 10")</f>
        <v>Formação Pedagogica em Geografia - Formação Pedagogica em Geografia - Clayton Marcelo de Lima - Biogeografia - Nota Máxima: 10</v>
      </c>
    </row>
    <row r="2734">
      <c r="A2734" s="390" t="str">
        <f>IFERROR(__xludf.DUMMYFUNCTION("""COMPUTED_VALUE"""),"Formação Pedagogica em Geografia - Formação Pedagogica em Geografia - Clayton Marcelo de Lima - Biogeografia - Nota Máxima: 9")</f>
        <v>Formação Pedagogica em Geografia - Formação Pedagogica em Geografia - Clayton Marcelo de Lima - Biogeografia - Nota Máxima: 9</v>
      </c>
    </row>
    <row r="2735">
      <c r="A2735" s="390" t="str">
        <f>IFERROR(__xludf.DUMMYFUNCTION("""COMPUTED_VALUE"""),"Formação Pedagogica em Geografia - Formação Pedagogica em Geografia - Clayton Marcelo de Lima - Cartografia - Nota Máxima: 10")</f>
        <v>Formação Pedagogica em Geografia - Formação Pedagogica em Geografia - Clayton Marcelo de Lima - Cartografia - Nota Máxima: 10</v>
      </c>
    </row>
    <row r="2736">
      <c r="A2736" s="390" t="str">
        <f>IFERROR(__xludf.DUMMYFUNCTION("""COMPUTED_VALUE"""),"Formação Pedagogica em Geografia - Formação Pedagogica em Geografia - Clayton Marcelo de Lima - Cartografia - Nota Máxima: 8")</f>
        <v>Formação Pedagogica em Geografia - Formação Pedagogica em Geografia - Clayton Marcelo de Lima - Cartografia - Nota Máxima: 8</v>
      </c>
    </row>
    <row r="2737">
      <c r="A2737" s="390" t="str">
        <f>IFERROR(__xludf.DUMMYFUNCTION("""COMPUTED_VALUE"""),"Formação Pedagogica em Geografia - Formação Pedagogica em Geografia - Clayton Marcelo de Lima - Deficiência Auditiva e Libras/a - Nota Máxima: 9")</f>
        <v>Formação Pedagogica em Geografia - Formação Pedagogica em Geografia - Clayton Marcelo de Lima - Deficiência Auditiva e Libras/a - Nota Máxima: 9</v>
      </c>
    </row>
    <row r="2738">
      <c r="A2738" s="390" t="str">
        <f>IFERROR(__xludf.DUMMYFUNCTION("""COMPUTED_VALUE"""),"Formação Pedagogica em Geografia - Formação Pedagogica em Geografia - Clayton Marcelo de Lima - Deficiência Auditiva e Libras/a - Nota Máxima: 9")</f>
        <v>Formação Pedagogica em Geografia - Formação Pedagogica em Geografia - Clayton Marcelo de Lima - Deficiência Auditiva e Libras/a - Nota Máxima: 9</v>
      </c>
    </row>
    <row r="2739">
      <c r="A2739" s="390" t="str">
        <f>IFERROR(__xludf.DUMMYFUNCTION("""COMPUTED_VALUE"""),"Formação Pedagogica em Geografia - Formação Pedagogica em Geografia - Clayton Marcelo de Lima - Desenvolvimento do Capital Humano - Nota Máxima: 10")</f>
        <v>Formação Pedagogica em Geografia - Formação Pedagogica em Geografia - Clayton Marcelo de Lima - Desenvolvimento do Capital Humano - Nota Máxima: 10</v>
      </c>
    </row>
    <row r="2740">
      <c r="A2740" s="390" t="str">
        <f>IFERROR(__xludf.DUMMYFUNCTION("""COMPUTED_VALUE"""),"Formação Pedagogica em Geografia - Formação Pedagogica em Geografia - Clayton Marcelo de Lima - Desenvolvimento do Capital Humano - Nota Máxima: 10")</f>
        <v>Formação Pedagogica em Geografia - Formação Pedagogica em Geografia - Clayton Marcelo de Lima - Desenvolvimento do Capital Humano - Nota Máxima: 10</v>
      </c>
    </row>
    <row r="2741">
      <c r="A2741" s="390" t="str">
        <f>IFERROR(__xludf.DUMMYFUNCTION("""COMPUTED_VALUE"""),"Formação Pedagogica em Geografia - Formação Pedagogica em Geografia - Clayton Marcelo de Lima - Educação Especial, Inclusão Escolar e Adaptações Curriculares - Nota Máxima: 10")</f>
        <v>Formação Pedagogica em Geografia - Formação Pedagogica em Geografia - Clayton Marcelo de Lima - Educação Especial, Inclusão Escolar e Adaptações Curriculares - Nota Máxima: 10</v>
      </c>
    </row>
    <row r="2742">
      <c r="A2742" s="390" t="str">
        <f>IFERROR(__xludf.DUMMYFUNCTION("""COMPUTED_VALUE"""),"Formação Pedagogica em Geografia - Formação Pedagogica em Geografia - Clayton Marcelo de Lima - Educação Especial, Inclusão Escolar e Adaptações Curriculares - Nota Máxima: 7")</f>
        <v>Formação Pedagogica em Geografia - Formação Pedagogica em Geografia - Clayton Marcelo de Lima - Educação Especial, Inclusão Escolar e Adaptações Curriculares - Nota Máxima: 7</v>
      </c>
    </row>
    <row r="2743">
      <c r="A2743" s="390" t="str">
        <f>IFERROR(__xludf.DUMMYFUNCTION("""COMPUTED_VALUE"""),"Formação Pedagogica em Geografia - Formação Pedagogica em Geografia - Clayton Marcelo de Lima - Educação, História, Cultura e Práticas Indígenas/a - Nota Máxima: 10")</f>
        <v>Formação Pedagogica em Geografia - Formação Pedagogica em Geografia - Clayton Marcelo de Lima - Educação, História, Cultura e Práticas Indígenas/a - Nota Máxima: 10</v>
      </c>
    </row>
    <row r="2744">
      <c r="A2744" s="390" t="str">
        <f>IFERROR(__xludf.DUMMYFUNCTION("""COMPUTED_VALUE"""),"Formação Pedagogica em Geografia - Formação Pedagogica em Geografia - Clayton Marcelo de Lima - Educação, História, Cultura e Práticas Indígenas/a - Nota Máxima: 8")</f>
        <v>Formação Pedagogica em Geografia - Formação Pedagogica em Geografia - Clayton Marcelo de Lima - Educação, História, Cultura e Práticas Indígenas/a - Nota Máxima: 8</v>
      </c>
    </row>
    <row r="2745">
      <c r="A2745" s="390" t="str">
        <f>IFERROR(__xludf.DUMMYFUNCTION("""COMPUTED_VALUE"""),"Formação Pedagogica em Geografia - Formação Pedagogica em Geografia - Clayton Marcelo de Lima - Estudos Populacionais - Nota Máxima: 9")</f>
        <v>Formação Pedagogica em Geografia - Formação Pedagogica em Geografia - Clayton Marcelo de Lima - Estudos Populacionais - Nota Máxima: 9</v>
      </c>
    </row>
    <row r="2746">
      <c r="A2746" s="390" t="str">
        <f>IFERROR(__xludf.DUMMYFUNCTION("""COMPUTED_VALUE"""),"Formação Pedagogica em Geografia - Formação Pedagogica em Geografia - Clayton Marcelo de Lima - Estudos Populacionais - Nota Máxima: 9")</f>
        <v>Formação Pedagogica em Geografia - Formação Pedagogica em Geografia - Clayton Marcelo de Lima - Estudos Populacionais - Nota Máxima: 9</v>
      </c>
    </row>
    <row r="2747">
      <c r="A2747" s="390" t="str">
        <f>IFERROR(__xludf.DUMMYFUNCTION("""COMPUTED_VALUE"""),"Formação Pedagogica em Geografia - Formação Pedagogica em Geografia - Clayton Marcelo de Lima - Geografia Física, Política e Urbana - Nota Máxima: 10")</f>
        <v>Formação Pedagogica em Geografia - Formação Pedagogica em Geografia - Clayton Marcelo de Lima - Geografia Física, Política e Urbana - Nota Máxima: 10</v>
      </c>
    </row>
    <row r="2748">
      <c r="A2748" s="390" t="str">
        <f>IFERROR(__xludf.DUMMYFUNCTION("""COMPUTED_VALUE"""),"Formação Pedagogica em Geografia - Formação Pedagogica em Geografia - Clayton Marcelo de Lima - Geografia Física, Política e Urbana - Nota Máxima: 10")</f>
        <v>Formação Pedagogica em Geografia - Formação Pedagogica em Geografia - Clayton Marcelo de Lima - Geografia Física, Política e Urbana - Nota Máxima: 10</v>
      </c>
    </row>
    <row r="2749">
      <c r="A2749" s="390" t="str">
        <f>IFERROR(__xludf.DUMMYFUNCTION("""COMPUTED_VALUE"""),"Formação Pedagogica em Geografia - Formação Pedagogica em Geografia - Clayton Marcelo de Lima - Geologia - Nota Máxima: 10")</f>
        <v>Formação Pedagogica em Geografia - Formação Pedagogica em Geografia - Clayton Marcelo de Lima - Geologia - Nota Máxima: 10</v>
      </c>
    </row>
    <row r="2750">
      <c r="A2750" s="390" t="str">
        <f>IFERROR(__xludf.DUMMYFUNCTION("""COMPUTED_VALUE"""),"Formação Pedagogica em Geografia - Formação Pedagogica em Geografia - Clayton Marcelo de Lima - Geologia - Nota Máxima: 9")</f>
        <v>Formação Pedagogica em Geografia - Formação Pedagogica em Geografia - Clayton Marcelo de Lima - Geologia - Nota Máxima: 9</v>
      </c>
    </row>
    <row r="2751">
      <c r="A2751" s="390" t="str">
        <f>IFERROR(__xludf.DUMMYFUNCTION("""COMPUTED_VALUE"""),"Formação Pedagogica em Geografia - Formação Pedagogica em Geografia - Clayton Marcelo de Lima - Geomorfologia - Nota Máxima: 8")</f>
        <v>Formação Pedagogica em Geografia - Formação Pedagogica em Geografia - Clayton Marcelo de Lima - Geomorfologia - Nota Máxima: 8</v>
      </c>
    </row>
    <row r="2752">
      <c r="A2752" s="390" t="str">
        <f>IFERROR(__xludf.DUMMYFUNCTION("""COMPUTED_VALUE"""),"Formação Pedagogica em Geografia - Formação Pedagogica em Geografia - Clayton Marcelo de Lima - Geomorfologia - Nota Máxima: 10")</f>
        <v>Formação Pedagogica em Geografia - Formação Pedagogica em Geografia - Clayton Marcelo de Lima - Geomorfologia - Nota Máxima: 10</v>
      </c>
    </row>
    <row r="2753">
      <c r="A2753" s="390" t="str">
        <f>IFERROR(__xludf.DUMMYFUNCTION("""COMPUTED_VALUE"""),"Formação Pedagogica em Geografia - Formação Pedagogica em Geografia - Clayton Marcelo de Lima - Legislação Educacional/a - Nota Máxima: 10")</f>
        <v>Formação Pedagogica em Geografia - Formação Pedagogica em Geografia - Clayton Marcelo de Lima - Legislação Educacional/a - Nota Máxima: 10</v>
      </c>
    </row>
    <row r="2754">
      <c r="A2754" s="390" t="str">
        <f>IFERROR(__xludf.DUMMYFUNCTION("""COMPUTED_VALUE"""),"Formação Pedagogica em Geografia - Formação Pedagogica em Geografia - Clayton Marcelo de Lima - Legislação Educacional/a - Nota Máxima: 9")</f>
        <v>Formação Pedagogica em Geografia - Formação Pedagogica em Geografia - Clayton Marcelo de Lima - Legislação Educacional/a - Nota Máxima: 9</v>
      </c>
    </row>
    <row r="2755">
      <c r="A2755" s="390" t="str">
        <f>IFERROR(__xludf.DUMMYFUNCTION("""COMPUTED_VALUE"""),"Formação Pedagogica em Geografia - Formação Pedagogica em Geografia - Clayton Marcelo de Lima - Planejamento, Gestão Educacional e Currículo/a - Nota Máxima: 10")</f>
        <v>Formação Pedagogica em Geografia - Formação Pedagogica em Geografia - Clayton Marcelo de Lima - Planejamento, Gestão Educacional e Currículo/a - Nota Máxima: 10</v>
      </c>
    </row>
    <row r="2756">
      <c r="A2756" s="390" t="str">
        <f>IFERROR(__xludf.DUMMYFUNCTION("""COMPUTED_VALUE"""),"Formação Pedagogica em Geografia - Formação Pedagogica em Geografia - Clayton Marcelo de Lima - Planejamento, Gestão Educacional e Currículo/a - Nota Máxima: 9")</f>
        <v>Formação Pedagogica em Geografia - Formação Pedagogica em Geografia - Clayton Marcelo de Lima - Planejamento, Gestão Educacional e Currículo/a - Nota Máxima: 9</v>
      </c>
    </row>
    <row r="2757">
      <c r="A2757" s="390" t="str">
        <f>IFERROR(__xludf.DUMMYFUNCTION("""COMPUTED_VALUE"""),"Formação Pedagogica em Geografia - Formação Pedagogica em Geografia - Clayton Marcelo de Lima - Práticas Pedagógicas - 400 Horas - Nota Máxima: 10")</f>
        <v>Formação Pedagogica em Geografia - Formação Pedagogica em Geografia - Clayton Marcelo de Lima - Práticas Pedagógicas - 400 Horas - Nota Máxima: 10</v>
      </c>
    </row>
    <row r="2758">
      <c r="A2758" s="390" t="str">
        <f>IFERROR(__xludf.DUMMYFUNCTION("""COMPUTED_VALUE"""),"Formação Pedagogica em Geografia - Formação Pedagogica em Geografia - Clayton Marcelo de Lima - Psicologia da Educação/a - Nota Máxima: 10")</f>
        <v>Formação Pedagogica em Geografia - Formação Pedagogica em Geografia - Clayton Marcelo de Lima - Psicologia da Educação/a - Nota Máxima: 10</v>
      </c>
    </row>
    <row r="2759">
      <c r="A2759" s="390" t="str">
        <f>IFERROR(__xludf.DUMMYFUNCTION("""COMPUTED_VALUE"""),"Formação Pedagogica em Geografia - Formação Pedagogica em Geografia - Clayton Marcelo de Lima - Psicologia da Educação/a - Nota Máxima: 9")</f>
        <v>Formação Pedagogica em Geografia - Formação Pedagogica em Geografia - Clayton Marcelo de Lima - Psicologia da Educação/a - Nota Máxima: 9</v>
      </c>
    </row>
    <row r="2760">
      <c r="A2760" s="390" t="str">
        <f>IFERROR(__xludf.DUMMYFUNCTION("""COMPUTED_VALUE"""),"Formação Pedagogica em Geografia - Formação Pedagogica em Geografia - Ely Clayton Fernandes da Silva - Biogeografia - Nota Máxima: 9")</f>
        <v>Formação Pedagogica em Geografia - Formação Pedagogica em Geografia - Ely Clayton Fernandes da Silva - Biogeografia - Nota Máxima: 9</v>
      </c>
    </row>
    <row r="2761">
      <c r="A2761" s="390" t="str">
        <f>IFERROR(__xludf.DUMMYFUNCTION("""COMPUTED_VALUE"""),"Formação Pedagogica em Geografia - Formação Pedagogica em Geografia - Ely Clayton Fernandes da Silva - Biogeografia - Nota Máxima: 9")</f>
        <v>Formação Pedagogica em Geografia - Formação Pedagogica em Geografia - Ely Clayton Fernandes da Silva - Biogeografia - Nota Máxima: 9</v>
      </c>
    </row>
    <row r="2762">
      <c r="A2762" s="390" t="str">
        <f>IFERROR(__xludf.DUMMYFUNCTION("""COMPUTED_VALUE"""),"Formação Pedagogica em Geografia - Formação Pedagogica em Geografia - Ely Clayton Fernandes da Silva - Cartografia - Nota Máxima: 9")</f>
        <v>Formação Pedagogica em Geografia - Formação Pedagogica em Geografia - Ely Clayton Fernandes da Silva - Cartografia - Nota Máxima: 9</v>
      </c>
    </row>
    <row r="2763">
      <c r="A2763" s="390" t="str">
        <f>IFERROR(__xludf.DUMMYFUNCTION("""COMPUTED_VALUE"""),"Formação Pedagogica em Geografia - Formação Pedagogica em Geografia - Ely Clayton Fernandes da Silva - Deficiência Auditiva e Libras/a - Nota Máxima: 8")</f>
        <v>Formação Pedagogica em Geografia - Formação Pedagogica em Geografia - Ely Clayton Fernandes da Silva - Deficiência Auditiva e Libras/a - Nota Máxima: 8</v>
      </c>
    </row>
    <row r="2764">
      <c r="A2764" s="390" t="str">
        <f>IFERROR(__xludf.DUMMYFUNCTION("""COMPUTED_VALUE"""),"Formação Pedagogica em Geografia - Formação Pedagogica em Geografia - Ely Clayton Fernandes da Silva - Desenvolvimento do Capital Humano - Nota Máxima: 9")</f>
        <v>Formação Pedagogica em Geografia - Formação Pedagogica em Geografia - Ely Clayton Fernandes da Silva - Desenvolvimento do Capital Humano - Nota Máxima: 9</v>
      </c>
    </row>
    <row r="2765">
      <c r="A2765" s="390" t="str">
        <f>IFERROR(__xludf.DUMMYFUNCTION("""COMPUTED_VALUE"""),"Formação Pedagogica em Geografia - Formação Pedagogica em Geografia - Ely Clayton Fernandes da Silva - Educação Especial, Inclusão Escolar e Adaptações Curriculares - Nota Máxima: 8")</f>
        <v>Formação Pedagogica em Geografia - Formação Pedagogica em Geografia - Ely Clayton Fernandes da Silva - Educação Especial, Inclusão Escolar e Adaptações Curriculares - Nota Máxima: 8</v>
      </c>
    </row>
    <row r="2766">
      <c r="A2766" s="390" t="str">
        <f>IFERROR(__xludf.DUMMYFUNCTION("""COMPUTED_VALUE"""),"Formação Pedagogica em Geografia - Formação Pedagogica em Geografia - Ely Clayton Fernandes da Silva - Educação, História, Cultura e Práticas Indígenas/a - Nota Máxima: 8")</f>
        <v>Formação Pedagogica em Geografia - Formação Pedagogica em Geografia - Ely Clayton Fernandes da Silva - Educação, História, Cultura e Práticas Indígenas/a - Nota Máxima: 8</v>
      </c>
    </row>
    <row r="2767">
      <c r="A2767" s="390" t="str">
        <f>IFERROR(__xludf.DUMMYFUNCTION("""COMPUTED_VALUE"""),"Formação Pedagogica em Geografia - Formação Pedagogica em Geografia - Ely Clayton Fernandes da Silva - Estudos Populacionais - Nota Máxima: 10")</f>
        <v>Formação Pedagogica em Geografia - Formação Pedagogica em Geografia - Ely Clayton Fernandes da Silva - Estudos Populacionais - Nota Máxima: 10</v>
      </c>
    </row>
    <row r="2768">
      <c r="A2768" s="390" t="str">
        <f>IFERROR(__xludf.DUMMYFUNCTION("""COMPUTED_VALUE"""),"Formação Pedagogica em Geografia - Formação Pedagogica em Geografia - Ely Clayton Fernandes da Silva - Geografia Física, Política e Urbana - Nota Máxima: 9")</f>
        <v>Formação Pedagogica em Geografia - Formação Pedagogica em Geografia - Ely Clayton Fernandes da Silva - Geografia Física, Política e Urbana - Nota Máxima: 9</v>
      </c>
    </row>
    <row r="2769">
      <c r="A2769" s="390" t="str">
        <f>IFERROR(__xludf.DUMMYFUNCTION("""COMPUTED_VALUE"""),"Formação Pedagogica em Geografia - Formação Pedagogica em Geografia - Ely Clayton Fernandes da Silva - Geologia - Nota Máxima: 8")</f>
        <v>Formação Pedagogica em Geografia - Formação Pedagogica em Geografia - Ely Clayton Fernandes da Silva - Geologia - Nota Máxima: 8</v>
      </c>
    </row>
    <row r="2770">
      <c r="A2770" s="390" t="str">
        <f>IFERROR(__xludf.DUMMYFUNCTION("""COMPUTED_VALUE"""),"Formação Pedagogica em Geografia - Formação Pedagogica em Geografia - Ely Clayton Fernandes da Silva - Geomorfologia - Nota Máxima: 8")</f>
        <v>Formação Pedagogica em Geografia - Formação Pedagogica em Geografia - Ely Clayton Fernandes da Silva - Geomorfologia - Nota Máxima: 8</v>
      </c>
    </row>
    <row r="2771">
      <c r="A2771" s="390" t="str">
        <f>IFERROR(__xludf.DUMMYFUNCTION("""COMPUTED_VALUE"""),"Formação Pedagogica em Geografia - Formação Pedagogica em Geografia - Ely Clayton Fernandes da Silva - Legislação Educacional/a - Nota Máxima: 8")</f>
        <v>Formação Pedagogica em Geografia - Formação Pedagogica em Geografia - Ely Clayton Fernandes da Silva - Legislação Educacional/a - Nota Máxima: 8</v>
      </c>
    </row>
    <row r="2772">
      <c r="A2772" s="390" t="str">
        <f>IFERROR(__xludf.DUMMYFUNCTION("""COMPUTED_VALUE"""),"Formação Pedagogica em Geografia - Formação Pedagogica em Geografia - Ely Clayton Fernandes da Silva - Planejamento, Gestão Educacional e Currículo/a - Nota Máxima: 9")</f>
        <v>Formação Pedagogica em Geografia - Formação Pedagogica em Geografia - Ely Clayton Fernandes da Silva - Planejamento, Gestão Educacional e Currículo/a - Nota Máxima: 9</v>
      </c>
    </row>
    <row r="2773">
      <c r="A2773" s="390" t="str">
        <f>IFERROR(__xludf.DUMMYFUNCTION("""COMPUTED_VALUE"""),"Formação Pedagogica em Geografia - Formação Pedagogica em Geografia - Ely Clayton Fernandes da Silva - Práticas Pedagógicas - 400 Horas - Nota Máxima: 10")</f>
        <v>Formação Pedagogica em Geografia - Formação Pedagogica em Geografia - Ely Clayton Fernandes da Silva - Práticas Pedagógicas - 400 Horas - Nota Máxima: 10</v>
      </c>
    </row>
    <row r="2774">
      <c r="A2774" s="390" t="str">
        <f>IFERROR(__xludf.DUMMYFUNCTION("""COMPUTED_VALUE"""),"Formação Pedagogica em Geografia - Formação Pedagogica em Geografia - Ely Clayton Fernandes da Silva - Psicologia da Educação/a - Nota Máxima: 8")</f>
        <v>Formação Pedagogica em Geografia - Formação Pedagogica em Geografia - Ely Clayton Fernandes da Silva - Psicologia da Educação/a - Nota Máxima: 8</v>
      </c>
    </row>
    <row r="2775">
      <c r="A2775" s="390" t="str">
        <f>IFERROR(__xludf.DUMMYFUNCTION("""COMPUTED_VALUE"""),"Formação Pedagogica em Geografia - Formação Pedagogica em Geografia - Rodrigo Aquiyama Coppede - Biogeografia - Nota Máxima: 8")</f>
        <v>Formação Pedagogica em Geografia - Formação Pedagogica em Geografia - Rodrigo Aquiyama Coppede - Biogeografia - Nota Máxima: 8</v>
      </c>
    </row>
    <row r="2776">
      <c r="A2776" s="390" t="str">
        <f>IFERROR(__xludf.DUMMYFUNCTION("""COMPUTED_VALUE"""),"Formação Pedagogica em Geografia - Formação Pedagogica em Geografia - Rodrigo Aquiyama Coppede - Cartografia - Nota Máxima: 10")</f>
        <v>Formação Pedagogica em Geografia - Formação Pedagogica em Geografia - Rodrigo Aquiyama Coppede - Cartografia - Nota Máxima: 10</v>
      </c>
    </row>
    <row r="2777">
      <c r="A2777" s="390" t="str">
        <f>IFERROR(__xludf.DUMMYFUNCTION("""COMPUTED_VALUE"""),"Formação Pedagogica em Geografia - Formação Pedagogica em Geografia - Rodrigo Aquiyama Coppede - Deficiência Auditiva e Libras/a - Nota Máxima: 9")</f>
        <v>Formação Pedagogica em Geografia - Formação Pedagogica em Geografia - Rodrigo Aquiyama Coppede - Deficiência Auditiva e Libras/a - Nota Máxima: 9</v>
      </c>
    </row>
    <row r="2778">
      <c r="A2778" s="390" t="str">
        <f>IFERROR(__xludf.DUMMYFUNCTION("""COMPUTED_VALUE"""),"Formação Pedagogica em Geografia - Formação Pedagogica em Geografia - Rodrigo Aquiyama Coppede - Desenvolvimento do Capital Humano - Nota Máxima: 8")</f>
        <v>Formação Pedagogica em Geografia - Formação Pedagogica em Geografia - Rodrigo Aquiyama Coppede - Desenvolvimento do Capital Humano - Nota Máxima: 8</v>
      </c>
    </row>
    <row r="2779">
      <c r="A2779" s="390" t="str">
        <f>IFERROR(__xludf.DUMMYFUNCTION("""COMPUTED_VALUE"""),"Formação Pedagogica em Geografia - Formação Pedagogica em Geografia - Rodrigo Aquiyama Coppede - Educação Especial, Inclusão Escolar e Adaptações Curriculares - Nota Máxima: 9")</f>
        <v>Formação Pedagogica em Geografia - Formação Pedagogica em Geografia - Rodrigo Aquiyama Coppede - Educação Especial, Inclusão Escolar e Adaptações Curriculares - Nota Máxima: 9</v>
      </c>
    </row>
    <row r="2780">
      <c r="A2780" s="390" t="str">
        <f>IFERROR(__xludf.DUMMYFUNCTION("""COMPUTED_VALUE"""),"Formação Pedagogica em Geografia - Formação Pedagogica em Geografia - Rodrigo Aquiyama Coppede - Educação, História, Cultura e Práticas Indígenas/a - Nota Máxima: 9")</f>
        <v>Formação Pedagogica em Geografia - Formação Pedagogica em Geografia - Rodrigo Aquiyama Coppede - Educação, História, Cultura e Práticas Indígenas/a - Nota Máxima: 9</v>
      </c>
    </row>
    <row r="2781">
      <c r="A2781" s="390" t="str">
        <f>IFERROR(__xludf.DUMMYFUNCTION("""COMPUTED_VALUE"""),"Formação Pedagogica em Geografia - Formação Pedagogica em Geografia - Rodrigo Aquiyama Coppede - Estudos Populacionais - Nota Máxima: 10")</f>
        <v>Formação Pedagogica em Geografia - Formação Pedagogica em Geografia - Rodrigo Aquiyama Coppede - Estudos Populacionais - Nota Máxima: 10</v>
      </c>
    </row>
    <row r="2782">
      <c r="A2782" s="390" t="str">
        <f>IFERROR(__xludf.DUMMYFUNCTION("""COMPUTED_VALUE"""),"Formação Pedagogica em Geografia - Formação Pedagogica em Geografia - Rodrigo Aquiyama Coppede - Geografia Física, Política e Urbana - Nota Máxima: 10")</f>
        <v>Formação Pedagogica em Geografia - Formação Pedagogica em Geografia - Rodrigo Aquiyama Coppede - Geografia Física, Política e Urbana - Nota Máxima: 10</v>
      </c>
    </row>
    <row r="2783">
      <c r="A2783" s="390" t="str">
        <f>IFERROR(__xludf.DUMMYFUNCTION("""COMPUTED_VALUE"""),"Formação Pedagogica em Geografia - Formação Pedagogica em Geografia - Rodrigo Aquiyama Coppede - Geologia - Nota Máxima: 7")</f>
        <v>Formação Pedagogica em Geografia - Formação Pedagogica em Geografia - Rodrigo Aquiyama Coppede - Geologia - Nota Máxima: 7</v>
      </c>
    </row>
    <row r="2784">
      <c r="A2784" s="390" t="str">
        <f>IFERROR(__xludf.DUMMYFUNCTION("""COMPUTED_VALUE"""),"Formação Pedagogica em Geografia - Formação Pedagogica em Geografia - Rodrigo Aquiyama Coppede - Geomorfologia - Nota Máxima: 7")</f>
        <v>Formação Pedagogica em Geografia - Formação Pedagogica em Geografia - Rodrigo Aquiyama Coppede - Geomorfologia - Nota Máxima: 7</v>
      </c>
    </row>
    <row r="2785">
      <c r="A2785" s="390" t="str">
        <f>IFERROR(__xludf.DUMMYFUNCTION("""COMPUTED_VALUE"""),"Formação Pedagogica em Geografia - Formação Pedagogica em Geografia - Rodrigo Aquiyama Coppede - Legislação Educacional/a - Nota Máxima: 9")</f>
        <v>Formação Pedagogica em Geografia - Formação Pedagogica em Geografia - Rodrigo Aquiyama Coppede - Legislação Educacional/a - Nota Máxima: 9</v>
      </c>
    </row>
    <row r="2786">
      <c r="A2786" s="390" t="str">
        <f>IFERROR(__xludf.DUMMYFUNCTION("""COMPUTED_VALUE"""),"Formação Pedagogica em Geografia - Formação Pedagogica em Geografia - Rodrigo Aquiyama Coppede - Planejamento, Gestão Educacional e Currículo/a - Nota Máxima: 9")</f>
        <v>Formação Pedagogica em Geografia - Formação Pedagogica em Geografia - Rodrigo Aquiyama Coppede - Planejamento, Gestão Educacional e Currículo/a - Nota Máxima: 9</v>
      </c>
    </row>
    <row r="2787">
      <c r="A2787" s="390" t="str">
        <f>IFERROR(__xludf.DUMMYFUNCTION("""COMPUTED_VALUE"""),"Formação Pedagogica em Geografia - Formação Pedagogica em Geografia - Rodrigo Aquiyama Coppede - Práticas Pedagógicas - 400 Horas - Nota Máxima: 10")</f>
        <v>Formação Pedagogica em Geografia - Formação Pedagogica em Geografia - Rodrigo Aquiyama Coppede - Práticas Pedagógicas - 400 Horas - Nota Máxima: 10</v>
      </c>
    </row>
    <row r="2788">
      <c r="A2788" s="390" t="str">
        <f>IFERROR(__xludf.DUMMYFUNCTION("""COMPUTED_VALUE"""),"Formação Pedagogica em Geografia - Formação Pedagogica em Geografia - Rodrigo Aquiyama Coppede - Psicologia da Educação/a - Nota Máxima: 7")</f>
        <v>Formação Pedagogica em Geografia - Formação Pedagogica em Geografia - Rodrigo Aquiyama Coppede - Psicologia da Educação/a - Nota Máxima: 7</v>
      </c>
    </row>
    <row r="2789">
      <c r="A2789" s="390" t="str">
        <f>IFERROR(__xludf.DUMMYFUNCTION("""COMPUTED_VALUE"""),"Formação Pedagogica em Geografia - Formação Pedagogica em Geografia - João Paulo Bernardo - Biogeografia - Nota Máxima: 7")</f>
        <v>Formação Pedagogica em Geografia - Formação Pedagogica em Geografia - João Paulo Bernardo - Biogeografia - Nota Máxima: 7</v>
      </c>
    </row>
    <row r="2790">
      <c r="A2790" s="390" t="str">
        <f>IFERROR(__xludf.DUMMYFUNCTION("""COMPUTED_VALUE"""),"Formação Pedagogica em Geografia - Formação Pedagogica em Geografia - João Paulo Bernardo - Biogeografia - Nota Máxima: 7")</f>
        <v>Formação Pedagogica em Geografia - Formação Pedagogica em Geografia - João Paulo Bernardo - Biogeografia - Nota Máxima: 7</v>
      </c>
    </row>
    <row r="2791">
      <c r="A2791" s="390" t="str">
        <f>IFERROR(__xludf.DUMMYFUNCTION("""COMPUTED_VALUE"""),"Formação Pedagogica em Geografia - Formação Pedagogica em Geografia - João Paulo Bernardo - Cartografia - Nota Máxima: 10")</f>
        <v>Formação Pedagogica em Geografia - Formação Pedagogica em Geografia - João Paulo Bernardo - Cartografia - Nota Máxima: 10</v>
      </c>
    </row>
    <row r="2792">
      <c r="A2792" s="390" t="str">
        <f>IFERROR(__xludf.DUMMYFUNCTION("""COMPUTED_VALUE"""),"Formação Pedagogica em Geografia - Formação Pedagogica em Geografia - João Paulo Bernardo - Cartografia - Nota Máxima: 10")</f>
        <v>Formação Pedagogica em Geografia - Formação Pedagogica em Geografia - João Paulo Bernardo - Cartografia - Nota Máxima: 10</v>
      </c>
    </row>
    <row r="2793">
      <c r="A2793" s="390" t="str">
        <f>IFERROR(__xludf.DUMMYFUNCTION("""COMPUTED_VALUE"""),"Formação Pedagogica em Geografia - Formação Pedagogica em Geografia - João Paulo Bernardo - Deficiência Auditiva e Libras/a - Nota Máxima: 9")</f>
        <v>Formação Pedagogica em Geografia - Formação Pedagogica em Geografia - João Paulo Bernardo - Deficiência Auditiva e Libras/a - Nota Máxima: 9</v>
      </c>
    </row>
    <row r="2794">
      <c r="A2794" s="390" t="str">
        <f>IFERROR(__xludf.DUMMYFUNCTION("""COMPUTED_VALUE"""),"Formação Pedagogica em Geografia - Formação Pedagogica em Geografia - João Paulo Bernardo - Deficiência Auditiva e Libras/a - Nota Máxima: 8")</f>
        <v>Formação Pedagogica em Geografia - Formação Pedagogica em Geografia - João Paulo Bernardo - Deficiência Auditiva e Libras/a - Nota Máxima: 8</v>
      </c>
    </row>
    <row r="2795">
      <c r="A2795" s="390" t="str">
        <f>IFERROR(__xludf.DUMMYFUNCTION("""COMPUTED_VALUE"""),"Formação Pedagogica em Geografia - Formação Pedagogica em Geografia - João Paulo Bernardo - Desenvolvimento do Capital Humano - Nota Máxima: 8")</f>
        <v>Formação Pedagogica em Geografia - Formação Pedagogica em Geografia - João Paulo Bernardo - Desenvolvimento do Capital Humano - Nota Máxima: 8</v>
      </c>
    </row>
    <row r="2796">
      <c r="A2796" s="390" t="str">
        <f>IFERROR(__xludf.DUMMYFUNCTION("""COMPUTED_VALUE"""),"Formação Pedagogica em Geografia - Formação Pedagogica em Geografia - João Paulo Bernardo - Desenvolvimento do Capital Humano - Nota Máxima: 7")</f>
        <v>Formação Pedagogica em Geografia - Formação Pedagogica em Geografia - João Paulo Bernardo - Desenvolvimento do Capital Humano - Nota Máxima: 7</v>
      </c>
    </row>
    <row r="2797">
      <c r="A2797" s="390" t="str">
        <f>IFERROR(__xludf.DUMMYFUNCTION("""COMPUTED_VALUE"""),"Formação Pedagogica em Geografia - Formação Pedagogica em Geografia - João Paulo Bernardo - Educação Especial, Inclusão Escolar e Adaptações Curriculares - Nota Máxima: 10")</f>
        <v>Formação Pedagogica em Geografia - Formação Pedagogica em Geografia - João Paulo Bernardo - Educação Especial, Inclusão Escolar e Adaptações Curriculares - Nota Máxima: 10</v>
      </c>
    </row>
    <row r="2798">
      <c r="A2798" s="390" t="str">
        <f>IFERROR(__xludf.DUMMYFUNCTION("""COMPUTED_VALUE"""),"Formação Pedagogica em Geografia - Formação Pedagogica em Geografia - João Paulo Bernardo - Educação Especial, Inclusão Escolar e Adaptações Curriculares - Nota Máxima: 7")</f>
        <v>Formação Pedagogica em Geografia - Formação Pedagogica em Geografia - João Paulo Bernardo - Educação Especial, Inclusão Escolar e Adaptações Curriculares - Nota Máxima: 7</v>
      </c>
    </row>
    <row r="2799">
      <c r="A2799" s="390" t="str">
        <f>IFERROR(__xludf.DUMMYFUNCTION("""COMPUTED_VALUE"""),"Formação Pedagogica em Geografia - Formação Pedagogica em Geografia - João Paulo Bernardo - Educação, História, Cultura e Práticas Indígenas/a - Nota Máxima: 7")</f>
        <v>Formação Pedagogica em Geografia - Formação Pedagogica em Geografia - João Paulo Bernardo - Educação, História, Cultura e Práticas Indígenas/a - Nota Máxima: 7</v>
      </c>
    </row>
    <row r="2800">
      <c r="A2800" s="390" t="str">
        <f>IFERROR(__xludf.DUMMYFUNCTION("""COMPUTED_VALUE"""),"Formação Pedagogica em Geografia - Formação Pedagogica em Geografia - João Paulo Bernardo - Educação, História, Cultura e Práticas Indígenas/a - Nota Máxima: 3")</f>
        <v>Formação Pedagogica em Geografia - Formação Pedagogica em Geografia - João Paulo Bernardo - Educação, História, Cultura e Práticas Indígenas/a - Nota Máxima: 3</v>
      </c>
    </row>
    <row r="2801">
      <c r="A2801" s="390" t="str">
        <f>IFERROR(__xludf.DUMMYFUNCTION("""COMPUTED_VALUE"""),"Formação Pedagogica em Geografia - Formação Pedagogica em Geografia - João Paulo Bernardo - Estudos Populacionais - Nota Máxima: 9")</f>
        <v>Formação Pedagogica em Geografia - Formação Pedagogica em Geografia - João Paulo Bernardo - Estudos Populacionais - Nota Máxima: 9</v>
      </c>
    </row>
    <row r="2802">
      <c r="A2802" s="390" t="str">
        <f>IFERROR(__xludf.DUMMYFUNCTION("""COMPUTED_VALUE"""),"Formação Pedagogica em Geografia - Formação Pedagogica em Geografia - João Paulo Bernardo - Estudos Populacionais - Nota Máxima: 6")</f>
        <v>Formação Pedagogica em Geografia - Formação Pedagogica em Geografia - João Paulo Bernardo - Estudos Populacionais - Nota Máxima: 6</v>
      </c>
    </row>
    <row r="2803">
      <c r="A2803" s="390" t="str">
        <f>IFERROR(__xludf.DUMMYFUNCTION("""COMPUTED_VALUE"""),"Formação Pedagogica em Geografia - Formação Pedagogica em Geografia - João Paulo Bernardo - Geografia Física, Política e Urbana - Nota Máxima: 9")</f>
        <v>Formação Pedagogica em Geografia - Formação Pedagogica em Geografia - João Paulo Bernardo - Geografia Física, Política e Urbana - Nota Máxima: 9</v>
      </c>
    </row>
    <row r="2804">
      <c r="A2804" s="390" t="str">
        <f>IFERROR(__xludf.DUMMYFUNCTION("""COMPUTED_VALUE"""),"Formação Pedagogica em Geografia - Formação Pedagogica em Geografia - João Paulo Bernardo - Geografia Física, Política e Urbana - Nota Máxima: 8")</f>
        <v>Formação Pedagogica em Geografia - Formação Pedagogica em Geografia - João Paulo Bernardo - Geografia Física, Política e Urbana - Nota Máxima: 8</v>
      </c>
    </row>
    <row r="2805">
      <c r="A2805" s="390" t="str">
        <f>IFERROR(__xludf.DUMMYFUNCTION("""COMPUTED_VALUE"""),"Formação Pedagogica em Geografia - Formação Pedagogica em Geografia - João Paulo Bernardo - Geologia - Nota Máxima: 9")</f>
        <v>Formação Pedagogica em Geografia - Formação Pedagogica em Geografia - João Paulo Bernardo - Geologia - Nota Máxima: 9</v>
      </c>
    </row>
    <row r="2806">
      <c r="A2806" s="390" t="str">
        <f>IFERROR(__xludf.DUMMYFUNCTION("""COMPUTED_VALUE"""),"Formação Pedagogica em Geografia - Formação Pedagogica em Geografia - João Paulo Bernardo - Geologia - Nota Máxima: 9")</f>
        <v>Formação Pedagogica em Geografia - Formação Pedagogica em Geografia - João Paulo Bernardo - Geologia - Nota Máxima: 9</v>
      </c>
    </row>
    <row r="2807">
      <c r="A2807" s="390" t="str">
        <f>IFERROR(__xludf.DUMMYFUNCTION("""COMPUTED_VALUE"""),"Formação Pedagogica em Geografia - Formação Pedagogica em Geografia - João Paulo Bernardo - Geomorfologia - Nota Máxima: 10")</f>
        <v>Formação Pedagogica em Geografia - Formação Pedagogica em Geografia - João Paulo Bernardo - Geomorfologia - Nota Máxima: 10</v>
      </c>
    </row>
    <row r="2808">
      <c r="A2808" s="390" t="str">
        <f>IFERROR(__xludf.DUMMYFUNCTION("""COMPUTED_VALUE"""),"Formação Pedagogica em Geografia - Formação Pedagogica em Geografia - João Paulo Bernardo - Geomorfologia - Nota Máxima: 6")</f>
        <v>Formação Pedagogica em Geografia - Formação Pedagogica em Geografia - João Paulo Bernardo - Geomorfologia - Nota Máxima: 6</v>
      </c>
    </row>
    <row r="2809">
      <c r="A2809" s="390" t="str">
        <f>IFERROR(__xludf.DUMMYFUNCTION("""COMPUTED_VALUE"""),"Formação Pedagogica em Geografia - Formação Pedagogica em Geografia - João Paulo Bernardo - Legislação Educacional/a - Nota Máxima: 10")</f>
        <v>Formação Pedagogica em Geografia - Formação Pedagogica em Geografia - João Paulo Bernardo - Legislação Educacional/a - Nota Máxima: 10</v>
      </c>
    </row>
    <row r="2810">
      <c r="A2810" s="390" t="str">
        <f>IFERROR(__xludf.DUMMYFUNCTION("""COMPUTED_VALUE"""),"Formação Pedagogica em Geografia - Formação Pedagogica em Geografia - João Paulo Bernardo - Legislação Educacional/a - Nota Máxima: 7")</f>
        <v>Formação Pedagogica em Geografia - Formação Pedagogica em Geografia - João Paulo Bernardo - Legislação Educacional/a - Nota Máxima: 7</v>
      </c>
    </row>
    <row r="2811">
      <c r="A2811" s="390" t="str">
        <f>IFERROR(__xludf.DUMMYFUNCTION("""COMPUTED_VALUE"""),"Formação Pedagogica em Geografia - Formação Pedagogica em Geografia - João Paulo Bernardo - Planejamento, Gestão Educacional e Currículo/a - Nota Máxima: 10")</f>
        <v>Formação Pedagogica em Geografia - Formação Pedagogica em Geografia - João Paulo Bernardo - Planejamento, Gestão Educacional e Currículo/a - Nota Máxima: 10</v>
      </c>
    </row>
    <row r="2812">
      <c r="A2812" s="390" t="str">
        <f>IFERROR(__xludf.DUMMYFUNCTION("""COMPUTED_VALUE"""),"Formação Pedagogica em Geografia - Formação Pedagogica em Geografia - João Paulo Bernardo - Planejamento, Gestão Educacional e Currículo/a - Nota Máxima: 9")</f>
        <v>Formação Pedagogica em Geografia - Formação Pedagogica em Geografia - João Paulo Bernardo - Planejamento, Gestão Educacional e Currículo/a - Nota Máxima: 9</v>
      </c>
    </row>
    <row r="2813">
      <c r="A2813" s="390" t="str">
        <f>IFERROR(__xludf.DUMMYFUNCTION("""COMPUTED_VALUE"""),"Formação Pedagogica em Geografia - Formação Pedagogica em Geografia - João Paulo Bernardo - Práticas Pedagógicas - 400 Horas - Nota Máxima: 10")</f>
        <v>Formação Pedagogica em Geografia - Formação Pedagogica em Geografia - João Paulo Bernardo - Práticas Pedagógicas - 400 Horas - Nota Máxima: 10</v>
      </c>
    </row>
    <row r="2814">
      <c r="A2814" s="390" t="str">
        <f>IFERROR(__xludf.DUMMYFUNCTION("""COMPUTED_VALUE"""),"Formação Pedagogica em Geografia - Formação Pedagogica em Geografia - João Paulo Bernardo - Práticas Pedagógicas - 400 Horas - Nota Máxima: 10")</f>
        <v>Formação Pedagogica em Geografia - Formação Pedagogica em Geografia - João Paulo Bernardo - Práticas Pedagógicas - 400 Horas - Nota Máxima: 10</v>
      </c>
    </row>
    <row r="2815">
      <c r="A2815" s="390" t="str">
        <f>IFERROR(__xludf.DUMMYFUNCTION("""COMPUTED_VALUE"""),"Formação Pedagogica em Geografia - Formação Pedagogica em Geografia - João Paulo Bernardo - Psicologia da Educação/a - Nota Máxima: 9")</f>
        <v>Formação Pedagogica em Geografia - Formação Pedagogica em Geografia - João Paulo Bernardo - Psicologia da Educação/a - Nota Máxima: 9</v>
      </c>
    </row>
    <row r="2816">
      <c r="A2816" s="390" t="str">
        <f>IFERROR(__xludf.DUMMYFUNCTION("""COMPUTED_VALUE"""),"Formação Pedagogica em Geografia - Formação Pedagogica em Geografia - João Paulo Bernardo - Psicologia da Educação/a - Nota Máxima: 0")</f>
        <v>Formação Pedagogica em Geografia - Formação Pedagogica em Geografia - João Paulo Bernardo - Psicologia da Educação/a - Nota Máxima: 0</v>
      </c>
    </row>
    <row r="2817">
      <c r="A2817" s="390" t="str">
        <f>IFERROR(__xludf.DUMMYFUNCTION("""COMPUTED_VALUE"""),"Formação Pedagogica em Geografia - Formação Pedagogica em Geografia - Igor Tavares farias costa - Biogeografia - Nota Máxima: 9")</f>
        <v>Formação Pedagogica em Geografia - Formação Pedagogica em Geografia - Igor Tavares farias costa - Biogeografia - Nota Máxima: 9</v>
      </c>
    </row>
    <row r="2818">
      <c r="A2818" s="390" t="str">
        <f>IFERROR(__xludf.DUMMYFUNCTION("""COMPUTED_VALUE"""),"Formação Pedagogica em Geografia - Formação Pedagogica em Geografia - Igor Tavares farias costa - Biogeografia - Nota Máxima: 9")</f>
        <v>Formação Pedagogica em Geografia - Formação Pedagogica em Geografia - Igor Tavares farias costa - Biogeografia - Nota Máxima: 9</v>
      </c>
    </row>
    <row r="2819">
      <c r="A2819" s="390" t="str">
        <f>IFERROR(__xludf.DUMMYFUNCTION("""COMPUTED_VALUE"""),"Formação Pedagogica em Geografia - Formação Pedagogica em Geografia - Igor Tavares farias costa - Cartografia - Nota Máxima: 10")</f>
        <v>Formação Pedagogica em Geografia - Formação Pedagogica em Geografia - Igor Tavares farias costa - Cartografia - Nota Máxima: 10</v>
      </c>
    </row>
    <row r="2820">
      <c r="A2820" s="390" t="str">
        <f>IFERROR(__xludf.DUMMYFUNCTION("""COMPUTED_VALUE"""),"Formação Pedagogica em Geografia - Formação Pedagogica em Geografia - Igor Tavares farias costa - Cartografia - Nota Máxima: 10")</f>
        <v>Formação Pedagogica em Geografia - Formação Pedagogica em Geografia - Igor Tavares farias costa - Cartografia - Nota Máxima: 10</v>
      </c>
    </row>
    <row r="2821">
      <c r="A2821" s="390" t="str">
        <f>IFERROR(__xludf.DUMMYFUNCTION("""COMPUTED_VALUE"""),"Formação Pedagogica em Geografia - Formação Pedagogica em Geografia - Igor Tavares farias costa - Deficiência Auditiva e Libras/a - Nota Máxima: 10")</f>
        <v>Formação Pedagogica em Geografia - Formação Pedagogica em Geografia - Igor Tavares farias costa - Deficiência Auditiva e Libras/a - Nota Máxima: 10</v>
      </c>
    </row>
    <row r="2822">
      <c r="A2822" s="390" t="str">
        <f>IFERROR(__xludf.DUMMYFUNCTION("""COMPUTED_VALUE"""),"Formação Pedagogica em Geografia - Formação Pedagogica em Geografia - Igor Tavares farias costa - Deficiência Auditiva e Libras/a - Nota Máxima: 8")</f>
        <v>Formação Pedagogica em Geografia - Formação Pedagogica em Geografia - Igor Tavares farias costa - Deficiência Auditiva e Libras/a - Nota Máxima: 8</v>
      </c>
    </row>
    <row r="2823">
      <c r="A2823" s="390" t="str">
        <f>IFERROR(__xludf.DUMMYFUNCTION("""COMPUTED_VALUE"""),"Formação Pedagogica em Geografia - Formação Pedagogica em Geografia - Igor Tavares farias costa - Desenvolvimento do Capital Humano - Nota Máxima: 10")</f>
        <v>Formação Pedagogica em Geografia - Formação Pedagogica em Geografia - Igor Tavares farias costa - Desenvolvimento do Capital Humano - Nota Máxima: 10</v>
      </c>
    </row>
    <row r="2824">
      <c r="A2824" s="390" t="str">
        <f>IFERROR(__xludf.DUMMYFUNCTION("""COMPUTED_VALUE"""),"Formação Pedagogica em Geografia - Formação Pedagogica em Geografia - Igor Tavares farias costa - Desenvolvimento do Capital Humano - Nota Máxima: 7")</f>
        <v>Formação Pedagogica em Geografia - Formação Pedagogica em Geografia - Igor Tavares farias costa - Desenvolvimento do Capital Humano - Nota Máxima: 7</v>
      </c>
    </row>
    <row r="2825">
      <c r="A2825" s="390" t="str">
        <f>IFERROR(__xludf.DUMMYFUNCTION("""COMPUTED_VALUE"""),"Formação Pedagogica em Geografia - Formação Pedagogica em Geografia - Igor Tavares farias costa - Educação Especial, Inclusão Escolar e Adaptações Curriculares - Nota Máxima: 10")</f>
        <v>Formação Pedagogica em Geografia - Formação Pedagogica em Geografia - Igor Tavares farias costa - Educação Especial, Inclusão Escolar e Adaptações Curriculares - Nota Máxima: 10</v>
      </c>
    </row>
    <row r="2826">
      <c r="A2826" s="390" t="str">
        <f>IFERROR(__xludf.DUMMYFUNCTION("""COMPUTED_VALUE"""),"Formação Pedagogica em Geografia - Formação Pedagogica em Geografia - Igor Tavares farias costa - Educação Especial, Inclusão Escolar e Adaptações Curriculares - Nota Máxima: 9")</f>
        <v>Formação Pedagogica em Geografia - Formação Pedagogica em Geografia - Igor Tavares farias costa - Educação Especial, Inclusão Escolar e Adaptações Curriculares - Nota Máxima: 9</v>
      </c>
    </row>
    <row r="2827">
      <c r="A2827" s="390" t="str">
        <f>IFERROR(__xludf.DUMMYFUNCTION("""COMPUTED_VALUE"""),"Formação Pedagogica em Geografia - Formação Pedagogica em Geografia - Igor Tavares farias costa - Educação, História, Cultura e Práticas Indígenas/a - Nota Máxima: 10")</f>
        <v>Formação Pedagogica em Geografia - Formação Pedagogica em Geografia - Igor Tavares farias costa - Educação, História, Cultura e Práticas Indígenas/a - Nota Máxima: 10</v>
      </c>
    </row>
    <row r="2828">
      <c r="A2828" s="390" t="str">
        <f>IFERROR(__xludf.DUMMYFUNCTION("""COMPUTED_VALUE"""),"Formação Pedagogica em Geografia - Formação Pedagogica em Geografia - Igor Tavares farias costa - Educação, História, Cultura e Práticas Indígenas/a - Nota Máxima: 8")</f>
        <v>Formação Pedagogica em Geografia - Formação Pedagogica em Geografia - Igor Tavares farias costa - Educação, História, Cultura e Práticas Indígenas/a - Nota Máxima: 8</v>
      </c>
    </row>
    <row r="2829">
      <c r="A2829" s="390" t="str">
        <f>IFERROR(__xludf.DUMMYFUNCTION("""COMPUTED_VALUE"""),"Formação Pedagogica em Geografia - Formação Pedagogica em Geografia - Igor Tavares farias costa - Estudos Populacionais - Nota Máxima: 9")</f>
        <v>Formação Pedagogica em Geografia - Formação Pedagogica em Geografia - Igor Tavares farias costa - Estudos Populacionais - Nota Máxima: 9</v>
      </c>
    </row>
    <row r="2830">
      <c r="A2830" s="390" t="str">
        <f>IFERROR(__xludf.DUMMYFUNCTION("""COMPUTED_VALUE"""),"Formação Pedagogica em Geografia - Formação Pedagogica em Geografia - Igor Tavares farias costa - Estudos Populacionais - Nota Máxima: 8")</f>
        <v>Formação Pedagogica em Geografia - Formação Pedagogica em Geografia - Igor Tavares farias costa - Estudos Populacionais - Nota Máxima: 8</v>
      </c>
    </row>
    <row r="2831">
      <c r="A2831" s="390" t="str">
        <f>IFERROR(__xludf.DUMMYFUNCTION("""COMPUTED_VALUE"""),"Formação Pedagogica em Geografia - Formação Pedagogica em Geografia - Igor Tavares farias costa - Geografia Física, Política e Urbana - Nota Máxima: 8")</f>
        <v>Formação Pedagogica em Geografia - Formação Pedagogica em Geografia - Igor Tavares farias costa - Geografia Física, Política e Urbana - Nota Máxima: 8</v>
      </c>
    </row>
    <row r="2832">
      <c r="A2832" s="390" t="str">
        <f>IFERROR(__xludf.DUMMYFUNCTION("""COMPUTED_VALUE"""),"Formação Pedagogica em Geografia - Formação Pedagogica em Geografia - Igor Tavares farias costa - Geografia Física, Política e Urbana - Nota Máxima: 8")</f>
        <v>Formação Pedagogica em Geografia - Formação Pedagogica em Geografia - Igor Tavares farias costa - Geografia Física, Política e Urbana - Nota Máxima: 8</v>
      </c>
    </row>
    <row r="2833">
      <c r="A2833" s="390" t="str">
        <f>IFERROR(__xludf.DUMMYFUNCTION("""COMPUTED_VALUE"""),"Formação Pedagogica em Geografia - Formação Pedagogica em Geografia - Igor Tavares farias costa - Geologia - Nota Máxima: 8")</f>
        <v>Formação Pedagogica em Geografia - Formação Pedagogica em Geografia - Igor Tavares farias costa - Geologia - Nota Máxima: 8</v>
      </c>
    </row>
    <row r="2834">
      <c r="A2834" s="390" t="str">
        <f>IFERROR(__xludf.DUMMYFUNCTION("""COMPUTED_VALUE"""),"Formação Pedagogica em Geografia - Formação Pedagogica em Geografia - Igor Tavares farias costa - Geologia - Nota Máxima: 8")</f>
        <v>Formação Pedagogica em Geografia - Formação Pedagogica em Geografia - Igor Tavares farias costa - Geologia - Nota Máxima: 8</v>
      </c>
    </row>
    <row r="2835">
      <c r="A2835" s="390" t="str">
        <f>IFERROR(__xludf.DUMMYFUNCTION("""COMPUTED_VALUE"""),"Formação Pedagogica em Geografia - Formação Pedagogica em Geografia - Igor Tavares farias costa - Geomorfologia - Nota Máxima: 10")</f>
        <v>Formação Pedagogica em Geografia - Formação Pedagogica em Geografia - Igor Tavares farias costa - Geomorfologia - Nota Máxima: 10</v>
      </c>
    </row>
    <row r="2836">
      <c r="A2836" s="390" t="str">
        <f>IFERROR(__xludf.DUMMYFUNCTION("""COMPUTED_VALUE"""),"Formação Pedagogica em Geografia - Formação Pedagogica em Geografia - Igor Tavares farias costa - Geomorfologia - Nota Máxima: 6")</f>
        <v>Formação Pedagogica em Geografia - Formação Pedagogica em Geografia - Igor Tavares farias costa - Geomorfologia - Nota Máxima: 6</v>
      </c>
    </row>
    <row r="2837">
      <c r="A2837" s="390" t="str">
        <f>IFERROR(__xludf.DUMMYFUNCTION("""COMPUTED_VALUE"""),"Formação Pedagogica em Geografia - Formação Pedagogica em Geografia - Igor Tavares farias costa - Legislação Educacional/a - Nota Máxima: 10")</f>
        <v>Formação Pedagogica em Geografia - Formação Pedagogica em Geografia - Igor Tavares farias costa - Legislação Educacional/a - Nota Máxima: 10</v>
      </c>
    </row>
    <row r="2838">
      <c r="A2838" s="390" t="str">
        <f>IFERROR(__xludf.DUMMYFUNCTION("""COMPUTED_VALUE"""),"Formação Pedagogica em Geografia - Formação Pedagogica em Geografia - Igor Tavares farias costa - Legislação Educacional/a - Nota Máxima: 8")</f>
        <v>Formação Pedagogica em Geografia - Formação Pedagogica em Geografia - Igor Tavares farias costa - Legislação Educacional/a - Nota Máxima: 8</v>
      </c>
    </row>
    <row r="2839">
      <c r="A2839" s="390" t="str">
        <f>IFERROR(__xludf.DUMMYFUNCTION("""COMPUTED_VALUE"""),"Formação Pedagogica em Geografia - Formação Pedagogica em Geografia - Igor Tavares farias costa - Planejamento, Gestão Educacional e Currículo/a - Nota Máxima: 9")</f>
        <v>Formação Pedagogica em Geografia - Formação Pedagogica em Geografia - Igor Tavares farias costa - Planejamento, Gestão Educacional e Currículo/a - Nota Máxima: 9</v>
      </c>
    </row>
    <row r="2840">
      <c r="A2840" s="390" t="str">
        <f>IFERROR(__xludf.DUMMYFUNCTION("""COMPUTED_VALUE"""),"Formação Pedagogica em Geografia - Formação Pedagogica em Geografia - Igor Tavares farias costa - Planejamento, Gestão Educacional e Currículo/a - Nota Máxima: 10")</f>
        <v>Formação Pedagogica em Geografia - Formação Pedagogica em Geografia - Igor Tavares farias costa - Planejamento, Gestão Educacional e Currículo/a - Nota Máxima: 10</v>
      </c>
    </row>
    <row r="2841">
      <c r="A2841" s="390" t="str">
        <f>IFERROR(__xludf.DUMMYFUNCTION("""COMPUTED_VALUE"""),"Formação Pedagogica em Geografia - Formação Pedagogica em Geografia - Igor Tavares farias costa - Psicologia da Educação/a - Nota Máxima: 10")</f>
        <v>Formação Pedagogica em Geografia - Formação Pedagogica em Geografia - Igor Tavares farias costa - Psicologia da Educação/a - Nota Máxima: 10</v>
      </c>
    </row>
    <row r="2842">
      <c r="A2842" s="390" t="str">
        <f>IFERROR(__xludf.DUMMYFUNCTION("""COMPUTED_VALUE"""),"Formação Pedagogica em Geografia - Formação Pedagogica em Geografia - Igor Tavares farias costa - Psicologia da Educação/a - Nota Máxima: 9")</f>
        <v>Formação Pedagogica em Geografia - Formação Pedagogica em Geografia - Igor Tavares farias costa - Psicologia da Educação/a - Nota Máxima: 9</v>
      </c>
    </row>
    <row r="2843">
      <c r="A2843" s="390" t="str">
        <f>IFERROR(__xludf.DUMMYFUNCTION("""COMPUTED_VALUE"""),"Formação Pedagogica em Geografia - Formação Pedagogica em Geografia - Monica Cristina Almeida Fusco de Souza Ferreira - Biogeografia - Nota Máxima: 8")</f>
        <v>Formação Pedagogica em Geografia - Formação Pedagogica em Geografia - Monica Cristina Almeida Fusco de Souza Ferreira - Biogeografia - Nota Máxima: 8</v>
      </c>
    </row>
    <row r="2844">
      <c r="A2844" s="390" t="str">
        <f>IFERROR(__xludf.DUMMYFUNCTION("""COMPUTED_VALUE"""),"Formação Pedagogica em Geografia - Formação Pedagogica em Geografia - Monica Cristina Almeida Fusco de Souza Ferreira - Cartografia - Nota Máxima: 10")</f>
        <v>Formação Pedagogica em Geografia - Formação Pedagogica em Geografia - Monica Cristina Almeida Fusco de Souza Ferreira - Cartografia - Nota Máxima: 10</v>
      </c>
    </row>
    <row r="2845">
      <c r="A2845" s="390" t="str">
        <f>IFERROR(__xludf.DUMMYFUNCTION("""COMPUTED_VALUE"""),"Formação Pedagogica em Geografia - Formação Pedagogica em Geografia - Monica Cristina Almeida Fusco de Souza Ferreira - Deficiência Auditiva e Libras/a - Nota Máxima: 10")</f>
        <v>Formação Pedagogica em Geografia - Formação Pedagogica em Geografia - Monica Cristina Almeida Fusco de Souza Ferreira - Deficiência Auditiva e Libras/a - Nota Máxima: 10</v>
      </c>
    </row>
    <row r="2846">
      <c r="A2846" s="390" t="str">
        <f>IFERROR(__xludf.DUMMYFUNCTION("""COMPUTED_VALUE"""),"Formação Pedagogica em Geografia - Formação Pedagogica em Geografia - Monica Cristina Almeida Fusco de Souza Ferreira - Desenvolvimento do Capital Humano - Nota Máxima: 8")</f>
        <v>Formação Pedagogica em Geografia - Formação Pedagogica em Geografia - Monica Cristina Almeida Fusco de Souza Ferreira - Desenvolvimento do Capital Humano - Nota Máxima: 8</v>
      </c>
    </row>
    <row r="2847">
      <c r="A2847" s="390" t="str">
        <f>IFERROR(__xludf.DUMMYFUNCTION("""COMPUTED_VALUE"""),"Formação Pedagogica em Geografia - Formação Pedagogica em Geografia - Monica Cristina Almeida Fusco de Souza Ferreira - Educação Especial, Inclusão Escolar e Adaptações Curriculares - Nota Máxima: 10")</f>
        <v>Formação Pedagogica em Geografia - Formação Pedagogica em Geografia - Monica Cristina Almeida Fusco de Souza Ferreira - Educação Especial, Inclusão Escolar e Adaptações Curriculares - Nota Máxima: 10</v>
      </c>
    </row>
    <row r="2848">
      <c r="A2848" s="390" t="str">
        <f>IFERROR(__xludf.DUMMYFUNCTION("""COMPUTED_VALUE"""),"Formação Pedagogica em Geografia - Formação Pedagogica em Geografia - Monica Cristina Almeida Fusco de Souza Ferreira - Educação, História, Cultura e Práticas Indígenas/a - Nota Máxima: 9")</f>
        <v>Formação Pedagogica em Geografia - Formação Pedagogica em Geografia - Monica Cristina Almeida Fusco de Souza Ferreira - Educação, História, Cultura e Práticas Indígenas/a - Nota Máxima: 9</v>
      </c>
    </row>
    <row r="2849">
      <c r="A2849" s="390" t="str">
        <f>IFERROR(__xludf.DUMMYFUNCTION("""COMPUTED_VALUE"""),"Formação Pedagogica em Geografia - Formação Pedagogica em Geografia - Monica Cristina Almeida Fusco de Souza Ferreira - Estudos Populacionais - Nota Máxima: 9")</f>
        <v>Formação Pedagogica em Geografia - Formação Pedagogica em Geografia - Monica Cristina Almeida Fusco de Souza Ferreira - Estudos Populacionais - Nota Máxima: 9</v>
      </c>
    </row>
    <row r="2850">
      <c r="A2850" s="390" t="str">
        <f>IFERROR(__xludf.DUMMYFUNCTION("""COMPUTED_VALUE"""),"Formação Pedagogica em Geografia - Formação Pedagogica em Geografia - Monica Cristina Almeida Fusco de Souza Ferreira - Geografia Física, Política e Urbana - Nota Máxima: 10")</f>
        <v>Formação Pedagogica em Geografia - Formação Pedagogica em Geografia - Monica Cristina Almeida Fusco de Souza Ferreira - Geografia Física, Política e Urbana - Nota Máxima: 10</v>
      </c>
    </row>
    <row r="2851">
      <c r="A2851" s="390" t="str">
        <f>IFERROR(__xludf.DUMMYFUNCTION("""COMPUTED_VALUE"""),"Formação Pedagogica em Geografia - Formação Pedagogica em Geografia - Monica Cristina Almeida Fusco de Souza Ferreira - Geologia - Nota Máxima: 9")</f>
        <v>Formação Pedagogica em Geografia - Formação Pedagogica em Geografia - Monica Cristina Almeida Fusco de Souza Ferreira - Geologia - Nota Máxima: 9</v>
      </c>
    </row>
    <row r="2852">
      <c r="A2852" s="390" t="str">
        <f>IFERROR(__xludf.DUMMYFUNCTION("""COMPUTED_VALUE"""),"Formação Pedagogica em Geografia - Formação Pedagogica em Geografia - Monica Cristina Almeida Fusco de Souza Ferreira - Geomorfologia - Nota Máxima: 8")</f>
        <v>Formação Pedagogica em Geografia - Formação Pedagogica em Geografia - Monica Cristina Almeida Fusco de Souza Ferreira - Geomorfologia - Nota Máxima: 8</v>
      </c>
    </row>
    <row r="2853">
      <c r="A2853" s="390" t="str">
        <f>IFERROR(__xludf.DUMMYFUNCTION("""COMPUTED_VALUE"""),"Formação Pedagogica em Geografia - Formação Pedagogica em Geografia - Monica Cristina Almeida Fusco de Souza Ferreira - Legislação Educacional/a - Nota Máxima: 8")</f>
        <v>Formação Pedagogica em Geografia - Formação Pedagogica em Geografia - Monica Cristina Almeida Fusco de Souza Ferreira - Legislação Educacional/a - Nota Máxima: 8</v>
      </c>
    </row>
    <row r="2854">
      <c r="A2854" s="390" t="str">
        <f>IFERROR(__xludf.DUMMYFUNCTION("""COMPUTED_VALUE"""),"Formação Pedagogica em Geografia - Formação Pedagogica em Geografia - Monica Cristina Almeida Fusco de Souza Ferreira - Planejamento, Gestão Educacional e Currículo/a - Nota Máxima: 9")</f>
        <v>Formação Pedagogica em Geografia - Formação Pedagogica em Geografia - Monica Cristina Almeida Fusco de Souza Ferreira - Planejamento, Gestão Educacional e Currículo/a - Nota Máxima: 9</v>
      </c>
    </row>
    <row r="2855">
      <c r="A2855" s="390" t="str">
        <f>IFERROR(__xludf.DUMMYFUNCTION("""COMPUTED_VALUE"""),"Formação Pedagogica em Geografia - Formação Pedagogica em Geografia - Monica Cristina Almeida Fusco de Souza Ferreira - Práticas Pedagógicas - 400 Horas - Nota Máxima: 45784")</f>
        <v>Formação Pedagogica em Geografia - Formação Pedagogica em Geografia - Monica Cristina Almeida Fusco de Souza Ferreira - Práticas Pedagógicas - 400 Horas - Nota Máxima: 45784</v>
      </c>
    </row>
    <row r="2856">
      <c r="A2856" s="390" t="str">
        <f>IFERROR(__xludf.DUMMYFUNCTION("""COMPUTED_VALUE"""),"Formação Pedagogica em Geografia - Formação Pedagogica em Geografia - Monica Cristina Almeida Fusco de Souza Ferreira - Psicologia da Educação/a - Nota Máxima: 10")</f>
        <v>Formação Pedagogica em Geografia - Formação Pedagogica em Geografia - Monica Cristina Almeida Fusco de Souza Ferreira - Psicologia da Educação/a - Nota Máxima: 10</v>
      </c>
    </row>
    <row r="2857">
      <c r="A2857" s="390" t="str">
        <f>IFERROR(__xludf.DUMMYFUNCTION("""COMPUTED_VALUE"""),"Formação Pedagogica em Geografia - Formação Pedagogica em Geografia - Jussara Ilma da Silva Quintiliano - Desenvolvimento do Capital Humano - Nota Máxima: 10")</f>
        <v>Formação Pedagogica em Geografia - Formação Pedagogica em Geografia - Jussara Ilma da Silva Quintiliano - Desenvolvimento do Capital Humano - Nota Máxima: 10</v>
      </c>
    </row>
    <row r="2858">
      <c r="A2858" s="390" t="str">
        <f>IFERROR(__xludf.DUMMYFUNCTION("""COMPUTED_VALUE"""),"Formação Pedagogica em Geografia - Formação Pedagogica em Geografia - Jussara Ilma da Silva Quintiliano - Desenvolvimento do Capital Humano - Nota Máxima: 7")</f>
        <v>Formação Pedagogica em Geografia - Formação Pedagogica em Geografia - Jussara Ilma da Silva Quintiliano - Desenvolvimento do Capital Humano - Nota Máxima: 7</v>
      </c>
    </row>
    <row r="2859">
      <c r="A2859" s="390" t="str">
        <f>IFERROR(__xludf.DUMMYFUNCTION("""COMPUTED_VALUE"""),"Formação Pedagogica em Geografia - Formação Pedagogica em Geografia - Jussara Ilma da Silva Quintiliano - Educação, História, Cultura e Práticas Indígenas/a - Nota Máxima: 10")</f>
        <v>Formação Pedagogica em Geografia - Formação Pedagogica em Geografia - Jussara Ilma da Silva Quintiliano - Educação, História, Cultura e Práticas Indígenas/a - Nota Máxima: 10</v>
      </c>
    </row>
    <row r="2860">
      <c r="A2860" s="390" t="str">
        <f>IFERROR(__xludf.DUMMYFUNCTION("""COMPUTED_VALUE"""),"Formação Pedagogica em Geografia - Formação Pedagogica em Geografia - Jussara Ilma da Silva Quintiliano - Educação, História, Cultura e Práticas Indígenas/a - Nota Máxima: 9")</f>
        <v>Formação Pedagogica em Geografia - Formação Pedagogica em Geografia - Jussara Ilma da Silva Quintiliano - Educação, História, Cultura e Práticas Indígenas/a - Nota Máxima: 9</v>
      </c>
    </row>
    <row r="2861">
      <c r="A2861" s="390" t="str">
        <f>IFERROR(__xludf.DUMMYFUNCTION("""COMPUTED_VALUE"""),"#SLLLA - Segunda Licenciatura em Letras - Libras - Segunda Licenciatura em Letras - Libras - Amanda Aparecida Maciel - A Educação Especial e a Inclusão Escolar - Nota Máxima: 9")</f>
        <v>#SLLLA - Segunda Licenciatura em Letras - Libras - Segunda Licenciatura em Letras - Libras - Amanda Aparecida Maciel - A Educação Especial e a Inclusão Escolar - Nota Máxima: 9</v>
      </c>
    </row>
    <row r="2862">
      <c r="A2862" s="390" t="str">
        <f>IFERROR(__xludf.DUMMYFUNCTION("""COMPUTED_VALUE"""),"#SLLLA - Segunda Licenciatura em Letras - Libras - Segunda Licenciatura em Letras - Libras - Amanda Aparecida Maciel - Aspectos Psicológicos da Pessoa com Deficiência - Nota Máxima: 9")</f>
        <v>#SLLLA - Segunda Licenciatura em Letras - Libras - Segunda Licenciatura em Letras - Libras - Amanda Aparecida Maciel - Aspectos Psicológicos da Pessoa com Deficiência - Nota Máxima: 9</v>
      </c>
    </row>
    <row r="2863">
      <c r="A2863" s="390" t="str">
        <f>IFERROR(__xludf.DUMMYFUNCTION("""COMPUTED_VALUE"""),"#SLLLA - Segunda Licenciatura em Letras - Libras - Segunda Licenciatura em Letras - Libras - Amanda Aparecida Maciel - Deficiência Auditiva e Libras/a - Nota Máxima: 10")</f>
        <v>#SLLLA - Segunda Licenciatura em Letras - Libras - Segunda Licenciatura em Letras - Libras - Amanda Aparecida Maciel - Deficiência Auditiva e Libras/a - Nota Máxima: 10</v>
      </c>
    </row>
    <row r="2864">
      <c r="A2864" s="390" t="str">
        <f>IFERROR(__xludf.DUMMYFUNCTION("""COMPUTED_VALUE"""),"#SLLLA - Segunda Licenciatura em Letras - Libras - Segunda Licenciatura em Letras - Libras - Amanda Aparecida Maciel - Educação Especial, Inclusão Escolar e Adaptações Curriculares - Nota Máxima: 10")</f>
        <v>#SLLLA - Segunda Licenciatura em Letras - Libras - Segunda Licenciatura em Letras - Libras - Amanda Aparecida Maciel - Educação Especial, Inclusão Escolar e Adaptações Curriculares - Nota Máxima: 10</v>
      </c>
    </row>
    <row r="2865">
      <c r="A2865" s="390" t="str">
        <f>IFERROR(__xludf.DUMMYFUNCTION("""COMPUTED_VALUE"""),"#SLLLA - Segunda Licenciatura em Letras - Libras - Segunda Licenciatura em Letras - Libras - Amanda Aparecida Maciel - Educação, História, Cultura e Práticas Indígenas/a - Nota Máxima: 10")</f>
        <v>#SLLLA - Segunda Licenciatura em Letras - Libras - Segunda Licenciatura em Letras - Libras - Amanda Aparecida Maciel - Educação, História, Cultura e Práticas Indígenas/a - Nota Máxima: 10</v>
      </c>
    </row>
    <row r="2866">
      <c r="A2866" s="390" t="str">
        <f>IFERROR(__xludf.DUMMYFUNCTION("""COMPUTED_VALUE"""),"#SLLLA - Segunda Licenciatura em Letras - Libras - Segunda Licenciatura em Letras - Libras - Amanda Aparecida Maciel - Escola e Comunidade Surda - Nota Máxima: 10")</f>
        <v>#SLLLA - Segunda Licenciatura em Letras - Libras - Segunda Licenciatura em Letras - Libras - Amanda Aparecida Maciel - Escola e Comunidade Surda - Nota Máxima: 10</v>
      </c>
    </row>
    <row r="2867">
      <c r="A2867" s="390" t="str">
        <f>IFERROR(__xludf.DUMMYFUNCTION("""COMPUTED_VALUE"""),"#SLLLA - Segunda Licenciatura em Letras - Libras - Segunda Licenciatura em Letras - Libras - Amanda Aparecida Maciel - Formação e Atuação do Intérprete de Libras - Nota Máxima: 9")</f>
        <v>#SLLLA - Segunda Licenciatura em Letras - Libras - Segunda Licenciatura em Letras - Libras - Amanda Aparecida Maciel - Formação e Atuação do Intérprete de Libras - Nota Máxima: 9</v>
      </c>
    </row>
    <row r="2868">
      <c r="A2868" s="390" t="str">
        <f>IFERROR(__xludf.DUMMYFUNCTION("""COMPUTED_VALUE"""),"#SLLLA - Segunda Licenciatura em Letras - Libras - Segunda Licenciatura em Letras - Libras - Amanda Aparecida Maciel - Intérprete de Libras em Sala de Aula - Nota Máxima: 10")</f>
        <v>#SLLLA - Segunda Licenciatura em Letras - Libras - Segunda Licenciatura em Letras - Libras - Amanda Aparecida Maciel - Intérprete de Libras em Sala de Aula - Nota Máxima: 10</v>
      </c>
    </row>
    <row r="2869">
      <c r="A2869" s="390" t="str">
        <f>IFERROR(__xludf.DUMMYFUNCTION("""COMPUTED_VALUE"""),"#SLLLA - Segunda Licenciatura em Letras - Libras - Segunda Licenciatura em Letras - Libras - Amanda Aparecida Maciel - Legislação Educacional/a - Nota Máxima: 10")</f>
        <v>#SLLLA - Segunda Licenciatura em Letras - Libras - Segunda Licenciatura em Letras - Libras - Amanda Aparecida Maciel - Legislação Educacional/a - Nota Máxima: 10</v>
      </c>
    </row>
    <row r="2870">
      <c r="A2870" s="390" t="str">
        <f>IFERROR(__xludf.DUMMYFUNCTION("""COMPUTED_VALUE"""),"#SLLLA - Segunda Licenciatura em Letras - Libras - Segunda Licenciatura em Letras - Libras - Amanda Aparecida Maciel - Noções de Libras - Nota Máxima: 9")</f>
        <v>#SLLLA - Segunda Licenciatura em Letras - Libras - Segunda Licenciatura em Letras - Libras - Amanda Aparecida Maciel - Noções de Libras - Nota Máxima: 9</v>
      </c>
    </row>
    <row r="2871">
      <c r="A2871" s="390" t="str">
        <f>IFERROR(__xludf.DUMMYFUNCTION("""COMPUTED_VALUE"""),"#SLLLA - Segunda Licenciatura em Letras - Libras - Segunda Licenciatura em Letras - Libras - Amanda Aparecida Maciel - Planejamento, Gestão Educacional e Currículo/a - Nota Máxima: 10")</f>
        <v>#SLLLA - Segunda Licenciatura em Letras - Libras - Segunda Licenciatura em Letras - Libras - Amanda Aparecida Maciel - Planejamento, Gestão Educacional e Currículo/a - Nota Máxima: 10</v>
      </c>
    </row>
    <row r="2872">
      <c r="A2872" s="390" t="str">
        <f>IFERROR(__xludf.DUMMYFUNCTION("""COMPUTED_VALUE"""),"#SLLLA - Segunda Licenciatura em Letras - Libras - Segunda Licenciatura em Letras - Libras - Amanda Aparecida Maciel - Psicologia da Educação/a - Nota Máxima: 10")</f>
        <v>#SLLLA - Segunda Licenciatura em Letras - Libras - Segunda Licenciatura em Letras - Libras - Amanda Aparecida Maciel - Psicologia da Educação/a - Nota Máxima: 10</v>
      </c>
    </row>
    <row r="2873">
      <c r="A2873" s="390" t="str">
        <f>IFERROR(__xludf.DUMMYFUNCTION("""COMPUTED_VALUE"""),"#SLLLA - Segunda Licenciatura em Letras - Libras - Segunda Licenciatura em Letras - Libras - Amanda Aparecida Maciel - Surdez e Educação de Surdos - Nota Máxima: 10")</f>
        <v>#SLLLA - Segunda Licenciatura em Letras - Libras - Segunda Licenciatura em Letras - Libras - Amanda Aparecida Maciel - Surdez e Educação de Surdos - Nota Máxima: 10</v>
      </c>
    </row>
    <row r="2874">
      <c r="A2874" s="390" t="str">
        <f>IFERROR(__xludf.DUMMYFUNCTION("""COMPUTED_VALUE"""),"#SLLLA - Segunda Licenciatura em Letras - Libras - Segunda Licenciatura em Letras - Libras - Marli de Freitas Silva - A Educação Especial e a Inclusão Escolar - Nota Máxima: 10")</f>
        <v>#SLLLA - Segunda Licenciatura em Letras - Libras - Segunda Licenciatura em Letras - Libras - Marli de Freitas Silva - A Educação Especial e a Inclusão Escolar - Nota Máxima: 10</v>
      </c>
    </row>
    <row r="2875">
      <c r="A2875" s="390" t="str">
        <f>IFERROR(__xludf.DUMMYFUNCTION("""COMPUTED_VALUE"""),"#SLLLA - Segunda Licenciatura em Letras - Libras - Segunda Licenciatura em Letras - Libras - Marli de Freitas Silva - Aspectos Psicológicos da Pessoa com Deficiência - Nota Máxima: 9")</f>
        <v>#SLLLA - Segunda Licenciatura em Letras - Libras - Segunda Licenciatura em Letras - Libras - Marli de Freitas Silva - Aspectos Psicológicos da Pessoa com Deficiência - Nota Máxima: 9</v>
      </c>
    </row>
    <row r="2876">
      <c r="A2876" s="390" t="str">
        <f>IFERROR(__xludf.DUMMYFUNCTION("""COMPUTED_VALUE"""),"#SLLLA - Segunda Licenciatura em Letras - Libras - Segunda Licenciatura em Letras - Libras - Marli de Freitas Silva - Deficiência Auditiva e Libras/a - Nota Máxima: 10")</f>
        <v>#SLLLA - Segunda Licenciatura em Letras - Libras - Segunda Licenciatura em Letras - Libras - Marli de Freitas Silva - Deficiência Auditiva e Libras/a - Nota Máxima: 10</v>
      </c>
    </row>
    <row r="2877">
      <c r="A2877" s="390" t="str">
        <f>IFERROR(__xludf.DUMMYFUNCTION("""COMPUTED_VALUE"""),"#SLLLA - Segunda Licenciatura em Letras - Libras - Segunda Licenciatura em Letras - Libras - Marli de Freitas Silva - Educação Especial, Inclusão Escolar e Adaptações Curriculares - Nota Máxima: 10")</f>
        <v>#SLLLA - Segunda Licenciatura em Letras - Libras - Segunda Licenciatura em Letras - Libras - Marli de Freitas Silva - Educação Especial, Inclusão Escolar e Adaptações Curriculares - Nota Máxima: 10</v>
      </c>
    </row>
    <row r="2878">
      <c r="A2878" s="390" t="str">
        <f>IFERROR(__xludf.DUMMYFUNCTION("""COMPUTED_VALUE"""),"#SLLLA - Segunda Licenciatura em Letras - Libras - Segunda Licenciatura em Letras - Libras - Marli de Freitas Silva - Educação, História, Cultura e Práticas Indígenas/a - Nota Máxima: 9")</f>
        <v>#SLLLA - Segunda Licenciatura em Letras - Libras - Segunda Licenciatura em Letras - Libras - Marli de Freitas Silva - Educação, História, Cultura e Práticas Indígenas/a - Nota Máxima: 9</v>
      </c>
    </row>
    <row r="2879">
      <c r="A2879" s="390" t="str">
        <f>IFERROR(__xludf.DUMMYFUNCTION("""COMPUTED_VALUE"""),"#SLLLA - Segunda Licenciatura em Letras - Libras - Segunda Licenciatura em Letras - Libras - Marli de Freitas Silva - Escola e Comunidade Surda - Nota Máxima: 10")</f>
        <v>#SLLLA - Segunda Licenciatura em Letras - Libras - Segunda Licenciatura em Letras - Libras - Marli de Freitas Silva - Escola e Comunidade Surda - Nota Máxima: 10</v>
      </c>
    </row>
    <row r="2880">
      <c r="A2880" s="390" t="str">
        <f>IFERROR(__xludf.DUMMYFUNCTION("""COMPUTED_VALUE"""),"#SLLLA - Segunda Licenciatura em Letras - Libras - Segunda Licenciatura em Letras - Libras - Marli de Freitas Silva - Formação e Atuação do Intérprete de Libras - Nota Máxima: 10")</f>
        <v>#SLLLA - Segunda Licenciatura em Letras - Libras - Segunda Licenciatura em Letras - Libras - Marli de Freitas Silva - Formação e Atuação do Intérprete de Libras - Nota Máxima: 10</v>
      </c>
    </row>
    <row r="2881">
      <c r="A2881" s="390" t="str">
        <f>IFERROR(__xludf.DUMMYFUNCTION("""COMPUTED_VALUE"""),"#SLLLA - Segunda Licenciatura em Letras - Libras - Segunda Licenciatura em Letras - Libras - Marli de Freitas Silva - Intérprete de Libras em Sala de Aula - Nota Máxima: 9")</f>
        <v>#SLLLA - Segunda Licenciatura em Letras - Libras - Segunda Licenciatura em Letras - Libras - Marli de Freitas Silva - Intérprete de Libras em Sala de Aula - Nota Máxima: 9</v>
      </c>
    </row>
    <row r="2882">
      <c r="A2882" s="390" t="str">
        <f>IFERROR(__xludf.DUMMYFUNCTION("""COMPUTED_VALUE"""),"#SLLLA - Segunda Licenciatura em Letras - Libras - Segunda Licenciatura em Letras - Libras - Marli de Freitas Silva - Legislação Educacional/a - Nota Máxima: 7")</f>
        <v>#SLLLA - Segunda Licenciatura em Letras - Libras - Segunda Licenciatura em Letras - Libras - Marli de Freitas Silva - Legislação Educacional/a - Nota Máxima: 7</v>
      </c>
    </row>
    <row r="2883">
      <c r="A2883" s="390" t="str">
        <f>IFERROR(__xludf.DUMMYFUNCTION("""COMPUTED_VALUE"""),"#SLLLA - Segunda Licenciatura em Letras - Libras - Segunda Licenciatura em Letras - Libras - Marli de Freitas Silva - Noções de Libras - Nota Máxima: 9")</f>
        <v>#SLLLA - Segunda Licenciatura em Letras - Libras - Segunda Licenciatura em Letras - Libras - Marli de Freitas Silva - Noções de Libras - Nota Máxima: 9</v>
      </c>
    </row>
    <row r="2884">
      <c r="A2884" s="390" t="str">
        <f>IFERROR(__xludf.DUMMYFUNCTION("""COMPUTED_VALUE"""),"#SLLLA - Segunda Licenciatura em Letras - Libras - Segunda Licenciatura em Letras - Libras - Marli de Freitas Silva - Planejamento, Gestão Educacional e Currículo/a - Nota Máxima: 10")</f>
        <v>#SLLLA - Segunda Licenciatura em Letras - Libras - Segunda Licenciatura em Letras - Libras - Marli de Freitas Silva - Planejamento, Gestão Educacional e Currículo/a - Nota Máxima: 10</v>
      </c>
    </row>
    <row r="2885">
      <c r="A2885" s="390" t="str">
        <f>IFERROR(__xludf.DUMMYFUNCTION("""COMPUTED_VALUE"""),"#SLLLA - Segunda Licenciatura em Letras - Libras - Segunda Licenciatura em Letras - Libras - Marli de Freitas Silva - Práticas Pedagógicas - 400 Horas - Nota Máxima: 4")</f>
        <v>#SLLLA - Segunda Licenciatura em Letras - Libras - Segunda Licenciatura em Letras - Libras - Marli de Freitas Silva - Práticas Pedagógicas - 400 Horas - Nota Máxima: 4</v>
      </c>
    </row>
    <row r="2886">
      <c r="A2886" s="390" t="str">
        <f>IFERROR(__xludf.DUMMYFUNCTION("""COMPUTED_VALUE"""),"#SLLLA - Segunda Licenciatura em Letras - Libras - Segunda Licenciatura em Letras - Libras - Marli de Freitas Silva - Psicologia da Educação/a - Nota Máxima: 9")</f>
        <v>#SLLLA - Segunda Licenciatura em Letras - Libras - Segunda Licenciatura em Letras - Libras - Marli de Freitas Silva - Psicologia da Educação/a - Nota Máxima: 9</v>
      </c>
    </row>
    <row r="2887">
      <c r="A2887" s="390" t="str">
        <f>IFERROR(__xludf.DUMMYFUNCTION("""COMPUTED_VALUE"""),"#SLLLA - Segunda Licenciatura em Letras - Libras - Segunda Licenciatura em Letras - Libras - Marli de Freitas Silva - Surdez e Educação de Surdos - Nota Máxima: 10")</f>
        <v>#SLLLA - Segunda Licenciatura em Letras - Libras - Segunda Licenciatura em Letras - Libras - Marli de Freitas Silva - Surdez e Educação de Surdos - Nota Máxima: 10</v>
      </c>
    </row>
    <row r="2888">
      <c r="A2888" s="390" t="str">
        <f>IFERROR(__xludf.DUMMYFUNCTION("""COMPUTED_VALUE"""),"#SLLLA - Segunda Licenciatura em Letras - Libras - Segunda Licenciatura em Letras - Libras - Flaviane Soares Pazeto - A Educação Especial e a Inclusão Escolar - Nota Máxima: 7")</f>
        <v>#SLLLA - Segunda Licenciatura em Letras - Libras - Segunda Licenciatura em Letras - Libras - Flaviane Soares Pazeto - A Educação Especial e a Inclusão Escolar - Nota Máxima: 7</v>
      </c>
    </row>
    <row r="2889">
      <c r="A2889" s="390" t="str">
        <f>IFERROR(__xludf.DUMMYFUNCTION("""COMPUTED_VALUE"""),"#SLLLA - Segunda Licenciatura em Letras - Libras - Segunda Licenciatura em Letras - Libras - Flaviane Soares Pazeto - A Educação Especial e a Inclusão Escolar - Nota Máxima: 6")</f>
        <v>#SLLLA - Segunda Licenciatura em Letras - Libras - Segunda Licenciatura em Letras - Libras - Flaviane Soares Pazeto - A Educação Especial e a Inclusão Escolar - Nota Máxima: 6</v>
      </c>
    </row>
    <row r="2890">
      <c r="A2890" s="390" t="str">
        <f>IFERROR(__xludf.DUMMYFUNCTION("""COMPUTED_VALUE"""),"#SLLLA - Segunda Licenciatura em Letras - Libras - Segunda Licenciatura em Letras - Libras - Flaviane Soares Pazeto - Aspectos Psicológicos da Pessoa com Deficiência - Nota Máxima: 7")</f>
        <v>#SLLLA - Segunda Licenciatura em Letras - Libras - Segunda Licenciatura em Letras - Libras - Flaviane Soares Pazeto - Aspectos Psicológicos da Pessoa com Deficiência - Nota Máxima: 7</v>
      </c>
    </row>
    <row r="2891">
      <c r="A2891" s="390" t="str">
        <f>IFERROR(__xludf.DUMMYFUNCTION("""COMPUTED_VALUE"""),"#SLLLA - Segunda Licenciatura em Letras - Libras - Segunda Licenciatura em Letras - Libras - Flaviane Soares Pazeto - Aspectos Psicológicos da Pessoa com Deficiência - Nota Máxima: 7")</f>
        <v>#SLLLA - Segunda Licenciatura em Letras - Libras - Segunda Licenciatura em Letras - Libras - Flaviane Soares Pazeto - Aspectos Psicológicos da Pessoa com Deficiência - Nota Máxima: 7</v>
      </c>
    </row>
    <row r="2892">
      <c r="A2892" s="390" t="str">
        <f>IFERROR(__xludf.DUMMYFUNCTION("""COMPUTED_VALUE"""),"#SLLLA - Segunda Licenciatura em Letras - Libras - Segunda Licenciatura em Letras - Libras - Flaviane Soares Pazeto - Deficiência Auditiva e Libras/a - Nota Máxima: 10")</f>
        <v>#SLLLA - Segunda Licenciatura em Letras - Libras - Segunda Licenciatura em Letras - Libras - Flaviane Soares Pazeto - Deficiência Auditiva e Libras/a - Nota Máxima: 10</v>
      </c>
    </row>
    <row r="2893">
      <c r="A2893" s="390" t="str">
        <f>IFERROR(__xludf.DUMMYFUNCTION("""COMPUTED_VALUE"""),"#SLLLA - Segunda Licenciatura em Letras - Libras - Segunda Licenciatura em Letras - Libras - Flaviane Soares Pazeto - Deficiência Auditiva e Libras/a - Nota Máxima: 9")</f>
        <v>#SLLLA - Segunda Licenciatura em Letras - Libras - Segunda Licenciatura em Letras - Libras - Flaviane Soares Pazeto - Deficiência Auditiva e Libras/a - Nota Máxima: 9</v>
      </c>
    </row>
    <row r="2894">
      <c r="A2894" s="390" t="str">
        <f>IFERROR(__xludf.DUMMYFUNCTION("""COMPUTED_VALUE"""),"#SLLLA - Segunda Licenciatura em Letras - Libras - Segunda Licenciatura em Letras - Libras - Flaviane Soares Pazeto - Educação Especial, Inclusão Escolar e Adaptações Curriculares - Nota Máxima: 7")</f>
        <v>#SLLLA - Segunda Licenciatura em Letras - Libras - Segunda Licenciatura em Letras - Libras - Flaviane Soares Pazeto - Educação Especial, Inclusão Escolar e Adaptações Curriculares - Nota Máxima: 7</v>
      </c>
    </row>
    <row r="2895">
      <c r="A2895" s="390" t="str">
        <f>IFERROR(__xludf.DUMMYFUNCTION("""COMPUTED_VALUE"""),"#SLLLA - Segunda Licenciatura em Letras - Libras - Segunda Licenciatura em Letras - Libras - Flaviane Soares Pazeto - Educação Especial, Inclusão Escolar e Adaptações Curriculares - Nota Máxima: 9")</f>
        <v>#SLLLA - Segunda Licenciatura em Letras - Libras - Segunda Licenciatura em Letras - Libras - Flaviane Soares Pazeto - Educação Especial, Inclusão Escolar e Adaptações Curriculares - Nota Máxima: 9</v>
      </c>
    </row>
    <row r="2896">
      <c r="A2896" s="390" t="str">
        <f>IFERROR(__xludf.DUMMYFUNCTION("""COMPUTED_VALUE"""),"#SLLLA - Segunda Licenciatura em Letras - Libras - Segunda Licenciatura em Letras - Libras - Flaviane Soares Pazeto - Educação, História, Cultura e Práticas Indígenas/a - Nota Máxima: 7")</f>
        <v>#SLLLA - Segunda Licenciatura em Letras - Libras - Segunda Licenciatura em Letras - Libras - Flaviane Soares Pazeto - Educação, História, Cultura e Práticas Indígenas/a - Nota Máxima: 7</v>
      </c>
    </row>
    <row r="2897">
      <c r="A2897" s="390" t="str">
        <f>IFERROR(__xludf.DUMMYFUNCTION("""COMPUTED_VALUE"""),"#SLLLA - Segunda Licenciatura em Letras - Libras - Segunda Licenciatura em Letras - Libras - Flaviane Soares Pazeto - Educação, História, Cultura e Práticas Indígenas/a - Nota Máxima: 7")</f>
        <v>#SLLLA - Segunda Licenciatura em Letras - Libras - Segunda Licenciatura em Letras - Libras - Flaviane Soares Pazeto - Educação, História, Cultura e Práticas Indígenas/a - Nota Máxima: 7</v>
      </c>
    </row>
    <row r="2898">
      <c r="A2898" s="390" t="str">
        <f>IFERROR(__xludf.DUMMYFUNCTION("""COMPUTED_VALUE"""),"#SLLLA - Segunda Licenciatura em Letras - Libras - Segunda Licenciatura em Letras - Libras - Flaviane Soares Pazeto - Escola e Comunidade Surda - Nota Máxima: 8")</f>
        <v>#SLLLA - Segunda Licenciatura em Letras - Libras - Segunda Licenciatura em Letras - Libras - Flaviane Soares Pazeto - Escola e Comunidade Surda - Nota Máxima: 8</v>
      </c>
    </row>
    <row r="2899">
      <c r="A2899" s="390" t="str">
        <f>IFERROR(__xludf.DUMMYFUNCTION("""COMPUTED_VALUE"""),"#SLLLA - Segunda Licenciatura em Letras - Libras - Segunda Licenciatura em Letras - Libras - Flaviane Soares Pazeto - Escola e Comunidade Surda - Nota Máxima: 8")</f>
        <v>#SLLLA - Segunda Licenciatura em Letras - Libras - Segunda Licenciatura em Letras - Libras - Flaviane Soares Pazeto - Escola e Comunidade Surda - Nota Máxima: 8</v>
      </c>
    </row>
    <row r="2900">
      <c r="A2900" s="390" t="str">
        <f>IFERROR(__xludf.DUMMYFUNCTION("""COMPUTED_VALUE"""),"#SLLLA - Segunda Licenciatura em Letras - Libras - Segunda Licenciatura em Letras - Libras - Flaviane Soares Pazeto - Formação e Atuação do Intérprete de Libras - Nota Máxima: 9")</f>
        <v>#SLLLA - Segunda Licenciatura em Letras - Libras - Segunda Licenciatura em Letras - Libras - Flaviane Soares Pazeto - Formação e Atuação do Intérprete de Libras - Nota Máxima: 9</v>
      </c>
    </row>
    <row r="2901">
      <c r="A2901" s="390" t="str">
        <f>IFERROR(__xludf.DUMMYFUNCTION("""COMPUTED_VALUE"""),"#SLLLA - Segunda Licenciatura em Letras - Libras - Segunda Licenciatura em Letras - Libras - Flaviane Soares Pazeto - Formação e Atuação do Intérprete de Libras - Nota Máxima: 8")</f>
        <v>#SLLLA - Segunda Licenciatura em Letras - Libras - Segunda Licenciatura em Letras - Libras - Flaviane Soares Pazeto - Formação e Atuação do Intérprete de Libras - Nota Máxima: 8</v>
      </c>
    </row>
    <row r="2902">
      <c r="A2902" s="390" t="str">
        <f>IFERROR(__xludf.DUMMYFUNCTION("""COMPUTED_VALUE"""),"#SLLLA - Segunda Licenciatura em Letras - Libras - Segunda Licenciatura em Letras - Libras - Flaviane Soares Pazeto - Intérprete de Libras em Sala de Aula - Nota Máxima: 9")</f>
        <v>#SLLLA - Segunda Licenciatura em Letras - Libras - Segunda Licenciatura em Letras - Libras - Flaviane Soares Pazeto - Intérprete de Libras em Sala de Aula - Nota Máxima: 9</v>
      </c>
    </row>
    <row r="2903">
      <c r="A2903" s="390" t="str">
        <f>IFERROR(__xludf.DUMMYFUNCTION("""COMPUTED_VALUE"""),"#SLLLA - Segunda Licenciatura em Letras - Libras - Segunda Licenciatura em Letras - Libras - Flaviane Soares Pazeto - Intérprete de Libras em Sala de Aula - Nota Máxima: 6")</f>
        <v>#SLLLA - Segunda Licenciatura em Letras - Libras - Segunda Licenciatura em Letras - Libras - Flaviane Soares Pazeto - Intérprete de Libras em Sala de Aula - Nota Máxima: 6</v>
      </c>
    </row>
    <row r="2904">
      <c r="A2904" s="390" t="str">
        <f>IFERROR(__xludf.DUMMYFUNCTION("""COMPUTED_VALUE"""),"#SLLLA - Segunda Licenciatura em Letras - Libras - Segunda Licenciatura em Letras - Libras - Flaviane Soares Pazeto - Legislação Educacional/a - Nota Máxima: 9")</f>
        <v>#SLLLA - Segunda Licenciatura em Letras - Libras - Segunda Licenciatura em Letras - Libras - Flaviane Soares Pazeto - Legislação Educacional/a - Nota Máxima: 9</v>
      </c>
    </row>
    <row r="2905">
      <c r="A2905" s="390" t="str">
        <f>IFERROR(__xludf.DUMMYFUNCTION("""COMPUTED_VALUE"""),"#SLLLA - Segunda Licenciatura em Letras - Libras - Segunda Licenciatura em Letras - Libras - Flaviane Soares Pazeto - Legislação Educacional/a - Nota Máxima: 8")</f>
        <v>#SLLLA - Segunda Licenciatura em Letras - Libras - Segunda Licenciatura em Letras - Libras - Flaviane Soares Pazeto - Legislação Educacional/a - Nota Máxima: 8</v>
      </c>
    </row>
    <row r="2906">
      <c r="A2906" s="390" t="str">
        <f>IFERROR(__xludf.DUMMYFUNCTION("""COMPUTED_VALUE"""),"#SLLLA - Segunda Licenciatura em Letras - Libras - Segunda Licenciatura em Letras - Libras - Flaviane Soares Pazeto - Noções de Libras - Nota Máxima: 9")</f>
        <v>#SLLLA - Segunda Licenciatura em Letras - Libras - Segunda Licenciatura em Letras - Libras - Flaviane Soares Pazeto - Noções de Libras - Nota Máxima: 9</v>
      </c>
    </row>
    <row r="2907">
      <c r="A2907" s="390" t="str">
        <f>IFERROR(__xludf.DUMMYFUNCTION("""COMPUTED_VALUE"""),"#SLLLA - Segunda Licenciatura em Letras - Libras - Segunda Licenciatura em Letras - Libras - Flaviane Soares Pazeto - Noções de Libras - Nota Máxima: 10")</f>
        <v>#SLLLA - Segunda Licenciatura em Letras - Libras - Segunda Licenciatura em Letras - Libras - Flaviane Soares Pazeto - Noções de Libras - Nota Máxima: 10</v>
      </c>
    </row>
    <row r="2908">
      <c r="A2908" s="390" t="str">
        <f>IFERROR(__xludf.DUMMYFUNCTION("""COMPUTED_VALUE"""),"#SLLLA - Segunda Licenciatura em Letras - Libras - Segunda Licenciatura em Letras - Libras - Flaviane Soares Pazeto - Planejamento, Gestão Educacional e Currículo/a - Nota Máxima: 10")</f>
        <v>#SLLLA - Segunda Licenciatura em Letras - Libras - Segunda Licenciatura em Letras - Libras - Flaviane Soares Pazeto - Planejamento, Gestão Educacional e Currículo/a - Nota Máxima: 10</v>
      </c>
    </row>
    <row r="2909">
      <c r="A2909" s="390" t="str">
        <f>IFERROR(__xludf.DUMMYFUNCTION("""COMPUTED_VALUE"""),"#SLLLA - Segunda Licenciatura em Letras - Libras - Segunda Licenciatura em Letras - Libras - Flaviane Soares Pazeto - Planejamento, Gestão Educacional e Currículo/a - Nota Máxima: 10")</f>
        <v>#SLLLA - Segunda Licenciatura em Letras - Libras - Segunda Licenciatura em Letras - Libras - Flaviane Soares Pazeto - Planejamento, Gestão Educacional e Currículo/a - Nota Máxima: 10</v>
      </c>
    </row>
    <row r="2910">
      <c r="A2910" s="390" t="str">
        <f>IFERROR(__xludf.DUMMYFUNCTION("""COMPUTED_VALUE"""),"#SLLLA - Segunda Licenciatura em Letras - Libras - Segunda Licenciatura em Letras - Libras - Flaviane Soares Pazeto - Práticas Pedagógicas - 400 Horas - Nota Máxima: 3")</f>
        <v>#SLLLA - Segunda Licenciatura em Letras - Libras - Segunda Licenciatura em Letras - Libras - Flaviane Soares Pazeto - Práticas Pedagógicas - 400 Horas - Nota Máxima: 3</v>
      </c>
    </row>
    <row r="2911">
      <c r="A2911" s="390" t="str">
        <f>IFERROR(__xludf.DUMMYFUNCTION("""COMPUTED_VALUE"""),"#SLLLA - Segunda Licenciatura em Letras - Libras - Segunda Licenciatura em Letras - Libras - Flaviane Soares Pazeto - Práticas Pedagógicas - 400 Horas - Nota Máxima: 4")</f>
        <v>#SLLLA - Segunda Licenciatura em Letras - Libras - Segunda Licenciatura em Letras - Libras - Flaviane Soares Pazeto - Práticas Pedagógicas - 400 Horas - Nota Máxima: 4</v>
      </c>
    </row>
    <row r="2912">
      <c r="A2912" s="390" t="str">
        <f>IFERROR(__xludf.DUMMYFUNCTION("""COMPUTED_VALUE"""),"#SLLLA - Segunda Licenciatura em Letras - Libras - Segunda Licenciatura em Letras - Libras - Flaviane Soares Pazeto - Psicologia da Educação/a - Nota Máxima: 7")</f>
        <v>#SLLLA - Segunda Licenciatura em Letras - Libras - Segunda Licenciatura em Letras - Libras - Flaviane Soares Pazeto - Psicologia da Educação/a - Nota Máxima: 7</v>
      </c>
    </row>
    <row r="2913">
      <c r="A2913" s="390" t="str">
        <f>IFERROR(__xludf.DUMMYFUNCTION("""COMPUTED_VALUE"""),"#SLLLA - Segunda Licenciatura em Letras - Libras - Segunda Licenciatura em Letras - Libras - Flaviane Soares Pazeto - Psicologia da Educação/a - Nota Máxima: 7")</f>
        <v>#SLLLA - Segunda Licenciatura em Letras - Libras - Segunda Licenciatura em Letras - Libras - Flaviane Soares Pazeto - Psicologia da Educação/a - Nota Máxima: 7</v>
      </c>
    </row>
    <row r="2914">
      <c r="A2914" s="390" t="str">
        <f>IFERROR(__xludf.DUMMYFUNCTION("""COMPUTED_VALUE"""),"#SLLLA - Segunda Licenciatura em Letras - Libras - Segunda Licenciatura em Letras - Libras - Flaviane Soares Pazeto - Surdez e Educação de Surdos - Nota Máxima: 10")</f>
        <v>#SLLLA - Segunda Licenciatura em Letras - Libras - Segunda Licenciatura em Letras - Libras - Flaviane Soares Pazeto - Surdez e Educação de Surdos - Nota Máxima: 10</v>
      </c>
    </row>
    <row r="2915">
      <c r="A2915" s="390" t="str">
        <f>IFERROR(__xludf.DUMMYFUNCTION("""COMPUTED_VALUE"""),"#SLLLA - Segunda Licenciatura em Letras - Libras - Segunda Licenciatura em Letras - Libras - Flaviane Soares Pazeto - Surdez e Educação de Surdos - Nota Máxima: 8")</f>
        <v>#SLLLA - Segunda Licenciatura em Letras - Libras - Segunda Licenciatura em Letras - Libras - Flaviane Soares Pazeto - Surdez e Educação de Surdos - Nota Máxima: 8</v>
      </c>
    </row>
    <row r="2916">
      <c r="A2916" s="390" t="str">
        <f>IFERROR(__xludf.DUMMYFUNCTION("""COMPUTED_VALUE"""),"#SLLLA - Segunda Licenciatura em Letras - Libras - Segunda Licenciatura em Letras - Libras - GRACIETE LIMA DOS SANTOS ELOI DE FRANÇA - A Educação Especial e a Inclusão Escolar - Nota Máxima: 9")</f>
        <v>#SLLLA - Segunda Licenciatura em Letras - Libras - Segunda Licenciatura em Letras - Libras - GRACIETE LIMA DOS SANTOS ELOI DE FRANÇA - A Educação Especial e a Inclusão Escolar - Nota Máxima: 9</v>
      </c>
    </row>
    <row r="2917">
      <c r="A2917" s="390" t="str">
        <f>IFERROR(__xludf.DUMMYFUNCTION("""COMPUTED_VALUE"""),"#SLLLA - Segunda Licenciatura em Letras - Libras - Segunda Licenciatura em Letras - Libras - GRACIETE LIMA DOS SANTOS ELOI DE FRANÇA - A Educação Especial e a Inclusão Escolar - Nota Máxima: 2")</f>
        <v>#SLLLA - Segunda Licenciatura em Letras - Libras - Segunda Licenciatura em Letras - Libras - GRACIETE LIMA DOS SANTOS ELOI DE FRANÇA - A Educação Especial e a Inclusão Escolar - Nota Máxima: 2</v>
      </c>
    </row>
    <row r="2918">
      <c r="A2918" s="390" t="str">
        <f>IFERROR(__xludf.DUMMYFUNCTION("""COMPUTED_VALUE"""),"#SLLLA - Segunda Licenciatura em Letras - Libras - Segunda Licenciatura em Letras - Libras - GRACIETE LIMA DOS SANTOS ELOI DE FRANÇA - Aspectos Psicológicos da Pessoa com Deficiência - Nota Máxima: 8")</f>
        <v>#SLLLA - Segunda Licenciatura em Letras - Libras - Segunda Licenciatura em Letras - Libras - GRACIETE LIMA DOS SANTOS ELOI DE FRANÇA - Aspectos Psicológicos da Pessoa com Deficiência - Nota Máxima: 8</v>
      </c>
    </row>
    <row r="2919">
      <c r="A2919" s="390" t="str">
        <f>IFERROR(__xludf.DUMMYFUNCTION("""COMPUTED_VALUE"""),"#SLLLA - Segunda Licenciatura em Letras - Libras - Segunda Licenciatura em Letras - Libras - GRACIETE LIMA DOS SANTOS ELOI DE FRANÇA - Aspectos Psicológicos da Pessoa com Deficiência - Nota Máxima: 9")</f>
        <v>#SLLLA - Segunda Licenciatura em Letras - Libras - Segunda Licenciatura em Letras - Libras - GRACIETE LIMA DOS SANTOS ELOI DE FRANÇA - Aspectos Psicológicos da Pessoa com Deficiência - Nota Máxima: 9</v>
      </c>
    </row>
    <row r="2920">
      <c r="A2920" s="390" t="str">
        <f>IFERROR(__xludf.DUMMYFUNCTION("""COMPUTED_VALUE"""),"#SLLLA - Segunda Licenciatura em Letras - Libras - Segunda Licenciatura em Letras - Libras - GRACIETE LIMA DOS SANTOS ELOI DE FRANÇA - Deficiência Auditiva e Libras/a - Nota Máxima: 10")</f>
        <v>#SLLLA - Segunda Licenciatura em Letras - Libras - Segunda Licenciatura em Letras - Libras - GRACIETE LIMA DOS SANTOS ELOI DE FRANÇA - Deficiência Auditiva e Libras/a - Nota Máxima: 10</v>
      </c>
    </row>
    <row r="2921">
      <c r="A2921" s="390" t="str">
        <f>IFERROR(__xludf.DUMMYFUNCTION("""COMPUTED_VALUE"""),"#SLLLA - Segunda Licenciatura em Letras - Libras - Segunda Licenciatura em Letras - Libras - GRACIETE LIMA DOS SANTOS ELOI DE FRANÇA - Deficiência Auditiva e Libras/a - Nota Máxima: 8")</f>
        <v>#SLLLA - Segunda Licenciatura em Letras - Libras - Segunda Licenciatura em Letras - Libras - GRACIETE LIMA DOS SANTOS ELOI DE FRANÇA - Deficiência Auditiva e Libras/a - Nota Máxima: 8</v>
      </c>
    </row>
    <row r="2922">
      <c r="A2922" s="390" t="str">
        <f>IFERROR(__xludf.DUMMYFUNCTION("""COMPUTED_VALUE"""),"#SLLLA - Segunda Licenciatura em Letras - Libras - Segunda Licenciatura em Letras - Libras - GRACIETE LIMA DOS SANTOS ELOI DE FRANÇA - Educação Especial, Inclusão Escolar e Adaptações Curriculares - Nota Máxima: 10")</f>
        <v>#SLLLA - Segunda Licenciatura em Letras - Libras - Segunda Licenciatura em Letras - Libras - GRACIETE LIMA DOS SANTOS ELOI DE FRANÇA - Educação Especial, Inclusão Escolar e Adaptações Curriculares - Nota Máxima: 10</v>
      </c>
    </row>
    <row r="2923">
      <c r="A2923" s="390" t="str">
        <f>IFERROR(__xludf.DUMMYFUNCTION("""COMPUTED_VALUE"""),"#SLLLA - Segunda Licenciatura em Letras - Libras - Segunda Licenciatura em Letras - Libras - GRACIETE LIMA DOS SANTOS ELOI DE FRANÇA - Educação Especial, Inclusão Escolar e Adaptações Curriculares - Nota Máxima: 8")</f>
        <v>#SLLLA - Segunda Licenciatura em Letras - Libras - Segunda Licenciatura em Letras - Libras - GRACIETE LIMA DOS SANTOS ELOI DE FRANÇA - Educação Especial, Inclusão Escolar e Adaptações Curriculares - Nota Máxima: 8</v>
      </c>
    </row>
    <row r="2924">
      <c r="A2924" s="390" t="str">
        <f>IFERROR(__xludf.DUMMYFUNCTION("""COMPUTED_VALUE"""),"#SLLLA - Segunda Licenciatura em Letras - Libras - Segunda Licenciatura em Letras - Libras - GRACIETE LIMA DOS SANTOS ELOI DE FRANÇA - Educação, História, Cultura e Práticas Indígenas/a - Nota Máxima: 8")</f>
        <v>#SLLLA - Segunda Licenciatura em Letras - Libras - Segunda Licenciatura em Letras - Libras - GRACIETE LIMA DOS SANTOS ELOI DE FRANÇA - Educação, História, Cultura e Práticas Indígenas/a - Nota Máxima: 8</v>
      </c>
    </row>
    <row r="2925">
      <c r="A2925" s="390" t="str">
        <f>IFERROR(__xludf.DUMMYFUNCTION("""COMPUTED_VALUE"""),"#SLLLA - Segunda Licenciatura em Letras - Libras - Segunda Licenciatura em Letras - Libras - GRACIETE LIMA DOS SANTOS ELOI DE FRANÇA - Educação, História, Cultura e Práticas Indígenas/a - Nota Máxima: 7")</f>
        <v>#SLLLA - Segunda Licenciatura em Letras - Libras - Segunda Licenciatura em Letras - Libras - GRACIETE LIMA DOS SANTOS ELOI DE FRANÇA - Educação, História, Cultura e Práticas Indígenas/a - Nota Máxima: 7</v>
      </c>
    </row>
    <row r="2926">
      <c r="A2926" s="390" t="str">
        <f>IFERROR(__xludf.DUMMYFUNCTION("""COMPUTED_VALUE"""),"#SLLLA - Segunda Licenciatura em Letras - Libras - Segunda Licenciatura em Letras - Libras - GRACIETE LIMA DOS SANTOS ELOI DE FRANÇA - Escola e Comunidade Surda - Nota Máxima: 9")</f>
        <v>#SLLLA - Segunda Licenciatura em Letras - Libras - Segunda Licenciatura em Letras - Libras - GRACIETE LIMA DOS SANTOS ELOI DE FRANÇA - Escola e Comunidade Surda - Nota Máxima: 9</v>
      </c>
    </row>
    <row r="2927">
      <c r="A2927" s="390" t="str">
        <f>IFERROR(__xludf.DUMMYFUNCTION("""COMPUTED_VALUE"""),"#SLLLA - Segunda Licenciatura em Letras - Libras - Segunda Licenciatura em Letras - Libras - GRACIETE LIMA DOS SANTOS ELOI DE FRANÇA - Escola e Comunidade Surda - Nota Máxima: 7")</f>
        <v>#SLLLA - Segunda Licenciatura em Letras - Libras - Segunda Licenciatura em Letras - Libras - GRACIETE LIMA DOS SANTOS ELOI DE FRANÇA - Escola e Comunidade Surda - Nota Máxima: 7</v>
      </c>
    </row>
    <row r="2928">
      <c r="A2928" s="390" t="str">
        <f>IFERROR(__xludf.DUMMYFUNCTION("""COMPUTED_VALUE"""),"#SLLLA - Segunda Licenciatura em Letras - Libras - Segunda Licenciatura em Letras - Libras - GRACIETE LIMA DOS SANTOS ELOI DE FRANÇA - Formação e Atuação do Intérprete de Libras - Nota Máxima: 9")</f>
        <v>#SLLLA - Segunda Licenciatura em Letras - Libras - Segunda Licenciatura em Letras - Libras - GRACIETE LIMA DOS SANTOS ELOI DE FRANÇA - Formação e Atuação do Intérprete de Libras - Nota Máxima: 9</v>
      </c>
    </row>
    <row r="2929">
      <c r="A2929" s="390" t="str">
        <f>IFERROR(__xludf.DUMMYFUNCTION("""COMPUTED_VALUE"""),"#SLLLA - Segunda Licenciatura em Letras - Libras - Segunda Licenciatura em Letras - Libras - GRACIETE LIMA DOS SANTOS ELOI DE FRANÇA - Formação e Atuação do Intérprete de Libras - Nota Máxima: 9")</f>
        <v>#SLLLA - Segunda Licenciatura em Letras - Libras - Segunda Licenciatura em Letras - Libras - GRACIETE LIMA DOS SANTOS ELOI DE FRANÇA - Formação e Atuação do Intérprete de Libras - Nota Máxima: 9</v>
      </c>
    </row>
    <row r="2930">
      <c r="A2930" s="390" t="str">
        <f>IFERROR(__xludf.DUMMYFUNCTION("""COMPUTED_VALUE"""),"#SLLLA - Segunda Licenciatura em Letras - Libras - Segunda Licenciatura em Letras - Libras - GRACIETE LIMA DOS SANTOS ELOI DE FRANÇA - Intérprete de Libras em Sala de Aula - Nota Máxima: 7")</f>
        <v>#SLLLA - Segunda Licenciatura em Letras - Libras - Segunda Licenciatura em Letras - Libras - GRACIETE LIMA DOS SANTOS ELOI DE FRANÇA - Intérprete de Libras em Sala de Aula - Nota Máxima: 7</v>
      </c>
    </row>
    <row r="2931">
      <c r="A2931" s="390" t="str">
        <f>IFERROR(__xludf.DUMMYFUNCTION("""COMPUTED_VALUE"""),"#SLLLA - Segunda Licenciatura em Letras - Libras - Segunda Licenciatura em Letras - Libras - GRACIETE LIMA DOS SANTOS ELOI DE FRANÇA - Intérprete de Libras em Sala de Aula - Nota Máxima: 8")</f>
        <v>#SLLLA - Segunda Licenciatura em Letras - Libras - Segunda Licenciatura em Letras - Libras - GRACIETE LIMA DOS SANTOS ELOI DE FRANÇA - Intérprete de Libras em Sala de Aula - Nota Máxima: 8</v>
      </c>
    </row>
    <row r="2932">
      <c r="A2932" s="390" t="str">
        <f>IFERROR(__xludf.DUMMYFUNCTION("""COMPUTED_VALUE"""),"#SLLLA - Segunda Licenciatura em Letras - Libras - Segunda Licenciatura em Letras - Libras - GRACIETE LIMA DOS SANTOS ELOI DE FRANÇA - Legislação Educacional/a - Nota Máxima: 7")</f>
        <v>#SLLLA - Segunda Licenciatura em Letras - Libras - Segunda Licenciatura em Letras - Libras - GRACIETE LIMA DOS SANTOS ELOI DE FRANÇA - Legislação Educacional/a - Nota Máxima: 7</v>
      </c>
    </row>
    <row r="2933">
      <c r="A2933" s="390" t="str">
        <f>IFERROR(__xludf.DUMMYFUNCTION("""COMPUTED_VALUE"""),"#SLLLA - Segunda Licenciatura em Letras - Libras - Segunda Licenciatura em Letras - Libras - GRACIETE LIMA DOS SANTOS ELOI DE FRANÇA - Legislação Educacional/a - Nota Máxima: 5")</f>
        <v>#SLLLA - Segunda Licenciatura em Letras - Libras - Segunda Licenciatura em Letras - Libras - GRACIETE LIMA DOS SANTOS ELOI DE FRANÇA - Legislação Educacional/a - Nota Máxima: 5</v>
      </c>
    </row>
    <row r="2934">
      <c r="A2934" s="390" t="str">
        <f>IFERROR(__xludf.DUMMYFUNCTION("""COMPUTED_VALUE"""),"#SLLLA - Segunda Licenciatura em Letras - Libras - Segunda Licenciatura em Letras - Libras - GRACIETE LIMA DOS SANTOS ELOI DE FRANÇA - Noções de Libras - Nota Máxima: 9")</f>
        <v>#SLLLA - Segunda Licenciatura em Letras - Libras - Segunda Licenciatura em Letras - Libras - GRACIETE LIMA DOS SANTOS ELOI DE FRANÇA - Noções de Libras - Nota Máxima: 9</v>
      </c>
    </row>
    <row r="2935">
      <c r="A2935" s="390" t="str">
        <f>IFERROR(__xludf.DUMMYFUNCTION("""COMPUTED_VALUE"""),"#SLLLA - Segunda Licenciatura em Letras - Libras - Segunda Licenciatura em Letras - Libras - GRACIETE LIMA DOS SANTOS ELOI DE FRANÇA - Noções de Libras - Nota Máxima: 9")</f>
        <v>#SLLLA - Segunda Licenciatura em Letras - Libras - Segunda Licenciatura em Letras - Libras - GRACIETE LIMA DOS SANTOS ELOI DE FRANÇA - Noções de Libras - Nota Máxima: 9</v>
      </c>
    </row>
    <row r="2936">
      <c r="A2936" s="390" t="str">
        <f>IFERROR(__xludf.DUMMYFUNCTION("""COMPUTED_VALUE"""),"#SLLLA - Segunda Licenciatura em Letras - Libras - Segunda Licenciatura em Letras - Libras - GRACIETE LIMA DOS SANTOS ELOI DE FRANÇA - Planejamento, Gestão Educacional e Currículo/a - Nota Máxima: 10")</f>
        <v>#SLLLA - Segunda Licenciatura em Letras - Libras - Segunda Licenciatura em Letras - Libras - GRACIETE LIMA DOS SANTOS ELOI DE FRANÇA - Planejamento, Gestão Educacional e Currículo/a - Nota Máxima: 10</v>
      </c>
    </row>
    <row r="2937">
      <c r="A2937" s="390" t="str">
        <f>IFERROR(__xludf.DUMMYFUNCTION("""COMPUTED_VALUE"""),"#SLLLA - Segunda Licenciatura em Letras - Libras - Segunda Licenciatura em Letras - Libras - GRACIETE LIMA DOS SANTOS ELOI DE FRANÇA - Planejamento, Gestão Educacional e Currículo/a - Nota Máxima: 10")</f>
        <v>#SLLLA - Segunda Licenciatura em Letras - Libras - Segunda Licenciatura em Letras - Libras - GRACIETE LIMA DOS SANTOS ELOI DE FRANÇA - Planejamento, Gestão Educacional e Currículo/a - Nota Máxima: 10</v>
      </c>
    </row>
    <row r="2938">
      <c r="A2938" s="390" t="str">
        <f>IFERROR(__xludf.DUMMYFUNCTION("""COMPUTED_VALUE"""),"#SLLLA - Segunda Licenciatura em Letras - Libras - Segunda Licenciatura em Letras - Libras - GRACIETE LIMA DOS SANTOS ELOI DE FRANÇA - Práticas Pedagógicas - 400 Horas - Nota Máxima: 4")</f>
        <v>#SLLLA - Segunda Licenciatura em Letras - Libras - Segunda Licenciatura em Letras - Libras - GRACIETE LIMA DOS SANTOS ELOI DE FRANÇA - Práticas Pedagógicas - 400 Horas - Nota Máxima: 4</v>
      </c>
    </row>
    <row r="2939">
      <c r="A2939" s="390" t="str">
        <f>IFERROR(__xludf.DUMMYFUNCTION("""COMPUTED_VALUE"""),"#SLLLA - Segunda Licenciatura em Letras - Libras - Segunda Licenciatura em Letras - Libras - GRACIETE LIMA DOS SANTOS ELOI DE FRANÇA - Práticas Pedagógicas - 400 Horas - Nota Máxima: 3")</f>
        <v>#SLLLA - Segunda Licenciatura em Letras - Libras - Segunda Licenciatura em Letras - Libras - GRACIETE LIMA DOS SANTOS ELOI DE FRANÇA - Práticas Pedagógicas - 400 Horas - Nota Máxima: 3</v>
      </c>
    </row>
    <row r="2940">
      <c r="A2940" s="390" t="str">
        <f>IFERROR(__xludf.DUMMYFUNCTION("""COMPUTED_VALUE"""),"#SLLLA - Segunda Licenciatura em Letras - Libras - Segunda Licenciatura em Letras - Libras - GRACIETE LIMA DOS SANTOS ELOI DE FRANÇA - Psicologia da Educação/a - Nota Máxima: 10")</f>
        <v>#SLLLA - Segunda Licenciatura em Letras - Libras - Segunda Licenciatura em Letras - Libras - GRACIETE LIMA DOS SANTOS ELOI DE FRANÇA - Psicologia da Educação/a - Nota Máxima: 10</v>
      </c>
    </row>
    <row r="2941">
      <c r="A2941" s="390" t="str">
        <f>IFERROR(__xludf.DUMMYFUNCTION("""COMPUTED_VALUE"""),"#SLLLA - Segunda Licenciatura em Letras - Libras - Segunda Licenciatura em Letras - Libras - GRACIETE LIMA DOS SANTOS ELOI DE FRANÇA - Psicologia da Educação/a - Nota Máxima: 8")</f>
        <v>#SLLLA - Segunda Licenciatura em Letras - Libras - Segunda Licenciatura em Letras - Libras - GRACIETE LIMA DOS SANTOS ELOI DE FRANÇA - Psicologia da Educação/a - Nota Máxima: 8</v>
      </c>
    </row>
    <row r="2942">
      <c r="A2942" s="390" t="str">
        <f>IFERROR(__xludf.DUMMYFUNCTION("""COMPUTED_VALUE"""),"#SLLLA - Segunda Licenciatura em Letras - Libras - Segunda Licenciatura em Letras - Libras - GRACIETE LIMA DOS SANTOS ELOI DE FRANÇA - Surdez e Educação de Surdos - Nota Máxima: 10")</f>
        <v>#SLLLA - Segunda Licenciatura em Letras - Libras - Segunda Licenciatura em Letras - Libras - GRACIETE LIMA DOS SANTOS ELOI DE FRANÇA - Surdez e Educação de Surdos - Nota Máxima: 10</v>
      </c>
    </row>
    <row r="2943">
      <c r="A2943" s="390" t="str">
        <f>IFERROR(__xludf.DUMMYFUNCTION("""COMPUTED_VALUE"""),"#SLLLA - Segunda Licenciatura em Letras - Libras - Segunda Licenciatura em Letras - Libras - GRACIETE LIMA DOS SANTOS ELOI DE FRANÇA - Surdez e Educação de Surdos - Nota Máxima: 10")</f>
        <v>#SLLLA - Segunda Licenciatura em Letras - Libras - Segunda Licenciatura em Letras - Libras - GRACIETE LIMA DOS SANTOS ELOI DE FRANÇA - Surdez e Educação de Surdos - Nota Máxima: 10</v>
      </c>
    </row>
    <row r="2944">
      <c r="A2944" s="390" t="str">
        <f>IFERROR(__xludf.DUMMYFUNCTION("""COMPUTED_VALUE"""),"#SLLLA - Segunda Licenciatura em Letras - Libras - Segunda Licenciatura em Letras - Libras - Ricardo dos Santos Aroucha - Deficiência Auditiva e Libras/a - Nota Máxima: 10")</f>
        <v>#SLLLA - Segunda Licenciatura em Letras - Libras - Segunda Licenciatura em Letras - Libras - Ricardo dos Santos Aroucha - Deficiência Auditiva e Libras/a - Nota Máxima: 10</v>
      </c>
    </row>
    <row r="2945">
      <c r="A2945" s="390" t="str">
        <f>IFERROR(__xludf.DUMMYFUNCTION("""COMPUTED_VALUE"""),"#SLLLA - Segunda Licenciatura em Letras - Libras - Segunda Licenciatura em Letras - Libras - Ricardo dos Santos Aroucha - Educação Especial, Inclusão Escolar e Adaptações Curriculares - Nota Máxima: 10")</f>
        <v>#SLLLA - Segunda Licenciatura em Letras - Libras - Segunda Licenciatura em Letras - Libras - Ricardo dos Santos Aroucha - Educação Especial, Inclusão Escolar e Adaptações Curriculares - Nota Máxima: 10</v>
      </c>
    </row>
    <row r="2946">
      <c r="A2946" s="390" t="str">
        <f>IFERROR(__xludf.DUMMYFUNCTION("""COMPUTED_VALUE"""),"#SLLLA - Segunda Licenciatura em Letras - Libras - Segunda Licenciatura em Letras - Libras - Ricardo dos Santos Aroucha - Legislação Educacional/a - Nota Máxima: 9")</f>
        <v>#SLLLA - Segunda Licenciatura em Letras - Libras - Segunda Licenciatura em Letras - Libras - Ricardo dos Santos Aroucha - Legislação Educacional/a - Nota Máxima: 9</v>
      </c>
    </row>
    <row r="2947">
      <c r="A2947" s="390" t="str">
        <f>IFERROR(__xludf.DUMMYFUNCTION("""COMPUTED_VALUE"""),"#SLLLA - Segunda Licenciatura em Letras - Libras - Segunda Licenciatura em Letras - Libras - Ricardo dos Santos Aroucha - Legislação Educacional/a - Nota Máxima: 8")</f>
        <v>#SLLLA - Segunda Licenciatura em Letras - Libras - Segunda Licenciatura em Letras - Libras - Ricardo dos Santos Aroucha - Legislação Educacional/a - Nota Máxima: 8</v>
      </c>
    </row>
    <row r="2948">
      <c r="A2948" s="390" t="str">
        <f>IFERROR(__xludf.DUMMYFUNCTION("""COMPUTED_VALUE"""),"#SLLLA - Segunda Licenciatura em Letras - Libras - Segunda Licenciatura em Letras - Libras - Ana Cristina Pereira Teles. - A Educação Especial e a Inclusão Escolar - Nota Máxima: 10")</f>
        <v>#SLLLA - Segunda Licenciatura em Letras - Libras - Segunda Licenciatura em Letras - Libras - Ana Cristina Pereira Teles. - A Educação Especial e a Inclusão Escolar - Nota Máxima: 10</v>
      </c>
    </row>
    <row r="2949">
      <c r="A2949" s="390" t="str">
        <f>IFERROR(__xludf.DUMMYFUNCTION("""COMPUTED_VALUE"""),"#SLLLA - Segunda Licenciatura em Letras - Libras - Segunda Licenciatura em Letras - Libras - Ana Cristina Pereira Teles. - A Educação Especial e a Inclusão Escolar - Nota Máxima: 6")</f>
        <v>#SLLLA - Segunda Licenciatura em Letras - Libras - Segunda Licenciatura em Letras - Libras - Ana Cristina Pereira Teles. - A Educação Especial e a Inclusão Escolar - Nota Máxima: 6</v>
      </c>
    </row>
    <row r="2950">
      <c r="A2950" s="390" t="str">
        <f>IFERROR(__xludf.DUMMYFUNCTION("""COMPUTED_VALUE"""),"#SLLLA - Segunda Licenciatura em Letras - Libras - Segunda Licenciatura em Letras - Libras - Ana Cristina Pereira Teles. - Aspectos Psicológicos da Pessoa com Deficiência - Nota Máxima: 10")</f>
        <v>#SLLLA - Segunda Licenciatura em Letras - Libras - Segunda Licenciatura em Letras - Libras - Ana Cristina Pereira Teles. - Aspectos Psicológicos da Pessoa com Deficiência - Nota Máxima: 10</v>
      </c>
    </row>
    <row r="2951">
      <c r="A2951" s="390" t="str">
        <f>IFERROR(__xludf.DUMMYFUNCTION("""COMPUTED_VALUE"""),"#SLLLA - Segunda Licenciatura em Letras - Libras - Segunda Licenciatura em Letras - Libras - Ana Cristina Pereira Teles. - Aspectos Psicológicos da Pessoa com Deficiência - Nota Máxima: 7")</f>
        <v>#SLLLA - Segunda Licenciatura em Letras - Libras - Segunda Licenciatura em Letras - Libras - Ana Cristina Pereira Teles. - Aspectos Psicológicos da Pessoa com Deficiência - Nota Máxima: 7</v>
      </c>
    </row>
    <row r="2952">
      <c r="A2952" s="390" t="str">
        <f>IFERROR(__xludf.DUMMYFUNCTION("""COMPUTED_VALUE"""),"#SLLLA - Segunda Licenciatura em Letras - Libras - Segunda Licenciatura em Letras - Libras - Ana Cristina Pereira Teles. - Deficiência Auditiva e Libras/a - Nota Máxima: 10")</f>
        <v>#SLLLA - Segunda Licenciatura em Letras - Libras - Segunda Licenciatura em Letras - Libras - Ana Cristina Pereira Teles. - Deficiência Auditiva e Libras/a - Nota Máxima: 10</v>
      </c>
    </row>
    <row r="2953">
      <c r="A2953" s="390" t="str">
        <f>IFERROR(__xludf.DUMMYFUNCTION("""COMPUTED_VALUE"""),"#SLLLA - Segunda Licenciatura em Letras - Libras - Segunda Licenciatura em Letras - Libras - Ana Cristina Pereira Teles. - Deficiência Auditiva e Libras/a - Nota Máxima: 8")</f>
        <v>#SLLLA - Segunda Licenciatura em Letras - Libras - Segunda Licenciatura em Letras - Libras - Ana Cristina Pereira Teles. - Deficiência Auditiva e Libras/a - Nota Máxima: 8</v>
      </c>
    </row>
    <row r="2954">
      <c r="A2954" s="390" t="str">
        <f>IFERROR(__xludf.DUMMYFUNCTION("""COMPUTED_VALUE"""),"#SLLLA - Segunda Licenciatura em Letras - Libras - Segunda Licenciatura em Letras - Libras - Ana Cristina Pereira Teles. - Educação Especial, Inclusão Escolar e Adaptações Curriculares - Nota Máxima: 10")</f>
        <v>#SLLLA - Segunda Licenciatura em Letras - Libras - Segunda Licenciatura em Letras - Libras - Ana Cristina Pereira Teles. - Educação Especial, Inclusão Escolar e Adaptações Curriculares - Nota Máxima: 10</v>
      </c>
    </row>
    <row r="2955">
      <c r="A2955" s="390" t="str">
        <f>IFERROR(__xludf.DUMMYFUNCTION("""COMPUTED_VALUE"""),"#SLLLA - Segunda Licenciatura em Letras - Libras - Segunda Licenciatura em Letras - Libras - Ana Cristina Pereira Teles. - Educação Especial, Inclusão Escolar e Adaptações Curriculares - Nota Máxima: 10")</f>
        <v>#SLLLA - Segunda Licenciatura em Letras - Libras - Segunda Licenciatura em Letras - Libras - Ana Cristina Pereira Teles. - Educação Especial, Inclusão Escolar e Adaptações Curriculares - Nota Máxima: 10</v>
      </c>
    </row>
    <row r="2956">
      <c r="A2956" s="390" t="str">
        <f>IFERROR(__xludf.DUMMYFUNCTION("""COMPUTED_VALUE"""),"#SLLLA - Segunda Licenciatura em Letras - Libras - Segunda Licenciatura em Letras - Libras - Ana Cristina Pereira Teles. - Educação, História, Cultura e Práticas Indígenas/a - Nota Máxima: 10")</f>
        <v>#SLLLA - Segunda Licenciatura em Letras - Libras - Segunda Licenciatura em Letras - Libras - Ana Cristina Pereira Teles. - Educação, História, Cultura e Práticas Indígenas/a - Nota Máxima: 10</v>
      </c>
    </row>
    <row r="2957">
      <c r="A2957" s="390" t="str">
        <f>IFERROR(__xludf.DUMMYFUNCTION("""COMPUTED_VALUE"""),"#SLLLA - Segunda Licenciatura em Letras - Libras - Segunda Licenciatura em Letras - Libras - Ana Cristina Pereira Teles. - Educação, História, Cultura e Práticas Indígenas/a - Nota Máxima: 8")</f>
        <v>#SLLLA - Segunda Licenciatura em Letras - Libras - Segunda Licenciatura em Letras - Libras - Ana Cristina Pereira Teles. - Educação, História, Cultura e Práticas Indígenas/a - Nota Máxima: 8</v>
      </c>
    </row>
    <row r="2958">
      <c r="A2958" s="390" t="str">
        <f>IFERROR(__xludf.DUMMYFUNCTION("""COMPUTED_VALUE"""),"#SLLLA - Segunda Licenciatura em Letras - Libras - Segunda Licenciatura em Letras - Libras - Ana Cristina Pereira Teles. - Escola e Comunidade Surda - Nota Máxima: 9")</f>
        <v>#SLLLA - Segunda Licenciatura em Letras - Libras - Segunda Licenciatura em Letras - Libras - Ana Cristina Pereira Teles. - Escola e Comunidade Surda - Nota Máxima: 9</v>
      </c>
    </row>
    <row r="2959">
      <c r="A2959" s="390" t="str">
        <f>IFERROR(__xludf.DUMMYFUNCTION("""COMPUTED_VALUE"""),"#SLLLA - Segunda Licenciatura em Letras - Libras - Segunda Licenciatura em Letras - Libras - Ana Cristina Pereira Teles. - Escola e Comunidade Surda - Nota Máxima: 9")</f>
        <v>#SLLLA - Segunda Licenciatura em Letras - Libras - Segunda Licenciatura em Letras - Libras - Ana Cristina Pereira Teles. - Escola e Comunidade Surda - Nota Máxima: 9</v>
      </c>
    </row>
    <row r="2960">
      <c r="A2960" s="390" t="str">
        <f>IFERROR(__xludf.DUMMYFUNCTION("""COMPUTED_VALUE"""),"#SLLLA - Segunda Licenciatura em Letras - Libras - Segunda Licenciatura em Letras - Libras - Ana Cristina Pereira Teles. - Formação e Atuação do Intérprete de Libras - Nota Máxima: 10")</f>
        <v>#SLLLA - Segunda Licenciatura em Letras - Libras - Segunda Licenciatura em Letras - Libras - Ana Cristina Pereira Teles. - Formação e Atuação do Intérprete de Libras - Nota Máxima: 10</v>
      </c>
    </row>
    <row r="2961">
      <c r="A2961" s="390" t="str">
        <f>IFERROR(__xludf.DUMMYFUNCTION("""COMPUTED_VALUE"""),"#SLLLA - Segunda Licenciatura em Letras - Libras - Segunda Licenciatura em Letras - Libras - Ana Cristina Pereira Teles. - Formação e Atuação do Intérprete de Libras - Nota Máxima: 10")</f>
        <v>#SLLLA - Segunda Licenciatura em Letras - Libras - Segunda Licenciatura em Letras - Libras - Ana Cristina Pereira Teles. - Formação e Atuação do Intérprete de Libras - Nota Máxima: 10</v>
      </c>
    </row>
    <row r="2962">
      <c r="A2962" s="390" t="str">
        <f>IFERROR(__xludf.DUMMYFUNCTION("""COMPUTED_VALUE"""),"#SLLLA - Segunda Licenciatura em Letras - Libras - Segunda Licenciatura em Letras - Libras - Ana Cristina Pereira Teles. - Intérprete de Libras em Sala de Aula - Nota Máxima: 9")</f>
        <v>#SLLLA - Segunda Licenciatura em Letras - Libras - Segunda Licenciatura em Letras - Libras - Ana Cristina Pereira Teles. - Intérprete de Libras em Sala de Aula - Nota Máxima: 9</v>
      </c>
    </row>
    <row r="2963">
      <c r="A2963" s="390" t="str">
        <f>IFERROR(__xludf.DUMMYFUNCTION("""COMPUTED_VALUE"""),"#SLLLA - Segunda Licenciatura em Letras - Libras - Segunda Licenciatura em Letras - Libras - Ana Cristina Pereira Teles. - Intérprete de Libras em Sala de Aula - Nota Máxima: 6")</f>
        <v>#SLLLA - Segunda Licenciatura em Letras - Libras - Segunda Licenciatura em Letras - Libras - Ana Cristina Pereira Teles. - Intérprete de Libras em Sala de Aula - Nota Máxima: 6</v>
      </c>
    </row>
    <row r="2964">
      <c r="A2964" s="390" t="str">
        <f>IFERROR(__xludf.DUMMYFUNCTION("""COMPUTED_VALUE"""),"#SLLLA - Segunda Licenciatura em Letras - Libras - Segunda Licenciatura em Letras - Libras - Ana Cristina Pereira Teles. - Legislação Educacional/a - Nota Máxima: 10")</f>
        <v>#SLLLA - Segunda Licenciatura em Letras - Libras - Segunda Licenciatura em Letras - Libras - Ana Cristina Pereira Teles. - Legislação Educacional/a - Nota Máxima: 10</v>
      </c>
    </row>
    <row r="2965">
      <c r="A2965" s="390" t="str">
        <f>IFERROR(__xludf.DUMMYFUNCTION("""COMPUTED_VALUE"""),"#SLLLA - Segunda Licenciatura em Letras - Libras - Segunda Licenciatura em Letras - Libras - Ana Cristina Pereira Teles. - Legislação Educacional/a - Nota Máxima: 8")</f>
        <v>#SLLLA - Segunda Licenciatura em Letras - Libras - Segunda Licenciatura em Letras - Libras - Ana Cristina Pereira Teles. - Legislação Educacional/a - Nota Máxima: 8</v>
      </c>
    </row>
    <row r="2966">
      <c r="A2966" s="390" t="str">
        <f>IFERROR(__xludf.DUMMYFUNCTION("""COMPUTED_VALUE"""),"#SLLLA - Segunda Licenciatura em Letras - Libras - Segunda Licenciatura em Letras - Libras - Ana Cristina Pereira Teles. - Noções de Libras - Nota Máxima: 10")</f>
        <v>#SLLLA - Segunda Licenciatura em Letras - Libras - Segunda Licenciatura em Letras - Libras - Ana Cristina Pereira Teles. - Noções de Libras - Nota Máxima: 10</v>
      </c>
    </row>
    <row r="2967">
      <c r="A2967" s="390" t="str">
        <f>IFERROR(__xludf.DUMMYFUNCTION("""COMPUTED_VALUE"""),"#SLLLA - Segunda Licenciatura em Letras - Libras - Segunda Licenciatura em Letras - Libras - Ana Cristina Pereira Teles. - Noções de Libras - Nota Máxima: 9")</f>
        <v>#SLLLA - Segunda Licenciatura em Letras - Libras - Segunda Licenciatura em Letras - Libras - Ana Cristina Pereira Teles. - Noções de Libras - Nota Máxima: 9</v>
      </c>
    </row>
    <row r="2968">
      <c r="A2968" s="390" t="str">
        <f>IFERROR(__xludf.DUMMYFUNCTION("""COMPUTED_VALUE"""),"#SLLLA - Segunda Licenciatura em Letras - Libras - Segunda Licenciatura em Letras - Libras - Ana Cristina Pereira Teles. - Planejamento, Gestão Educacional e Currículo/a - Nota Máxima: 10")</f>
        <v>#SLLLA - Segunda Licenciatura em Letras - Libras - Segunda Licenciatura em Letras - Libras - Ana Cristina Pereira Teles. - Planejamento, Gestão Educacional e Currículo/a - Nota Máxima: 10</v>
      </c>
    </row>
    <row r="2969">
      <c r="A2969" s="390" t="str">
        <f>IFERROR(__xludf.DUMMYFUNCTION("""COMPUTED_VALUE"""),"#SLLLA - Segunda Licenciatura em Letras - Libras - Segunda Licenciatura em Letras - Libras - Ana Cristina Pereira Teles. - Planejamento, Gestão Educacional e Currículo/a - Nota Máxima: 10")</f>
        <v>#SLLLA - Segunda Licenciatura em Letras - Libras - Segunda Licenciatura em Letras - Libras - Ana Cristina Pereira Teles. - Planejamento, Gestão Educacional e Currículo/a - Nota Máxima: 10</v>
      </c>
    </row>
    <row r="2970">
      <c r="A2970" s="390" t="str">
        <f>IFERROR(__xludf.DUMMYFUNCTION("""COMPUTED_VALUE"""),"#SLLLA - Segunda Licenciatura em Letras - Libras - Segunda Licenciatura em Letras - Libras - Ana Cristina Pereira Teles. - Práticas Pedagógicas - 400 Horas - Nota Máxima: 10")</f>
        <v>#SLLLA - Segunda Licenciatura em Letras - Libras - Segunda Licenciatura em Letras - Libras - Ana Cristina Pereira Teles. - Práticas Pedagógicas - 400 Horas - Nota Máxima: 10</v>
      </c>
    </row>
    <row r="2971">
      <c r="A2971" s="390" t="str">
        <f>IFERROR(__xludf.DUMMYFUNCTION("""COMPUTED_VALUE"""),"#SLLLA - Segunda Licenciatura em Letras - Libras - Segunda Licenciatura em Letras - Libras - Ana Cristina Pereira Teles. - Práticas Pedagógicas - 400 Horas - Nota Máxima: 10")</f>
        <v>#SLLLA - Segunda Licenciatura em Letras - Libras - Segunda Licenciatura em Letras - Libras - Ana Cristina Pereira Teles. - Práticas Pedagógicas - 400 Horas - Nota Máxima: 10</v>
      </c>
    </row>
    <row r="2972">
      <c r="A2972" s="390" t="str">
        <f>IFERROR(__xludf.DUMMYFUNCTION("""COMPUTED_VALUE"""),"#SLLLA - Segunda Licenciatura em Letras - Libras - Segunda Licenciatura em Letras - Libras - Ana Cristina Pereira Teles. - Psicologia da Educação/a - Nota Máxima: 10")</f>
        <v>#SLLLA - Segunda Licenciatura em Letras - Libras - Segunda Licenciatura em Letras - Libras - Ana Cristina Pereira Teles. - Psicologia da Educação/a - Nota Máxima: 10</v>
      </c>
    </row>
    <row r="2973">
      <c r="A2973" s="390" t="str">
        <f>IFERROR(__xludf.DUMMYFUNCTION("""COMPUTED_VALUE"""),"#SLLLA - Segunda Licenciatura em Letras - Libras - Segunda Licenciatura em Letras - Libras - Ana Cristina Pereira Teles. - Psicologia da Educação/a - Nota Máxima: 5")</f>
        <v>#SLLLA - Segunda Licenciatura em Letras - Libras - Segunda Licenciatura em Letras - Libras - Ana Cristina Pereira Teles. - Psicologia da Educação/a - Nota Máxima: 5</v>
      </c>
    </row>
    <row r="2974">
      <c r="A2974" s="390" t="str">
        <f>IFERROR(__xludf.DUMMYFUNCTION("""COMPUTED_VALUE"""),"#SLLLA - Segunda Licenciatura em Letras - Libras - Segunda Licenciatura em Letras - Libras - Ana Cristina Pereira Teles. - Surdez e Educação de Surdos - Nota Máxima: 10")</f>
        <v>#SLLLA - Segunda Licenciatura em Letras - Libras - Segunda Licenciatura em Letras - Libras - Ana Cristina Pereira Teles. - Surdez e Educação de Surdos - Nota Máxima: 10</v>
      </c>
    </row>
    <row r="2975">
      <c r="A2975" s="390" t="str">
        <f>IFERROR(__xludf.DUMMYFUNCTION("""COMPUTED_VALUE"""),"#SLLLA - Segunda Licenciatura em Letras - Libras - Segunda Licenciatura em Letras - Libras - Ana Cristina Pereira Teles. - Surdez e Educação de Surdos - Nota Máxima: 10")</f>
        <v>#SLLLA - Segunda Licenciatura em Letras - Libras - Segunda Licenciatura em Letras - Libras - Ana Cristina Pereira Teles. - Surdez e Educação de Surdos - Nota Máxima: 10</v>
      </c>
    </row>
    <row r="2976">
      <c r="A2976" s="390" t="str">
        <f>IFERROR(__xludf.DUMMYFUNCTION("""COMPUTED_VALUE"""),"#SLLLA - Segunda Licenciatura em Letras - Libras - Segunda Licenciatura em Letras - Libras - Gabriel pigosso ribeiro - A Educação Especial e a Inclusão Escolar - Nota Máxima: 9")</f>
        <v>#SLLLA - Segunda Licenciatura em Letras - Libras - Segunda Licenciatura em Letras - Libras - Gabriel pigosso ribeiro - A Educação Especial e a Inclusão Escolar - Nota Máxima: 9</v>
      </c>
    </row>
    <row r="2977">
      <c r="A2977" s="390" t="str">
        <f>IFERROR(__xludf.DUMMYFUNCTION("""COMPUTED_VALUE"""),"#SLLLA - Segunda Licenciatura em Letras - Libras - Segunda Licenciatura em Letras - Libras - Gabriel pigosso ribeiro - A Educação Especial e a Inclusão Escolar - Nota Máxima: 9")</f>
        <v>#SLLLA - Segunda Licenciatura em Letras - Libras - Segunda Licenciatura em Letras - Libras - Gabriel pigosso ribeiro - A Educação Especial e a Inclusão Escolar - Nota Máxima: 9</v>
      </c>
    </row>
    <row r="2978">
      <c r="A2978" s="390" t="str">
        <f>IFERROR(__xludf.DUMMYFUNCTION("""COMPUTED_VALUE"""),"#SLLLA - Segunda Licenciatura em Letras - Libras - Segunda Licenciatura em Letras - Libras - Gabriel pigosso ribeiro - Aspectos Psicológicos da Pessoa com Deficiência - Nota Máxima: 8")</f>
        <v>#SLLLA - Segunda Licenciatura em Letras - Libras - Segunda Licenciatura em Letras - Libras - Gabriel pigosso ribeiro - Aspectos Psicológicos da Pessoa com Deficiência - Nota Máxima: 8</v>
      </c>
    </row>
    <row r="2979">
      <c r="A2979" s="390" t="str">
        <f>IFERROR(__xludf.DUMMYFUNCTION("""COMPUTED_VALUE"""),"#SLLLA - Segunda Licenciatura em Letras - Libras - Segunda Licenciatura em Letras - Libras - Gabriel pigosso ribeiro - Aspectos Psicológicos da Pessoa com Deficiência - Nota Máxima: 8")</f>
        <v>#SLLLA - Segunda Licenciatura em Letras - Libras - Segunda Licenciatura em Letras - Libras - Gabriel pigosso ribeiro - Aspectos Psicológicos da Pessoa com Deficiência - Nota Máxima: 8</v>
      </c>
    </row>
    <row r="2980">
      <c r="A2980" s="390" t="str">
        <f>IFERROR(__xludf.DUMMYFUNCTION("""COMPUTED_VALUE"""),"#SLLLA - Segunda Licenciatura em Letras - Libras - Segunda Licenciatura em Letras - Libras - Gabriel pigosso ribeiro - Deficiência Auditiva e Libras/a - Nota Máxima: 9")</f>
        <v>#SLLLA - Segunda Licenciatura em Letras - Libras - Segunda Licenciatura em Letras - Libras - Gabriel pigosso ribeiro - Deficiência Auditiva e Libras/a - Nota Máxima: 9</v>
      </c>
    </row>
    <row r="2981">
      <c r="A2981" s="390" t="str">
        <f>IFERROR(__xludf.DUMMYFUNCTION("""COMPUTED_VALUE"""),"#SLLLA - Segunda Licenciatura em Letras - Libras - Segunda Licenciatura em Letras - Libras - Gabriel pigosso ribeiro - Deficiência Auditiva e Libras/a - Nota Máxima: 9")</f>
        <v>#SLLLA - Segunda Licenciatura em Letras - Libras - Segunda Licenciatura em Letras - Libras - Gabriel pigosso ribeiro - Deficiência Auditiva e Libras/a - Nota Máxima: 9</v>
      </c>
    </row>
    <row r="2982">
      <c r="A2982" s="390" t="str">
        <f>IFERROR(__xludf.DUMMYFUNCTION("""COMPUTED_VALUE"""),"#SLLLA - Segunda Licenciatura em Letras - Libras - Segunda Licenciatura em Letras - Libras - Gabriel pigosso ribeiro - Educação Especial, Inclusão Escolar e Adaptações Curriculares - Nota Máxima: 10")</f>
        <v>#SLLLA - Segunda Licenciatura em Letras - Libras - Segunda Licenciatura em Letras - Libras - Gabriel pigosso ribeiro - Educação Especial, Inclusão Escolar e Adaptações Curriculares - Nota Máxima: 10</v>
      </c>
    </row>
    <row r="2983">
      <c r="A2983" s="390" t="str">
        <f>IFERROR(__xludf.DUMMYFUNCTION("""COMPUTED_VALUE"""),"#SLLLA - Segunda Licenciatura em Letras - Libras - Segunda Licenciatura em Letras - Libras - Gabriel pigosso ribeiro - Educação Especial, Inclusão Escolar e Adaptações Curriculares - Nota Máxima: 10")</f>
        <v>#SLLLA - Segunda Licenciatura em Letras - Libras - Segunda Licenciatura em Letras - Libras - Gabriel pigosso ribeiro - Educação Especial, Inclusão Escolar e Adaptações Curriculares - Nota Máxima: 10</v>
      </c>
    </row>
    <row r="2984">
      <c r="A2984" s="390" t="str">
        <f>IFERROR(__xludf.DUMMYFUNCTION("""COMPUTED_VALUE"""),"#SLLLA - Segunda Licenciatura em Letras - Libras - Segunda Licenciatura em Letras - Libras - Gabriel pigosso ribeiro - Educação, História, Cultura e Práticas Indígenas/a - Nota Máxima: 9")</f>
        <v>#SLLLA - Segunda Licenciatura em Letras - Libras - Segunda Licenciatura em Letras - Libras - Gabriel pigosso ribeiro - Educação, História, Cultura e Práticas Indígenas/a - Nota Máxima: 9</v>
      </c>
    </row>
    <row r="2985">
      <c r="A2985" s="390" t="str">
        <f>IFERROR(__xludf.DUMMYFUNCTION("""COMPUTED_VALUE"""),"#SLLLA - Segunda Licenciatura em Letras - Libras - Segunda Licenciatura em Letras - Libras - Gabriel pigosso ribeiro - Educação, História, Cultura e Práticas Indígenas/a - Nota Máxima: 10")</f>
        <v>#SLLLA - Segunda Licenciatura em Letras - Libras - Segunda Licenciatura em Letras - Libras - Gabriel pigosso ribeiro - Educação, História, Cultura e Práticas Indígenas/a - Nota Máxima: 10</v>
      </c>
    </row>
    <row r="2986">
      <c r="A2986" s="390" t="str">
        <f>IFERROR(__xludf.DUMMYFUNCTION("""COMPUTED_VALUE"""),"#SLLLA - Segunda Licenciatura em Letras - Libras - Segunda Licenciatura em Letras - Libras - Gabriel pigosso ribeiro - Escola e Comunidade Surda - Nota Máxima: 7")</f>
        <v>#SLLLA - Segunda Licenciatura em Letras - Libras - Segunda Licenciatura em Letras - Libras - Gabriel pigosso ribeiro - Escola e Comunidade Surda - Nota Máxima: 7</v>
      </c>
    </row>
    <row r="2987">
      <c r="A2987" s="390" t="str">
        <f>IFERROR(__xludf.DUMMYFUNCTION("""COMPUTED_VALUE"""),"#SLLLA - Segunda Licenciatura em Letras - Libras - Segunda Licenciatura em Letras - Libras - Gabriel pigosso ribeiro - Escola e Comunidade Surda - Nota Máxima: 8")</f>
        <v>#SLLLA - Segunda Licenciatura em Letras - Libras - Segunda Licenciatura em Letras - Libras - Gabriel pigosso ribeiro - Escola e Comunidade Surda - Nota Máxima: 8</v>
      </c>
    </row>
    <row r="2988">
      <c r="A2988" s="390" t="str">
        <f>IFERROR(__xludf.DUMMYFUNCTION("""COMPUTED_VALUE"""),"#SLLLA - Segunda Licenciatura em Letras - Libras - Segunda Licenciatura em Letras - Libras - Gabriel pigosso ribeiro - Formação e Atuação do Intérprete de Libras - Nota Máxima: 9")</f>
        <v>#SLLLA - Segunda Licenciatura em Letras - Libras - Segunda Licenciatura em Letras - Libras - Gabriel pigosso ribeiro - Formação e Atuação do Intérprete de Libras - Nota Máxima: 9</v>
      </c>
    </row>
    <row r="2989">
      <c r="A2989" s="390" t="str">
        <f>IFERROR(__xludf.DUMMYFUNCTION("""COMPUTED_VALUE"""),"#SLLLA - Segunda Licenciatura em Letras - Libras - Segunda Licenciatura em Letras - Libras - Gabriel pigosso ribeiro - Formação e Atuação do Intérprete de Libras - Nota Máxima: 9")</f>
        <v>#SLLLA - Segunda Licenciatura em Letras - Libras - Segunda Licenciatura em Letras - Libras - Gabriel pigosso ribeiro - Formação e Atuação do Intérprete de Libras - Nota Máxima: 9</v>
      </c>
    </row>
    <row r="2990">
      <c r="A2990" s="390" t="str">
        <f>IFERROR(__xludf.DUMMYFUNCTION("""COMPUTED_VALUE"""),"#SLLLA - Segunda Licenciatura em Letras - Libras - Segunda Licenciatura em Letras - Libras - Gabriel pigosso ribeiro - Intérprete de Libras em Sala de Aula - Nota Máxima: 7")</f>
        <v>#SLLLA - Segunda Licenciatura em Letras - Libras - Segunda Licenciatura em Letras - Libras - Gabriel pigosso ribeiro - Intérprete de Libras em Sala de Aula - Nota Máxima: 7</v>
      </c>
    </row>
    <row r="2991">
      <c r="A2991" s="390" t="str">
        <f>IFERROR(__xludf.DUMMYFUNCTION("""COMPUTED_VALUE"""),"#SLLLA - Segunda Licenciatura em Letras - Libras - Segunda Licenciatura em Letras - Libras - Gabriel pigosso ribeiro - Intérprete de Libras em Sala de Aula - Nota Máxima: 6")</f>
        <v>#SLLLA - Segunda Licenciatura em Letras - Libras - Segunda Licenciatura em Letras - Libras - Gabriel pigosso ribeiro - Intérprete de Libras em Sala de Aula - Nota Máxima: 6</v>
      </c>
    </row>
    <row r="2992">
      <c r="A2992" s="390" t="str">
        <f>IFERROR(__xludf.DUMMYFUNCTION("""COMPUTED_VALUE"""),"#SLLLA - Segunda Licenciatura em Letras - Libras - Segunda Licenciatura em Letras - Libras - Gabriel pigosso ribeiro - Legislação Educacional/a - Nota Máxima: 9")</f>
        <v>#SLLLA - Segunda Licenciatura em Letras - Libras - Segunda Licenciatura em Letras - Libras - Gabriel pigosso ribeiro - Legislação Educacional/a - Nota Máxima: 9</v>
      </c>
    </row>
    <row r="2993">
      <c r="A2993" s="390" t="str">
        <f>IFERROR(__xludf.DUMMYFUNCTION("""COMPUTED_VALUE"""),"#SLLLA - Segunda Licenciatura em Letras - Libras - Segunda Licenciatura em Letras - Libras - Gabriel pigosso ribeiro - Legislação Educacional/a - Nota Máxima: 10")</f>
        <v>#SLLLA - Segunda Licenciatura em Letras - Libras - Segunda Licenciatura em Letras - Libras - Gabriel pigosso ribeiro - Legislação Educacional/a - Nota Máxima: 10</v>
      </c>
    </row>
    <row r="2994">
      <c r="A2994" s="390" t="str">
        <f>IFERROR(__xludf.DUMMYFUNCTION("""COMPUTED_VALUE"""),"#SLLLA - Segunda Licenciatura em Letras - Libras - Segunda Licenciatura em Letras - Libras - Gabriel pigosso ribeiro - Noções de Libras - Nota Máxima: 9")</f>
        <v>#SLLLA - Segunda Licenciatura em Letras - Libras - Segunda Licenciatura em Letras - Libras - Gabriel pigosso ribeiro - Noções de Libras - Nota Máxima: 9</v>
      </c>
    </row>
    <row r="2995">
      <c r="A2995" s="390" t="str">
        <f>IFERROR(__xludf.DUMMYFUNCTION("""COMPUTED_VALUE"""),"#SLLLA - Segunda Licenciatura em Letras - Libras - Segunda Licenciatura em Letras - Libras - Gabriel pigosso ribeiro - Noções de Libras - Nota Máxima: 8")</f>
        <v>#SLLLA - Segunda Licenciatura em Letras - Libras - Segunda Licenciatura em Letras - Libras - Gabriel pigosso ribeiro - Noções de Libras - Nota Máxima: 8</v>
      </c>
    </row>
    <row r="2996">
      <c r="A2996" s="390" t="str">
        <f>IFERROR(__xludf.DUMMYFUNCTION("""COMPUTED_VALUE"""),"#SLLLA - Segunda Licenciatura em Letras - Libras - Segunda Licenciatura em Letras - Libras - Gabriel pigosso ribeiro - Planejamento, Gestão Educacional e Currículo/a - Nota Máxima: 10")</f>
        <v>#SLLLA - Segunda Licenciatura em Letras - Libras - Segunda Licenciatura em Letras - Libras - Gabriel pigosso ribeiro - Planejamento, Gestão Educacional e Currículo/a - Nota Máxima: 10</v>
      </c>
    </row>
    <row r="2997">
      <c r="A2997" s="390" t="str">
        <f>IFERROR(__xludf.DUMMYFUNCTION("""COMPUTED_VALUE"""),"#SLLLA - Segunda Licenciatura em Letras - Libras - Segunda Licenciatura em Letras - Libras - Gabriel pigosso ribeiro - Planejamento, Gestão Educacional e Currículo/a - Nota Máxima: 10")</f>
        <v>#SLLLA - Segunda Licenciatura em Letras - Libras - Segunda Licenciatura em Letras - Libras - Gabriel pigosso ribeiro - Planejamento, Gestão Educacional e Currículo/a - Nota Máxima: 10</v>
      </c>
    </row>
    <row r="2998">
      <c r="A2998" s="390" t="str">
        <f>IFERROR(__xludf.DUMMYFUNCTION("""COMPUTED_VALUE"""),"#SLLLA - Segunda Licenciatura em Letras - Libras - Segunda Licenciatura em Letras - Libras - Gabriel pigosso ribeiro - Práticas Pedagógicas - 400 Horas - Nota Máxima: 10")</f>
        <v>#SLLLA - Segunda Licenciatura em Letras - Libras - Segunda Licenciatura em Letras - Libras - Gabriel pigosso ribeiro - Práticas Pedagógicas - 400 Horas - Nota Máxima: 10</v>
      </c>
    </row>
    <row r="2999">
      <c r="A2999" s="390" t="str">
        <f>IFERROR(__xludf.DUMMYFUNCTION("""COMPUTED_VALUE"""),"#SLLLA - Segunda Licenciatura em Letras - Libras - Segunda Licenciatura em Letras - Libras - Gabriel pigosso ribeiro - Práticas Pedagógicas - 400 Horas - Nota Máxima: 45784")</f>
        <v>#SLLLA - Segunda Licenciatura em Letras - Libras - Segunda Licenciatura em Letras - Libras - Gabriel pigosso ribeiro - Práticas Pedagógicas - 400 Horas - Nota Máxima: 45784</v>
      </c>
    </row>
    <row r="3000">
      <c r="A3000" s="390" t="str">
        <f>IFERROR(__xludf.DUMMYFUNCTION("""COMPUTED_VALUE"""),"#SLLLA - Segunda Licenciatura em Letras - Libras - Segunda Licenciatura em Letras - Libras - Gabriel pigosso ribeiro - Psicologia da Educação/a - Nota Máxima: 9")</f>
        <v>#SLLLA - Segunda Licenciatura em Letras - Libras - Segunda Licenciatura em Letras - Libras - Gabriel pigosso ribeiro - Psicologia da Educação/a - Nota Máxima: 9</v>
      </c>
    </row>
    <row r="3001">
      <c r="A3001" s="390" t="str">
        <f>IFERROR(__xludf.DUMMYFUNCTION("""COMPUTED_VALUE"""),"#SLLLA - Segunda Licenciatura em Letras - Libras - Segunda Licenciatura em Letras - Libras - Gabriel pigosso ribeiro - Psicologia da Educação/a - Nota Máxima: 10")</f>
        <v>#SLLLA - Segunda Licenciatura em Letras - Libras - Segunda Licenciatura em Letras - Libras - Gabriel pigosso ribeiro - Psicologia da Educação/a - Nota Máxima: 10</v>
      </c>
    </row>
    <row r="3002">
      <c r="A3002" s="390" t="str">
        <f>IFERROR(__xludf.DUMMYFUNCTION("""COMPUTED_VALUE"""),"#SLLLA - Segunda Licenciatura em Letras - Libras - Segunda Licenciatura em Letras - Libras - Gabriel pigosso ribeiro - Surdez e Educação de Surdos - Nota Máxima: 10")</f>
        <v>#SLLLA - Segunda Licenciatura em Letras - Libras - Segunda Licenciatura em Letras - Libras - Gabriel pigosso ribeiro - Surdez e Educação de Surdos - Nota Máxima: 10</v>
      </c>
    </row>
    <row r="3003">
      <c r="A3003" s="390" t="str">
        <f>IFERROR(__xludf.DUMMYFUNCTION("""COMPUTED_VALUE"""),"#SLLLA - Segunda Licenciatura em Letras - Libras - Segunda Licenciatura em Letras - Libras - Gabriel pigosso ribeiro - Surdez e Educação de Surdos - Nota Máxima: 10")</f>
        <v>#SLLLA - Segunda Licenciatura em Letras - Libras - Segunda Licenciatura em Letras - Libras - Gabriel pigosso ribeiro - Surdez e Educação de Surdos - Nota Máxima: 10</v>
      </c>
    </row>
    <row r="3004">
      <c r="A3004" s="390" t="str">
        <f>IFERROR(__xludf.DUMMYFUNCTION("""COMPUTED_VALUE"""),"Formação Pedagógica Letras - Libras - Formação Pedagógica Letras - Libras - Guilherme Alves Barbosa - A Educação Especial e a Inclusão Escolar - Nota Máxima: 8")</f>
        <v>Formação Pedagógica Letras - Libras - Formação Pedagógica Letras - Libras - Guilherme Alves Barbosa - A Educação Especial e a Inclusão Escolar - Nota Máxima: 8</v>
      </c>
    </row>
    <row r="3005">
      <c r="A3005" s="390" t="str">
        <f>IFERROR(__xludf.DUMMYFUNCTION("""COMPUTED_VALUE"""),"Formação Pedagógica Letras - Libras - Formação Pedagógica Letras - Libras - Guilherme Alves Barbosa - A Educação Especial e a Inclusão Escolar - Nota Máxima: 10")</f>
        <v>Formação Pedagógica Letras - Libras - Formação Pedagógica Letras - Libras - Guilherme Alves Barbosa - A Educação Especial e a Inclusão Escolar - Nota Máxima: 10</v>
      </c>
    </row>
    <row r="3006">
      <c r="A3006" s="390" t="str">
        <f>IFERROR(__xludf.DUMMYFUNCTION("""COMPUTED_VALUE"""),"Formação Pedagógica Letras - Libras - Formação Pedagógica Letras - Libras - Guilherme Alves Barbosa - Aspectos Psicológicos da Pessoa com Deficiência - Nota Máxima: 7")</f>
        <v>Formação Pedagógica Letras - Libras - Formação Pedagógica Letras - Libras - Guilherme Alves Barbosa - Aspectos Psicológicos da Pessoa com Deficiência - Nota Máxima: 7</v>
      </c>
    </row>
    <row r="3007">
      <c r="A3007" s="390" t="str">
        <f>IFERROR(__xludf.DUMMYFUNCTION("""COMPUTED_VALUE"""),"Formação Pedagógica Letras - Libras - Formação Pedagógica Letras - Libras - Guilherme Alves Barbosa - Aspectos Psicológicos da Pessoa com Deficiência - Nota Máxima: 10")</f>
        <v>Formação Pedagógica Letras - Libras - Formação Pedagógica Letras - Libras - Guilherme Alves Barbosa - Aspectos Psicológicos da Pessoa com Deficiência - Nota Máxima: 10</v>
      </c>
    </row>
    <row r="3008">
      <c r="A3008" s="390" t="str">
        <f>IFERROR(__xludf.DUMMYFUNCTION("""COMPUTED_VALUE"""),"Formação Pedagógica Letras - Libras - Formação Pedagógica Letras - Libras - Guilherme Alves Barbosa - Deficiência Auditiva e Libras/a - Nota Máxima: 10")</f>
        <v>Formação Pedagógica Letras - Libras - Formação Pedagógica Letras - Libras - Guilherme Alves Barbosa - Deficiência Auditiva e Libras/a - Nota Máxima: 10</v>
      </c>
    </row>
    <row r="3009">
      <c r="A3009" s="390" t="str">
        <f>IFERROR(__xludf.DUMMYFUNCTION("""COMPUTED_VALUE"""),"Formação Pedagógica Letras - Libras - Formação Pedagógica Letras - Libras - Guilherme Alves Barbosa - Deficiência Auditiva e Libras/a - Nota Máxima: 9")</f>
        <v>Formação Pedagógica Letras - Libras - Formação Pedagógica Letras - Libras - Guilherme Alves Barbosa - Deficiência Auditiva e Libras/a - Nota Máxima: 9</v>
      </c>
    </row>
    <row r="3010">
      <c r="A3010" s="390" t="str">
        <f>IFERROR(__xludf.DUMMYFUNCTION("""COMPUTED_VALUE"""),"Formação Pedagógica Letras - Libras - Formação Pedagógica Letras - Libras - Guilherme Alves Barbosa - Educação, História, Cultura e Práticas Indígenas/a - Nota Máxima: 7")</f>
        <v>Formação Pedagógica Letras - Libras - Formação Pedagógica Letras - Libras - Guilherme Alves Barbosa - Educação, História, Cultura e Práticas Indígenas/a - Nota Máxima: 7</v>
      </c>
    </row>
    <row r="3011">
      <c r="A3011" s="390" t="str">
        <f>IFERROR(__xludf.DUMMYFUNCTION("""COMPUTED_VALUE"""),"Formação Pedagógica Letras - Libras - Formação Pedagógica Letras - Libras - Guilherme Alves Barbosa - Educação, História, Cultura e Práticas Indígenas/a - Nota Máxima: 10")</f>
        <v>Formação Pedagógica Letras - Libras - Formação Pedagógica Letras - Libras - Guilherme Alves Barbosa - Educação, História, Cultura e Práticas Indígenas/a - Nota Máxima: 10</v>
      </c>
    </row>
    <row r="3012">
      <c r="A3012" s="390" t="str">
        <f>IFERROR(__xludf.DUMMYFUNCTION("""COMPUTED_VALUE"""),"Formação Pedagógica Letras - Libras - Formação Pedagógica Letras - Libras - Guilherme Alves Barbosa - Escola e Comunidade Surda - Nota Máxima: 9")</f>
        <v>Formação Pedagógica Letras - Libras - Formação Pedagógica Letras - Libras - Guilherme Alves Barbosa - Escola e Comunidade Surda - Nota Máxima: 9</v>
      </c>
    </row>
    <row r="3013">
      <c r="A3013" s="390" t="str">
        <f>IFERROR(__xludf.DUMMYFUNCTION("""COMPUTED_VALUE"""),"Formação Pedagógica Letras - Libras - Formação Pedagógica Letras - Libras - Guilherme Alves Barbosa - Escola e Comunidade Surda - Nota Máxima: 10")</f>
        <v>Formação Pedagógica Letras - Libras - Formação Pedagógica Letras - Libras - Guilherme Alves Barbosa - Escola e Comunidade Surda - Nota Máxima: 10</v>
      </c>
    </row>
    <row r="3014">
      <c r="A3014" s="390" t="str">
        <f>IFERROR(__xludf.DUMMYFUNCTION("""COMPUTED_VALUE"""),"Formação Pedagógica Letras - Libras - Formação Pedagógica Letras - Libras - Guilherme Alves Barbosa - Formação e Atuação do Intérprete de Libras - Nota Máxima: 10")</f>
        <v>Formação Pedagógica Letras - Libras - Formação Pedagógica Letras - Libras - Guilherme Alves Barbosa - Formação e Atuação do Intérprete de Libras - Nota Máxima: 10</v>
      </c>
    </row>
    <row r="3015">
      <c r="A3015" s="390" t="str">
        <f>IFERROR(__xludf.DUMMYFUNCTION("""COMPUTED_VALUE"""),"Formação Pedagógica Letras - Libras - Formação Pedagógica Letras - Libras - Guilherme Alves Barbosa - Formação e Atuação do Intérprete de Libras - Nota Máxima: 10")</f>
        <v>Formação Pedagógica Letras - Libras - Formação Pedagógica Letras - Libras - Guilherme Alves Barbosa - Formação e Atuação do Intérprete de Libras - Nota Máxima: 10</v>
      </c>
    </row>
    <row r="3016">
      <c r="A3016" s="390" t="str">
        <f>IFERROR(__xludf.DUMMYFUNCTION("""COMPUTED_VALUE"""),"Formação Pedagógica Letras - Libras - Formação Pedagógica Letras - Libras - Guilherme Alves Barbosa - Intérprete de Libras em Sala de Aula - Nota Máxima: 7")</f>
        <v>Formação Pedagógica Letras - Libras - Formação Pedagógica Letras - Libras - Guilherme Alves Barbosa - Intérprete de Libras em Sala de Aula - Nota Máxima: 7</v>
      </c>
    </row>
    <row r="3017">
      <c r="A3017" s="390" t="str">
        <f>IFERROR(__xludf.DUMMYFUNCTION("""COMPUTED_VALUE"""),"Formação Pedagógica Letras - Libras - Formação Pedagógica Letras - Libras - Guilherme Alves Barbosa - Intérprete de Libras em Sala de Aula - Nota Máxima: 10")</f>
        <v>Formação Pedagógica Letras - Libras - Formação Pedagógica Letras - Libras - Guilherme Alves Barbosa - Intérprete de Libras em Sala de Aula - Nota Máxima: 10</v>
      </c>
    </row>
    <row r="3018">
      <c r="A3018" s="390" t="str">
        <f>IFERROR(__xludf.DUMMYFUNCTION("""COMPUTED_VALUE"""),"Formação Pedagógica Letras - Libras - Formação Pedagógica Letras - Libras - Guilherme Alves Barbosa - Legislação Educacional/a - Nota Máxima: 7")</f>
        <v>Formação Pedagógica Letras - Libras - Formação Pedagógica Letras - Libras - Guilherme Alves Barbosa - Legislação Educacional/a - Nota Máxima: 7</v>
      </c>
    </row>
    <row r="3019">
      <c r="A3019" s="390" t="str">
        <f>IFERROR(__xludf.DUMMYFUNCTION("""COMPUTED_VALUE"""),"Formação Pedagógica Letras - Libras - Formação Pedagógica Letras - Libras - Guilherme Alves Barbosa - Legislação Educacional/a - Nota Máxima: 9")</f>
        <v>Formação Pedagógica Letras - Libras - Formação Pedagógica Letras - Libras - Guilherme Alves Barbosa - Legislação Educacional/a - Nota Máxima: 9</v>
      </c>
    </row>
    <row r="3020">
      <c r="A3020" s="390" t="str">
        <f>IFERROR(__xludf.DUMMYFUNCTION("""COMPUTED_VALUE"""),"Formação Pedagógica Letras - Libras - Formação Pedagógica Letras - Libras - Guilherme Alves Barbosa - Planejamento, Gestão Educacional e Currículo/a - Nota Máxima: 9")</f>
        <v>Formação Pedagógica Letras - Libras - Formação Pedagógica Letras - Libras - Guilherme Alves Barbosa - Planejamento, Gestão Educacional e Currículo/a - Nota Máxima: 9</v>
      </c>
    </row>
    <row r="3021">
      <c r="A3021" s="390" t="str">
        <f>IFERROR(__xludf.DUMMYFUNCTION("""COMPUTED_VALUE"""),"Formação Pedagógica Letras - Libras - Formação Pedagógica Letras - Libras - Guilherme Alves Barbosa - Planejamento, Gestão Educacional e Currículo/a - Nota Máxima: 8")</f>
        <v>Formação Pedagógica Letras - Libras - Formação Pedagógica Letras - Libras - Guilherme Alves Barbosa - Planejamento, Gestão Educacional e Currículo/a - Nota Máxima: 8</v>
      </c>
    </row>
    <row r="3022">
      <c r="A3022" s="390" t="str">
        <f>IFERROR(__xludf.DUMMYFUNCTION("""COMPUTED_VALUE"""),"Formação Pedagógica Letras - Libras - Formação Pedagógica Letras - Libras - Guilherme Alves Barbosa - Surdez e Educação de Surdos - Nota Máxima: 10")</f>
        <v>Formação Pedagógica Letras - Libras - Formação Pedagógica Letras - Libras - Guilherme Alves Barbosa - Surdez e Educação de Surdos - Nota Máxima: 10</v>
      </c>
    </row>
    <row r="3023">
      <c r="A3023" s="390" t="str">
        <f>IFERROR(__xludf.DUMMYFUNCTION("""COMPUTED_VALUE"""),"Formação Pedagógica Letras - Libras - Formação Pedagógica Letras - Libras - Guilherme Alves Barbosa - Surdez e Educação de Surdos - Nota Máxima: 10")</f>
        <v>Formação Pedagógica Letras - Libras - Formação Pedagógica Letras - Libras - Guilherme Alves Barbosa - Surdez e Educação de Surdos - Nota Máxima: 10</v>
      </c>
    </row>
    <row r="3024">
      <c r="A3024" s="390" t="str">
        <f>IFERROR(__xludf.DUMMYFUNCTION("""COMPUTED_VALUE"""),"Formação Pedagógica Letras - Libras - Formação Pedagógica Letras - Libras - Wesley Souza de Oliveira - A Educação Especial e a Inclusão Escolar - Nota Máxima: 10")</f>
        <v>Formação Pedagógica Letras - Libras - Formação Pedagógica Letras - Libras - Wesley Souza de Oliveira - A Educação Especial e a Inclusão Escolar - Nota Máxima: 10</v>
      </c>
    </row>
    <row r="3025">
      <c r="A3025" s="390" t="str">
        <f>IFERROR(__xludf.DUMMYFUNCTION("""COMPUTED_VALUE"""),"Formação Pedagógica Letras - Libras - Formação Pedagógica Letras - Libras - Wesley Souza de Oliveira - A Educação Especial e a Inclusão Escolar - Nota Máxima: 8")</f>
        <v>Formação Pedagógica Letras - Libras - Formação Pedagógica Letras - Libras - Wesley Souza de Oliveira - A Educação Especial e a Inclusão Escolar - Nota Máxima: 8</v>
      </c>
    </row>
    <row r="3026">
      <c r="A3026" s="390" t="str">
        <f>IFERROR(__xludf.DUMMYFUNCTION("""COMPUTED_VALUE"""),"Formação Pedagógica Letras - Libras - Formação Pedagógica Letras - Libras - Wesley Souza de Oliveira - Aspectos Psicológicos da Pessoa com Deficiência - Nota Máxima: 10")</f>
        <v>Formação Pedagógica Letras - Libras - Formação Pedagógica Letras - Libras - Wesley Souza de Oliveira - Aspectos Psicológicos da Pessoa com Deficiência - Nota Máxima: 10</v>
      </c>
    </row>
    <row r="3027">
      <c r="A3027" s="390" t="str">
        <f>IFERROR(__xludf.DUMMYFUNCTION("""COMPUTED_VALUE"""),"Formação Pedagógica Letras - Libras - Formação Pedagógica Letras - Libras - Wesley Souza de Oliveira - Aspectos Psicológicos da Pessoa com Deficiência - Nota Máxima: 8")</f>
        <v>Formação Pedagógica Letras - Libras - Formação Pedagógica Letras - Libras - Wesley Souza de Oliveira - Aspectos Psicológicos da Pessoa com Deficiência - Nota Máxima: 8</v>
      </c>
    </row>
    <row r="3028">
      <c r="A3028" s="390" t="str">
        <f>IFERROR(__xludf.DUMMYFUNCTION("""COMPUTED_VALUE"""),"Formação Pedagógica Letras - Libras - Formação Pedagógica Letras - Libras - Wesley Souza de Oliveira - Deficiência Auditiva e Libras/a - Nota Máxima: 10")</f>
        <v>Formação Pedagógica Letras - Libras - Formação Pedagógica Letras - Libras - Wesley Souza de Oliveira - Deficiência Auditiva e Libras/a - Nota Máxima: 10</v>
      </c>
    </row>
    <row r="3029">
      <c r="A3029" s="390" t="str">
        <f>IFERROR(__xludf.DUMMYFUNCTION("""COMPUTED_VALUE"""),"Formação Pedagógica Letras - Libras - Formação Pedagógica Letras - Libras - Wesley Souza de Oliveira - Deficiência Auditiva e Libras/a - Nota Máxima: 10")</f>
        <v>Formação Pedagógica Letras - Libras - Formação Pedagógica Letras - Libras - Wesley Souza de Oliveira - Deficiência Auditiva e Libras/a - Nota Máxima: 10</v>
      </c>
    </row>
    <row r="3030">
      <c r="A3030" s="390" t="str">
        <f>IFERROR(__xludf.DUMMYFUNCTION("""COMPUTED_VALUE"""),"Formação Pedagógica Letras - Libras - Formação Pedagógica Letras - Libras - Wesley Souza de Oliveira - Educação Especial, Inclusão Escolar e Adaptações Curriculares - Nota Máxima: 10")</f>
        <v>Formação Pedagógica Letras - Libras - Formação Pedagógica Letras - Libras - Wesley Souza de Oliveira - Educação Especial, Inclusão Escolar e Adaptações Curriculares - Nota Máxima: 10</v>
      </c>
    </row>
    <row r="3031">
      <c r="A3031" s="390" t="str">
        <f>IFERROR(__xludf.DUMMYFUNCTION("""COMPUTED_VALUE"""),"Formação Pedagógica Letras - Libras - Formação Pedagógica Letras - Libras - Wesley Souza de Oliveira - Educação Especial, Inclusão Escolar e Adaptações Curriculares - Nota Máxima: 9")</f>
        <v>Formação Pedagógica Letras - Libras - Formação Pedagógica Letras - Libras - Wesley Souza de Oliveira - Educação Especial, Inclusão Escolar e Adaptações Curriculares - Nota Máxima: 9</v>
      </c>
    </row>
    <row r="3032">
      <c r="A3032" s="390" t="str">
        <f>IFERROR(__xludf.DUMMYFUNCTION("""COMPUTED_VALUE"""),"Formação Pedagógica Letras - Libras - Formação Pedagógica Letras - Libras - Wesley Souza de Oliveira - Educação, História, Cultura e Práticas Indígenas/a - Nota Máxima: 10")</f>
        <v>Formação Pedagógica Letras - Libras - Formação Pedagógica Letras - Libras - Wesley Souza de Oliveira - Educação, História, Cultura e Práticas Indígenas/a - Nota Máxima: 10</v>
      </c>
    </row>
    <row r="3033">
      <c r="A3033" s="390" t="str">
        <f>IFERROR(__xludf.DUMMYFUNCTION("""COMPUTED_VALUE"""),"Formação Pedagógica Letras - Libras - Formação Pedagógica Letras - Libras - Wesley Souza de Oliveira - Educação, História, Cultura e Práticas Indígenas/a - Nota Máxima: 5")</f>
        <v>Formação Pedagógica Letras - Libras - Formação Pedagógica Letras - Libras - Wesley Souza de Oliveira - Educação, História, Cultura e Práticas Indígenas/a - Nota Máxima: 5</v>
      </c>
    </row>
    <row r="3034">
      <c r="A3034" s="390" t="str">
        <f>IFERROR(__xludf.DUMMYFUNCTION("""COMPUTED_VALUE"""),"Formação Pedagógica Letras - Libras - Formação Pedagógica Letras - Libras - Wesley Souza de Oliveira - Escola e Comunidade Surda - Nota Máxima: 10")</f>
        <v>Formação Pedagógica Letras - Libras - Formação Pedagógica Letras - Libras - Wesley Souza de Oliveira - Escola e Comunidade Surda - Nota Máxima: 10</v>
      </c>
    </row>
    <row r="3035">
      <c r="A3035" s="390" t="str">
        <f>IFERROR(__xludf.DUMMYFUNCTION("""COMPUTED_VALUE"""),"Formação Pedagógica Letras - Libras - Formação Pedagógica Letras - Libras - Wesley Souza de Oliveira - Escola e Comunidade Surda - Nota Máxima: 5")</f>
        <v>Formação Pedagógica Letras - Libras - Formação Pedagógica Letras - Libras - Wesley Souza de Oliveira - Escola e Comunidade Surda - Nota Máxima: 5</v>
      </c>
    </row>
    <row r="3036">
      <c r="A3036" s="390" t="str">
        <f>IFERROR(__xludf.DUMMYFUNCTION("""COMPUTED_VALUE"""),"Formação Pedagógica Letras - Libras - Formação Pedagógica Letras - Libras - Wesley Souza de Oliveira - Formação e Atuação do Intérprete de Libras - Nota Máxima: 10")</f>
        <v>Formação Pedagógica Letras - Libras - Formação Pedagógica Letras - Libras - Wesley Souza de Oliveira - Formação e Atuação do Intérprete de Libras - Nota Máxima: 10</v>
      </c>
    </row>
    <row r="3037">
      <c r="A3037" s="390" t="str">
        <f>IFERROR(__xludf.DUMMYFUNCTION("""COMPUTED_VALUE"""),"Formação Pedagógica Letras - Libras - Formação Pedagógica Letras - Libras - Wesley Souza de Oliveira - Formação e Atuação do Intérprete de Libras - Nota Máxima: 9")</f>
        <v>Formação Pedagógica Letras - Libras - Formação Pedagógica Letras - Libras - Wesley Souza de Oliveira - Formação e Atuação do Intérprete de Libras - Nota Máxima: 9</v>
      </c>
    </row>
    <row r="3038">
      <c r="A3038" s="390" t="str">
        <f>IFERROR(__xludf.DUMMYFUNCTION("""COMPUTED_VALUE"""),"Formação Pedagógica Letras - Libras - Formação Pedagógica Letras - Libras - Wesley Souza de Oliveira - Intérprete de Libras em Sala de Aula - Nota Máxima: 10")</f>
        <v>Formação Pedagógica Letras - Libras - Formação Pedagógica Letras - Libras - Wesley Souza de Oliveira - Intérprete de Libras em Sala de Aula - Nota Máxima: 10</v>
      </c>
    </row>
    <row r="3039">
      <c r="A3039" s="390" t="str">
        <f>IFERROR(__xludf.DUMMYFUNCTION("""COMPUTED_VALUE"""),"Formação Pedagógica Letras - Libras - Formação Pedagógica Letras - Libras - Wesley Souza de Oliveira - Intérprete de Libras em Sala de Aula - Nota Máxima: 8")</f>
        <v>Formação Pedagógica Letras - Libras - Formação Pedagógica Letras - Libras - Wesley Souza de Oliveira - Intérprete de Libras em Sala de Aula - Nota Máxima: 8</v>
      </c>
    </row>
    <row r="3040">
      <c r="A3040" s="390" t="str">
        <f>IFERROR(__xludf.DUMMYFUNCTION("""COMPUTED_VALUE"""),"Formação Pedagógica Letras - Libras - Formação Pedagógica Letras - Libras - Wesley Souza de Oliveira - Legislação Educacional/a - Nota Máxima: 10")</f>
        <v>Formação Pedagógica Letras - Libras - Formação Pedagógica Letras - Libras - Wesley Souza de Oliveira - Legislação Educacional/a - Nota Máxima: 10</v>
      </c>
    </row>
    <row r="3041">
      <c r="A3041" s="390" t="str">
        <f>IFERROR(__xludf.DUMMYFUNCTION("""COMPUTED_VALUE"""),"Formação Pedagógica Letras - Libras - Formação Pedagógica Letras - Libras - Wesley Souza de Oliveira - Legislação Educacional/a - Nota Máxima: 8")</f>
        <v>Formação Pedagógica Letras - Libras - Formação Pedagógica Letras - Libras - Wesley Souza de Oliveira - Legislação Educacional/a - Nota Máxima: 8</v>
      </c>
    </row>
    <row r="3042">
      <c r="A3042" s="390" t="str">
        <f>IFERROR(__xludf.DUMMYFUNCTION("""COMPUTED_VALUE"""),"Formação Pedagógica Letras - Libras - Formação Pedagógica Letras - Libras - Wesley Souza de Oliveira - Noções de Libras - Nota Máxima: 10")</f>
        <v>Formação Pedagógica Letras - Libras - Formação Pedagógica Letras - Libras - Wesley Souza de Oliveira - Noções de Libras - Nota Máxima: 10</v>
      </c>
    </row>
    <row r="3043">
      <c r="A3043" s="390" t="str">
        <f>IFERROR(__xludf.DUMMYFUNCTION("""COMPUTED_VALUE"""),"Formação Pedagógica Letras - Libras - Formação Pedagógica Letras - Libras - Wesley Souza de Oliveira - Noções de Libras - Nota Máxima: 9")</f>
        <v>Formação Pedagógica Letras - Libras - Formação Pedagógica Letras - Libras - Wesley Souza de Oliveira - Noções de Libras - Nota Máxima: 9</v>
      </c>
    </row>
    <row r="3044">
      <c r="A3044" s="390" t="str">
        <f>IFERROR(__xludf.DUMMYFUNCTION("""COMPUTED_VALUE"""),"Formação Pedagógica Letras - Libras - Formação Pedagógica Letras - Libras - Wesley Souza de Oliveira - Planejamento, Gestão Educacional e Currículo/a - Nota Máxima: 10")</f>
        <v>Formação Pedagógica Letras - Libras - Formação Pedagógica Letras - Libras - Wesley Souza de Oliveira - Planejamento, Gestão Educacional e Currículo/a - Nota Máxima: 10</v>
      </c>
    </row>
    <row r="3045">
      <c r="A3045" s="390" t="str">
        <f>IFERROR(__xludf.DUMMYFUNCTION("""COMPUTED_VALUE"""),"Formação Pedagógica Letras - Libras - Formação Pedagógica Letras - Libras - Wesley Souza de Oliveira - Planejamento, Gestão Educacional e Currículo/a - Nota Máxima: 10")</f>
        <v>Formação Pedagógica Letras - Libras - Formação Pedagógica Letras - Libras - Wesley Souza de Oliveira - Planejamento, Gestão Educacional e Currículo/a - Nota Máxima: 10</v>
      </c>
    </row>
    <row r="3046">
      <c r="A3046" s="390" t="str">
        <f>IFERROR(__xludf.DUMMYFUNCTION("""COMPUTED_VALUE"""),"Formação Pedagógica Letras - Libras - Formação Pedagógica Letras - Libras - Wesley Souza de Oliveira - Práticas Pedagógicas - 400 Horas - Nota Máxima: 3")</f>
        <v>Formação Pedagógica Letras - Libras - Formação Pedagógica Letras - Libras - Wesley Souza de Oliveira - Práticas Pedagógicas - 400 Horas - Nota Máxima: 3</v>
      </c>
    </row>
    <row r="3047">
      <c r="A3047" s="390" t="str">
        <f>IFERROR(__xludf.DUMMYFUNCTION("""COMPUTED_VALUE"""),"Formação Pedagógica Letras - Libras - Formação Pedagógica Letras - Libras - Wesley Souza de Oliveira - Práticas Pedagógicas - 400 Horas - Nota Máxima: 4")</f>
        <v>Formação Pedagógica Letras - Libras - Formação Pedagógica Letras - Libras - Wesley Souza de Oliveira - Práticas Pedagógicas - 400 Horas - Nota Máxima: 4</v>
      </c>
    </row>
    <row r="3048">
      <c r="A3048" s="390" t="str">
        <f>IFERROR(__xludf.DUMMYFUNCTION("""COMPUTED_VALUE"""),"Formação Pedagógica Letras - Libras - Formação Pedagógica Letras - Libras - Wesley Souza de Oliveira - Psicologia da Educação/a - Nota Máxima: 10")</f>
        <v>Formação Pedagógica Letras - Libras - Formação Pedagógica Letras - Libras - Wesley Souza de Oliveira - Psicologia da Educação/a - Nota Máxima: 10</v>
      </c>
    </row>
    <row r="3049">
      <c r="A3049" s="390" t="str">
        <f>IFERROR(__xludf.DUMMYFUNCTION("""COMPUTED_VALUE"""),"Formação Pedagógica Letras - Libras - Formação Pedagógica Letras - Libras - Wesley Souza de Oliveira - Psicologia da Educação/a - Nota Máxima: 8")</f>
        <v>Formação Pedagógica Letras - Libras - Formação Pedagógica Letras - Libras - Wesley Souza de Oliveira - Psicologia da Educação/a - Nota Máxima: 8</v>
      </c>
    </row>
    <row r="3050">
      <c r="A3050" s="390" t="str">
        <f>IFERROR(__xludf.DUMMYFUNCTION("""COMPUTED_VALUE"""),"Formação Pedagógica Letras - Libras - Formação Pedagógica Letras - Libras - Wesley Souza de Oliveira - Surdez e Educação de Surdos - Nota Máxima: 10")</f>
        <v>Formação Pedagógica Letras - Libras - Formação Pedagógica Letras - Libras - Wesley Souza de Oliveira - Surdez e Educação de Surdos - Nota Máxima: 10</v>
      </c>
    </row>
    <row r="3051">
      <c r="A3051" s="390" t="str">
        <f>IFERROR(__xludf.DUMMYFUNCTION("""COMPUTED_VALUE"""),"Formação Pedagógica Letras - Libras - Formação Pedagógica Letras - Libras - Wesley Souza de Oliveira - Surdez e Educação de Surdos - Nota Máxima: 8")</f>
        <v>Formação Pedagógica Letras - Libras - Formação Pedagógica Letras - Libras - Wesley Souza de Oliveira - Surdez e Educação de Surdos - Nota Máxima: 8</v>
      </c>
    </row>
    <row r="3052">
      <c r="A3052" s="390" t="str">
        <f>IFERROR(__xludf.DUMMYFUNCTION("""COMPUTED_VALUE"""),"Formação Pedagógica Letras - Libras - Formação Pedagógica Letras - Libras - Arelle Aparecida Abreu Azevedo Batista - Aspectos Psicológicos da Pessoa com Deficiência - Nota Máxima: 6")</f>
        <v>Formação Pedagógica Letras - Libras - Formação Pedagógica Letras - Libras - Arelle Aparecida Abreu Azevedo Batista - Aspectos Psicológicos da Pessoa com Deficiência - Nota Máxima: 6</v>
      </c>
    </row>
    <row r="3053">
      <c r="A3053" s="390" t="str">
        <f>IFERROR(__xludf.DUMMYFUNCTION("""COMPUTED_VALUE"""),"Formação Pedagógica Letras - Libras - Formação Pedagógica Letras - Libras - Arelle Aparecida Abreu Azevedo Batista - Deficiência Auditiva e Libras/a - Nota Máxima: 10")</f>
        <v>Formação Pedagógica Letras - Libras - Formação Pedagógica Letras - Libras - Arelle Aparecida Abreu Azevedo Batista - Deficiência Auditiva e Libras/a - Nota Máxima: 10</v>
      </c>
    </row>
    <row r="3054">
      <c r="A3054" s="390" t="str">
        <f>IFERROR(__xludf.DUMMYFUNCTION("""COMPUTED_VALUE"""),"Formação Pedagógica Letras - Libras - Formação Pedagógica Letras - Libras - Arelle Aparecida Abreu Azevedo Batista - Educação Especial, Inclusão Escolar e Adaptações Curriculares - Nota Máxima: 9")</f>
        <v>Formação Pedagógica Letras - Libras - Formação Pedagógica Letras - Libras - Arelle Aparecida Abreu Azevedo Batista - Educação Especial, Inclusão Escolar e Adaptações Curriculares - Nota Máxima: 9</v>
      </c>
    </row>
    <row r="3055">
      <c r="A3055" s="390" t="str">
        <f>IFERROR(__xludf.DUMMYFUNCTION("""COMPUTED_VALUE"""),"Formação Pedagógica Letras - Libras - Formação Pedagógica Letras - Libras - Arelle Aparecida Abreu Azevedo Batista - Educação, História, Cultura e Práticas Indígenas/a - Nota Máxima: 10")</f>
        <v>Formação Pedagógica Letras - Libras - Formação Pedagógica Letras - Libras - Arelle Aparecida Abreu Azevedo Batista - Educação, História, Cultura e Práticas Indígenas/a - Nota Máxima: 10</v>
      </c>
    </row>
    <row r="3056">
      <c r="A3056" s="390" t="str">
        <f>IFERROR(__xludf.DUMMYFUNCTION("""COMPUTED_VALUE"""),"Formação Pedagógica Letras - Libras - Formação Pedagógica Letras - Libras - Arelle Aparecida Abreu Azevedo Batista - Escola e Comunidade Surda - Nota Máxima: 9")</f>
        <v>Formação Pedagógica Letras - Libras - Formação Pedagógica Letras - Libras - Arelle Aparecida Abreu Azevedo Batista - Escola e Comunidade Surda - Nota Máxima: 9</v>
      </c>
    </row>
    <row r="3057">
      <c r="A3057" s="390" t="str">
        <f>IFERROR(__xludf.DUMMYFUNCTION("""COMPUTED_VALUE"""),"Formação Pedagógica Letras - Libras - Formação Pedagógica Letras - Libras - Arelle Aparecida Abreu Azevedo Batista - Formação e Atuação do Intérprete de Libras - Nota Máxima: 10")</f>
        <v>Formação Pedagógica Letras - Libras - Formação Pedagógica Letras - Libras - Arelle Aparecida Abreu Azevedo Batista - Formação e Atuação do Intérprete de Libras - Nota Máxima: 10</v>
      </c>
    </row>
    <row r="3058">
      <c r="A3058" s="390" t="str">
        <f>IFERROR(__xludf.DUMMYFUNCTION("""COMPUTED_VALUE"""),"Formação Pedagógica Letras - Libras - Formação Pedagógica Letras - Libras - Arelle Aparecida Abreu Azevedo Batista - Intérprete de Libras em Sala de Aula - Nota Máxima: 10")</f>
        <v>Formação Pedagógica Letras - Libras - Formação Pedagógica Letras - Libras - Arelle Aparecida Abreu Azevedo Batista - Intérprete de Libras em Sala de Aula - Nota Máxima: 10</v>
      </c>
    </row>
    <row r="3059">
      <c r="A3059" s="390" t="str">
        <f>IFERROR(__xludf.DUMMYFUNCTION("""COMPUTED_VALUE"""),"Formação Pedagógica Letras - Libras - Formação Pedagógica Letras - Libras - Arelle Aparecida Abreu Azevedo Batista - Legislação Educacional/a - Nota Máxima: 9")</f>
        <v>Formação Pedagógica Letras - Libras - Formação Pedagógica Letras - Libras - Arelle Aparecida Abreu Azevedo Batista - Legislação Educacional/a - Nota Máxima: 9</v>
      </c>
    </row>
    <row r="3060">
      <c r="A3060" s="390" t="str">
        <f>IFERROR(__xludf.DUMMYFUNCTION("""COMPUTED_VALUE"""),"Formação Pedagógica Letras - Libras - Formação Pedagógica Letras - Libras - Arelle Aparecida Abreu Azevedo Batista - Noções de Libras - Nota Máxima: 10")</f>
        <v>Formação Pedagógica Letras - Libras - Formação Pedagógica Letras - Libras - Arelle Aparecida Abreu Azevedo Batista - Noções de Libras - Nota Máxima: 10</v>
      </c>
    </row>
    <row r="3061">
      <c r="A3061" s="390" t="str">
        <f>IFERROR(__xludf.DUMMYFUNCTION("""COMPUTED_VALUE"""),"Formação Pedagógica Letras - Libras - Formação Pedagógica Letras - Libras - Arelle Aparecida Abreu Azevedo Batista - Planejamento, Gestão Educacional e Currículo/a - Nota Máxima: 10")</f>
        <v>Formação Pedagógica Letras - Libras - Formação Pedagógica Letras - Libras - Arelle Aparecida Abreu Azevedo Batista - Planejamento, Gestão Educacional e Currículo/a - Nota Máxima: 10</v>
      </c>
    </row>
    <row r="3062">
      <c r="A3062" s="390" t="str">
        <f>IFERROR(__xludf.DUMMYFUNCTION("""COMPUTED_VALUE"""),"Formação Pedagógica Letras - Libras - Formação Pedagógica Letras - Libras - Arelle Aparecida Abreu Azevedo Batista - Surdez e Educação de Surdos - Nota Máxima: 9")</f>
        <v>Formação Pedagógica Letras - Libras - Formação Pedagógica Letras - Libras - Arelle Aparecida Abreu Azevedo Batista - Surdez e Educação de Surdos - Nota Máxima: 9</v>
      </c>
    </row>
    <row r="3063">
      <c r="A3063" s="390" t="str">
        <f>IFERROR(__xludf.DUMMYFUNCTION("""COMPUTED_VALUE"""),"#SLFA - Segunda Licenciatura em Física - Segunda Licenciatura em Física - Ênio Chrystian Goulart de Oliveira - Atuação Docente na Educação Inclusiva - Nota Máxima: 10")</f>
        <v>#SLFA - Segunda Licenciatura em Física - Segunda Licenciatura em Física - Ênio Chrystian Goulart de Oliveira - Atuação Docente na Educação Inclusiva - Nota Máxima: 10</v>
      </c>
    </row>
    <row r="3064">
      <c r="A3064" s="390" t="str">
        <f>IFERROR(__xludf.DUMMYFUNCTION("""COMPUTED_VALUE"""),"#SLFA - Segunda Licenciatura em Física - Segunda Licenciatura em Física - Ênio Chrystian Goulart de Oliveira - Atuação Docente na Educação Inclusiva - Nota Máxima: 10")</f>
        <v>#SLFA - Segunda Licenciatura em Física - Segunda Licenciatura em Física - Ênio Chrystian Goulart de Oliveira - Atuação Docente na Educação Inclusiva - Nota Máxima: 10</v>
      </c>
    </row>
    <row r="3065">
      <c r="A3065" s="390" t="str">
        <f>IFERROR(__xludf.DUMMYFUNCTION("""COMPUTED_VALUE"""),"#SLFA - Segunda Licenciatura em Física - Segunda Licenciatura em Física - Ênio Chrystian Goulart de Oliveira - Cálculo - Nota Máxima: 9")</f>
        <v>#SLFA - Segunda Licenciatura em Física - Segunda Licenciatura em Física - Ênio Chrystian Goulart de Oliveira - Cálculo - Nota Máxima: 9</v>
      </c>
    </row>
    <row r="3066">
      <c r="A3066" s="390" t="str">
        <f>IFERROR(__xludf.DUMMYFUNCTION("""COMPUTED_VALUE"""),"#SLFA - Segunda Licenciatura em Física - Segunda Licenciatura em Física - Ênio Chrystian Goulart de Oliveira - Cálculo - Nota Máxima: 10")</f>
        <v>#SLFA - Segunda Licenciatura em Física - Segunda Licenciatura em Física - Ênio Chrystian Goulart de Oliveira - Cálculo - Nota Máxima: 10</v>
      </c>
    </row>
    <row r="3067">
      <c r="A3067" s="390" t="str">
        <f>IFERROR(__xludf.DUMMYFUNCTION("""COMPUTED_VALUE"""),"#SLFA - Segunda Licenciatura em Física - Segunda Licenciatura em Física - Ênio Chrystian Goulart de Oliveira - Deficiência Auditiva e Libras/a - Nota Máxima: 10")</f>
        <v>#SLFA - Segunda Licenciatura em Física - Segunda Licenciatura em Física - Ênio Chrystian Goulart de Oliveira - Deficiência Auditiva e Libras/a - Nota Máxima: 10</v>
      </c>
    </row>
    <row r="3068">
      <c r="A3068" s="390" t="str">
        <f>IFERROR(__xludf.DUMMYFUNCTION("""COMPUTED_VALUE"""),"#SLFA - Segunda Licenciatura em Física - Segunda Licenciatura em Física - Ênio Chrystian Goulart de Oliveira - Deficiência Auditiva e Libras/a - Nota Máxima: 9")</f>
        <v>#SLFA - Segunda Licenciatura em Física - Segunda Licenciatura em Física - Ênio Chrystian Goulart de Oliveira - Deficiência Auditiva e Libras/a - Nota Máxima: 9</v>
      </c>
    </row>
    <row r="3069">
      <c r="A3069" s="390" t="str">
        <f>IFERROR(__xludf.DUMMYFUNCTION("""COMPUTED_VALUE"""),"#SLFA - Segunda Licenciatura em Física - Segunda Licenciatura em Física - Ênio Chrystian Goulart de Oliveira - Educação Especial, Inclusão Escolar e Adaptações Curriculares - Nota Máxima: 10")</f>
        <v>#SLFA - Segunda Licenciatura em Física - Segunda Licenciatura em Física - Ênio Chrystian Goulart de Oliveira - Educação Especial, Inclusão Escolar e Adaptações Curriculares - Nota Máxima: 10</v>
      </c>
    </row>
    <row r="3070">
      <c r="A3070" s="390" t="str">
        <f>IFERROR(__xludf.DUMMYFUNCTION("""COMPUTED_VALUE"""),"#SLFA - Segunda Licenciatura em Física - Segunda Licenciatura em Física - Ênio Chrystian Goulart de Oliveira - Educação Especial, Inclusão Escolar e Adaptações Curriculares - Nota Máxima: 9")</f>
        <v>#SLFA - Segunda Licenciatura em Física - Segunda Licenciatura em Física - Ênio Chrystian Goulart de Oliveira - Educação Especial, Inclusão Escolar e Adaptações Curriculares - Nota Máxima: 9</v>
      </c>
    </row>
    <row r="3071">
      <c r="A3071" s="390" t="str">
        <f>IFERROR(__xludf.DUMMYFUNCTION("""COMPUTED_VALUE"""),"#SLFA - Segunda Licenciatura em Física - Segunda Licenciatura em Física - Ênio Chrystian Goulart de Oliveira - Educação, História, Cultura e Práticas Indígenas/a - Nota Máxima: 9")</f>
        <v>#SLFA - Segunda Licenciatura em Física - Segunda Licenciatura em Física - Ênio Chrystian Goulart de Oliveira - Educação, História, Cultura e Práticas Indígenas/a - Nota Máxima: 9</v>
      </c>
    </row>
    <row r="3072">
      <c r="A3072" s="390" t="str">
        <f>IFERROR(__xludf.DUMMYFUNCTION("""COMPUTED_VALUE"""),"#SLFA - Segunda Licenciatura em Física - Segunda Licenciatura em Física - Ênio Chrystian Goulart de Oliveira - Educação, História, Cultura e Práticas Indígenas/a - Nota Máxima: 7")</f>
        <v>#SLFA - Segunda Licenciatura em Física - Segunda Licenciatura em Física - Ênio Chrystian Goulart de Oliveira - Educação, História, Cultura e Práticas Indígenas/a - Nota Máxima: 7</v>
      </c>
    </row>
    <row r="3073">
      <c r="A3073" s="390" t="str">
        <f>IFERROR(__xludf.DUMMYFUNCTION("""COMPUTED_VALUE"""),"#SLFA - Segunda Licenciatura em Física - Segunda Licenciatura em Física - Ênio Chrystian Goulart de Oliveira - Física Quântica e Relatividade - Nota Máxima: 8")</f>
        <v>#SLFA - Segunda Licenciatura em Física - Segunda Licenciatura em Física - Ênio Chrystian Goulart de Oliveira - Física Quântica e Relatividade - Nota Máxima: 8</v>
      </c>
    </row>
    <row r="3074">
      <c r="A3074" s="390" t="str">
        <f>IFERROR(__xludf.DUMMYFUNCTION("""COMPUTED_VALUE"""),"#SLFA - Segunda Licenciatura em Física - Segunda Licenciatura em Física - Ênio Chrystian Goulart de Oliveira - Física Quântica e Relatividade - Nota Máxima: 10")</f>
        <v>#SLFA - Segunda Licenciatura em Física - Segunda Licenciatura em Física - Ênio Chrystian Goulart de Oliveira - Física Quântica e Relatividade - Nota Máxima: 10</v>
      </c>
    </row>
    <row r="3075">
      <c r="A3075" s="390" t="str">
        <f>IFERROR(__xludf.DUMMYFUNCTION("""COMPUTED_VALUE"""),"#SLFA - Segunda Licenciatura em Física - Segunda Licenciatura em Física - Ênio Chrystian Goulart de Oliveira - Geometria Analítica - Nota Máxima: 10")</f>
        <v>#SLFA - Segunda Licenciatura em Física - Segunda Licenciatura em Física - Ênio Chrystian Goulart de Oliveira - Geometria Analítica - Nota Máxima: 10</v>
      </c>
    </row>
    <row r="3076">
      <c r="A3076" s="390" t="str">
        <f>IFERROR(__xludf.DUMMYFUNCTION("""COMPUTED_VALUE"""),"#SLFA - Segunda Licenciatura em Física - Segunda Licenciatura em Física - Ênio Chrystian Goulart de Oliveira - Geometria Analítica - Nota Máxima: 10")</f>
        <v>#SLFA - Segunda Licenciatura em Física - Segunda Licenciatura em Física - Ênio Chrystian Goulart de Oliveira - Geometria Analítica - Nota Máxima: 10</v>
      </c>
    </row>
    <row r="3077">
      <c r="A3077" s="390" t="str">
        <f>IFERROR(__xludf.DUMMYFUNCTION("""COMPUTED_VALUE"""),"#SLFA - Segunda Licenciatura em Física - Segunda Licenciatura em Física - Ênio Chrystian Goulart de Oliveira - Legislação Educacional/a - Nota Máxima: 9")</f>
        <v>#SLFA - Segunda Licenciatura em Física - Segunda Licenciatura em Física - Ênio Chrystian Goulart de Oliveira - Legislação Educacional/a - Nota Máxima: 9</v>
      </c>
    </row>
    <row r="3078">
      <c r="A3078" s="390" t="str">
        <f>IFERROR(__xludf.DUMMYFUNCTION("""COMPUTED_VALUE"""),"#SLFA - Segunda Licenciatura em Física - Segunda Licenciatura em Física - Ênio Chrystian Goulart de Oliveira - Legislação Educacional/a - Nota Máxima: 6")</f>
        <v>#SLFA - Segunda Licenciatura em Física - Segunda Licenciatura em Física - Ênio Chrystian Goulart de Oliveira - Legislação Educacional/a - Nota Máxima: 6</v>
      </c>
    </row>
    <row r="3079">
      <c r="A3079" s="390" t="str">
        <f>IFERROR(__xludf.DUMMYFUNCTION("""COMPUTED_VALUE"""),"#SLFA - Segunda Licenciatura em Física - Segunda Licenciatura em Física - Ênio Chrystian Goulart de Oliveira - Matemática e Raciocínio Lógico - Nota Máxima: 10")</f>
        <v>#SLFA - Segunda Licenciatura em Física - Segunda Licenciatura em Física - Ênio Chrystian Goulart de Oliveira - Matemática e Raciocínio Lógico - Nota Máxima: 10</v>
      </c>
    </row>
    <row r="3080">
      <c r="A3080" s="390" t="str">
        <f>IFERROR(__xludf.DUMMYFUNCTION("""COMPUTED_VALUE"""),"#SLFA - Segunda Licenciatura em Física - Segunda Licenciatura em Física - Ênio Chrystian Goulart de Oliveira - Matemática e Raciocínio Lógico - Nota Máxima: 10")</f>
        <v>#SLFA - Segunda Licenciatura em Física - Segunda Licenciatura em Física - Ênio Chrystian Goulart de Oliveira - Matemática e Raciocínio Lógico - Nota Máxima: 10</v>
      </c>
    </row>
    <row r="3081">
      <c r="A3081" s="390" t="str">
        <f>IFERROR(__xludf.DUMMYFUNCTION("""COMPUTED_VALUE"""),"#SLFA - Segunda Licenciatura em Física - Segunda Licenciatura em Física - Ênio Chrystian Goulart de Oliveira - Ondas Eletromagnéticas - Nota Máxima: 9")</f>
        <v>#SLFA - Segunda Licenciatura em Física - Segunda Licenciatura em Física - Ênio Chrystian Goulart de Oliveira - Ondas Eletromagnéticas - Nota Máxima: 9</v>
      </c>
    </row>
    <row r="3082">
      <c r="A3082" s="390" t="str">
        <f>IFERROR(__xludf.DUMMYFUNCTION("""COMPUTED_VALUE"""),"#SLFA - Segunda Licenciatura em Física - Segunda Licenciatura em Física - Ênio Chrystian Goulart de Oliveira - Ondas Eletromagnéticas - Nota Máxima: 10")</f>
        <v>#SLFA - Segunda Licenciatura em Física - Segunda Licenciatura em Física - Ênio Chrystian Goulart de Oliveira - Ondas Eletromagnéticas - Nota Máxima: 10</v>
      </c>
    </row>
    <row r="3083">
      <c r="A3083" s="390" t="str">
        <f>IFERROR(__xludf.DUMMYFUNCTION("""COMPUTED_VALUE"""),"#SLFA - Segunda Licenciatura em Física - Segunda Licenciatura em Física - Ênio Chrystian Goulart de Oliveira - Planejamento, Gestão Educacional e Currículo/a - Nota Máxima: 9")</f>
        <v>#SLFA - Segunda Licenciatura em Física - Segunda Licenciatura em Física - Ênio Chrystian Goulart de Oliveira - Planejamento, Gestão Educacional e Currículo/a - Nota Máxima: 9</v>
      </c>
    </row>
    <row r="3084">
      <c r="A3084" s="390" t="str">
        <f>IFERROR(__xludf.DUMMYFUNCTION("""COMPUTED_VALUE"""),"#SLFA - Segunda Licenciatura em Física - Segunda Licenciatura em Física - Ênio Chrystian Goulart de Oliveira - Planejamento, Gestão Educacional e Currículo/a - Nota Máxima: 9")</f>
        <v>#SLFA - Segunda Licenciatura em Física - Segunda Licenciatura em Física - Ênio Chrystian Goulart de Oliveira - Planejamento, Gestão Educacional e Currículo/a - Nota Máxima: 9</v>
      </c>
    </row>
    <row r="3085">
      <c r="A3085" s="390" t="str">
        <f>IFERROR(__xludf.DUMMYFUNCTION("""COMPUTED_VALUE"""),"#SLFA - Segunda Licenciatura em Física - Segunda Licenciatura em Física - Ênio Chrystian Goulart de Oliveira - Psicologia da Educação/a - Nota Máxima: 10")</f>
        <v>#SLFA - Segunda Licenciatura em Física - Segunda Licenciatura em Física - Ênio Chrystian Goulart de Oliveira - Psicologia da Educação/a - Nota Máxima: 10</v>
      </c>
    </row>
    <row r="3086">
      <c r="A3086" s="390" t="str">
        <f>IFERROR(__xludf.DUMMYFUNCTION("""COMPUTED_VALUE"""),"#SLFA - Segunda Licenciatura em Física - Segunda Licenciatura em Física - Ênio Chrystian Goulart de Oliveira - Psicologia da Educação/a - Nota Máxima: 7")</f>
        <v>#SLFA - Segunda Licenciatura em Física - Segunda Licenciatura em Física - Ênio Chrystian Goulart de Oliveira - Psicologia da Educação/a - Nota Máxima: 7</v>
      </c>
    </row>
    <row r="3087">
      <c r="A3087" s="390" t="str">
        <f>IFERROR(__xludf.DUMMYFUNCTION("""COMPUTED_VALUE"""),"#SLFA - Segunda Licenciatura em Física - Segunda Licenciatura em Física - Ênio Chrystian Goulart de Oliveira - Termodinâmica - Nota Máxima: 10")</f>
        <v>#SLFA - Segunda Licenciatura em Física - Segunda Licenciatura em Física - Ênio Chrystian Goulart de Oliveira - Termodinâmica - Nota Máxima: 10</v>
      </c>
    </row>
    <row r="3088">
      <c r="A3088" s="390" t="str">
        <f>IFERROR(__xludf.DUMMYFUNCTION("""COMPUTED_VALUE"""),"#SLFA - Segunda Licenciatura em Física - Segunda Licenciatura em Física - Ênio Chrystian Goulart de Oliveira - Termodinâmica - Nota Máxima: 10")</f>
        <v>#SLFA - Segunda Licenciatura em Física - Segunda Licenciatura em Física - Ênio Chrystian Goulart de Oliveira - Termodinâmica - Nota Máxima: 10</v>
      </c>
    </row>
    <row r="3089">
      <c r="A3089" s="390" t="str">
        <f>IFERROR(__xludf.DUMMYFUNCTION("""COMPUTED_VALUE"""),"#SLFA - Segunda Licenciatura em Física - Segunda Licenciatura em Física - welhyngton Ribeiro Teodoro - Atuação Docente na Educação Inclusiva - Nota Máxima: 9")</f>
        <v>#SLFA - Segunda Licenciatura em Física - Segunda Licenciatura em Física - welhyngton Ribeiro Teodoro - Atuação Docente na Educação Inclusiva - Nota Máxima: 9</v>
      </c>
    </row>
    <row r="3090">
      <c r="A3090" s="390" t="str">
        <f>IFERROR(__xludf.DUMMYFUNCTION("""COMPUTED_VALUE"""),"#SLFA - Segunda Licenciatura em Física - Segunda Licenciatura em Física - welhyngton Ribeiro Teodoro - Cálculo - Nota Máxima: 8")</f>
        <v>#SLFA - Segunda Licenciatura em Física - Segunda Licenciatura em Física - welhyngton Ribeiro Teodoro - Cálculo - Nota Máxima: 8</v>
      </c>
    </row>
    <row r="3091">
      <c r="A3091" s="390" t="str">
        <f>IFERROR(__xludf.DUMMYFUNCTION("""COMPUTED_VALUE"""),"#SLFA - Segunda Licenciatura em Física - Segunda Licenciatura em Física - welhyngton Ribeiro Teodoro - Deficiência Auditiva e Libras/a - Nota Máxima: 9")</f>
        <v>#SLFA - Segunda Licenciatura em Física - Segunda Licenciatura em Física - welhyngton Ribeiro Teodoro - Deficiência Auditiva e Libras/a - Nota Máxima: 9</v>
      </c>
    </row>
    <row r="3092">
      <c r="A3092" s="390" t="str">
        <f>IFERROR(__xludf.DUMMYFUNCTION("""COMPUTED_VALUE"""),"#SLFA - Segunda Licenciatura em Física - Segunda Licenciatura em Física - welhyngton Ribeiro Teodoro - Educação Especial, Inclusão Escolar e Adaptações Curriculares - Nota Máxima: 10")</f>
        <v>#SLFA - Segunda Licenciatura em Física - Segunda Licenciatura em Física - welhyngton Ribeiro Teodoro - Educação Especial, Inclusão Escolar e Adaptações Curriculares - Nota Máxima: 10</v>
      </c>
    </row>
    <row r="3093">
      <c r="A3093" s="390" t="str">
        <f>IFERROR(__xludf.DUMMYFUNCTION("""COMPUTED_VALUE"""),"#SLFA - Segunda Licenciatura em Física - Segunda Licenciatura em Física - welhyngton Ribeiro Teodoro - Educação, História, Cultura e Práticas Indígenas/a - Nota Máxima: 10")</f>
        <v>#SLFA - Segunda Licenciatura em Física - Segunda Licenciatura em Física - welhyngton Ribeiro Teodoro - Educação, História, Cultura e Práticas Indígenas/a - Nota Máxima: 10</v>
      </c>
    </row>
    <row r="3094">
      <c r="A3094" s="390" t="str">
        <f>IFERROR(__xludf.DUMMYFUNCTION("""COMPUTED_VALUE"""),"#SLFA - Segunda Licenciatura em Física - Segunda Licenciatura em Física - welhyngton Ribeiro Teodoro - Física Quântica e Relatividade - Nota Máxima: 9")</f>
        <v>#SLFA - Segunda Licenciatura em Física - Segunda Licenciatura em Física - welhyngton Ribeiro Teodoro - Física Quântica e Relatividade - Nota Máxima: 9</v>
      </c>
    </row>
    <row r="3095">
      <c r="A3095" s="390" t="str">
        <f>IFERROR(__xludf.DUMMYFUNCTION("""COMPUTED_VALUE"""),"#SLFA - Segunda Licenciatura em Física - Segunda Licenciatura em Física - welhyngton Ribeiro Teodoro - Geometria Analítica - Nota Máxima: 9")</f>
        <v>#SLFA - Segunda Licenciatura em Física - Segunda Licenciatura em Física - welhyngton Ribeiro Teodoro - Geometria Analítica - Nota Máxima: 9</v>
      </c>
    </row>
    <row r="3096">
      <c r="A3096" s="390" t="str">
        <f>IFERROR(__xludf.DUMMYFUNCTION("""COMPUTED_VALUE"""),"#SLFA - Segunda Licenciatura em Física - Segunda Licenciatura em Física - welhyngton Ribeiro Teodoro - Legislação Educacional/a - Nota Máxima: 8")</f>
        <v>#SLFA - Segunda Licenciatura em Física - Segunda Licenciatura em Física - welhyngton Ribeiro Teodoro - Legislação Educacional/a - Nota Máxima: 8</v>
      </c>
    </row>
    <row r="3097">
      <c r="A3097" s="390" t="str">
        <f>IFERROR(__xludf.DUMMYFUNCTION("""COMPUTED_VALUE"""),"#SLFA - Segunda Licenciatura em Física - Segunda Licenciatura em Física - welhyngton Ribeiro Teodoro - Matemática e Raciocínio Lógico - Nota Máxima: 9")</f>
        <v>#SLFA - Segunda Licenciatura em Física - Segunda Licenciatura em Física - welhyngton Ribeiro Teodoro - Matemática e Raciocínio Lógico - Nota Máxima: 9</v>
      </c>
    </row>
    <row r="3098">
      <c r="A3098" s="390" t="str">
        <f>IFERROR(__xludf.DUMMYFUNCTION("""COMPUTED_VALUE"""),"#SLFA - Segunda Licenciatura em Física - Segunda Licenciatura em Física - welhyngton Ribeiro Teodoro - Ondas Eletromagnéticas - Nota Máxima: 10")</f>
        <v>#SLFA - Segunda Licenciatura em Física - Segunda Licenciatura em Física - welhyngton Ribeiro Teodoro - Ondas Eletromagnéticas - Nota Máxima: 10</v>
      </c>
    </row>
    <row r="3099">
      <c r="A3099" s="390" t="str">
        <f>IFERROR(__xludf.DUMMYFUNCTION("""COMPUTED_VALUE"""),"#SLFA - Segunda Licenciatura em Física - Segunda Licenciatura em Física - welhyngton Ribeiro Teodoro - Planejamento, Gestão Educacional e Currículo/a - Nota Máxima: 10")</f>
        <v>#SLFA - Segunda Licenciatura em Física - Segunda Licenciatura em Física - welhyngton Ribeiro Teodoro - Planejamento, Gestão Educacional e Currículo/a - Nota Máxima: 10</v>
      </c>
    </row>
    <row r="3100">
      <c r="A3100" s="390" t="str">
        <f>IFERROR(__xludf.DUMMYFUNCTION("""COMPUTED_VALUE"""),"#SLFA - Segunda Licenciatura em Física - Segunda Licenciatura em Física - welhyngton Ribeiro Teodoro - Psicologia da Educação/a - Nota Máxima: 10")</f>
        <v>#SLFA - Segunda Licenciatura em Física - Segunda Licenciatura em Física - welhyngton Ribeiro Teodoro - Psicologia da Educação/a - Nota Máxima: 10</v>
      </c>
    </row>
    <row r="3101">
      <c r="A3101" s="390" t="str">
        <f>IFERROR(__xludf.DUMMYFUNCTION("""COMPUTED_VALUE"""),"#SLFA - Segunda Licenciatura em Física - Segunda Licenciatura em Física - welhyngton Ribeiro Teodoro - Termodinâmica - Nota Máxima: 10")</f>
        <v>#SLFA - Segunda Licenciatura em Física - Segunda Licenciatura em Física - welhyngton Ribeiro Teodoro - Termodinâmica - Nota Máxima: 10</v>
      </c>
    </row>
    <row r="3102">
      <c r="A3102" s="390" t="str">
        <f>IFERROR(__xludf.DUMMYFUNCTION("""COMPUTED_VALUE"""),"Formação Pedagógica História - Formação Pedagógica História - Maria Gislene de Souza - História Antiga e Medieval - Nota Máxima: 10")</f>
        <v>Formação Pedagógica História - Formação Pedagógica História - Maria Gislene de Souza - História Antiga e Medieval - Nota Máxima: 10</v>
      </c>
    </row>
    <row r="3103">
      <c r="A3103" s="390" t="str">
        <f>IFERROR(__xludf.DUMMYFUNCTION("""COMPUTED_VALUE"""),"Formação Pedagógica História - Formação Pedagógica História - Maria Gislene de Souza - História Antiga e Medieval - Nota Máxima: 3")</f>
        <v>Formação Pedagógica História - Formação Pedagógica História - Maria Gislene de Souza - História Antiga e Medieval - Nota Máxima: 3</v>
      </c>
    </row>
    <row r="3104">
      <c r="A3104" s="390" t="str">
        <f>IFERROR(__xludf.DUMMYFUNCTION("""COMPUTED_VALUE"""),"Formação Pedagógica História - Formação Pedagógica História - Maria Gislene de Souza - História Moderna e Contemporânea - Nota Máxima: 10")</f>
        <v>Formação Pedagógica História - Formação Pedagógica História - Maria Gislene de Souza - História Moderna e Contemporânea - Nota Máxima: 10</v>
      </c>
    </row>
    <row r="3105">
      <c r="A3105" s="390" t="str">
        <f>IFERROR(__xludf.DUMMYFUNCTION("""COMPUTED_VALUE"""),"Formação Pedagógica História - Formação Pedagógica História - Maria Gislene de Souza - História Moderna e Contemporânea - Nota Máxima: 8")</f>
        <v>Formação Pedagógica História - Formação Pedagógica História - Maria Gislene de Souza - História Moderna e Contemporânea - Nota Máxima: 8</v>
      </c>
    </row>
    <row r="3106">
      <c r="A3106" s="390" t="str">
        <f>IFERROR(__xludf.DUMMYFUNCTION("""COMPUTED_VALUE"""),"Formação Pedagógica História - Formação Pedagógica História - Maria Gislene de Souza - Metodologia do Ensino da História - Nota Máxima: 10")</f>
        <v>Formação Pedagógica História - Formação Pedagógica História - Maria Gislene de Souza - Metodologia do Ensino da História - Nota Máxima: 10</v>
      </c>
    </row>
    <row r="3107">
      <c r="A3107" s="390" t="str">
        <f>IFERROR(__xludf.DUMMYFUNCTION("""COMPUTED_VALUE"""),"Formação Pedagógica História - Formação Pedagógica História - Maria Gislene de Souza - Metodologia do Ensino da História - Nota Máxima: 10")</f>
        <v>Formação Pedagógica História - Formação Pedagógica História - Maria Gislene de Souza - Metodologia do Ensino da História - Nota Máxima: 10</v>
      </c>
    </row>
    <row r="3108">
      <c r="A3108" s="390" t="str">
        <f>IFERROR(__xludf.DUMMYFUNCTION("""COMPUTED_VALUE"""),"Formação Pedagógica História - Formação Pedagógica História - Maria Gislene de Souza - Teorias da História - Nota Máxima: 10")</f>
        <v>Formação Pedagógica História - Formação Pedagógica História - Maria Gislene de Souza - Teorias da História - Nota Máxima: 10</v>
      </c>
    </row>
    <row r="3109">
      <c r="A3109" s="390" t="str">
        <f>IFERROR(__xludf.DUMMYFUNCTION("""COMPUTED_VALUE"""),"Formação Pedagógica História - Formação Pedagógica História - Maria Gislene de Souza - Teorias da História - Nota Máxima: 5")</f>
        <v>Formação Pedagógica História - Formação Pedagógica História - Maria Gislene de Souza - Teorias da História - Nota Máxima: 5</v>
      </c>
    </row>
    <row r="3110">
      <c r="A3110" s="390" t="str">
        <f>IFERROR(__xludf.DUMMYFUNCTION("""COMPUTED_VALUE"""),"Formação Pedagógica História - Formação Pedagógica História - Antonio Gonçalves Neto - Cultura e Diversidade II - Nota Máxima: 9")</f>
        <v>Formação Pedagógica História - Formação Pedagógica História - Antonio Gonçalves Neto - Cultura e Diversidade II - Nota Máxima: 9</v>
      </c>
    </row>
    <row r="3111">
      <c r="A3111" s="390" t="str">
        <f>IFERROR(__xludf.DUMMYFUNCTION("""COMPUTED_VALUE"""),"Formação Pedagógica História - Formação Pedagógica História - Antonio Gonçalves Neto - Deficiência Auditiva e Libras/a - Nota Máxima: 10")</f>
        <v>Formação Pedagógica História - Formação Pedagógica História - Antonio Gonçalves Neto - Deficiência Auditiva e Libras/a - Nota Máxima: 10</v>
      </c>
    </row>
    <row r="3112">
      <c r="A3112" s="390" t="str">
        <f>IFERROR(__xludf.DUMMYFUNCTION("""COMPUTED_VALUE"""),"Formação Pedagógica História - Formação Pedagógica História - Antonio Gonçalves Neto - Desenvolvimento do Capital Humano - Nota Máxima: 9")</f>
        <v>Formação Pedagógica História - Formação Pedagógica História - Antonio Gonçalves Neto - Desenvolvimento do Capital Humano - Nota Máxima: 9</v>
      </c>
    </row>
    <row r="3113">
      <c r="A3113" s="390" t="str">
        <f>IFERROR(__xludf.DUMMYFUNCTION("""COMPUTED_VALUE"""),"Formação Pedagógica História - Formação Pedagógica História - Antonio Gonçalves Neto - Educação Especial, Inclusão Escolar e Adaptações Curriculares - Nota Máxima: 7")</f>
        <v>Formação Pedagógica História - Formação Pedagógica História - Antonio Gonçalves Neto - Educação Especial, Inclusão Escolar e Adaptações Curriculares - Nota Máxima: 7</v>
      </c>
    </row>
    <row r="3114">
      <c r="A3114" s="390" t="str">
        <f>IFERROR(__xludf.DUMMYFUNCTION("""COMPUTED_VALUE"""),"Formação Pedagógica História - Formação Pedagógica História - Antonio Gonçalves Neto - Educação, História, Cultura e Práticas Indígenas/a - Nota Máxima: 9")</f>
        <v>Formação Pedagógica História - Formação Pedagógica História - Antonio Gonçalves Neto - Educação, História, Cultura e Práticas Indígenas/a - Nota Máxima: 9</v>
      </c>
    </row>
    <row r="3115">
      <c r="A3115" s="390" t="str">
        <f>IFERROR(__xludf.DUMMYFUNCTION("""COMPUTED_VALUE"""),"Formação Pedagógica História - Formação Pedagógica História - Antonio Gonçalves Neto - Estudos Populacionais - Nota Máxima: 9")</f>
        <v>Formação Pedagógica História - Formação Pedagógica História - Antonio Gonçalves Neto - Estudos Populacionais - Nota Máxima: 9</v>
      </c>
    </row>
    <row r="3116">
      <c r="A3116" s="390" t="str">
        <f>IFERROR(__xludf.DUMMYFUNCTION("""COMPUTED_VALUE"""),"Formação Pedagógica História - Formação Pedagógica História - Antonio Gonçalves Neto - História Antiga e Medieval - Nota Máxima: 8")</f>
        <v>Formação Pedagógica História - Formação Pedagógica História - Antonio Gonçalves Neto - História Antiga e Medieval - Nota Máxima: 8</v>
      </c>
    </row>
    <row r="3117">
      <c r="A3117" s="390" t="str">
        <f>IFERROR(__xludf.DUMMYFUNCTION("""COMPUTED_VALUE"""),"Formação Pedagógica História - Formação Pedagógica História - Antonio Gonçalves Neto - História Moderna e Contemporânea - Nota Máxima: 8")</f>
        <v>Formação Pedagógica História - Formação Pedagógica História - Antonio Gonçalves Neto - História Moderna e Contemporânea - Nota Máxima: 8</v>
      </c>
    </row>
    <row r="3118">
      <c r="A3118" s="390" t="str">
        <f>IFERROR(__xludf.DUMMYFUNCTION("""COMPUTED_VALUE"""),"Formação Pedagógica História - Formação Pedagógica História - Antonio Gonçalves Neto - Legislação Educacional/a - Nota Máxima: 7")</f>
        <v>Formação Pedagógica História - Formação Pedagógica História - Antonio Gonçalves Neto - Legislação Educacional/a - Nota Máxima: 7</v>
      </c>
    </row>
    <row r="3119">
      <c r="A3119" s="390" t="str">
        <f>IFERROR(__xludf.DUMMYFUNCTION("""COMPUTED_VALUE"""),"Formação Pedagógica História - Formação Pedagógica História - Antonio Gonçalves Neto - Metodologia do Ensino da História - Nota Máxima: 10")</f>
        <v>Formação Pedagógica História - Formação Pedagógica História - Antonio Gonçalves Neto - Metodologia do Ensino da História - Nota Máxima: 10</v>
      </c>
    </row>
    <row r="3120">
      <c r="A3120" s="390" t="str">
        <f>IFERROR(__xludf.DUMMYFUNCTION("""COMPUTED_VALUE"""),"Formação Pedagógica História - Formação Pedagógica História - Antonio Gonçalves Neto - Planejamento, Gestão Educacional e Currículo/a - Nota Máxima: 10")</f>
        <v>Formação Pedagógica História - Formação Pedagógica História - Antonio Gonçalves Neto - Planejamento, Gestão Educacional e Currículo/a - Nota Máxima: 10</v>
      </c>
    </row>
    <row r="3121">
      <c r="A3121" s="390" t="str">
        <f>IFERROR(__xludf.DUMMYFUNCTION("""COMPUTED_VALUE"""),"Formação Pedagógica História - Formação Pedagógica História - Antonio Gonçalves Neto - Práticas Pedagógicas - 400 Horas - Nota Máxima: 45784")</f>
        <v>Formação Pedagógica História - Formação Pedagógica História - Antonio Gonçalves Neto - Práticas Pedagógicas - 400 Horas - Nota Máxima: 45784</v>
      </c>
    </row>
    <row r="3122">
      <c r="A3122" s="390" t="str">
        <f>IFERROR(__xludf.DUMMYFUNCTION("""COMPUTED_VALUE"""),"Formação Pedagógica História - Formação Pedagógica História - Antonio Gonçalves Neto - Psicologia da Educação/a - Nota Máxima: 8")</f>
        <v>Formação Pedagógica História - Formação Pedagógica História - Antonio Gonçalves Neto - Psicologia da Educação/a - Nota Máxima: 8</v>
      </c>
    </row>
    <row r="3123">
      <c r="A3123" s="390" t="str">
        <f>IFERROR(__xludf.DUMMYFUNCTION("""COMPUTED_VALUE"""),"Formação Pedagógica História - Formação Pedagógica História - Antonio Gonçalves Neto - Teorias da História - Nota Máxima: 10")</f>
        <v>Formação Pedagógica História - Formação Pedagógica História - Antonio Gonçalves Neto - Teorias da História - Nota Máxima: 10</v>
      </c>
    </row>
    <row r="3124">
      <c r="A3124" s="390" t="str">
        <f>IFERROR(__xludf.DUMMYFUNCTION("""COMPUTED_VALUE"""),"Formação Pedagógica História - Formação Pedagógica História - Givaldo Cristiniano dos Santos Junior - Cultura e Diversidade II - Nota Máxima: 10")</f>
        <v>Formação Pedagógica História - Formação Pedagógica História - Givaldo Cristiniano dos Santos Junior - Cultura e Diversidade II - Nota Máxima: 10</v>
      </c>
    </row>
    <row r="3125">
      <c r="A3125" s="390" t="str">
        <f>IFERROR(__xludf.DUMMYFUNCTION("""COMPUTED_VALUE"""),"Formação Pedagógica História - Formação Pedagógica História - Givaldo Cristiniano dos Santos Junior - Cultura e Diversidade II - Nota Máxima: 9")</f>
        <v>Formação Pedagógica História - Formação Pedagógica História - Givaldo Cristiniano dos Santos Junior - Cultura e Diversidade II - Nota Máxima: 9</v>
      </c>
    </row>
    <row r="3126">
      <c r="A3126" s="390" t="str">
        <f>IFERROR(__xludf.DUMMYFUNCTION("""COMPUTED_VALUE"""),"Formação Pedagógica História - Formação Pedagógica História - Givaldo Cristiniano dos Santos Junior - Deficiência Auditiva e Libras/a - Nota Máxima: 10")</f>
        <v>Formação Pedagógica História - Formação Pedagógica História - Givaldo Cristiniano dos Santos Junior - Deficiência Auditiva e Libras/a - Nota Máxima: 10</v>
      </c>
    </row>
    <row r="3127">
      <c r="A3127" s="390" t="str">
        <f>IFERROR(__xludf.DUMMYFUNCTION("""COMPUTED_VALUE"""),"Formação Pedagógica História - Formação Pedagógica História - Givaldo Cristiniano dos Santos Junior - Deficiência Auditiva e Libras/a - Nota Máxima: 9")</f>
        <v>Formação Pedagógica História - Formação Pedagógica História - Givaldo Cristiniano dos Santos Junior - Deficiência Auditiva e Libras/a - Nota Máxima: 9</v>
      </c>
    </row>
    <row r="3128">
      <c r="A3128" s="390" t="str">
        <f>IFERROR(__xludf.DUMMYFUNCTION("""COMPUTED_VALUE"""),"Formação Pedagógica História - Formação Pedagógica História - Givaldo Cristiniano dos Santos Junior - Desenvolvimento do Capital Humano - Nota Máxima: 10")</f>
        <v>Formação Pedagógica História - Formação Pedagógica História - Givaldo Cristiniano dos Santos Junior - Desenvolvimento do Capital Humano - Nota Máxima: 10</v>
      </c>
    </row>
    <row r="3129">
      <c r="A3129" s="390" t="str">
        <f>IFERROR(__xludf.DUMMYFUNCTION("""COMPUTED_VALUE"""),"Formação Pedagógica História - Formação Pedagógica História - Givaldo Cristiniano dos Santos Junior - Desenvolvimento do Capital Humano - Nota Máxima: 5")</f>
        <v>Formação Pedagógica História - Formação Pedagógica História - Givaldo Cristiniano dos Santos Junior - Desenvolvimento do Capital Humano - Nota Máxima: 5</v>
      </c>
    </row>
    <row r="3130">
      <c r="A3130" s="390" t="str">
        <f>IFERROR(__xludf.DUMMYFUNCTION("""COMPUTED_VALUE"""),"Formação Pedagógica História - Formação Pedagógica História - Givaldo Cristiniano dos Santos Junior - Educação Especial, Inclusão Escolar e Adaptações Curriculares - Nota Máxima: 9")</f>
        <v>Formação Pedagógica História - Formação Pedagógica História - Givaldo Cristiniano dos Santos Junior - Educação Especial, Inclusão Escolar e Adaptações Curriculares - Nota Máxima: 9</v>
      </c>
    </row>
    <row r="3131">
      <c r="A3131" s="390" t="str">
        <f>IFERROR(__xludf.DUMMYFUNCTION("""COMPUTED_VALUE"""),"Formação Pedagógica História - Formação Pedagógica História - Givaldo Cristiniano dos Santos Junior - Educação Especial, Inclusão Escolar e Adaptações Curriculares - Nota Máxima: 9")</f>
        <v>Formação Pedagógica História - Formação Pedagógica História - Givaldo Cristiniano dos Santos Junior - Educação Especial, Inclusão Escolar e Adaptações Curriculares - Nota Máxima: 9</v>
      </c>
    </row>
    <row r="3132">
      <c r="A3132" s="390" t="str">
        <f>IFERROR(__xludf.DUMMYFUNCTION("""COMPUTED_VALUE"""),"Formação Pedagógica História - Formação Pedagógica História - Givaldo Cristiniano dos Santos Junior - Educação, História, Cultura e Práticas Indígenas/a - Nota Máxima: 9")</f>
        <v>Formação Pedagógica História - Formação Pedagógica História - Givaldo Cristiniano dos Santos Junior - Educação, História, Cultura e Práticas Indígenas/a - Nota Máxima: 9</v>
      </c>
    </row>
    <row r="3133">
      <c r="A3133" s="390" t="str">
        <f>IFERROR(__xludf.DUMMYFUNCTION("""COMPUTED_VALUE"""),"Formação Pedagógica História - Formação Pedagógica História - Givaldo Cristiniano dos Santos Junior - Educação, História, Cultura e Práticas Indígenas/a - Nota Máxima: 6")</f>
        <v>Formação Pedagógica História - Formação Pedagógica História - Givaldo Cristiniano dos Santos Junior - Educação, História, Cultura e Práticas Indígenas/a - Nota Máxima: 6</v>
      </c>
    </row>
    <row r="3134">
      <c r="A3134" s="390" t="str">
        <f>IFERROR(__xludf.DUMMYFUNCTION("""COMPUTED_VALUE"""),"Formação Pedagógica História - Formação Pedagógica História - Givaldo Cristiniano dos Santos Junior - Estudos Populacionais - Nota Máxima: 10")</f>
        <v>Formação Pedagógica História - Formação Pedagógica História - Givaldo Cristiniano dos Santos Junior - Estudos Populacionais - Nota Máxima: 10</v>
      </c>
    </row>
    <row r="3135">
      <c r="A3135" s="390" t="str">
        <f>IFERROR(__xludf.DUMMYFUNCTION("""COMPUTED_VALUE"""),"Formação Pedagógica História - Formação Pedagógica História - Givaldo Cristiniano dos Santos Junior - Estudos Populacionais - Nota Máxima: 1")</f>
        <v>Formação Pedagógica História - Formação Pedagógica História - Givaldo Cristiniano dos Santos Junior - Estudos Populacionais - Nota Máxima: 1</v>
      </c>
    </row>
    <row r="3136">
      <c r="A3136" s="390" t="str">
        <f>IFERROR(__xludf.DUMMYFUNCTION("""COMPUTED_VALUE"""),"Formação Pedagógica História - Formação Pedagógica História - Givaldo Cristiniano dos Santos Junior - História Antiga e Medieval - Nota Máxima: 10")</f>
        <v>Formação Pedagógica História - Formação Pedagógica História - Givaldo Cristiniano dos Santos Junior - História Antiga e Medieval - Nota Máxima: 10</v>
      </c>
    </row>
    <row r="3137">
      <c r="A3137" s="390" t="str">
        <f>IFERROR(__xludf.DUMMYFUNCTION("""COMPUTED_VALUE"""),"Formação Pedagógica História - Formação Pedagógica História - Givaldo Cristiniano dos Santos Junior - História Antiga e Medieval - Nota Máxima: 1")</f>
        <v>Formação Pedagógica História - Formação Pedagógica História - Givaldo Cristiniano dos Santos Junior - História Antiga e Medieval - Nota Máxima: 1</v>
      </c>
    </row>
    <row r="3138">
      <c r="A3138" s="390" t="str">
        <f>IFERROR(__xludf.DUMMYFUNCTION("""COMPUTED_VALUE"""),"Formação Pedagógica História - Formação Pedagógica História - Givaldo Cristiniano dos Santos Junior - História Moderna e Contemporânea - Nota Máxima: 10")</f>
        <v>Formação Pedagógica História - Formação Pedagógica História - Givaldo Cristiniano dos Santos Junior - História Moderna e Contemporânea - Nota Máxima: 10</v>
      </c>
    </row>
    <row r="3139">
      <c r="A3139" s="390" t="str">
        <f>IFERROR(__xludf.DUMMYFUNCTION("""COMPUTED_VALUE"""),"Formação Pedagógica História - Formação Pedagógica História - Givaldo Cristiniano dos Santos Junior - História Moderna e Contemporânea - Nota Máxima: 3")</f>
        <v>Formação Pedagógica História - Formação Pedagógica História - Givaldo Cristiniano dos Santos Junior - História Moderna e Contemporânea - Nota Máxima: 3</v>
      </c>
    </row>
    <row r="3140">
      <c r="A3140" s="390" t="str">
        <f>IFERROR(__xludf.DUMMYFUNCTION("""COMPUTED_VALUE"""),"Formação Pedagógica História - Formação Pedagógica História - Givaldo Cristiniano dos Santos Junior - Legislação Educacional/a - Nota Máxima: 10")</f>
        <v>Formação Pedagógica História - Formação Pedagógica História - Givaldo Cristiniano dos Santos Junior - Legislação Educacional/a - Nota Máxima: 10</v>
      </c>
    </row>
    <row r="3141">
      <c r="A3141" s="390" t="str">
        <f>IFERROR(__xludf.DUMMYFUNCTION("""COMPUTED_VALUE"""),"Formação Pedagógica História - Formação Pedagógica História - Givaldo Cristiniano dos Santos Junior - Legislação Educacional/a - Nota Máxima: 6")</f>
        <v>Formação Pedagógica História - Formação Pedagógica História - Givaldo Cristiniano dos Santos Junior - Legislação Educacional/a - Nota Máxima: 6</v>
      </c>
    </row>
    <row r="3142">
      <c r="A3142" s="390" t="str">
        <f>IFERROR(__xludf.DUMMYFUNCTION("""COMPUTED_VALUE"""),"Formação Pedagógica História - Formação Pedagógica História - Givaldo Cristiniano dos Santos Junior - Metodologia do Ensino da História - Nota Máxima: 10")</f>
        <v>Formação Pedagógica História - Formação Pedagógica História - Givaldo Cristiniano dos Santos Junior - Metodologia do Ensino da História - Nota Máxima: 10</v>
      </c>
    </row>
    <row r="3143">
      <c r="A3143" s="390" t="str">
        <f>IFERROR(__xludf.DUMMYFUNCTION("""COMPUTED_VALUE"""),"Formação Pedagógica História - Formação Pedagógica História - Givaldo Cristiniano dos Santos Junior - Metodologia do Ensino da História - Nota Máxima: 9")</f>
        <v>Formação Pedagógica História - Formação Pedagógica História - Givaldo Cristiniano dos Santos Junior - Metodologia do Ensino da História - Nota Máxima: 9</v>
      </c>
    </row>
    <row r="3144">
      <c r="A3144" s="390" t="str">
        <f>IFERROR(__xludf.DUMMYFUNCTION("""COMPUTED_VALUE"""),"Formação Pedagógica História - Formação Pedagógica História - Givaldo Cristiniano dos Santos Junior - Planejamento, Gestão Educacional e Currículo/a - Nota Máxima: 9")</f>
        <v>Formação Pedagógica História - Formação Pedagógica História - Givaldo Cristiniano dos Santos Junior - Planejamento, Gestão Educacional e Currículo/a - Nota Máxima: 9</v>
      </c>
    </row>
    <row r="3145">
      <c r="A3145" s="390" t="str">
        <f>IFERROR(__xludf.DUMMYFUNCTION("""COMPUTED_VALUE"""),"Formação Pedagógica História - Formação Pedagógica História - Givaldo Cristiniano dos Santos Junior - Planejamento, Gestão Educacional e Currículo/a - Nota Máxima: 10")</f>
        <v>Formação Pedagógica História - Formação Pedagógica História - Givaldo Cristiniano dos Santos Junior - Planejamento, Gestão Educacional e Currículo/a - Nota Máxima: 10</v>
      </c>
    </row>
    <row r="3146">
      <c r="A3146" s="390" t="str">
        <f>IFERROR(__xludf.DUMMYFUNCTION("""COMPUTED_VALUE"""),"Formação Pedagógica História - Formação Pedagógica História - Givaldo Cristiniano dos Santos Junior - Psicologia da Educação/a - Nota Máxima: 10")</f>
        <v>Formação Pedagógica História - Formação Pedagógica História - Givaldo Cristiniano dos Santos Junior - Psicologia da Educação/a - Nota Máxima: 10</v>
      </c>
    </row>
    <row r="3147">
      <c r="A3147" s="390" t="str">
        <f>IFERROR(__xludf.DUMMYFUNCTION("""COMPUTED_VALUE"""),"Formação Pedagógica História - Formação Pedagógica História - Givaldo Cristiniano dos Santos Junior - Psicologia da Educação/a - Nota Máxima: 9")</f>
        <v>Formação Pedagógica História - Formação Pedagógica História - Givaldo Cristiniano dos Santos Junior - Psicologia da Educação/a - Nota Máxima: 9</v>
      </c>
    </row>
    <row r="3148">
      <c r="A3148" s="390" t="str">
        <f>IFERROR(__xludf.DUMMYFUNCTION("""COMPUTED_VALUE"""),"Formação Pedagógica História - Formação Pedagógica História - Givaldo Cristiniano dos Santos Junior - Teorias da História - Nota Máxima: 10")</f>
        <v>Formação Pedagógica História - Formação Pedagógica História - Givaldo Cristiniano dos Santos Junior - Teorias da História - Nota Máxima: 10</v>
      </c>
    </row>
    <row r="3149">
      <c r="A3149" s="390" t="str">
        <f>IFERROR(__xludf.DUMMYFUNCTION("""COMPUTED_VALUE"""),"Formação Pedagógica História - Formação Pedagógica História - Givaldo Cristiniano dos Santos Junior - Teorias da História - Nota Máxima: 5")</f>
        <v>Formação Pedagógica História - Formação Pedagógica História - Givaldo Cristiniano dos Santos Junior - Teorias da História - Nota Máxima: 5</v>
      </c>
    </row>
    <row r="3150">
      <c r="A3150" s="390" t="str">
        <f>IFERROR(__xludf.DUMMYFUNCTION("""COMPUTED_VALUE"""),"Formação Pedagógica História - Formação Pedagógica História - Alexandre Nogueira Souza - Cultura e Diversidade II - Nota Máxima: 9")</f>
        <v>Formação Pedagógica História - Formação Pedagógica História - Alexandre Nogueira Souza - Cultura e Diversidade II - Nota Máxima: 9</v>
      </c>
    </row>
    <row r="3151">
      <c r="A3151" s="390" t="str">
        <f>IFERROR(__xludf.DUMMYFUNCTION("""COMPUTED_VALUE"""),"Formação Pedagógica História - Formação Pedagógica História - Alexandre Nogueira Souza - Cultura e Diversidade II - Nota Máxima: 9")</f>
        <v>Formação Pedagógica História - Formação Pedagógica História - Alexandre Nogueira Souza - Cultura e Diversidade II - Nota Máxima: 9</v>
      </c>
    </row>
    <row r="3152">
      <c r="A3152" s="390" t="str">
        <f>IFERROR(__xludf.DUMMYFUNCTION("""COMPUTED_VALUE"""),"Formação Pedagógica História - Formação Pedagógica História - Alexandre Nogueira Souza - Deficiência Auditiva e Libras/a - Nota Máxima: 10")</f>
        <v>Formação Pedagógica História - Formação Pedagógica História - Alexandre Nogueira Souza - Deficiência Auditiva e Libras/a - Nota Máxima: 10</v>
      </c>
    </row>
    <row r="3153">
      <c r="A3153" s="390" t="str">
        <f>IFERROR(__xludf.DUMMYFUNCTION("""COMPUTED_VALUE"""),"Formação Pedagógica História - Formação Pedagógica História - Alexandre Nogueira Souza - Deficiência Auditiva e Libras/a - Nota Máxima: 10")</f>
        <v>Formação Pedagógica História - Formação Pedagógica História - Alexandre Nogueira Souza - Deficiência Auditiva e Libras/a - Nota Máxima: 10</v>
      </c>
    </row>
    <row r="3154">
      <c r="A3154" s="390" t="str">
        <f>IFERROR(__xludf.DUMMYFUNCTION("""COMPUTED_VALUE"""),"Formação Pedagógica História - Formação Pedagógica História - Alexandre Nogueira Souza - Desenvolvimento do Capital Humano - Nota Máxima: 10")</f>
        <v>Formação Pedagógica História - Formação Pedagógica História - Alexandre Nogueira Souza - Desenvolvimento do Capital Humano - Nota Máxima: 10</v>
      </c>
    </row>
    <row r="3155">
      <c r="A3155" s="390" t="str">
        <f>IFERROR(__xludf.DUMMYFUNCTION("""COMPUTED_VALUE"""),"Formação Pedagógica História - Formação Pedagógica História - Alexandre Nogueira Souza - Desenvolvimento do Capital Humano - Nota Máxima: 5")</f>
        <v>Formação Pedagógica História - Formação Pedagógica História - Alexandre Nogueira Souza - Desenvolvimento do Capital Humano - Nota Máxima: 5</v>
      </c>
    </row>
    <row r="3156">
      <c r="A3156" s="390" t="str">
        <f>IFERROR(__xludf.DUMMYFUNCTION("""COMPUTED_VALUE"""),"Formação Pedagógica História - Formação Pedagógica História - Alexandre Nogueira Souza - Educação Especial, Inclusão Escolar e Adaptações Curriculares - Nota Máxima: 9")</f>
        <v>Formação Pedagógica História - Formação Pedagógica História - Alexandre Nogueira Souza - Educação Especial, Inclusão Escolar e Adaptações Curriculares - Nota Máxima: 9</v>
      </c>
    </row>
    <row r="3157">
      <c r="A3157" s="390" t="str">
        <f>IFERROR(__xludf.DUMMYFUNCTION("""COMPUTED_VALUE"""),"Formação Pedagógica História - Formação Pedagógica História - Alexandre Nogueira Souza - Educação Especial, Inclusão Escolar e Adaptações Curriculares - Nota Máxima: 8")</f>
        <v>Formação Pedagógica História - Formação Pedagógica História - Alexandre Nogueira Souza - Educação Especial, Inclusão Escolar e Adaptações Curriculares - Nota Máxima: 8</v>
      </c>
    </row>
    <row r="3158">
      <c r="A3158" s="390" t="str">
        <f>IFERROR(__xludf.DUMMYFUNCTION("""COMPUTED_VALUE"""),"Formação Pedagógica História - Formação Pedagógica História - Alexandre Nogueira Souza - Educação, História, Cultura e Práticas Indígenas/a - Nota Máxima: 9")</f>
        <v>Formação Pedagógica História - Formação Pedagógica História - Alexandre Nogueira Souza - Educação, História, Cultura e Práticas Indígenas/a - Nota Máxima: 9</v>
      </c>
    </row>
    <row r="3159">
      <c r="A3159" s="390" t="str">
        <f>IFERROR(__xludf.DUMMYFUNCTION("""COMPUTED_VALUE"""),"Formação Pedagógica História - Formação Pedagógica História - Alexandre Nogueira Souza - Educação, História, Cultura e Práticas Indígenas/a - Nota Máxima: 7")</f>
        <v>Formação Pedagógica História - Formação Pedagógica História - Alexandre Nogueira Souza - Educação, História, Cultura e Práticas Indígenas/a - Nota Máxima: 7</v>
      </c>
    </row>
    <row r="3160">
      <c r="A3160" s="390" t="str">
        <f>IFERROR(__xludf.DUMMYFUNCTION("""COMPUTED_VALUE"""),"Formação Pedagógica História - Formação Pedagógica História - Alexandre Nogueira Souza - Estudos Populacionais - Nota Máxima: 10")</f>
        <v>Formação Pedagógica História - Formação Pedagógica História - Alexandre Nogueira Souza - Estudos Populacionais - Nota Máxima: 10</v>
      </c>
    </row>
    <row r="3161">
      <c r="A3161" s="390" t="str">
        <f>IFERROR(__xludf.DUMMYFUNCTION("""COMPUTED_VALUE"""),"Formação Pedagógica História - Formação Pedagógica História - Alexandre Nogueira Souza - Estudos Populacionais - Nota Máxima: 5")</f>
        <v>Formação Pedagógica História - Formação Pedagógica História - Alexandre Nogueira Souza - Estudos Populacionais - Nota Máxima: 5</v>
      </c>
    </row>
    <row r="3162">
      <c r="A3162" s="390" t="str">
        <f>IFERROR(__xludf.DUMMYFUNCTION("""COMPUTED_VALUE"""),"Formação Pedagógica História - Formação Pedagógica História - Alexandre Nogueira Souza - História Antiga e Medieval - Nota Máxima: 9")</f>
        <v>Formação Pedagógica História - Formação Pedagógica História - Alexandre Nogueira Souza - História Antiga e Medieval - Nota Máxima: 9</v>
      </c>
    </row>
    <row r="3163">
      <c r="A3163" s="390" t="str">
        <f>IFERROR(__xludf.DUMMYFUNCTION("""COMPUTED_VALUE"""),"Formação Pedagógica História - Formação Pedagógica História - Alexandre Nogueira Souza - História Antiga e Medieval - Nota Máxima: 5")</f>
        <v>Formação Pedagógica História - Formação Pedagógica História - Alexandre Nogueira Souza - História Antiga e Medieval - Nota Máxima: 5</v>
      </c>
    </row>
    <row r="3164">
      <c r="A3164" s="390" t="str">
        <f>IFERROR(__xludf.DUMMYFUNCTION("""COMPUTED_VALUE"""),"Formação Pedagógica História - Formação Pedagógica História - Alexandre Nogueira Souza - História Moderna e Contemporânea - Nota Máxima: 10")</f>
        <v>Formação Pedagógica História - Formação Pedagógica História - Alexandre Nogueira Souza - História Moderna e Contemporânea - Nota Máxima: 10</v>
      </c>
    </row>
    <row r="3165">
      <c r="A3165" s="390" t="str">
        <f>IFERROR(__xludf.DUMMYFUNCTION("""COMPUTED_VALUE"""),"Formação Pedagógica História - Formação Pedagógica História - Alexandre Nogueira Souza - História Moderna e Contemporânea - Nota Máxima: 3")</f>
        <v>Formação Pedagógica História - Formação Pedagógica História - Alexandre Nogueira Souza - História Moderna e Contemporânea - Nota Máxima: 3</v>
      </c>
    </row>
    <row r="3166">
      <c r="A3166" s="390" t="str">
        <f>IFERROR(__xludf.DUMMYFUNCTION("""COMPUTED_VALUE"""),"Formação Pedagógica História - Formação Pedagógica História - Alexandre Nogueira Souza - Legislação Educacional/a - Nota Máxima: 9")</f>
        <v>Formação Pedagógica História - Formação Pedagógica História - Alexandre Nogueira Souza - Legislação Educacional/a - Nota Máxima: 9</v>
      </c>
    </row>
    <row r="3167">
      <c r="A3167" s="390" t="str">
        <f>IFERROR(__xludf.DUMMYFUNCTION("""COMPUTED_VALUE"""),"Formação Pedagógica História - Formação Pedagógica História - Alexandre Nogueira Souza - Legislação Educacional/a - Nota Máxima: 6")</f>
        <v>Formação Pedagógica História - Formação Pedagógica História - Alexandre Nogueira Souza - Legislação Educacional/a - Nota Máxima: 6</v>
      </c>
    </row>
    <row r="3168">
      <c r="A3168" s="390" t="str">
        <f>IFERROR(__xludf.DUMMYFUNCTION("""COMPUTED_VALUE"""),"Formação Pedagógica História - Formação Pedagógica História - Alexandre Nogueira Souza - Metodologia do Ensino da História - Nota Máxima: 9")</f>
        <v>Formação Pedagógica História - Formação Pedagógica História - Alexandre Nogueira Souza - Metodologia do Ensino da História - Nota Máxima: 9</v>
      </c>
    </row>
    <row r="3169">
      <c r="A3169" s="390" t="str">
        <f>IFERROR(__xludf.DUMMYFUNCTION("""COMPUTED_VALUE"""),"Formação Pedagógica História - Formação Pedagógica História - Alexandre Nogueira Souza - Metodologia do Ensino da História - Nota Máxima: 6")</f>
        <v>Formação Pedagógica História - Formação Pedagógica História - Alexandre Nogueira Souza - Metodologia do Ensino da História - Nota Máxima: 6</v>
      </c>
    </row>
    <row r="3170">
      <c r="A3170" s="390" t="str">
        <f>IFERROR(__xludf.DUMMYFUNCTION("""COMPUTED_VALUE"""),"Formação Pedagógica História - Formação Pedagógica História - Alexandre Nogueira Souza - Planejamento, Gestão Educacional e Currículo/a - Nota Máxima: 10")</f>
        <v>Formação Pedagógica História - Formação Pedagógica História - Alexandre Nogueira Souza - Planejamento, Gestão Educacional e Currículo/a - Nota Máxima: 10</v>
      </c>
    </row>
    <row r="3171">
      <c r="A3171" s="390" t="str">
        <f>IFERROR(__xludf.DUMMYFUNCTION("""COMPUTED_VALUE"""),"Formação Pedagógica História - Formação Pedagógica História - Alexandre Nogueira Souza - Planejamento, Gestão Educacional e Currículo/a - Nota Máxima: 10")</f>
        <v>Formação Pedagógica História - Formação Pedagógica História - Alexandre Nogueira Souza - Planejamento, Gestão Educacional e Currículo/a - Nota Máxima: 10</v>
      </c>
    </row>
    <row r="3172">
      <c r="A3172" s="390" t="str">
        <f>IFERROR(__xludf.DUMMYFUNCTION("""COMPUTED_VALUE"""),"Formação Pedagógica História - Formação Pedagógica História - Alexandre Nogueira Souza - Práticas Pedagógicas - 400 Horas - Nota Máxima: 10")</f>
        <v>Formação Pedagógica História - Formação Pedagógica História - Alexandre Nogueira Souza - Práticas Pedagógicas - 400 Horas - Nota Máxima: 10</v>
      </c>
    </row>
    <row r="3173">
      <c r="A3173" s="390" t="str">
        <f>IFERROR(__xludf.DUMMYFUNCTION("""COMPUTED_VALUE"""),"Formação Pedagógica História - Formação Pedagógica História - Alexandre Nogueira Souza - Práticas Pedagógicas - 400 Horas - Nota Máxima: 10")</f>
        <v>Formação Pedagógica História - Formação Pedagógica História - Alexandre Nogueira Souza - Práticas Pedagógicas - 400 Horas - Nota Máxima: 10</v>
      </c>
    </row>
    <row r="3174">
      <c r="A3174" s="390" t="str">
        <f>IFERROR(__xludf.DUMMYFUNCTION("""COMPUTED_VALUE"""),"Formação Pedagógica História - Formação Pedagógica História - Alexandre Nogueira Souza - Psicologia da Educação/a - Nota Máxima: 10")</f>
        <v>Formação Pedagógica História - Formação Pedagógica História - Alexandre Nogueira Souza - Psicologia da Educação/a - Nota Máxima: 10</v>
      </c>
    </row>
    <row r="3175">
      <c r="A3175" s="390" t="str">
        <f>IFERROR(__xludf.DUMMYFUNCTION("""COMPUTED_VALUE"""),"Formação Pedagógica História - Formação Pedagógica História - Alexandre Nogueira Souza - Psicologia da Educação/a - Nota Máxima: 7")</f>
        <v>Formação Pedagógica História - Formação Pedagógica História - Alexandre Nogueira Souza - Psicologia da Educação/a - Nota Máxima: 7</v>
      </c>
    </row>
    <row r="3176">
      <c r="A3176" s="390" t="str">
        <f>IFERROR(__xludf.DUMMYFUNCTION("""COMPUTED_VALUE"""),"Formação Pedagógica História - Formação Pedagógica História - Alexandre Nogueira Souza - Teorias da História - Nota Máxima: 10")</f>
        <v>Formação Pedagógica História - Formação Pedagógica História - Alexandre Nogueira Souza - Teorias da História - Nota Máxima: 10</v>
      </c>
    </row>
    <row r="3177">
      <c r="A3177" s="390" t="str">
        <f>IFERROR(__xludf.DUMMYFUNCTION("""COMPUTED_VALUE"""),"Formação Pedagógica História - Formação Pedagógica História - Alexandre Nogueira Souza - Teorias da História - Nota Máxima: 5")</f>
        <v>Formação Pedagógica História - Formação Pedagógica História - Alexandre Nogueira Souza - Teorias da História - Nota Máxima: 5</v>
      </c>
    </row>
    <row r="3178">
      <c r="A3178" s="390" t="str">
        <f>IFERROR(__xludf.DUMMYFUNCTION("""COMPUTED_VALUE"""),"Formação Pedagógica História - Formação Pedagógica História - Antônio Alberto Prata Teodoro - Cultura e Diversidade II - Nota Máxima: 10")</f>
        <v>Formação Pedagógica História - Formação Pedagógica História - Antônio Alberto Prata Teodoro - Cultura e Diversidade II - Nota Máxima: 10</v>
      </c>
    </row>
    <row r="3179">
      <c r="A3179" s="390" t="str">
        <f>IFERROR(__xludf.DUMMYFUNCTION("""COMPUTED_VALUE"""),"Formação Pedagógica História - Formação Pedagógica História - Antônio Alberto Prata Teodoro - Cultura e Diversidade II - Nota Máxima: 10")</f>
        <v>Formação Pedagógica História - Formação Pedagógica História - Antônio Alberto Prata Teodoro - Cultura e Diversidade II - Nota Máxima: 10</v>
      </c>
    </row>
    <row r="3180">
      <c r="A3180" s="390" t="str">
        <f>IFERROR(__xludf.DUMMYFUNCTION("""COMPUTED_VALUE"""),"Formação Pedagógica História - Formação Pedagógica História - Antônio Alberto Prata Teodoro - Deficiência Auditiva e Libras/a - Nota Máxima: 10")</f>
        <v>Formação Pedagógica História - Formação Pedagógica História - Antônio Alberto Prata Teodoro - Deficiência Auditiva e Libras/a - Nota Máxima: 10</v>
      </c>
    </row>
    <row r="3181">
      <c r="A3181" s="390" t="str">
        <f>IFERROR(__xludf.DUMMYFUNCTION("""COMPUTED_VALUE"""),"Formação Pedagógica História - Formação Pedagógica História - Antônio Alberto Prata Teodoro - Deficiência Auditiva e Libras/a - Nota Máxima: 10")</f>
        <v>Formação Pedagógica História - Formação Pedagógica História - Antônio Alberto Prata Teodoro - Deficiência Auditiva e Libras/a - Nota Máxima: 10</v>
      </c>
    </row>
    <row r="3182">
      <c r="A3182" s="390" t="str">
        <f>IFERROR(__xludf.DUMMYFUNCTION("""COMPUTED_VALUE"""),"Formação Pedagógica História - Formação Pedagógica História - Antônio Alberto Prata Teodoro - Desenvolvimento do Capital Humano - Nota Máxima: 10")</f>
        <v>Formação Pedagógica História - Formação Pedagógica História - Antônio Alberto Prata Teodoro - Desenvolvimento do Capital Humano - Nota Máxima: 10</v>
      </c>
    </row>
    <row r="3183">
      <c r="A3183" s="390" t="str">
        <f>IFERROR(__xludf.DUMMYFUNCTION("""COMPUTED_VALUE"""),"Formação Pedagógica História - Formação Pedagógica História - Antônio Alberto Prata Teodoro - Desenvolvimento do Capital Humano - Nota Máxima: 10")</f>
        <v>Formação Pedagógica História - Formação Pedagógica História - Antônio Alberto Prata Teodoro - Desenvolvimento do Capital Humano - Nota Máxima: 10</v>
      </c>
    </row>
    <row r="3184">
      <c r="A3184" s="390" t="str">
        <f>IFERROR(__xludf.DUMMYFUNCTION("""COMPUTED_VALUE"""),"Formação Pedagógica História - Formação Pedagógica História - Antônio Alberto Prata Teodoro - Educação Especial, Inclusão Escolar e Adaptações Curriculares - Nota Máxima: 10")</f>
        <v>Formação Pedagógica História - Formação Pedagógica História - Antônio Alberto Prata Teodoro - Educação Especial, Inclusão Escolar e Adaptações Curriculares - Nota Máxima: 10</v>
      </c>
    </row>
    <row r="3185">
      <c r="A3185" s="390" t="str">
        <f>IFERROR(__xludf.DUMMYFUNCTION("""COMPUTED_VALUE"""),"Formação Pedagógica História - Formação Pedagógica História - Antônio Alberto Prata Teodoro - Educação Especial, Inclusão Escolar e Adaptações Curriculares - Nota Máxima: 10")</f>
        <v>Formação Pedagógica História - Formação Pedagógica História - Antônio Alberto Prata Teodoro - Educação Especial, Inclusão Escolar e Adaptações Curriculares - Nota Máxima: 10</v>
      </c>
    </row>
    <row r="3186">
      <c r="A3186" s="390" t="str">
        <f>IFERROR(__xludf.DUMMYFUNCTION("""COMPUTED_VALUE"""),"Formação Pedagógica História - Formação Pedagógica História - Antônio Alberto Prata Teodoro - Educação, História, Cultura e Práticas Indígenas/a - Nota Máxima: 9")</f>
        <v>Formação Pedagógica História - Formação Pedagógica História - Antônio Alberto Prata Teodoro - Educação, História, Cultura e Práticas Indígenas/a - Nota Máxima: 9</v>
      </c>
    </row>
    <row r="3187">
      <c r="A3187" s="390" t="str">
        <f>IFERROR(__xludf.DUMMYFUNCTION("""COMPUTED_VALUE"""),"Formação Pedagógica História - Formação Pedagógica História - Antônio Alberto Prata Teodoro - Educação, História, Cultura e Práticas Indígenas/a - Nota Máxima: 9")</f>
        <v>Formação Pedagógica História - Formação Pedagógica História - Antônio Alberto Prata Teodoro - Educação, História, Cultura e Práticas Indígenas/a - Nota Máxima: 9</v>
      </c>
    </row>
    <row r="3188">
      <c r="A3188" s="390" t="str">
        <f>IFERROR(__xludf.DUMMYFUNCTION("""COMPUTED_VALUE"""),"Formação Pedagógica História - Formação Pedagógica História - Antônio Alberto Prata Teodoro - Estudos Populacionais - Nota Máxima: 9")</f>
        <v>Formação Pedagógica História - Formação Pedagógica História - Antônio Alberto Prata Teodoro - Estudos Populacionais - Nota Máxima: 9</v>
      </c>
    </row>
    <row r="3189">
      <c r="A3189" s="390" t="str">
        <f>IFERROR(__xludf.DUMMYFUNCTION("""COMPUTED_VALUE"""),"Formação Pedagógica História - Formação Pedagógica História - Antônio Alberto Prata Teodoro - Estudos Populacionais - Nota Máxima: 9")</f>
        <v>Formação Pedagógica História - Formação Pedagógica História - Antônio Alberto Prata Teodoro - Estudos Populacionais - Nota Máxima: 9</v>
      </c>
    </row>
    <row r="3190">
      <c r="A3190" s="390" t="str">
        <f>IFERROR(__xludf.DUMMYFUNCTION("""COMPUTED_VALUE"""),"Formação Pedagógica História - Formação Pedagógica História - Antônio Alberto Prata Teodoro - História Antiga e Medieval - Nota Máxima: 8")</f>
        <v>Formação Pedagógica História - Formação Pedagógica História - Antônio Alberto Prata Teodoro - História Antiga e Medieval - Nota Máxima: 8</v>
      </c>
    </row>
    <row r="3191">
      <c r="A3191" s="390" t="str">
        <f>IFERROR(__xludf.DUMMYFUNCTION("""COMPUTED_VALUE"""),"Formação Pedagógica História - Formação Pedagógica História - Antônio Alberto Prata Teodoro - História Antiga e Medieval - Nota Máxima: 9")</f>
        <v>Formação Pedagógica História - Formação Pedagógica História - Antônio Alberto Prata Teodoro - História Antiga e Medieval - Nota Máxima: 9</v>
      </c>
    </row>
    <row r="3192">
      <c r="A3192" s="390" t="str">
        <f>IFERROR(__xludf.DUMMYFUNCTION("""COMPUTED_VALUE"""),"Formação Pedagógica História - Formação Pedagógica História - Antônio Alberto Prata Teodoro - História Moderna e Contemporânea - Nota Máxima: 9")</f>
        <v>Formação Pedagógica História - Formação Pedagógica História - Antônio Alberto Prata Teodoro - História Moderna e Contemporânea - Nota Máxima: 9</v>
      </c>
    </row>
    <row r="3193">
      <c r="A3193" s="390" t="str">
        <f>IFERROR(__xludf.DUMMYFUNCTION("""COMPUTED_VALUE"""),"Formação Pedagógica História - Formação Pedagógica História - Antônio Alberto Prata Teodoro - História Moderna e Contemporânea - Nota Máxima: 9")</f>
        <v>Formação Pedagógica História - Formação Pedagógica História - Antônio Alberto Prata Teodoro - História Moderna e Contemporânea - Nota Máxima: 9</v>
      </c>
    </row>
    <row r="3194">
      <c r="A3194" s="390" t="str">
        <f>IFERROR(__xludf.DUMMYFUNCTION("""COMPUTED_VALUE"""),"Formação Pedagógica História - Formação Pedagógica História - Antônio Alberto Prata Teodoro - Legislação Educacional/a - Nota Máxima: 9")</f>
        <v>Formação Pedagógica História - Formação Pedagógica História - Antônio Alberto Prata Teodoro - Legislação Educacional/a - Nota Máxima: 9</v>
      </c>
    </row>
    <row r="3195">
      <c r="A3195" s="390" t="str">
        <f>IFERROR(__xludf.DUMMYFUNCTION("""COMPUTED_VALUE"""),"Formação Pedagógica História - Formação Pedagógica História - Antônio Alberto Prata Teodoro - Legislação Educacional/a - Nota Máxima: 10")</f>
        <v>Formação Pedagógica História - Formação Pedagógica História - Antônio Alberto Prata Teodoro - Legislação Educacional/a - Nota Máxima: 10</v>
      </c>
    </row>
    <row r="3196">
      <c r="A3196" s="390" t="str">
        <f>IFERROR(__xludf.DUMMYFUNCTION("""COMPUTED_VALUE"""),"Formação Pedagógica História - Formação Pedagógica História - Antônio Alberto Prata Teodoro - Metodologia do Ensino da História - Nota Máxima: 10")</f>
        <v>Formação Pedagógica História - Formação Pedagógica História - Antônio Alberto Prata Teodoro - Metodologia do Ensino da História - Nota Máxima: 10</v>
      </c>
    </row>
    <row r="3197">
      <c r="A3197" s="390" t="str">
        <f>IFERROR(__xludf.DUMMYFUNCTION("""COMPUTED_VALUE"""),"Formação Pedagógica História - Formação Pedagógica História - Antônio Alberto Prata Teodoro - Metodologia do Ensino da História - Nota Máxima: 9")</f>
        <v>Formação Pedagógica História - Formação Pedagógica História - Antônio Alberto Prata Teodoro - Metodologia do Ensino da História - Nota Máxima: 9</v>
      </c>
    </row>
    <row r="3198">
      <c r="A3198" s="390" t="str">
        <f>IFERROR(__xludf.DUMMYFUNCTION("""COMPUTED_VALUE"""),"Formação Pedagógica História - Formação Pedagógica História - Antônio Alberto Prata Teodoro - Planejamento, Gestão Educacional e Currículo/a - Nota Máxima: 10")</f>
        <v>Formação Pedagógica História - Formação Pedagógica História - Antônio Alberto Prata Teodoro - Planejamento, Gestão Educacional e Currículo/a - Nota Máxima: 10</v>
      </c>
    </row>
    <row r="3199">
      <c r="A3199" s="390" t="str">
        <f>IFERROR(__xludf.DUMMYFUNCTION("""COMPUTED_VALUE"""),"Formação Pedagógica História - Formação Pedagógica História - Antônio Alberto Prata Teodoro - Planejamento, Gestão Educacional e Currículo/a - Nota Máxima: 10")</f>
        <v>Formação Pedagógica História - Formação Pedagógica História - Antônio Alberto Prata Teodoro - Planejamento, Gestão Educacional e Currículo/a - Nota Máxima: 10</v>
      </c>
    </row>
    <row r="3200">
      <c r="A3200" s="390" t="str">
        <f>IFERROR(__xludf.DUMMYFUNCTION("""COMPUTED_VALUE"""),"Formação Pedagógica História - Formação Pedagógica História - Antônio Alberto Prata Teodoro - Práticas Pedagógicas - 400 Horas - Nota Máxima: 4")</f>
        <v>Formação Pedagógica História - Formação Pedagógica História - Antônio Alberto Prata Teodoro - Práticas Pedagógicas - 400 Horas - Nota Máxima: 4</v>
      </c>
    </row>
    <row r="3201">
      <c r="A3201" s="390" t="str">
        <f>IFERROR(__xludf.DUMMYFUNCTION("""COMPUTED_VALUE"""),"Formação Pedagógica História - Formação Pedagógica História - Antônio Alberto Prata Teodoro - Práticas Pedagógicas - 400 Horas - Nota Máxima: 3")</f>
        <v>Formação Pedagógica História - Formação Pedagógica História - Antônio Alberto Prata Teodoro - Práticas Pedagógicas - 400 Horas - Nota Máxima: 3</v>
      </c>
    </row>
    <row r="3202">
      <c r="A3202" s="390" t="str">
        <f>IFERROR(__xludf.DUMMYFUNCTION("""COMPUTED_VALUE"""),"Formação Pedagógica História - Formação Pedagógica História - Antônio Alberto Prata Teodoro - Psicologia da Educação/a - Nota Máxima: 10")</f>
        <v>Formação Pedagógica História - Formação Pedagógica História - Antônio Alberto Prata Teodoro - Psicologia da Educação/a - Nota Máxima: 10</v>
      </c>
    </row>
    <row r="3203">
      <c r="A3203" s="390" t="str">
        <f>IFERROR(__xludf.DUMMYFUNCTION("""COMPUTED_VALUE"""),"Formação Pedagógica História - Formação Pedagógica História - Antônio Alberto Prata Teodoro - Psicologia da Educação/a - Nota Máxima: 10")</f>
        <v>Formação Pedagógica História - Formação Pedagógica História - Antônio Alberto Prata Teodoro - Psicologia da Educação/a - Nota Máxima: 10</v>
      </c>
    </row>
    <row r="3204">
      <c r="A3204" s="390" t="str">
        <f>IFERROR(__xludf.DUMMYFUNCTION("""COMPUTED_VALUE"""),"Formação Pedagógica História - Formação Pedagógica História - Antônio Alberto Prata Teodoro - Teorias da História - Nota Máxima: 10")</f>
        <v>Formação Pedagógica História - Formação Pedagógica História - Antônio Alberto Prata Teodoro - Teorias da História - Nota Máxima: 10</v>
      </c>
    </row>
    <row r="3205">
      <c r="A3205" s="390" t="str">
        <f>IFERROR(__xludf.DUMMYFUNCTION("""COMPUTED_VALUE"""),"Formação Pedagógica História - Formação Pedagógica História - Antônio Alberto Prata Teodoro - Teorias da História - Nota Máxima: 7")</f>
        <v>Formação Pedagógica História - Formação Pedagógica História - Antônio Alberto Prata Teodoro - Teorias da História - Nota Máxima: 7</v>
      </c>
    </row>
    <row r="3206">
      <c r="A3206" s="390" t="str">
        <f>IFERROR(__xludf.DUMMYFUNCTION("""COMPUTED_VALUE"""),"Formação Pedagógica História - Formação Pedagógica História - Farley Junior Chaves da Rocha - Cultura e Diversidade II - Nota Máxima: 10")</f>
        <v>Formação Pedagógica História - Formação Pedagógica História - Farley Junior Chaves da Rocha - Cultura e Diversidade II - Nota Máxima: 10</v>
      </c>
    </row>
    <row r="3207">
      <c r="A3207" s="390" t="str">
        <f>IFERROR(__xludf.DUMMYFUNCTION("""COMPUTED_VALUE"""),"Formação Pedagógica História - Formação Pedagógica História - Farley Junior Chaves da Rocha - Cultura e Diversidade II - Nota Máxima: 10")</f>
        <v>Formação Pedagógica História - Formação Pedagógica História - Farley Junior Chaves da Rocha - Cultura e Diversidade II - Nota Máxima: 10</v>
      </c>
    </row>
    <row r="3208">
      <c r="A3208" s="390" t="str">
        <f>IFERROR(__xludf.DUMMYFUNCTION("""COMPUTED_VALUE"""),"Formação Pedagógica História - Formação Pedagógica História - Farley Junior Chaves da Rocha - Deficiência Auditiva e Libras/a - Nota Máxima: 9")</f>
        <v>Formação Pedagógica História - Formação Pedagógica História - Farley Junior Chaves da Rocha - Deficiência Auditiva e Libras/a - Nota Máxima: 9</v>
      </c>
    </row>
    <row r="3209">
      <c r="A3209" s="390" t="str">
        <f>IFERROR(__xludf.DUMMYFUNCTION("""COMPUTED_VALUE"""),"Formação Pedagógica História - Formação Pedagógica História - Farley Junior Chaves da Rocha - Deficiência Auditiva e Libras/a - Nota Máxima: 9")</f>
        <v>Formação Pedagógica História - Formação Pedagógica História - Farley Junior Chaves da Rocha - Deficiência Auditiva e Libras/a - Nota Máxima: 9</v>
      </c>
    </row>
    <row r="3210">
      <c r="A3210" s="390" t="str">
        <f>IFERROR(__xludf.DUMMYFUNCTION("""COMPUTED_VALUE"""),"Formação Pedagógica História - Formação Pedagógica História - Farley Junior Chaves da Rocha - Desenvolvimento do Capital Humano - Nota Máxima: 10")</f>
        <v>Formação Pedagógica História - Formação Pedagógica História - Farley Junior Chaves da Rocha - Desenvolvimento do Capital Humano - Nota Máxima: 10</v>
      </c>
    </row>
    <row r="3211">
      <c r="A3211" s="390" t="str">
        <f>IFERROR(__xludf.DUMMYFUNCTION("""COMPUTED_VALUE"""),"Formação Pedagógica História - Formação Pedagógica História - Farley Junior Chaves da Rocha - Desenvolvimento do Capital Humano - Nota Máxima: 10")</f>
        <v>Formação Pedagógica História - Formação Pedagógica História - Farley Junior Chaves da Rocha - Desenvolvimento do Capital Humano - Nota Máxima: 10</v>
      </c>
    </row>
    <row r="3212">
      <c r="A3212" s="390" t="str">
        <f>IFERROR(__xludf.DUMMYFUNCTION("""COMPUTED_VALUE"""),"Formação Pedagógica História - Formação Pedagógica História - Farley Junior Chaves da Rocha - Educação Especial, Inclusão Escolar e Adaptações Curriculares - Nota Máxima: 9")</f>
        <v>Formação Pedagógica História - Formação Pedagógica História - Farley Junior Chaves da Rocha - Educação Especial, Inclusão Escolar e Adaptações Curriculares - Nota Máxima: 9</v>
      </c>
    </row>
    <row r="3213">
      <c r="A3213" s="390" t="str">
        <f>IFERROR(__xludf.DUMMYFUNCTION("""COMPUTED_VALUE"""),"Formação Pedagógica História - Formação Pedagógica História - Farley Junior Chaves da Rocha - Educação Especial, Inclusão Escolar e Adaptações Curriculares - Nota Máxima: 10")</f>
        <v>Formação Pedagógica História - Formação Pedagógica História - Farley Junior Chaves da Rocha - Educação Especial, Inclusão Escolar e Adaptações Curriculares - Nota Máxima: 10</v>
      </c>
    </row>
    <row r="3214">
      <c r="A3214" s="390" t="str">
        <f>IFERROR(__xludf.DUMMYFUNCTION("""COMPUTED_VALUE"""),"Formação Pedagógica História - Formação Pedagógica História - Farley Junior Chaves da Rocha - Educação, História, Cultura e Práticas Indígenas/a - Nota Máxima: 10")</f>
        <v>Formação Pedagógica História - Formação Pedagógica História - Farley Junior Chaves da Rocha - Educação, História, Cultura e Práticas Indígenas/a - Nota Máxima: 10</v>
      </c>
    </row>
    <row r="3215">
      <c r="A3215" s="390" t="str">
        <f>IFERROR(__xludf.DUMMYFUNCTION("""COMPUTED_VALUE"""),"Formação Pedagógica História - Formação Pedagógica História - Farley Junior Chaves da Rocha - Educação, História, Cultura e Práticas Indígenas/a - Nota Máxima: 10")</f>
        <v>Formação Pedagógica História - Formação Pedagógica História - Farley Junior Chaves da Rocha - Educação, História, Cultura e Práticas Indígenas/a - Nota Máxima: 10</v>
      </c>
    </row>
    <row r="3216">
      <c r="A3216" s="390" t="str">
        <f>IFERROR(__xludf.DUMMYFUNCTION("""COMPUTED_VALUE"""),"Formação Pedagógica História - Formação Pedagógica História - Farley Junior Chaves da Rocha - Estudos Populacionais - Nota Máxima: 10")</f>
        <v>Formação Pedagógica História - Formação Pedagógica História - Farley Junior Chaves da Rocha - Estudos Populacionais - Nota Máxima: 10</v>
      </c>
    </row>
    <row r="3217">
      <c r="A3217" s="390" t="str">
        <f>IFERROR(__xludf.DUMMYFUNCTION("""COMPUTED_VALUE"""),"Formação Pedagógica História - Formação Pedagógica História - Farley Junior Chaves da Rocha - Estudos Populacionais - Nota Máxima: 9")</f>
        <v>Formação Pedagógica História - Formação Pedagógica História - Farley Junior Chaves da Rocha - Estudos Populacionais - Nota Máxima: 9</v>
      </c>
    </row>
    <row r="3218">
      <c r="A3218" s="390" t="str">
        <f>IFERROR(__xludf.DUMMYFUNCTION("""COMPUTED_VALUE"""),"Formação Pedagógica História - Formação Pedagógica História - Farley Junior Chaves da Rocha - História Antiga e Medieval - Nota Máxima: 10")</f>
        <v>Formação Pedagógica História - Formação Pedagógica História - Farley Junior Chaves da Rocha - História Antiga e Medieval - Nota Máxima: 10</v>
      </c>
    </row>
    <row r="3219">
      <c r="A3219" s="390" t="str">
        <f>IFERROR(__xludf.DUMMYFUNCTION("""COMPUTED_VALUE"""),"Formação Pedagógica História - Formação Pedagógica História - Farley Junior Chaves da Rocha - História Antiga e Medieval - Nota Máxima: 10")</f>
        <v>Formação Pedagógica História - Formação Pedagógica História - Farley Junior Chaves da Rocha - História Antiga e Medieval - Nota Máxima: 10</v>
      </c>
    </row>
    <row r="3220">
      <c r="A3220" s="390" t="str">
        <f>IFERROR(__xludf.DUMMYFUNCTION("""COMPUTED_VALUE"""),"Formação Pedagógica História - Formação Pedagógica História - Farley Junior Chaves da Rocha - História Moderna e Contemporânea - Nota Máxima: 9")</f>
        <v>Formação Pedagógica História - Formação Pedagógica História - Farley Junior Chaves da Rocha - História Moderna e Contemporânea - Nota Máxima: 9</v>
      </c>
    </row>
    <row r="3221">
      <c r="A3221" s="390" t="str">
        <f>IFERROR(__xludf.DUMMYFUNCTION("""COMPUTED_VALUE"""),"Formação Pedagógica História - Formação Pedagógica História - Farley Junior Chaves da Rocha - História Moderna e Contemporânea - Nota Máxima: 10")</f>
        <v>Formação Pedagógica História - Formação Pedagógica História - Farley Junior Chaves da Rocha - História Moderna e Contemporânea - Nota Máxima: 10</v>
      </c>
    </row>
    <row r="3222">
      <c r="A3222" s="390" t="str">
        <f>IFERROR(__xludf.DUMMYFUNCTION("""COMPUTED_VALUE"""),"Formação Pedagógica História - Formação Pedagógica História - Farley Junior Chaves da Rocha - Legislação Educacional/a - Nota Máxima: 10")</f>
        <v>Formação Pedagógica História - Formação Pedagógica História - Farley Junior Chaves da Rocha - Legislação Educacional/a - Nota Máxima: 10</v>
      </c>
    </row>
    <row r="3223">
      <c r="A3223" s="390" t="str">
        <f>IFERROR(__xludf.DUMMYFUNCTION("""COMPUTED_VALUE"""),"Formação Pedagógica História - Formação Pedagógica História - Farley Junior Chaves da Rocha - Legislação Educacional/a - Nota Máxima: 10")</f>
        <v>Formação Pedagógica História - Formação Pedagógica História - Farley Junior Chaves da Rocha - Legislação Educacional/a - Nota Máxima: 10</v>
      </c>
    </row>
    <row r="3224">
      <c r="A3224" s="390" t="str">
        <f>IFERROR(__xludf.DUMMYFUNCTION("""COMPUTED_VALUE"""),"Formação Pedagógica História - Formação Pedagógica História - Farley Junior Chaves da Rocha - Metodologia do Ensino da História - Nota Máxima: 10")</f>
        <v>Formação Pedagógica História - Formação Pedagógica História - Farley Junior Chaves da Rocha - Metodologia do Ensino da História - Nota Máxima: 10</v>
      </c>
    </row>
    <row r="3225">
      <c r="A3225" s="390" t="str">
        <f>IFERROR(__xludf.DUMMYFUNCTION("""COMPUTED_VALUE"""),"Formação Pedagógica História - Formação Pedagógica História - Farley Junior Chaves da Rocha - Metodologia do Ensino da História - Nota Máxima: 9")</f>
        <v>Formação Pedagógica História - Formação Pedagógica História - Farley Junior Chaves da Rocha - Metodologia do Ensino da História - Nota Máxima: 9</v>
      </c>
    </row>
    <row r="3226">
      <c r="A3226" s="390" t="str">
        <f>IFERROR(__xludf.DUMMYFUNCTION("""COMPUTED_VALUE"""),"Formação Pedagógica História - Formação Pedagógica História - Farley Junior Chaves da Rocha - Planejamento, Gestão Educacional e Currículo/a - Nota Máxima: 10")</f>
        <v>Formação Pedagógica História - Formação Pedagógica História - Farley Junior Chaves da Rocha - Planejamento, Gestão Educacional e Currículo/a - Nota Máxima: 10</v>
      </c>
    </row>
    <row r="3227">
      <c r="A3227" s="390" t="str">
        <f>IFERROR(__xludf.DUMMYFUNCTION("""COMPUTED_VALUE"""),"Formação Pedagógica História - Formação Pedagógica História - Farley Junior Chaves da Rocha - Planejamento, Gestão Educacional e Currículo/a - Nota Máxima: 10")</f>
        <v>Formação Pedagógica História - Formação Pedagógica História - Farley Junior Chaves da Rocha - Planejamento, Gestão Educacional e Currículo/a - Nota Máxima: 10</v>
      </c>
    </row>
    <row r="3228">
      <c r="A3228" s="390" t="str">
        <f>IFERROR(__xludf.DUMMYFUNCTION("""COMPUTED_VALUE"""),"Formação Pedagógica História - Formação Pedagógica História - Farley Junior Chaves da Rocha - Práticas Pedagógicas - 400 Horas - Nota Máxima: 4")</f>
        <v>Formação Pedagógica História - Formação Pedagógica História - Farley Junior Chaves da Rocha - Práticas Pedagógicas - 400 Horas - Nota Máxima: 4</v>
      </c>
    </row>
    <row r="3229">
      <c r="A3229" s="390" t="str">
        <f>IFERROR(__xludf.DUMMYFUNCTION("""COMPUTED_VALUE"""),"Formação Pedagógica História - Formação Pedagógica História - Farley Junior Chaves da Rocha - Práticas Pedagógicas - 400 Horas - Nota Máxima: 2")</f>
        <v>Formação Pedagógica História - Formação Pedagógica História - Farley Junior Chaves da Rocha - Práticas Pedagógicas - 400 Horas - Nota Máxima: 2</v>
      </c>
    </row>
    <row r="3230">
      <c r="A3230" s="390" t="str">
        <f>IFERROR(__xludf.DUMMYFUNCTION("""COMPUTED_VALUE"""),"Formação Pedagógica História - Formação Pedagógica História - Farley Junior Chaves da Rocha - Psicologia da Educação/a - Nota Máxima: 9")</f>
        <v>Formação Pedagógica História - Formação Pedagógica História - Farley Junior Chaves da Rocha - Psicologia da Educação/a - Nota Máxima: 9</v>
      </c>
    </row>
    <row r="3231">
      <c r="A3231" s="390" t="str">
        <f>IFERROR(__xludf.DUMMYFUNCTION("""COMPUTED_VALUE"""),"Formação Pedagógica História - Formação Pedagógica História - Farley Junior Chaves da Rocha - Psicologia da Educação/a - Nota Máxima: 10")</f>
        <v>Formação Pedagógica História - Formação Pedagógica História - Farley Junior Chaves da Rocha - Psicologia da Educação/a - Nota Máxima: 10</v>
      </c>
    </row>
    <row r="3232">
      <c r="A3232" s="390" t="str">
        <f>IFERROR(__xludf.DUMMYFUNCTION("""COMPUTED_VALUE"""),"Formação Pedagógica História - Formação Pedagógica História - Farley Junior Chaves da Rocha - Teorias da História - Nota Máxima: 10")</f>
        <v>Formação Pedagógica História - Formação Pedagógica História - Farley Junior Chaves da Rocha - Teorias da História - Nota Máxima: 10</v>
      </c>
    </row>
    <row r="3233">
      <c r="A3233" s="390" t="str">
        <f>IFERROR(__xludf.DUMMYFUNCTION("""COMPUTED_VALUE"""),"Formação Pedagógica História - Formação Pedagógica História - Farley Junior Chaves da Rocha - Teorias da História - Nota Máxima: 10")</f>
        <v>Formação Pedagógica História - Formação Pedagógica História - Farley Junior Chaves da Rocha - Teorias da História - Nota Máxima: 10</v>
      </c>
    </row>
    <row r="3234">
      <c r="A3234" s="390" t="str">
        <f>IFERROR(__xludf.DUMMYFUNCTION("""COMPUTED_VALUE"""),"Formação Pedagógica História - Formação Pedagógica História - Dassayew Klelwin de Vasconcelos Rocha - Cultura e Diversidade II - Nota Máxima: 10")</f>
        <v>Formação Pedagógica História - Formação Pedagógica História - Dassayew Klelwin de Vasconcelos Rocha - Cultura e Diversidade II - Nota Máxima: 10</v>
      </c>
    </row>
    <row r="3235">
      <c r="A3235" s="390" t="str">
        <f>IFERROR(__xludf.DUMMYFUNCTION("""COMPUTED_VALUE"""),"Formação Pedagógica História - Formação Pedagógica História - Dassayew Klelwin de Vasconcelos Rocha - Deficiência Auditiva e Libras/a - Nota Máxima: 9")</f>
        <v>Formação Pedagógica História - Formação Pedagógica História - Dassayew Klelwin de Vasconcelos Rocha - Deficiência Auditiva e Libras/a - Nota Máxima: 9</v>
      </c>
    </row>
    <row r="3236">
      <c r="A3236" s="390" t="str">
        <f>IFERROR(__xludf.DUMMYFUNCTION("""COMPUTED_VALUE"""),"Formação Pedagógica História - Formação Pedagógica História - Dassayew Klelwin de Vasconcelos Rocha - Deficiência Auditiva e Libras/a - Nota Máxima: 10")</f>
        <v>Formação Pedagógica História - Formação Pedagógica História - Dassayew Klelwin de Vasconcelos Rocha - Deficiência Auditiva e Libras/a - Nota Máxima: 10</v>
      </c>
    </row>
    <row r="3237">
      <c r="A3237" s="390" t="str">
        <f>IFERROR(__xludf.DUMMYFUNCTION("""COMPUTED_VALUE"""),"Formação Pedagógica História - Formação Pedagógica História - Dassayew Klelwin de Vasconcelos Rocha - Desenvolvimento do Capital Humano - Nota Máxima: 9")</f>
        <v>Formação Pedagógica História - Formação Pedagógica História - Dassayew Klelwin de Vasconcelos Rocha - Desenvolvimento do Capital Humano - Nota Máxima: 9</v>
      </c>
    </row>
    <row r="3238">
      <c r="A3238" s="390" t="str">
        <f>IFERROR(__xludf.DUMMYFUNCTION("""COMPUTED_VALUE"""),"Formação Pedagógica História - Formação Pedagógica História - Dassayew Klelwin de Vasconcelos Rocha - Educação Especial, Inclusão Escolar e Adaptações Curriculares - Nota Máxima: 8")</f>
        <v>Formação Pedagógica História - Formação Pedagógica História - Dassayew Klelwin de Vasconcelos Rocha - Educação Especial, Inclusão Escolar e Adaptações Curriculares - Nota Máxima: 8</v>
      </c>
    </row>
    <row r="3239">
      <c r="A3239" s="390" t="str">
        <f>IFERROR(__xludf.DUMMYFUNCTION("""COMPUTED_VALUE"""),"Formação Pedagógica História - Formação Pedagógica História - Dassayew Klelwin de Vasconcelos Rocha - Educação, História, Cultura e Práticas Indígenas/a - Nota Máxima: 8")</f>
        <v>Formação Pedagógica História - Formação Pedagógica História - Dassayew Klelwin de Vasconcelos Rocha - Educação, História, Cultura e Práticas Indígenas/a - Nota Máxima: 8</v>
      </c>
    </row>
    <row r="3240">
      <c r="A3240" s="390" t="str">
        <f>IFERROR(__xludf.DUMMYFUNCTION("""COMPUTED_VALUE"""),"Formação Pedagógica História - Formação Pedagógica História - Dassayew Klelwin de Vasconcelos Rocha - Estudos Populacionais - Nota Máxima: 8")</f>
        <v>Formação Pedagógica História - Formação Pedagógica História - Dassayew Klelwin de Vasconcelos Rocha - Estudos Populacionais - Nota Máxima: 8</v>
      </c>
    </row>
    <row r="3241">
      <c r="A3241" s="390" t="str">
        <f>IFERROR(__xludf.DUMMYFUNCTION("""COMPUTED_VALUE"""),"Formação Pedagógica História - Formação Pedagógica História - Dassayew Klelwin de Vasconcelos Rocha - História Antiga e Medieval - Nota Máxima: 10")</f>
        <v>Formação Pedagógica História - Formação Pedagógica História - Dassayew Klelwin de Vasconcelos Rocha - História Antiga e Medieval - Nota Máxima: 10</v>
      </c>
    </row>
    <row r="3242">
      <c r="A3242" s="390" t="str">
        <f>IFERROR(__xludf.DUMMYFUNCTION("""COMPUTED_VALUE"""),"Formação Pedagógica História - Formação Pedagógica História - Dassayew Klelwin de Vasconcelos Rocha - História Moderna e Contemporânea - Nota Máxima: 10")</f>
        <v>Formação Pedagógica História - Formação Pedagógica História - Dassayew Klelwin de Vasconcelos Rocha - História Moderna e Contemporânea - Nota Máxima: 10</v>
      </c>
    </row>
    <row r="3243">
      <c r="A3243" s="390" t="str">
        <f>IFERROR(__xludf.DUMMYFUNCTION("""COMPUTED_VALUE"""),"Formação Pedagógica História - Formação Pedagógica História - Dassayew Klelwin de Vasconcelos Rocha - História Moderna e Contemporânea - Nota Máxima: 8")</f>
        <v>Formação Pedagógica História - Formação Pedagógica História - Dassayew Klelwin de Vasconcelos Rocha - História Moderna e Contemporânea - Nota Máxima: 8</v>
      </c>
    </row>
    <row r="3244">
      <c r="A3244" s="390" t="str">
        <f>IFERROR(__xludf.DUMMYFUNCTION("""COMPUTED_VALUE"""),"Formação Pedagógica História - Formação Pedagógica História - Dassayew Klelwin de Vasconcelos Rocha - Legislação Educacional/a - Nota Máxima: 8")</f>
        <v>Formação Pedagógica História - Formação Pedagógica História - Dassayew Klelwin de Vasconcelos Rocha - Legislação Educacional/a - Nota Máxima: 8</v>
      </c>
    </row>
    <row r="3245">
      <c r="A3245" s="390" t="str">
        <f>IFERROR(__xludf.DUMMYFUNCTION("""COMPUTED_VALUE"""),"Formação Pedagógica História - Formação Pedagógica História - Dassayew Klelwin de Vasconcelos Rocha - Metodologia do Ensino da História - Nota Máxima: 10")</f>
        <v>Formação Pedagógica História - Formação Pedagógica História - Dassayew Klelwin de Vasconcelos Rocha - Metodologia do Ensino da História - Nota Máxima: 10</v>
      </c>
    </row>
    <row r="3246">
      <c r="A3246" s="390" t="str">
        <f>IFERROR(__xludf.DUMMYFUNCTION("""COMPUTED_VALUE"""),"Formação Pedagógica História - Formação Pedagógica História - Dassayew Klelwin de Vasconcelos Rocha - Metodologia do Ensino da História - Nota Máxima: 7")</f>
        <v>Formação Pedagógica História - Formação Pedagógica História - Dassayew Klelwin de Vasconcelos Rocha - Metodologia do Ensino da História - Nota Máxima: 7</v>
      </c>
    </row>
    <row r="3247">
      <c r="A3247" s="390" t="str">
        <f>IFERROR(__xludf.DUMMYFUNCTION("""COMPUTED_VALUE"""),"Formação Pedagógica História - Formação Pedagógica História - Dassayew Klelwin de Vasconcelos Rocha - Planejamento, Gestão Educacional e Currículo/a - Nota Máxima: 10")</f>
        <v>Formação Pedagógica História - Formação Pedagógica História - Dassayew Klelwin de Vasconcelos Rocha - Planejamento, Gestão Educacional e Currículo/a - Nota Máxima: 10</v>
      </c>
    </row>
    <row r="3248">
      <c r="A3248" s="390" t="str">
        <f>IFERROR(__xludf.DUMMYFUNCTION("""COMPUTED_VALUE"""),"Formação Pedagógica História - Formação Pedagógica História - Dassayew Klelwin de Vasconcelos Rocha - Psicologia da Educação/a - Nota Máxima: 10")</f>
        <v>Formação Pedagógica História - Formação Pedagógica História - Dassayew Klelwin de Vasconcelos Rocha - Psicologia da Educação/a - Nota Máxima: 10</v>
      </c>
    </row>
    <row r="3249">
      <c r="A3249" s="390" t="str">
        <f>IFERROR(__xludf.DUMMYFUNCTION("""COMPUTED_VALUE"""),"Formação Pedagógica História - Formação Pedagógica História - Dassayew Klelwin de Vasconcelos Rocha - Teorias da História - Nota Máxima: 10")</f>
        <v>Formação Pedagógica História - Formação Pedagógica História - Dassayew Klelwin de Vasconcelos Rocha - Teorias da História - Nota Máxima: 10</v>
      </c>
    </row>
    <row r="3250">
      <c r="A3250" s="390" t="str">
        <f>IFERROR(__xludf.DUMMYFUNCTION("""COMPUTED_VALUE"""),"Formação Pedagógica História - Formação Pedagógica História - Dassayew Klelwin de Vasconcelos Rocha - Teorias da História - Nota Máxima: 3")</f>
        <v>Formação Pedagógica História - Formação Pedagógica História - Dassayew Klelwin de Vasconcelos Rocha - Teorias da História - Nota Máxima: 3</v>
      </c>
    </row>
    <row r="3251">
      <c r="A3251" s="390" t="str">
        <f>IFERROR(__xludf.DUMMYFUNCTION("""COMPUTED_VALUE"""),"Formação Pedagógica História - Formação Pedagógica História - Alex sandro Santos Costa - Cultura e Diversidade II - Nota Máxima: 10")</f>
        <v>Formação Pedagógica História - Formação Pedagógica História - Alex sandro Santos Costa - Cultura e Diversidade II - Nota Máxima: 10</v>
      </c>
    </row>
    <row r="3252">
      <c r="A3252" s="390" t="str">
        <f>IFERROR(__xludf.DUMMYFUNCTION("""COMPUTED_VALUE"""),"Formação Pedagógica História - Formação Pedagógica História - Alex sandro Santos Costa - Cultura e Diversidade II - Nota Máxima: 9")</f>
        <v>Formação Pedagógica História - Formação Pedagógica História - Alex sandro Santos Costa - Cultura e Diversidade II - Nota Máxima: 9</v>
      </c>
    </row>
    <row r="3253">
      <c r="A3253" s="390" t="str">
        <f>IFERROR(__xludf.DUMMYFUNCTION("""COMPUTED_VALUE"""),"Formação Pedagógica História - Formação Pedagógica História - Alex sandro Santos Costa - Deficiência Auditiva e Libras/a - Nota Máxima: 10")</f>
        <v>Formação Pedagógica História - Formação Pedagógica História - Alex sandro Santos Costa - Deficiência Auditiva e Libras/a - Nota Máxima: 10</v>
      </c>
    </row>
    <row r="3254">
      <c r="A3254" s="390" t="str">
        <f>IFERROR(__xludf.DUMMYFUNCTION("""COMPUTED_VALUE"""),"Formação Pedagógica História - Formação Pedagógica História - Alex sandro Santos Costa - Deficiência Auditiva e Libras/a - Nota Máxima: 6")</f>
        <v>Formação Pedagógica História - Formação Pedagógica História - Alex sandro Santos Costa - Deficiência Auditiva e Libras/a - Nota Máxima: 6</v>
      </c>
    </row>
    <row r="3255">
      <c r="A3255" s="390" t="str">
        <f>IFERROR(__xludf.DUMMYFUNCTION("""COMPUTED_VALUE"""),"Formação Pedagógica História - Formação Pedagógica História - Alex sandro Santos Costa - Desenvolvimento do Capital Humano - Nota Máxima: 10")</f>
        <v>Formação Pedagógica História - Formação Pedagógica História - Alex sandro Santos Costa - Desenvolvimento do Capital Humano - Nota Máxima: 10</v>
      </c>
    </row>
    <row r="3256">
      <c r="A3256" s="390" t="str">
        <f>IFERROR(__xludf.DUMMYFUNCTION("""COMPUTED_VALUE"""),"Formação Pedagógica História - Formação Pedagógica História - Alex sandro Santos Costa - Desenvolvimento do Capital Humano - Nota Máxima: 10")</f>
        <v>Formação Pedagógica História - Formação Pedagógica História - Alex sandro Santos Costa - Desenvolvimento do Capital Humano - Nota Máxima: 10</v>
      </c>
    </row>
    <row r="3257">
      <c r="A3257" s="390" t="str">
        <f>IFERROR(__xludf.DUMMYFUNCTION("""COMPUTED_VALUE"""),"Formação Pedagógica História - Formação Pedagógica História - Alex sandro Santos Costa - Educação Especial, Inclusão Escolar e Adaptações Curriculares - Nota Máxima: 9")</f>
        <v>Formação Pedagógica História - Formação Pedagógica História - Alex sandro Santos Costa - Educação Especial, Inclusão Escolar e Adaptações Curriculares - Nota Máxima: 9</v>
      </c>
    </row>
    <row r="3258">
      <c r="A3258" s="390" t="str">
        <f>IFERROR(__xludf.DUMMYFUNCTION("""COMPUTED_VALUE"""),"Formação Pedagógica História - Formação Pedagógica História - Alex sandro Santos Costa - Educação Especial, Inclusão Escolar e Adaptações Curriculares - Nota Máxima: 3")</f>
        <v>Formação Pedagógica História - Formação Pedagógica História - Alex sandro Santos Costa - Educação Especial, Inclusão Escolar e Adaptações Curriculares - Nota Máxima: 3</v>
      </c>
    </row>
    <row r="3259">
      <c r="A3259" s="390" t="str">
        <f>IFERROR(__xludf.DUMMYFUNCTION("""COMPUTED_VALUE"""),"Formação Pedagógica História - Formação Pedagógica História - Alex sandro Santos Costa - Educação, História, Cultura e Práticas Indígenas/a - Nota Máxima: 10")</f>
        <v>Formação Pedagógica História - Formação Pedagógica História - Alex sandro Santos Costa - Educação, História, Cultura e Práticas Indígenas/a - Nota Máxima: 10</v>
      </c>
    </row>
    <row r="3260">
      <c r="A3260" s="390" t="str">
        <f>IFERROR(__xludf.DUMMYFUNCTION("""COMPUTED_VALUE"""),"Formação Pedagógica História - Formação Pedagógica História - Alex sandro Santos Costa - Educação, História, Cultura e Práticas Indígenas/a - Nota Máxima: 9")</f>
        <v>Formação Pedagógica História - Formação Pedagógica História - Alex sandro Santos Costa - Educação, História, Cultura e Práticas Indígenas/a - Nota Máxima: 9</v>
      </c>
    </row>
    <row r="3261">
      <c r="A3261" s="390" t="str">
        <f>IFERROR(__xludf.DUMMYFUNCTION("""COMPUTED_VALUE"""),"Formação Pedagógica História - Formação Pedagógica História - Alex sandro Santos Costa - Estudos Populacionais - Nota Máxima: 9")</f>
        <v>Formação Pedagógica História - Formação Pedagógica História - Alex sandro Santos Costa - Estudos Populacionais - Nota Máxima: 9</v>
      </c>
    </row>
    <row r="3262">
      <c r="A3262" s="390" t="str">
        <f>IFERROR(__xludf.DUMMYFUNCTION("""COMPUTED_VALUE"""),"Formação Pedagógica História - Formação Pedagógica História - Alex sandro Santos Costa - Estudos Populacionais - Nota Máxima: 9")</f>
        <v>Formação Pedagógica História - Formação Pedagógica História - Alex sandro Santos Costa - Estudos Populacionais - Nota Máxima: 9</v>
      </c>
    </row>
    <row r="3263">
      <c r="A3263" s="390" t="str">
        <f>IFERROR(__xludf.DUMMYFUNCTION("""COMPUTED_VALUE"""),"Formação Pedagógica História - Formação Pedagógica História - Alex sandro Santos Costa - História Antiga e Medieval - Nota Máxima: 10")</f>
        <v>Formação Pedagógica História - Formação Pedagógica História - Alex sandro Santos Costa - História Antiga e Medieval - Nota Máxima: 10</v>
      </c>
    </row>
    <row r="3264">
      <c r="A3264" s="390" t="str">
        <f>IFERROR(__xludf.DUMMYFUNCTION("""COMPUTED_VALUE"""),"Formação Pedagógica História - Formação Pedagógica História - Alex sandro Santos Costa - História Antiga e Medieval - Nota Máxima: 10")</f>
        <v>Formação Pedagógica História - Formação Pedagógica História - Alex sandro Santos Costa - História Antiga e Medieval - Nota Máxima: 10</v>
      </c>
    </row>
    <row r="3265">
      <c r="A3265" s="390" t="str">
        <f>IFERROR(__xludf.DUMMYFUNCTION("""COMPUTED_VALUE"""),"Formação Pedagógica História - Formação Pedagógica História - Alex sandro Santos Costa - História Moderna e Contemporânea - Nota Máxima: 10")</f>
        <v>Formação Pedagógica História - Formação Pedagógica História - Alex sandro Santos Costa - História Moderna e Contemporânea - Nota Máxima: 10</v>
      </c>
    </row>
    <row r="3266">
      <c r="A3266" s="390" t="str">
        <f>IFERROR(__xludf.DUMMYFUNCTION("""COMPUTED_VALUE"""),"Formação Pedagógica História - Formação Pedagógica História - Alex sandro Santos Costa - História Moderna e Contemporânea - Nota Máxima: 8")</f>
        <v>Formação Pedagógica História - Formação Pedagógica História - Alex sandro Santos Costa - História Moderna e Contemporânea - Nota Máxima: 8</v>
      </c>
    </row>
    <row r="3267">
      <c r="A3267" s="390" t="str">
        <f>IFERROR(__xludf.DUMMYFUNCTION("""COMPUTED_VALUE"""),"Formação Pedagógica História - Formação Pedagógica História - Alex sandro Santos Costa - Legislação Educacional/a - Nota Máxima: 10")</f>
        <v>Formação Pedagógica História - Formação Pedagógica História - Alex sandro Santos Costa - Legislação Educacional/a - Nota Máxima: 10</v>
      </c>
    </row>
    <row r="3268">
      <c r="A3268" s="390" t="str">
        <f>IFERROR(__xludf.DUMMYFUNCTION("""COMPUTED_VALUE"""),"Formação Pedagógica História - Formação Pedagógica História - Alex sandro Santos Costa - Legislação Educacional/a - Nota Máxima: 10")</f>
        <v>Formação Pedagógica História - Formação Pedagógica História - Alex sandro Santos Costa - Legislação Educacional/a - Nota Máxima: 10</v>
      </c>
    </row>
    <row r="3269">
      <c r="A3269" s="390" t="str">
        <f>IFERROR(__xludf.DUMMYFUNCTION("""COMPUTED_VALUE"""),"Formação Pedagógica História - Formação Pedagógica História - Alex sandro Santos Costa - Metodologia do Ensino da História - Nota Máxima: 10")</f>
        <v>Formação Pedagógica História - Formação Pedagógica História - Alex sandro Santos Costa - Metodologia do Ensino da História - Nota Máxima: 10</v>
      </c>
    </row>
    <row r="3270">
      <c r="A3270" s="390" t="str">
        <f>IFERROR(__xludf.DUMMYFUNCTION("""COMPUTED_VALUE"""),"Formação Pedagógica História - Formação Pedagógica História - Alex sandro Santos Costa - Metodologia do Ensino da História - Nota Máxima: 10")</f>
        <v>Formação Pedagógica História - Formação Pedagógica História - Alex sandro Santos Costa - Metodologia do Ensino da História - Nota Máxima: 10</v>
      </c>
    </row>
    <row r="3271">
      <c r="A3271" s="390" t="str">
        <f>IFERROR(__xludf.DUMMYFUNCTION("""COMPUTED_VALUE"""),"Formação Pedagógica História - Formação Pedagógica História - Alex sandro Santos Costa - Planejamento, Gestão Educacional e Currículo/a - Nota Máxima: 10")</f>
        <v>Formação Pedagógica História - Formação Pedagógica História - Alex sandro Santos Costa - Planejamento, Gestão Educacional e Currículo/a - Nota Máxima: 10</v>
      </c>
    </row>
    <row r="3272">
      <c r="A3272" s="390" t="str">
        <f>IFERROR(__xludf.DUMMYFUNCTION("""COMPUTED_VALUE"""),"Formação Pedagógica História - Formação Pedagógica História - Alex sandro Santos Costa - Planejamento, Gestão Educacional e Currículo/a - Nota Máxima: 10")</f>
        <v>Formação Pedagógica História - Formação Pedagógica História - Alex sandro Santos Costa - Planejamento, Gestão Educacional e Currículo/a - Nota Máxima: 10</v>
      </c>
    </row>
    <row r="3273">
      <c r="A3273" s="390" t="str">
        <f>IFERROR(__xludf.DUMMYFUNCTION("""COMPUTED_VALUE"""),"Formação Pedagógica História - Formação Pedagógica História - Alex sandro Santos Costa - Práticas Pedagógicas - 400 Horas - Nota Máxima: 4")</f>
        <v>Formação Pedagógica História - Formação Pedagógica História - Alex sandro Santos Costa - Práticas Pedagógicas - 400 Horas - Nota Máxima: 4</v>
      </c>
    </row>
    <row r="3274">
      <c r="A3274" s="390" t="str">
        <f>IFERROR(__xludf.DUMMYFUNCTION("""COMPUTED_VALUE"""),"Formação Pedagógica História - Formação Pedagógica História - Alex sandro Santos Costa - Práticas Pedagógicas - 400 Horas - Nota Máxima: 4")</f>
        <v>Formação Pedagógica História - Formação Pedagógica História - Alex sandro Santos Costa - Práticas Pedagógicas - 400 Horas - Nota Máxima: 4</v>
      </c>
    </row>
    <row r="3275">
      <c r="A3275" s="390" t="str">
        <f>IFERROR(__xludf.DUMMYFUNCTION("""COMPUTED_VALUE"""),"Formação Pedagógica História - Formação Pedagógica História - Alex sandro Santos Costa - Psicologia da Educação/a - Nota Máxima: 10")</f>
        <v>Formação Pedagógica História - Formação Pedagógica História - Alex sandro Santos Costa - Psicologia da Educação/a - Nota Máxima: 10</v>
      </c>
    </row>
    <row r="3276">
      <c r="A3276" s="390" t="str">
        <f>IFERROR(__xludf.DUMMYFUNCTION("""COMPUTED_VALUE"""),"Formação Pedagógica História - Formação Pedagógica História - Alex sandro Santos Costa - Psicologia da Educação/a - Nota Máxima: 10")</f>
        <v>Formação Pedagógica História - Formação Pedagógica História - Alex sandro Santos Costa - Psicologia da Educação/a - Nota Máxima: 10</v>
      </c>
    </row>
    <row r="3277">
      <c r="A3277" s="390" t="str">
        <f>IFERROR(__xludf.DUMMYFUNCTION("""COMPUTED_VALUE"""),"Formação Pedagógica História - Formação Pedagógica História - Alex sandro Santos Costa - Teorias da História - Nota Máxima: 10")</f>
        <v>Formação Pedagógica História - Formação Pedagógica História - Alex sandro Santos Costa - Teorias da História - Nota Máxima: 10</v>
      </c>
    </row>
    <row r="3278">
      <c r="A3278" s="390" t="str">
        <f>IFERROR(__xludf.DUMMYFUNCTION("""COMPUTED_VALUE"""),"Formação Pedagógica História - Formação Pedagógica História - Alex sandro Santos Costa - Teorias da História - Nota Máxima: 10")</f>
        <v>Formação Pedagógica História - Formação Pedagógica História - Alex sandro Santos Costa - Teorias da História - Nota Máxima: 10</v>
      </c>
    </row>
    <row r="3279">
      <c r="A3279" s="390" t="str">
        <f>IFERROR(__xludf.DUMMYFUNCTION("""COMPUTED_VALUE"""),"Formação Pedagógica História - Formação Pedagógica História - Marcelo Pereira do Nascimento - Cultura e Diversidade II - Nota Máxima: 9")</f>
        <v>Formação Pedagógica História - Formação Pedagógica História - Marcelo Pereira do Nascimento - Cultura e Diversidade II - Nota Máxima: 9</v>
      </c>
    </row>
    <row r="3280">
      <c r="A3280" s="390" t="str">
        <f>IFERROR(__xludf.DUMMYFUNCTION("""COMPUTED_VALUE"""),"Formação Pedagógica História - Formação Pedagógica História - Marcelo Pereira do Nascimento - Cultura e Diversidade II - Nota Máxima: 10")</f>
        <v>Formação Pedagógica História - Formação Pedagógica História - Marcelo Pereira do Nascimento - Cultura e Diversidade II - Nota Máxima: 10</v>
      </c>
    </row>
    <row r="3281">
      <c r="A3281" s="390" t="str">
        <f>IFERROR(__xludf.DUMMYFUNCTION("""COMPUTED_VALUE"""),"Formação Pedagógica História - Formação Pedagógica História - Marcelo Pereira do Nascimento - Deficiência Auditiva e Libras/a - Nota Máxima: 10")</f>
        <v>Formação Pedagógica História - Formação Pedagógica História - Marcelo Pereira do Nascimento - Deficiência Auditiva e Libras/a - Nota Máxima: 10</v>
      </c>
    </row>
    <row r="3282">
      <c r="A3282" s="390" t="str">
        <f>IFERROR(__xludf.DUMMYFUNCTION("""COMPUTED_VALUE"""),"Formação Pedagógica História - Formação Pedagógica História - Marcelo Pereira do Nascimento - Deficiência Auditiva e Libras/a - Nota Máxima: 10")</f>
        <v>Formação Pedagógica História - Formação Pedagógica História - Marcelo Pereira do Nascimento - Deficiência Auditiva e Libras/a - Nota Máxima: 10</v>
      </c>
    </row>
    <row r="3283">
      <c r="A3283" s="390" t="str">
        <f>IFERROR(__xludf.DUMMYFUNCTION("""COMPUTED_VALUE"""),"Formação Pedagógica História - Formação Pedagógica História - Marcelo Pereira do Nascimento - Desenvolvimento do Capital Humano - Nota Máxima: 8")</f>
        <v>Formação Pedagógica História - Formação Pedagógica História - Marcelo Pereira do Nascimento - Desenvolvimento do Capital Humano - Nota Máxima: 8</v>
      </c>
    </row>
    <row r="3284">
      <c r="A3284" s="390" t="str">
        <f>IFERROR(__xludf.DUMMYFUNCTION("""COMPUTED_VALUE"""),"Formação Pedagógica História - Formação Pedagógica História - Marcelo Pereira do Nascimento - Desenvolvimento do Capital Humano - Nota Máxima: 10")</f>
        <v>Formação Pedagógica História - Formação Pedagógica História - Marcelo Pereira do Nascimento - Desenvolvimento do Capital Humano - Nota Máxima: 10</v>
      </c>
    </row>
    <row r="3285">
      <c r="A3285" s="390" t="str">
        <f>IFERROR(__xludf.DUMMYFUNCTION("""COMPUTED_VALUE"""),"Formação Pedagógica História - Formação Pedagógica História - Marcelo Pereira do Nascimento - Educação Especial, Inclusão Escolar e Adaptações Curriculares - Nota Máxima: 10")</f>
        <v>Formação Pedagógica História - Formação Pedagógica História - Marcelo Pereira do Nascimento - Educação Especial, Inclusão Escolar e Adaptações Curriculares - Nota Máxima: 10</v>
      </c>
    </row>
    <row r="3286">
      <c r="A3286" s="390" t="str">
        <f>IFERROR(__xludf.DUMMYFUNCTION("""COMPUTED_VALUE"""),"Formação Pedagógica História - Formação Pedagógica História - Marcelo Pereira do Nascimento - Educação Especial, Inclusão Escolar e Adaptações Curriculares - Nota Máxima: 10")</f>
        <v>Formação Pedagógica História - Formação Pedagógica História - Marcelo Pereira do Nascimento - Educação Especial, Inclusão Escolar e Adaptações Curriculares - Nota Máxima: 10</v>
      </c>
    </row>
    <row r="3287">
      <c r="A3287" s="390" t="str">
        <f>IFERROR(__xludf.DUMMYFUNCTION("""COMPUTED_VALUE"""),"Formação Pedagógica História - Formação Pedagógica História - Marcelo Pereira do Nascimento - Educação, História, Cultura e Práticas Indígenas/a - Nota Máxima: 9")</f>
        <v>Formação Pedagógica História - Formação Pedagógica História - Marcelo Pereira do Nascimento - Educação, História, Cultura e Práticas Indígenas/a - Nota Máxima: 9</v>
      </c>
    </row>
    <row r="3288">
      <c r="A3288" s="390" t="str">
        <f>IFERROR(__xludf.DUMMYFUNCTION("""COMPUTED_VALUE"""),"Formação Pedagógica História - Formação Pedagógica História - Marcelo Pereira do Nascimento - Educação, História, Cultura e Práticas Indígenas/a - Nota Máxima: 9")</f>
        <v>Formação Pedagógica História - Formação Pedagógica História - Marcelo Pereira do Nascimento - Educação, História, Cultura e Práticas Indígenas/a - Nota Máxima: 9</v>
      </c>
    </row>
    <row r="3289">
      <c r="A3289" s="390" t="str">
        <f>IFERROR(__xludf.DUMMYFUNCTION("""COMPUTED_VALUE"""),"Formação Pedagógica História - Formação Pedagógica História - Marcelo Pereira do Nascimento - Estudos Populacionais - Nota Máxima: 9")</f>
        <v>Formação Pedagógica História - Formação Pedagógica História - Marcelo Pereira do Nascimento - Estudos Populacionais - Nota Máxima: 9</v>
      </c>
    </row>
    <row r="3290">
      <c r="A3290" s="390" t="str">
        <f>IFERROR(__xludf.DUMMYFUNCTION("""COMPUTED_VALUE"""),"Formação Pedagógica História - Formação Pedagógica História - Marcelo Pereira do Nascimento - Estudos Populacionais - Nota Máxima: 10")</f>
        <v>Formação Pedagógica História - Formação Pedagógica História - Marcelo Pereira do Nascimento - Estudos Populacionais - Nota Máxima: 10</v>
      </c>
    </row>
    <row r="3291">
      <c r="A3291" s="390" t="str">
        <f>IFERROR(__xludf.DUMMYFUNCTION("""COMPUTED_VALUE"""),"Formação Pedagógica História - Formação Pedagógica História - Marcelo Pereira do Nascimento - História Antiga e Medieval - Nota Máxima: 9")</f>
        <v>Formação Pedagógica História - Formação Pedagógica História - Marcelo Pereira do Nascimento - História Antiga e Medieval - Nota Máxima: 9</v>
      </c>
    </row>
    <row r="3292">
      <c r="A3292" s="390" t="str">
        <f>IFERROR(__xludf.DUMMYFUNCTION("""COMPUTED_VALUE"""),"Formação Pedagógica História - Formação Pedagógica História - Marcelo Pereira do Nascimento - História Antiga e Medieval - Nota Máxima: 10")</f>
        <v>Formação Pedagógica História - Formação Pedagógica História - Marcelo Pereira do Nascimento - História Antiga e Medieval - Nota Máxima: 10</v>
      </c>
    </row>
    <row r="3293">
      <c r="A3293" s="390" t="str">
        <f>IFERROR(__xludf.DUMMYFUNCTION("""COMPUTED_VALUE"""),"Formação Pedagógica História - Formação Pedagógica História - Marcelo Pereira do Nascimento - História Moderna e Contemporânea - Nota Máxima: 10")</f>
        <v>Formação Pedagógica História - Formação Pedagógica História - Marcelo Pereira do Nascimento - História Moderna e Contemporânea - Nota Máxima: 10</v>
      </c>
    </row>
    <row r="3294">
      <c r="A3294" s="390" t="str">
        <f>IFERROR(__xludf.DUMMYFUNCTION("""COMPUTED_VALUE"""),"Formação Pedagógica História - Formação Pedagógica História - Marcelo Pereira do Nascimento - História Moderna e Contemporânea - Nota Máxima: 10")</f>
        <v>Formação Pedagógica História - Formação Pedagógica História - Marcelo Pereira do Nascimento - História Moderna e Contemporânea - Nota Máxima: 10</v>
      </c>
    </row>
    <row r="3295">
      <c r="A3295" s="390" t="str">
        <f>IFERROR(__xludf.DUMMYFUNCTION("""COMPUTED_VALUE"""),"Formação Pedagógica História - Formação Pedagógica História - Marcelo Pereira do Nascimento - Legislação Educacional/a - Nota Máxima: 10")</f>
        <v>Formação Pedagógica História - Formação Pedagógica História - Marcelo Pereira do Nascimento - Legislação Educacional/a - Nota Máxima: 10</v>
      </c>
    </row>
    <row r="3296">
      <c r="A3296" s="390" t="str">
        <f>IFERROR(__xludf.DUMMYFUNCTION("""COMPUTED_VALUE"""),"Formação Pedagógica História - Formação Pedagógica História - Marcelo Pereira do Nascimento - Legislação Educacional/a - Nota Máxima: 9")</f>
        <v>Formação Pedagógica História - Formação Pedagógica História - Marcelo Pereira do Nascimento - Legislação Educacional/a - Nota Máxima: 9</v>
      </c>
    </row>
    <row r="3297">
      <c r="A3297" s="390" t="str">
        <f>IFERROR(__xludf.DUMMYFUNCTION("""COMPUTED_VALUE"""),"Formação Pedagógica História - Formação Pedagógica História - Marcelo Pereira do Nascimento - Metodologia do Ensino da História - Nota Máxima: 10")</f>
        <v>Formação Pedagógica História - Formação Pedagógica História - Marcelo Pereira do Nascimento - Metodologia do Ensino da História - Nota Máxima: 10</v>
      </c>
    </row>
    <row r="3298">
      <c r="A3298" s="390" t="str">
        <f>IFERROR(__xludf.DUMMYFUNCTION("""COMPUTED_VALUE"""),"Formação Pedagógica História - Formação Pedagógica História - Marcelo Pereira do Nascimento - Metodologia do Ensino da História - Nota Máxima: 10")</f>
        <v>Formação Pedagógica História - Formação Pedagógica História - Marcelo Pereira do Nascimento - Metodologia do Ensino da História - Nota Máxima: 10</v>
      </c>
    </row>
    <row r="3299">
      <c r="A3299" s="390" t="str">
        <f>IFERROR(__xludf.DUMMYFUNCTION("""COMPUTED_VALUE"""),"Formação Pedagógica História - Formação Pedagógica História - Marcelo Pereira do Nascimento - Planejamento, Gestão Educacional e Currículo/a - Nota Máxima: 10")</f>
        <v>Formação Pedagógica História - Formação Pedagógica História - Marcelo Pereira do Nascimento - Planejamento, Gestão Educacional e Currículo/a - Nota Máxima: 10</v>
      </c>
    </row>
    <row r="3300">
      <c r="A3300" s="390" t="str">
        <f>IFERROR(__xludf.DUMMYFUNCTION("""COMPUTED_VALUE"""),"Formação Pedagógica História - Formação Pedagógica História - Marcelo Pereira do Nascimento - Planejamento, Gestão Educacional e Currículo/a - Nota Máxima: 9")</f>
        <v>Formação Pedagógica História - Formação Pedagógica História - Marcelo Pereira do Nascimento - Planejamento, Gestão Educacional e Currículo/a - Nota Máxima: 9</v>
      </c>
    </row>
    <row r="3301">
      <c r="A3301" s="390" t="str">
        <f>IFERROR(__xludf.DUMMYFUNCTION("""COMPUTED_VALUE"""),"Formação Pedagógica História - Formação Pedagógica História - Marcelo Pereira do Nascimento - Práticas Pedagógicas - 400 Horas - Nota Máxima: 4")</f>
        <v>Formação Pedagógica História - Formação Pedagógica História - Marcelo Pereira do Nascimento - Práticas Pedagógicas - 400 Horas - Nota Máxima: 4</v>
      </c>
    </row>
    <row r="3302">
      <c r="A3302" s="390" t="str">
        <f>IFERROR(__xludf.DUMMYFUNCTION("""COMPUTED_VALUE"""),"Formação Pedagógica História - Formação Pedagógica História - Marcelo Pereira do Nascimento - Práticas Pedagógicas - 400 Horas - Nota Máxima: 3")</f>
        <v>Formação Pedagógica História - Formação Pedagógica História - Marcelo Pereira do Nascimento - Práticas Pedagógicas - 400 Horas - Nota Máxima: 3</v>
      </c>
    </row>
    <row r="3303">
      <c r="A3303" s="390" t="str">
        <f>IFERROR(__xludf.DUMMYFUNCTION("""COMPUTED_VALUE"""),"Formação Pedagógica História - Formação Pedagógica História - Marcelo Pereira do Nascimento - Psicologia da Educação/a - Nota Máxima: 9")</f>
        <v>Formação Pedagógica História - Formação Pedagógica História - Marcelo Pereira do Nascimento - Psicologia da Educação/a - Nota Máxima: 9</v>
      </c>
    </row>
    <row r="3304">
      <c r="A3304" s="390" t="str">
        <f>IFERROR(__xludf.DUMMYFUNCTION("""COMPUTED_VALUE"""),"Formação Pedagógica História - Formação Pedagógica História - Marcelo Pereira do Nascimento - Psicologia da Educação/a - Nota Máxima: 10")</f>
        <v>Formação Pedagógica História - Formação Pedagógica História - Marcelo Pereira do Nascimento - Psicologia da Educação/a - Nota Máxima: 10</v>
      </c>
    </row>
    <row r="3305">
      <c r="A3305" s="390" t="str">
        <f>IFERROR(__xludf.DUMMYFUNCTION("""COMPUTED_VALUE"""),"Formação Pedagógica História - Formação Pedagógica História - Marcelo Pereira do Nascimento - Teorias da História - Nota Máxima: 8")</f>
        <v>Formação Pedagógica História - Formação Pedagógica História - Marcelo Pereira do Nascimento - Teorias da História - Nota Máxima: 8</v>
      </c>
    </row>
    <row r="3306">
      <c r="A3306" s="390" t="str">
        <f>IFERROR(__xludf.DUMMYFUNCTION("""COMPUTED_VALUE"""),"Formação Pedagógica História - Formação Pedagógica História - Marcelo Pereira do Nascimento - Teorias da História - Nota Máxima: 9")</f>
        <v>Formação Pedagógica História - Formação Pedagógica História - Marcelo Pereira do Nascimento - Teorias da História - Nota Máxima: 9</v>
      </c>
    </row>
    <row r="3307">
      <c r="A3307" s="390" t="str">
        <f>IFERROR(__xludf.DUMMYFUNCTION("""COMPUTED_VALUE"""),"Formação Pedagógica História - Formação Pedagógica História - Claudemir de Souza valentim - Deficiência Auditiva e Libras/a - Nota Máxima: 10")</f>
        <v>Formação Pedagógica História - Formação Pedagógica História - Claudemir de Souza valentim - Deficiência Auditiva e Libras/a - Nota Máxima: 10</v>
      </c>
    </row>
    <row r="3308">
      <c r="A3308" s="390" t="str">
        <f>IFERROR(__xludf.DUMMYFUNCTION("""COMPUTED_VALUE"""),"Formação Pedagógica História - Formação Pedagógica História - Claudemir de Souza valentim - Deficiência Auditiva e Libras/a - Nota Máxima: 8")</f>
        <v>Formação Pedagógica História - Formação Pedagógica História - Claudemir de Souza valentim - Deficiência Auditiva e Libras/a - Nota Máxima: 8</v>
      </c>
    </row>
    <row r="3309">
      <c r="A3309" s="390" t="str">
        <f>IFERROR(__xludf.DUMMYFUNCTION("""COMPUTED_VALUE"""),"Formação Pedagógica História - Formação Pedagógica História - Claudemir de Souza valentim - Educação Especial, Inclusão Escolar e Adaptações Curriculares - Nota Máxima: 10")</f>
        <v>Formação Pedagógica História - Formação Pedagógica História - Claudemir de Souza valentim - Educação Especial, Inclusão Escolar e Adaptações Curriculares - Nota Máxima: 10</v>
      </c>
    </row>
    <row r="3310">
      <c r="A3310" s="390" t="str">
        <f>IFERROR(__xludf.DUMMYFUNCTION("""COMPUTED_VALUE"""),"Formação Pedagógica História - Formação Pedagógica História - Claudemir de Souza valentim - Educação Especial, Inclusão Escolar e Adaptações Curriculares - Nota Máxima: 9")</f>
        <v>Formação Pedagógica História - Formação Pedagógica História - Claudemir de Souza valentim - Educação Especial, Inclusão Escolar e Adaptações Curriculares - Nota Máxima: 9</v>
      </c>
    </row>
    <row r="3311">
      <c r="A3311" s="390" t="str">
        <f>IFERROR(__xludf.DUMMYFUNCTION("""COMPUTED_VALUE"""),"Formação Pedagógica História - Formação Pedagógica História - Claudemir de Souza valentim - Legislação Educacional/a - Nota Máxima: 10")</f>
        <v>Formação Pedagógica História - Formação Pedagógica História - Claudemir de Souza valentim - Legislação Educacional/a - Nota Máxima: 10</v>
      </c>
    </row>
    <row r="3312">
      <c r="A3312" s="390" t="str">
        <f>IFERROR(__xludf.DUMMYFUNCTION("""COMPUTED_VALUE"""),"Formação Pedagógica História - Formação Pedagógica História - Claudemir de Souza valentim - Legislação Educacional/a - Nota Máxima: 6")</f>
        <v>Formação Pedagógica História - Formação Pedagógica História - Claudemir de Souza valentim - Legislação Educacional/a - Nota Máxima: 6</v>
      </c>
    </row>
    <row r="3313">
      <c r="A3313" s="390" t="str">
        <f>IFERROR(__xludf.DUMMYFUNCTION("""COMPUTED_VALUE"""),"Formação Pedagógica História - Formação Pedagógica História - Claudemir de Souza valentim - Planejamento, Gestão Educacional e Currículo/a - Nota Máxima: 10")</f>
        <v>Formação Pedagógica História - Formação Pedagógica História - Claudemir de Souza valentim - Planejamento, Gestão Educacional e Currículo/a - Nota Máxima: 10</v>
      </c>
    </row>
    <row r="3314">
      <c r="A3314" s="390" t="str">
        <f>IFERROR(__xludf.DUMMYFUNCTION("""COMPUTED_VALUE"""),"Formação Pedagógica História - Formação Pedagógica História - Claudemir de Souza valentim - Planejamento, Gestão Educacional e Currículo/a - Nota Máxima: 10")</f>
        <v>Formação Pedagógica História - Formação Pedagógica História - Claudemir de Souza valentim - Planejamento, Gestão Educacional e Currículo/a - Nota Máxima: 10</v>
      </c>
    </row>
    <row r="3315">
      <c r="A3315" s="390" t="str">
        <f>IFERROR(__xludf.DUMMYFUNCTION("""COMPUTED_VALUE"""),"Formação Pedagógica História - Formação Pedagógica História - Ivanildo Batista Correa Junior - Cultura e Diversidade II - Nota Máxima: 10")</f>
        <v>Formação Pedagógica História - Formação Pedagógica História - Ivanildo Batista Correa Junior - Cultura e Diversidade II - Nota Máxima: 10</v>
      </c>
    </row>
    <row r="3316">
      <c r="A3316" s="390" t="str">
        <f>IFERROR(__xludf.DUMMYFUNCTION("""COMPUTED_VALUE"""),"Formação Pedagógica História - Formação Pedagógica História - Ivanildo Batista Correa Junior - Deficiência Auditiva e Libras/a - Nota Máxima: 10")</f>
        <v>Formação Pedagógica História - Formação Pedagógica História - Ivanildo Batista Correa Junior - Deficiência Auditiva e Libras/a - Nota Máxima: 10</v>
      </c>
    </row>
    <row r="3317">
      <c r="A3317" s="390" t="str">
        <f>IFERROR(__xludf.DUMMYFUNCTION("""COMPUTED_VALUE"""),"Formação Pedagógica História - Formação Pedagógica História - Ivanildo Batista Correa Junior - Deficiência Auditiva e Libras/a - Nota Máxima: 10")</f>
        <v>Formação Pedagógica História - Formação Pedagógica História - Ivanildo Batista Correa Junior - Deficiência Auditiva e Libras/a - Nota Máxima: 10</v>
      </c>
    </row>
    <row r="3318">
      <c r="A3318" s="390" t="str">
        <f>IFERROR(__xludf.DUMMYFUNCTION("""COMPUTED_VALUE"""),"Formação Pedagógica História - Formação Pedagógica História - Ivanildo Batista Correa Junior - Desenvolvimento do Capital Humano - Nota Máxima: 10")</f>
        <v>Formação Pedagógica História - Formação Pedagógica História - Ivanildo Batista Correa Junior - Desenvolvimento do Capital Humano - Nota Máxima: 10</v>
      </c>
    </row>
    <row r="3319">
      <c r="A3319" s="390" t="str">
        <f>IFERROR(__xludf.DUMMYFUNCTION("""COMPUTED_VALUE"""),"Formação Pedagógica História - Formação Pedagógica História - Ivanildo Batista Correa Junior - Educação Especial, Inclusão Escolar e Adaptações Curriculares - Nota Máxima: 10")</f>
        <v>Formação Pedagógica História - Formação Pedagógica História - Ivanildo Batista Correa Junior - Educação Especial, Inclusão Escolar e Adaptações Curriculares - Nota Máxima: 10</v>
      </c>
    </row>
    <row r="3320">
      <c r="A3320" s="390" t="str">
        <f>IFERROR(__xludf.DUMMYFUNCTION("""COMPUTED_VALUE"""),"Formação Pedagógica História - Formação Pedagógica História - Ivanildo Batista Correa Junior - Educação, História, Cultura e Práticas Indígenas/a - Nota Máxima: 10")</f>
        <v>Formação Pedagógica História - Formação Pedagógica História - Ivanildo Batista Correa Junior - Educação, História, Cultura e Práticas Indígenas/a - Nota Máxima: 10</v>
      </c>
    </row>
    <row r="3321">
      <c r="A3321" s="390" t="str">
        <f>IFERROR(__xludf.DUMMYFUNCTION("""COMPUTED_VALUE"""),"Formação Pedagógica História - Formação Pedagógica História - Ivanildo Batista Correa Junior - Estudos Populacionais - Nota Máxima: 10")</f>
        <v>Formação Pedagógica História - Formação Pedagógica História - Ivanildo Batista Correa Junior - Estudos Populacionais - Nota Máxima: 10</v>
      </c>
    </row>
    <row r="3322">
      <c r="A3322" s="390" t="str">
        <f>IFERROR(__xludf.DUMMYFUNCTION("""COMPUTED_VALUE"""),"Formação Pedagógica História - Formação Pedagógica História - Ivanildo Batista Correa Junior - História Antiga e Medieval - Nota Máxima: 10")</f>
        <v>Formação Pedagógica História - Formação Pedagógica História - Ivanildo Batista Correa Junior - História Antiga e Medieval - Nota Máxima: 10</v>
      </c>
    </row>
    <row r="3323">
      <c r="A3323" s="390" t="str">
        <f>IFERROR(__xludf.DUMMYFUNCTION("""COMPUTED_VALUE"""),"Formação Pedagógica História - Formação Pedagógica História - Ivanildo Batista Correa Junior - História Moderna e Contemporânea - Nota Máxima: 10")</f>
        <v>Formação Pedagógica História - Formação Pedagógica História - Ivanildo Batista Correa Junior - História Moderna e Contemporânea - Nota Máxima: 10</v>
      </c>
    </row>
    <row r="3324">
      <c r="A3324" s="390" t="str">
        <f>IFERROR(__xludf.DUMMYFUNCTION("""COMPUTED_VALUE"""),"Formação Pedagógica História - Formação Pedagógica História - Ivanildo Batista Correa Junior - Legislação Educacional/a - Nota Máxima: 10")</f>
        <v>Formação Pedagógica História - Formação Pedagógica História - Ivanildo Batista Correa Junior - Legislação Educacional/a - Nota Máxima: 10</v>
      </c>
    </row>
    <row r="3325">
      <c r="A3325" s="390" t="str">
        <f>IFERROR(__xludf.DUMMYFUNCTION("""COMPUTED_VALUE"""),"Formação Pedagógica História - Formação Pedagógica História - Ivanildo Batista Correa Junior - Metodologia do Ensino da História - Nota Máxima: 10")</f>
        <v>Formação Pedagógica História - Formação Pedagógica História - Ivanildo Batista Correa Junior - Metodologia do Ensino da História - Nota Máxima: 10</v>
      </c>
    </row>
    <row r="3326">
      <c r="A3326" s="390" t="str">
        <f>IFERROR(__xludf.DUMMYFUNCTION("""COMPUTED_VALUE"""),"Formação Pedagógica História - Formação Pedagógica História - Ivanildo Batista Correa Junior - Planejamento, Gestão Educacional e Currículo/a - Nota Máxima: 10")</f>
        <v>Formação Pedagógica História - Formação Pedagógica História - Ivanildo Batista Correa Junior - Planejamento, Gestão Educacional e Currículo/a - Nota Máxima: 10</v>
      </c>
    </row>
    <row r="3327">
      <c r="A3327" s="390" t="str">
        <f>IFERROR(__xludf.DUMMYFUNCTION("""COMPUTED_VALUE"""),"Formação Pedagógica História - Formação Pedagógica História - Ivanildo Batista Correa Junior - Práticas Pedagógicas - 400 Horas - Nota Máxima: 4")</f>
        <v>Formação Pedagógica História - Formação Pedagógica História - Ivanildo Batista Correa Junior - Práticas Pedagógicas - 400 Horas - Nota Máxima: 4</v>
      </c>
    </row>
    <row r="3328">
      <c r="A3328" s="390" t="str">
        <f>IFERROR(__xludf.DUMMYFUNCTION("""COMPUTED_VALUE"""),"Formação Pedagógica História - Formação Pedagógica História - Ivanildo Batista Correa Junior - Psicologia da Educação/a - Nota Máxima: 10")</f>
        <v>Formação Pedagógica História - Formação Pedagógica História - Ivanildo Batista Correa Junior - Psicologia da Educação/a - Nota Máxima: 10</v>
      </c>
    </row>
    <row r="3329">
      <c r="A3329" s="390" t="str">
        <f>IFERROR(__xludf.DUMMYFUNCTION("""COMPUTED_VALUE"""),"Formação Pedagógica História - Formação Pedagógica História - Ivanildo Batista Correa Junior - Teorias da História - Nota Máxima: 10")</f>
        <v>Formação Pedagógica História - Formação Pedagógica História - Ivanildo Batista Correa Junior - Teorias da História - Nota Máxima: 10</v>
      </c>
    </row>
    <row r="3330">
      <c r="A3330" s="390" t="str">
        <f>IFERROR(__xludf.DUMMYFUNCTION("""COMPUTED_VALUE"""),"Formação Pedagógica História - Formação Pedagógica História - Cezar Silva de Araujo - Cultura e Diversidade II - Nota Máxima: 10")</f>
        <v>Formação Pedagógica História - Formação Pedagógica História - Cezar Silva de Araujo - Cultura e Diversidade II - Nota Máxima: 10</v>
      </c>
    </row>
    <row r="3331">
      <c r="A3331" s="390" t="str">
        <f>IFERROR(__xludf.DUMMYFUNCTION("""COMPUTED_VALUE"""),"Formação Pedagógica História - Formação Pedagógica História - Cezar Silva de Araujo - Cultura e Diversidade II - Nota Máxima: 10")</f>
        <v>Formação Pedagógica História - Formação Pedagógica História - Cezar Silva de Araujo - Cultura e Diversidade II - Nota Máxima: 10</v>
      </c>
    </row>
    <row r="3332">
      <c r="A3332" s="390" t="str">
        <f>IFERROR(__xludf.DUMMYFUNCTION("""COMPUTED_VALUE"""),"Formação Pedagógica História - Formação Pedagógica História - Cezar Silva de Araujo - Deficiência Auditiva e Libras/a - Nota Máxima: 8")</f>
        <v>Formação Pedagógica História - Formação Pedagógica História - Cezar Silva de Araujo - Deficiência Auditiva e Libras/a - Nota Máxima: 8</v>
      </c>
    </row>
    <row r="3333">
      <c r="A3333" s="390" t="str">
        <f>IFERROR(__xludf.DUMMYFUNCTION("""COMPUTED_VALUE"""),"Formação Pedagógica História - Formação Pedagógica História - Cezar Silva de Araujo - Deficiência Auditiva e Libras/a - Nota Máxima: 7")</f>
        <v>Formação Pedagógica História - Formação Pedagógica História - Cezar Silva de Araujo - Deficiência Auditiva e Libras/a - Nota Máxima: 7</v>
      </c>
    </row>
    <row r="3334">
      <c r="A3334" s="390" t="str">
        <f>IFERROR(__xludf.DUMMYFUNCTION("""COMPUTED_VALUE"""),"Formação Pedagógica História - Formação Pedagógica História - Cezar Silva de Araujo - Desenvolvimento do Capital Humano - Nota Máxima: 9")</f>
        <v>Formação Pedagógica História - Formação Pedagógica História - Cezar Silva de Araujo - Desenvolvimento do Capital Humano - Nota Máxima: 9</v>
      </c>
    </row>
    <row r="3335">
      <c r="A3335" s="390" t="str">
        <f>IFERROR(__xludf.DUMMYFUNCTION("""COMPUTED_VALUE"""),"Formação Pedagógica História - Formação Pedagógica História - Cezar Silva de Araujo - Desenvolvimento do Capital Humano - Nota Máxima: 8")</f>
        <v>Formação Pedagógica História - Formação Pedagógica História - Cezar Silva de Araujo - Desenvolvimento do Capital Humano - Nota Máxima: 8</v>
      </c>
    </row>
    <row r="3336">
      <c r="A3336" s="390" t="str">
        <f>IFERROR(__xludf.DUMMYFUNCTION("""COMPUTED_VALUE"""),"Formação Pedagógica História - Formação Pedagógica História - Cezar Silva de Araujo - Educação Especial, Inclusão Escolar e Adaptações Curriculares - Nota Máxima: 9")</f>
        <v>Formação Pedagógica História - Formação Pedagógica História - Cezar Silva de Araujo - Educação Especial, Inclusão Escolar e Adaptações Curriculares - Nota Máxima: 9</v>
      </c>
    </row>
    <row r="3337">
      <c r="A3337" s="390" t="str">
        <f>IFERROR(__xludf.DUMMYFUNCTION("""COMPUTED_VALUE"""),"Formação Pedagógica História - Formação Pedagógica História - Cezar Silva de Araujo - Educação Especial, Inclusão Escolar e Adaptações Curriculares - Nota Máxima: 7")</f>
        <v>Formação Pedagógica História - Formação Pedagógica História - Cezar Silva de Araujo - Educação Especial, Inclusão Escolar e Adaptações Curriculares - Nota Máxima: 7</v>
      </c>
    </row>
    <row r="3338">
      <c r="A3338" s="390" t="str">
        <f>IFERROR(__xludf.DUMMYFUNCTION("""COMPUTED_VALUE"""),"Formação Pedagógica História - Formação Pedagógica História - Cezar Silva de Araujo - Educação, História, Cultura e Práticas Indígenas/a - Nota Máxima: 9")</f>
        <v>Formação Pedagógica História - Formação Pedagógica História - Cezar Silva de Araujo - Educação, História, Cultura e Práticas Indígenas/a - Nota Máxima: 9</v>
      </c>
    </row>
    <row r="3339">
      <c r="A3339" s="390" t="str">
        <f>IFERROR(__xludf.DUMMYFUNCTION("""COMPUTED_VALUE"""),"Formação Pedagógica História - Formação Pedagógica História - Cezar Silva de Araujo - Educação, História, Cultura e Práticas Indígenas/a - Nota Máxima: 3")</f>
        <v>Formação Pedagógica História - Formação Pedagógica História - Cezar Silva de Araujo - Educação, História, Cultura e Práticas Indígenas/a - Nota Máxima: 3</v>
      </c>
    </row>
    <row r="3340">
      <c r="A3340" s="390" t="str">
        <f>IFERROR(__xludf.DUMMYFUNCTION("""COMPUTED_VALUE"""),"Formação Pedagógica História - Formação Pedagógica História - Cezar Silva de Araujo - Estudos Populacionais - Nota Máxima: 10")</f>
        <v>Formação Pedagógica História - Formação Pedagógica História - Cezar Silva de Araujo - Estudos Populacionais - Nota Máxima: 10</v>
      </c>
    </row>
    <row r="3341">
      <c r="A3341" s="390" t="str">
        <f>IFERROR(__xludf.DUMMYFUNCTION("""COMPUTED_VALUE"""),"Formação Pedagógica História - Formação Pedagógica História - Cezar Silva de Araujo - Estudos Populacionais - Nota Máxima: 6")</f>
        <v>Formação Pedagógica História - Formação Pedagógica História - Cezar Silva de Araujo - Estudos Populacionais - Nota Máxima: 6</v>
      </c>
    </row>
    <row r="3342">
      <c r="A3342" s="390" t="str">
        <f>IFERROR(__xludf.DUMMYFUNCTION("""COMPUTED_VALUE"""),"Formação Pedagógica História - Formação Pedagógica História - Cezar Silva de Araujo - História Antiga e Medieval - Nota Máxima: 9")</f>
        <v>Formação Pedagógica História - Formação Pedagógica História - Cezar Silva de Araujo - História Antiga e Medieval - Nota Máxima: 9</v>
      </c>
    </row>
    <row r="3343">
      <c r="A3343" s="390" t="str">
        <f>IFERROR(__xludf.DUMMYFUNCTION("""COMPUTED_VALUE"""),"Formação Pedagógica História - Formação Pedagógica História - Cezar Silva de Araujo - História Antiga e Medieval - Nota Máxima: 5")</f>
        <v>Formação Pedagógica História - Formação Pedagógica História - Cezar Silva de Araujo - História Antiga e Medieval - Nota Máxima: 5</v>
      </c>
    </row>
    <row r="3344">
      <c r="A3344" s="390" t="str">
        <f>IFERROR(__xludf.DUMMYFUNCTION("""COMPUTED_VALUE"""),"Formação Pedagógica História - Formação Pedagógica História - Cezar Silva de Araujo - História Moderna e Contemporânea - Nota Máxima: 10")</f>
        <v>Formação Pedagógica História - Formação Pedagógica História - Cezar Silva de Araujo - História Moderna e Contemporânea - Nota Máxima: 10</v>
      </c>
    </row>
    <row r="3345">
      <c r="A3345" s="390" t="str">
        <f>IFERROR(__xludf.DUMMYFUNCTION("""COMPUTED_VALUE"""),"Formação Pedagógica História - Formação Pedagógica História - Cezar Silva de Araujo - História Moderna e Contemporânea - Nota Máxima: 6")</f>
        <v>Formação Pedagógica História - Formação Pedagógica História - Cezar Silva de Araujo - História Moderna e Contemporânea - Nota Máxima: 6</v>
      </c>
    </row>
    <row r="3346">
      <c r="A3346" s="390" t="str">
        <f>IFERROR(__xludf.DUMMYFUNCTION("""COMPUTED_VALUE"""),"Formação Pedagógica História - Formação Pedagógica História - Cezar Silva de Araujo - Legislação Educacional/a - Nota Máxima: 8")</f>
        <v>Formação Pedagógica História - Formação Pedagógica História - Cezar Silva de Araujo - Legislação Educacional/a - Nota Máxima: 8</v>
      </c>
    </row>
    <row r="3347">
      <c r="A3347" s="390" t="str">
        <f>IFERROR(__xludf.DUMMYFUNCTION("""COMPUTED_VALUE"""),"Formação Pedagógica História - Formação Pedagógica História - Cezar Silva de Araujo - Legislação Educacional/a - Nota Máxima: 6")</f>
        <v>Formação Pedagógica História - Formação Pedagógica História - Cezar Silva de Araujo - Legislação Educacional/a - Nota Máxima: 6</v>
      </c>
    </row>
    <row r="3348">
      <c r="A3348" s="390" t="str">
        <f>IFERROR(__xludf.DUMMYFUNCTION("""COMPUTED_VALUE"""),"Formação Pedagógica História - Formação Pedagógica História - Cezar Silva de Araujo - Metodologia do Ensino da História - Nota Máxima: 10")</f>
        <v>Formação Pedagógica História - Formação Pedagógica História - Cezar Silva de Araujo - Metodologia do Ensino da História - Nota Máxima: 10</v>
      </c>
    </row>
    <row r="3349">
      <c r="A3349" s="390" t="str">
        <f>IFERROR(__xludf.DUMMYFUNCTION("""COMPUTED_VALUE"""),"Formação Pedagógica História - Formação Pedagógica História - Cezar Silva de Araujo - Metodologia do Ensino da História - Nota Máxima: 7")</f>
        <v>Formação Pedagógica História - Formação Pedagógica História - Cezar Silva de Araujo - Metodologia do Ensino da História - Nota Máxima: 7</v>
      </c>
    </row>
    <row r="3350">
      <c r="A3350" s="390" t="str">
        <f>IFERROR(__xludf.DUMMYFUNCTION("""COMPUTED_VALUE"""),"Formação Pedagógica História - Formação Pedagógica História - Cezar Silva de Araujo - Planejamento, Gestão Educacional e Currículo/a - Nota Máxima: 9")</f>
        <v>Formação Pedagógica História - Formação Pedagógica História - Cezar Silva de Araujo - Planejamento, Gestão Educacional e Currículo/a - Nota Máxima: 9</v>
      </c>
    </row>
    <row r="3351">
      <c r="A3351" s="390" t="str">
        <f>IFERROR(__xludf.DUMMYFUNCTION("""COMPUTED_VALUE"""),"Formação Pedagógica História - Formação Pedagógica História - Cezar Silva de Araujo - Planejamento, Gestão Educacional e Currículo/a - Nota Máxima: 8")</f>
        <v>Formação Pedagógica História - Formação Pedagógica História - Cezar Silva de Araujo - Planejamento, Gestão Educacional e Currículo/a - Nota Máxima: 8</v>
      </c>
    </row>
    <row r="3352">
      <c r="A3352" s="390" t="str">
        <f>IFERROR(__xludf.DUMMYFUNCTION("""COMPUTED_VALUE"""),"Formação Pedagógica História - Formação Pedagógica História - Cezar Silva de Araujo - Práticas Pedagógicas - 400 Horas - Nota Máxima: 45784")</f>
        <v>Formação Pedagógica História - Formação Pedagógica História - Cezar Silva de Araujo - Práticas Pedagógicas - 400 Horas - Nota Máxima: 45784</v>
      </c>
    </row>
    <row r="3353">
      <c r="A3353" s="390" t="str">
        <f>IFERROR(__xludf.DUMMYFUNCTION("""COMPUTED_VALUE"""),"Formação Pedagógica História - Formação Pedagógica História - Cezar Silva de Araujo - Práticas Pedagógicas - 400 Horas - Nota Máxima: 5")</f>
        <v>Formação Pedagógica História - Formação Pedagógica História - Cezar Silva de Araujo - Práticas Pedagógicas - 400 Horas - Nota Máxima: 5</v>
      </c>
    </row>
    <row r="3354">
      <c r="A3354" s="390" t="str">
        <f>IFERROR(__xludf.DUMMYFUNCTION("""COMPUTED_VALUE"""),"Formação Pedagógica História - Formação Pedagógica História - Cezar Silva de Araujo - Psicologia da Educação/a - Nota Máxima: 9")</f>
        <v>Formação Pedagógica História - Formação Pedagógica História - Cezar Silva de Araujo - Psicologia da Educação/a - Nota Máxima: 9</v>
      </c>
    </row>
    <row r="3355">
      <c r="A3355" s="390" t="str">
        <f>IFERROR(__xludf.DUMMYFUNCTION("""COMPUTED_VALUE"""),"Formação Pedagógica História - Formação Pedagógica História - Cezar Silva de Araujo - Psicologia da Educação/a - Nota Máxima: 5")</f>
        <v>Formação Pedagógica História - Formação Pedagógica História - Cezar Silva de Araujo - Psicologia da Educação/a - Nota Máxima: 5</v>
      </c>
    </row>
    <row r="3356">
      <c r="A3356" s="390" t="str">
        <f>IFERROR(__xludf.DUMMYFUNCTION("""COMPUTED_VALUE"""),"Formação Pedagógica História - Formação Pedagógica História - Cezar Silva de Araujo - Teorias da História - Nota Máxima: 10")</f>
        <v>Formação Pedagógica História - Formação Pedagógica História - Cezar Silva de Araujo - Teorias da História - Nota Máxima: 10</v>
      </c>
    </row>
    <row r="3357">
      <c r="A3357" s="390" t="str">
        <f>IFERROR(__xludf.DUMMYFUNCTION("""COMPUTED_VALUE"""),"Formação Pedagógica História - Formação Pedagógica História - Cezar Silva de Araujo - Teorias da História - Nota Máxima: 4")</f>
        <v>Formação Pedagógica História - Formação Pedagógica História - Cezar Silva de Araujo - Teorias da História - Nota Máxima: 4</v>
      </c>
    </row>
    <row r="3358">
      <c r="A3358" s="390" t="str">
        <f>IFERROR(__xludf.DUMMYFUNCTION("""COMPUTED_VALUE"""),"Formação Pedagógica História - Formação Pedagógica História - Andréa Iolanda da Silva - Cultura e Diversidade II - Nota Máxima: 10")</f>
        <v>Formação Pedagógica História - Formação Pedagógica História - Andréa Iolanda da Silva - Cultura e Diversidade II - Nota Máxima: 10</v>
      </c>
    </row>
    <row r="3359">
      <c r="A3359" s="390" t="str">
        <f>IFERROR(__xludf.DUMMYFUNCTION("""COMPUTED_VALUE"""),"Formação Pedagógica História - Formação Pedagógica História - Andréa Iolanda da Silva - Cultura e Diversidade II - Nota Máxima: 10")</f>
        <v>Formação Pedagógica História - Formação Pedagógica História - Andréa Iolanda da Silva - Cultura e Diversidade II - Nota Máxima: 10</v>
      </c>
    </row>
    <row r="3360">
      <c r="A3360" s="390" t="str">
        <f>IFERROR(__xludf.DUMMYFUNCTION("""COMPUTED_VALUE"""),"Formação Pedagógica História - Formação Pedagógica História - Andréa Iolanda da Silva - Deficiência Auditiva e Libras/a - Nota Máxima: 10")</f>
        <v>Formação Pedagógica História - Formação Pedagógica História - Andréa Iolanda da Silva - Deficiência Auditiva e Libras/a - Nota Máxima: 10</v>
      </c>
    </row>
    <row r="3361">
      <c r="A3361" s="390" t="str">
        <f>IFERROR(__xludf.DUMMYFUNCTION("""COMPUTED_VALUE"""),"Formação Pedagógica História - Formação Pedagógica História - Andréa Iolanda da Silva - Deficiência Auditiva e Libras/a - Nota Máxima: 10")</f>
        <v>Formação Pedagógica História - Formação Pedagógica História - Andréa Iolanda da Silva - Deficiência Auditiva e Libras/a - Nota Máxima: 10</v>
      </c>
    </row>
    <row r="3362">
      <c r="A3362" s="390" t="str">
        <f>IFERROR(__xludf.DUMMYFUNCTION("""COMPUTED_VALUE"""),"Formação Pedagógica História - Formação Pedagógica História - Andréa Iolanda da Silva - Desenvolvimento do Capital Humano - Nota Máxima: 10")</f>
        <v>Formação Pedagógica História - Formação Pedagógica História - Andréa Iolanda da Silva - Desenvolvimento do Capital Humano - Nota Máxima: 10</v>
      </c>
    </row>
    <row r="3363">
      <c r="A3363" s="390" t="str">
        <f>IFERROR(__xludf.DUMMYFUNCTION("""COMPUTED_VALUE"""),"Formação Pedagógica História - Formação Pedagógica História - Andréa Iolanda da Silva - Desenvolvimento do Capital Humano - Nota Máxima: 9")</f>
        <v>Formação Pedagógica História - Formação Pedagógica História - Andréa Iolanda da Silva - Desenvolvimento do Capital Humano - Nota Máxima: 9</v>
      </c>
    </row>
    <row r="3364">
      <c r="A3364" s="390" t="str">
        <f>IFERROR(__xludf.DUMMYFUNCTION("""COMPUTED_VALUE"""),"Formação Pedagógica História - Formação Pedagógica História - Andréa Iolanda da Silva - Educação Especial, Inclusão Escolar e Adaptações Curriculares - Nota Máxima: 10")</f>
        <v>Formação Pedagógica História - Formação Pedagógica História - Andréa Iolanda da Silva - Educação Especial, Inclusão Escolar e Adaptações Curriculares - Nota Máxima: 10</v>
      </c>
    </row>
    <row r="3365">
      <c r="A3365" s="390" t="str">
        <f>IFERROR(__xludf.DUMMYFUNCTION("""COMPUTED_VALUE"""),"Formação Pedagógica História - Formação Pedagógica História - Andréa Iolanda da Silva - Educação Especial, Inclusão Escolar e Adaptações Curriculares - Nota Máxima: 7")</f>
        <v>Formação Pedagógica História - Formação Pedagógica História - Andréa Iolanda da Silva - Educação Especial, Inclusão Escolar e Adaptações Curriculares - Nota Máxima: 7</v>
      </c>
    </row>
    <row r="3366">
      <c r="A3366" s="390" t="str">
        <f>IFERROR(__xludf.DUMMYFUNCTION("""COMPUTED_VALUE"""),"Formação Pedagógica História - Formação Pedagógica História - Andréa Iolanda da Silva - Educação, História, Cultura e Práticas Indígenas/a - Nota Máxima: 10")</f>
        <v>Formação Pedagógica História - Formação Pedagógica História - Andréa Iolanda da Silva - Educação, História, Cultura e Práticas Indígenas/a - Nota Máxima: 10</v>
      </c>
    </row>
    <row r="3367">
      <c r="A3367" s="390" t="str">
        <f>IFERROR(__xludf.DUMMYFUNCTION("""COMPUTED_VALUE"""),"Formação Pedagógica História - Formação Pedagógica História - Andréa Iolanda da Silva - Educação, História, Cultura e Práticas Indígenas/a - Nota Máxima: 6")</f>
        <v>Formação Pedagógica História - Formação Pedagógica História - Andréa Iolanda da Silva - Educação, História, Cultura e Práticas Indígenas/a - Nota Máxima: 6</v>
      </c>
    </row>
    <row r="3368">
      <c r="A3368" s="390" t="str">
        <f>IFERROR(__xludf.DUMMYFUNCTION("""COMPUTED_VALUE"""),"Formação Pedagógica História - Formação Pedagógica História - Andréa Iolanda da Silva - Estudos Populacionais - Nota Máxima: 8")</f>
        <v>Formação Pedagógica História - Formação Pedagógica História - Andréa Iolanda da Silva - Estudos Populacionais - Nota Máxima: 8</v>
      </c>
    </row>
    <row r="3369">
      <c r="A3369" s="390" t="str">
        <f>IFERROR(__xludf.DUMMYFUNCTION("""COMPUTED_VALUE"""),"Formação Pedagógica História - Formação Pedagógica História - Andréa Iolanda da Silva - Estudos Populacionais - Nota Máxima: 7")</f>
        <v>Formação Pedagógica História - Formação Pedagógica História - Andréa Iolanda da Silva - Estudos Populacionais - Nota Máxima: 7</v>
      </c>
    </row>
    <row r="3370">
      <c r="A3370" s="390" t="str">
        <f>IFERROR(__xludf.DUMMYFUNCTION("""COMPUTED_VALUE"""),"Formação Pedagógica História - Formação Pedagógica História - Andréa Iolanda da Silva - História Antiga e Medieval - Nota Máxima: 9")</f>
        <v>Formação Pedagógica História - Formação Pedagógica História - Andréa Iolanda da Silva - História Antiga e Medieval - Nota Máxima: 9</v>
      </c>
    </row>
    <row r="3371">
      <c r="A3371" s="390" t="str">
        <f>IFERROR(__xludf.DUMMYFUNCTION("""COMPUTED_VALUE"""),"Formação Pedagógica História - Formação Pedagógica História - Andréa Iolanda da Silva - História Antiga e Medieval - Nota Máxima: 2")</f>
        <v>Formação Pedagógica História - Formação Pedagógica História - Andréa Iolanda da Silva - História Antiga e Medieval - Nota Máxima: 2</v>
      </c>
    </row>
    <row r="3372">
      <c r="A3372" s="390" t="str">
        <f>IFERROR(__xludf.DUMMYFUNCTION("""COMPUTED_VALUE"""),"Formação Pedagógica História - Formação Pedagógica História - Andréa Iolanda da Silva - História Moderna e Contemporânea - Nota Máxima: 10")</f>
        <v>Formação Pedagógica História - Formação Pedagógica História - Andréa Iolanda da Silva - História Moderna e Contemporânea - Nota Máxima: 10</v>
      </c>
    </row>
    <row r="3373">
      <c r="A3373" s="390" t="str">
        <f>IFERROR(__xludf.DUMMYFUNCTION("""COMPUTED_VALUE"""),"Formação Pedagógica História - Formação Pedagógica História - Andréa Iolanda da Silva - História Moderna e Contemporânea - Nota Máxima: 5")</f>
        <v>Formação Pedagógica História - Formação Pedagógica História - Andréa Iolanda da Silva - História Moderna e Contemporânea - Nota Máxima: 5</v>
      </c>
    </row>
    <row r="3374">
      <c r="A3374" s="390" t="str">
        <f>IFERROR(__xludf.DUMMYFUNCTION("""COMPUTED_VALUE"""),"Formação Pedagógica História - Formação Pedagógica História - Andréa Iolanda da Silva - Legislação Educacional/a - Nota Máxima: 10")</f>
        <v>Formação Pedagógica História - Formação Pedagógica História - Andréa Iolanda da Silva - Legislação Educacional/a - Nota Máxima: 10</v>
      </c>
    </row>
    <row r="3375">
      <c r="A3375" s="390" t="str">
        <f>IFERROR(__xludf.DUMMYFUNCTION("""COMPUTED_VALUE"""),"Formação Pedagógica História - Formação Pedagógica História - Andréa Iolanda da Silva - Legislação Educacional/a - Nota Máxima: 6")</f>
        <v>Formação Pedagógica História - Formação Pedagógica História - Andréa Iolanda da Silva - Legislação Educacional/a - Nota Máxima: 6</v>
      </c>
    </row>
    <row r="3376">
      <c r="A3376" s="390" t="str">
        <f>IFERROR(__xludf.DUMMYFUNCTION("""COMPUTED_VALUE"""),"Formação Pedagógica História - Formação Pedagógica História - Andréa Iolanda da Silva - Metodologia do Ensino da História - Nota Máxima: 10")</f>
        <v>Formação Pedagógica História - Formação Pedagógica História - Andréa Iolanda da Silva - Metodologia do Ensino da História - Nota Máxima: 10</v>
      </c>
    </row>
    <row r="3377">
      <c r="A3377" s="390" t="str">
        <f>IFERROR(__xludf.DUMMYFUNCTION("""COMPUTED_VALUE"""),"Formação Pedagógica História - Formação Pedagógica História - Andréa Iolanda da Silva - Metodologia do Ensino da História - Nota Máxima: 9")</f>
        <v>Formação Pedagógica História - Formação Pedagógica História - Andréa Iolanda da Silva - Metodologia do Ensino da História - Nota Máxima: 9</v>
      </c>
    </row>
    <row r="3378">
      <c r="A3378" s="390" t="str">
        <f>IFERROR(__xludf.DUMMYFUNCTION("""COMPUTED_VALUE"""),"Formação Pedagógica História - Formação Pedagógica História - Andréa Iolanda da Silva - Planejamento, Gestão Educacional e Currículo/a - Nota Máxima: 10")</f>
        <v>Formação Pedagógica História - Formação Pedagógica História - Andréa Iolanda da Silva - Planejamento, Gestão Educacional e Currículo/a - Nota Máxima: 10</v>
      </c>
    </row>
    <row r="3379">
      <c r="A3379" s="390" t="str">
        <f>IFERROR(__xludf.DUMMYFUNCTION("""COMPUTED_VALUE"""),"Formação Pedagógica História - Formação Pedagógica História - Andréa Iolanda da Silva - Planejamento, Gestão Educacional e Currículo/a - Nota Máxima: 10")</f>
        <v>Formação Pedagógica História - Formação Pedagógica História - Andréa Iolanda da Silva - Planejamento, Gestão Educacional e Currículo/a - Nota Máxima: 10</v>
      </c>
    </row>
    <row r="3380">
      <c r="A3380" s="390" t="str">
        <f>IFERROR(__xludf.DUMMYFUNCTION("""COMPUTED_VALUE"""),"Formação Pedagógica História - Formação Pedagógica História - Andréa Iolanda da Silva - Práticas Pedagógicas - 400 Horas - Nota Máxima: 10")</f>
        <v>Formação Pedagógica História - Formação Pedagógica História - Andréa Iolanda da Silva - Práticas Pedagógicas - 400 Horas - Nota Máxima: 10</v>
      </c>
    </row>
    <row r="3381">
      <c r="A3381" s="390" t="str">
        <f>IFERROR(__xludf.DUMMYFUNCTION("""COMPUTED_VALUE"""),"Formação Pedagógica História - Formação Pedagógica História - Andréa Iolanda da Silva - Práticas Pedagógicas - 400 Horas - Nota Máxima: 5")</f>
        <v>Formação Pedagógica História - Formação Pedagógica História - Andréa Iolanda da Silva - Práticas Pedagógicas - 400 Horas - Nota Máxima: 5</v>
      </c>
    </row>
    <row r="3382">
      <c r="A3382" s="390" t="str">
        <f>IFERROR(__xludf.DUMMYFUNCTION("""COMPUTED_VALUE"""),"Formação Pedagógica História - Formação Pedagógica História - Andréa Iolanda da Silva - Psicologia da Educação/a - Nota Máxima: 10")</f>
        <v>Formação Pedagógica História - Formação Pedagógica História - Andréa Iolanda da Silva - Psicologia da Educação/a - Nota Máxima: 10</v>
      </c>
    </row>
    <row r="3383">
      <c r="A3383" s="390" t="str">
        <f>IFERROR(__xludf.DUMMYFUNCTION("""COMPUTED_VALUE"""),"Formação Pedagógica História - Formação Pedagógica História - Andréa Iolanda da Silva - Psicologia da Educação/a - Nota Máxima: 5")</f>
        <v>Formação Pedagógica História - Formação Pedagógica História - Andréa Iolanda da Silva - Psicologia da Educação/a - Nota Máxima: 5</v>
      </c>
    </row>
    <row r="3384">
      <c r="A3384" s="390" t="str">
        <f>IFERROR(__xludf.DUMMYFUNCTION("""COMPUTED_VALUE"""),"Formação Pedagógica História - Formação Pedagógica História - Andréa Iolanda da Silva - Teorias da História - Nota Máxima: 10")</f>
        <v>Formação Pedagógica História - Formação Pedagógica História - Andréa Iolanda da Silva - Teorias da História - Nota Máxima: 10</v>
      </c>
    </row>
    <row r="3385">
      <c r="A3385" s="390" t="str">
        <f>IFERROR(__xludf.DUMMYFUNCTION("""COMPUTED_VALUE"""),"Formação Pedagógica História - Formação Pedagógica História - Andréa Iolanda da Silva - Teorias da História - Nota Máxima: 3")</f>
        <v>Formação Pedagógica História - Formação Pedagógica História - Andréa Iolanda da Silva - Teorias da História - Nota Máxima: 3</v>
      </c>
    </row>
    <row r="3386">
      <c r="A3386" s="390" t="str">
        <f>IFERROR(__xludf.DUMMYFUNCTION("""COMPUTED_VALUE"""),"Formação Pedagógica História - Formação Pedagógica História - Mauro Cesar Correia da Cunha - Cultura e Diversidade II - Nota Máxima: 10")</f>
        <v>Formação Pedagógica História - Formação Pedagógica História - Mauro Cesar Correia da Cunha - Cultura e Diversidade II - Nota Máxima: 10</v>
      </c>
    </row>
    <row r="3387">
      <c r="A3387" s="390" t="str">
        <f>IFERROR(__xludf.DUMMYFUNCTION("""COMPUTED_VALUE"""),"Formação Pedagógica História - Formação Pedagógica História - Mauro Cesar Correia da Cunha - Deficiência Auditiva e Libras/a - Nota Máxima: 10")</f>
        <v>Formação Pedagógica História - Formação Pedagógica História - Mauro Cesar Correia da Cunha - Deficiência Auditiva e Libras/a - Nota Máxima: 10</v>
      </c>
    </row>
    <row r="3388">
      <c r="A3388" s="390" t="str">
        <f>IFERROR(__xludf.DUMMYFUNCTION("""COMPUTED_VALUE"""),"Formação Pedagógica História - Formação Pedagógica História - Mauro Cesar Correia da Cunha - Educação, História, Cultura e Práticas Indígenas/a - Nota Máxima: 10")</f>
        <v>Formação Pedagógica História - Formação Pedagógica História - Mauro Cesar Correia da Cunha - Educação, História, Cultura e Práticas Indígenas/a - Nota Máxima: 10</v>
      </c>
    </row>
    <row r="3389">
      <c r="A3389" s="390" t="str">
        <f>IFERROR(__xludf.DUMMYFUNCTION("""COMPUTED_VALUE"""),"Formação Pedagógica História - Formação Pedagógica História - Mauro Cesar Correia da Cunha - Estudos Populacionais - Nota Máxima: 9")</f>
        <v>Formação Pedagógica História - Formação Pedagógica História - Mauro Cesar Correia da Cunha - Estudos Populacionais - Nota Máxima: 9</v>
      </c>
    </row>
    <row r="3390">
      <c r="A3390" s="390" t="str">
        <f>IFERROR(__xludf.DUMMYFUNCTION("""COMPUTED_VALUE"""),"Formação Pedagógica História - Formação Pedagógica História - Mauro Cesar Correia da Cunha - História Antiga e Medieval - Nota Máxima: 8")</f>
        <v>Formação Pedagógica História - Formação Pedagógica História - Mauro Cesar Correia da Cunha - História Antiga e Medieval - Nota Máxima: 8</v>
      </c>
    </row>
    <row r="3391">
      <c r="A3391" s="390" t="str">
        <f>IFERROR(__xludf.DUMMYFUNCTION("""COMPUTED_VALUE"""),"Formação Pedagógica História - Formação Pedagógica História - Mauro Cesar Correia da Cunha - História Moderna e Contemporânea - Nota Máxima: 10")</f>
        <v>Formação Pedagógica História - Formação Pedagógica História - Mauro Cesar Correia da Cunha - História Moderna e Contemporânea - Nota Máxima: 10</v>
      </c>
    </row>
    <row r="3392">
      <c r="A3392" s="390" t="str">
        <f>IFERROR(__xludf.DUMMYFUNCTION("""COMPUTED_VALUE"""),"Formação Pedagógica História - Formação Pedagógica História - Mauro Cesar Correia da Cunha - Legislação Educacional/a - Nota Máxima: 9")</f>
        <v>Formação Pedagógica História - Formação Pedagógica História - Mauro Cesar Correia da Cunha - Legislação Educacional/a - Nota Máxima: 9</v>
      </c>
    </row>
    <row r="3393">
      <c r="A3393" s="390" t="str">
        <f>IFERROR(__xludf.DUMMYFUNCTION("""COMPUTED_VALUE"""),"Formação Pedagógica História - Formação Pedagógica História - Mauro Cesar Correia da Cunha - Metodologia do Ensino da História - Nota Máxima: 8")</f>
        <v>Formação Pedagógica História - Formação Pedagógica História - Mauro Cesar Correia da Cunha - Metodologia do Ensino da História - Nota Máxima: 8</v>
      </c>
    </row>
    <row r="3394">
      <c r="A3394" s="390" t="str">
        <f>IFERROR(__xludf.DUMMYFUNCTION("""COMPUTED_VALUE"""),"Formação Pedagógica História - Formação Pedagógica História - Mauro Cesar Correia da Cunha - Práticas Pedagógicas - 400 Horas - Nota Máxima: 0")</f>
        <v>Formação Pedagógica História - Formação Pedagógica História - Mauro Cesar Correia da Cunha - Práticas Pedagógicas - 400 Horas - Nota Máxima: 0</v>
      </c>
    </row>
    <row r="3395">
      <c r="A3395" s="390" t="str">
        <f>IFERROR(__xludf.DUMMYFUNCTION("""COMPUTED_VALUE"""),"Formação Pedagógica História - Formação Pedagógica História - Mauro Cesar Correia da Cunha - Psicologia da Educação/a - Nota Máxima: 10")</f>
        <v>Formação Pedagógica História - Formação Pedagógica História - Mauro Cesar Correia da Cunha - Psicologia da Educação/a - Nota Máxima: 10</v>
      </c>
    </row>
    <row r="3396">
      <c r="A3396" s="390" t="str">
        <f>IFERROR(__xludf.DUMMYFUNCTION("""COMPUTED_VALUE"""),"Formação Pedagógica História - Formação Pedagógica História - Mauro Cesar Correia da Cunha - Teorias da História - Nota Máxima: 7")</f>
        <v>Formação Pedagógica História - Formação Pedagógica História - Mauro Cesar Correia da Cunha - Teorias da História - Nota Máxima: 7</v>
      </c>
    </row>
    <row r="3397">
      <c r="A3397" s="390" t="str">
        <f>IFERROR(__xludf.DUMMYFUNCTION("""COMPUTED_VALUE"""),"Formação Pedagógica História - Formação Pedagógica História - Mauro Cesar Correia da Cunha - Teorias da História - Nota Máxima: 4")</f>
        <v>Formação Pedagógica História - Formação Pedagógica História - Mauro Cesar Correia da Cunha - Teorias da História - Nota Máxima: 4</v>
      </c>
    </row>
    <row r="3398">
      <c r="A3398" s="390" t="str">
        <f>IFERROR(__xludf.DUMMYFUNCTION("""COMPUTED_VALUE"""),"Formação Pedagógica História - Formação Pedagógica História - André Luis Peres de Souza - Deficiência Auditiva e Libras/a - Nota Máxima: 9")</f>
        <v>Formação Pedagógica História - Formação Pedagógica História - André Luis Peres de Souza - Deficiência Auditiva e Libras/a - Nota Máxima: 9</v>
      </c>
    </row>
    <row r="3399">
      <c r="A3399" s="390" t="str">
        <f>IFERROR(__xludf.DUMMYFUNCTION("""COMPUTED_VALUE"""),"Formação Pedagógica História - Formação Pedagógica História - André Luis Peres de Souza - Deficiência Auditiva e Libras/a - Nota Máxima: 8")</f>
        <v>Formação Pedagógica História - Formação Pedagógica História - André Luis Peres de Souza - Deficiência Auditiva e Libras/a - Nota Máxima: 8</v>
      </c>
    </row>
    <row r="3400">
      <c r="A3400" s="390" t="str">
        <f>IFERROR(__xludf.DUMMYFUNCTION("""COMPUTED_VALUE"""),"Formação Pedagógica História - Formação Pedagógica História - Márcio Antônio de Paula - Cultura e Diversidade II - Nota Máxima: 10")</f>
        <v>Formação Pedagógica História - Formação Pedagógica História - Márcio Antônio de Paula - Cultura e Diversidade II - Nota Máxima: 10</v>
      </c>
    </row>
    <row r="3401">
      <c r="A3401" s="390" t="str">
        <f>IFERROR(__xludf.DUMMYFUNCTION("""COMPUTED_VALUE"""),"Formação Pedagógica História - Formação Pedagógica História - Márcio Antônio de Paula - Cultura e Diversidade II - Nota Máxima: 10")</f>
        <v>Formação Pedagógica História - Formação Pedagógica História - Márcio Antônio de Paula - Cultura e Diversidade II - Nota Máxima: 10</v>
      </c>
    </row>
    <row r="3402">
      <c r="A3402" s="390" t="str">
        <f>IFERROR(__xludf.DUMMYFUNCTION("""COMPUTED_VALUE"""),"Formação Pedagógica História - Formação Pedagógica História - Márcio Antônio de Paula - Deficiência Auditiva e Libras/a - Nota Máxima: 10")</f>
        <v>Formação Pedagógica História - Formação Pedagógica História - Márcio Antônio de Paula - Deficiência Auditiva e Libras/a - Nota Máxima: 10</v>
      </c>
    </row>
    <row r="3403">
      <c r="A3403" s="390" t="str">
        <f>IFERROR(__xludf.DUMMYFUNCTION("""COMPUTED_VALUE"""),"Formação Pedagógica História - Formação Pedagógica História - Márcio Antônio de Paula - Deficiência Auditiva e Libras/a - Nota Máxima: 8")</f>
        <v>Formação Pedagógica História - Formação Pedagógica História - Márcio Antônio de Paula - Deficiência Auditiva e Libras/a - Nota Máxima: 8</v>
      </c>
    </row>
    <row r="3404">
      <c r="A3404" s="390" t="str">
        <f>IFERROR(__xludf.DUMMYFUNCTION("""COMPUTED_VALUE"""),"Formação Pedagógica História - Formação Pedagógica História - Márcio Antônio de Paula - Desenvolvimento do Capital Humano - Nota Máxima: 10")</f>
        <v>Formação Pedagógica História - Formação Pedagógica História - Márcio Antônio de Paula - Desenvolvimento do Capital Humano - Nota Máxima: 10</v>
      </c>
    </row>
    <row r="3405">
      <c r="A3405" s="390" t="str">
        <f>IFERROR(__xludf.DUMMYFUNCTION("""COMPUTED_VALUE"""),"Formação Pedagógica História - Formação Pedagógica História - Márcio Antônio de Paula - Desenvolvimento do Capital Humano - Nota Máxima: 10")</f>
        <v>Formação Pedagógica História - Formação Pedagógica História - Márcio Antônio de Paula - Desenvolvimento do Capital Humano - Nota Máxima: 10</v>
      </c>
    </row>
    <row r="3406">
      <c r="A3406" s="390" t="str">
        <f>IFERROR(__xludf.DUMMYFUNCTION("""COMPUTED_VALUE"""),"Formação Pedagógica História - Formação Pedagógica História - Márcio Antônio de Paula - Educação Especial, Inclusão Escolar e Adaptações Curriculares - Nota Máxima: 10")</f>
        <v>Formação Pedagógica História - Formação Pedagógica História - Márcio Antônio de Paula - Educação Especial, Inclusão Escolar e Adaptações Curriculares - Nota Máxima: 10</v>
      </c>
    </row>
    <row r="3407">
      <c r="A3407" s="390" t="str">
        <f>IFERROR(__xludf.DUMMYFUNCTION("""COMPUTED_VALUE"""),"Formação Pedagógica História - Formação Pedagógica História - Márcio Antônio de Paula - Educação Especial, Inclusão Escolar e Adaptações Curriculares - Nota Máxima: 10")</f>
        <v>Formação Pedagógica História - Formação Pedagógica História - Márcio Antônio de Paula - Educação Especial, Inclusão Escolar e Adaptações Curriculares - Nota Máxima: 10</v>
      </c>
    </row>
    <row r="3408">
      <c r="A3408" s="390" t="str">
        <f>IFERROR(__xludf.DUMMYFUNCTION("""COMPUTED_VALUE"""),"Formação Pedagógica História - Formação Pedagógica História - Márcio Antônio de Paula - Educação, História, Cultura e Práticas Indígenas/a - Nota Máxima: 10")</f>
        <v>Formação Pedagógica História - Formação Pedagógica História - Márcio Antônio de Paula - Educação, História, Cultura e Práticas Indígenas/a - Nota Máxima: 10</v>
      </c>
    </row>
    <row r="3409">
      <c r="A3409" s="390" t="str">
        <f>IFERROR(__xludf.DUMMYFUNCTION("""COMPUTED_VALUE"""),"Formação Pedagógica História - Formação Pedagógica História - Márcio Antônio de Paula - Educação, História, Cultura e Práticas Indígenas/a - Nota Máxima: 8")</f>
        <v>Formação Pedagógica História - Formação Pedagógica História - Márcio Antônio de Paula - Educação, História, Cultura e Práticas Indígenas/a - Nota Máxima: 8</v>
      </c>
    </row>
    <row r="3410">
      <c r="A3410" s="390" t="str">
        <f>IFERROR(__xludf.DUMMYFUNCTION("""COMPUTED_VALUE"""),"Formação Pedagógica História - Formação Pedagógica História - Márcio Antônio de Paula - Estudos Populacionais - Nota Máxima: 10")</f>
        <v>Formação Pedagógica História - Formação Pedagógica História - Márcio Antônio de Paula - Estudos Populacionais - Nota Máxima: 10</v>
      </c>
    </row>
    <row r="3411">
      <c r="A3411" s="390" t="str">
        <f>IFERROR(__xludf.DUMMYFUNCTION("""COMPUTED_VALUE"""),"Formação Pedagógica História - Formação Pedagógica História - Márcio Antônio de Paula - Estudos Populacionais - Nota Máxima: 8")</f>
        <v>Formação Pedagógica História - Formação Pedagógica História - Márcio Antônio de Paula - Estudos Populacionais - Nota Máxima: 8</v>
      </c>
    </row>
    <row r="3412">
      <c r="A3412" s="390" t="str">
        <f>IFERROR(__xludf.DUMMYFUNCTION("""COMPUTED_VALUE"""),"Formação Pedagógica História - Formação Pedagógica História - Márcio Antônio de Paula - História Antiga e Medieval - Nota Máxima: 10")</f>
        <v>Formação Pedagógica História - Formação Pedagógica História - Márcio Antônio de Paula - História Antiga e Medieval - Nota Máxima: 10</v>
      </c>
    </row>
    <row r="3413">
      <c r="A3413" s="390" t="str">
        <f>IFERROR(__xludf.DUMMYFUNCTION("""COMPUTED_VALUE"""),"Formação Pedagógica História - Formação Pedagógica História - Márcio Antônio de Paula - História Antiga e Medieval - Nota Máxima: 8")</f>
        <v>Formação Pedagógica História - Formação Pedagógica História - Márcio Antônio de Paula - História Antiga e Medieval - Nota Máxima: 8</v>
      </c>
    </row>
    <row r="3414">
      <c r="A3414" s="390" t="str">
        <f>IFERROR(__xludf.DUMMYFUNCTION("""COMPUTED_VALUE"""),"Formação Pedagógica História - Formação Pedagógica História - Márcio Antônio de Paula - História Moderna e Contemporânea - Nota Máxima: 10")</f>
        <v>Formação Pedagógica História - Formação Pedagógica História - Márcio Antônio de Paula - História Moderna e Contemporânea - Nota Máxima: 10</v>
      </c>
    </row>
    <row r="3415">
      <c r="A3415" s="390" t="str">
        <f>IFERROR(__xludf.DUMMYFUNCTION("""COMPUTED_VALUE"""),"Formação Pedagógica História - Formação Pedagógica História - Márcio Antônio de Paula - História Moderna e Contemporânea - Nota Máxima: 8")</f>
        <v>Formação Pedagógica História - Formação Pedagógica História - Márcio Antônio de Paula - História Moderna e Contemporânea - Nota Máxima: 8</v>
      </c>
    </row>
    <row r="3416">
      <c r="A3416" s="390" t="str">
        <f>IFERROR(__xludf.DUMMYFUNCTION("""COMPUTED_VALUE"""),"Formação Pedagógica História - Formação Pedagógica História - Márcio Antônio de Paula - Legislação Educacional/a - Nota Máxima: 10")</f>
        <v>Formação Pedagógica História - Formação Pedagógica História - Márcio Antônio de Paula - Legislação Educacional/a - Nota Máxima: 10</v>
      </c>
    </row>
    <row r="3417">
      <c r="A3417" s="390" t="str">
        <f>IFERROR(__xludf.DUMMYFUNCTION("""COMPUTED_VALUE"""),"Formação Pedagógica História - Formação Pedagógica História - Márcio Antônio de Paula - Legislação Educacional/a - Nota Máxima: 8")</f>
        <v>Formação Pedagógica História - Formação Pedagógica História - Márcio Antônio de Paula - Legislação Educacional/a - Nota Máxima: 8</v>
      </c>
    </row>
    <row r="3418">
      <c r="A3418" s="390" t="str">
        <f>IFERROR(__xludf.DUMMYFUNCTION("""COMPUTED_VALUE"""),"Formação Pedagógica História - Formação Pedagógica História - Márcio Antônio de Paula - Metodologia do Ensino da História - Nota Máxima: 10")</f>
        <v>Formação Pedagógica História - Formação Pedagógica História - Márcio Antônio de Paula - Metodologia do Ensino da História - Nota Máxima: 10</v>
      </c>
    </row>
    <row r="3419">
      <c r="A3419" s="390" t="str">
        <f>IFERROR(__xludf.DUMMYFUNCTION("""COMPUTED_VALUE"""),"Formação Pedagógica História - Formação Pedagógica História - Márcio Antônio de Paula - Metodologia do Ensino da História - Nota Máxima: 9")</f>
        <v>Formação Pedagógica História - Formação Pedagógica História - Márcio Antônio de Paula - Metodologia do Ensino da História - Nota Máxima: 9</v>
      </c>
    </row>
    <row r="3420">
      <c r="A3420" s="390" t="str">
        <f>IFERROR(__xludf.DUMMYFUNCTION("""COMPUTED_VALUE"""),"Formação Pedagógica História - Formação Pedagógica História - Márcio Antônio de Paula - Planejamento, Gestão Educacional e Currículo/a - Nota Máxima: 10")</f>
        <v>Formação Pedagógica História - Formação Pedagógica História - Márcio Antônio de Paula - Planejamento, Gestão Educacional e Currículo/a - Nota Máxima: 10</v>
      </c>
    </row>
    <row r="3421">
      <c r="A3421" s="390" t="str">
        <f>IFERROR(__xludf.DUMMYFUNCTION("""COMPUTED_VALUE"""),"Formação Pedagógica História - Formação Pedagógica História - Márcio Antônio de Paula - Planejamento, Gestão Educacional e Currículo/a - Nota Máxima: 10")</f>
        <v>Formação Pedagógica História - Formação Pedagógica História - Márcio Antônio de Paula - Planejamento, Gestão Educacional e Currículo/a - Nota Máxima: 10</v>
      </c>
    </row>
    <row r="3422">
      <c r="A3422" s="390" t="str">
        <f>IFERROR(__xludf.DUMMYFUNCTION("""COMPUTED_VALUE"""),"Formação Pedagógica História - Formação Pedagógica História - Márcio Antônio de Paula - Práticas Pedagógicas - 400 Horas - Nota Máxima: 4")</f>
        <v>Formação Pedagógica História - Formação Pedagógica História - Márcio Antônio de Paula - Práticas Pedagógicas - 400 Horas - Nota Máxima: 4</v>
      </c>
    </row>
    <row r="3423">
      <c r="A3423" s="390" t="str">
        <f>IFERROR(__xludf.DUMMYFUNCTION("""COMPUTED_VALUE"""),"Formação Pedagógica História - Formação Pedagógica História - Márcio Antônio de Paula - Práticas Pedagógicas - 400 Horas - Nota Máxima: 3")</f>
        <v>Formação Pedagógica História - Formação Pedagógica História - Márcio Antônio de Paula - Práticas Pedagógicas - 400 Horas - Nota Máxima: 3</v>
      </c>
    </row>
    <row r="3424">
      <c r="A3424" s="390" t="str">
        <f>IFERROR(__xludf.DUMMYFUNCTION("""COMPUTED_VALUE"""),"Formação Pedagógica História - Formação Pedagógica História - Márcio Antônio de Paula - Psicologia da Educação/a - Nota Máxima: 10")</f>
        <v>Formação Pedagógica História - Formação Pedagógica História - Márcio Antônio de Paula - Psicologia da Educação/a - Nota Máxima: 10</v>
      </c>
    </row>
    <row r="3425">
      <c r="A3425" s="390" t="str">
        <f>IFERROR(__xludf.DUMMYFUNCTION("""COMPUTED_VALUE"""),"Formação Pedagógica História - Formação Pedagógica História - Márcio Antônio de Paula - Psicologia da Educação/a - Nota Máxima: 6")</f>
        <v>Formação Pedagógica História - Formação Pedagógica História - Márcio Antônio de Paula - Psicologia da Educação/a - Nota Máxima: 6</v>
      </c>
    </row>
    <row r="3426">
      <c r="A3426" s="390" t="str">
        <f>IFERROR(__xludf.DUMMYFUNCTION("""COMPUTED_VALUE"""),"Formação Pedagógica História - Formação Pedagógica História - Márcio Antônio de Paula - Teorias da História - Nota Máxima: 10")</f>
        <v>Formação Pedagógica História - Formação Pedagógica História - Márcio Antônio de Paula - Teorias da História - Nota Máxima: 10</v>
      </c>
    </row>
    <row r="3427">
      <c r="A3427" s="390" t="str">
        <f>IFERROR(__xludf.DUMMYFUNCTION("""COMPUTED_VALUE"""),"Formação Pedagógica História - Formação Pedagógica História - Márcio Antônio de Paula - Teorias da História - Nota Máxima: 6")</f>
        <v>Formação Pedagógica História - Formação Pedagógica História - Márcio Antônio de Paula - Teorias da História - Nota Máxima: 6</v>
      </c>
    </row>
    <row r="3428">
      <c r="A3428" s="390" t="str">
        <f>IFERROR(__xludf.DUMMYFUNCTION("""COMPUTED_VALUE"""),"Formação Pedagógica História - Formação Pedagógica História - Alexandre Lessa Pereira da Silva - Cultura e Diversidade II - Nota Máxima: 10")</f>
        <v>Formação Pedagógica História - Formação Pedagógica História - Alexandre Lessa Pereira da Silva - Cultura e Diversidade II - Nota Máxima: 10</v>
      </c>
    </row>
    <row r="3429">
      <c r="A3429" s="390" t="str">
        <f>IFERROR(__xludf.DUMMYFUNCTION("""COMPUTED_VALUE"""),"Formação Pedagógica História - Formação Pedagógica História - Alexandre Lessa Pereira da Silva - Deficiência Auditiva e Libras/a - Nota Máxima: 10")</f>
        <v>Formação Pedagógica História - Formação Pedagógica História - Alexandre Lessa Pereira da Silva - Deficiência Auditiva e Libras/a - Nota Máxima: 10</v>
      </c>
    </row>
    <row r="3430">
      <c r="A3430" s="390" t="str">
        <f>IFERROR(__xludf.DUMMYFUNCTION("""COMPUTED_VALUE"""),"Formação Pedagógica História - Formação Pedagógica História - Alexandre Lessa Pereira da Silva - Desenvolvimento do Capital Humano - Nota Máxima: 10")</f>
        <v>Formação Pedagógica História - Formação Pedagógica História - Alexandre Lessa Pereira da Silva - Desenvolvimento do Capital Humano - Nota Máxima: 10</v>
      </c>
    </row>
    <row r="3431">
      <c r="A3431" s="390" t="str">
        <f>IFERROR(__xludf.DUMMYFUNCTION("""COMPUTED_VALUE"""),"Formação Pedagógica História - Formação Pedagógica História - Alexandre Lessa Pereira da Silva - Educação Especial, Inclusão Escolar e Adaptações Curriculares - Nota Máxima: 10")</f>
        <v>Formação Pedagógica História - Formação Pedagógica História - Alexandre Lessa Pereira da Silva - Educação Especial, Inclusão Escolar e Adaptações Curriculares - Nota Máxima: 10</v>
      </c>
    </row>
    <row r="3432">
      <c r="A3432" s="390" t="str">
        <f>IFERROR(__xludf.DUMMYFUNCTION("""COMPUTED_VALUE"""),"Formação Pedagógica História - Formação Pedagógica História - Alexandre Lessa Pereira da Silva - Educação, História, Cultura e Práticas Indígenas/a - Nota Máxima: 10")</f>
        <v>Formação Pedagógica História - Formação Pedagógica História - Alexandre Lessa Pereira da Silva - Educação, História, Cultura e Práticas Indígenas/a - Nota Máxima: 10</v>
      </c>
    </row>
    <row r="3433">
      <c r="A3433" s="390" t="str">
        <f>IFERROR(__xludf.DUMMYFUNCTION("""COMPUTED_VALUE"""),"Formação Pedagógica História - Formação Pedagógica História - Alexandre Lessa Pereira da Silva - Estudos Populacionais - Nota Máxima: 10")</f>
        <v>Formação Pedagógica História - Formação Pedagógica História - Alexandre Lessa Pereira da Silva - Estudos Populacionais - Nota Máxima: 10</v>
      </c>
    </row>
    <row r="3434">
      <c r="A3434" s="390" t="str">
        <f>IFERROR(__xludf.DUMMYFUNCTION("""COMPUTED_VALUE"""),"Formação Pedagógica História - Formação Pedagógica História - Alexandre Lessa Pereira da Silva - História Antiga e Medieval - Nota Máxima: 10")</f>
        <v>Formação Pedagógica História - Formação Pedagógica História - Alexandre Lessa Pereira da Silva - História Antiga e Medieval - Nota Máxima: 10</v>
      </c>
    </row>
    <row r="3435">
      <c r="A3435" s="390" t="str">
        <f>IFERROR(__xludf.DUMMYFUNCTION("""COMPUTED_VALUE"""),"Formação Pedagógica História - Formação Pedagógica História - Alexandre Lessa Pereira da Silva - História Moderna e Contemporânea - Nota Máxima: 9")</f>
        <v>Formação Pedagógica História - Formação Pedagógica História - Alexandre Lessa Pereira da Silva - História Moderna e Contemporânea - Nota Máxima: 9</v>
      </c>
    </row>
    <row r="3436">
      <c r="A3436" s="390" t="str">
        <f>IFERROR(__xludf.DUMMYFUNCTION("""COMPUTED_VALUE"""),"Formação Pedagógica História - Formação Pedagógica História - Alexandre Lessa Pereira da Silva - Legislação Educacional/a - Nota Máxima: 9")</f>
        <v>Formação Pedagógica História - Formação Pedagógica História - Alexandre Lessa Pereira da Silva - Legislação Educacional/a - Nota Máxima: 9</v>
      </c>
    </row>
    <row r="3437">
      <c r="A3437" s="390" t="str">
        <f>IFERROR(__xludf.DUMMYFUNCTION("""COMPUTED_VALUE"""),"Formação Pedagógica História - Formação Pedagógica História - Alexandre Lessa Pereira da Silva - Metodologia do Ensino da História - Nota Máxima: 10")</f>
        <v>Formação Pedagógica História - Formação Pedagógica História - Alexandre Lessa Pereira da Silva - Metodologia do Ensino da História - Nota Máxima: 10</v>
      </c>
    </row>
    <row r="3438">
      <c r="A3438" s="390" t="str">
        <f>IFERROR(__xludf.DUMMYFUNCTION("""COMPUTED_VALUE"""),"Formação Pedagógica História - Formação Pedagógica História - Alexandre Lessa Pereira da Silva - Planejamento, Gestão Educacional e Currículo/a - Nota Máxima: 10")</f>
        <v>Formação Pedagógica História - Formação Pedagógica História - Alexandre Lessa Pereira da Silva - Planejamento, Gestão Educacional e Currículo/a - Nota Máxima: 10</v>
      </c>
    </row>
    <row r="3439">
      <c r="A3439" s="390" t="str">
        <f>IFERROR(__xludf.DUMMYFUNCTION("""COMPUTED_VALUE"""),"Formação Pedagógica História - Formação Pedagógica História - Alexandre Lessa Pereira da Silva - Práticas Pedagógicas - 400 Horas - Nota Máxima: 10")</f>
        <v>Formação Pedagógica História - Formação Pedagógica História - Alexandre Lessa Pereira da Silva - Práticas Pedagógicas - 400 Horas - Nota Máxima: 10</v>
      </c>
    </row>
    <row r="3440">
      <c r="A3440" s="390" t="str">
        <f>IFERROR(__xludf.DUMMYFUNCTION("""COMPUTED_VALUE"""),"Formação Pedagógica História - Formação Pedagógica História - Alexandre Lessa Pereira da Silva - Psicologia da Educação/a - Nota Máxima: 9")</f>
        <v>Formação Pedagógica História - Formação Pedagógica História - Alexandre Lessa Pereira da Silva - Psicologia da Educação/a - Nota Máxima: 9</v>
      </c>
    </row>
    <row r="3441">
      <c r="A3441" s="390" t="str">
        <f>IFERROR(__xludf.DUMMYFUNCTION("""COMPUTED_VALUE"""),"Formação Pedagógica História - Formação Pedagógica História - Alexandre Lessa Pereira da Silva - Teorias da História - Nota Máxima: 9")</f>
        <v>Formação Pedagógica História - Formação Pedagógica História - Alexandre Lessa Pereira da Silva - Teorias da História - Nota Máxima: 9</v>
      </c>
    </row>
    <row r="3442">
      <c r="A3442" s="390" t="str">
        <f>IFERROR(__xludf.DUMMYFUNCTION("""COMPUTED_VALUE"""),"Formação Pedagógica História - Formação Pedagógica História - Bernadete Eloi Bottoli - Deficiência Auditiva e Libras/a - Nota Máxima: 8")</f>
        <v>Formação Pedagógica História - Formação Pedagógica História - Bernadete Eloi Bottoli - Deficiência Auditiva e Libras/a - Nota Máxima: 8</v>
      </c>
    </row>
    <row r="3443">
      <c r="A3443" s="390" t="str">
        <f>IFERROR(__xludf.DUMMYFUNCTION("""COMPUTED_VALUE"""),"Formação Pedagógica História - Formação Pedagógica História - Bernadete Eloi Bottoli - Educação Especial, Inclusão Escolar e Adaptações Curriculares - Nota Máxima: 10")</f>
        <v>Formação Pedagógica História - Formação Pedagógica História - Bernadete Eloi Bottoli - Educação Especial, Inclusão Escolar e Adaptações Curriculares - Nota Máxima: 10</v>
      </c>
    </row>
    <row r="3444">
      <c r="A3444" s="390" t="str">
        <f>IFERROR(__xludf.DUMMYFUNCTION("""COMPUTED_VALUE"""),"Formação Pedagógica História - Formação Pedagógica História - Bernadete Eloi Bottoli - Planejamento, Gestão Educacional e Currículo/a - Nota Máxima: 10")</f>
        <v>Formação Pedagógica História - Formação Pedagógica História - Bernadete Eloi Bottoli - Planejamento, Gestão Educacional e Currículo/a - Nota Máxima: 10</v>
      </c>
    </row>
    <row r="3445">
      <c r="A3445" s="390" t="str">
        <f>IFERROR(__xludf.DUMMYFUNCTION("""COMPUTED_VALUE"""),"Formação Pedagógica História - Formação Pedagógica História - Bernadete Eloi Bottoli - Práticas Pedagógicas - 400 Horas - Nota Máxima: 10")</f>
        <v>Formação Pedagógica História - Formação Pedagógica História - Bernadete Eloi Bottoli - Práticas Pedagógicas - 400 Horas - Nota Máxima: 10</v>
      </c>
    </row>
    <row r="3446">
      <c r="A3446" s="390" t="str">
        <f>IFERROR(__xludf.DUMMYFUNCTION("""COMPUTED_VALUE"""),"Formação Pedagógica História - Formação Pedagógica História - Fagner Amorim dos Santos - Cultura e Diversidade II - Nota Máxima: 9")</f>
        <v>Formação Pedagógica História - Formação Pedagógica História - Fagner Amorim dos Santos - Cultura e Diversidade II - Nota Máxima: 9</v>
      </c>
    </row>
    <row r="3447">
      <c r="A3447" s="390" t="str">
        <f>IFERROR(__xludf.DUMMYFUNCTION("""COMPUTED_VALUE"""),"Formação Pedagógica História - Formação Pedagógica História - Fagner Amorim dos Santos - Cultura e Diversidade II - Nota Máxima: 3")</f>
        <v>Formação Pedagógica História - Formação Pedagógica História - Fagner Amorim dos Santos - Cultura e Diversidade II - Nota Máxima: 3</v>
      </c>
    </row>
    <row r="3448">
      <c r="A3448" s="390" t="str">
        <f>IFERROR(__xludf.DUMMYFUNCTION("""COMPUTED_VALUE"""),"Formação Pedagógica História - Formação Pedagógica História - Fagner Amorim dos Santos - Deficiência Auditiva e Libras/a - Nota Máxima: 9")</f>
        <v>Formação Pedagógica História - Formação Pedagógica História - Fagner Amorim dos Santos - Deficiência Auditiva e Libras/a - Nota Máxima: 9</v>
      </c>
    </row>
    <row r="3449">
      <c r="A3449" s="390" t="str">
        <f>IFERROR(__xludf.DUMMYFUNCTION("""COMPUTED_VALUE"""),"Formação Pedagógica História - Formação Pedagógica História - Fagner Amorim dos Santos - Desenvolvimento do Capital Humano - Nota Máxima: 10")</f>
        <v>Formação Pedagógica História - Formação Pedagógica História - Fagner Amorim dos Santos - Desenvolvimento do Capital Humano - Nota Máxima: 10</v>
      </c>
    </row>
    <row r="3450">
      <c r="A3450" s="390" t="str">
        <f>IFERROR(__xludf.DUMMYFUNCTION("""COMPUTED_VALUE"""),"Formação Pedagógica História - Formação Pedagógica História - Fagner Amorim dos Santos - Desenvolvimento do Capital Humano - Nota Máxima: 1")</f>
        <v>Formação Pedagógica História - Formação Pedagógica História - Fagner Amorim dos Santos - Desenvolvimento do Capital Humano - Nota Máxima: 1</v>
      </c>
    </row>
    <row r="3451">
      <c r="A3451" s="390" t="str">
        <f>IFERROR(__xludf.DUMMYFUNCTION("""COMPUTED_VALUE"""),"Formação Pedagógica História - Formação Pedagógica História - Fagner Amorim dos Santos - Educação Especial, Inclusão Escolar e Adaptações Curriculares - Nota Máxima: 9")</f>
        <v>Formação Pedagógica História - Formação Pedagógica História - Fagner Amorim dos Santos - Educação Especial, Inclusão Escolar e Adaptações Curriculares - Nota Máxima: 9</v>
      </c>
    </row>
    <row r="3452">
      <c r="A3452" s="390" t="str">
        <f>IFERROR(__xludf.DUMMYFUNCTION("""COMPUTED_VALUE"""),"Formação Pedagógica História - Formação Pedagógica História - Fagner Amorim dos Santos - Educação, História, Cultura e Práticas Indígenas/a - Nota Máxima: 9")</f>
        <v>Formação Pedagógica História - Formação Pedagógica História - Fagner Amorim dos Santos - Educação, História, Cultura e Práticas Indígenas/a - Nota Máxima: 9</v>
      </c>
    </row>
    <row r="3453">
      <c r="A3453" s="390" t="str">
        <f>IFERROR(__xludf.DUMMYFUNCTION("""COMPUTED_VALUE"""),"Formação Pedagógica História - Formação Pedagógica História - Fagner Amorim dos Santos - Educação, História, Cultura e Práticas Indígenas/a - Nota Máxima: 5")</f>
        <v>Formação Pedagógica História - Formação Pedagógica História - Fagner Amorim dos Santos - Educação, História, Cultura e Práticas Indígenas/a - Nota Máxima: 5</v>
      </c>
    </row>
    <row r="3454">
      <c r="A3454" s="390" t="str">
        <f>IFERROR(__xludf.DUMMYFUNCTION("""COMPUTED_VALUE"""),"Formação Pedagógica História - Formação Pedagógica História - Fagner Amorim dos Santos - Estudos Populacionais - Nota Máxima: 9")</f>
        <v>Formação Pedagógica História - Formação Pedagógica História - Fagner Amorim dos Santos - Estudos Populacionais - Nota Máxima: 9</v>
      </c>
    </row>
    <row r="3455">
      <c r="A3455" s="390" t="str">
        <f>IFERROR(__xludf.DUMMYFUNCTION("""COMPUTED_VALUE"""),"Formação Pedagógica História - Formação Pedagógica História - Fagner Amorim dos Santos - Estudos Populacionais - Nota Máxima: 4")</f>
        <v>Formação Pedagógica História - Formação Pedagógica História - Fagner Amorim dos Santos - Estudos Populacionais - Nota Máxima: 4</v>
      </c>
    </row>
    <row r="3456">
      <c r="A3456" s="390" t="str">
        <f>IFERROR(__xludf.DUMMYFUNCTION("""COMPUTED_VALUE"""),"Formação Pedagógica História - Formação Pedagógica História - Fagner Amorim dos Santos - História Antiga e Medieval - Nota Máxima: 9")</f>
        <v>Formação Pedagógica História - Formação Pedagógica História - Fagner Amorim dos Santos - História Antiga e Medieval - Nota Máxima: 9</v>
      </c>
    </row>
    <row r="3457">
      <c r="A3457" s="390" t="str">
        <f>IFERROR(__xludf.DUMMYFUNCTION("""COMPUTED_VALUE"""),"Formação Pedagógica História - Formação Pedagógica História - Fagner Amorim dos Santos - História Antiga e Medieval - Nota Máxima: 4")</f>
        <v>Formação Pedagógica História - Formação Pedagógica História - Fagner Amorim dos Santos - História Antiga e Medieval - Nota Máxima: 4</v>
      </c>
    </row>
    <row r="3458">
      <c r="A3458" s="390" t="str">
        <f>IFERROR(__xludf.DUMMYFUNCTION("""COMPUTED_VALUE"""),"Formação Pedagógica História - Formação Pedagógica História - Fagner Amorim dos Santos - História Moderna e Contemporânea - Nota Máxima: 10")</f>
        <v>Formação Pedagógica História - Formação Pedagógica História - Fagner Amorim dos Santos - História Moderna e Contemporânea - Nota Máxima: 10</v>
      </c>
    </row>
    <row r="3459">
      <c r="A3459" s="390" t="str">
        <f>IFERROR(__xludf.DUMMYFUNCTION("""COMPUTED_VALUE"""),"Formação Pedagógica História - Formação Pedagógica História - Fagner Amorim dos Santos - História Moderna e Contemporânea - Nota Máxima: 5")</f>
        <v>Formação Pedagógica História - Formação Pedagógica História - Fagner Amorim dos Santos - História Moderna e Contemporânea - Nota Máxima: 5</v>
      </c>
    </row>
    <row r="3460">
      <c r="A3460" s="390" t="str">
        <f>IFERROR(__xludf.DUMMYFUNCTION("""COMPUTED_VALUE"""),"Formação Pedagógica História - Formação Pedagógica História - Fagner Amorim dos Santos - Legislação Educacional/a - Nota Máxima: 7")</f>
        <v>Formação Pedagógica História - Formação Pedagógica História - Fagner Amorim dos Santos - Legislação Educacional/a - Nota Máxima: 7</v>
      </c>
    </row>
    <row r="3461">
      <c r="A3461" s="390" t="str">
        <f>IFERROR(__xludf.DUMMYFUNCTION("""COMPUTED_VALUE"""),"Formação Pedagógica História - Formação Pedagógica História - Fagner Amorim dos Santos - Legislação Educacional/a - Nota Máxima: 5")</f>
        <v>Formação Pedagógica História - Formação Pedagógica História - Fagner Amorim dos Santos - Legislação Educacional/a - Nota Máxima: 5</v>
      </c>
    </row>
    <row r="3462">
      <c r="A3462" s="390" t="str">
        <f>IFERROR(__xludf.DUMMYFUNCTION("""COMPUTED_VALUE"""),"Formação Pedagógica História - Formação Pedagógica História - Fagner Amorim dos Santos - Metodologia do Ensino da História - Nota Máxima: 9")</f>
        <v>Formação Pedagógica História - Formação Pedagógica História - Fagner Amorim dos Santos - Metodologia do Ensino da História - Nota Máxima: 9</v>
      </c>
    </row>
    <row r="3463">
      <c r="A3463" s="390" t="str">
        <f>IFERROR(__xludf.DUMMYFUNCTION("""COMPUTED_VALUE"""),"Formação Pedagógica História - Formação Pedagógica História - Fagner Amorim dos Santos - Metodologia do Ensino da História - Nota Máxima: 3")</f>
        <v>Formação Pedagógica História - Formação Pedagógica História - Fagner Amorim dos Santos - Metodologia do Ensino da História - Nota Máxima: 3</v>
      </c>
    </row>
    <row r="3464">
      <c r="A3464" s="390" t="str">
        <f>IFERROR(__xludf.DUMMYFUNCTION("""COMPUTED_VALUE"""),"Formação Pedagógica História - Formação Pedagógica História - Fagner Amorim dos Santos - Planejamento, Gestão Educacional e Currículo/a - Nota Máxima: 8")</f>
        <v>Formação Pedagógica História - Formação Pedagógica História - Fagner Amorim dos Santos - Planejamento, Gestão Educacional e Currículo/a - Nota Máxima: 8</v>
      </c>
    </row>
    <row r="3465">
      <c r="A3465" s="390" t="str">
        <f>IFERROR(__xludf.DUMMYFUNCTION("""COMPUTED_VALUE"""),"Formação Pedagógica História - Formação Pedagógica História - Fagner Amorim dos Santos - Planejamento, Gestão Educacional e Currículo/a - Nota Máxima: 10")</f>
        <v>Formação Pedagógica História - Formação Pedagógica História - Fagner Amorim dos Santos - Planejamento, Gestão Educacional e Currículo/a - Nota Máxima: 10</v>
      </c>
    </row>
    <row r="3466">
      <c r="A3466" s="390" t="str">
        <f>IFERROR(__xludf.DUMMYFUNCTION("""COMPUTED_VALUE"""),"Formação Pedagógica História - Formação Pedagógica História - Fagner Amorim dos Santos - Psicologia da Educação/a - Nota Máxima: 10")</f>
        <v>Formação Pedagógica História - Formação Pedagógica História - Fagner Amorim dos Santos - Psicologia da Educação/a - Nota Máxima: 10</v>
      </c>
    </row>
    <row r="3467">
      <c r="A3467" s="390" t="str">
        <f>IFERROR(__xludf.DUMMYFUNCTION("""COMPUTED_VALUE"""),"Formação Pedagógica História - Formação Pedagógica História - Fagner Amorim dos Santos - Psicologia da Educação/a - Nota Máxima: 5")</f>
        <v>Formação Pedagógica História - Formação Pedagógica História - Fagner Amorim dos Santos - Psicologia da Educação/a - Nota Máxima: 5</v>
      </c>
    </row>
    <row r="3468">
      <c r="A3468" s="390" t="str">
        <f>IFERROR(__xludf.DUMMYFUNCTION("""COMPUTED_VALUE"""),"Formação Pedagógica História - Formação Pedagógica História - Fagner Amorim dos Santos - Teorias da História - Nota Máxima: 8")</f>
        <v>Formação Pedagógica História - Formação Pedagógica História - Fagner Amorim dos Santos - Teorias da História - Nota Máxima: 8</v>
      </c>
    </row>
    <row r="3469">
      <c r="A3469" s="390" t="str">
        <f>IFERROR(__xludf.DUMMYFUNCTION("""COMPUTED_VALUE"""),"Formação Pedagógica História - Formação Pedagógica História - Fagner Amorim dos Santos - Teorias da História - Nota Máxima: 3")</f>
        <v>Formação Pedagógica História - Formação Pedagógica História - Fagner Amorim dos Santos - Teorias da História - Nota Máxima: 3</v>
      </c>
    </row>
    <row r="3470">
      <c r="A3470" s="390" t="str">
        <f>IFERROR(__xludf.DUMMYFUNCTION("""COMPUTED_VALUE"""),"")</f>
        <v/>
      </c>
    </row>
    <row r="3471">
      <c r="A3471" s="390" t="str">
        <f>IFERROR(__xludf.DUMMYFUNCTION("""COMPUTED_VALUE"""),"#SLHA - Segunda Licenciatura em História - Segunda Licenciatura em História - Vanderli Corrêa Macedo - Cultura e Diversidade II - Nota Máxima: 10")</f>
        <v>#SLHA - Segunda Licenciatura em História - Segunda Licenciatura em História - Vanderli Corrêa Macedo - Cultura e Diversidade II - Nota Máxima: 10</v>
      </c>
    </row>
    <row r="3472">
      <c r="A3472" s="390" t="str">
        <f>IFERROR(__xludf.DUMMYFUNCTION("""COMPUTED_VALUE"""),"#SLHA - Segunda Licenciatura em História - Segunda Licenciatura em História - Vanderli Corrêa Macedo - Deficiência Auditiva e Libras/a - Nota Máxima: 10")</f>
        <v>#SLHA - Segunda Licenciatura em História - Segunda Licenciatura em História - Vanderli Corrêa Macedo - Deficiência Auditiva e Libras/a - Nota Máxima: 10</v>
      </c>
    </row>
    <row r="3473">
      <c r="A3473" s="390" t="str">
        <f>IFERROR(__xludf.DUMMYFUNCTION("""COMPUTED_VALUE"""),"#SLHA - Segunda Licenciatura em História - Segunda Licenciatura em História - Vanderli Corrêa Macedo - Desenvolvimento do Capital Humano - Nota Máxima: 9")</f>
        <v>#SLHA - Segunda Licenciatura em História - Segunda Licenciatura em História - Vanderli Corrêa Macedo - Desenvolvimento do Capital Humano - Nota Máxima: 9</v>
      </c>
    </row>
    <row r="3474">
      <c r="A3474" s="390" t="str">
        <f>IFERROR(__xludf.DUMMYFUNCTION("""COMPUTED_VALUE"""),"#SLHA - Segunda Licenciatura em História - Segunda Licenciatura em História - Vanderli Corrêa Macedo - Educação Especial, Inclusão Escolar e Adaptações Curriculares - Nota Máxima: 10")</f>
        <v>#SLHA - Segunda Licenciatura em História - Segunda Licenciatura em História - Vanderli Corrêa Macedo - Educação Especial, Inclusão Escolar e Adaptações Curriculares - Nota Máxima: 10</v>
      </c>
    </row>
    <row r="3475">
      <c r="A3475" s="390" t="str">
        <f>IFERROR(__xludf.DUMMYFUNCTION("""COMPUTED_VALUE"""),"#SLHA - Segunda Licenciatura em História - Segunda Licenciatura em História - Vanderli Corrêa Macedo - Educação, História, Cultura e Práticas Indígenas/a - Nota Máxima: 10")</f>
        <v>#SLHA - Segunda Licenciatura em História - Segunda Licenciatura em História - Vanderli Corrêa Macedo - Educação, História, Cultura e Práticas Indígenas/a - Nota Máxima: 10</v>
      </c>
    </row>
    <row r="3476">
      <c r="A3476" s="390" t="str">
        <f>IFERROR(__xludf.DUMMYFUNCTION("""COMPUTED_VALUE"""),"#SLHA - Segunda Licenciatura em História - Segunda Licenciatura em História - Vanderli Corrêa Macedo - Estudos Populacionais - Nota Máxima: 10")</f>
        <v>#SLHA - Segunda Licenciatura em História - Segunda Licenciatura em História - Vanderli Corrêa Macedo - Estudos Populacionais - Nota Máxima: 10</v>
      </c>
    </row>
    <row r="3477">
      <c r="A3477" s="390" t="str">
        <f>IFERROR(__xludf.DUMMYFUNCTION("""COMPUTED_VALUE"""),"#SLHA - Segunda Licenciatura em História - Segunda Licenciatura em História - Vanderli Corrêa Macedo - História Antiga e Medieval - Nota Máxima: 9")</f>
        <v>#SLHA - Segunda Licenciatura em História - Segunda Licenciatura em História - Vanderli Corrêa Macedo - História Antiga e Medieval - Nota Máxima: 9</v>
      </c>
    </row>
    <row r="3478">
      <c r="A3478" s="390" t="str">
        <f>IFERROR(__xludf.DUMMYFUNCTION("""COMPUTED_VALUE"""),"#SLHA - Segunda Licenciatura em História - Segunda Licenciatura em História - Vanderli Corrêa Macedo - História Moderna e Contemporânea - Nota Máxima: 10")</f>
        <v>#SLHA - Segunda Licenciatura em História - Segunda Licenciatura em História - Vanderli Corrêa Macedo - História Moderna e Contemporânea - Nota Máxima: 10</v>
      </c>
    </row>
    <row r="3479">
      <c r="A3479" s="390" t="str">
        <f>IFERROR(__xludf.DUMMYFUNCTION("""COMPUTED_VALUE"""),"#SLHA - Segunda Licenciatura em História - Segunda Licenciatura em História - Vanderli Corrêa Macedo - Legislação Educacional/a - Nota Máxima: 10")</f>
        <v>#SLHA - Segunda Licenciatura em História - Segunda Licenciatura em História - Vanderli Corrêa Macedo - Legislação Educacional/a - Nota Máxima: 10</v>
      </c>
    </row>
    <row r="3480">
      <c r="A3480" s="390" t="str">
        <f>IFERROR(__xludf.DUMMYFUNCTION("""COMPUTED_VALUE"""),"#SLHA - Segunda Licenciatura em História - Segunda Licenciatura em História - Vanderli Corrêa Macedo - Metodologia do Ensino da História - Nota Máxima: 9")</f>
        <v>#SLHA - Segunda Licenciatura em História - Segunda Licenciatura em História - Vanderli Corrêa Macedo - Metodologia do Ensino da História - Nota Máxima: 9</v>
      </c>
    </row>
    <row r="3481">
      <c r="A3481" s="390" t="str">
        <f>IFERROR(__xludf.DUMMYFUNCTION("""COMPUTED_VALUE"""),"#SLHA - Segunda Licenciatura em História - Segunda Licenciatura em História - Vanderli Corrêa Macedo - Planejamento, Gestão Educacional e Currículo/a - Nota Máxima: 9")</f>
        <v>#SLHA - Segunda Licenciatura em História - Segunda Licenciatura em História - Vanderli Corrêa Macedo - Planejamento, Gestão Educacional e Currículo/a - Nota Máxima: 9</v>
      </c>
    </row>
    <row r="3482">
      <c r="A3482" s="390" t="str">
        <f>IFERROR(__xludf.DUMMYFUNCTION("""COMPUTED_VALUE"""),"#SLHA - Segunda Licenciatura em História - Segunda Licenciatura em História - Vanderli Corrêa Macedo - Práticas Pedagógicas - 400 Horas - Nota Máxima: 4")</f>
        <v>#SLHA - Segunda Licenciatura em História - Segunda Licenciatura em História - Vanderli Corrêa Macedo - Práticas Pedagógicas - 400 Horas - Nota Máxima: 4</v>
      </c>
    </row>
    <row r="3483">
      <c r="A3483" s="390" t="str">
        <f>IFERROR(__xludf.DUMMYFUNCTION("""COMPUTED_VALUE"""),"#SLHA - Segunda Licenciatura em História - Segunda Licenciatura em História - Vanderli Corrêa Macedo - Psicologia da Educação/a - Nota Máxima: 10")</f>
        <v>#SLHA - Segunda Licenciatura em História - Segunda Licenciatura em História - Vanderli Corrêa Macedo - Psicologia da Educação/a - Nota Máxima: 10</v>
      </c>
    </row>
    <row r="3484">
      <c r="A3484" s="390" t="str">
        <f>IFERROR(__xludf.DUMMYFUNCTION("""COMPUTED_VALUE"""),"#SLHA - Segunda Licenciatura em História - Segunda Licenciatura em História - Vanderli Corrêa Macedo - Teorias da História - Nota Máxima: 10")</f>
        <v>#SLHA - Segunda Licenciatura em História - Segunda Licenciatura em História - Vanderli Corrêa Macedo - Teorias da História - Nota Máxima: 10</v>
      </c>
    </row>
    <row r="3485">
      <c r="A3485" s="390" t="str">
        <f>IFERROR(__xludf.DUMMYFUNCTION("""COMPUTED_VALUE"""),"#SLHA - Segunda Licenciatura em História - Segunda Licenciatura em História - Jônatas Silva - Cultura e Diversidade II - Nota Máxima: 10")</f>
        <v>#SLHA - Segunda Licenciatura em História - Segunda Licenciatura em História - Jônatas Silva - Cultura e Diversidade II - Nota Máxima: 10</v>
      </c>
    </row>
    <row r="3486">
      <c r="A3486" s="390" t="str">
        <f>IFERROR(__xludf.DUMMYFUNCTION("""COMPUTED_VALUE"""),"#SLHA - Segunda Licenciatura em História - Segunda Licenciatura em História - Jônatas Silva - Cultura e Diversidade II - Nota Máxima: 10")</f>
        <v>#SLHA - Segunda Licenciatura em História - Segunda Licenciatura em História - Jônatas Silva - Cultura e Diversidade II - Nota Máxima: 10</v>
      </c>
    </row>
    <row r="3487">
      <c r="A3487" s="390" t="str">
        <f>IFERROR(__xludf.DUMMYFUNCTION("""COMPUTED_VALUE"""),"#SLHA - Segunda Licenciatura em História - Segunda Licenciatura em História - Jônatas Silva - Deficiência Auditiva e Libras/a - Nota Máxima: 10")</f>
        <v>#SLHA - Segunda Licenciatura em História - Segunda Licenciatura em História - Jônatas Silva - Deficiência Auditiva e Libras/a - Nota Máxima: 10</v>
      </c>
    </row>
    <row r="3488">
      <c r="A3488" s="390" t="str">
        <f>IFERROR(__xludf.DUMMYFUNCTION("""COMPUTED_VALUE"""),"#SLHA - Segunda Licenciatura em História - Segunda Licenciatura em História - Jônatas Silva - Deficiência Auditiva e Libras/a - Nota Máxima: 8")</f>
        <v>#SLHA - Segunda Licenciatura em História - Segunda Licenciatura em História - Jônatas Silva - Deficiência Auditiva e Libras/a - Nota Máxima: 8</v>
      </c>
    </row>
    <row r="3489">
      <c r="A3489" s="390" t="str">
        <f>IFERROR(__xludf.DUMMYFUNCTION("""COMPUTED_VALUE"""),"#SLHA - Segunda Licenciatura em História - Segunda Licenciatura em História - Jônatas Silva - Desenvolvimento do Capital Humano - Nota Máxima: 10")</f>
        <v>#SLHA - Segunda Licenciatura em História - Segunda Licenciatura em História - Jônatas Silva - Desenvolvimento do Capital Humano - Nota Máxima: 10</v>
      </c>
    </row>
    <row r="3490">
      <c r="A3490" s="390" t="str">
        <f>IFERROR(__xludf.DUMMYFUNCTION("""COMPUTED_VALUE"""),"#SLHA - Segunda Licenciatura em História - Segunda Licenciatura em História - Jônatas Silva - Desenvolvimento do Capital Humano - Nota Máxima: 7")</f>
        <v>#SLHA - Segunda Licenciatura em História - Segunda Licenciatura em História - Jônatas Silva - Desenvolvimento do Capital Humano - Nota Máxima: 7</v>
      </c>
    </row>
    <row r="3491">
      <c r="A3491" s="390" t="str">
        <f>IFERROR(__xludf.DUMMYFUNCTION("""COMPUTED_VALUE"""),"#SLHA - Segunda Licenciatura em História - Segunda Licenciatura em História - Jônatas Silva - Educação Especial, Inclusão Escolar e Adaptações Curriculares - Nota Máxima: 9")</f>
        <v>#SLHA - Segunda Licenciatura em História - Segunda Licenciatura em História - Jônatas Silva - Educação Especial, Inclusão Escolar e Adaptações Curriculares - Nota Máxima: 9</v>
      </c>
    </row>
    <row r="3492">
      <c r="A3492" s="390" t="str">
        <f>IFERROR(__xludf.DUMMYFUNCTION("""COMPUTED_VALUE"""),"#SLHA - Segunda Licenciatura em História - Segunda Licenciatura em História - Jônatas Silva - Educação Especial, Inclusão Escolar e Adaptações Curriculares - Nota Máxima: 10")</f>
        <v>#SLHA - Segunda Licenciatura em História - Segunda Licenciatura em História - Jônatas Silva - Educação Especial, Inclusão Escolar e Adaptações Curriculares - Nota Máxima: 10</v>
      </c>
    </row>
    <row r="3493">
      <c r="A3493" s="390" t="str">
        <f>IFERROR(__xludf.DUMMYFUNCTION("""COMPUTED_VALUE"""),"#SLHA - Segunda Licenciatura em História - Segunda Licenciatura em História - Jônatas Silva - Educação, História, Cultura e Práticas Indígenas/a - Nota Máxima: 10")</f>
        <v>#SLHA - Segunda Licenciatura em História - Segunda Licenciatura em História - Jônatas Silva - Educação, História, Cultura e Práticas Indígenas/a - Nota Máxima: 10</v>
      </c>
    </row>
    <row r="3494">
      <c r="A3494" s="390" t="str">
        <f>IFERROR(__xludf.DUMMYFUNCTION("""COMPUTED_VALUE"""),"#SLHA - Segunda Licenciatura em História - Segunda Licenciatura em História - Jônatas Silva - Educação, História, Cultura e Práticas Indígenas/a - Nota Máxima: 5")</f>
        <v>#SLHA - Segunda Licenciatura em História - Segunda Licenciatura em História - Jônatas Silva - Educação, História, Cultura e Práticas Indígenas/a - Nota Máxima: 5</v>
      </c>
    </row>
    <row r="3495">
      <c r="A3495" s="390" t="str">
        <f>IFERROR(__xludf.DUMMYFUNCTION("""COMPUTED_VALUE"""),"#SLHA - Segunda Licenciatura em História - Segunda Licenciatura em História - Jônatas Silva - Estudos Populacionais - Nota Máxima: 10")</f>
        <v>#SLHA - Segunda Licenciatura em História - Segunda Licenciatura em História - Jônatas Silva - Estudos Populacionais - Nota Máxima: 10</v>
      </c>
    </row>
    <row r="3496">
      <c r="A3496" s="390" t="str">
        <f>IFERROR(__xludf.DUMMYFUNCTION("""COMPUTED_VALUE"""),"#SLHA - Segunda Licenciatura em História - Segunda Licenciatura em História - Jônatas Silva - Estudos Populacionais - Nota Máxima: 7")</f>
        <v>#SLHA - Segunda Licenciatura em História - Segunda Licenciatura em História - Jônatas Silva - Estudos Populacionais - Nota Máxima: 7</v>
      </c>
    </row>
    <row r="3497">
      <c r="A3497" s="390" t="str">
        <f>IFERROR(__xludf.DUMMYFUNCTION("""COMPUTED_VALUE"""),"#SLHA - Segunda Licenciatura em História - Segunda Licenciatura em História - Jônatas Silva - História Antiga e Medieval - Nota Máxima: 10")</f>
        <v>#SLHA - Segunda Licenciatura em História - Segunda Licenciatura em História - Jônatas Silva - História Antiga e Medieval - Nota Máxima: 10</v>
      </c>
    </row>
    <row r="3498">
      <c r="A3498" s="390" t="str">
        <f>IFERROR(__xludf.DUMMYFUNCTION("""COMPUTED_VALUE"""),"#SLHA - Segunda Licenciatura em História - Segunda Licenciatura em História - Jônatas Silva - História Antiga e Medieval - Nota Máxima: 4")</f>
        <v>#SLHA - Segunda Licenciatura em História - Segunda Licenciatura em História - Jônatas Silva - História Antiga e Medieval - Nota Máxima: 4</v>
      </c>
    </row>
    <row r="3499">
      <c r="A3499" s="390" t="str">
        <f>IFERROR(__xludf.DUMMYFUNCTION("""COMPUTED_VALUE"""),"#SLHA - Segunda Licenciatura em História - Segunda Licenciatura em História - Jônatas Silva - História Moderna e Contemporânea - Nota Máxima: 9")</f>
        <v>#SLHA - Segunda Licenciatura em História - Segunda Licenciatura em História - Jônatas Silva - História Moderna e Contemporânea - Nota Máxima: 9</v>
      </c>
    </row>
    <row r="3500">
      <c r="A3500" s="390" t="str">
        <f>IFERROR(__xludf.DUMMYFUNCTION("""COMPUTED_VALUE"""),"#SLHA - Segunda Licenciatura em História - Segunda Licenciatura em História - Jônatas Silva - História Moderna e Contemporânea - Nota Máxima: 7")</f>
        <v>#SLHA - Segunda Licenciatura em História - Segunda Licenciatura em História - Jônatas Silva - História Moderna e Contemporânea - Nota Máxima: 7</v>
      </c>
    </row>
    <row r="3501">
      <c r="A3501" s="390" t="str">
        <f>IFERROR(__xludf.DUMMYFUNCTION("""COMPUTED_VALUE"""),"#SLHA - Segunda Licenciatura em História - Segunda Licenciatura em História - Jônatas Silva - Legislação Educacional/a - Nota Máxima: 9")</f>
        <v>#SLHA - Segunda Licenciatura em História - Segunda Licenciatura em História - Jônatas Silva - Legislação Educacional/a - Nota Máxima: 9</v>
      </c>
    </row>
    <row r="3502">
      <c r="A3502" s="390" t="str">
        <f>IFERROR(__xludf.DUMMYFUNCTION("""COMPUTED_VALUE"""),"#SLHA - Segunda Licenciatura em História - Segunda Licenciatura em História - Jônatas Silva - Legislação Educacional/a - Nota Máxima: 7")</f>
        <v>#SLHA - Segunda Licenciatura em História - Segunda Licenciatura em História - Jônatas Silva - Legislação Educacional/a - Nota Máxima: 7</v>
      </c>
    </row>
    <row r="3503">
      <c r="A3503" s="390" t="str">
        <f>IFERROR(__xludf.DUMMYFUNCTION("""COMPUTED_VALUE"""),"#SLHA - Segunda Licenciatura em História - Segunda Licenciatura em História - Jônatas Silva - Metodologia do Ensino da História - Nota Máxima: 10")</f>
        <v>#SLHA - Segunda Licenciatura em História - Segunda Licenciatura em História - Jônatas Silva - Metodologia do Ensino da História - Nota Máxima: 10</v>
      </c>
    </row>
    <row r="3504">
      <c r="A3504" s="390" t="str">
        <f>IFERROR(__xludf.DUMMYFUNCTION("""COMPUTED_VALUE"""),"#SLHA - Segunda Licenciatura em História - Segunda Licenciatura em História - Jônatas Silva - Metodologia do Ensino da História - Nota Máxima: 9")</f>
        <v>#SLHA - Segunda Licenciatura em História - Segunda Licenciatura em História - Jônatas Silva - Metodologia do Ensino da História - Nota Máxima: 9</v>
      </c>
    </row>
    <row r="3505">
      <c r="A3505" s="390" t="str">
        <f>IFERROR(__xludf.DUMMYFUNCTION("""COMPUTED_VALUE"""),"#SLHA - Segunda Licenciatura em História - Segunda Licenciatura em História - Jônatas Silva - Planejamento, Gestão Educacional e Currículo/a - Nota Máxima: 10")</f>
        <v>#SLHA - Segunda Licenciatura em História - Segunda Licenciatura em História - Jônatas Silva - Planejamento, Gestão Educacional e Currículo/a - Nota Máxima: 10</v>
      </c>
    </row>
    <row r="3506">
      <c r="A3506" s="390" t="str">
        <f>IFERROR(__xludf.DUMMYFUNCTION("""COMPUTED_VALUE"""),"#SLHA - Segunda Licenciatura em História - Segunda Licenciatura em História - Jônatas Silva - Planejamento, Gestão Educacional e Currículo/a - Nota Máxima: 10")</f>
        <v>#SLHA - Segunda Licenciatura em História - Segunda Licenciatura em História - Jônatas Silva - Planejamento, Gestão Educacional e Currículo/a - Nota Máxima: 10</v>
      </c>
    </row>
    <row r="3507">
      <c r="A3507" s="390" t="str">
        <f>IFERROR(__xludf.DUMMYFUNCTION("""COMPUTED_VALUE"""),"#SLHA - Segunda Licenciatura em História - Segunda Licenciatura em História - Jônatas Silva - Psicologia da Educação/a - Nota Máxima: 8")</f>
        <v>#SLHA - Segunda Licenciatura em História - Segunda Licenciatura em História - Jônatas Silva - Psicologia da Educação/a - Nota Máxima: 8</v>
      </c>
    </row>
    <row r="3508">
      <c r="A3508" s="390" t="str">
        <f>IFERROR(__xludf.DUMMYFUNCTION("""COMPUTED_VALUE"""),"#SLHA - Segunda Licenciatura em História - Segunda Licenciatura em História - Jônatas Silva - Psicologia da Educação/a - Nota Máxima: 6")</f>
        <v>#SLHA - Segunda Licenciatura em História - Segunda Licenciatura em História - Jônatas Silva - Psicologia da Educação/a - Nota Máxima: 6</v>
      </c>
    </row>
    <row r="3509">
      <c r="A3509" s="390" t="str">
        <f>IFERROR(__xludf.DUMMYFUNCTION("""COMPUTED_VALUE"""),"#SLHA - Segunda Licenciatura em História - Segunda Licenciatura em História - Jônatas Silva - Teorias da História - Nota Máxima: 10")</f>
        <v>#SLHA - Segunda Licenciatura em História - Segunda Licenciatura em História - Jônatas Silva - Teorias da História - Nota Máxima: 10</v>
      </c>
    </row>
    <row r="3510">
      <c r="A3510" s="390" t="str">
        <f>IFERROR(__xludf.DUMMYFUNCTION("""COMPUTED_VALUE"""),"#SLHA - Segunda Licenciatura em História - Segunda Licenciatura em História - Jônatas Silva - Teorias da História - Nota Máxima: 3")</f>
        <v>#SLHA - Segunda Licenciatura em História - Segunda Licenciatura em História - Jônatas Silva - Teorias da História - Nota Máxima: 3</v>
      </c>
    </row>
    <row r="3511">
      <c r="A3511" s="390" t="str">
        <f>IFERROR(__xludf.DUMMYFUNCTION("""COMPUTED_VALUE"""),"#SLHA - Segunda Licenciatura em História - Segunda Licenciatura em História - ELISIANE PILAR GREGORIO DE MATOS - Cultura e Diversidade II - Nota Máxima: 10")</f>
        <v>#SLHA - Segunda Licenciatura em História - Segunda Licenciatura em História - ELISIANE PILAR GREGORIO DE MATOS - Cultura e Diversidade II - Nota Máxima: 10</v>
      </c>
    </row>
    <row r="3512">
      <c r="A3512" s="390" t="str">
        <f>IFERROR(__xludf.DUMMYFUNCTION("""COMPUTED_VALUE"""),"#SLHA - Segunda Licenciatura em História - Segunda Licenciatura em História - ELISIANE PILAR GREGORIO DE MATOS - Cultura e Diversidade II - Nota Máxima: 9")</f>
        <v>#SLHA - Segunda Licenciatura em História - Segunda Licenciatura em História - ELISIANE PILAR GREGORIO DE MATOS - Cultura e Diversidade II - Nota Máxima: 9</v>
      </c>
    </row>
    <row r="3513">
      <c r="A3513" s="390" t="str">
        <f>IFERROR(__xludf.DUMMYFUNCTION("""COMPUTED_VALUE"""),"#SLHA - Segunda Licenciatura em História - Segunda Licenciatura em História - ELISIANE PILAR GREGORIO DE MATOS - Deficiência Auditiva e Libras/a - Nota Máxima: 10")</f>
        <v>#SLHA - Segunda Licenciatura em História - Segunda Licenciatura em História - ELISIANE PILAR GREGORIO DE MATOS - Deficiência Auditiva e Libras/a - Nota Máxima: 10</v>
      </c>
    </row>
    <row r="3514">
      <c r="A3514" s="390" t="str">
        <f>IFERROR(__xludf.DUMMYFUNCTION("""COMPUTED_VALUE"""),"#SLHA - Segunda Licenciatura em História - Segunda Licenciatura em História - ELISIANE PILAR GREGORIO DE MATOS - Deficiência Auditiva e Libras/a - Nota Máxima: 10")</f>
        <v>#SLHA - Segunda Licenciatura em História - Segunda Licenciatura em História - ELISIANE PILAR GREGORIO DE MATOS - Deficiência Auditiva e Libras/a - Nota Máxima: 10</v>
      </c>
    </row>
    <row r="3515">
      <c r="A3515" s="390" t="str">
        <f>IFERROR(__xludf.DUMMYFUNCTION("""COMPUTED_VALUE"""),"#SLHA - Segunda Licenciatura em História - Segunda Licenciatura em História - ELISIANE PILAR GREGORIO DE MATOS - Desenvolvimento do Capital Humano - Nota Máxima: 10")</f>
        <v>#SLHA - Segunda Licenciatura em História - Segunda Licenciatura em História - ELISIANE PILAR GREGORIO DE MATOS - Desenvolvimento do Capital Humano - Nota Máxima: 10</v>
      </c>
    </row>
    <row r="3516">
      <c r="A3516" s="390" t="str">
        <f>IFERROR(__xludf.DUMMYFUNCTION("""COMPUTED_VALUE"""),"#SLHA - Segunda Licenciatura em História - Segunda Licenciatura em História - ELISIANE PILAR GREGORIO DE MATOS - Desenvolvimento do Capital Humano - Nota Máxima: 10")</f>
        <v>#SLHA - Segunda Licenciatura em História - Segunda Licenciatura em História - ELISIANE PILAR GREGORIO DE MATOS - Desenvolvimento do Capital Humano - Nota Máxima: 10</v>
      </c>
    </row>
    <row r="3517">
      <c r="A3517" s="390" t="str">
        <f>IFERROR(__xludf.DUMMYFUNCTION("""COMPUTED_VALUE"""),"#SLHA - Segunda Licenciatura em História - Segunda Licenciatura em História - ELISIANE PILAR GREGORIO DE MATOS - Educação Especial, Inclusão Escolar e Adaptações Curriculares - Nota Máxima: 10")</f>
        <v>#SLHA - Segunda Licenciatura em História - Segunda Licenciatura em História - ELISIANE PILAR GREGORIO DE MATOS - Educação Especial, Inclusão Escolar e Adaptações Curriculares - Nota Máxima: 10</v>
      </c>
    </row>
    <row r="3518">
      <c r="A3518" s="390" t="str">
        <f>IFERROR(__xludf.DUMMYFUNCTION("""COMPUTED_VALUE"""),"#SLHA - Segunda Licenciatura em História - Segunda Licenciatura em História - ELISIANE PILAR GREGORIO DE MATOS - Educação Especial, Inclusão Escolar e Adaptações Curriculares - Nota Máxima: 10")</f>
        <v>#SLHA - Segunda Licenciatura em História - Segunda Licenciatura em História - ELISIANE PILAR GREGORIO DE MATOS - Educação Especial, Inclusão Escolar e Adaptações Curriculares - Nota Máxima: 10</v>
      </c>
    </row>
    <row r="3519">
      <c r="A3519" s="390" t="str">
        <f>IFERROR(__xludf.DUMMYFUNCTION("""COMPUTED_VALUE"""),"#SLHA - Segunda Licenciatura em História - Segunda Licenciatura em História - ELISIANE PILAR GREGORIO DE MATOS - Educação, História, Cultura e Práticas Indígenas/a - Nota Máxima: 10")</f>
        <v>#SLHA - Segunda Licenciatura em História - Segunda Licenciatura em História - ELISIANE PILAR GREGORIO DE MATOS - Educação, História, Cultura e Práticas Indígenas/a - Nota Máxima: 10</v>
      </c>
    </row>
    <row r="3520">
      <c r="A3520" s="390" t="str">
        <f>IFERROR(__xludf.DUMMYFUNCTION("""COMPUTED_VALUE"""),"#SLHA - Segunda Licenciatura em História - Segunda Licenciatura em História - ELISIANE PILAR GREGORIO DE MATOS - Educação, História, Cultura e Práticas Indígenas/a - Nota Máxima: 10")</f>
        <v>#SLHA - Segunda Licenciatura em História - Segunda Licenciatura em História - ELISIANE PILAR GREGORIO DE MATOS - Educação, História, Cultura e Práticas Indígenas/a - Nota Máxima: 10</v>
      </c>
    </row>
    <row r="3521">
      <c r="A3521" s="390" t="str">
        <f>IFERROR(__xludf.DUMMYFUNCTION("""COMPUTED_VALUE"""),"#SLHA - Segunda Licenciatura em História - Segunda Licenciatura em História - ELISIANE PILAR GREGORIO DE MATOS - Estudos Populacionais - Nota Máxima: 10")</f>
        <v>#SLHA - Segunda Licenciatura em História - Segunda Licenciatura em História - ELISIANE PILAR GREGORIO DE MATOS - Estudos Populacionais - Nota Máxima: 10</v>
      </c>
    </row>
    <row r="3522">
      <c r="A3522" s="390" t="str">
        <f>IFERROR(__xludf.DUMMYFUNCTION("""COMPUTED_VALUE"""),"#SLHA - Segunda Licenciatura em História - Segunda Licenciatura em História - ELISIANE PILAR GREGORIO DE MATOS - Estudos Populacionais - Nota Máxima: 10")</f>
        <v>#SLHA - Segunda Licenciatura em História - Segunda Licenciatura em História - ELISIANE PILAR GREGORIO DE MATOS - Estudos Populacionais - Nota Máxima: 10</v>
      </c>
    </row>
    <row r="3523">
      <c r="A3523" s="390" t="str">
        <f>IFERROR(__xludf.DUMMYFUNCTION("""COMPUTED_VALUE"""),"#SLHA - Segunda Licenciatura em História - Segunda Licenciatura em História - ELISIANE PILAR GREGORIO DE MATOS - História Antiga e Medieval - Nota Máxima: 10")</f>
        <v>#SLHA - Segunda Licenciatura em História - Segunda Licenciatura em História - ELISIANE PILAR GREGORIO DE MATOS - História Antiga e Medieval - Nota Máxima: 10</v>
      </c>
    </row>
    <row r="3524">
      <c r="A3524" s="390" t="str">
        <f>IFERROR(__xludf.DUMMYFUNCTION("""COMPUTED_VALUE"""),"#SLHA - Segunda Licenciatura em História - Segunda Licenciatura em História - ELISIANE PILAR GREGORIO DE MATOS - História Antiga e Medieval - Nota Máxima: 10")</f>
        <v>#SLHA - Segunda Licenciatura em História - Segunda Licenciatura em História - ELISIANE PILAR GREGORIO DE MATOS - História Antiga e Medieval - Nota Máxima: 10</v>
      </c>
    </row>
    <row r="3525">
      <c r="A3525" s="390" t="str">
        <f>IFERROR(__xludf.DUMMYFUNCTION("""COMPUTED_VALUE"""),"#SLHA - Segunda Licenciatura em História - Segunda Licenciatura em História - ELISIANE PILAR GREGORIO DE MATOS - História Moderna e Contemporânea - Nota Máxima: 10")</f>
        <v>#SLHA - Segunda Licenciatura em História - Segunda Licenciatura em História - ELISIANE PILAR GREGORIO DE MATOS - História Moderna e Contemporânea - Nota Máxima: 10</v>
      </c>
    </row>
    <row r="3526">
      <c r="A3526" s="390" t="str">
        <f>IFERROR(__xludf.DUMMYFUNCTION("""COMPUTED_VALUE"""),"#SLHA - Segunda Licenciatura em História - Segunda Licenciatura em História - ELISIANE PILAR GREGORIO DE MATOS - História Moderna e Contemporânea - Nota Máxima: 10")</f>
        <v>#SLHA - Segunda Licenciatura em História - Segunda Licenciatura em História - ELISIANE PILAR GREGORIO DE MATOS - História Moderna e Contemporânea - Nota Máxima: 10</v>
      </c>
    </row>
    <row r="3527">
      <c r="A3527" s="390" t="str">
        <f>IFERROR(__xludf.DUMMYFUNCTION("""COMPUTED_VALUE"""),"#SLHA - Segunda Licenciatura em História - Segunda Licenciatura em História - ELISIANE PILAR GREGORIO DE MATOS - Legislação Educacional/a - Nota Máxima: 10")</f>
        <v>#SLHA - Segunda Licenciatura em História - Segunda Licenciatura em História - ELISIANE PILAR GREGORIO DE MATOS - Legislação Educacional/a - Nota Máxima: 10</v>
      </c>
    </row>
    <row r="3528">
      <c r="A3528" s="390" t="str">
        <f>IFERROR(__xludf.DUMMYFUNCTION("""COMPUTED_VALUE"""),"#SLHA - Segunda Licenciatura em História - Segunda Licenciatura em História - ELISIANE PILAR GREGORIO DE MATOS - Legislação Educacional/a - Nota Máxima: 10")</f>
        <v>#SLHA - Segunda Licenciatura em História - Segunda Licenciatura em História - ELISIANE PILAR GREGORIO DE MATOS - Legislação Educacional/a - Nota Máxima: 10</v>
      </c>
    </row>
    <row r="3529">
      <c r="A3529" s="390" t="str">
        <f>IFERROR(__xludf.DUMMYFUNCTION("""COMPUTED_VALUE"""),"#SLHA - Segunda Licenciatura em História - Segunda Licenciatura em História - ELISIANE PILAR GREGORIO DE MATOS - Metodologia do Ensino da História - Nota Máxima: 10")</f>
        <v>#SLHA - Segunda Licenciatura em História - Segunda Licenciatura em História - ELISIANE PILAR GREGORIO DE MATOS - Metodologia do Ensino da História - Nota Máxima: 10</v>
      </c>
    </row>
    <row r="3530">
      <c r="A3530" s="390" t="str">
        <f>IFERROR(__xludf.DUMMYFUNCTION("""COMPUTED_VALUE"""),"#SLHA - Segunda Licenciatura em História - Segunda Licenciatura em História - ELISIANE PILAR GREGORIO DE MATOS - Metodologia do Ensino da História - Nota Máxima: 10")</f>
        <v>#SLHA - Segunda Licenciatura em História - Segunda Licenciatura em História - ELISIANE PILAR GREGORIO DE MATOS - Metodologia do Ensino da História - Nota Máxima: 10</v>
      </c>
    </row>
    <row r="3531">
      <c r="A3531" s="390" t="str">
        <f>IFERROR(__xludf.DUMMYFUNCTION("""COMPUTED_VALUE"""),"#SLHA - Segunda Licenciatura em História - Segunda Licenciatura em História - ELISIANE PILAR GREGORIO DE MATOS - Planejamento, Gestão Educacional e Currículo/a - Nota Máxima: 10")</f>
        <v>#SLHA - Segunda Licenciatura em História - Segunda Licenciatura em História - ELISIANE PILAR GREGORIO DE MATOS - Planejamento, Gestão Educacional e Currículo/a - Nota Máxima: 10</v>
      </c>
    </row>
    <row r="3532">
      <c r="A3532" s="390" t="str">
        <f>IFERROR(__xludf.DUMMYFUNCTION("""COMPUTED_VALUE"""),"#SLHA - Segunda Licenciatura em História - Segunda Licenciatura em História - ELISIANE PILAR GREGORIO DE MATOS - Planejamento, Gestão Educacional e Currículo/a - Nota Máxima: 10")</f>
        <v>#SLHA - Segunda Licenciatura em História - Segunda Licenciatura em História - ELISIANE PILAR GREGORIO DE MATOS - Planejamento, Gestão Educacional e Currículo/a - Nota Máxima: 10</v>
      </c>
    </row>
    <row r="3533">
      <c r="A3533" s="390" t="str">
        <f>IFERROR(__xludf.DUMMYFUNCTION("""COMPUTED_VALUE"""),"#SLHA - Segunda Licenciatura em História - Segunda Licenciatura em História - ELISIANE PILAR GREGORIO DE MATOS - Práticas Pedagógicas - 400 Horas - Nota Máxima: 4")</f>
        <v>#SLHA - Segunda Licenciatura em História - Segunda Licenciatura em História - ELISIANE PILAR GREGORIO DE MATOS - Práticas Pedagógicas - 400 Horas - Nota Máxima: 4</v>
      </c>
    </row>
    <row r="3534">
      <c r="A3534" s="390" t="str">
        <f>IFERROR(__xludf.DUMMYFUNCTION("""COMPUTED_VALUE"""),"#SLHA - Segunda Licenciatura em História - Segunda Licenciatura em História - ELISIANE PILAR GREGORIO DE MATOS - Práticas Pedagógicas - 400 Horas - Nota Máxima: 4")</f>
        <v>#SLHA - Segunda Licenciatura em História - Segunda Licenciatura em História - ELISIANE PILAR GREGORIO DE MATOS - Práticas Pedagógicas - 400 Horas - Nota Máxima: 4</v>
      </c>
    </row>
    <row r="3535">
      <c r="A3535" s="390" t="str">
        <f>IFERROR(__xludf.DUMMYFUNCTION("""COMPUTED_VALUE"""),"#SLHA - Segunda Licenciatura em História - Segunda Licenciatura em História - ELISIANE PILAR GREGORIO DE MATOS - Psicologia da Educação/a - Nota Máxima: 10")</f>
        <v>#SLHA - Segunda Licenciatura em História - Segunda Licenciatura em História - ELISIANE PILAR GREGORIO DE MATOS - Psicologia da Educação/a - Nota Máxima: 10</v>
      </c>
    </row>
    <row r="3536">
      <c r="A3536" s="390" t="str">
        <f>IFERROR(__xludf.DUMMYFUNCTION("""COMPUTED_VALUE"""),"#SLHA - Segunda Licenciatura em História - Segunda Licenciatura em História - ELISIANE PILAR GREGORIO DE MATOS - Psicologia da Educação/a - Nota Máxima: 10")</f>
        <v>#SLHA - Segunda Licenciatura em História - Segunda Licenciatura em História - ELISIANE PILAR GREGORIO DE MATOS - Psicologia da Educação/a - Nota Máxima: 10</v>
      </c>
    </row>
    <row r="3537">
      <c r="A3537" s="390" t="str">
        <f>IFERROR(__xludf.DUMMYFUNCTION("""COMPUTED_VALUE"""),"#SLHA - Segunda Licenciatura em História - Segunda Licenciatura em História - ELISIANE PILAR GREGORIO DE MATOS - Teorias da História - Nota Máxima: 10")</f>
        <v>#SLHA - Segunda Licenciatura em História - Segunda Licenciatura em História - ELISIANE PILAR GREGORIO DE MATOS - Teorias da História - Nota Máxima: 10</v>
      </c>
    </row>
    <row r="3538">
      <c r="A3538" s="390" t="str">
        <f>IFERROR(__xludf.DUMMYFUNCTION("""COMPUTED_VALUE"""),"#SLHA - Segunda Licenciatura em História - Segunda Licenciatura em História - ELISIANE PILAR GREGORIO DE MATOS - Teorias da História - Nota Máxima: 10")</f>
        <v>#SLHA - Segunda Licenciatura em História - Segunda Licenciatura em História - ELISIANE PILAR GREGORIO DE MATOS - Teorias da História - Nota Máxima: 10</v>
      </c>
    </row>
    <row r="3539">
      <c r="A3539" s="390" t="str">
        <f>IFERROR(__xludf.DUMMYFUNCTION("""COMPUTED_VALUE"""),"#SLHA - Segunda Licenciatura em História - Segunda Licenciatura em História - Jeane Carvalho de Menezes - Cultura e Diversidade II - Nota Máxima: 10")</f>
        <v>#SLHA - Segunda Licenciatura em História - Segunda Licenciatura em História - Jeane Carvalho de Menezes - Cultura e Diversidade II - Nota Máxima: 10</v>
      </c>
    </row>
    <row r="3540">
      <c r="A3540" s="390" t="str">
        <f>IFERROR(__xludf.DUMMYFUNCTION("""COMPUTED_VALUE"""),"#SLHA - Segunda Licenciatura em História - Segunda Licenciatura em História - Jeane Carvalho de Menezes - Cultura e Diversidade II - Nota Máxima: 10")</f>
        <v>#SLHA - Segunda Licenciatura em História - Segunda Licenciatura em História - Jeane Carvalho de Menezes - Cultura e Diversidade II - Nota Máxima: 10</v>
      </c>
    </row>
    <row r="3541">
      <c r="A3541" s="390" t="str">
        <f>IFERROR(__xludf.DUMMYFUNCTION("""COMPUTED_VALUE"""),"#SLHA - Segunda Licenciatura em História - Segunda Licenciatura em História - Jeane Carvalho de Menezes - Deficiência Auditiva e Libras/a - Nota Máxima: 10")</f>
        <v>#SLHA - Segunda Licenciatura em História - Segunda Licenciatura em História - Jeane Carvalho de Menezes - Deficiência Auditiva e Libras/a - Nota Máxima: 10</v>
      </c>
    </row>
    <row r="3542">
      <c r="A3542" s="390" t="str">
        <f>IFERROR(__xludf.DUMMYFUNCTION("""COMPUTED_VALUE"""),"#SLHA - Segunda Licenciatura em História - Segunda Licenciatura em História - Jeane Carvalho de Menezes - Deficiência Auditiva e Libras/a - Nota Máxima: 10")</f>
        <v>#SLHA - Segunda Licenciatura em História - Segunda Licenciatura em História - Jeane Carvalho de Menezes - Deficiência Auditiva e Libras/a - Nota Máxima: 10</v>
      </c>
    </row>
    <row r="3543">
      <c r="A3543" s="390" t="str">
        <f>IFERROR(__xludf.DUMMYFUNCTION("""COMPUTED_VALUE"""),"#SLHA - Segunda Licenciatura em História - Segunda Licenciatura em História - Jeane Carvalho de Menezes - Desenvolvimento do Capital Humano - Nota Máxima: 10")</f>
        <v>#SLHA - Segunda Licenciatura em História - Segunda Licenciatura em História - Jeane Carvalho de Menezes - Desenvolvimento do Capital Humano - Nota Máxima: 10</v>
      </c>
    </row>
    <row r="3544">
      <c r="A3544" s="390" t="str">
        <f>IFERROR(__xludf.DUMMYFUNCTION("""COMPUTED_VALUE"""),"#SLHA - Segunda Licenciatura em História - Segunda Licenciatura em História - Jeane Carvalho de Menezes - Desenvolvimento do Capital Humano - Nota Máxima: 10")</f>
        <v>#SLHA - Segunda Licenciatura em História - Segunda Licenciatura em História - Jeane Carvalho de Menezes - Desenvolvimento do Capital Humano - Nota Máxima: 10</v>
      </c>
    </row>
    <row r="3545">
      <c r="A3545" s="390" t="str">
        <f>IFERROR(__xludf.DUMMYFUNCTION("""COMPUTED_VALUE"""),"#SLHA - Segunda Licenciatura em História - Segunda Licenciatura em História - Jeane Carvalho de Menezes - Educação Especial, Inclusão Escolar e Adaptações Curriculares - Nota Máxima: 10")</f>
        <v>#SLHA - Segunda Licenciatura em História - Segunda Licenciatura em História - Jeane Carvalho de Menezes - Educação Especial, Inclusão Escolar e Adaptações Curriculares - Nota Máxima: 10</v>
      </c>
    </row>
    <row r="3546">
      <c r="A3546" s="390" t="str">
        <f>IFERROR(__xludf.DUMMYFUNCTION("""COMPUTED_VALUE"""),"#SLHA - Segunda Licenciatura em História - Segunda Licenciatura em História - Jeane Carvalho de Menezes - Educação Especial, Inclusão Escolar e Adaptações Curriculares - Nota Máxima: 10")</f>
        <v>#SLHA - Segunda Licenciatura em História - Segunda Licenciatura em História - Jeane Carvalho de Menezes - Educação Especial, Inclusão Escolar e Adaptações Curriculares - Nota Máxima: 10</v>
      </c>
    </row>
    <row r="3547">
      <c r="A3547" s="390" t="str">
        <f>IFERROR(__xludf.DUMMYFUNCTION("""COMPUTED_VALUE"""),"#SLHA - Segunda Licenciatura em História - Segunda Licenciatura em História - Jeane Carvalho de Menezes - Educação, História, Cultura e Práticas Indígenas/a - Nota Máxima: 10")</f>
        <v>#SLHA - Segunda Licenciatura em História - Segunda Licenciatura em História - Jeane Carvalho de Menezes - Educação, História, Cultura e Práticas Indígenas/a - Nota Máxima: 10</v>
      </c>
    </row>
    <row r="3548">
      <c r="A3548" s="390" t="str">
        <f>IFERROR(__xludf.DUMMYFUNCTION("""COMPUTED_VALUE"""),"#SLHA - Segunda Licenciatura em História - Segunda Licenciatura em História - Jeane Carvalho de Menezes - Educação, História, Cultura e Práticas Indígenas/a - Nota Máxima: 10")</f>
        <v>#SLHA - Segunda Licenciatura em História - Segunda Licenciatura em História - Jeane Carvalho de Menezes - Educação, História, Cultura e Práticas Indígenas/a - Nota Máxima: 10</v>
      </c>
    </row>
    <row r="3549">
      <c r="A3549" s="390" t="str">
        <f>IFERROR(__xludf.DUMMYFUNCTION("""COMPUTED_VALUE"""),"#SLHA - Segunda Licenciatura em História - Segunda Licenciatura em História - Jeane Carvalho de Menezes - Estudos Populacionais - Nota Máxima: 10")</f>
        <v>#SLHA - Segunda Licenciatura em História - Segunda Licenciatura em História - Jeane Carvalho de Menezes - Estudos Populacionais - Nota Máxima: 10</v>
      </c>
    </row>
    <row r="3550">
      <c r="A3550" s="390" t="str">
        <f>IFERROR(__xludf.DUMMYFUNCTION("""COMPUTED_VALUE"""),"#SLHA - Segunda Licenciatura em História - Segunda Licenciatura em História - Jeane Carvalho de Menezes - Estudos Populacionais - Nota Máxima: 10")</f>
        <v>#SLHA - Segunda Licenciatura em História - Segunda Licenciatura em História - Jeane Carvalho de Menezes - Estudos Populacionais - Nota Máxima: 10</v>
      </c>
    </row>
    <row r="3551">
      <c r="A3551" s="390" t="str">
        <f>IFERROR(__xludf.DUMMYFUNCTION("""COMPUTED_VALUE"""),"#SLHA - Segunda Licenciatura em História - Segunda Licenciatura em História - Jeane Carvalho de Menezes - História Antiga e Medieval - Nota Máxima: 10")</f>
        <v>#SLHA - Segunda Licenciatura em História - Segunda Licenciatura em História - Jeane Carvalho de Menezes - História Antiga e Medieval - Nota Máxima: 10</v>
      </c>
    </row>
    <row r="3552">
      <c r="A3552" s="390" t="str">
        <f>IFERROR(__xludf.DUMMYFUNCTION("""COMPUTED_VALUE"""),"#SLHA - Segunda Licenciatura em História - Segunda Licenciatura em História - Jeane Carvalho de Menezes - História Antiga e Medieval - Nota Máxima: 10")</f>
        <v>#SLHA - Segunda Licenciatura em História - Segunda Licenciatura em História - Jeane Carvalho de Menezes - História Antiga e Medieval - Nota Máxima: 10</v>
      </c>
    </row>
    <row r="3553">
      <c r="A3553" s="390" t="str">
        <f>IFERROR(__xludf.DUMMYFUNCTION("""COMPUTED_VALUE"""),"#SLHA - Segunda Licenciatura em História - Segunda Licenciatura em História - Jeane Carvalho de Menezes - História Moderna e Contemporânea - Nota Máxima: 10")</f>
        <v>#SLHA - Segunda Licenciatura em História - Segunda Licenciatura em História - Jeane Carvalho de Menezes - História Moderna e Contemporânea - Nota Máxima: 10</v>
      </c>
    </row>
    <row r="3554">
      <c r="A3554" s="390" t="str">
        <f>IFERROR(__xludf.DUMMYFUNCTION("""COMPUTED_VALUE"""),"#SLHA - Segunda Licenciatura em História - Segunda Licenciatura em História - Jeane Carvalho de Menezes - História Moderna e Contemporânea - Nota Máxima: 10")</f>
        <v>#SLHA - Segunda Licenciatura em História - Segunda Licenciatura em História - Jeane Carvalho de Menezes - História Moderna e Contemporânea - Nota Máxima: 10</v>
      </c>
    </row>
    <row r="3555">
      <c r="A3555" s="390" t="str">
        <f>IFERROR(__xludf.DUMMYFUNCTION("""COMPUTED_VALUE"""),"#SLHA - Segunda Licenciatura em História - Segunda Licenciatura em História - Jeane Carvalho de Menezes - Legislação Educacional/a - Nota Máxima: 10")</f>
        <v>#SLHA - Segunda Licenciatura em História - Segunda Licenciatura em História - Jeane Carvalho de Menezes - Legislação Educacional/a - Nota Máxima: 10</v>
      </c>
    </row>
    <row r="3556">
      <c r="A3556" s="390" t="str">
        <f>IFERROR(__xludf.DUMMYFUNCTION("""COMPUTED_VALUE"""),"#SLHA - Segunda Licenciatura em História - Segunda Licenciatura em História - Jeane Carvalho de Menezes - Legislação Educacional/a - Nota Máxima: 8")</f>
        <v>#SLHA - Segunda Licenciatura em História - Segunda Licenciatura em História - Jeane Carvalho de Menezes - Legislação Educacional/a - Nota Máxima: 8</v>
      </c>
    </row>
    <row r="3557">
      <c r="A3557" s="390" t="str">
        <f>IFERROR(__xludf.DUMMYFUNCTION("""COMPUTED_VALUE"""),"#SLHA - Segunda Licenciatura em História - Segunda Licenciatura em História - Jeane Carvalho de Menezes - Metodologia do Ensino da História - Nota Máxima: 10")</f>
        <v>#SLHA - Segunda Licenciatura em História - Segunda Licenciatura em História - Jeane Carvalho de Menezes - Metodologia do Ensino da História - Nota Máxima: 10</v>
      </c>
    </row>
    <row r="3558">
      <c r="A3558" s="390" t="str">
        <f>IFERROR(__xludf.DUMMYFUNCTION("""COMPUTED_VALUE"""),"#SLHA - Segunda Licenciatura em História - Segunda Licenciatura em História - Jeane Carvalho de Menezes - Metodologia do Ensino da História - Nota Máxima: 10")</f>
        <v>#SLHA - Segunda Licenciatura em História - Segunda Licenciatura em História - Jeane Carvalho de Menezes - Metodologia do Ensino da História - Nota Máxima: 10</v>
      </c>
    </row>
    <row r="3559">
      <c r="A3559" s="390" t="str">
        <f>IFERROR(__xludf.DUMMYFUNCTION("""COMPUTED_VALUE"""),"#SLHA - Segunda Licenciatura em História - Segunda Licenciatura em História - Jeane Carvalho de Menezes - Planejamento, Gestão Educacional e Currículo/a - Nota Máxima: 10")</f>
        <v>#SLHA - Segunda Licenciatura em História - Segunda Licenciatura em História - Jeane Carvalho de Menezes - Planejamento, Gestão Educacional e Currículo/a - Nota Máxima: 10</v>
      </c>
    </row>
    <row r="3560">
      <c r="A3560" s="390" t="str">
        <f>IFERROR(__xludf.DUMMYFUNCTION("""COMPUTED_VALUE"""),"#SLHA - Segunda Licenciatura em História - Segunda Licenciatura em História - Jeane Carvalho de Menezes - Planejamento, Gestão Educacional e Currículo/a - Nota Máxima: 10")</f>
        <v>#SLHA - Segunda Licenciatura em História - Segunda Licenciatura em História - Jeane Carvalho de Menezes - Planejamento, Gestão Educacional e Currículo/a - Nota Máxima: 10</v>
      </c>
    </row>
    <row r="3561">
      <c r="A3561" s="390" t="str">
        <f>IFERROR(__xludf.DUMMYFUNCTION("""COMPUTED_VALUE"""),"#SLHA - Segunda Licenciatura em História - Segunda Licenciatura em História - Jeane Carvalho de Menezes - Práticas Pedagógicas - 400 Horas - Nota Máxima: 4")</f>
        <v>#SLHA - Segunda Licenciatura em História - Segunda Licenciatura em História - Jeane Carvalho de Menezes - Práticas Pedagógicas - 400 Horas - Nota Máxima: 4</v>
      </c>
    </row>
    <row r="3562">
      <c r="A3562" s="390" t="str">
        <f>IFERROR(__xludf.DUMMYFUNCTION("""COMPUTED_VALUE"""),"#SLHA - Segunda Licenciatura em História - Segunda Licenciatura em História - Jeane Carvalho de Menezes - Práticas Pedagógicas - 400 Horas - Nota Máxima: 4")</f>
        <v>#SLHA - Segunda Licenciatura em História - Segunda Licenciatura em História - Jeane Carvalho de Menezes - Práticas Pedagógicas - 400 Horas - Nota Máxima: 4</v>
      </c>
    </row>
    <row r="3563">
      <c r="A3563" s="390" t="str">
        <f>IFERROR(__xludf.DUMMYFUNCTION("""COMPUTED_VALUE"""),"#SLHA - Segunda Licenciatura em História - Segunda Licenciatura em História - Jeane Carvalho de Menezes - Psicologia da Educação/a - Nota Máxima: 10")</f>
        <v>#SLHA - Segunda Licenciatura em História - Segunda Licenciatura em História - Jeane Carvalho de Menezes - Psicologia da Educação/a - Nota Máxima: 10</v>
      </c>
    </row>
    <row r="3564">
      <c r="A3564" s="390" t="str">
        <f>IFERROR(__xludf.DUMMYFUNCTION("""COMPUTED_VALUE"""),"#SLHA - Segunda Licenciatura em História - Segunda Licenciatura em História - Jeane Carvalho de Menezes - Psicologia da Educação/a - Nota Máxima: 9")</f>
        <v>#SLHA - Segunda Licenciatura em História - Segunda Licenciatura em História - Jeane Carvalho de Menezes - Psicologia da Educação/a - Nota Máxima: 9</v>
      </c>
    </row>
    <row r="3565">
      <c r="A3565" s="390" t="str">
        <f>IFERROR(__xludf.DUMMYFUNCTION("""COMPUTED_VALUE"""),"#SLHA - Segunda Licenciatura em História - Segunda Licenciatura em História - Jeane Carvalho de Menezes - Teorias da História - Nota Máxima: 10")</f>
        <v>#SLHA - Segunda Licenciatura em História - Segunda Licenciatura em História - Jeane Carvalho de Menezes - Teorias da História - Nota Máxima: 10</v>
      </c>
    </row>
    <row r="3566">
      <c r="A3566" s="390" t="str">
        <f>IFERROR(__xludf.DUMMYFUNCTION("""COMPUTED_VALUE"""),"#SLHA - Segunda Licenciatura em História - Segunda Licenciatura em História - Jeane Carvalho de Menezes - Teorias da História - Nota Máxima: 10")</f>
        <v>#SLHA - Segunda Licenciatura em História - Segunda Licenciatura em História - Jeane Carvalho de Menezes - Teorias da História - Nota Máxima: 10</v>
      </c>
    </row>
    <row r="3567">
      <c r="A3567" s="390" t="str">
        <f>IFERROR(__xludf.DUMMYFUNCTION("""COMPUTED_VALUE"""),"#SLHA - Segunda Licenciatura em História - Segunda Licenciatura em História - Cassio Fabiano Da Silva Carvalho - Deficiência Auditiva e Libras/a - Nota Máxima: 10")</f>
        <v>#SLHA - Segunda Licenciatura em História - Segunda Licenciatura em História - Cassio Fabiano Da Silva Carvalho - Deficiência Auditiva e Libras/a - Nota Máxima: 10</v>
      </c>
    </row>
    <row r="3568">
      <c r="A3568" s="390" t="str">
        <f>IFERROR(__xludf.DUMMYFUNCTION("""COMPUTED_VALUE"""),"#SLHA - Segunda Licenciatura em História - Segunda Licenciatura em História - Cassio Fabiano Da Silva Carvalho - Deficiência Auditiva e Libras/a - Nota Máxima: 8")</f>
        <v>#SLHA - Segunda Licenciatura em História - Segunda Licenciatura em História - Cassio Fabiano Da Silva Carvalho - Deficiência Auditiva e Libras/a - Nota Máxima: 8</v>
      </c>
    </row>
    <row r="3569">
      <c r="A3569" s="390" t="str">
        <f>IFERROR(__xludf.DUMMYFUNCTION("""COMPUTED_VALUE"""),"#SLHA - Segunda Licenciatura em História - Segunda Licenciatura em História - Queila Cristina de Assunção - Cultura e Diversidade II - Nota Máxima: 10")</f>
        <v>#SLHA - Segunda Licenciatura em História - Segunda Licenciatura em História - Queila Cristina de Assunção - Cultura e Diversidade II - Nota Máxima: 10</v>
      </c>
    </row>
    <row r="3570">
      <c r="A3570" s="390" t="str">
        <f>IFERROR(__xludf.DUMMYFUNCTION("""COMPUTED_VALUE"""),"#SLHA - Segunda Licenciatura em História - Segunda Licenciatura em História - Queila Cristina de Assunção - Deficiência Auditiva e Libras/a - Nota Máxima: 8")</f>
        <v>#SLHA - Segunda Licenciatura em História - Segunda Licenciatura em História - Queila Cristina de Assunção - Deficiência Auditiva e Libras/a - Nota Máxima: 8</v>
      </c>
    </row>
    <row r="3571">
      <c r="A3571" s="390" t="str">
        <f>IFERROR(__xludf.DUMMYFUNCTION("""COMPUTED_VALUE"""),"#SLHA - Segunda Licenciatura em História - Segunda Licenciatura em História - Queila Cristina de Assunção - Desenvolvimento do Capital Humano - Nota Máxima: 10")</f>
        <v>#SLHA - Segunda Licenciatura em História - Segunda Licenciatura em História - Queila Cristina de Assunção - Desenvolvimento do Capital Humano - Nota Máxima: 10</v>
      </c>
    </row>
    <row r="3572">
      <c r="A3572" s="390" t="str">
        <f>IFERROR(__xludf.DUMMYFUNCTION("""COMPUTED_VALUE"""),"#SLHA - Segunda Licenciatura em História - Segunda Licenciatura em História - Queila Cristina de Assunção - Educação Especial, Inclusão Escolar e Adaptações Curriculares - Nota Máxima: 10")</f>
        <v>#SLHA - Segunda Licenciatura em História - Segunda Licenciatura em História - Queila Cristina de Assunção - Educação Especial, Inclusão Escolar e Adaptações Curriculares - Nota Máxima: 10</v>
      </c>
    </row>
    <row r="3573">
      <c r="A3573" s="390" t="str">
        <f>IFERROR(__xludf.DUMMYFUNCTION("""COMPUTED_VALUE"""),"#SLHA - Segunda Licenciatura em História - Segunda Licenciatura em História - Queila Cristina de Assunção - Educação, História, Cultura e Práticas Indígenas/a - Nota Máxima: 10")</f>
        <v>#SLHA - Segunda Licenciatura em História - Segunda Licenciatura em História - Queila Cristina de Assunção - Educação, História, Cultura e Práticas Indígenas/a - Nota Máxima: 10</v>
      </c>
    </row>
    <row r="3574">
      <c r="A3574" s="390" t="str">
        <f>IFERROR(__xludf.DUMMYFUNCTION("""COMPUTED_VALUE"""),"#SLHA - Segunda Licenciatura em História - Segunda Licenciatura em História - Queila Cristina de Assunção - Estudos Populacionais - Nota Máxima: 10")</f>
        <v>#SLHA - Segunda Licenciatura em História - Segunda Licenciatura em História - Queila Cristina de Assunção - Estudos Populacionais - Nota Máxima: 10</v>
      </c>
    </row>
    <row r="3575">
      <c r="A3575" s="390" t="str">
        <f>IFERROR(__xludf.DUMMYFUNCTION("""COMPUTED_VALUE"""),"#SLHA - Segunda Licenciatura em História - Segunda Licenciatura em História - Queila Cristina de Assunção - História Antiga e Medieval - Nota Máxima: 9")</f>
        <v>#SLHA - Segunda Licenciatura em História - Segunda Licenciatura em História - Queila Cristina de Assunção - História Antiga e Medieval - Nota Máxima: 9</v>
      </c>
    </row>
    <row r="3576">
      <c r="A3576" s="390" t="str">
        <f>IFERROR(__xludf.DUMMYFUNCTION("""COMPUTED_VALUE"""),"#SLHA - Segunda Licenciatura em História - Segunda Licenciatura em História - Queila Cristina de Assunção - História Moderna e Contemporânea - Nota Máxima: 10")</f>
        <v>#SLHA - Segunda Licenciatura em História - Segunda Licenciatura em História - Queila Cristina de Assunção - História Moderna e Contemporânea - Nota Máxima: 10</v>
      </c>
    </row>
    <row r="3577">
      <c r="A3577" s="390" t="str">
        <f>IFERROR(__xludf.DUMMYFUNCTION("""COMPUTED_VALUE"""),"#SLHA - Segunda Licenciatura em História - Segunda Licenciatura em História - Queila Cristina de Assunção - Legislação Educacional/a - Nota Máxima: 9")</f>
        <v>#SLHA - Segunda Licenciatura em História - Segunda Licenciatura em História - Queila Cristina de Assunção - Legislação Educacional/a - Nota Máxima: 9</v>
      </c>
    </row>
    <row r="3578">
      <c r="A3578" s="390" t="str">
        <f>IFERROR(__xludf.DUMMYFUNCTION("""COMPUTED_VALUE"""),"#SLHA - Segunda Licenciatura em História - Segunda Licenciatura em História - Queila Cristina de Assunção - Metodologia do Ensino da História - Nota Máxima: 9")</f>
        <v>#SLHA - Segunda Licenciatura em História - Segunda Licenciatura em História - Queila Cristina de Assunção - Metodologia do Ensino da História - Nota Máxima: 9</v>
      </c>
    </row>
    <row r="3579">
      <c r="A3579" s="390" t="str">
        <f>IFERROR(__xludf.DUMMYFUNCTION("""COMPUTED_VALUE"""),"#SLHA - Segunda Licenciatura em História - Segunda Licenciatura em História - Queila Cristina de Assunção - Planejamento, Gestão Educacional e Currículo/a - Nota Máxima: 10")</f>
        <v>#SLHA - Segunda Licenciatura em História - Segunda Licenciatura em História - Queila Cristina de Assunção - Planejamento, Gestão Educacional e Currículo/a - Nota Máxima: 10</v>
      </c>
    </row>
    <row r="3580">
      <c r="A3580" s="390" t="str">
        <f>IFERROR(__xludf.DUMMYFUNCTION("""COMPUTED_VALUE"""),"#SLHA - Segunda Licenciatura em História - Segunda Licenciatura em História - Queila Cristina de Assunção - Práticas Pedagógicas - 400 Horas - Nota Máxima: 4")</f>
        <v>#SLHA - Segunda Licenciatura em História - Segunda Licenciatura em História - Queila Cristina de Assunção - Práticas Pedagógicas - 400 Horas - Nota Máxima: 4</v>
      </c>
    </row>
    <row r="3581">
      <c r="A3581" s="390" t="str">
        <f>IFERROR(__xludf.DUMMYFUNCTION("""COMPUTED_VALUE"""),"#SLHA - Segunda Licenciatura em História - Segunda Licenciatura em História - Queila Cristina de Assunção - Psicologia da Educação/a - Nota Máxima: 8")</f>
        <v>#SLHA - Segunda Licenciatura em História - Segunda Licenciatura em História - Queila Cristina de Assunção - Psicologia da Educação/a - Nota Máxima: 8</v>
      </c>
    </row>
    <row r="3582">
      <c r="A3582" s="390" t="str">
        <f>IFERROR(__xludf.DUMMYFUNCTION("""COMPUTED_VALUE"""),"#SLHA - Segunda Licenciatura em História - Segunda Licenciatura em História - Queila Cristina de Assunção - Teorias da História - Nota Máxima: 10")</f>
        <v>#SLHA - Segunda Licenciatura em História - Segunda Licenciatura em História - Queila Cristina de Assunção - Teorias da História - Nota Máxima: 10</v>
      </c>
    </row>
    <row r="3583">
      <c r="A3583" s="390" t="str">
        <f>IFERROR(__xludf.DUMMYFUNCTION("""COMPUTED_VALUE"""),"#SLHA - Segunda Licenciatura em História - Segunda Licenciatura em História - Maria de Lourdes da Silva Lima - Cultura e Diversidade II - Nota Máxima: 10")</f>
        <v>#SLHA - Segunda Licenciatura em História - Segunda Licenciatura em História - Maria de Lourdes da Silva Lima - Cultura e Diversidade II - Nota Máxima: 10</v>
      </c>
    </row>
    <row r="3584">
      <c r="A3584" s="390" t="str">
        <f>IFERROR(__xludf.DUMMYFUNCTION("""COMPUTED_VALUE"""),"#SLHA - Segunda Licenciatura em História - Segunda Licenciatura em História - Maria de Lourdes da Silva Lima - Cultura e Diversidade II - Nota Máxima: 10")</f>
        <v>#SLHA - Segunda Licenciatura em História - Segunda Licenciatura em História - Maria de Lourdes da Silva Lima - Cultura e Diversidade II - Nota Máxima: 10</v>
      </c>
    </row>
    <row r="3585">
      <c r="A3585" s="390" t="str">
        <f>IFERROR(__xludf.DUMMYFUNCTION("""COMPUTED_VALUE"""),"#SLHA - Segunda Licenciatura em História - Segunda Licenciatura em História - Maria de Lourdes da Silva Lima - Deficiência Auditiva e Libras/a - Nota Máxima: 10")</f>
        <v>#SLHA - Segunda Licenciatura em História - Segunda Licenciatura em História - Maria de Lourdes da Silva Lima - Deficiência Auditiva e Libras/a - Nota Máxima: 10</v>
      </c>
    </row>
    <row r="3586">
      <c r="A3586" s="390" t="str">
        <f>IFERROR(__xludf.DUMMYFUNCTION("""COMPUTED_VALUE"""),"#SLHA - Segunda Licenciatura em História - Segunda Licenciatura em História - Maria de Lourdes da Silva Lima - Deficiência Auditiva e Libras/a - Nota Máxima: 8")</f>
        <v>#SLHA - Segunda Licenciatura em História - Segunda Licenciatura em História - Maria de Lourdes da Silva Lima - Deficiência Auditiva e Libras/a - Nota Máxima: 8</v>
      </c>
    </row>
    <row r="3587">
      <c r="A3587" s="390" t="str">
        <f>IFERROR(__xludf.DUMMYFUNCTION("""COMPUTED_VALUE"""),"#SLHA - Segunda Licenciatura em História - Segunda Licenciatura em História - Maria de Lourdes da Silva Lima - Desenvolvimento do Capital Humano - Nota Máxima: 10")</f>
        <v>#SLHA - Segunda Licenciatura em História - Segunda Licenciatura em História - Maria de Lourdes da Silva Lima - Desenvolvimento do Capital Humano - Nota Máxima: 10</v>
      </c>
    </row>
    <row r="3588">
      <c r="A3588" s="390" t="str">
        <f>IFERROR(__xludf.DUMMYFUNCTION("""COMPUTED_VALUE"""),"#SLHA - Segunda Licenciatura em História - Segunda Licenciatura em História - Maria de Lourdes da Silva Lima - Desenvolvimento do Capital Humano - Nota Máxima: 5")</f>
        <v>#SLHA - Segunda Licenciatura em História - Segunda Licenciatura em História - Maria de Lourdes da Silva Lima - Desenvolvimento do Capital Humano - Nota Máxima: 5</v>
      </c>
    </row>
    <row r="3589">
      <c r="A3589" s="390" t="str">
        <f>IFERROR(__xludf.DUMMYFUNCTION("""COMPUTED_VALUE"""),"#SLHA - Segunda Licenciatura em História - Segunda Licenciatura em História - Maria de Lourdes da Silva Lima - Educação Especial, Inclusão Escolar e Adaptações Curriculares - Nota Máxima: 10")</f>
        <v>#SLHA - Segunda Licenciatura em História - Segunda Licenciatura em História - Maria de Lourdes da Silva Lima - Educação Especial, Inclusão Escolar e Adaptações Curriculares - Nota Máxima: 10</v>
      </c>
    </row>
    <row r="3590">
      <c r="A3590" s="390" t="str">
        <f>IFERROR(__xludf.DUMMYFUNCTION("""COMPUTED_VALUE"""),"#SLHA - Segunda Licenciatura em História - Segunda Licenciatura em História - Maria de Lourdes da Silva Lima - Educação Especial, Inclusão Escolar e Adaptações Curriculares - Nota Máxima: 4")</f>
        <v>#SLHA - Segunda Licenciatura em História - Segunda Licenciatura em História - Maria de Lourdes da Silva Lima - Educação Especial, Inclusão Escolar e Adaptações Curriculares - Nota Máxima: 4</v>
      </c>
    </row>
    <row r="3591">
      <c r="A3591" s="390" t="str">
        <f>IFERROR(__xludf.DUMMYFUNCTION("""COMPUTED_VALUE"""),"#SLHA - Segunda Licenciatura em História - Segunda Licenciatura em História - Maria de Lourdes da Silva Lima - Educação, História, Cultura e Práticas Indígenas/a - Nota Máxima: 7")</f>
        <v>#SLHA - Segunda Licenciatura em História - Segunda Licenciatura em História - Maria de Lourdes da Silva Lima - Educação, História, Cultura e Práticas Indígenas/a - Nota Máxima: 7</v>
      </c>
    </row>
    <row r="3592">
      <c r="A3592" s="390" t="str">
        <f>IFERROR(__xludf.DUMMYFUNCTION("""COMPUTED_VALUE"""),"#SLHA - Segunda Licenciatura em História - Segunda Licenciatura em História - Maria de Lourdes da Silva Lima - Educação, História, Cultura e Práticas Indígenas/a - Nota Máxima: 6")</f>
        <v>#SLHA - Segunda Licenciatura em História - Segunda Licenciatura em História - Maria de Lourdes da Silva Lima - Educação, História, Cultura e Práticas Indígenas/a - Nota Máxima: 6</v>
      </c>
    </row>
    <row r="3593">
      <c r="A3593" s="390" t="str">
        <f>IFERROR(__xludf.DUMMYFUNCTION("""COMPUTED_VALUE"""),"#SLHA - Segunda Licenciatura em História - Segunda Licenciatura em História - Maria de Lourdes da Silva Lima - Estudos Populacionais - Nota Máxima: 9")</f>
        <v>#SLHA - Segunda Licenciatura em História - Segunda Licenciatura em História - Maria de Lourdes da Silva Lima - Estudos Populacionais - Nota Máxima: 9</v>
      </c>
    </row>
    <row r="3594">
      <c r="A3594" s="390" t="str">
        <f>IFERROR(__xludf.DUMMYFUNCTION("""COMPUTED_VALUE"""),"#SLHA - Segunda Licenciatura em História - Segunda Licenciatura em História - Maria de Lourdes da Silva Lima - Estudos Populacionais - Nota Máxima: 7")</f>
        <v>#SLHA - Segunda Licenciatura em História - Segunda Licenciatura em História - Maria de Lourdes da Silva Lima - Estudos Populacionais - Nota Máxima: 7</v>
      </c>
    </row>
    <row r="3595">
      <c r="A3595" s="390" t="str">
        <f>IFERROR(__xludf.DUMMYFUNCTION("""COMPUTED_VALUE"""),"#SLHA - Segunda Licenciatura em História - Segunda Licenciatura em História - Maria de Lourdes da Silva Lima - História Antiga e Medieval - Nota Máxima: 10")</f>
        <v>#SLHA - Segunda Licenciatura em História - Segunda Licenciatura em História - Maria de Lourdes da Silva Lima - História Antiga e Medieval - Nota Máxima: 10</v>
      </c>
    </row>
    <row r="3596">
      <c r="A3596" s="390" t="str">
        <f>IFERROR(__xludf.DUMMYFUNCTION("""COMPUTED_VALUE"""),"#SLHA - Segunda Licenciatura em História - Segunda Licenciatura em História - Maria de Lourdes da Silva Lima - História Antiga e Medieval - Nota Máxima: 5")</f>
        <v>#SLHA - Segunda Licenciatura em História - Segunda Licenciatura em História - Maria de Lourdes da Silva Lima - História Antiga e Medieval - Nota Máxima: 5</v>
      </c>
    </row>
    <row r="3597">
      <c r="A3597" s="390" t="str">
        <f>IFERROR(__xludf.DUMMYFUNCTION("""COMPUTED_VALUE"""),"#SLHA - Segunda Licenciatura em História - Segunda Licenciatura em História - Maria de Lourdes da Silva Lima - História Moderna e Contemporânea - Nota Máxima: 10")</f>
        <v>#SLHA - Segunda Licenciatura em História - Segunda Licenciatura em História - Maria de Lourdes da Silva Lima - História Moderna e Contemporânea - Nota Máxima: 10</v>
      </c>
    </row>
    <row r="3598">
      <c r="A3598" s="390" t="str">
        <f>IFERROR(__xludf.DUMMYFUNCTION("""COMPUTED_VALUE"""),"#SLHA - Segunda Licenciatura em História - Segunda Licenciatura em História - Maria de Lourdes da Silva Lima - História Moderna e Contemporânea - Nota Máxima: 8")</f>
        <v>#SLHA - Segunda Licenciatura em História - Segunda Licenciatura em História - Maria de Lourdes da Silva Lima - História Moderna e Contemporânea - Nota Máxima: 8</v>
      </c>
    </row>
    <row r="3599">
      <c r="A3599" s="390" t="str">
        <f>IFERROR(__xludf.DUMMYFUNCTION("""COMPUTED_VALUE"""),"#SLHA - Segunda Licenciatura em História - Segunda Licenciatura em História - Maria de Lourdes da Silva Lima - Legislação Educacional/a - Nota Máxima: 8")</f>
        <v>#SLHA - Segunda Licenciatura em História - Segunda Licenciatura em História - Maria de Lourdes da Silva Lima - Legislação Educacional/a - Nota Máxima: 8</v>
      </c>
    </row>
    <row r="3600">
      <c r="A3600" s="390" t="str">
        <f>IFERROR(__xludf.DUMMYFUNCTION("""COMPUTED_VALUE"""),"#SLHA - Segunda Licenciatura em História - Segunda Licenciatura em História - Maria de Lourdes da Silva Lima - Legislação Educacional/a - Nota Máxima: 7")</f>
        <v>#SLHA - Segunda Licenciatura em História - Segunda Licenciatura em História - Maria de Lourdes da Silva Lima - Legislação Educacional/a - Nota Máxima: 7</v>
      </c>
    </row>
    <row r="3601">
      <c r="A3601" s="390" t="str">
        <f>IFERROR(__xludf.DUMMYFUNCTION("""COMPUTED_VALUE"""),"#SLHA - Segunda Licenciatura em História - Segunda Licenciatura em História - Maria de Lourdes da Silva Lima - Metodologia do Ensino da História - Nota Máxima: 10")</f>
        <v>#SLHA - Segunda Licenciatura em História - Segunda Licenciatura em História - Maria de Lourdes da Silva Lima - Metodologia do Ensino da História - Nota Máxima: 10</v>
      </c>
    </row>
    <row r="3602">
      <c r="A3602" s="390" t="str">
        <f>IFERROR(__xludf.DUMMYFUNCTION("""COMPUTED_VALUE"""),"#SLHA - Segunda Licenciatura em História - Segunda Licenciatura em História - Maria de Lourdes da Silva Lima - Metodologia do Ensino da História - Nota Máxima: 3")</f>
        <v>#SLHA - Segunda Licenciatura em História - Segunda Licenciatura em História - Maria de Lourdes da Silva Lima - Metodologia do Ensino da História - Nota Máxima: 3</v>
      </c>
    </row>
    <row r="3603">
      <c r="A3603" s="390" t="str">
        <f>IFERROR(__xludf.DUMMYFUNCTION("""COMPUTED_VALUE"""),"#SLHA - Segunda Licenciatura em História - Segunda Licenciatura em História - Maria de Lourdes da Silva Lima - Planejamento, Gestão Educacional e Currículo/a - Nota Máxima: 10")</f>
        <v>#SLHA - Segunda Licenciatura em História - Segunda Licenciatura em História - Maria de Lourdes da Silva Lima - Planejamento, Gestão Educacional e Currículo/a - Nota Máxima: 10</v>
      </c>
    </row>
    <row r="3604">
      <c r="A3604" s="390" t="str">
        <f>IFERROR(__xludf.DUMMYFUNCTION("""COMPUTED_VALUE"""),"#SLHA - Segunda Licenciatura em História - Segunda Licenciatura em História - Maria de Lourdes da Silva Lima - Planejamento, Gestão Educacional e Currículo/a - Nota Máxima: 10")</f>
        <v>#SLHA - Segunda Licenciatura em História - Segunda Licenciatura em História - Maria de Lourdes da Silva Lima - Planejamento, Gestão Educacional e Currículo/a - Nota Máxima: 10</v>
      </c>
    </row>
    <row r="3605">
      <c r="A3605" s="390" t="str">
        <f>IFERROR(__xludf.DUMMYFUNCTION("""COMPUTED_VALUE"""),"#SLHA - Segunda Licenciatura em História - Segunda Licenciatura em História - Maria de Lourdes da Silva Lima - Práticas Pedagógicas - 400 Horas - Nota Máxima: 4")</f>
        <v>#SLHA - Segunda Licenciatura em História - Segunda Licenciatura em História - Maria de Lourdes da Silva Lima - Práticas Pedagógicas - 400 Horas - Nota Máxima: 4</v>
      </c>
    </row>
    <row r="3606">
      <c r="A3606" s="390" t="str">
        <f>IFERROR(__xludf.DUMMYFUNCTION("""COMPUTED_VALUE"""),"#SLHA - Segunda Licenciatura em História - Segunda Licenciatura em História - Maria de Lourdes da Silva Lima - Práticas Pedagógicas - 400 Horas - Nota Máxima: 0")</f>
        <v>#SLHA - Segunda Licenciatura em História - Segunda Licenciatura em História - Maria de Lourdes da Silva Lima - Práticas Pedagógicas - 400 Horas - Nota Máxima: 0</v>
      </c>
    </row>
    <row r="3607">
      <c r="A3607" s="390" t="str">
        <f>IFERROR(__xludf.DUMMYFUNCTION("""COMPUTED_VALUE"""),"#SLHA - Segunda Licenciatura em História - Segunda Licenciatura em História - Maria de Lourdes da Silva Lima - Psicologia da Educação/a - Nota Máxima: 9")</f>
        <v>#SLHA - Segunda Licenciatura em História - Segunda Licenciatura em História - Maria de Lourdes da Silva Lima - Psicologia da Educação/a - Nota Máxima: 9</v>
      </c>
    </row>
    <row r="3608">
      <c r="A3608" s="390" t="str">
        <f>IFERROR(__xludf.DUMMYFUNCTION("""COMPUTED_VALUE"""),"#SLHA - Segunda Licenciatura em História - Segunda Licenciatura em História - Maria de Lourdes da Silva Lima - Psicologia da Educação/a - Nota Máxima: 6")</f>
        <v>#SLHA - Segunda Licenciatura em História - Segunda Licenciatura em História - Maria de Lourdes da Silva Lima - Psicologia da Educação/a - Nota Máxima: 6</v>
      </c>
    </row>
    <row r="3609">
      <c r="A3609" s="390" t="str">
        <f>IFERROR(__xludf.DUMMYFUNCTION("""COMPUTED_VALUE"""),"#SLHA - Segunda Licenciatura em História - Segunda Licenciatura em História - Maria de Lourdes da Silva Lima - Teorias da História - Nota Máxima: 8")</f>
        <v>#SLHA - Segunda Licenciatura em História - Segunda Licenciatura em História - Maria de Lourdes da Silva Lima - Teorias da História - Nota Máxima: 8</v>
      </c>
    </row>
    <row r="3610">
      <c r="A3610" s="390" t="str">
        <f>IFERROR(__xludf.DUMMYFUNCTION("""COMPUTED_VALUE"""),"#SLHA - Segunda Licenciatura em História - Segunda Licenciatura em História - Maria de Lourdes da Silva Lima - Teorias da História - Nota Máxima: 5")</f>
        <v>#SLHA - Segunda Licenciatura em História - Segunda Licenciatura em História - Maria de Lourdes da Silva Lima - Teorias da História - Nota Máxima: 5</v>
      </c>
    </row>
    <row r="3611">
      <c r="A3611" s="390" t="str">
        <f>IFERROR(__xludf.DUMMYFUNCTION("""COMPUTED_VALUE"""),"#SLHA - Segunda Licenciatura em História - Segunda Licenciatura em História - Maria Domingas Alves - Cultura e Diversidade II - Nota Máxima: 9")</f>
        <v>#SLHA - Segunda Licenciatura em História - Segunda Licenciatura em História - Maria Domingas Alves - Cultura e Diversidade II - Nota Máxima: 9</v>
      </c>
    </row>
    <row r="3612">
      <c r="A3612" s="390" t="str">
        <f>IFERROR(__xludf.DUMMYFUNCTION("""COMPUTED_VALUE"""),"#SLHA - Segunda Licenciatura em História - Segunda Licenciatura em História - Maria Domingas Alves - Cultura e Diversidade II - Nota Máxima: 8")</f>
        <v>#SLHA - Segunda Licenciatura em História - Segunda Licenciatura em História - Maria Domingas Alves - Cultura e Diversidade II - Nota Máxima: 8</v>
      </c>
    </row>
    <row r="3613">
      <c r="A3613" s="390" t="str">
        <f>IFERROR(__xludf.DUMMYFUNCTION("""COMPUTED_VALUE"""),"#SLHA - Segunda Licenciatura em História - Segunda Licenciatura em História - Maria Domingas Alves - Deficiência Auditiva e Libras/a - Nota Máxima: 10")</f>
        <v>#SLHA - Segunda Licenciatura em História - Segunda Licenciatura em História - Maria Domingas Alves - Deficiência Auditiva e Libras/a - Nota Máxima: 10</v>
      </c>
    </row>
    <row r="3614">
      <c r="A3614" s="390" t="str">
        <f>IFERROR(__xludf.DUMMYFUNCTION("""COMPUTED_VALUE"""),"#SLHA - Segunda Licenciatura em História - Segunda Licenciatura em História - Maria Domingas Alves - Deficiência Auditiva e Libras/a - Nota Máxima: 10")</f>
        <v>#SLHA - Segunda Licenciatura em História - Segunda Licenciatura em História - Maria Domingas Alves - Deficiência Auditiva e Libras/a - Nota Máxima: 10</v>
      </c>
    </row>
    <row r="3615">
      <c r="A3615" s="390" t="str">
        <f>IFERROR(__xludf.DUMMYFUNCTION("""COMPUTED_VALUE"""),"#SLHA - Segunda Licenciatura em História - Segunda Licenciatura em História - Maria Domingas Alves - Desenvolvimento do Capital Humano - Nota Máxima: 10")</f>
        <v>#SLHA - Segunda Licenciatura em História - Segunda Licenciatura em História - Maria Domingas Alves - Desenvolvimento do Capital Humano - Nota Máxima: 10</v>
      </c>
    </row>
    <row r="3616">
      <c r="A3616" s="390" t="str">
        <f>IFERROR(__xludf.DUMMYFUNCTION("""COMPUTED_VALUE"""),"#SLHA - Segunda Licenciatura em História - Segunda Licenciatura em História - Maria Domingas Alves - Desenvolvimento do Capital Humano - Nota Máxima: 10")</f>
        <v>#SLHA - Segunda Licenciatura em História - Segunda Licenciatura em História - Maria Domingas Alves - Desenvolvimento do Capital Humano - Nota Máxima: 10</v>
      </c>
    </row>
    <row r="3617">
      <c r="A3617" s="390" t="str">
        <f>IFERROR(__xludf.DUMMYFUNCTION("""COMPUTED_VALUE"""),"#SLHA - Segunda Licenciatura em História - Segunda Licenciatura em História - Maria Domingas Alves - Educação Especial, Inclusão Escolar e Adaptações Curriculares - Nota Máxima: 10")</f>
        <v>#SLHA - Segunda Licenciatura em História - Segunda Licenciatura em História - Maria Domingas Alves - Educação Especial, Inclusão Escolar e Adaptações Curriculares - Nota Máxima: 10</v>
      </c>
    </row>
    <row r="3618">
      <c r="A3618" s="390" t="str">
        <f>IFERROR(__xludf.DUMMYFUNCTION("""COMPUTED_VALUE"""),"#SLHA - Segunda Licenciatura em História - Segunda Licenciatura em História - Maria Domingas Alves - Educação Especial, Inclusão Escolar e Adaptações Curriculares - Nota Máxima: 10")</f>
        <v>#SLHA - Segunda Licenciatura em História - Segunda Licenciatura em História - Maria Domingas Alves - Educação Especial, Inclusão Escolar e Adaptações Curriculares - Nota Máxima: 10</v>
      </c>
    </row>
    <row r="3619">
      <c r="A3619" s="390" t="str">
        <f>IFERROR(__xludf.DUMMYFUNCTION("""COMPUTED_VALUE"""),"#SLHA - Segunda Licenciatura em História - Segunda Licenciatura em História - Maria Domingas Alves - Educação, História, Cultura e Práticas Indígenas/a - Nota Máxima: 10")</f>
        <v>#SLHA - Segunda Licenciatura em História - Segunda Licenciatura em História - Maria Domingas Alves - Educação, História, Cultura e Práticas Indígenas/a - Nota Máxima: 10</v>
      </c>
    </row>
    <row r="3620">
      <c r="A3620" s="390" t="str">
        <f>IFERROR(__xludf.DUMMYFUNCTION("""COMPUTED_VALUE"""),"#SLHA - Segunda Licenciatura em História - Segunda Licenciatura em História - Maria Domingas Alves - Educação, História, Cultura e Práticas Indígenas/a - Nota Máxima: 10")</f>
        <v>#SLHA - Segunda Licenciatura em História - Segunda Licenciatura em História - Maria Domingas Alves - Educação, História, Cultura e Práticas Indígenas/a - Nota Máxima: 10</v>
      </c>
    </row>
    <row r="3621">
      <c r="A3621" s="390" t="str">
        <f>IFERROR(__xludf.DUMMYFUNCTION("""COMPUTED_VALUE"""),"#SLHA - Segunda Licenciatura em História - Segunda Licenciatura em História - Maria Domingas Alves - Estudos Populacionais - Nota Máxima: 9")</f>
        <v>#SLHA - Segunda Licenciatura em História - Segunda Licenciatura em História - Maria Domingas Alves - Estudos Populacionais - Nota Máxima: 9</v>
      </c>
    </row>
    <row r="3622">
      <c r="A3622" s="390" t="str">
        <f>IFERROR(__xludf.DUMMYFUNCTION("""COMPUTED_VALUE"""),"#SLHA - Segunda Licenciatura em História - Segunda Licenciatura em História - Maria Domingas Alves - Estudos Populacionais - Nota Máxima: 9")</f>
        <v>#SLHA - Segunda Licenciatura em História - Segunda Licenciatura em História - Maria Domingas Alves - Estudos Populacionais - Nota Máxima: 9</v>
      </c>
    </row>
    <row r="3623">
      <c r="A3623" s="390" t="str">
        <f>IFERROR(__xludf.DUMMYFUNCTION("""COMPUTED_VALUE"""),"#SLHA - Segunda Licenciatura em História - Segunda Licenciatura em História - Maria Domingas Alves - História Antiga e Medieval - Nota Máxima: 10")</f>
        <v>#SLHA - Segunda Licenciatura em História - Segunda Licenciatura em História - Maria Domingas Alves - História Antiga e Medieval - Nota Máxima: 10</v>
      </c>
    </row>
    <row r="3624">
      <c r="A3624" s="390" t="str">
        <f>IFERROR(__xludf.DUMMYFUNCTION("""COMPUTED_VALUE"""),"#SLHA - Segunda Licenciatura em História - Segunda Licenciatura em História - Maria Domingas Alves - História Antiga e Medieval - Nota Máxima: 10")</f>
        <v>#SLHA - Segunda Licenciatura em História - Segunda Licenciatura em História - Maria Domingas Alves - História Antiga e Medieval - Nota Máxima: 10</v>
      </c>
    </row>
    <row r="3625">
      <c r="A3625" s="390" t="str">
        <f>IFERROR(__xludf.DUMMYFUNCTION("""COMPUTED_VALUE"""),"#SLHA - Segunda Licenciatura em História - Segunda Licenciatura em História - Maria Domingas Alves - História Moderna e Contemporânea - Nota Máxima: 9")</f>
        <v>#SLHA - Segunda Licenciatura em História - Segunda Licenciatura em História - Maria Domingas Alves - História Moderna e Contemporânea - Nota Máxima: 9</v>
      </c>
    </row>
    <row r="3626">
      <c r="A3626" s="390" t="str">
        <f>IFERROR(__xludf.DUMMYFUNCTION("""COMPUTED_VALUE"""),"#SLHA - Segunda Licenciatura em História - Segunda Licenciatura em História - Maria Domingas Alves - História Moderna e Contemporânea - Nota Máxima: 10")</f>
        <v>#SLHA - Segunda Licenciatura em História - Segunda Licenciatura em História - Maria Domingas Alves - História Moderna e Contemporânea - Nota Máxima: 10</v>
      </c>
    </row>
    <row r="3627">
      <c r="A3627" s="390" t="str">
        <f>IFERROR(__xludf.DUMMYFUNCTION("""COMPUTED_VALUE"""),"#SLHA - Segunda Licenciatura em História - Segunda Licenciatura em História - Maria Domingas Alves - Legislação Educacional/a - Nota Máxima: 10")</f>
        <v>#SLHA - Segunda Licenciatura em História - Segunda Licenciatura em História - Maria Domingas Alves - Legislação Educacional/a - Nota Máxima: 10</v>
      </c>
    </row>
    <row r="3628">
      <c r="A3628" s="390" t="str">
        <f>IFERROR(__xludf.DUMMYFUNCTION("""COMPUTED_VALUE"""),"#SLHA - Segunda Licenciatura em História - Segunda Licenciatura em História - Maria Domingas Alves - Legislação Educacional/a - Nota Máxima: 10")</f>
        <v>#SLHA - Segunda Licenciatura em História - Segunda Licenciatura em História - Maria Domingas Alves - Legislação Educacional/a - Nota Máxima: 10</v>
      </c>
    </row>
    <row r="3629">
      <c r="A3629" s="390" t="str">
        <f>IFERROR(__xludf.DUMMYFUNCTION("""COMPUTED_VALUE"""),"#SLHA - Segunda Licenciatura em História - Segunda Licenciatura em História - Maria Domingas Alves - Metodologia do Ensino da História - Nota Máxima: 10")</f>
        <v>#SLHA - Segunda Licenciatura em História - Segunda Licenciatura em História - Maria Domingas Alves - Metodologia do Ensino da História - Nota Máxima: 10</v>
      </c>
    </row>
    <row r="3630">
      <c r="A3630" s="390" t="str">
        <f>IFERROR(__xludf.DUMMYFUNCTION("""COMPUTED_VALUE"""),"#SLHA - Segunda Licenciatura em História - Segunda Licenciatura em História - Maria Domingas Alves - Metodologia do Ensino da História - Nota Máxima: 9")</f>
        <v>#SLHA - Segunda Licenciatura em História - Segunda Licenciatura em História - Maria Domingas Alves - Metodologia do Ensino da História - Nota Máxima: 9</v>
      </c>
    </row>
    <row r="3631">
      <c r="A3631" s="390" t="str">
        <f>IFERROR(__xludf.DUMMYFUNCTION("""COMPUTED_VALUE"""),"#SLHA - Segunda Licenciatura em História - Segunda Licenciatura em História - Maria Domingas Alves - Planejamento, Gestão Educacional e Currículo/a - Nota Máxima: 10")</f>
        <v>#SLHA - Segunda Licenciatura em História - Segunda Licenciatura em História - Maria Domingas Alves - Planejamento, Gestão Educacional e Currículo/a - Nota Máxima: 10</v>
      </c>
    </row>
    <row r="3632">
      <c r="A3632" s="390" t="str">
        <f>IFERROR(__xludf.DUMMYFUNCTION("""COMPUTED_VALUE"""),"#SLHA - Segunda Licenciatura em História - Segunda Licenciatura em História - Maria Domingas Alves - Planejamento, Gestão Educacional e Currículo/a - Nota Máxima: 10")</f>
        <v>#SLHA - Segunda Licenciatura em História - Segunda Licenciatura em História - Maria Domingas Alves - Planejamento, Gestão Educacional e Currículo/a - Nota Máxima: 10</v>
      </c>
    </row>
    <row r="3633">
      <c r="A3633" s="390" t="str">
        <f>IFERROR(__xludf.DUMMYFUNCTION("""COMPUTED_VALUE"""),"#SLHA - Segunda Licenciatura em História - Segunda Licenciatura em História - Maria Domingas Alves - Práticas Pedagógicas - 400 Horas - Nota Máxima: 10")</f>
        <v>#SLHA - Segunda Licenciatura em História - Segunda Licenciatura em História - Maria Domingas Alves - Práticas Pedagógicas - 400 Horas - Nota Máxima: 10</v>
      </c>
    </row>
    <row r="3634">
      <c r="A3634" s="390" t="str">
        <f>IFERROR(__xludf.DUMMYFUNCTION("""COMPUTED_VALUE"""),"#SLHA - Segunda Licenciatura em História - Segunda Licenciatura em História - Maria Domingas Alves - Práticas Pedagógicas - 400 Horas - Nota Máxima: 4")</f>
        <v>#SLHA - Segunda Licenciatura em História - Segunda Licenciatura em História - Maria Domingas Alves - Práticas Pedagógicas - 400 Horas - Nota Máxima: 4</v>
      </c>
    </row>
    <row r="3635">
      <c r="A3635" s="390" t="str">
        <f>IFERROR(__xludf.DUMMYFUNCTION("""COMPUTED_VALUE"""),"#SLHA - Segunda Licenciatura em História - Segunda Licenciatura em História - Maria Domingas Alves - Psicologia da Educação/a - Nota Máxima: 10")</f>
        <v>#SLHA - Segunda Licenciatura em História - Segunda Licenciatura em História - Maria Domingas Alves - Psicologia da Educação/a - Nota Máxima: 10</v>
      </c>
    </row>
    <row r="3636">
      <c r="A3636" s="390" t="str">
        <f>IFERROR(__xludf.DUMMYFUNCTION("""COMPUTED_VALUE"""),"#SLHA - Segunda Licenciatura em História - Segunda Licenciatura em História - Maria Domingas Alves - Psicologia da Educação/a - Nota Máxima: 9")</f>
        <v>#SLHA - Segunda Licenciatura em História - Segunda Licenciatura em História - Maria Domingas Alves - Psicologia da Educação/a - Nota Máxima: 9</v>
      </c>
    </row>
    <row r="3637">
      <c r="A3637" s="390" t="str">
        <f>IFERROR(__xludf.DUMMYFUNCTION("""COMPUTED_VALUE"""),"#SLHA - Segunda Licenciatura em História - Segunda Licenciatura em História - Maria Domingas Alves - Teorias da História - Nota Máxima: 9")</f>
        <v>#SLHA - Segunda Licenciatura em História - Segunda Licenciatura em História - Maria Domingas Alves - Teorias da História - Nota Máxima: 9</v>
      </c>
    </row>
    <row r="3638">
      <c r="A3638" s="390" t="str">
        <f>IFERROR(__xludf.DUMMYFUNCTION("""COMPUTED_VALUE"""),"#SLHA - Segunda Licenciatura em História - Segunda Licenciatura em História - Maria Domingas Alves - Teorias da História - Nota Máxima: 10")</f>
        <v>#SLHA - Segunda Licenciatura em História - Segunda Licenciatura em História - Maria Domingas Alves - Teorias da História - Nota Máxima: 10</v>
      </c>
    </row>
    <row r="3639">
      <c r="A3639" s="390" t="str">
        <f>IFERROR(__xludf.DUMMYFUNCTION("""COMPUTED_VALUE"""),"#SLHA - Segunda Licenciatura em História - Segunda Licenciatura em História - Ranina Santos da Silva - Cultura e Diversidade II - Nota Máxima: 10")</f>
        <v>#SLHA - Segunda Licenciatura em História - Segunda Licenciatura em História - Ranina Santos da Silva - Cultura e Diversidade II - Nota Máxima: 10</v>
      </c>
    </row>
    <row r="3640">
      <c r="A3640" s="390" t="str">
        <f>IFERROR(__xludf.DUMMYFUNCTION("""COMPUTED_VALUE"""),"#SLHA - Segunda Licenciatura em História - Segunda Licenciatura em História - Ranina Santos da Silva - Deficiência Auditiva e Libras/a - Nota Máxima: 8.89")</f>
        <v>#SLHA - Segunda Licenciatura em História - Segunda Licenciatura em História - Ranina Santos da Silva - Deficiência Auditiva e Libras/a - Nota Máxima: 8.89</v>
      </c>
    </row>
    <row r="3641">
      <c r="A3641" s="390" t="str">
        <f>IFERROR(__xludf.DUMMYFUNCTION("""COMPUTED_VALUE"""),"#SLHA - Segunda Licenciatura em História - Segunda Licenciatura em História - Ranina Santos da Silva - Desenvolvimento do Capital Humano - Nota Máxima: 7")</f>
        <v>#SLHA - Segunda Licenciatura em História - Segunda Licenciatura em História - Ranina Santos da Silva - Desenvolvimento do Capital Humano - Nota Máxima: 7</v>
      </c>
    </row>
    <row r="3642">
      <c r="A3642" s="390" t="str">
        <f>IFERROR(__xludf.DUMMYFUNCTION("""COMPUTED_VALUE"""),"#SLHA - Segunda Licenciatura em História - Segunda Licenciatura em História - Ranina Santos da Silva - Educação Especial, Inclusão Escolar e Adaptações Curriculares - Nota Máxima: 10")</f>
        <v>#SLHA - Segunda Licenciatura em História - Segunda Licenciatura em História - Ranina Santos da Silva - Educação Especial, Inclusão Escolar e Adaptações Curriculares - Nota Máxima: 10</v>
      </c>
    </row>
    <row r="3643">
      <c r="A3643" s="390" t="str">
        <f>IFERROR(__xludf.DUMMYFUNCTION("""COMPUTED_VALUE"""),"#SLHA - Segunda Licenciatura em História - Segunda Licenciatura em História - Ranina Santos da Silva - Educação, História, Cultura e Práticas Indígenas/a - Nota Máxima: 8")</f>
        <v>#SLHA - Segunda Licenciatura em História - Segunda Licenciatura em História - Ranina Santos da Silva - Educação, História, Cultura e Práticas Indígenas/a - Nota Máxima: 8</v>
      </c>
    </row>
    <row r="3644">
      <c r="A3644" s="390" t="str">
        <f>IFERROR(__xludf.DUMMYFUNCTION("""COMPUTED_VALUE"""),"#SLHA - Segunda Licenciatura em História - Segunda Licenciatura em História - Ranina Santos da Silva - Estudos Populacionais - Nota Máxima: 10")</f>
        <v>#SLHA - Segunda Licenciatura em História - Segunda Licenciatura em História - Ranina Santos da Silva - Estudos Populacionais - Nota Máxima: 10</v>
      </c>
    </row>
    <row r="3645">
      <c r="A3645" s="390" t="str">
        <f>IFERROR(__xludf.DUMMYFUNCTION("""COMPUTED_VALUE"""),"#SLHA - Segunda Licenciatura em História - Segunda Licenciatura em História - Ranina Santos da Silva - História Antiga e Medieval - Nota Máxima: 7")</f>
        <v>#SLHA - Segunda Licenciatura em História - Segunda Licenciatura em História - Ranina Santos da Silva - História Antiga e Medieval - Nota Máxima: 7</v>
      </c>
    </row>
    <row r="3646">
      <c r="A3646" s="390" t="str">
        <f>IFERROR(__xludf.DUMMYFUNCTION("""COMPUTED_VALUE"""),"#SLHA - Segunda Licenciatura em História - Segunda Licenciatura em História - Ranina Santos da Silva - História Moderna e Contemporânea - Nota Máxima: 8")</f>
        <v>#SLHA - Segunda Licenciatura em História - Segunda Licenciatura em História - Ranina Santos da Silva - História Moderna e Contemporânea - Nota Máxima: 8</v>
      </c>
    </row>
    <row r="3647">
      <c r="A3647" s="390" t="str">
        <f>IFERROR(__xludf.DUMMYFUNCTION("""COMPUTED_VALUE"""),"#SLHA - Segunda Licenciatura em História - Segunda Licenciatura em História - Ranina Santos da Silva - Legislação Educacional/a - Nota Máxima: 8.89")</f>
        <v>#SLHA - Segunda Licenciatura em História - Segunda Licenciatura em História - Ranina Santos da Silva - Legislação Educacional/a - Nota Máxima: 8.89</v>
      </c>
    </row>
    <row r="3648">
      <c r="A3648" s="390" t="str">
        <f>IFERROR(__xludf.DUMMYFUNCTION("""COMPUTED_VALUE"""),"#SLHA - Segunda Licenciatura em História - Segunda Licenciatura em História - Ranina Santos da Silva - Metodologia do Ensino da História - Nota Máxima: 8")</f>
        <v>#SLHA - Segunda Licenciatura em História - Segunda Licenciatura em História - Ranina Santos da Silva - Metodologia do Ensino da História - Nota Máxima: 8</v>
      </c>
    </row>
    <row r="3649">
      <c r="A3649" s="390" t="str">
        <f>IFERROR(__xludf.DUMMYFUNCTION("""COMPUTED_VALUE"""),"#SLHA - Segunda Licenciatura em História - Segunda Licenciatura em História - Ranina Santos da Silva - Planejamento, Gestão Educacional e Currículo/a - Nota Máxima: 10")</f>
        <v>#SLHA - Segunda Licenciatura em História - Segunda Licenciatura em História - Ranina Santos da Silva - Planejamento, Gestão Educacional e Currículo/a - Nota Máxima: 10</v>
      </c>
    </row>
    <row r="3650">
      <c r="A3650" s="390" t="str">
        <f>IFERROR(__xludf.DUMMYFUNCTION("""COMPUTED_VALUE"""),"#SLHA - Segunda Licenciatura em História - Segunda Licenciatura em História - Ranina Santos da Silva - Práticas Pedagógicas - 400 Horas - Nota Máxima: 10")</f>
        <v>#SLHA - Segunda Licenciatura em História - Segunda Licenciatura em História - Ranina Santos da Silva - Práticas Pedagógicas - 400 Horas - Nota Máxima: 10</v>
      </c>
    </row>
    <row r="3651">
      <c r="A3651" s="390" t="str">
        <f>IFERROR(__xludf.DUMMYFUNCTION("""COMPUTED_VALUE"""),"#SLHA - Segunda Licenciatura em História - Segunda Licenciatura em História - Ranina Santos da Silva - Psicologia da Educação/a - Nota Máxima: 8")</f>
        <v>#SLHA - Segunda Licenciatura em História - Segunda Licenciatura em História - Ranina Santos da Silva - Psicologia da Educação/a - Nota Máxima: 8</v>
      </c>
    </row>
    <row r="3652">
      <c r="A3652" s="390" t="str">
        <f>IFERROR(__xludf.DUMMYFUNCTION("""COMPUTED_VALUE"""),"#SLHA - Segunda Licenciatura em História - Segunda Licenciatura em História - Ranina Santos da Silva - Teorias da História - Nota Máxima: 8")</f>
        <v>#SLHA - Segunda Licenciatura em História - Segunda Licenciatura em História - Ranina Santos da Silva - Teorias da História - Nota Máxima: 8</v>
      </c>
    </row>
    <row r="3653">
      <c r="A3653" s="390" t="str">
        <f>IFERROR(__xludf.DUMMYFUNCTION("""COMPUTED_VALUE"""),"#SLHA - Segunda Licenciatura em História - Segunda Licenciatura em História - Marlene Barbosa Lima - Cultura e Diversidade II - Nota Máxima: 10")</f>
        <v>#SLHA - Segunda Licenciatura em História - Segunda Licenciatura em História - Marlene Barbosa Lima - Cultura e Diversidade II - Nota Máxima: 10</v>
      </c>
    </row>
    <row r="3654">
      <c r="A3654" s="390" t="str">
        <f>IFERROR(__xludf.DUMMYFUNCTION("""COMPUTED_VALUE"""),"#SLHA - Segunda Licenciatura em História - Segunda Licenciatura em História - Marlene Barbosa Lima - Deficiência Auditiva e Libras/a - Nota Máxima: 10")</f>
        <v>#SLHA - Segunda Licenciatura em História - Segunda Licenciatura em História - Marlene Barbosa Lima - Deficiência Auditiva e Libras/a - Nota Máxima: 10</v>
      </c>
    </row>
    <row r="3655">
      <c r="A3655" s="390" t="str">
        <f>IFERROR(__xludf.DUMMYFUNCTION("""COMPUTED_VALUE"""),"#SLHA - Segunda Licenciatura em História - Segunda Licenciatura em História - Marlene Barbosa Lima - Desenvolvimento do Capital Humano - Nota Máxima: 8")</f>
        <v>#SLHA - Segunda Licenciatura em História - Segunda Licenciatura em História - Marlene Barbosa Lima - Desenvolvimento do Capital Humano - Nota Máxima: 8</v>
      </c>
    </row>
    <row r="3656">
      <c r="A3656" s="390" t="str">
        <f>IFERROR(__xludf.DUMMYFUNCTION("""COMPUTED_VALUE"""),"#SLHA - Segunda Licenciatura em História - Segunda Licenciatura em História - Marlene Barbosa Lima - Educação Especial, Inclusão Escolar e Adaptações Curriculares - Nota Máxima: 10")</f>
        <v>#SLHA - Segunda Licenciatura em História - Segunda Licenciatura em História - Marlene Barbosa Lima - Educação Especial, Inclusão Escolar e Adaptações Curriculares - Nota Máxima: 10</v>
      </c>
    </row>
    <row r="3657">
      <c r="A3657" s="390" t="str">
        <f>IFERROR(__xludf.DUMMYFUNCTION("""COMPUTED_VALUE"""),"#SLHA - Segunda Licenciatura em História - Segunda Licenciatura em História - Marlene Barbosa Lima - Educação, História, Cultura e Práticas Indígenas/a - Nota Máxima: 10")</f>
        <v>#SLHA - Segunda Licenciatura em História - Segunda Licenciatura em História - Marlene Barbosa Lima - Educação, História, Cultura e Práticas Indígenas/a - Nota Máxima: 10</v>
      </c>
    </row>
    <row r="3658">
      <c r="A3658" s="390" t="str">
        <f>IFERROR(__xludf.DUMMYFUNCTION("""COMPUTED_VALUE"""),"#SLHA - Segunda Licenciatura em História - Segunda Licenciatura em História - Marlene Barbosa Lima - Estudos Populacionais - Nota Máxima: 8")</f>
        <v>#SLHA - Segunda Licenciatura em História - Segunda Licenciatura em História - Marlene Barbosa Lima - Estudos Populacionais - Nota Máxima: 8</v>
      </c>
    </row>
    <row r="3659">
      <c r="A3659" s="390" t="str">
        <f>IFERROR(__xludf.DUMMYFUNCTION("""COMPUTED_VALUE"""),"#SLHA - Segunda Licenciatura em História - Segunda Licenciatura em História - Marlene Barbosa Lima - História Antiga e Medieval - Nota Máxima: 8")</f>
        <v>#SLHA - Segunda Licenciatura em História - Segunda Licenciatura em História - Marlene Barbosa Lima - História Antiga e Medieval - Nota Máxima: 8</v>
      </c>
    </row>
    <row r="3660">
      <c r="A3660" s="390" t="str">
        <f>IFERROR(__xludf.DUMMYFUNCTION("""COMPUTED_VALUE"""),"#SLHA - Segunda Licenciatura em História - Segunda Licenciatura em História - Marlene Barbosa Lima - História Moderna e Contemporânea - Nota Máxima: 7")</f>
        <v>#SLHA - Segunda Licenciatura em História - Segunda Licenciatura em História - Marlene Barbosa Lima - História Moderna e Contemporânea - Nota Máxima: 7</v>
      </c>
    </row>
    <row r="3661">
      <c r="A3661" s="390" t="str">
        <f>IFERROR(__xludf.DUMMYFUNCTION("""COMPUTED_VALUE"""),"#SLHA - Segunda Licenciatura em História - Segunda Licenciatura em História - Marlene Barbosa Lima - Legislação Educacional/a - Nota Máxima: 8")</f>
        <v>#SLHA - Segunda Licenciatura em História - Segunda Licenciatura em História - Marlene Barbosa Lima - Legislação Educacional/a - Nota Máxima: 8</v>
      </c>
    </row>
    <row r="3662">
      <c r="A3662" s="390" t="str">
        <f>IFERROR(__xludf.DUMMYFUNCTION("""COMPUTED_VALUE"""),"#SLHA - Segunda Licenciatura em História - Segunda Licenciatura em História - Marlene Barbosa Lima - Metodologia do Ensino da História - Nota Máxima: 8")</f>
        <v>#SLHA - Segunda Licenciatura em História - Segunda Licenciatura em História - Marlene Barbosa Lima - Metodologia do Ensino da História - Nota Máxima: 8</v>
      </c>
    </row>
    <row r="3663">
      <c r="A3663" s="390" t="str">
        <f>IFERROR(__xludf.DUMMYFUNCTION("""COMPUTED_VALUE"""),"#SLHA - Segunda Licenciatura em História - Segunda Licenciatura em História - Marlene Barbosa Lima - Planejamento, Gestão Educacional e Currículo/a - Nota Máxima: 10")</f>
        <v>#SLHA - Segunda Licenciatura em História - Segunda Licenciatura em História - Marlene Barbosa Lima - Planejamento, Gestão Educacional e Currículo/a - Nota Máxima: 10</v>
      </c>
    </row>
    <row r="3664">
      <c r="A3664" s="390" t="str">
        <f>IFERROR(__xludf.DUMMYFUNCTION("""COMPUTED_VALUE"""),"#SLHA - Segunda Licenciatura em História - Segunda Licenciatura em História - Marlene Barbosa Lima - Práticas Pedagógicas - 400 Horas - Nota Máxima: 10")</f>
        <v>#SLHA - Segunda Licenciatura em História - Segunda Licenciatura em História - Marlene Barbosa Lima - Práticas Pedagógicas - 400 Horas - Nota Máxima: 10</v>
      </c>
    </row>
    <row r="3665">
      <c r="A3665" s="390" t="str">
        <f>IFERROR(__xludf.DUMMYFUNCTION("""COMPUTED_VALUE"""),"#SLHA - Segunda Licenciatura em História - Segunda Licenciatura em História - Marlene Barbosa Lima - Psicologia da Educação/a - Nota Máxima: 10")</f>
        <v>#SLHA - Segunda Licenciatura em História - Segunda Licenciatura em História - Marlene Barbosa Lima - Psicologia da Educação/a - Nota Máxima: 10</v>
      </c>
    </row>
    <row r="3666">
      <c r="A3666" s="390" t="str">
        <f>IFERROR(__xludf.DUMMYFUNCTION("""COMPUTED_VALUE"""),"#SLHA - Segunda Licenciatura em História - Segunda Licenciatura em História - Marlene Barbosa Lima - Teorias da História - Nota Máxima: 7")</f>
        <v>#SLHA - Segunda Licenciatura em História - Segunda Licenciatura em História - Marlene Barbosa Lima - Teorias da História - Nota Máxima: 7</v>
      </c>
    </row>
    <row r="3667">
      <c r="A3667" s="390" t="str">
        <f>IFERROR(__xludf.DUMMYFUNCTION("""COMPUTED_VALUE"""),"#SLHA - Segunda Licenciatura em História - Segunda Licenciatura em História - Taciane Graziela Lopes da Silva D'Ávila - Teorias da História - Nota Máxima: 8")</f>
        <v>#SLHA - Segunda Licenciatura em História - Segunda Licenciatura em História - Taciane Graziela Lopes da Silva D'Ávila - Teorias da História - Nota Máxima: 8</v>
      </c>
    </row>
    <row r="3668">
      <c r="A3668" s="390" t="str">
        <f>IFERROR(__xludf.DUMMYFUNCTION("""COMPUTED_VALUE"""),"#SLHA - Segunda Licenciatura em História - Segunda Licenciatura em História - Daniela Minchio Andrez - Cultura e Diversidade II - Nota Máxima: 10")</f>
        <v>#SLHA - Segunda Licenciatura em História - Segunda Licenciatura em História - Daniela Minchio Andrez - Cultura e Diversidade II - Nota Máxima: 10</v>
      </c>
    </row>
    <row r="3669">
      <c r="A3669" s="390" t="str">
        <f>IFERROR(__xludf.DUMMYFUNCTION("""COMPUTED_VALUE"""),"#SLHA - Segunda Licenciatura em História - Segunda Licenciatura em História - Daniela Minchio Andrez - Cultura e Diversidade II - Nota Máxima: 0")</f>
        <v>#SLHA - Segunda Licenciatura em História - Segunda Licenciatura em História - Daniela Minchio Andrez - Cultura e Diversidade II - Nota Máxima: 0</v>
      </c>
    </row>
    <row r="3670">
      <c r="A3670" s="390" t="str">
        <f>IFERROR(__xludf.DUMMYFUNCTION("""COMPUTED_VALUE"""),"#SLHA - Segunda Licenciatura em História - Segunda Licenciatura em História - Daniela Minchio Andrez - Deficiência Auditiva e Libras/a - Nota Máxima: 10")</f>
        <v>#SLHA - Segunda Licenciatura em História - Segunda Licenciatura em História - Daniela Minchio Andrez - Deficiência Auditiva e Libras/a - Nota Máxima: 10</v>
      </c>
    </row>
    <row r="3671">
      <c r="A3671" s="390" t="str">
        <f>IFERROR(__xludf.DUMMYFUNCTION("""COMPUTED_VALUE"""),"#SLHA - Segunda Licenciatura em História - Segunda Licenciatura em História - Daniela Minchio Andrez - Deficiência Auditiva e Libras/a - Nota Máxima: 10")</f>
        <v>#SLHA - Segunda Licenciatura em História - Segunda Licenciatura em História - Daniela Minchio Andrez - Deficiência Auditiva e Libras/a - Nota Máxima: 10</v>
      </c>
    </row>
    <row r="3672">
      <c r="A3672" s="390" t="str">
        <f>IFERROR(__xludf.DUMMYFUNCTION("""COMPUTED_VALUE"""),"#SLHA - Segunda Licenciatura em História - Segunda Licenciatura em História - Daniela Minchio Andrez - Desenvolvimento do Capital Humano - Nota Máxima: 10")</f>
        <v>#SLHA - Segunda Licenciatura em História - Segunda Licenciatura em História - Daniela Minchio Andrez - Desenvolvimento do Capital Humano - Nota Máxima: 10</v>
      </c>
    </row>
    <row r="3673">
      <c r="A3673" s="390" t="str">
        <f>IFERROR(__xludf.DUMMYFUNCTION("""COMPUTED_VALUE"""),"#SLHA - Segunda Licenciatura em História - Segunda Licenciatura em História - Daniela Minchio Andrez - Desenvolvimento do Capital Humano - Nota Máxima: 1")</f>
        <v>#SLHA - Segunda Licenciatura em História - Segunda Licenciatura em História - Daniela Minchio Andrez - Desenvolvimento do Capital Humano - Nota Máxima: 1</v>
      </c>
    </row>
    <row r="3674">
      <c r="A3674" s="390" t="str">
        <f>IFERROR(__xludf.DUMMYFUNCTION("""COMPUTED_VALUE"""),"#SLHA - Segunda Licenciatura em História - Segunda Licenciatura em História - Daniela Minchio Andrez - Educação Especial, Inclusão Escolar e Adaptações Curriculares - Nota Máxima: 10")</f>
        <v>#SLHA - Segunda Licenciatura em História - Segunda Licenciatura em História - Daniela Minchio Andrez - Educação Especial, Inclusão Escolar e Adaptações Curriculares - Nota Máxima: 10</v>
      </c>
    </row>
    <row r="3675">
      <c r="A3675" s="390" t="str">
        <f>IFERROR(__xludf.DUMMYFUNCTION("""COMPUTED_VALUE"""),"#SLHA - Segunda Licenciatura em História - Segunda Licenciatura em História - Daniela Minchio Andrez - Educação Especial, Inclusão Escolar e Adaptações Curriculares - Nota Máxima: 10")</f>
        <v>#SLHA - Segunda Licenciatura em História - Segunda Licenciatura em História - Daniela Minchio Andrez - Educação Especial, Inclusão Escolar e Adaptações Curriculares - Nota Máxima: 10</v>
      </c>
    </row>
    <row r="3676">
      <c r="A3676" s="390" t="str">
        <f>IFERROR(__xludf.DUMMYFUNCTION("""COMPUTED_VALUE"""),"#SLHA - Segunda Licenciatura em História - Segunda Licenciatura em História - Daniela Minchio Andrez - Educação, História, Cultura e Práticas Indígenas/a - Nota Máxima: 10")</f>
        <v>#SLHA - Segunda Licenciatura em História - Segunda Licenciatura em História - Daniela Minchio Andrez - Educação, História, Cultura e Práticas Indígenas/a - Nota Máxima: 10</v>
      </c>
    </row>
    <row r="3677">
      <c r="A3677" s="390" t="str">
        <f>IFERROR(__xludf.DUMMYFUNCTION("""COMPUTED_VALUE"""),"#SLHA - Segunda Licenciatura em História - Segunda Licenciatura em História - Daniela Minchio Andrez - Educação, História, Cultura e Práticas Indígenas/a - Nota Máxima: 9")</f>
        <v>#SLHA - Segunda Licenciatura em História - Segunda Licenciatura em História - Daniela Minchio Andrez - Educação, História, Cultura e Práticas Indígenas/a - Nota Máxima: 9</v>
      </c>
    </row>
    <row r="3678">
      <c r="A3678" s="390" t="str">
        <f>IFERROR(__xludf.DUMMYFUNCTION("""COMPUTED_VALUE"""),"#SLHA - Segunda Licenciatura em História - Segunda Licenciatura em História - Daniela Minchio Andrez - Estudos Populacionais - Nota Máxima: 9")</f>
        <v>#SLHA - Segunda Licenciatura em História - Segunda Licenciatura em História - Daniela Minchio Andrez - Estudos Populacionais - Nota Máxima: 9</v>
      </c>
    </row>
    <row r="3679">
      <c r="A3679" s="390" t="str">
        <f>IFERROR(__xludf.DUMMYFUNCTION("""COMPUTED_VALUE"""),"#SLHA - Segunda Licenciatura em História - Segunda Licenciatura em História - Daniela Minchio Andrez - Estudos Populacionais - Nota Máxima: 3")</f>
        <v>#SLHA - Segunda Licenciatura em História - Segunda Licenciatura em História - Daniela Minchio Andrez - Estudos Populacionais - Nota Máxima: 3</v>
      </c>
    </row>
    <row r="3680">
      <c r="A3680" s="390" t="str">
        <f>IFERROR(__xludf.DUMMYFUNCTION("""COMPUTED_VALUE"""),"#SLHA - Segunda Licenciatura em História - Segunda Licenciatura em História - Daniela Minchio Andrez - História Antiga e Medieval - Nota Máxima: 10")</f>
        <v>#SLHA - Segunda Licenciatura em História - Segunda Licenciatura em História - Daniela Minchio Andrez - História Antiga e Medieval - Nota Máxima: 10</v>
      </c>
    </row>
    <row r="3681">
      <c r="A3681" s="390" t="str">
        <f>IFERROR(__xludf.DUMMYFUNCTION("""COMPUTED_VALUE"""),"#SLHA - Segunda Licenciatura em História - Segunda Licenciatura em História - Daniela Minchio Andrez - História Antiga e Medieval - Nota Máxima: 3")</f>
        <v>#SLHA - Segunda Licenciatura em História - Segunda Licenciatura em História - Daniela Minchio Andrez - História Antiga e Medieval - Nota Máxima: 3</v>
      </c>
    </row>
    <row r="3682">
      <c r="A3682" s="390" t="str">
        <f>IFERROR(__xludf.DUMMYFUNCTION("""COMPUTED_VALUE"""),"#SLHA - Segunda Licenciatura em História - Segunda Licenciatura em História - Daniela Minchio Andrez - História Moderna e Contemporânea - Nota Máxima: 9")</f>
        <v>#SLHA - Segunda Licenciatura em História - Segunda Licenciatura em História - Daniela Minchio Andrez - História Moderna e Contemporânea - Nota Máxima: 9</v>
      </c>
    </row>
    <row r="3683">
      <c r="A3683" s="390" t="str">
        <f>IFERROR(__xludf.DUMMYFUNCTION("""COMPUTED_VALUE"""),"#SLHA - Segunda Licenciatura em História - Segunda Licenciatura em História - Daniela Minchio Andrez - História Moderna e Contemporânea - Nota Máxima: 5")</f>
        <v>#SLHA - Segunda Licenciatura em História - Segunda Licenciatura em História - Daniela Minchio Andrez - História Moderna e Contemporânea - Nota Máxima: 5</v>
      </c>
    </row>
    <row r="3684">
      <c r="A3684" s="390" t="str">
        <f>IFERROR(__xludf.DUMMYFUNCTION("""COMPUTED_VALUE"""),"#SLHA - Segunda Licenciatura em História - Segunda Licenciatura em História - Daniela Minchio Andrez - Legislação Educacional/a - Nota Máxima: 10")</f>
        <v>#SLHA - Segunda Licenciatura em História - Segunda Licenciatura em História - Daniela Minchio Andrez - Legislação Educacional/a - Nota Máxima: 10</v>
      </c>
    </row>
    <row r="3685">
      <c r="A3685" s="390" t="str">
        <f>IFERROR(__xludf.DUMMYFUNCTION("""COMPUTED_VALUE"""),"#SLHA - Segunda Licenciatura em História - Segunda Licenciatura em História - Daniela Minchio Andrez - Legislação Educacional/a - Nota Máxima: 7")</f>
        <v>#SLHA - Segunda Licenciatura em História - Segunda Licenciatura em História - Daniela Minchio Andrez - Legislação Educacional/a - Nota Máxima: 7</v>
      </c>
    </row>
    <row r="3686">
      <c r="A3686" s="390" t="str">
        <f>IFERROR(__xludf.DUMMYFUNCTION("""COMPUTED_VALUE"""),"#SLHA - Segunda Licenciatura em História - Segunda Licenciatura em História - Daniela Minchio Andrez - Metodologia do Ensino da História - Nota Máxima: 9")</f>
        <v>#SLHA - Segunda Licenciatura em História - Segunda Licenciatura em História - Daniela Minchio Andrez - Metodologia do Ensino da História - Nota Máxima: 9</v>
      </c>
    </row>
    <row r="3687">
      <c r="A3687" s="390" t="str">
        <f>IFERROR(__xludf.DUMMYFUNCTION("""COMPUTED_VALUE"""),"#SLHA - Segunda Licenciatura em História - Segunda Licenciatura em História - Daniela Minchio Andrez - Metodologia do Ensino da História - Nota Máxima: 8")</f>
        <v>#SLHA - Segunda Licenciatura em História - Segunda Licenciatura em História - Daniela Minchio Andrez - Metodologia do Ensino da História - Nota Máxima: 8</v>
      </c>
    </row>
    <row r="3688">
      <c r="A3688" s="390" t="str">
        <f>IFERROR(__xludf.DUMMYFUNCTION("""COMPUTED_VALUE"""),"#SLHA - Segunda Licenciatura em História - Segunda Licenciatura em História - Daniela Minchio Andrez - Planejamento, Gestão Educacional e Currículo/a - Nota Máxima: 10")</f>
        <v>#SLHA - Segunda Licenciatura em História - Segunda Licenciatura em História - Daniela Minchio Andrez - Planejamento, Gestão Educacional e Currículo/a - Nota Máxima: 10</v>
      </c>
    </row>
    <row r="3689">
      <c r="A3689" s="390" t="str">
        <f>IFERROR(__xludf.DUMMYFUNCTION("""COMPUTED_VALUE"""),"#SLHA - Segunda Licenciatura em História - Segunda Licenciatura em História - Daniela Minchio Andrez - Planejamento, Gestão Educacional e Currículo/a - Nota Máxima: 9")</f>
        <v>#SLHA - Segunda Licenciatura em História - Segunda Licenciatura em História - Daniela Minchio Andrez - Planejamento, Gestão Educacional e Currículo/a - Nota Máxima: 9</v>
      </c>
    </row>
    <row r="3690">
      <c r="A3690" s="390" t="str">
        <f>IFERROR(__xludf.DUMMYFUNCTION("""COMPUTED_VALUE"""),"#SLHA - Segunda Licenciatura em História - Segunda Licenciatura em História - Daniela Minchio Andrez - Práticas Pedagógicas - 400 Horas - Nota Máxima: 10")</f>
        <v>#SLHA - Segunda Licenciatura em História - Segunda Licenciatura em História - Daniela Minchio Andrez - Práticas Pedagógicas - 400 Horas - Nota Máxima: 10</v>
      </c>
    </row>
    <row r="3691">
      <c r="A3691" s="390" t="str">
        <f>IFERROR(__xludf.DUMMYFUNCTION("""COMPUTED_VALUE"""),"#SLHA - Segunda Licenciatura em História - Segunda Licenciatura em História - Daniela Minchio Andrez - Psicologia da Educação/a - Nota Máxima: 10")</f>
        <v>#SLHA - Segunda Licenciatura em História - Segunda Licenciatura em História - Daniela Minchio Andrez - Psicologia da Educação/a - Nota Máxima: 10</v>
      </c>
    </row>
    <row r="3692">
      <c r="A3692" s="390" t="str">
        <f>IFERROR(__xludf.DUMMYFUNCTION("""COMPUTED_VALUE"""),"#SLHA - Segunda Licenciatura em História - Segunda Licenciatura em História - Daniela Minchio Andrez - Psicologia da Educação/a - Nota Máxima: 5")</f>
        <v>#SLHA - Segunda Licenciatura em História - Segunda Licenciatura em História - Daniela Minchio Andrez - Psicologia da Educação/a - Nota Máxima: 5</v>
      </c>
    </row>
    <row r="3693">
      <c r="A3693" s="390" t="str">
        <f>IFERROR(__xludf.DUMMYFUNCTION("""COMPUTED_VALUE"""),"#SLHA - Segunda Licenciatura em História - Segunda Licenciatura em História - Daniela Minchio Andrez - Teorias da História - Nota Máxima: 10")</f>
        <v>#SLHA - Segunda Licenciatura em História - Segunda Licenciatura em História - Daniela Minchio Andrez - Teorias da História - Nota Máxima: 10</v>
      </c>
    </row>
    <row r="3694">
      <c r="A3694" s="390" t="str">
        <f>IFERROR(__xludf.DUMMYFUNCTION("""COMPUTED_VALUE"""),"#SLHA - Segunda Licenciatura em História - Segunda Licenciatura em História - Daniela Minchio Andrez - Teorias da História - Nota Máxima: 0")</f>
        <v>#SLHA - Segunda Licenciatura em História - Segunda Licenciatura em História - Daniela Minchio Andrez - Teorias da História - Nota Máxima: 0</v>
      </c>
    </row>
    <row r="3695">
      <c r="A3695" s="390" t="str">
        <f>IFERROR(__xludf.DUMMYFUNCTION("""COMPUTED_VALUE"""),"#SLHA - Segunda Licenciatura em História - Segunda Licenciatura em História - Zezenaelda batista dos santos - Cultura e Diversidade II - Nota Máxima: 9")</f>
        <v>#SLHA - Segunda Licenciatura em História - Segunda Licenciatura em História - Zezenaelda batista dos santos - Cultura e Diversidade II - Nota Máxima: 9</v>
      </c>
    </row>
    <row r="3696">
      <c r="A3696" s="390" t="str">
        <f>IFERROR(__xludf.DUMMYFUNCTION("""COMPUTED_VALUE"""),"#SLHA - Segunda Licenciatura em História - Segunda Licenciatura em História - Zezenaelda batista dos santos - Cultura e Diversidade II - Nota Máxima: 10")</f>
        <v>#SLHA - Segunda Licenciatura em História - Segunda Licenciatura em História - Zezenaelda batista dos santos - Cultura e Diversidade II - Nota Máxima: 10</v>
      </c>
    </row>
    <row r="3697">
      <c r="A3697" s="390" t="str">
        <f>IFERROR(__xludf.DUMMYFUNCTION("""COMPUTED_VALUE"""),"#SLHA - Segunda Licenciatura em História - Segunda Licenciatura em História - Zezenaelda batista dos santos - Deficiência Auditiva e Libras/a - Nota Máxima: 8")</f>
        <v>#SLHA - Segunda Licenciatura em História - Segunda Licenciatura em História - Zezenaelda batista dos santos - Deficiência Auditiva e Libras/a - Nota Máxima: 8</v>
      </c>
    </row>
    <row r="3698">
      <c r="A3698" s="390" t="str">
        <f>IFERROR(__xludf.DUMMYFUNCTION("""COMPUTED_VALUE"""),"#SLHA - Segunda Licenciatura em História - Segunda Licenciatura em História - Zezenaelda batista dos santos - Deficiência Auditiva e Libras/a - Nota Máxima: 10")</f>
        <v>#SLHA - Segunda Licenciatura em História - Segunda Licenciatura em História - Zezenaelda batista dos santos - Deficiência Auditiva e Libras/a - Nota Máxima: 10</v>
      </c>
    </row>
    <row r="3699">
      <c r="A3699" s="390" t="str">
        <f>IFERROR(__xludf.DUMMYFUNCTION("""COMPUTED_VALUE"""),"#SLHA - Segunda Licenciatura em História - Segunda Licenciatura em História - Zezenaelda batista dos santos - Desenvolvimento do Capital Humano - Nota Máxima: 7")</f>
        <v>#SLHA - Segunda Licenciatura em História - Segunda Licenciatura em História - Zezenaelda batista dos santos - Desenvolvimento do Capital Humano - Nota Máxima: 7</v>
      </c>
    </row>
    <row r="3700">
      <c r="A3700" s="390" t="str">
        <f>IFERROR(__xludf.DUMMYFUNCTION("""COMPUTED_VALUE"""),"#SLHA - Segunda Licenciatura em História - Segunda Licenciatura em História - Zezenaelda batista dos santos - Desenvolvimento do Capital Humano - Nota Máxima: 10")</f>
        <v>#SLHA - Segunda Licenciatura em História - Segunda Licenciatura em História - Zezenaelda batista dos santos - Desenvolvimento do Capital Humano - Nota Máxima: 10</v>
      </c>
    </row>
    <row r="3701">
      <c r="A3701" s="390" t="str">
        <f>IFERROR(__xludf.DUMMYFUNCTION("""COMPUTED_VALUE"""),"#SLHA - Segunda Licenciatura em História - Segunda Licenciatura em História - Zezenaelda batista dos santos - Educação Especial, Inclusão Escolar e Adaptações Curriculares - Nota Máxima: 8")</f>
        <v>#SLHA - Segunda Licenciatura em História - Segunda Licenciatura em História - Zezenaelda batista dos santos - Educação Especial, Inclusão Escolar e Adaptações Curriculares - Nota Máxima: 8</v>
      </c>
    </row>
    <row r="3702">
      <c r="A3702" s="390" t="str">
        <f>IFERROR(__xludf.DUMMYFUNCTION("""COMPUTED_VALUE"""),"#SLHA - Segunda Licenciatura em História - Segunda Licenciatura em História - Zezenaelda batista dos santos - Educação Especial, Inclusão Escolar e Adaptações Curriculares - Nota Máxima: 10")</f>
        <v>#SLHA - Segunda Licenciatura em História - Segunda Licenciatura em História - Zezenaelda batista dos santos - Educação Especial, Inclusão Escolar e Adaptações Curriculares - Nota Máxima: 10</v>
      </c>
    </row>
    <row r="3703">
      <c r="A3703" s="390" t="str">
        <f>IFERROR(__xludf.DUMMYFUNCTION("""COMPUTED_VALUE"""),"#SLHA - Segunda Licenciatura em História - Segunda Licenciatura em História - Zezenaelda batista dos santos - Educação, História, Cultura e Práticas Indígenas/a - Nota Máxima: 7")</f>
        <v>#SLHA - Segunda Licenciatura em História - Segunda Licenciatura em História - Zezenaelda batista dos santos - Educação, História, Cultura e Práticas Indígenas/a - Nota Máxima: 7</v>
      </c>
    </row>
    <row r="3704">
      <c r="A3704" s="390" t="str">
        <f>IFERROR(__xludf.DUMMYFUNCTION("""COMPUTED_VALUE"""),"#SLHA - Segunda Licenciatura em História - Segunda Licenciatura em História - Zezenaelda batista dos santos - Educação, História, Cultura e Práticas Indígenas/a - Nota Máxima: 10")</f>
        <v>#SLHA - Segunda Licenciatura em História - Segunda Licenciatura em História - Zezenaelda batista dos santos - Educação, História, Cultura e Práticas Indígenas/a - Nota Máxima: 10</v>
      </c>
    </row>
    <row r="3705">
      <c r="A3705" s="390" t="str">
        <f>IFERROR(__xludf.DUMMYFUNCTION("""COMPUTED_VALUE"""),"#SLHA - Segunda Licenciatura em História - Segunda Licenciatura em História - Zezenaelda batista dos santos - Estudos Populacionais - Nota Máxima: 7")</f>
        <v>#SLHA - Segunda Licenciatura em História - Segunda Licenciatura em História - Zezenaelda batista dos santos - Estudos Populacionais - Nota Máxima: 7</v>
      </c>
    </row>
    <row r="3706">
      <c r="A3706" s="390" t="str">
        <f>IFERROR(__xludf.DUMMYFUNCTION("""COMPUTED_VALUE"""),"#SLHA - Segunda Licenciatura em História - Segunda Licenciatura em História - Zezenaelda batista dos santos - Estudos Populacionais - Nota Máxima: 10")</f>
        <v>#SLHA - Segunda Licenciatura em História - Segunda Licenciatura em História - Zezenaelda batista dos santos - Estudos Populacionais - Nota Máxima: 10</v>
      </c>
    </row>
    <row r="3707">
      <c r="A3707" s="390" t="str">
        <f>IFERROR(__xludf.DUMMYFUNCTION("""COMPUTED_VALUE"""),"#SLHA - Segunda Licenciatura em História - Segunda Licenciatura em História - Zezenaelda batista dos santos - História Antiga e Medieval - Nota Máxima: 9")</f>
        <v>#SLHA - Segunda Licenciatura em História - Segunda Licenciatura em História - Zezenaelda batista dos santos - História Antiga e Medieval - Nota Máxima: 9</v>
      </c>
    </row>
    <row r="3708">
      <c r="A3708" s="390" t="str">
        <f>IFERROR(__xludf.DUMMYFUNCTION("""COMPUTED_VALUE"""),"#SLHA - Segunda Licenciatura em História - Segunda Licenciatura em História - Zezenaelda batista dos santos - História Antiga e Medieval - Nota Máxima: 10")</f>
        <v>#SLHA - Segunda Licenciatura em História - Segunda Licenciatura em História - Zezenaelda batista dos santos - História Antiga e Medieval - Nota Máxima: 10</v>
      </c>
    </row>
    <row r="3709">
      <c r="A3709" s="390" t="str">
        <f>IFERROR(__xludf.DUMMYFUNCTION("""COMPUTED_VALUE"""),"#SLHA - Segunda Licenciatura em História - Segunda Licenciatura em História - Zezenaelda batista dos santos - História Moderna e Contemporânea - Nota Máxima: 7")</f>
        <v>#SLHA - Segunda Licenciatura em História - Segunda Licenciatura em História - Zezenaelda batista dos santos - História Moderna e Contemporânea - Nota Máxima: 7</v>
      </c>
    </row>
    <row r="3710">
      <c r="A3710" s="390" t="str">
        <f>IFERROR(__xludf.DUMMYFUNCTION("""COMPUTED_VALUE"""),"#SLHA - Segunda Licenciatura em História - Segunda Licenciatura em História - Zezenaelda batista dos santos - História Moderna e Contemporânea - Nota Máxima: 10")</f>
        <v>#SLHA - Segunda Licenciatura em História - Segunda Licenciatura em História - Zezenaelda batista dos santos - História Moderna e Contemporânea - Nota Máxima: 10</v>
      </c>
    </row>
    <row r="3711">
      <c r="A3711" s="390" t="str">
        <f>IFERROR(__xludf.DUMMYFUNCTION("""COMPUTED_VALUE"""),"#SLHA - Segunda Licenciatura em História - Segunda Licenciatura em História - Zezenaelda batista dos santos - Legislação Educacional/a - Nota Máxima: 8")</f>
        <v>#SLHA - Segunda Licenciatura em História - Segunda Licenciatura em História - Zezenaelda batista dos santos - Legislação Educacional/a - Nota Máxima: 8</v>
      </c>
    </row>
    <row r="3712">
      <c r="A3712" s="390" t="str">
        <f>IFERROR(__xludf.DUMMYFUNCTION("""COMPUTED_VALUE"""),"#SLHA - Segunda Licenciatura em História - Segunda Licenciatura em História - Zezenaelda batista dos santos - Legislação Educacional/a - Nota Máxima: 10")</f>
        <v>#SLHA - Segunda Licenciatura em História - Segunda Licenciatura em História - Zezenaelda batista dos santos - Legislação Educacional/a - Nota Máxima: 10</v>
      </c>
    </row>
    <row r="3713">
      <c r="A3713" s="390" t="str">
        <f>IFERROR(__xludf.DUMMYFUNCTION("""COMPUTED_VALUE"""),"#SLHA - Segunda Licenciatura em História - Segunda Licenciatura em História - Zezenaelda batista dos santos - Metodologia do Ensino da História - Nota Máxima: 7")</f>
        <v>#SLHA - Segunda Licenciatura em História - Segunda Licenciatura em História - Zezenaelda batista dos santos - Metodologia do Ensino da História - Nota Máxima: 7</v>
      </c>
    </row>
    <row r="3714">
      <c r="A3714" s="390" t="str">
        <f>IFERROR(__xludf.DUMMYFUNCTION("""COMPUTED_VALUE"""),"#SLHA - Segunda Licenciatura em História - Segunda Licenciatura em História - Zezenaelda batista dos santos - Metodologia do Ensino da História - Nota Máxima: 10")</f>
        <v>#SLHA - Segunda Licenciatura em História - Segunda Licenciatura em História - Zezenaelda batista dos santos - Metodologia do Ensino da História - Nota Máxima: 10</v>
      </c>
    </row>
    <row r="3715">
      <c r="A3715" s="390" t="str">
        <f>IFERROR(__xludf.DUMMYFUNCTION("""COMPUTED_VALUE"""),"#SLHA - Segunda Licenciatura em História - Segunda Licenciatura em História - Zezenaelda batista dos santos - Planejamento, Gestão Educacional e Currículo/a - Nota Máxima: 8")</f>
        <v>#SLHA - Segunda Licenciatura em História - Segunda Licenciatura em História - Zezenaelda batista dos santos - Planejamento, Gestão Educacional e Currículo/a - Nota Máxima: 8</v>
      </c>
    </row>
    <row r="3716">
      <c r="A3716" s="390" t="str">
        <f>IFERROR(__xludf.DUMMYFUNCTION("""COMPUTED_VALUE"""),"#SLHA - Segunda Licenciatura em História - Segunda Licenciatura em História - Zezenaelda batista dos santos - Planejamento, Gestão Educacional e Currículo/a - Nota Máxima: 10")</f>
        <v>#SLHA - Segunda Licenciatura em História - Segunda Licenciatura em História - Zezenaelda batista dos santos - Planejamento, Gestão Educacional e Currículo/a - Nota Máxima: 10</v>
      </c>
    </row>
    <row r="3717">
      <c r="A3717" s="390" t="str">
        <f>IFERROR(__xludf.DUMMYFUNCTION("""COMPUTED_VALUE"""),"#SLHA - Segunda Licenciatura em História - Segunda Licenciatura em História - Zezenaelda batista dos santos - Práticas Pedagógicas - 400 Horas - Nota Máxima: 4")</f>
        <v>#SLHA - Segunda Licenciatura em História - Segunda Licenciatura em História - Zezenaelda batista dos santos - Práticas Pedagógicas - 400 Horas - Nota Máxima: 4</v>
      </c>
    </row>
    <row r="3718">
      <c r="A3718" s="390" t="str">
        <f>IFERROR(__xludf.DUMMYFUNCTION("""COMPUTED_VALUE"""),"#SLHA - Segunda Licenciatura em História - Segunda Licenciatura em História - Zezenaelda batista dos santos - Práticas Pedagógicas - 400 Horas - Nota Máxima: 10")</f>
        <v>#SLHA - Segunda Licenciatura em História - Segunda Licenciatura em História - Zezenaelda batista dos santos - Práticas Pedagógicas - 400 Horas - Nota Máxima: 10</v>
      </c>
    </row>
    <row r="3719">
      <c r="A3719" s="390" t="str">
        <f>IFERROR(__xludf.DUMMYFUNCTION("""COMPUTED_VALUE"""),"#SLHA - Segunda Licenciatura em História - Segunda Licenciatura em História - Zezenaelda batista dos santos - Psicologia da Educação/a - Nota Máxima: 7")</f>
        <v>#SLHA - Segunda Licenciatura em História - Segunda Licenciatura em História - Zezenaelda batista dos santos - Psicologia da Educação/a - Nota Máxima: 7</v>
      </c>
    </row>
    <row r="3720">
      <c r="A3720" s="390" t="str">
        <f>IFERROR(__xludf.DUMMYFUNCTION("""COMPUTED_VALUE"""),"#SLHA - Segunda Licenciatura em História - Segunda Licenciatura em História - Zezenaelda batista dos santos - Psicologia da Educação/a - Nota Máxima: 10")</f>
        <v>#SLHA - Segunda Licenciatura em História - Segunda Licenciatura em História - Zezenaelda batista dos santos - Psicologia da Educação/a - Nota Máxima: 10</v>
      </c>
    </row>
    <row r="3721">
      <c r="A3721" s="390" t="str">
        <f>IFERROR(__xludf.DUMMYFUNCTION("""COMPUTED_VALUE"""),"#SLHA - Segunda Licenciatura em História - Segunda Licenciatura em História - Zezenaelda batista dos santos - Teorias da História - Nota Máxima: 9")</f>
        <v>#SLHA - Segunda Licenciatura em História - Segunda Licenciatura em História - Zezenaelda batista dos santos - Teorias da História - Nota Máxima: 9</v>
      </c>
    </row>
    <row r="3722">
      <c r="A3722" s="390" t="str">
        <f>IFERROR(__xludf.DUMMYFUNCTION("""COMPUTED_VALUE"""),"#SLHA - Segunda Licenciatura em História - Segunda Licenciatura em História - Zezenaelda batista dos santos - Teorias da História - Nota Máxima: 10")</f>
        <v>#SLHA - Segunda Licenciatura em História - Segunda Licenciatura em História - Zezenaelda batista dos santos - Teorias da História - Nota Máxima: 10</v>
      </c>
    </row>
    <row r="3723">
      <c r="A3723" s="390" t="str">
        <f>IFERROR(__xludf.DUMMYFUNCTION("""COMPUTED_VALUE"""),"#SLHA - Segunda Licenciatura em História - Segunda Licenciatura em História - Érica Fernanda Camargo Fogaça - Cultura e Diversidade II - Nota Máxima: 10")</f>
        <v>#SLHA - Segunda Licenciatura em História - Segunda Licenciatura em História - Érica Fernanda Camargo Fogaça - Cultura e Diversidade II - Nota Máxima: 10</v>
      </c>
    </row>
    <row r="3724">
      <c r="A3724" s="390" t="str">
        <f>IFERROR(__xludf.DUMMYFUNCTION("""COMPUTED_VALUE"""),"#SLHA - Segunda Licenciatura em História - Segunda Licenciatura em História - Érica Fernanda Camargo Fogaça - Cultura e Diversidade II - Nota Máxima: 9")</f>
        <v>#SLHA - Segunda Licenciatura em História - Segunda Licenciatura em História - Érica Fernanda Camargo Fogaça - Cultura e Diversidade II - Nota Máxima: 9</v>
      </c>
    </row>
    <row r="3725">
      <c r="A3725" s="390" t="str">
        <f>IFERROR(__xludf.DUMMYFUNCTION("""COMPUTED_VALUE"""),"#SLHA - Segunda Licenciatura em História - Segunda Licenciatura em História - Érica Fernanda Camargo Fogaça - Desenvolvimento do Capital Humano - Nota Máxima: 10")</f>
        <v>#SLHA - Segunda Licenciatura em História - Segunda Licenciatura em História - Érica Fernanda Camargo Fogaça - Desenvolvimento do Capital Humano - Nota Máxima: 10</v>
      </c>
    </row>
    <row r="3726">
      <c r="A3726" s="390" t="str">
        <f>IFERROR(__xludf.DUMMYFUNCTION("""COMPUTED_VALUE"""),"#SLHA - Segunda Licenciatura em História - Segunda Licenciatura em História - Érica Fernanda Camargo Fogaça - Desenvolvimento do Capital Humano - Nota Máxima: 8")</f>
        <v>#SLHA - Segunda Licenciatura em História - Segunda Licenciatura em História - Érica Fernanda Camargo Fogaça - Desenvolvimento do Capital Humano - Nota Máxima: 8</v>
      </c>
    </row>
    <row r="3727">
      <c r="A3727" s="390" t="str">
        <f>IFERROR(__xludf.DUMMYFUNCTION("""COMPUTED_VALUE"""),"#SLHA - Segunda Licenciatura em História - Segunda Licenciatura em História - Érica Fernanda Camargo Fogaça - Educação Especial, Inclusão Escolar e Adaptações Curriculares - Nota Máxima: 8")</f>
        <v>#SLHA - Segunda Licenciatura em História - Segunda Licenciatura em História - Érica Fernanda Camargo Fogaça - Educação Especial, Inclusão Escolar e Adaptações Curriculares - Nota Máxima: 8</v>
      </c>
    </row>
    <row r="3728">
      <c r="A3728" s="390" t="str">
        <f>IFERROR(__xludf.DUMMYFUNCTION("""COMPUTED_VALUE"""),"#SLHA - Segunda Licenciatura em História - Segunda Licenciatura em História - Érica Fernanda Camargo Fogaça - Educação Especial, Inclusão Escolar e Adaptações Curriculares - Nota Máxima: 9")</f>
        <v>#SLHA - Segunda Licenciatura em História - Segunda Licenciatura em História - Érica Fernanda Camargo Fogaça - Educação Especial, Inclusão Escolar e Adaptações Curriculares - Nota Máxima: 9</v>
      </c>
    </row>
    <row r="3729">
      <c r="A3729" s="390" t="str">
        <f>IFERROR(__xludf.DUMMYFUNCTION("""COMPUTED_VALUE"""),"#SLHA - Segunda Licenciatura em História - Segunda Licenciatura em História - Érica Fernanda Camargo Fogaça - Educação, História, Cultura e Práticas Indígenas/a - Nota Máxima: 9")</f>
        <v>#SLHA - Segunda Licenciatura em História - Segunda Licenciatura em História - Érica Fernanda Camargo Fogaça - Educação, História, Cultura e Práticas Indígenas/a - Nota Máxima: 9</v>
      </c>
    </row>
    <row r="3730">
      <c r="A3730" s="390" t="str">
        <f>IFERROR(__xludf.DUMMYFUNCTION("""COMPUTED_VALUE"""),"#SLHA - Segunda Licenciatura em História - Segunda Licenciatura em História - Érica Fernanda Camargo Fogaça - Educação, História, Cultura e Práticas Indígenas/a - Nota Máxima: 7")</f>
        <v>#SLHA - Segunda Licenciatura em História - Segunda Licenciatura em História - Érica Fernanda Camargo Fogaça - Educação, História, Cultura e Práticas Indígenas/a - Nota Máxima: 7</v>
      </c>
    </row>
    <row r="3731">
      <c r="A3731" s="390" t="str">
        <f>IFERROR(__xludf.DUMMYFUNCTION("""COMPUTED_VALUE"""),"#SLHA - Segunda Licenciatura em História - Segunda Licenciatura em História - Érica Fernanda Camargo Fogaça - Estudos Populacionais - Nota Máxima: 10")</f>
        <v>#SLHA - Segunda Licenciatura em História - Segunda Licenciatura em História - Érica Fernanda Camargo Fogaça - Estudos Populacionais - Nota Máxima: 10</v>
      </c>
    </row>
    <row r="3732">
      <c r="A3732" s="390" t="str">
        <f>IFERROR(__xludf.DUMMYFUNCTION("""COMPUTED_VALUE"""),"#SLHA - Segunda Licenciatura em História - Segunda Licenciatura em História - Érica Fernanda Camargo Fogaça - Estudos Populacionais - Nota Máxima: 4")</f>
        <v>#SLHA - Segunda Licenciatura em História - Segunda Licenciatura em História - Érica Fernanda Camargo Fogaça - Estudos Populacionais - Nota Máxima: 4</v>
      </c>
    </row>
    <row r="3733">
      <c r="A3733" s="390" t="str">
        <f>IFERROR(__xludf.DUMMYFUNCTION("""COMPUTED_VALUE"""),"#SLHA - Segunda Licenciatura em História - Segunda Licenciatura em História - Érica Fernanda Camargo Fogaça - História Antiga e Medieval - Nota Máxima: 10")</f>
        <v>#SLHA - Segunda Licenciatura em História - Segunda Licenciatura em História - Érica Fernanda Camargo Fogaça - História Antiga e Medieval - Nota Máxima: 10</v>
      </c>
    </row>
    <row r="3734">
      <c r="A3734" s="390" t="str">
        <f>IFERROR(__xludf.DUMMYFUNCTION("""COMPUTED_VALUE"""),"#SLHA - Segunda Licenciatura em História - Segunda Licenciatura em História - Érica Fernanda Camargo Fogaça - História Antiga e Medieval - Nota Máxima: 3")</f>
        <v>#SLHA - Segunda Licenciatura em História - Segunda Licenciatura em História - Érica Fernanda Camargo Fogaça - História Antiga e Medieval - Nota Máxima: 3</v>
      </c>
    </row>
    <row r="3735">
      <c r="A3735" s="390" t="str">
        <f>IFERROR(__xludf.DUMMYFUNCTION("""COMPUTED_VALUE"""),"#SLHA - Segunda Licenciatura em História - Segunda Licenciatura em História - Érica Fernanda Camargo Fogaça - História Moderna e Contemporânea - Nota Máxima: 9")</f>
        <v>#SLHA - Segunda Licenciatura em História - Segunda Licenciatura em História - Érica Fernanda Camargo Fogaça - História Moderna e Contemporânea - Nota Máxima: 9</v>
      </c>
    </row>
    <row r="3736">
      <c r="A3736" s="390" t="str">
        <f>IFERROR(__xludf.DUMMYFUNCTION("""COMPUTED_VALUE"""),"#SLHA - Segunda Licenciatura em História - Segunda Licenciatura em História - Érica Fernanda Camargo Fogaça - História Moderna e Contemporânea - Nota Máxima: 5")</f>
        <v>#SLHA - Segunda Licenciatura em História - Segunda Licenciatura em História - Érica Fernanda Camargo Fogaça - História Moderna e Contemporânea - Nota Máxima: 5</v>
      </c>
    </row>
    <row r="3737">
      <c r="A3737" s="390" t="str">
        <f>IFERROR(__xludf.DUMMYFUNCTION("""COMPUTED_VALUE"""),"#SLHA - Segunda Licenciatura em História - Segunda Licenciatura em História - Érica Fernanda Camargo Fogaça - Metodologia do Ensino da História - Nota Máxima: 10")</f>
        <v>#SLHA - Segunda Licenciatura em História - Segunda Licenciatura em História - Érica Fernanda Camargo Fogaça - Metodologia do Ensino da História - Nota Máxima: 10</v>
      </c>
    </row>
    <row r="3738">
      <c r="A3738" s="390" t="str">
        <f>IFERROR(__xludf.DUMMYFUNCTION("""COMPUTED_VALUE"""),"#SLHA - Segunda Licenciatura em História - Segunda Licenciatura em História - Érica Fernanda Camargo Fogaça - Metodologia do Ensino da História - Nota Máxima: 9")</f>
        <v>#SLHA - Segunda Licenciatura em História - Segunda Licenciatura em História - Érica Fernanda Camargo Fogaça - Metodologia do Ensino da História - Nota Máxima: 9</v>
      </c>
    </row>
    <row r="3739">
      <c r="A3739" s="390" t="str">
        <f>IFERROR(__xludf.DUMMYFUNCTION("""COMPUTED_VALUE"""),"#SLHA - Segunda Licenciatura em História - Segunda Licenciatura em História - Érica Fernanda Camargo Fogaça - Práticas Pedagógicas - 400 Horas - Nota Máxima: 10")</f>
        <v>#SLHA - Segunda Licenciatura em História - Segunda Licenciatura em História - Érica Fernanda Camargo Fogaça - Práticas Pedagógicas - 400 Horas - Nota Máxima: 10</v>
      </c>
    </row>
    <row r="3740">
      <c r="A3740" s="390" t="str">
        <f>IFERROR(__xludf.DUMMYFUNCTION("""COMPUTED_VALUE"""),"#SLHA - Segunda Licenciatura em História - Segunda Licenciatura em História - Érica Fernanda Camargo Fogaça - Práticas Pedagógicas - 400 Horas - Nota Máxima: 45784")</f>
        <v>#SLHA - Segunda Licenciatura em História - Segunda Licenciatura em História - Érica Fernanda Camargo Fogaça - Práticas Pedagógicas - 400 Horas - Nota Máxima: 45784</v>
      </c>
    </row>
    <row r="3741">
      <c r="A3741" s="390" t="str">
        <f>IFERROR(__xludf.DUMMYFUNCTION("""COMPUTED_VALUE"""),"#SLHA - Segunda Licenciatura em História - Segunda Licenciatura em História - Érica Fernanda Camargo Fogaça - Psicologia da Educação/a - Nota Máxima: 10")</f>
        <v>#SLHA - Segunda Licenciatura em História - Segunda Licenciatura em História - Érica Fernanda Camargo Fogaça - Psicologia da Educação/a - Nota Máxima: 10</v>
      </c>
    </row>
    <row r="3742">
      <c r="A3742" s="390" t="str">
        <f>IFERROR(__xludf.DUMMYFUNCTION("""COMPUTED_VALUE"""),"#SLHA - Segunda Licenciatura em História - Segunda Licenciatura em História - Érica Fernanda Camargo Fogaça - Psicologia da Educação/a - Nota Máxima: 6")</f>
        <v>#SLHA - Segunda Licenciatura em História - Segunda Licenciatura em História - Érica Fernanda Camargo Fogaça - Psicologia da Educação/a - Nota Máxima: 6</v>
      </c>
    </row>
    <row r="3743">
      <c r="A3743" s="390" t="str">
        <f>IFERROR(__xludf.DUMMYFUNCTION("""COMPUTED_VALUE"""),"#SLHA - Segunda Licenciatura em História - Segunda Licenciatura em História - Érica Fernanda Camargo Fogaça - Teorias da História - Nota Máxima: 10")</f>
        <v>#SLHA - Segunda Licenciatura em História - Segunda Licenciatura em História - Érica Fernanda Camargo Fogaça - Teorias da História - Nota Máxima: 10</v>
      </c>
    </row>
    <row r="3744">
      <c r="A3744" s="390" t="str">
        <f>IFERROR(__xludf.DUMMYFUNCTION("""COMPUTED_VALUE"""),"#SLHA - Segunda Licenciatura em História - Segunda Licenciatura em História - Érica Fernanda Camargo Fogaça - Teorias da História - Nota Máxima: 2")</f>
        <v>#SLHA - Segunda Licenciatura em História - Segunda Licenciatura em História - Érica Fernanda Camargo Fogaça - Teorias da História - Nota Máxima: 2</v>
      </c>
    </row>
    <row r="3745">
      <c r="A3745" s="390" t="str">
        <f>IFERROR(__xludf.DUMMYFUNCTION("""COMPUTED_VALUE"""),"#SLHA - Segunda Licenciatura em História - Segunda Licenciatura em História - Gabriel pigosso ribeiro - Cultura e Diversidade II - Nota Máxima: 10")</f>
        <v>#SLHA - Segunda Licenciatura em História - Segunda Licenciatura em História - Gabriel pigosso ribeiro - Cultura e Diversidade II - Nota Máxima: 10</v>
      </c>
    </row>
    <row r="3746">
      <c r="A3746" s="390" t="str">
        <f>IFERROR(__xludf.DUMMYFUNCTION("""COMPUTED_VALUE"""),"#SLHA - Segunda Licenciatura em História - Segunda Licenciatura em História - Gabriel pigosso ribeiro - Cultura e Diversidade II - Nota Máxima: 10")</f>
        <v>#SLHA - Segunda Licenciatura em História - Segunda Licenciatura em História - Gabriel pigosso ribeiro - Cultura e Diversidade II - Nota Máxima: 10</v>
      </c>
    </row>
    <row r="3747">
      <c r="A3747" s="390" t="str">
        <f>IFERROR(__xludf.DUMMYFUNCTION("""COMPUTED_VALUE"""),"#SLHA - Segunda Licenciatura em História - Segunda Licenciatura em História - Gabriel pigosso ribeiro - Deficiência Auditiva e Libras/a - Nota Máxima: 10")</f>
        <v>#SLHA - Segunda Licenciatura em História - Segunda Licenciatura em História - Gabriel pigosso ribeiro - Deficiência Auditiva e Libras/a - Nota Máxima: 10</v>
      </c>
    </row>
    <row r="3748">
      <c r="A3748" s="390" t="str">
        <f>IFERROR(__xludf.DUMMYFUNCTION("""COMPUTED_VALUE"""),"#SLHA - Segunda Licenciatura em História - Segunda Licenciatura em História - Gabriel pigosso ribeiro - Deficiência Auditiva e Libras/a - Nota Máxima: 9")</f>
        <v>#SLHA - Segunda Licenciatura em História - Segunda Licenciatura em História - Gabriel pigosso ribeiro - Deficiência Auditiva e Libras/a - Nota Máxima: 9</v>
      </c>
    </row>
    <row r="3749">
      <c r="A3749" s="390" t="str">
        <f>IFERROR(__xludf.DUMMYFUNCTION("""COMPUTED_VALUE"""),"#SLHA - Segunda Licenciatura em História - Segunda Licenciatura em História - Gabriel pigosso ribeiro - Desenvolvimento do Capital Humano - Nota Máxima: 10")</f>
        <v>#SLHA - Segunda Licenciatura em História - Segunda Licenciatura em História - Gabriel pigosso ribeiro - Desenvolvimento do Capital Humano - Nota Máxima: 10</v>
      </c>
    </row>
    <row r="3750">
      <c r="A3750" s="390" t="str">
        <f>IFERROR(__xludf.DUMMYFUNCTION("""COMPUTED_VALUE"""),"#SLHA - Segunda Licenciatura em História - Segunda Licenciatura em História - Gabriel pigosso ribeiro - Desenvolvimento do Capital Humano - Nota Máxima: 10")</f>
        <v>#SLHA - Segunda Licenciatura em História - Segunda Licenciatura em História - Gabriel pigosso ribeiro - Desenvolvimento do Capital Humano - Nota Máxima: 10</v>
      </c>
    </row>
    <row r="3751">
      <c r="A3751" s="390" t="str">
        <f>IFERROR(__xludf.DUMMYFUNCTION("""COMPUTED_VALUE"""),"#SLHA - Segunda Licenciatura em História - Segunda Licenciatura em História - Gabriel pigosso ribeiro - Educação, História, Cultura e Práticas Indígenas/a - Nota Máxima: 10")</f>
        <v>#SLHA - Segunda Licenciatura em História - Segunda Licenciatura em História - Gabriel pigosso ribeiro - Educação, História, Cultura e Práticas Indígenas/a - Nota Máxima: 10</v>
      </c>
    </row>
    <row r="3752">
      <c r="A3752" s="390" t="str">
        <f>IFERROR(__xludf.DUMMYFUNCTION("""COMPUTED_VALUE"""),"#SLHA - Segunda Licenciatura em História - Segunda Licenciatura em História - Gabriel pigosso ribeiro - Educação, História, Cultura e Práticas Indígenas/a - Nota Máxima: 10")</f>
        <v>#SLHA - Segunda Licenciatura em História - Segunda Licenciatura em História - Gabriel pigosso ribeiro - Educação, História, Cultura e Práticas Indígenas/a - Nota Máxima: 10</v>
      </c>
    </row>
    <row r="3753">
      <c r="A3753" s="390" t="str">
        <f>IFERROR(__xludf.DUMMYFUNCTION("""COMPUTED_VALUE"""),"#SLHA - Segunda Licenciatura em História - Segunda Licenciatura em História - Gabriel pigosso ribeiro - Estudos Populacionais - Nota Máxima: 9")</f>
        <v>#SLHA - Segunda Licenciatura em História - Segunda Licenciatura em História - Gabriel pigosso ribeiro - Estudos Populacionais - Nota Máxima: 9</v>
      </c>
    </row>
    <row r="3754">
      <c r="A3754" s="390" t="str">
        <f>IFERROR(__xludf.DUMMYFUNCTION("""COMPUTED_VALUE"""),"#SLHA - Segunda Licenciatura em História - Segunda Licenciatura em História - Gabriel pigosso ribeiro - Estudos Populacionais - Nota Máxima: 9")</f>
        <v>#SLHA - Segunda Licenciatura em História - Segunda Licenciatura em História - Gabriel pigosso ribeiro - Estudos Populacionais - Nota Máxima: 9</v>
      </c>
    </row>
    <row r="3755">
      <c r="A3755" s="390" t="str">
        <f>IFERROR(__xludf.DUMMYFUNCTION("""COMPUTED_VALUE"""),"#SLHA - Segunda Licenciatura em História - Segunda Licenciatura em História - Gabriel pigosso ribeiro - História Antiga e Medieval - Nota Máxima: 8")</f>
        <v>#SLHA - Segunda Licenciatura em História - Segunda Licenciatura em História - Gabriel pigosso ribeiro - História Antiga e Medieval - Nota Máxima: 8</v>
      </c>
    </row>
    <row r="3756">
      <c r="A3756" s="390" t="str">
        <f>IFERROR(__xludf.DUMMYFUNCTION("""COMPUTED_VALUE"""),"#SLHA - Segunda Licenciatura em História - Segunda Licenciatura em História - Gabriel pigosso ribeiro - História Antiga e Medieval - Nota Máxima: 8")</f>
        <v>#SLHA - Segunda Licenciatura em História - Segunda Licenciatura em História - Gabriel pigosso ribeiro - História Antiga e Medieval - Nota Máxima: 8</v>
      </c>
    </row>
    <row r="3757">
      <c r="A3757" s="390" t="str">
        <f>IFERROR(__xludf.DUMMYFUNCTION("""COMPUTED_VALUE"""),"#SLHA - Segunda Licenciatura em História - Segunda Licenciatura em História - Gabriel pigosso ribeiro - História Moderna e Contemporânea - Nota Máxima: 10")</f>
        <v>#SLHA - Segunda Licenciatura em História - Segunda Licenciatura em História - Gabriel pigosso ribeiro - História Moderna e Contemporânea - Nota Máxima: 10</v>
      </c>
    </row>
    <row r="3758">
      <c r="A3758" s="390" t="str">
        <f>IFERROR(__xludf.DUMMYFUNCTION("""COMPUTED_VALUE"""),"#SLHA - Segunda Licenciatura em História - Segunda Licenciatura em História - Gabriel pigosso ribeiro - História Moderna e Contemporânea - Nota Máxima: 10")</f>
        <v>#SLHA - Segunda Licenciatura em História - Segunda Licenciatura em História - Gabriel pigosso ribeiro - História Moderna e Contemporânea - Nota Máxima: 10</v>
      </c>
    </row>
    <row r="3759">
      <c r="A3759" s="390" t="str">
        <f>IFERROR(__xludf.DUMMYFUNCTION("""COMPUTED_VALUE"""),"#SLHA - Segunda Licenciatura em História - Segunda Licenciatura em História - Gabriel pigosso ribeiro - Legislação Educacional/a - Nota Máxima: 9")</f>
        <v>#SLHA - Segunda Licenciatura em História - Segunda Licenciatura em História - Gabriel pigosso ribeiro - Legislação Educacional/a - Nota Máxima: 9</v>
      </c>
    </row>
    <row r="3760">
      <c r="A3760" s="390" t="str">
        <f>IFERROR(__xludf.DUMMYFUNCTION("""COMPUTED_VALUE"""),"#SLHA - Segunda Licenciatura em História - Segunda Licenciatura em História - Gabriel pigosso ribeiro - Legislação Educacional/a - Nota Máxima: 9")</f>
        <v>#SLHA - Segunda Licenciatura em História - Segunda Licenciatura em História - Gabriel pigosso ribeiro - Legislação Educacional/a - Nota Máxima: 9</v>
      </c>
    </row>
    <row r="3761">
      <c r="A3761" s="390" t="str">
        <f>IFERROR(__xludf.DUMMYFUNCTION("""COMPUTED_VALUE"""),"#SLHA - Segunda Licenciatura em História - Segunda Licenciatura em História - Gabriel pigosso ribeiro - Metodologia do Ensino da História - Nota Máxima: 9")</f>
        <v>#SLHA - Segunda Licenciatura em História - Segunda Licenciatura em História - Gabriel pigosso ribeiro - Metodologia do Ensino da História - Nota Máxima: 9</v>
      </c>
    </row>
    <row r="3762">
      <c r="A3762" s="390" t="str">
        <f>IFERROR(__xludf.DUMMYFUNCTION("""COMPUTED_VALUE"""),"#SLHA - Segunda Licenciatura em História - Segunda Licenciatura em História - Gabriel pigosso ribeiro - Metodologia do Ensino da História - Nota Máxima: 9")</f>
        <v>#SLHA - Segunda Licenciatura em História - Segunda Licenciatura em História - Gabriel pigosso ribeiro - Metodologia do Ensino da História - Nota Máxima: 9</v>
      </c>
    </row>
    <row r="3763">
      <c r="A3763" s="390" t="str">
        <f>IFERROR(__xludf.DUMMYFUNCTION("""COMPUTED_VALUE"""),"#SLHA - Segunda Licenciatura em História - Segunda Licenciatura em História - Gabriel pigosso ribeiro - Práticas Pedagógicas - 400 Horas - Nota Máxima: 10")</f>
        <v>#SLHA - Segunda Licenciatura em História - Segunda Licenciatura em História - Gabriel pigosso ribeiro - Práticas Pedagógicas - 400 Horas - Nota Máxima: 10</v>
      </c>
    </row>
    <row r="3764">
      <c r="A3764" s="390" t="str">
        <f>IFERROR(__xludf.DUMMYFUNCTION("""COMPUTED_VALUE"""),"#SLHA - Segunda Licenciatura em História - Segunda Licenciatura em História - Gabriel pigosso ribeiro - Práticas Pedagógicas - 400 Horas - Nota Máxima: 10")</f>
        <v>#SLHA - Segunda Licenciatura em História - Segunda Licenciatura em História - Gabriel pigosso ribeiro - Práticas Pedagógicas - 400 Horas - Nota Máxima: 10</v>
      </c>
    </row>
    <row r="3765">
      <c r="A3765" s="390" t="str">
        <f>IFERROR(__xludf.DUMMYFUNCTION("""COMPUTED_VALUE"""),"#SLHA - Segunda Licenciatura em História - Segunda Licenciatura em História - Gabriel pigosso ribeiro - Psicologia da Educação/a - Nota Máxima: 10")</f>
        <v>#SLHA - Segunda Licenciatura em História - Segunda Licenciatura em História - Gabriel pigosso ribeiro - Psicologia da Educação/a - Nota Máxima: 10</v>
      </c>
    </row>
    <row r="3766">
      <c r="A3766" s="390" t="str">
        <f>IFERROR(__xludf.DUMMYFUNCTION("""COMPUTED_VALUE"""),"#SLHA - Segunda Licenciatura em História - Segunda Licenciatura em História - Gabriel pigosso ribeiro - Psicologia da Educação/a - Nota Máxima: 10")</f>
        <v>#SLHA - Segunda Licenciatura em História - Segunda Licenciatura em História - Gabriel pigosso ribeiro - Psicologia da Educação/a - Nota Máxima: 10</v>
      </c>
    </row>
    <row r="3767">
      <c r="A3767" s="390" t="str">
        <f>IFERROR(__xludf.DUMMYFUNCTION("""COMPUTED_VALUE"""),"#SLHA - Segunda Licenciatura em História - Segunda Licenciatura em História - Gabriel pigosso ribeiro - Teorias da História - Nota Máxima: 8")</f>
        <v>#SLHA - Segunda Licenciatura em História - Segunda Licenciatura em História - Gabriel pigosso ribeiro - Teorias da História - Nota Máxima: 8</v>
      </c>
    </row>
    <row r="3768">
      <c r="A3768" s="390" t="str">
        <f>IFERROR(__xludf.DUMMYFUNCTION("""COMPUTED_VALUE"""),"#SLHA - Segunda Licenciatura em História - Segunda Licenciatura em História - Gabriel pigosso ribeiro - Teorias da História - Nota Máxima: 8")</f>
        <v>#SLHA - Segunda Licenciatura em História - Segunda Licenciatura em História - Gabriel pigosso ribeiro - Teorias da História - Nota Máxima: 8</v>
      </c>
    </row>
    <row r="3769">
      <c r="A3769" s="390" t="str">
        <f>IFERROR(__xludf.DUMMYFUNCTION("""COMPUTED_VALUE"""),"#SLHA - Segunda Licenciatura em História - Segunda Licenciatura em História - Claudia Regina Silva Medeiros - Cultura e Diversidade II - Nota Máxima: 9")</f>
        <v>#SLHA - Segunda Licenciatura em História - Segunda Licenciatura em História - Claudia Regina Silva Medeiros - Cultura e Diversidade II - Nota Máxima: 9</v>
      </c>
    </row>
    <row r="3770">
      <c r="A3770" s="390" t="str">
        <f>IFERROR(__xludf.DUMMYFUNCTION("""COMPUTED_VALUE"""),"#SLHA - Segunda Licenciatura em História - Segunda Licenciatura em História - Claudia Regina Silva Medeiros - Cultura e Diversidade II - Nota Máxima: 10")</f>
        <v>#SLHA - Segunda Licenciatura em História - Segunda Licenciatura em História - Claudia Regina Silva Medeiros - Cultura e Diversidade II - Nota Máxima: 10</v>
      </c>
    </row>
    <row r="3771">
      <c r="A3771" s="390" t="str">
        <f>IFERROR(__xludf.DUMMYFUNCTION("""COMPUTED_VALUE"""),"#SLHA - Segunda Licenciatura em História - Segunda Licenciatura em História - Claudia Regina Silva Medeiros - Deficiência Auditiva e Libras/a - Nota Máxima: 8")</f>
        <v>#SLHA - Segunda Licenciatura em História - Segunda Licenciatura em História - Claudia Regina Silva Medeiros - Deficiência Auditiva e Libras/a - Nota Máxima: 8</v>
      </c>
    </row>
    <row r="3772">
      <c r="A3772" s="390" t="str">
        <f>IFERROR(__xludf.DUMMYFUNCTION("""COMPUTED_VALUE"""),"#SLHA - Segunda Licenciatura em História - Segunda Licenciatura em História - Claudia Regina Silva Medeiros - Deficiência Auditiva e Libras/a - Nota Máxima: 10")</f>
        <v>#SLHA - Segunda Licenciatura em História - Segunda Licenciatura em História - Claudia Regina Silva Medeiros - Deficiência Auditiva e Libras/a - Nota Máxima: 10</v>
      </c>
    </row>
    <row r="3773">
      <c r="A3773" s="390" t="str">
        <f>IFERROR(__xludf.DUMMYFUNCTION("""COMPUTED_VALUE"""),"#SLHA - Segunda Licenciatura em História - Segunda Licenciatura em História - Claudia Regina Silva Medeiros - Desenvolvimento do Capital Humano - Nota Máxima: 10")</f>
        <v>#SLHA - Segunda Licenciatura em História - Segunda Licenciatura em História - Claudia Regina Silva Medeiros - Desenvolvimento do Capital Humano - Nota Máxima: 10</v>
      </c>
    </row>
    <row r="3774">
      <c r="A3774" s="390" t="str">
        <f>IFERROR(__xludf.DUMMYFUNCTION("""COMPUTED_VALUE"""),"#SLHA - Segunda Licenciatura em História - Segunda Licenciatura em História - Claudia Regina Silva Medeiros - Desenvolvimento do Capital Humano - Nota Máxima: 9")</f>
        <v>#SLHA - Segunda Licenciatura em História - Segunda Licenciatura em História - Claudia Regina Silva Medeiros - Desenvolvimento do Capital Humano - Nota Máxima: 9</v>
      </c>
    </row>
    <row r="3775">
      <c r="A3775" s="390" t="str">
        <f>IFERROR(__xludf.DUMMYFUNCTION("""COMPUTED_VALUE"""),"#SLHA - Segunda Licenciatura em História - Segunda Licenciatura em História - Claudia Regina Silva Medeiros - Educação Especial, Inclusão Escolar e Adaptações Curriculares - Nota Máxima: 10")</f>
        <v>#SLHA - Segunda Licenciatura em História - Segunda Licenciatura em História - Claudia Regina Silva Medeiros - Educação Especial, Inclusão Escolar e Adaptações Curriculares - Nota Máxima: 10</v>
      </c>
    </row>
    <row r="3776">
      <c r="A3776" s="390" t="str">
        <f>IFERROR(__xludf.DUMMYFUNCTION("""COMPUTED_VALUE"""),"#SLHA - Segunda Licenciatura em História - Segunda Licenciatura em História - Claudia Regina Silva Medeiros - Educação Especial, Inclusão Escolar e Adaptações Curriculares - Nota Máxima: 10")</f>
        <v>#SLHA - Segunda Licenciatura em História - Segunda Licenciatura em História - Claudia Regina Silva Medeiros - Educação Especial, Inclusão Escolar e Adaptações Curriculares - Nota Máxima: 10</v>
      </c>
    </row>
    <row r="3777">
      <c r="A3777" s="390" t="str">
        <f>IFERROR(__xludf.DUMMYFUNCTION("""COMPUTED_VALUE"""),"#SLHA - Segunda Licenciatura em História - Segunda Licenciatura em História - Claudia Regina Silva Medeiros - Educação, História, Cultura e Práticas Indígenas/a - Nota Máxima: 10")</f>
        <v>#SLHA - Segunda Licenciatura em História - Segunda Licenciatura em História - Claudia Regina Silva Medeiros - Educação, História, Cultura e Práticas Indígenas/a - Nota Máxima: 10</v>
      </c>
    </row>
    <row r="3778">
      <c r="A3778" s="390" t="str">
        <f>IFERROR(__xludf.DUMMYFUNCTION("""COMPUTED_VALUE"""),"#SLHA - Segunda Licenciatura em História - Segunda Licenciatura em História - Claudia Regina Silva Medeiros - Educação, História, Cultura e Práticas Indígenas/a - Nota Máxima: 9")</f>
        <v>#SLHA - Segunda Licenciatura em História - Segunda Licenciatura em História - Claudia Regina Silva Medeiros - Educação, História, Cultura e Práticas Indígenas/a - Nota Máxima: 9</v>
      </c>
    </row>
    <row r="3779">
      <c r="A3779" s="390" t="str">
        <f>IFERROR(__xludf.DUMMYFUNCTION("""COMPUTED_VALUE"""),"#SLHA - Segunda Licenciatura em História - Segunda Licenciatura em História - Claudia Regina Silva Medeiros - Estudos Populacionais - Nota Máxima: 10")</f>
        <v>#SLHA - Segunda Licenciatura em História - Segunda Licenciatura em História - Claudia Regina Silva Medeiros - Estudos Populacionais - Nota Máxima: 10</v>
      </c>
    </row>
    <row r="3780">
      <c r="A3780" s="390" t="str">
        <f>IFERROR(__xludf.DUMMYFUNCTION("""COMPUTED_VALUE"""),"#SLHA - Segunda Licenciatura em História - Segunda Licenciatura em História - Claudia Regina Silva Medeiros - Estudos Populacionais - Nota Máxima: 9")</f>
        <v>#SLHA - Segunda Licenciatura em História - Segunda Licenciatura em História - Claudia Regina Silva Medeiros - Estudos Populacionais - Nota Máxima: 9</v>
      </c>
    </row>
    <row r="3781">
      <c r="A3781" s="390" t="str">
        <f>IFERROR(__xludf.DUMMYFUNCTION("""COMPUTED_VALUE"""),"#SLHA - Segunda Licenciatura em História - Segunda Licenciatura em História - Claudia Regina Silva Medeiros - História Antiga e Medieval - Nota Máxima: 10")</f>
        <v>#SLHA - Segunda Licenciatura em História - Segunda Licenciatura em História - Claudia Regina Silva Medeiros - História Antiga e Medieval - Nota Máxima: 10</v>
      </c>
    </row>
    <row r="3782">
      <c r="A3782" s="390" t="str">
        <f>IFERROR(__xludf.DUMMYFUNCTION("""COMPUTED_VALUE"""),"#SLHA - Segunda Licenciatura em História - Segunda Licenciatura em História - Claudia Regina Silva Medeiros - História Antiga e Medieval - Nota Máxima: 4")</f>
        <v>#SLHA - Segunda Licenciatura em História - Segunda Licenciatura em História - Claudia Regina Silva Medeiros - História Antiga e Medieval - Nota Máxima: 4</v>
      </c>
    </row>
    <row r="3783">
      <c r="A3783" s="390" t="str">
        <f>IFERROR(__xludf.DUMMYFUNCTION("""COMPUTED_VALUE"""),"#SLHA - Segunda Licenciatura em História - Segunda Licenciatura em História - Claudia Regina Silva Medeiros - História Moderna e Contemporânea - Nota Máxima: 10")</f>
        <v>#SLHA - Segunda Licenciatura em História - Segunda Licenciatura em História - Claudia Regina Silva Medeiros - História Moderna e Contemporânea - Nota Máxima: 10</v>
      </c>
    </row>
    <row r="3784">
      <c r="A3784" s="390" t="str">
        <f>IFERROR(__xludf.DUMMYFUNCTION("""COMPUTED_VALUE"""),"#SLHA - Segunda Licenciatura em História - Segunda Licenciatura em História - Claudia Regina Silva Medeiros - História Moderna e Contemporânea - Nota Máxima: 9")</f>
        <v>#SLHA - Segunda Licenciatura em História - Segunda Licenciatura em História - Claudia Regina Silva Medeiros - História Moderna e Contemporânea - Nota Máxima: 9</v>
      </c>
    </row>
    <row r="3785">
      <c r="A3785" s="390" t="str">
        <f>IFERROR(__xludf.DUMMYFUNCTION("""COMPUTED_VALUE"""),"#SLHA - Segunda Licenciatura em História - Segunda Licenciatura em História - Claudia Regina Silva Medeiros - Legislação Educacional/a - Nota Máxima: 9")</f>
        <v>#SLHA - Segunda Licenciatura em História - Segunda Licenciatura em História - Claudia Regina Silva Medeiros - Legislação Educacional/a - Nota Máxima: 9</v>
      </c>
    </row>
    <row r="3786">
      <c r="A3786" s="390" t="str">
        <f>IFERROR(__xludf.DUMMYFUNCTION("""COMPUTED_VALUE"""),"#SLHA - Segunda Licenciatura em História - Segunda Licenciatura em História - Claudia Regina Silva Medeiros - Legislação Educacional/a - Nota Máxima: 10")</f>
        <v>#SLHA - Segunda Licenciatura em História - Segunda Licenciatura em História - Claudia Regina Silva Medeiros - Legislação Educacional/a - Nota Máxima: 10</v>
      </c>
    </row>
    <row r="3787">
      <c r="A3787" s="390" t="str">
        <f>IFERROR(__xludf.DUMMYFUNCTION("""COMPUTED_VALUE"""),"#SLHA - Segunda Licenciatura em História - Segunda Licenciatura em História - Claudia Regina Silva Medeiros - Metodologia do Ensino da História - Nota Máxima: 9")</f>
        <v>#SLHA - Segunda Licenciatura em História - Segunda Licenciatura em História - Claudia Regina Silva Medeiros - Metodologia do Ensino da História - Nota Máxima: 9</v>
      </c>
    </row>
    <row r="3788">
      <c r="A3788" s="390" t="str">
        <f>IFERROR(__xludf.DUMMYFUNCTION("""COMPUTED_VALUE"""),"#SLHA - Segunda Licenciatura em História - Segunda Licenciatura em História - Claudia Regina Silva Medeiros - Metodologia do Ensino da História - Nota Máxima: 9")</f>
        <v>#SLHA - Segunda Licenciatura em História - Segunda Licenciatura em História - Claudia Regina Silva Medeiros - Metodologia do Ensino da História - Nota Máxima: 9</v>
      </c>
    </row>
    <row r="3789">
      <c r="A3789" s="390" t="str">
        <f>IFERROR(__xludf.DUMMYFUNCTION("""COMPUTED_VALUE"""),"#SLHA - Segunda Licenciatura em História - Segunda Licenciatura em História - Claudia Regina Silva Medeiros - Planejamento, Gestão Educacional e Currículo/a - Nota Máxima: 9")</f>
        <v>#SLHA - Segunda Licenciatura em História - Segunda Licenciatura em História - Claudia Regina Silva Medeiros - Planejamento, Gestão Educacional e Currículo/a - Nota Máxima: 9</v>
      </c>
    </row>
    <row r="3790">
      <c r="A3790" s="390" t="str">
        <f>IFERROR(__xludf.DUMMYFUNCTION("""COMPUTED_VALUE"""),"#SLHA - Segunda Licenciatura em História - Segunda Licenciatura em História - Claudia Regina Silva Medeiros - Planejamento, Gestão Educacional e Currículo/a - Nota Máxima: 10")</f>
        <v>#SLHA - Segunda Licenciatura em História - Segunda Licenciatura em História - Claudia Regina Silva Medeiros - Planejamento, Gestão Educacional e Currículo/a - Nota Máxima: 10</v>
      </c>
    </row>
    <row r="3791">
      <c r="A3791" s="390" t="str">
        <f>IFERROR(__xludf.DUMMYFUNCTION("""COMPUTED_VALUE"""),"#SLHA - Segunda Licenciatura em História - Segunda Licenciatura em História - Claudia Regina Silva Medeiros - Práticas Pedagógicas - 400 Horas - Nota Máxima: 10")</f>
        <v>#SLHA - Segunda Licenciatura em História - Segunda Licenciatura em História - Claudia Regina Silva Medeiros - Práticas Pedagógicas - 400 Horas - Nota Máxima: 10</v>
      </c>
    </row>
    <row r="3792">
      <c r="A3792" s="390" t="str">
        <f>IFERROR(__xludf.DUMMYFUNCTION("""COMPUTED_VALUE"""),"#SLHA - Segunda Licenciatura em História - Segunda Licenciatura em História - Claudia Regina Silva Medeiros - Práticas Pedagógicas - 400 Horas - Nota Máxima: 10")</f>
        <v>#SLHA - Segunda Licenciatura em História - Segunda Licenciatura em História - Claudia Regina Silva Medeiros - Práticas Pedagógicas - 400 Horas - Nota Máxima: 10</v>
      </c>
    </row>
    <row r="3793">
      <c r="A3793" s="390" t="str">
        <f>IFERROR(__xludf.DUMMYFUNCTION("""COMPUTED_VALUE"""),"#SLHA - Segunda Licenciatura em História - Segunda Licenciatura em História - Claudia Regina Silva Medeiros - Psicologia da Educação/a - Nota Máxima: 9")</f>
        <v>#SLHA - Segunda Licenciatura em História - Segunda Licenciatura em História - Claudia Regina Silva Medeiros - Psicologia da Educação/a - Nota Máxima: 9</v>
      </c>
    </row>
    <row r="3794">
      <c r="A3794" s="390" t="str">
        <f>IFERROR(__xludf.DUMMYFUNCTION("""COMPUTED_VALUE"""),"#SLHA - Segunda Licenciatura em História - Segunda Licenciatura em História - Claudia Regina Silva Medeiros - Psicologia da Educação/a - Nota Máxima: 10")</f>
        <v>#SLHA - Segunda Licenciatura em História - Segunda Licenciatura em História - Claudia Regina Silva Medeiros - Psicologia da Educação/a - Nota Máxima: 10</v>
      </c>
    </row>
    <row r="3795">
      <c r="A3795" s="390" t="str">
        <f>IFERROR(__xludf.DUMMYFUNCTION("""COMPUTED_VALUE"""),"#SLHA - Segunda Licenciatura em História - Segunda Licenciatura em História - Claudia Regina Silva Medeiros - Teorias da História - Nota Máxima: 10")</f>
        <v>#SLHA - Segunda Licenciatura em História - Segunda Licenciatura em História - Claudia Regina Silva Medeiros - Teorias da História - Nota Máxima: 10</v>
      </c>
    </row>
    <row r="3796">
      <c r="A3796" s="390" t="str">
        <f>IFERROR(__xludf.DUMMYFUNCTION("""COMPUTED_VALUE"""),"#SLHA - Segunda Licenciatura em História - Segunda Licenciatura em História - Claudia Regina Silva Medeiros - Teorias da História - Nota Máxima: 10")</f>
        <v>#SLHA - Segunda Licenciatura em História - Segunda Licenciatura em História - Claudia Regina Silva Medeiros - Teorias da História - Nota Máxima: 10</v>
      </c>
    </row>
    <row r="3797">
      <c r="A3797" s="390" t="str">
        <f>IFERROR(__xludf.DUMMYFUNCTION("""COMPUTED_VALUE"""),"#SLHA - Segunda Licenciatura em História - Segunda Licenciatura em História - Tiago Silvio Dedoné - Cultura e Diversidade II - Nota Máxima: 10")</f>
        <v>#SLHA - Segunda Licenciatura em História - Segunda Licenciatura em História - Tiago Silvio Dedoné - Cultura e Diversidade II - Nota Máxima: 10</v>
      </c>
    </row>
    <row r="3798">
      <c r="A3798" s="390" t="str">
        <f>IFERROR(__xludf.DUMMYFUNCTION("""COMPUTED_VALUE"""),"#SLHA - Segunda Licenciatura em História - Segunda Licenciatura em História - Tiago Silvio Dedoné - Deficiência Auditiva e Libras/a - Nota Máxima: 10")</f>
        <v>#SLHA - Segunda Licenciatura em História - Segunda Licenciatura em História - Tiago Silvio Dedoné - Deficiência Auditiva e Libras/a - Nota Máxima: 10</v>
      </c>
    </row>
    <row r="3799">
      <c r="A3799" s="390" t="str">
        <f>IFERROR(__xludf.DUMMYFUNCTION("""COMPUTED_VALUE"""),"#SLHA - Segunda Licenciatura em História - Segunda Licenciatura em História - Tiago Silvio Dedoné - Desenvolvimento do Capital Humano - Nota Máxima: 10")</f>
        <v>#SLHA - Segunda Licenciatura em História - Segunda Licenciatura em História - Tiago Silvio Dedoné - Desenvolvimento do Capital Humano - Nota Máxima: 10</v>
      </c>
    </row>
    <row r="3800">
      <c r="A3800" s="390" t="str">
        <f>IFERROR(__xludf.DUMMYFUNCTION("""COMPUTED_VALUE"""),"#SLHA - Segunda Licenciatura em História - Segunda Licenciatura em História - Tiago Silvio Dedoné - Educação, História, Cultura e Práticas Indígenas/a - Nota Máxima: 10")</f>
        <v>#SLHA - Segunda Licenciatura em História - Segunda Licenciatura em História - Tiago Silvio Dedoné - Educação, História, Cultura e Práticas Indígenas/a - Nota Máxima: 10</v>
      </c>
    </row>
    <row r="3801">
      <c r="A3801" s="390" t="str">
        <f>IFERROR(__xludf.DUMMYFUNCTION("""COMPUTED_VALUE"""),"#SLHA - Segunda Licenciatura em História - Segunda Licenciatura em História - Tiago Silvio Dedoné - Estudos Populacionais - Nota Máxima: 10")</f>
        <v>#SLHA - Segunda Licenciatura em História - Segunda Licenciatura em História - Tiago Silvio Dedoné - Estudos Populacionais - Nota Máxima: 10</v>
      </c>
    </row>
    <row r="3802">
      <c r="A3802" s="390" t="str">
        <f>IFERROR(__xludf.DUMMYFUNCTION("""COMPUTED_VALUE"""),"#SLHA - Segunda Licenciatura em História - Segunda Licenciatura em História - Tiago Silvio Dedoné - História Antiga e Medieval - Nota Máxima: 10")</f>
        <v>#SLHA - Segunda Licenciatura em História - Segunda Licenciatura em História - Tiago Silvio Dedoné - História Antiga e Medieval - Nota Máxima: 10</v>
      </c>
    </row>
    <row r="3803">
      <c r="A3803" s="390" t="str">
        <f>IFERROR(__xludf.DUMMYFUNCTION("""COMPUTED_VALUE"""),"#SLHA - Segunda Licenciatura em História - Segunda Licenciatura em História - Tiago Silvio Dedoné - História Moderna e Contemporânea - Nota Máxima: 10")</f>
        <v>#SLHA - Segunda Licenciatura em História - Segunda Licenciatura em História - Tiago Silvio Dedoné - História Moderna e Contemporânea - Nota Máxima: 10</v>
      </c>
    </row>
    <row r="3804">
      <c r="A3804" s="390" t="str">
        <f>IFERROR(__xludf.DUMMYFUNCTION("""COMPUTED_VALUE"""),"#SLHA - Segunda Licenciatura em História - Segunda Licenciatura em História - Tiago Silvio Dedoné - Legislação Educacional/a - Nota Máxima: 10")</f>
        <v>#SLHA - Segunda Licenciatura em História - Segunda Licenciatura em História - Tiago Silvio Dedoné - Legislação Educacional/a - Nota Máxima: 10</v>
      </c>
    </row>
    <row r="3805">
      <c r="A3805" s="390" t="str">
        <f>IFERROR(__xludf.DUMMYFUNCTION("""COMPUTED_VALUE"""),"#SLHA - Segunda Licenciatura em História - Segunda Licenciatura em História - Tiago Silvio Dedoné - Metodologia do Ensino da História - Nota Máxima: 10")</f>
        <v>#SLHA - Segunda Licenciatura em História - Segunda Licenciatura em História - Tiago Silvio Dedoné - Metodologia do Ensino da História - Nota Máxima: 10</v>
      </c>
    </row>
    <row r="3806">
      <c r="A3806" s="390" t="str">
        <f>IFERROR(__xludf.DUMMYFUNCTION("""COMPUTED_VALUE"""),"#SLHA - Segunda Licenciatura em História - Segunda Licenciatura em História - Tiago Silvio Dedoné - Práticas Pedagógicas - 400 Horas - Nota Máxima: 10")</f>
        <v>#SLHA - Segunda Licenciatura em História - Segunda Licenciatura em História - Tiago Silvio Dedoné - Práticas Pedagógicas - 400 Horas - Nota Máxima: 10</v>
      </c>
    </row>
    <row r="3807">
      <c r="A3807" s="390" t="str">
        <f>IFERROR(__xludf.DUMMYFUNCTION("""COMPUTED_VALUE"""),"#SLHA - Segunda Licenciatura em História - Segunda Licenciatura em História - Tiago Silvio Dedoné - Psicologia da Educação/a - Nota Máxima: 10")</f>
        <v>#SLHA - Segunda Licenciatura em História - Segunda Licenciatura em História - Tiago Silvio Dedoné - Psicologia da Educação/a - Nota Máxima: 10</v>
      </c>
    </row>
    <row r="3808">
      <c r="A3808" s="390" t="str">
        <f>IFERROR(__xludf.DUMMYFUNCTION("""COMPUTED_VALUE"""),"#SLHA - Segunda Licenciatura em História - Segunda Licenciatura em História - Tiago Silvio Dedoné - Teorias da História - Nota Máxima: 9")</f>
        <v>#SLHA - Segunda Licenciatura em História - Segunda Licenciatura em História - Tiago Silvio Dedoné - Teorias da História - Nota Máxima: 9</v>
      </c>
    </row>
    <row r="3809">
      <c r="A3809" s="390" t="str">
        <f>IFERROR(__xludf.DUMMYFUNCTION("""COMPUTED_VALUE"""),"#SLHA - Segunda Licenciatura em História - Segunda Licenciatura em História - Maria da Conceição Pereira - Planejamento, Gestão Educacional e Currículo/a - Nota Máxima: 9")</f>
        <v>#SLHA - Segunda Licenciatura em História - Segunda Licenciatura em História - Maria da Conceição Pereira - Planejamento, Gestão Educacional e Currículo/a - Nota Máxima: 9</v>
      </c>
    </row>
    <row r="3810">
      <c r="A3810" s="390" t="str">
        <f>IFERROR(__xludf.DUMMYFUNCTION("""COMPUTED_VALUE"""),"#SLHA - Segunda Licenciatura em História - Segunda Licenciatura em História - Pedro Batista de Andrade - Cultura e Diversidade II - Nota Máxima: 10")</f>
        <v>#SLHA - Segunda Licenciatura em História - Segunda Licenciatura em História - Pedro Batista de Andrade - Cultura e Diversidade II - Nota Máxima: 10</v>
      </c>
    </row>
    <row r="3811">
      <c r="A3811" s="390" t="str">
        <f>IFERROR(__xludf.DUMMYFUNCTION("""COMPUTED_VALUE"""),"#SLHA - Segunda Licenciatura em História - Segunda Licenciatura em História - Pedro Batista de Andrade - Cultura e Diversidade II - Nota Máxima: 9")</f>
        <v>#SLHA - Segunda Licenciatura em História - Segunda Licenciatura em História - Pedro Batista de Andrade - Cultura e Diversidade II - Nota Máxima: 9</v>
      </c>
    </row>
    <row r="3812">
      <c r="A3812" s="390" t="str">
        <f>IFERROR(__xludf.DUMMYFUNCTION("""COMPUTED_VALUE"""),"#SLHA - Segunda Licenciatura em História - Segunda Licenciatura em História - Pedro Batista de Andrade - Deficiência Auditiva e Libras/a - Nota Máxima: 10")</f>
        <v>#SLHA - Segunda Licenciatura em História - Segunda Licenciatura em História - Pedro Batista de Andrade - Deficiência Auditiva e Libras/a - Nota Máxima: 10</v>
      </c>
    </row>
    <row r="3813">
      <c r="A3813" s="390" t="str">
        <f>IFERROR(__xludf.DUMMYFUNCTION("""COMPUTED_VALUE"""),"#SLHA - Segunda Licenciatura em História - Segunda Licenciatura em História - Pedro Batista de Andrade - Deficiência Auditiva e Libras/a - Nota Máxima: 9")</f>
        <v>#SLHA - Segunda Licenciatura em História - Segunda Licenciatura em História - Pedro Batista de Andrade - Deficiência Auditiva e Libras/a - Nota Máxima: 9</v>
      </c>
    </row>
    <row r="3814">
      <c r="A3814" s="390" t="str">
        <f>IFERROR(__xludf.DUMMYFUNCTION("""COMPUTED_VALUE"""),"#SLHA - Segunda Licenciatura em História - Segunda Licenciatura em História - Pedro Batista de Andrade - Desenvolvimento do Capital Humano - Nota Máxima: 10")</f>
        <v>#SLHA - Segunda Licenciatura em História - Segunda Licenciatura em História - Pedro Batista de Andrade - Desenvolvimento do Capital Humano - Nota Máxima: 10</v>
      </c>
    </row>
    <row r="3815">
      <c r="A3815" s="390" t="str">
        <f>IFERROR(__xludf.DUMMYFUNCTION("""COMPUTED_VALUE"""),"#SLHA - Segunda Licenciatura em História - Segunda Licenciatura em História - Pedro Batista de Andrade - Desenvolvimento do Capital Humano - Nota Máxima: 8")</f>
        <v>#SLHA - Segunda Licenciatura em História - Segunda Licenciatura em História - Pedro Batista de Andrade - Desenvolvimento do Capital Humano - Nota Máxima: 8</v>
      </c>
    </row>
    <row r="3816">
      <c r="A3816" s="390" t="str">
        <f>IFERROR(__xludf.DUMMYFUNCTION("""COMPUTED_VALUE"""),"#SLHA - Segunda Licenciatura em História - Segunda Licenciatura em História - Pedro Batista de Andrade - Educação Especial, Inclusão Escolar e Adaptações Curriculares - Nota Máxima: 10")</f>
        <v>#SLHA - Segunda Licenciatura em História - Segunda Licenciatura em História - Pedro Batista de Andrade - Educação Especial, Inclusão Escolar e Adaptações Curriculares - Nota Máxima: 10</v>
      </c>
    </row>
    <row r="3817">
      <c r="A3817" s="390" t="str">
        <f>IFERROR(__xludf.DUMMYFUNCTION("""COMPUTED_VALUE"""),"#SLHA - Segunda Licenciatura em História - Segunda Licenciatura em História - Pedro Batista de Andrade - Educação Especial, Inclusão Escolar e Adaptações Curriculares - Nota Máxima: 8")</f>
        <v>#SLHA - Segunda Licenciatura em História - Segunda Licenciatura em História - Pedro Batista de Andrade - Educação Especial, Inclusão Escolar e Adaptações Curriculares - Nota Máxima: 8</v>
      </c>
    </row>
    <row r="3818">
      <c r="A3818" s="390" t="str">
        <f>IFERROR(__xludf.DUMMYFUNCTION("""COMPUTED_VALUE"""),"#SLHA - Segunda Licenciatura em História - Segunda Licenciatura em História - Pedro Batista de Andrade - Educação, História, Cultura e Práticas Indígenas/a - Nota Máxima: 10")</f>
        <v>#SLHA - Segunda Licenciatura em História - Segunda Licenciatura em História - Pedro Batista de Andrade - Educação, História, Cultura e Práticas Indígenas/a - Nota Máxima: 10</v>
      </c>
    </row>
    <row r="3819">
      <c r="A3819" s="390" t="str">
        <f>IFERROR(__xludf.DUMMYFUNCTION("""COMPUTED_VALUE"""),"#SLHA - Segunda Licenciatura em História - Segunda Licenciatura em História - Pedro Batista de Andrade - Educação, História, Cultura e Práticas Indígenas/a - Nota Máxima: 7")</f>
        <v>#SLHA - Segunda Licenciatura em História - Segunda Licenciatura em História - Pedro Batista de Andrade - Educação, História, Cultura e Práticas Indígenas/a - Nota Máxima: 7</v>
      </c>
    </row>
    <row r="3820">
      <c r="A3820" s="390" t="str">
        <f>IFERROR(__xludf.DUMMYFUNCTION("""COMPUTED_VALUE"""),"#SLHA - Segunda Licenciatura em História - Segunda Licenciatura em História - Pedro Batista de Andrade - Estudos Populacionais - Nota Máxima: 10")</f>
        <v>#SLHA - Segunda Licenciatura em História - Segunda Licenciatura em História - Pedro Batista de Andrade - Estudos Populacionais - Nota Máxima: 10</v>
      </c>
    </row>
    <row r="3821">
      <c r="A3821" s="390" t="str">
        <f>IFERROR(__xludf.DUMMYFUNCTION("""COMPUTED_VALUE"""),"#SLHA - Segunda Licenciatura em História - Segunda Licenciatura em História - Pedro Batista de Andrade - Estudos Populacionais - Nota Máxima: 6")</f>
        <v>#SLHA - Segunda Licenciatura em História - Segunda Licenciatura em História - Pedro Batista de Andrade - Estudos Populacionais - Nota Máxima: 6</v>
      </c>
    </row>
    <row r="3822">
      <c r="A3822" s="390" t="str">
        <f>IFERROR(__xludf.DUMMYFUNCTION("""COMPUTED_VALUE"""),"#SLHA - Segunda Licenciatura em História - Segunda Licenciatura em História - Pedro Batista de Andrade - História Antiga e Medieval - Nota Máxima: 10")</f>
        <v>#SLHA - Segunda Licenciatura em História - Segunda Licenciatura em História - Pedro Batista de Andrade - História Antiga e Medieval - Nota Máxima: 10</v>
      </c>
    </row>
    <row r="3823">
      <c r="A3823" s="390" t="str">
        <f>IFERROR(__xludf.DUMMYFUNCTION("""COMPUTED_VALUE"""),"#SLHA - Segunda Licenciatura em História - Segunda Licenciatura em História - Pedro Batista de Andrade - História Antiga e Medieval - Nota Máxima: 7")</f>
        <v>#SLHA - Segunda Licenciatura em História - Segunda Licenciatura em História - Pedro Batista de Andrade - História Antiga e Medieval - Nota Máxima: 7</v>
      </c>
    </row>
    <row r="3824">
      <c r="A3824" s="390" t="str">
        <f>IFERROR(__xludf.DUMMYFUNCTION("""COMPUTED_VALUE"""),"#SLHA - Segunda Licenciatura em História - Segunda Licenciatura em História - Pedro Batista de Andrade - História Moderna e Contemporânea - Nota Máxima: 10")</f>
        <v>#SLHA - Segunda Licenciatura em História - Segunda Licenciatura em História - Pedro Batista de Andrade - História Moderna e Contemporânea - Nota Máxima: 10</v>
      </c>
    </row>
    <row r="3825">
      <c r="A3825" s="390" t="str">
        <f>IFERROR(__xludf.DUMMYFUNCTION("""COMPUTED_VALUE"""),"#SLHA - Segunda Licenciatura em História - Segunda Licenciatura em História - Pedro Batista de Andrade - História Moderna e Contemporânea - Nota Máxima: 8")</f>
        <v>#SLHA - Segunda Licenciatura em História - Segunda Licenciatura em História - Pedro Batista de Andrade - História Moderna e Contemporânea - Nota Máxima: 8</v>
      </c>
    </row>
    <row r="3826">
      <c r="A3826" s="390" t="str">
        <f>IFERROR(__xludf.DUMMYFUNCTION("""COMPUTED_VALUE"""),"#SLHA - Segunda Licenciatura em História - Segunda Licenciatura em História - Pedro Batista de Andrade - Legislação Educacional/a - Nota Máxima: 10")</f>
        <v>#SLHA - Segunda Licenciatura em História - Segunda Licenciatura em História - Pedro Batista de Andrade - Legislação Educacional/a - Nota Máxima: 10</v>
      </c>
    </row>
    <row r="3827">
      <c r="A3827" s="390" t="str">
        <f>IFERROR(__xludf.DUMMYFUNCTION("""COMPUTED_VALUE"""),"#SLHA - Segunda Licenciatura em História - Segunda Licenciatura em História - Pedro Batista de Andrade - Legislação Educacional/a - Nota Máxima: 5")</f>
        <v>#SLHA - Segunda Licenciatura em História - Segunda Licenciatura em História - Pedro Batista de Andrade - Legislação Educacional/a - Nota Máxima: 5</v>
      </c>
    </row>
    <row r="3828">
      <c r="A3828" s="390" t="str">
        <f>IFERROR(__xludf.DUMMYFUNCTION("""COMPUTED_VALUE"""),"#SLHA - Segunda Licenciatura em História - Segunda Licenciatura em História - Pedro Batista de Andrade - Metodologia do Ensino da História - Nota Máxima: 10")</f>
        <v>#SLHA - Segunda Licenciatura em História - Segunda Licenciatura em História - Pedro Batista de Andrade - Metodologia do Ensino da História - Nota Máxima: 10</v>
      </c>
    </row>
    <row r="3829">
      <c r="A3829" s="390" t="str">
        <f>IFERROR(__xludf.DUMMYFUNCTION("""COMPUTED_VALUE"""),"#SLHA - Segunda Licenciatura em História - Segunda Licenciatura em História - Pedro Batista de Andrade - Metodologia do Ensino da História - Nota Máxima: 6")</f>
        <v>#SLHA - Segunda Licenciatura em História - Segunda Licenciatura em História - Pedro Batista de Andrade - Metodologia do Ensino da História - Nota Máxima: 6</v>
      </c>
    </row>
    <row r="3830">
      <c r="A3830" s="390" t="str">
        <f>IFERROR(__xludf.DUMMYFUNCTION("""COMPUTED_VALUE"""),"#SLHA - Segunda Licenciatura em História - Segunda Licenciatura em História - Pedro Batista de Andrade - Planejamento, Gestão Educacional e Currículo/a - Nota Máxima: 10")</f>
        <v>#SLHA - Segunda Licenciatura em História - Segunda Licenciatura em História - Pedro Batista de Andrade - Planejamento, Gestão Educacional e Currículo/a - Nota Máxima: 10</v>
      </c>
    </row>
    <row r="3831">
      <c r="A3831" s="390" t="str">
        <f>IFERROR(__xludf.DUMMYFUNCTION("""COMPUTED_VALUE"""),"#SLHA - Segunda Licenciatura em História - Segunda Licenciatura em História - Pedro Batista de Andrade - Planejamento, Gestão Educacional e Currículo/a - Nota Máxima: 8")</f>
        <v>#SLHA - Segunda Licenciatura em História - Segunda Licenciatura em História - Pedro Batista de Andrade - Planejamento, Gestão Educacional e Currículo/a - Nota Máxima: 8</v>
      </c>
    </row>
    <row r="3832">
      <c r="A3832" s="390" t="str">
        <f>IFERROR(__xludf.DUMMYFUNCTION("""COMPUTED_VALUE"""),"#SLHA - Segunda Licenciatura em História - Segunda Licenciatura em História - Pedro Batista de Andrade - Práticas Pedagógicas - 400 Horas - Nota Máxima: 10")</f>
        <v>#SLHA - Segunda Licenciatura em História - Segunda Licenciatura em História - Pedro Batista de Andrade - Práticas Pedagógicas - 400 Horas - Nota Máxima: 10</v>
      </c>
    </row>
    <row r="3833">
      <c r="A3833" s="390" t="str">
        <f>IFERROR(__xludf.DUMMYFUNCTION("""COMPUTED_VALUE"""),"#SLHA - Segunda Licenciatura em História - Segunda Licenciatura em História - Pedro Batista de Andrade - Práticas Pedagógicas - 400 Horas - Nota Máxima: 45784")</f>
        <v>#SLHA - Segunda Licenciatura em História - Segunda Licenciatura em História - Pedro Batista de Andrade - Práticas Pedagógicas - 400 Horas - Nota Máxima: 45784</v>
      </c>
    </row>
    <row r="3834">
      <c r="A3834" s="390" t="str">
        <f>IFERROR(__xludf.DUMMYFUNCTION("""COMPUTED_VALUE"""),"#SLHA - Segunda Licenciatura em História - Segunda Licenciatura em História - Pedro Batista de Andrade - Psicologia da Educação/a - Nota Máxima: 10")</f>
        <v>#SLHA - Segunda Licenciatura em História - Segunda Licenciatura em História - Pedro Batista de Andrade - Psicologia da Educação/a - Nota Máxima: 10</v>
      </c>
    </row>
    <row r="3835">
      <c r="A3835" s="390" t="str">
        <f>IFERROR(__xludf.DUMMYFUNCTION("""COMPUTED_VALUE"""),"#SLHA - Segunda Licenciatura em História - Segunda Licenciatura em História - Pedro Batista de Andrade - Psicologia da Educação/a - Nota Máxima: 5")</f>
        <v>#SLHA - Segunda Licenciatura em História - Segunda Licenciatura em História - Pedro Batista de Andrade - Psicologia da Educação/a - Nota Máxima: 5</v>
      </c>
    </row>
    <row r="3836">
      <c r="A3836" s="390" t="str">
        <f>IFERROR(__xludf.DUMMYFUNCTION("""COMPUTED_VALUE"""),"#SLHA - Segunda Licenciatura em História - Segunda Licenciatura em História - Pedro Batista de Andrade - Teorias da História - Nota Máxima: 10")</f>
        <v>#SLHA - Segunda Licenciatura em História - Segunda Licenciatura em História - Pedro Batista de Andrade - Teorias da História - Nota Máxima: 10</v>
      </c>
    </row>
    <row r="3837">
      <c r="A3837" s="390" t="str">
        <f>IFERROR(__xludf.DUMMYFUNCTION("""COMPUTED_VALUE"""),"#SLHA - Segunda Licenciatura em História - Segunda Licenciatura em História - Pedro Batista de Andrade - Teorias da História - Nota Máxima: 2")</f>
        <v>#SLHA - Segunda Licenciatura em História - Segunda Licenciatura em História - Pedro Batista de Andrade - Teorias da História - Nota Máxima: 2</v>
      </c>
    </row>
    <row r="3838">
      <c r="A3838" s="390" t="str">
        <f>IFERROR(__xludf.DUMMYFUNCTION("""COMPUTED_VALUE"""),"#SLHA - Segunda Licenciatura em História - Segunda Licenciatura em História - Maria Aparecida Claudino da Silva - Deficiência Auditiva e Libras/a - Nota Máxima: 10")</f>
        <v>#SLHA - Segunda Licenciatura em História - Segunda Licenciatura em História - Maria Aparecida Claudino da Silva - Deficiência Auditiva e Libras/a - Nota Máxima: 10</v>
      </c>
    </row>
    <row r="3839">
      <c r="A3839" s="390" t="str">
        <f>IFERROR(__xludf.DUMMYFUNCTION("""COMPUTED_VALUE"""),"#SLHA - Segunda Licenciatura em História - Segunda Licenciatura em História - Maria Aparecida Claudino da Silva - Desenvolvimento do Capital Humano - Nota Máxima: 9")</f>
        <v>#SLHA - Segunda Licenciatura em História - Segunda Licenciatura em História - Maria Aparecida Claudino da Silva - Desenvolvimento do Capital Humano - Nota Máxima: 9</v>
      </c>
    </row>
    <row r="3840">
      <c r="A3840" s="390" t="str">
        <f>IFERROR(__xludf.DUMMYFUNCTION("""COMPUTED_VALUE"""),"#SLHA - Segunda Licenciatura em História - Segunda Licenciatura em História - Maria Aparecida Claudino da Silva - Educação Especial, Inclusão Escolar e Adaptações Curriculares - Nota Máxima: 9")</f>
        <v>#SLHA - Segunda Licenciatura em História - Segunda Licenciatura em História - Maria Aparecida Claudino da Silva - Educação Especial, Inclusão Escolar e Adaptações Curriculares - Nota Máxima: 9</v>
      </c>
    </row>
    <row r="3841">
      <c r="A3841" s="390" t="str">
        <f>IFERROR(__xludf.DUMMYFUNCTION("""COMPUTED_VALUE"""),"#SLHA - Segunda Licenciatura em História - Segunda Licenciatura em História - Maria Aparecida Claudino da Silva - Planejamento, Gestão Educacional e Currículo/a - Nota Máxima: 10")</f>
        <v>#SLHA - Segunda Licenciatura em História - Segunda Licenciatura em História - Maria Aparecida Claudino da Silva - Planejamento, Gestão Educacional e Currículo/a - Nota Máxima: 10</v>
      </c>
    </row>
    <row r="3842">
      <c r="A3842" s="390" t="str">
        <f>IFERROR(__xludf.DUMMYFUNCTION("""COMPUTED_VALUE"""),"#SLHA - Segunda Licenciatura em História - Segunda Licenciatura em História - Maria Aparecida Claudino da Silva - Práticas Pedagógicas - 400 Horas - Nota Máxima: 10")</f>
        <v>#SLHA - Segunda Licenciatura em História - Segunda Licenciatura em História - Maria Aparecida Claudino da Silva - Práticas Pedagógicas - 400 Horas - Nota Máxima: 10</v>
      </c>
    </row>
    <row r="3843">
      <c r="A3843" s="390" t="str">
        <f>IFERROR(__xludf.DUMMYFUNCTION("""COMPUTED_VALUE"""),"#SLHA - Segunda Licenciatura em História - Segunda Licenciatura em História - Jocival Oliveira Melo - Cultura e Diversidade II - Nota Máxima: 10")</f>
        <v>#SLHA - Segunda Licenciatura em História - Segunda Licenciatura em História - Jocival Oliveira Melo - Cultura e Diversidade II - Nota Máxima: 10</v>
      </c>
    </row>
    <row r="3844">
      <c r="A3844" s="390" t="str">
        <f>IFERROR(__xludf.DUMMYFUNCTION("""COMPUTED_VALUE"""),"#SLHA - Segunda Licenciatura em História - Segunda Licenciatura em História - Jocival Oliveira Melo - Deficiência Auditiva e Libras/a - Nota Máxima: 7")</f>
        <v>#SLHA - Segunda Licenciatura em História - Segunda Licenciatura em História - Jocival Oliveira Melo - Deficiência Auditiva e Libras/a - Nota Máxima: 7</v>
      </c>
    </row>
    <row r="3845">
      <c r="A3845" s="390" t="str">
        <f>IFERROR(__xludf.DUMMYFUNCTION("""COMPUTED_VALUE"""),"#SLHA - Segunda Licenciatura em História - Segunda Licenciatura em História - Jocival Oliveira Melo - Desenvolvimento do Capital Humano - Nota Máxima: 7")</f>
        <v>#SLHA - Segunda Licenciatura em História - Segunda Licenciatura em História - Jocival Oliveira Melo - Desenvolvimento do Capital Humano - Nota Máxima: 7</v>
      </c>
    </row>
    <row r="3846">
      <c r="A3846" s="390" t="str">
        <f>IFERROR(__xludf.DUMMYFUNCTION("""COMPUTED_VALUE"""),"#SLHA - Segunda Licenciatura em História - Segunda Licenciatura em História - Jocival Oliveira Melo - Educação Especial, Inclusão Escolar e Adaptações Curriculares - Nota Máxima: 7")</f>
        <v>#SLHA - Segunda Licenciatura em História - Segunda Licenciatura em História - Jocival Oliveira Melo - Educação Especial, Inclusão Escolar e Adaptações Curriculares - Nota Máxima: 7</v>
      </c>
    </row>
    <row r="3847">
      <c r="A3847" s="390" t="str">
        <f>IFERROR(__xludf.DUMMYFUNCTION("""COMPUTED_VALUE"""),"#SLHA - Segunda Licenciatura em História - Segunda Licenciatura em História - Jocival Oliveira Melo - Educação, História, Cultura e Práticas Indígenas/a - Nota Máxima: 7")</f>
        <v>#SLHA - Segunda Licenciatura em História - Segunda Licenciatura em História - Jocival Oliveira Melo - Educação, História, Cultura e Práticas Indígenas/a - Nota Máxima: 7</v>
      </c>
    </row>
    <row r="3848">
      <c r="A3848" s="390" t="str">
        <f>IFERROR(__xludf.DUMMYFUNCTION("""COMPUTED_VALUE"""),"#SLHA - Segunda Licenciatura em História - Segunda Licenciatura em História - Jocival Oliveira Melo - Educação, História, Cultura e Práticas Indígenas/a - Nota Máxima: 6")</f>
        <v>#SLHA - Segunda Licenciatura em História - Segunda Licenciatura em História - Jocival Oliveira Melo - Educação, História, Cultura e Práticas Indígenas/a - Nota Máxima: 6</v>
      </c>
    </row>
    <row r="3849">
      <c r="A3849" s="390" t="str">
        <f>IFERROR(__xludf.DUMMYFUNCTION("""COMPUTED_VALUE"""),"#SLHA - Segunda Licenciatura em História - Segunda Licenciatura em História - Jocival Oliveira Melo - Estudos Populacionais - Nota Máxima: 8")</f>
        <v>#SLHA - Segunda Licenciatura em História - Segunda Licenciatura em História - Jocival Oliveira Melo - Estudos Populacionais - Nota Máxima: 8</v>
      </c>
    </row>
    <row r="3850">
      <c r="A3850" s="390" t="str">
        <f>IFERROR(__xludf.DUMMYFUNCTION("""COMPUTED_VALUE"""),"#SLHA - Segunda Licenciatura em História - Segunda Licenciatura em História - Jocival Oliveira Melo - História Antiga e Medieval - Nota Máxima: 10")</f>
        <v>#SLHA - Segunda Licenciatura em História - Segunda Licenciatura em História - Jocival Oliveira Melo - História Antiga e Medieval - Nota Máxima: 10</v>
      </c>
    </row>
    <row r="3851">
      <c r="A3851" s="390" t="str">
        <f>IFERROR(__xludf.DUMMYFUNCTION("""COMPUTED_VALUE"""),"#SLHA - Segunda Licenciatura em História - Segunda Licenciatura em História - Jocival Oliveira Melo - História Moderna e Contemporânea - Nota Máxima: 8")</f>
        <v>#SLHA - Segunda Licenciatura em História - Segunda Licenciatura em História - Jocival Oliveira Melo - História Moderna e Contemporânea - Nota Máxima: 8</v>
      </c>
    </row>
    <row r="3852">
      <c r="A3852" s="390" t="str">
        <f>IFERROR(__xludf.DUMMYFUNCTION("""COMPUTED_VALUE"""),"#SLHA - Segunda Licenciatura em História - Segunda Licenciatura em História - Jocival Oliveira Melo - Legislação Educacional/a - Nota Máxima: 8")</f>
        <v>#SLHA - Segunda Licenciatura em História - Segunda Licenciatura em História - Jocival Oliveira Melo - Legislação Educacional/a - Nota Máxima: 8</v>
      </c>
    </row>
    <row r="3853">
      <c r="A3853" s="390" t="str">
        <f>IFERROR(__xludf.DUMMYFUNCTION("""COMPUTED_VALUE"""),"#SLHA - Segunda Licenciatura em História - Segunda Licenciatura em História - Jocival Oliveira Melo - Metodologia do Ensino da História - Nota Máxima: 9")</f>
        <v>#SLHA - Segunda Licenciatura em História - Segunda Licenciatura em História - Jocival Oliveira Melo - Metodologia do Ensino da História - Nota Máxima: 9</v>
      </c>
    </row>
    <row r="3854">
      <c r="A3854" s="390" t="str">
        <f>IFERROR(__xludf.DUMMYFUNCTION("""COMPUTED_VALUE"""),"#SLHA - Segunda Licenciatura em História - Segunda Licenciatura em História - Jocival Oliveira Melo - Planejamento, Gestão Educacional e Currículo/a - Nota Máxima: 10")</f>
        <v>#SLHA - Segunda Licenciatura em História - Segunda Licenciatura em História - Jocival Oliveira Melo - Planejamento, Gestão Educacional e Currículo/a - Nota Máxima: 10</v>
      </c>
    </row>
    <row r="3855">
      <c r="A3855" s="390" t="str">
        <f>IFERROR(__xludf.DUMMYFUNCTION("""COMPUTED_VALUE"""),"#SLHA - Segunda Licenciatura em História - Segunda Licenciatura em História - Jocival Oliveira Melo - Práticas Pedagógicas - 400 Horas - Nota Máxima: 10")</f>
        <v>#SLHA - Segunda Licenciatura em História - Segunda Licenciatura em História - Jocival Oliveira Melo - Práticas Pedagógicas - 400 Horas - Nota Máxima: 10</v>
      </c>
    </row>
    <row r="3856">
      <c r="A3856" s="390" t="str">
        <f>IFERROR(__xludf.DUMMYFUNCTION("""COMPUTED_VALUE"""),"#SLHA - Segunda Licenciatura em História - Segunda Licenciatura em História - Jocival Oliveira Melo - Psicologia da Educação/a - Nota Máxima: 10")</f>
        <v>#SLHA - Segunda Licenciatura em História - Segunda Licenciatura em História - Jocival Oliveira Melo - Psicologia da Educação/a - Nota Máxima: 10</v>
      </c>
    </row>
    <row r="3857">
      <c r="A3857" s="390" t="str">
        <f>IFERROR(__xludf.DUMMYFUNCTION("""COMPUTED_VALUE"""),"#SLHA - Segunda Licenciatura em História - Segunda Licenciatura em História - Jocival Oliveira Melo - Teorias da História - Nota Máxima: 10")</f>
        <v>#SLHA - Segunda Licenciatura em História - Segunda Licenciatura em História - Jocival Oliveira Melo - Teorias da História - Nota Máxima: 10</v>
      </c>
    </row>
    <row r="3858">
      <c r="A3858" s="390" t="str">
        <f>IFERROR(__xludf.DUMMYFUNCTION("""COMPUTED_VALUE"""),"#SLHA - Segunda Licenciatura em História - Segunda Licenciatura em História - Jocival Oliveira Melo - Teorias da História - Nota Máxima: 10")</f>
        <v>#SLHA - Segunda Licenciatura em História - Segunda Licenciatura em História - Jocival Oliveira Melo - Teorias da História - Nota Máxima: 10</v>
      </c>
    </row>
    <row r="3859">
      <c r="A3859" s="390" t="str">
        <f>IFERROR(__xludf.DUMMYFUNCTION("""COMPUTED_VALUE"""),"#SLHA - Segunda Licenciatura em História - Segunda Licenciatura em História - Juliana Maria Corallo Quinan - Cultura e Diversidade II - Nota Máxima: 10")</f>
        <v>#SLHA - Segunda Licenciatura em História - Segunda Licenciatura em História - Juliana Maria Corallo Quinan - Cultura e Diversidade II - Nota Máxima: 10</v>
      </c>
    </row>
    <row r="3860">
      <c r="A3860" s="390" t="str">
        <f>IFERROR(__xludf.DUMMYFUNCTION("""COMPUTED_VALUE"""),"#SLHA - Segunda Licenciatura em História - Segunda Licenciatura em História - Juliana Maria Corallo Quinan - Estudos Populacionais - Nota Máxima: 10")</f>
        <v>#SLHA - Segunda Licenciatura em História - Segunda Licenciatura em História - Juliana Maria Corallo Quinan - Estudos Populacionais - Nota Máxima: 10</v>
      </c>
    </row>
    <row r="3861">
      <c r="A3861" s="390" t="str">
        <f>IFERROR(__xludf.DUMMYFUNCTION("""COMPUTED_VALUE"""),"#SLHA - Segunda Licenciatura em História - Segunda Licenciatura em História - Juliana Maria Corallo Quinan - História Moderna e Contemporânea - Nota Máxima: 10")</f>
        <v>#SLHA - Segunda Licenciatura em História - Segunda Licenciatura em História - Juliana Maria Corallo Quinan - História Moderna e Contemporânea - Nota Máxima: 10</v>
      </c>
    </row>
    <row r="3862">
      <c r="A3862" s="390" t="str">
        <f>IFERROR(__xludf.DUMMYFUNCTION("""COMPUTED_VALUE"""),"#SLHA - Segunda Licenciatura em História - Segunda Licenciatura em História - Juliana Maria Corallo Quinan - Práticas Pedagógicas - 400 Horas - Nota Máxima: 10")</f>
        <v>#SLHA - Segunda Licenciatura em História - Segunda Licenciatura em História - Juliana Maria Corallo Quinan - Práticas Pedagógicas - 400 Horas - Nota Máxima: 10</v>
      </c>
    </row>
    <row r="3863">
      <c r="A3863" s="390" t="str">
        <f>IFERROR(__xludf.DUMMYFUNCTION("""COMPUTED_VALUE"""),"#SLHA - Segunda Licenciatura em História - Segunda Licenciatura em História - Juliana Maria Corallo Quinan - Práticas Pedagógicas - 400 Horas - Nota Máxima: 10")</f>
        <v>#SLHA - Segunda Licenciatura em História - Segunda Licenciatura em História - Juliana Maria Corallo Quinan - Práticas Pedagógicas - 400 Horas - Nota Máxima: 10</v>
      </c>
    </row>
    <row r="3864">
      <c r="A3864" s="390" t="str">
        <f>IFERROR(__xludf.DUMMYFUNCTION("""COMPUTED_VALUE"""),"#SLHA - Segunda Licenciatura em História - Segunda Licenciatura em História - Juliana Maria Corallo Quinan - Teorias da História - Nota Máxima: 10")</f>
        <v>#SLHA - Segunda Licenciatura em História - Segunda Licenciatura em História - Juliana Maria Corallo Quinan - Teorias da História - Nota Máxima: 10</v>
      </c>
    </row>
    <row r="3865">
      <c r="A3865" s="390" t="str">
        <f>IFERROR(__xludf.DUMMYFUNCTION("""COMPUTED_VALUE"""),"Formação Pedagógica em Física - Formação Pedagógica em Física - SIDNEY DE SOUZA CUNHA - Atuação Docente na Educação Inclusiva - Nota Máxima: 8")</f>
        <v>Formação Pedagógica em Física - Formação Pedagógica em Física - SIDNEY DE SOUZA CUNHA - Atuação Docente na Educação Inclusiva - Nota Máxima: 8</v>
      </c>
    </row>
    <row r="3866">
      <c r="A3866" s="390" t="str">
        <f>IFERROR(__xludf.DUMMYFUNCTION("""COMPUTED_VALUE"""),"Formação Pedagógica em Física - Formação Pedagógica em Física - SIDNEY DE SOUZA CUNHA - Cálculo - Nota Máxima: 8")</f>
        <v>Formação Pedagógica em Física - Formação Pedagógica em Física - SIDNEY DE SOUZA CUNHA - Cálculo - Nota Máxima: 8</v>
      </c>
    </row>
    <row r="3867">
      <c r="A3867" s="390" t="str">
        <f>IFERROR(__xludf.DUMMYFUNCTION("""COMPUTED_VALUE"""),"Formação Pedagógica em Física - Formação Pedagógica em Física - SIDNEY DE SOUZA CUNHA - Deficiência Auditiva e Libras/a - Nota Máxima: 8")</f>
        <v>Formação Pedagógica em Física - Formação Pedagógica em Física - SIDNEY DE SOUZA CUNHA - Deficiência Auditiva e Libras/a - Nota Máxima: 8</v>
      </c>
    </row>
    <row r="3868">
      <c r="A3868" s="390" t="str">
        <f>IFERROR(__xludf.DUMMYFUNCTION("""COMPUTED_VALUE"""),"Formação Pedagógica em Física - Formação Pedagógica em Física - SIDNEY DE SOUZA CUNHA - Educação Especial, Inclusão Escolar e Adaptações Curriculares - Nota Máxima: 9")</f>
        <v>Formação Pedagógica em Física - Formação Pedagógica em Física - SIDNEY DE SOUZA CUNHA - Educação Especial, Inclusão Escolar e Adaptações Curriculares - Nota Máxima: 9</v>
      </c>
    </row>
    <row r="3869">
      <c r="A3869" s="390" t="str">
        <f>IFERROR(__xludf.DUMMYFUNCTION("""COMPUTED_VALUE"""),"Formação Pedagógica em Física - Formação Pedagógica em Física - SIDNEY DE SOUZA CUNHA - Educação, História, Cultura e Práticas Indígenas/a - Nota Máxima: 10")</f>
        <v>Formação Pedagógica em Física - Formação Pedagógica em Física - SIDNEY DE SOUZA CUNHA - Educação, História, Cultura e Práticas Indígenas/a - Nota Máxima: 10</v>
      </c>
    </row>
    <row r="3870">
      <c r="A3870" s="390" t="str">
        <f>IFERROR(__xludf.DUMMYFUNCTION("""COMPUTED_VALUE"""),"Formação Pedagógica em Física - Formação Pedagógica em Física - SIDNEY DE SOUZA CUNHA - Física Quântica e Relatividade - Nota Máxima: 10")</f>
        <v>Formação Pedagógica em Física - Formação Pedagógica em Física - SIDNEY DE SOUZA CUNHA - Física Quântica e Relatividade - Nota Máxima: 10</v>
      </c>
    </row>
    <row r="3871">
      <c r="A3871" s="390" t="str">
        <f>IFERROR(__xludf.DUMMYFUNCTION("""COMPUTED_VALUE"""),"Formação Pedagógica em Física - Formação Pedagógica em Física - SIDNEY DE SOUZA CUNHA - Geometria Analítica - Nota Máxima: 10")</f>
        <v>Formação Pedagógica em Física - Formação Pedagógica em Física - SIDNEY DE SOUZA CUNHA - Geometria Analítica - Nota Máxima: 10</v>
      </c>
    </row>
    <row r="3872">
      <c r="A3872" s="390" t="str">
        <f>IFERROR(__xludf.DUMMYFUNCTION("""COMPUTED_VALUE"""),"Formação Pedagógica em Física - Formação Pedagógica em Física - SIDNEY DE SOUZA CUNHA - Legislação Educacional/a - Nota Máxima: 10")</f>
        <v>Formação Pedagógica em Física - Formação Pedagógica em Física - SIDNEY DE SOUZA CUNHA - Legislação Educacional/a - Nota Máxima: 10</v>
      </c>
    </row>
    <row r="3873">
      <c r="A3873" s="390" t="str">
        <f>IFERROR(__xludf.DUMMYFUNCTION("""COMPUTED_VALUE"""),"Formação Pedagógica em Física - Formação Pedagógica em Física - SIDNEY DE SOUZA CUNHA - Matemática e Raciocínio Lógico - Nota Máxima: 8")</f>
        <v>Formação Pedagógica em Física - Formação Pedagógica em Física - SIDNEY DE SOUZA CUNHA - Matemática e Raciocínio Lógico - Nota Máxima: 8</v>
      </c>
    </row>
    <row r="3874">
      <c r="A3874" s="390" t="str">
        <f>IFERROR(__xludf.DUMMYFUNCTION("""COMPUTED_VALUE"""),"Formação Pedagógica em Física - Formação Pedagógica em Física - SIDNEY DE SOUZA CUNHA - Ondas Eletromagnéticas - Nota Máxima: 9")</f>
        <v>Formação Pedagógica em Física - Formação Pedagógica em Física - SIDNEY DE SOUZA CUNHA - Ondas Eletromagnéticas - Nota Máxima: 9</v>
      </c>
    </row>
    <row r="3875">
      <c r="A3875" s="390" t="str">
        <f>IFERROR(__xludf.DUMMYFUNCTION("""COMPUTED_VALUE"""),"Formação Pedagógica em Física - Formação Pedagógica em Física - SIDNEY DE SOUZA CUNHA - Planejamento, Gestão Educacional e Currículo/a - Nota Máxima: 10")</f>
        <v>Formação Pedagógica em Física - Formação Pedagógica em Física - SIDNEY DE SOUZA CUNHA - Planejamento, Gestão Educacional e Currículo/a - Nota Máxima: 10</v>
      </c>
    </row>
    <row r="3876">
      <c r="A3876" s="390" t="str">
        <f>IFERROR(__xludf.DUMMYFUNCTION("""COMPUTED_VALUE"""),"Formação Pedagógica em Física - Formação Pedagógica em Física - SIDNEY DE SOUZA CUNHA - Psicologia da Educação/a - Nota Máxima: 10")</f>
        <v>Formação Pedagógica em Física - Formação Pedagógica em Física - SIDNEY DE SOUZA CUNHA - Psicologia da Educação/a - Nota Máxima: 10</v>
      </c>
    </row>
    <row r="3877">
      <c r="A3877" s="390" t="str">
        <f>IFERROR(__xludf.DUMMYFUNCTION("""COMPUTED_VALUE"""),"Formação Pedagógica em Física - Formação Pedagógica em Física - SIDNEY DE SOUZA CUNHA - Termodinâmica - Nota Máxima: 9")</f>
        <v>Formação Pedagógica em Física - Formação Pedagógica em Física - SIDNEY DE SOUZA CUNHA - Termodinâmica - Nota Máxima: 9</v>
      </c>
    </row>
    <row r="3878">
      <c r="A3878" s="390" t="str">
        <f>IFERROR(__xludf.DUMMYFUNCTION("""COMPUTED_VALUE"""),"Formação Pedagógica em Física - Formação Pedagógica em Física - Eli Cristiane Aparecida de Oliveira - Atuação Docente na Educação Inclusiva - Nota Máxima: 10")</f>
        <v>Formação Pedagógica em Física - Formação Pedagógica em Física - Eli Cristiane Aparecida de Oliveira - Atuação Docente na Educação Inclusiva - Nota Máxima: 10</v>
      </c>
    </row>
    <row r="3879">
      <c r="A3879" s="390" t="str">
        <f>IFERROR(__xludf.DUMMYFUNCTION("""COMPUTED_VALUE"""),"Formação Pedagógica em Física - Formação Pedagógica em Física - Eli Cristiane Aparecida de Oliveira - Atuação Docente na Educação Inclusiva - Nota Máxima: 10")</f>
        <v>Formação Pedagógica em Física - Formação Pedagógica em Física - Eli Cristiane Aparecida de Oliveira - Atuação Docente na Educação Inclusiva - Nota Máxima: 10</v>
      </c>
    </row>
    <row r="3880">
      <c r="A3880" s="390" t="str">
        <f>IFERROR(__xludf.DUMMYFUNCTION("""COMPUTED_VALUE"""),"Formação Pedagógica em Física - Formação Pedagógica em Física - Eli Cristiane Aparecida de Oliveira - Cálculo - Nota Máxima: 10")</f>
        <v>Formação Pedagógica em Física - Formação Pedagógica em Física - Eli Cristiane Aparecida de Oliveira - Cálculo - Nota Máxima: 10</v>
      </c>
    </row>
    <row r="3881">
      <c r="A3881" s="390" t="str">
        <f>IFERROR(__xludf.DUMMYFUNCTION("""COMPUTED_VALUE"""),"Formação Pedagógica em Física - Formação Pedagógica em Física - Eli Cristiane Aparecida de Oliveira - Cálculo - Nota Máxima: 9")</f>
        <v>Formação Pedagógica em Física - Formação Pedagógica em Física - Eli Cristiane Aparecida de Oliveira - Cálculo - Nota Máxima: 9</v>
      </c>
    </row>
    <row r="3882">
      <c r="A3882" s="390" t="str">
        <f>IFERROR(__xludf.DUMMYFUNCTION("""COMPUTED_VALUE"""),"Formação Pedagógica em Física - Formação Pedagógica em Física - Eli Cristiane Aparecida de Oliveira - Deficiência Auditiva e Libras/a - Nota Máxima: 10")</f>
        <v>Formação Pedagógica em Física - Formação Pedagógica em Física - Eli Cristiane Aparecida de Oliveira - Deficiência Auditiva e Libras/a - Nota Máxima: 10</v>
      </c>
    </row>
    <row r="3883">
      <c r="A3883" s="390" t="str">
        <f>IFERROR(__xludf.DUMMYFUNCTION("""COMPUTED_VALUE"""),"Formação Pedagógica em Física - Formação Pedagógica em Física - Eli Cristiane Aparecida de Oliveira - Deficiência Auditiva e Libras/a - Nota Máxima: 7")</f>
        <v>Formação Pedagógica em Física - Formação Pedagógica em Física - Eli Cristiane Aparecida de Oliveira - Deficiência Auditiva e Libras/a - Nota Máxima: 7</v>
      </c>
    </row>
    <row r="3884">
      <c r="A3884" s="390" t="str">
        <f>IFERROR(__xludf.DUMMYFUNCTION("""COMPUTED_VALUE"""),"Formação Pedagógica em Física - Formação Pedagógica em Física - Eli Cristiane Aparecida de Oliveira - Educação Especial, Inclusão Escolar e Adaptações Curriculares - Nota Máxima: 10")</f>
        <v>Formação Pedagógica em Física - Formação Pedagógica em Física - Eli Cristiane Aparecida de Oliveira - Educação Especial, Inclusão Escolar e Adaptações Curriculares - Nota Máxima: 10</v>
      </c>
    </row>
    <row r="3885">
      <c r="A3885" s="390" t="str">
        <f>IFERROR(__xludf.DUMMYFUNCTION("""COMPUTED_VALUE"""),"Formação Pedagógica em Física - Formação Pedagógica em Física - Eli Cristiane Aparecida de Oliveira - Educação Especial, Inclusão Escolar e Adaptações Curriculares - Nota Máxima: 8")</f>
        <v>Formação Pedagógica em Física - Formação Pedagógica em Física - Eli Cristiane Aparecida de Oliveira - Educação Especial, Inclusão Escolar e Adaptações Curriculares - Nota Máxima: 8</v>
      </c>
    </row>
    <row r="3886">
      <c r="A3886" s="390" t="str">
        <f>IFERROR(__xludf.DUMMYFUNCTION("""COMPUTED_VALUE"""),"Formação Pedagógica em Física - Formação Pedagógica em Física - Eli Cristiane Aparecida de Oliveira - Educação, História, Cultura e Práticas Indígenas/a - Nota Máxima: 10")</f>
        <v>Formação Pedagógica em Física - Formação Pedagógica em Física - Eli Cristiane Aparecida de Oliveira - Educação, História, Cultura e Práticas Indígenas/a - Nota Máxima: 10</v>
      </c>
    </row>
    <row r="3887">
      <c r="A3887" s="390" t="str">
        <f>IFERROR(__xludf.DUMMYFUNCTION("""COMPUTED_VALUE"""),"Formação Pedagógica em Física - Formação Pedagógica em Física - Eli Cristiane Aparecida de Oliveira - Educação, História, Cultura e Práticas Indígenas/a - Nota Máxima: 7")</f>
        <v>Formação Pedagógica em Física - Formação Pedagógica em Física - Eli Cristiane Aparecida de Oliveira - Educação, História, Cultura e Práticas Indígenas/a - Nota Máxima: 7</v>
      </c>
    </row>
    <row r="3888">
      <c r="A3888" s="390" t="str">
        <f>IFERROR(__xludf.DUMMYFUNCTION("""COMPUTED_VALUE"""),"Formação Pedagógica em Física - Formação Pedagógica em Física - Eli Cristiane Aparecida de Oliveira - Física Quântica e Relatividade - Nota Máxima: 10")</f>
        <v>Formação Pedagógica em Física - Formação Pedagógica em Física - Eli Cristiane Aparecida de Oliveira - Física Quântica e Relatividade - Nota Máxima: 10</v>
      </c>
    </row>
    <row r="3889">
      <c r="A3889" s="390" t="str">
        <f>IFERROR(__xludf.DUMMYFUNCTION("""COMPUTED_VALUE"""),"Formação Pedagógica em Física - Formação Pedagógica em Física - Eli Cristiane Aparecida de Oliveira - Física Quântica e Relatividade - Nota Máxima: 5")</f>
        <v>Formação Pedagógica em Física - Formação Pedagógica em Física - Eli Cristiane Aparecida de Oliveira - Física Quântica e Relatividade - Nota Máxima: 5</v>
      </c>
    </row>
    <row r="3890">
      <c r="A3890" s="390" t="str">
        <f>IFERROR(__xludf.DUMMYFUNCTION("""COMPUTED_VALUE"""),"Formação Pedagógica em Física - Formação Pedagógica em Física - Eli Cristiane Aparecida de Oliveira - Geometria Analítica - Nota Máxima: 8")</f>
        <v>Formação Pedagógica em Física - Formação Pedagógica em Física - Eli Cristiane Aparecida de Oliveira - Geometria Analítica - Nota Máxima: 8</v>
      </c>
    </row>
    <row r="3891">
      <c r="A3891" s="390" t="str">
        <f>IFERROR(__xludf.DUMMYFUNCTION("""COMPUTED_VALUE"""),"Formação Pedagógica em Física - Formação Pedagógica em Física - Eli Cristiane Aparecida de Oliveira - Geometria Analítica - Nota Máxima: 6")</f>
        <v>Formação Pedagógica em Física - Formação Pedagógica em Física - Eli Cristiane Aparecida de Oliveira - Geometria Analítica - Nota Máxima: 6</v>
      </c>
    </row>
    <row r="3892">
      <c r="A3892" s="390" t="str">
        <f>IFERROR(__xludf.DUMMYFUNCTION("""COMPUTED_VALUE"""),"Formação Pedagógica em Física - Formação Pedagógica em Física - Eli Cristiane Aparecida de Oliveira - Legislação Educacional/a - Nota Máxima: 10")</f>
        <v>Formação Pedagógica em Física - Formação Pedagógica em Física - Eli Cristiane Aparecida de Oliveira - Legislação Educacional/a - Nota Máxima: 10</v>
      </c>
    </row>
    <row r="3893">
      <c r="A3893" s="390" t="str">
        <f>IFERROR(__xludf.DUMMYFUNCTION("""COMPUTED_VALUE"""),"Formação Pedagógica em Física - Formação Pedagógica em Física - Eli Cristiane Aparecida de Oliveira - Legislação Educacional/a - Nota Máxima: 9")</f>
        <v>Formação Pedagógica em Física - Formação Pedagógica em Física - Eli Cristiane Aparecida de Oliveira - Legislação Educacional/a - Nota Máxima: 9</v>
      </c>
    </row>
    <row r="3894">
      <c r="A3894" s="390" t="str">
        <f>IFERROR(__xludf.DUMMYFUNCTION("""COMPUTED_VALUE"""),"Formação Pedagógica em Física - Formação Pedagógica em Física - Eli Cristiane Aparecida de Oliveira - Matemática e Raciocínio Lógico - Nota Máxima: 10")</f>
        <v>Formação Pedagógica em Física - Formação Pedagógica em Física - Eli Cristiane Aparecida de Oliveira - Matemática e Raciocínio Lógico - Nota Máxima: 10</v>
      </c>
    </row>
    <row r="3895">
      <c r="A3895" s="390" t="str">
        <f>IFERROR(__xludf.DUMMYFUNCTION("""COMPUTED_VALUE"""),"Formação Pedagógica em Física - Formação Pedagógica em Física - Eli Cristiane Aparecida de Oliveira - Matemática e Raciocínio Lógico - Nota Máxima: 5")</f>
        <v>Formação Pedagógica em Física - Formação Pedagógica em Física - Eli Cristiane Aparecida de Oliveira - Matemática e Raciocínio Lógico - Nota Máxima: 5</v>
      </c>
    </row>
    <row r="3896">
      <c r="A3896" s="390" t="str">
        <f>IFERROR(__xludf.DUMMYFUNCTION("""COMPUTED_VALUE"""),"Formação Pedagógica em Física - Formação Pedagógica em Física - Eli Cristiane Aparecida de Oliveira - Ondas Eletromagnéticas - Nota Máxima: 10")</f>
        <v>Formação Pedagógica em Física - Formação Pedagógica em Física - Eli Cristiane Aparecida de Oliveira - Ondas Eletromagnéticas - Nota Máxima: 10</v>
      </c>
    </row>
    <row r="3897">
      <c r="A3897" s="390" t="str">
        <f>IFERROR(__xludf.DUMMYFUNCTION("""COMPUTED_VALUE"""),"Formação Pedagógica em Física - Formação Pedagógica em Física - Eli Cristiane Aparecida de Oliveira - Ondas Eletromagnéticas - Nota Máxima: 7")</f>
        <v>Formação Pedagógica em Física - Formação Pedagógica em Física - Eli Cristiane Aparecida de Oliveira - Ondas Eletromagnéticas - Nota Máxima: 7</v>
      </c>
    </row>
    <row r="3898">
      <c r="A3898" s="390" t="str">
        <f>IFERROR(__xludf.DUMMYFUNCTION("""COMPUTED_VALUE"""),"Formação Pedagógica em Física - Formação Pedagógica em Física - Eli Cristiane Aparecida de Oliveira - Planejamento, Gestão Educacional e Currículo/a - Nota Máxima: 10")</f>
        <v>Formação Pedagógica em Física - Formação Pedagógica em Física - Eli Cristiane Aparecida de Oliveira - Planejamento, Gestão Educacional e Currículo/a - Nota Máxima: 10</v>
      </c>
    </row>
    <row r="3899">
      <c r="A3899" s="390" t="str">
        <f>IFERROR(__xludf.DUMMYFUNCTION("""COMPUTED_VALUE"""),"Formação Pedagógica em Física - Formação Pedagógica em Física - Eli Cristiane Aparecida de Oliveira - Planejamento, Gestão Educacional e Currículo/a - Nota Máxima: 10")</f>
        <v>Formação Pedagógica em Física - Formação Pedagógica em Física - Eli Cristiane Aparecida de Oliveira - Planejamento, Gestão Educacional e Currículo/a - Nota Máxima: 10</v>
      </c>
    </row>
    <row r="3900">
      <c r="A3900" s="390" t="str">
        <f>IFERROR(__xludf.DUMMYFUNCTION("""COMPUTED_VALUE"""),"Formação Pedagógica em Física - Formação Pedagógica em Física - Eli Cristiane Aparecida de Oliveira - Práticas Pedagógicas - 400 Horas - Nota Máxima: 10")</f>
        <v>Formação Pedagógica em Física - Formação Pedagógica em Física - Eli Cristiane Aparecida de Oliveira - Práticas Pedagógicas - 400 Horas - Nota Máxima: 10</v>
      </c>
    </row>
    <row r="3901">
      <c r="A3901" s="390" t="str">
        <f>IFERROR(__xludf.DUMMYFUNCTION("""COMPUTED_VALUE"""),"Formação Pedagógica em Física - Formação Pedagógica em Física - Eli Cristiane Aparecida de Oliveira - Práticas Pedagógicas - 400 Horas - Nota Máxima: 10")</f>
        <v>Formação Pedagógica em Física - Formação Pedagógica em Física - Eli Cristiane Aparecida de Oliveira - Práticas Pedagógicas - 400 Horas - Nota Máxima: 10</v>
      </c>
    </row>
    <row r="3902">
      <c r="A3902" s="390" t="str">
        <f>IFERROR(__xludf.DUMMYFUNCTION("""COMPUTED_VALUE"""),"Formação Pedagógica em Física - Formação Pedagógica em Física - Eli Cristiane Aparecida de Oliveira - Psicologia da Educação/a - Nota Máxima: 10")</f>
        <v>Formação Pedagógica em Física - Formação Pedagógica em Física - Eli Cristiane Aparecida de Oliveira - Psicologia da Educação/a - Nota Máxima: 10</v>
      </c>
    </row>
    <row r="3903">
      <c r="A3903" s="390" t="str">
        <f>IFERROR(__xludf.DUMMYFUNCTION("""COMPUTED_VALUE"""),"Formação Pedagógica em Física - Formação Pedagógica em Física - Eli Cristiane Aparecida de Oliveira - Psicologia da Educação/a - Nota Máxima: 7")</f>
        <v>Formação Pedagógica em Física - Formação Pedagógica em Física - Eli Cristiane Aparecida de Oliveira - Psicologia da Educação/a - Nota Máxima: 7</v>
      </c>
    </row>
    <row r="3904">
      <c r="A3904" s="390" t="str">
        <f>IFERROR(__xludf.DUMMYFUNCTION("""COMPUTED_VALUE"""),"Formação Pedagógica em Física - Formação Pedagógica em Física - Eli Cristiane Aparecida de Oliveira - Termodinâmica - Nota Máxima: 8")</f>
        <v>Formação Pedagógica em Física - Formação Pedagógica em Física - Eli Cristiane Aparecida de Oliveira - Termodinâmica - Nota Máxima: 8</v>
      </c>
    </row>
    <row r="3905">
      <c r="A3905" s="390" t="str">
        <f>IFERROR(__xludf.DUMMYFUNCTION("""COMPUTED_VALUE"""),"Formação Pedagógica em Física - Formação Pedagógica em Física - Eli Cristiane Aparecida de Oliveira - Termodinâmica - Nota Máxima: 9")</f>
        <v>Formação Pedagógica em Física - Formação Pedagógica em Física - Eli Cristiane Aparecida de Oliveira - Termodinâmica - Nota Máxima: 9</v>
      </c>
    </row>
    <row r="3906">
      <c r="A3906" s="390" t="str">
        <f>IFERROR(__xludf.DUMMYFUNCTION("""COMPUTED_VALUE"""),"Formação Pedagógica em Física - Formação Pedagógica em Física - Roni Rodrigues Siqueira - Atuação Docente na Educação Inclusiva - Nota Máxima: 9")</f>
        <v>Formação Pedagógica em Física - Formação Pedagógica em Física - Roni Rodrigues Siqueira - Atuação Docente na Educação Inclusiva - Nota Máxima: 9</v>
      </c>
    </row>
    <row r="3907">
      <c r="A3907" s="390" t="str">
        <f>IFERROR(__xludf.DUMMYFUNCTION("""COMPUTED_VALUE"""),"Formação Pedagógica em Física - Formação Pedagógica em Física - Roni Rodrigues Siqueira - Atuação Docente na Educação Inclusiva - Nota Máxima: 9")</f>
        <v>Formação Pedagógica em Física - Formação Pedagógica em Física - Roni Rodrigues Siqueira - Atuação Docente na Educação Inclusiva - Nota Máxima: 9</v>
      </c>
    </row>
    <row r="3908">
      <c r="A3908" s="390" t="str">
        <f>IFERROR(__xludf.DUMMYFUNCTION("""COMPUTED_VALUE"""),"Formação Pedagógica em Física - Formação Pedagógica em Física - Roni Rodrigues Siqueira - Cálculo - Nota Máxima: 9")</f>
        <v>Formação Pedagógica em Física - Formação Pedagógica em Física - Roni Rodrigues Siqueira - Cálculo - Nota Máxima: 9</v>
      </c>
    </row>
    <row r="3909">
      <c r="A3909" s="390" t="str">
        <f>IFERROR(__xludf.DUMMYFUNCTION("""COMPUTED_VALUE"""),"Formação Pedagógica em Física - Formação Pedagógica em Física - Roni Rodrigues Siqueira - Cálculo - Nota Máxima: 5")</f>
        <v>Formação Pedagógica em Física - Formação Pedagógica em Física - Roni Rodrigues Siqueira - Cálculo - Nota Máxima: 5</v>
      </c>
    </row>
    <row r="3910">
      <c r="A3910" s="390" t="str">
        <f>IFERROR(__xludf.DUMMYFUNCTION("""COMPUTED_VALUE"""),"Formação Pedagógica em Física - Formação Pedagógica em Física - Roni Rodrigues Siqueira - Deficiência Auditiva e Libras/a - Nota Máxima: 9")</f>
        <v>Formação Pedagógica em Física - Formação Pedagógica em Física - Roni Rodrigues Siqueira - Deficiência Auditiva e Libras/a - Nota Máxima: 9</v>
      </c>
    </row>
    <row r="3911">
      <c r="A3911" s="390" t="str">
        <f>IFERROR(__xludf.DUMMYFUNCTION("""COMPUTED_VALUE"""),"Formação Pedagógica em Física - Formação Pedagógica em Física - Roni Rodrigues Siqueira - Deficiência Auditiva e Libras/a - Nota Máxima: 9")</f>
        <v>Formação Pedagógica em Física - Formação Pedagógica em Física - Roni Rodrigues Siqueira - Deficiência Auditiva e Libras/a - Nota Máxima: 9</v>
      </c>
    </row>
    <row r="3912">
      <c r="A3912" s="390" t="str">
        <f>IFERROR(__xludf.DUMMYFUNCTION("""COMPUTED_VALUE"""),"Formação Pedagógica em Física - Formação Pedagógica em Física - Roni Rodrigues Siqueira - Educação Especial, Inclusão Escolar e Adaptações Curriculares - Nota Máxima: 9")</f>
        <v>Formação Pedagógica em Física - Formação Pedagógica em Física - Roni Rodrigues Siqueira - Educação Especial, Inclusão Escolar e Adaptações Curriculares - Nota Máxima: 9</v>
      </c>
    </row>
    <row r="3913">
      <c r="A3913" s="390" t="str">
        <f>IFERROR(__xludf.DUMMYFUNCTION("""COMPUTED_VALUE"""),"Formação Pedagógica em Física - Formação Pedagógica em Física - Roni Rodrigues Siqueira - Educação Especial, Inclusão Escolar e Adaptações Curriculares - Nota Máxima: 8")</f>
        <v>Formação Pedagógica em Física - Formação Pedagógica em Física - Roni Rodrigues Siqueira - Educação Especial, Inclusão Escolar e Adaptações Curriculares - Nota Máxima: 8</v>
      </c>
    </row>
    <row r="3914">
      <c r="A3914" s="390" t="str">
        <f>IFERROR(__xludf.DUMMYFUNCTION("""COMPUTED_VALUE"""),"Formação Pedagógica em Física - Formação Pedagógica em Física - Roni Rodrigues Siqueira - Educação, História, Cultura e Práticas Indígenas/a - Nota Máxima: 9")</f>
        <v>Formação Pedagógica em Física - Formação Pedagógica em Física - Roni Rodrigues Siqueira - Educação, História, Cultura e Práticas Indígenas/a - Nota Máxima: 9</v>
      </c>
    </row>
    <row r="3915">
      <c r="A3915" s="390" t="str">
        <f>IFERROR(__xludf.DUMMYFUNCTION("""COMPUTED_VALUE"""),"Formação Pedagógica em Física - Formação Pedagógica em Física - Roni Rodrigues Siqueira - Educação, História, Cultura e Práticas Indígenas/a - Nota Máxima: 7")</f>
        <v>Formação Pedagógica em Física - Formação Pedagógica em Física - Roni Rodrigues Siqueira - Educação, História, Cultura e Práticas Indígenas/a - Nota Máxima: 7</v>
      </c>
    </row>
    <row r="3916">
      <c r="A3916" s="390" t="str">
        <f>IFERROR(__xludf.DUMMYFUNCTION("""COMPUTED_VALUE"""),"Formação Pedagógica em Física - Formação Pedagógica em Física - Roni Rodrigues Siqueira - Física Quântica e Relatividade - Nota Máxima: 9")</f>
        <v>Formação Pedagógica em Física - Formação Pedagógica em Física - Roni Rodrigues Siqueira - Física Quântica e Relatividade - Nota Máxima: 9</v>
      </c>
    </row>
    <row r="3917">
      <c r="A3917" s="390" t="str">
        <f>IFERROR(__xludf.DUMMYFUNCTION("""COMPUTED_VALUE"""),"Formação Pedagógica em Física - Formação Pedagógica em Física - Roni Rodrigues Siqueira - Física Quântica e Relatividade - Nota Máxima: 5")</f>
        <v>Formação Pedagógica em Física - Formação Pedagógica em Física - Roni Rodrigues Siqueira - Física Quântica e Relatividade - Nota Máxima: 5</v>
      </c>
    </row>
    <row r="3918">
      <c r="A3918" s="390" t="str">
        <f>IFERROR(__xludf.DUMMYFUNCTION("""COMPUTED_VALUE"""),"Formação Pedagógica em Física - Formação Pedagógica em Física - Roni Rodrigues Siqueira - Geometria Analítica - Nota Máxima: 9")</f>
        <v>Formação Pedagógica em Física - Formação Pedagógica em Física - Roni Rodrigues Siqueira - Geometria Analítica - Nota Máxima: 9</v>
      </c>
    </row>
    <row r="3919">
      <c r="A3919" s="390" t="str">
        <f>IFERROR(__xludf.DUMMYFUNCTION("""COMPUTED_VALUE"""),"Formação Pedagógica em Física - Formação Pedagógica em Física - Roni Rodrigues Siqueira - Geometria Analítica - Nota Máxima: 6")</f>
        <v>Formação Pedagógica em Física - Formação Pedagógica em Física - Roni Rodrigues Siqueira - Geometria Analítica - Nota Máxima: 6</v>
      </c>
    </row>
    <row r="3920">
      <c r="A3920" s="390" t="str">
        <f>IFERROR(__xludf.DUMMYFUNCTION("""COMPUTED_VALUE"""),"Formação Pedagógica em Física - Formação Pedagógica em Física - Roni Rodrigues Siqueira - Legislação Educacional/a - Nota Máxima: 9")</f>
        <v>Formação Pedagógica em Física - Formação Pedagógica em Física - Roni Rodrigues Siqueira - Legislação Educacional/a - Nota Máxima: 9</v>
      </c>
    </row>
    <row r="3921">
      <c r="A3921" s="390" t="str">
        <f>IFERROR(__xludf.DUMMYFUNCTION("""COMPUTED_VALUE"""),"Formação Pedagógica em Física - Formação Pedagógica em Física - Roni Rodrigues Siqueira - Legislação Educacional/a - Nota Máxima: 6")</f>
        <v>Formação Pedagógica em Física - Formação Pedagógica em Física - Roni Rodrigues Siqueira - Legislação Educacional/a - Nota Máxima: 6</v>
      </c>
    </row>
    <row r="3922">
      <c r="A3922" s="390" t="str">
        <f>IFERROR(__xludf.DUMMYFUNCTION("""COMPUTED_VALUE"""),"Formação Pedagógica em Física - Formação Pedagógica em Física - Roni Rodrigues Siqueira - Matemática e Raciocínio Lógico - Nota Máxima: 9")</f>
        <v>Formação Pedagógica em Física - Formação Pedagógica em Física - Roni Rodrigues Siqueira - Matemática e Raciocínio Lógico - Nota Máxima: 9</v>
      </c>
    </row>
    <row r="3923">
      <c r="A3923" s="390" t="str">
        <f>IFERROR(__xludf.DUMMYFUNCTION("""COMPUTED_VALUE"""),"Formação Pedagógica em Física - Formação Pedagógica em Física - Roni Rodrigues Siqueira - Matemática e Raciocínio Lógico - Nota Máxima: 3")</f>
        <v>Formação Pedagógica em Física - Formação Pedagógica em Física - Roni Rodrigues Siqueira - Matemática e Raciocínio Lógico - Nota Máxima: 3</v>
      </c>
    </row>
    <row r="3924">
      <c r="A3924" s="390" t="str">
        <f>IFERROR(__xludf.DUMMYFUNCTION("""COMPUTED_VALUE"""),"Formação Pedagógica em Física - Formação Pedagógica em Física - Roni Rodrigues Siqueira - Ondas Eletromagnéticas - Nota Máxima: 9")</f>
        <v>Formação Pedagógica em Física - Formação Pedagógica em Física - Roni Rodrigues Siqueira - Ondas Eletromagnéticas - Nota Máxima: 9</v>
      </c>
    </row>
    <row r="3925">
      <c r="A3925" s="390" t="str">
        <f>IFERROR(__xludf.DUMMYFUNCTION("""COMPUTED_VALUE"""),"Formação Pedagógica em Física - Formação Pedagógica em Física - Roni Rodrigues Siqueira - Ondas Eletromagnéticas - Nota Máxima: 8")</f>
        <v>Formação Pedagógica em Física - Formação Pedagógica em Física - Roni Rodrigues Siqueira - Ondas Eletromagnéticas - Nota Máxima: 8</v>
      </c>
    </row>
    <row r="3926">
      <c r="A3926" s="390" t="str">
        <f>IFERROR(__xludf.DUMMYFUNCTION("""COMPUTED_VALUE"""),"Formação Pedagógica em Física - Formação Pedagógica em Física - Roni Rodrigues Siqueira - Planejamento, Gestão Educacional e Currículo/a - Nota Máxima: 9")</f>
        <v>Formação Pedagógica em Física - Formação Pedagógica em Física - Roni Rodrigues Siqueira - Planejamento, Gestão Educacional e Currículo/a - Nota Máxima: 9</v>
      </c>
    </row>
    <row r="3927">
      <c r="A3927" s="390" t="str">
        <f>IFERROR(__xludf.DUMMYFUNCTION("""COMPUTED_VALUE"""),"Formação Pedagógica em Física - Formação Pedagógica em Física - Roni Rodrigues Siqueira - Planejamento, Gestão Educacional e Currículo/a - Nota Máxima: 8")</f>
        <v>Formação Pedagógica em Física - Formação Pedagógica em Física - Roni Rodrigues Siqueira - Planejamento, Gestão Educacional e Currículo/a - Nota Máxima: 8</v>
      </c>
    </row>
    <row r="3928">
      <c r="A3928" s="390" t="str">
        <f>IFERROR(__xludf.DUMMYFUNCTION("""COMPUTED_VALUE"""),"Formação Pedagógica em Física - Formação Pedagógica em Física - Roni Rodrigues Siqueira - Práticas Pedagógicas - 400 Horas - Nota Máxima: 10")</f>
        <v>Formação Pedagógica em Física - Formação Pedagógica em Física - Roni Rodrigues Siqueira - Práticas Pedagógicas - 400 Horas - Nota Máxima: 10</v>
      </c>
    </row>
    <row r="3929">
      <c r="A3929" s="390" t="str">
        <f>IFERROR(__xludf.DUMMYFUNCTION("""COMPUTED_VALUE"""),"Formação Pedagógica em Física - Formação Pedagógica em Física - Roni Rodrigues Siqueira - Práticas Pedagógicas - 400 Horas - Nota Máxima: 10")</f>
        <v>Formação Pedagógica em Física - Formação Pedagógica em Física - Roni Rodrigues Siqueira - Práticas Pedagógicas - 400 Horas - Nota Máxima: 10</v>
      </c>
    </row>
    <row r="3930">
      <c r="A3930" s="390" t="str">
        <f>IFERROR(__xludf.DUMMYFUNCTION("""COMPUTED_VALUE"""),"Formação Pedagógica em Física - Formação Pedagógica em Física - Roni Rodrigues Siqueira - Psicologia da Educação/a - Nota Máxima: 9")</f>
        <v>Formação Pedagógica em Física - Formação Pedagógica em Física - Roni Rodrigues Siqueira - Psicologia da Educação/a - Nota Máxima: 9</v>
      </c>
    </row>
    <row r="3931">
      <c r="A3931" s="390" t="str">
        <f>IFERROR(__xludf.DUMMYFUNCTION("""COMPUTED_VALUE"""),"Formação Pedagógica em Física - Formação Pedagógica em Física - Roni Rodrigues Siqueira - Psicologia da Educação/a - Nota Máxima: 6")</f>
        <v>Formação Pedagógica em Física - Formação Pedagógica em Física - Roni Rodrigues Siqueira - Psicologia da Educação/a - Nota Máxima: 6</v>
      </c>
    </row>
    <row r="3932">
      <c r="A3932" s="390" t="str">
        <f>IFERROR(__xludf.DUMMYFUNCTION("""COMPUTED_VALUE"""),"Formação Pedagógica em Física - Formação Pedagógica em Física - Roni Rodrigues Siqueira - Termodinâmica - Nota Máxima: 9")</f>
        <v>Formação Pedagógica em Física - Formação Pedagógica em Física - Roni Rodrigues Siqueira - Termodinâmica - Nota Máxima: 9</v>
      </c>
    </row>
    <row r="3933">
      <c r="A3933" s="390" t="str">
        <f>IFERROR(__xludf.DUMMYFUNCTION("""COMPUTED_VALUE"""),"Formação Pedagógica em Física - Formação Pedagógica em Física - Roni Rodrigues Siqueira - Termodinâmica - Nota Máxima: 9")</f>
        <v>Formação Pedagógica em Física - Formação Pedagógica em Física - Roni Rodrigues Siqueira - Termodinâmica - Nota Máxima: 9</v>
      </c>
    </row>
    <row r="3934">
      <c r="A3934" s="390" t="str">
        <f>IFERROR(__xludf.DUMMYFUNCTION("""COMPUTED_VALUE"""),"#SLFA  - Segunda Licenciatura em Filosofia - Segunda Licenciatura em Filosofia - Emanuele Alexandra de Jesus Touça - Ciência Política - Nota Máxima: 8.89")</f>
        <v>#SLFA  - Segunda Licenciatura em Filosofia - Segunda Licenciatura em Filosofia - Emanuele Alexandra de Jesus Touça - Ciência Política - Nota Máxima: 8.89</v>
      </c>
    </row>
    <row r="3935">
      <c r="A3935" s="390" t="str">
        <f>IFERROR(__xludf.DUMMYFUNCTION("""COMPUTED_VALUE"""),"#SLFA  - Segunda Licenciatura em Filosofia - Segunda Licenciatura em Filosofia - Emanuele Alexandra de Jesus Touça - Ciência Política - Nota Máxima: 0")</f>
        <v>#SLFA  - Segunda Licenciatura em Filosofia - Segunda Licenciatura em Filosofia - Emanuele Alexandra de Jesus Touça - Ciência Política - Nota Máxima: 0</v>
      </c>
    </row>
    <row r="3936">
      <c r="A3936" s="390" t="str">
        <f>IFERROR(__xludf.DUMMYFUNCTION("""COMPUTED_VALUE"""),"#SLFA  - Segunda Licenciatura em Filosofia - Segunda Licenciatura em Filosofia - Emanuele Alexandra de Jesus Touça - Deficiência Auditiva e Libras/a - Nota Máxima: 10")</f>
        <v>#SLFA  - Segunda Licenciatura em Filosofia - Segunda Licenciatura em Filosofia - Emanuele Alexandra de Jesus Touça - Deficiência Auditiva e Libras/a - Nota Máxima: 10</v>
      </c>
    </row>
    <row r="3937">
      <c r="A3937" s="390" t="str">
        <f>IFERROR(__xludf.DUMMYFUNCTION("""COMPUTED_VALUE"""),"#SLFA  - Segunda Licenciatura em Filosofia - Segunda Licenciatura em Filosofia - Emanuele Alexandra de Jesus Touça - Deficiência Auditiva e Libras/a - Nota Máxima: 0")</f>
        <v>#SLFA  - Segunda Licenciatura em Filosofia - Segunda Licenciatura em Filosofia - Emanuele Alexandra de Jesus Touça - Deficiência Auditiva e Libras/a - Nota Máxima: 0</v>
      </c>
    </row>
    <row r="3938">
      <c r="A3938" s="390" t="str">
        <f>IFERROR(__xludf.DUMMYFUNCTION("""COMPUTED_VALUE"""),"#SLFA  - Segunda Licenciatura em Filosofia - Segunda Licenciatura em Filosofia - Emanuele Alexandra de Jesus Touça - Desenvolvimento do Capital Humano - Nota Máxima: 8.89")</f>
        <v>#SLFA  - Segunda Licenciatura em Filosofia - Segunda Licenciatura em Filosofia - Emanuele Alexandra de Jesus Touça - Desenvolvimento do Capital Humano - Nota Máxima: 8.89</v>
      </c>
    </row>
    <row r="3939">
      <c r="A3939" s="390" t="str">
        <f>IFERROR(__xludf.DUMMYFUNCTION("""COMPUTED_VALUE"""),"#SLFA  - Segunda Licenciatura em Filosofia - Segunda Licenciatura em Filosofia - Emanuele Alexandra de Jesus Touça - Desenvolvimento do Capital Humano - Nota Máxima: 0")</f>
        <v>#SLFA  - Segunda Licenciatura em Filosofia - Segunda Licenciatura em Filosofia - Emanuele Alexandra de Jesus Touça - Desenvolvimento do Capital Humano - Nota Máxima: 0</v>
      </c>
    </row>
    <row r="3940">
      <c r="A3940" s="390" t="str">
        <f>IFERROR(__xludf.DUMMYFUNCTION("""COMPUTED_VALUE"""),"#SLFA  - Segunda Licenciatura em Filosofia - Segunda Licenciatura em Filosofia - Emanuele Alexandra de Jesus Touça - Educação, História, Cultura e Práticas Indígenas/a - Nota Máxima: 10")</f>
        <v>#SLFA  - Segunda Licenciatura em Filosofia - Segunda Licenciatura em Filosofia - Emanuele Alexandra de Jesus Touça - Educação, História, Cultura e Práticas Indígenas/a - Nota Máxima: 10</v>
      </c>
    </row>
    <row r="3941">
      <c r="A3941" s="390" t="str">
        <f>IFERROR(__xludf.DUMMYFUNCTION("""COMPUTED_VALUE"""),"#SLFA  - Segunda Licenciatura em Filosofia - Segunda Licenciatura em Filosofia - Emanuele Alexandra de Jesus Touça - Educação, História, Cultura e Práticas Indígenas/a - Nota Máxima: 0")</f>
        <v>#SLFA  - Segunda Licenciatura em Filosofia - Segunda Licenciatura em Filosofia - Emanuele Alexandra de Jesus Touça - Educação, História, Cultura e Práticas Indígenas/a - Nota Máxima: 0</v>
      </c>
    </row>
    <row r="3942">
      <c r="A3942" s="390" t="str">
        <f>IFERROR(__xludf.DUMMYFUNCTION("""COMPUTED_VALUE"""),"#SLFA  - Segunda Licenciatura em Filosofia - Segunda Licenciatura em Filosofia - Emanuele Alexandra de Jesus Touça - Estudos Populacionais - Nota Máxima: 9")</f>
        <v>#SLFA  - Segunda Licenciatura em Filosofia - Segunda Licenciatura em Filosofia - Emanuele Alexandra de Jesus Touça - Estudos Populacionais - Nota Máxima: 9</v>
      </c>
    </row>
    <row r="3943">
      <c r="A3943" s="390" t="str">
        <f>IFERROR(__xludf.DUMMYFUNCTION("""COMPUTED_VALUE"""),"#SLFA  - Segunda Licenciatura em Filosofia - Segunda Licenciatura em Filosofia - Emanuele Alexandra de Jesus Touça - Estudos Populacionais - Nota Máxima: 0")</f>
        <v>#SLFA  - Segunda Licenciatura em Filosofia - Segunda Licenciatura em Filosofia - Emanuele Alexandra de Jesus Touça - Estudos Populacionais - Nota Máxima: 0</v>
      </c>
    </row>
    <row r="3944">
      <c r="A3944" s="390" t="str">
        <f>IFERROR(__xludf.DUMMYFUNCTION("""COMPUTED_VALUE"""),"#SLFA  - Segunda Licenciatura em Filosofia - Segunda Licenciatura em Filosofia - Emanuele Alexandra de Jesus Touça - Filosofia das Artes à Estética - Nota Máxima: 9")</f>
        <v>#SLFA  - Segunda Licenciatura em Filosofia - Segunda Licenciatura em Filosofia - Emanuele Alexandra de Jesus Touça - Filosofia das Artes à Estética - Nota Máxima: 9</v>
      </c>
    </row>
    <row r="3945">
      <c r="A3945" s="390" t="str">
        <f>IFERROR(__xludf.DUMMYFUNCTION("""COMPUTED_VALUE"""),"#SLFA  - Segunda Licenciatura em Filosofia - Segunda Licenciatura em Filosofia - Emanuele Alexandra de Jesus Touça - Filosofia das Artes à Estética - Nota Máxima: 0")</f>
        <v>#SLFA  - Segunda Licenciatura em Filosofia - Segunda Licenciatura em Filosofia - Emanuele Alexandra de Jesus Touça - Filosofia das Artes à Estética - Nota Máxima: 0</v>
      </c>
    </row>
    <row r="3946">
      <c r="A3946" s="390" t="str">
        <f>IFERROR(__xludf.DUMMYFUNCTION("""COMPUTED_VALUE"""),"#SLFA  - Segunda Licenciatura em Filosofia - Segunda Licenciatura em Filosofia - Emanuele Alexandra de Jesus Touça - Filosofia e Política - Nota Máxima: 10")</f>
        <v>#SLFA  - Segunda Licenciatura em Filosofia - Segunda Licenciatura em Filosofia - Emanuele Alexandra de Jesus Touça - Filosofia e Política - Nota Máxima: 10</v>
      </c>
    </row>
    <row r="3947">
      <c r="A3947" s="390" t="str">
        <f>IFERROR(__xludf.DUMMYFUNCTION("""COMPUTED_VALUE"""),"#SLFA  - Segunda Licenciatura em Filosofia - Segunda Licenciatura em Filosofia - Emanuele Alexandra de Jesus Touça - Filosofia e Política - Nota Máxima: 0")</f>
        <v>#SLFA  - Segunda Licenciatura em Filosofia - Segunda Licenciatura em Filosofia - Emanuele Alexandra de Jesus Touça - Filosofia e Política - Nota Máxima: 0</v>
      </c>
    </row>
    <row r="3948">
      <c r="A3948" s="390" t="str">
        <f>IFERROR(__xludf.DUMMYFUNCTION("""COMPUTED_VALUE"""),"#SLFA  - Segunda Licenciatura em Filosofia - Segunda Licenciatura em Filosofia - Emanuele Alexandra de Jesus Touça - História da Filosofia Moderna - Nota Máxima: 10")</f>
        <v>#SLFA  - Segunda Licenciatura em Filosofia - Segunda Licenciatura em Filosofia - Emanuele Alexandra de Jesus Touça - História da Filosofia Moderna - Nota Máxima: 10</v>
      </c>
    </row>
    <row r="3949">
      <c r="A3949" s="390" t="str">
        <f>IFERROR(__xludf.DUMMYFUNCTION("""COMPUTED_VALUE"""),"#SLFA  - Segunda Licenciatura em Filosofia - Segunda Licenciatura em Filosofia - Emanuele Alexandra de Jesus Touça - História da Filosofia Moderna - Nota Máxima: 0")</f>
        <v>#SLFA  - Segunda Licenciatura em Filosofia - Segunda Licenciatura em Filosofia - Emanuele Alexandra de Jesus Touça - História da Filosofia Moderna - Nota Máxima: 0</v>
      </c>
    </row>
    <row r="3950">
      <c r="A3950" s="390" t="str">
        <f>IFERROR(__xludf.DUMMYFUNCTION("""COMPUTED_VALUE"""),"#SLFA  - Segunda Licenciatura em Filosofia - Segunda Licenciatura em Filosofia - Emanuele Alexandra de Jesus Touça - Legislação Educacional/a - Nota Máxima: 10")</f>
        <v>#SLFA  - Segunda Licenciatura em Filosofia - Segunda Licenciatura em Filosofia - Emanuele Alexandra de Jesus Touça - Legislação Educacional/a - Nota Máxima: 10</v>
      </c>
    </row>
    <row r="3951">
      <c r="A3951" s="390" t="str">
        <f>IFERROR(__xludf.DUMMYFUNCTION("""COMPUTED_VALUE"""),"#SLFA  - Segunda Licenciatura em Filosofia - Segunda Licenciatura em Filosofia - Emanuele Alexandra de Jesus Touça - Legislação Educacional/a - Nota Máxima: 0")</f>
        <v>#SLFA  - Segunda Licenciatura em Filosofia - Segunda Licenciatura em Filosofia - Emanuele Alexandra de Jesus Touça - Legislação Educacional/a - Nota Máxima: 0</v>
      </c>
    </row>
    <row r="3952">
      <c r="A3952" s="390" t="str">
        <f>IFERROR(__xludf.DUMMYFUNCTION("""COMPUTED_VALUE"""),"#SLFA  - Segunda Licenciatura em Filosofia - Segunda Licenciatura em Filosofia - Emanuele Alexandra de Jesus Touça - Metodologia do Aprendizado - Nota Máxima: 10")</f>
        <v>#SLFA  - Segunda Licenciatura em Filosofia - Segunda Licenciatura em Filosofia - Emanuele Alexandra de Jesus Touça - Metodologia do Aprendizado - Nota Máxima: 10</v>
      </c>
    </row>
    <row r="3953">
      <c r="A3953" s="390" t="str">
        <f>IFERROR(__xludf.DUMMYFUNCTION("""COMPUTED_VALUE"""),"#SLFA  - Segunda Licenciatura em Filosofia - Segunda Licenciatura em Filosofia - Emanuele Alexandra de Jesus Touça - Metodologia do Aprendizado - Nota Máxima: 0")</f>
        <v>#SLFA  - Segunda Licenciatura em Filosofia - Segunda Licenciatura em Filosofia - Emanuele Alexandra de Jesus Touça - Metodologia do Aprendizado - Nota Máxima: 0</v>
      </c>
    </row>
    <row r="3954">
      <c r="A3954" s="390" t="str">
        <f>IFERROR(__xludf.DUMMYFUNCTION("""COMPUTED_VALUE"""),"#SLFA  - Segunda Licenciatura em Filosofia - Segunda Licenciatura em Filosofia - Emanuele Alexandra de Jesus Touça - Práticas Pedagógicas - 400 Horas - Nota Máxima: 10")</f>
        <v>#SLFA  - Segunda Licenciatura em Filosofia - Segunda Licenciatura em Filosofia - Emanuele Alexandra de Jesus Touça - Práticas Pedagógicas - 400 Horas - Nota Máxima: 10</v>
      </c>
    </row>
    <row r="3955">
      <c r="A3955" s="390" t="str">
        <f>IFERROR(__xludf.DUMMYFUNCTION("""COMPUTED_VALUE"""),"#SLFA  - Segunda Licenciatura em Filosofia - Segunda Licenciatura em Filosofia - Emanuele Alexandra de Jesus Touça - Práticas Pedagógicas - 400 Horas - Nota Máxima: 0")</f>
        <v>#SLFA  - Segunda Licenciatura em Filosofia - Segunda Licenciatura em Filosofia - Emanuele Alexandra de Jesus Touça - Práticas Pedagógicas - 400 Horas - Nota Máxima: 0</v>
      </c>
    </row>
    <row r="3956">
      <c r="A3956" s="390" t="str">
        <f>IFERROR(__xludf.DUMMYFUNCTION("""COMPUTED_VALUE"""),"#SLFA  - Segunda Licenciatura em Filosofia - Segunda Licenciatura em Filosofia - Emanuele Alexandra de Jesus Touça - Psicologia da Educação/a - Nota Máxima: 10")</f>
        <v>#SLFA  - Segunda Licenciatura em Filosofia - Segunda Licenciatura em Filosofia - Emanuele Alexandra de Jesus Touça - Psicologia da Educação/a - Nota Máxima: 10</v>
      </c>
    </row>
    <row r="3957">
      <c r="A3957" s="390" t="str">
        <f>IFERROR(__xludf.DUMMYFUNCTION("""COMPUTED_VALUE"""),"#SLFA  - Segunda Licenciatura em Filosofia - Segunda Licenciatura em Filosofia - Emanuele Alexandra de Jesus Touça - Psicologia da Educação/a - Nota Máxima: 0")</f>
        <v>#SLFA  - Segunda Licenciatura em Filosofia - Segunda Licenciatura em Filosofia - Emanuele Alexandra de Jesus Touça - Psicologia da Educação/a - Nota Máxima: 0</v>
      </c>
    </row>
    <row r="3958">
      <c r="A3958" s="390" t="str">
        <f>IFERROR(__xludf.DUMMYFUNCTION("""COMPUTED_VALUE"""),"#SLFA  - Segunda Licenciatura em Filosofia - Segunda Licenciatura em Filosofia - LUIZ DOS SANTOS - Ciência Política - Nota Máxima: 10")</f>
        <v>#SLFA  - Segunda Licenciatura em Filosofia - Segunda Licenciatura em Filosofia - LUIZ DOS SANTOS - Ciência Política - Nota Máxima: 10</v>
      </c>
    </row>
    <row r="3959">
      <c r="A3959" s="390" t="str">
        <f>IFERROR(__xludf.DUMMYFUNCTION("""COMPUTED_VALUE"""),"#SLFA  - Segunda Licenciatura em Filosofia - Segunda Licenciatura em Filosofia - LUIZ DOS SANTOS - Ciência Política - Nota Máxima: 9")</f>
        <v>#SLFA  - Segunda Licenciatura em Filosofia - Segunda Licenciatura em Filosofia - LUIZ DOS SANTOS - Ciência Política - Nota Máxima: 9</v>
      </c>
    </row>
    <row r="3960">
      <c r="A3960" s="390" t="str">
        <f>IFERROR(__xludf.DUMMYFUNCTION("""COMPUTED_VALUE"""),"#SLFA  - Segunda Licenciatura em Filosofia - Segunda Licenciatura em Filosofia - LUIZ DOS SANTOS - Deficiência Auditiva e Libras/a - Nota Máxima: 10")</f>
        <v>#SLFA  - Segunda Licenciatura em Filosofia - Segunda Licenciatura em Filosofia - LUIZ DOS SANTOS - Deficiência Auditiva e Libras/a - Nota Máxima: 10</v>
      </c>
    </row>
    <row r="3961">
      <c r="A3961" s="390" t="str">
        <f>IFERROR(__xludf.DUMMYFUNCTION("""COMPUTED_VALUE"""),"#SLFA  - Segunda Licenciatura em Filosofia - Segunda Licenciatura em Filosofia - LUIZ DOS SANTOS - Deficiência Auditiva e Libras/a - Nota Máxima: 10")</f>
        <v>#SLFA  - Segunda Licenciatura em Filosofia - Segunda Licenciatura em Filosofia - LUIZ DOS SANTOS - Deficiência Auditiva e Libras/a - Nota Máxima: 10</v>
      </c>
    </row>
    <row r="3962">
      <c r="A3962" s="390" t="str">
        <f>IFERROR(__xludf.DUMMYFUNCTION("""COMPUTED_VALUE"""),"#SLFA  - Segunda Licenciatura em Filosofia - Segunda Licenciatura em Filosofia - LUIZ DOS SANTOS - Desenvolvimento do Capital Humano - Nota Máxima: 10")</f>
        <v>#SLFA  - Segunda Licenciatura em Filosofia - Segunda Licenciatura em Filosofia - LUIZ DOS SANTOS - Desenvolvimento do Capital Humano - Nota Máxima: 10</v>
      </c>
    </row>
    <row r="3963">
      <c r="A3963" s="390" t="str">
        <f>IFERROR(__xludf.DUMMYFUNCTION("""COMPUTED_VALUE"""),"#SLFA  - Segunda Licenciatura em Filosofia - Segunda Licenciatura em Filosofia - LUIZ DOS SANTOS - Desenvolvimento do Capital Humano - Nota Máxima: 8")</f>
        <v>#SLFA  - Segunda Licenciatura em Filosofia - Segunda Licenciatura em Filosofia - LUIZ DOS SANTOS - Desenvolvimento do Capital Humano - Nota Máxima: 8</v>
      </c>
    </row>
    <row r="3964">
      <c r="A3964" s="390" t="str">
        <f>IFERROR(__xludf.DUMMYFUNCTION("""COMPUTED_VALUE"""),"#SLFA  - Segunda Licenciatura em Filosofia - Segunda Licenciatura em Filosofia - LUIZ DOS SANTOS - Educação Especial, Inclusão Escolar e Adaptações Curriculares - Nota Máxima: 9")</f>
        <v>#SLFA  - Segunda Licenciatura em Filosofia - Segunda Licenciatura em Filosofia - LUIZ DOS SANTOS - Educação Especial, Inclusão Escolar e Adaptações Curriculares - Nota Máxima: 9</v>
      </c>
    </row>
    <row r="3965">
      <c r="A3965" s="390" t="str">
        <f>IFERROR(__xludf.DUMMYFUNCTION("""COMPUTED_VALUE"""),"#SLFA  - Segunda Licenciatura em Filosofia - Segunda Licenciatura em Filosofia - LUIZ DOS SANTOS - Educação Especial, Inclusão Escolar e Adaptações Curriculares - Nota Máxima: 8")</f>
        <v>#SLFA  - Segunda Licenciatura em Filosofia - Segunda Licenciatura em Filosofia - LUIZ DOS SANTOS - Educação Especial, Inclusão Escolar e Adaptações Curriculares - Nota Máxima: 8</v>
      </c>
    </row>
    <row r="3966">
      <c r="A3966" s="390" t="str">
        <f>IFERROR(__xludf.DUMMYFUNCTION("""COMPUTED_VALUE"""),"#SLFA  - Segunda Licenciatura em Filosofia - Segunda Licenciatura em Filosofia - LUIZ DOS SANTOS - Educação, História, Cultura e Práticas Indígenas/a - Nota Máxima: 10")</f>
        <v>#SLFA  - Segunda Licenciatura em Filosofia - Segunda Licenciatura em Filosofia - LUIZ DOS SANTOS - Educação, História, Cultura e Práticas Indígenas/a - Nota Máxima: 10</v>
      </c>
    </row>
    <row r="3967">
      <c r="A3967" s="390" t="str">
        <f>IFERROR(__xludf.DUMMYFUNCTION("""COMPUTED_VALUE"""),"#SLFA  - Segunda Licenciatura em Filosofia - Segunda Licenciatura em Filosofia - LUIZ DOS SANTOS - Educação, História, Cultura e Práticas Indígenas/a - Nota Máxima: 8")</f>
        <v>#SLFA  - Segunda Licenciatura em Filosofia - Segunda Licenciatura em Filosofia - LUIZ DOS SANTOS - Educação, História, Cultura e Práticas Indígenas/a - Nota Máxima: 8</v>
      </c>
    </row>
    <row r="3968">
      <c r="A3968" s="390" t="str">
        <f>IFERROR(__xludf.DUMMYFUNCTION("""COMPUTED_VALUE"""),"#SLFA  - Segunda Licenciatura em Filosofia - Segunda Licenciatura em Filosofia - LUIZ DOS SANTOS - Estudos Populacionais - Nota Máxima: 10")</f>
        <v>#SLFA  - Segunda Licenciatura em Filosofia - Segunda Licenciatura em Filosofia - LUIZ DOS SANTOS - Estudos Populacionais - Nota Máxima: 10</v>
      </c>
    </row>
    <row r="3969">
      <c r="A3969" s="390" t="str">
        <f>IFERROR(__xludf.DUMMYFUNCTION("""COMPUTED_VALUE"""),"#SLFA  - Segunda Licenciatura em Filosofia - Segunda Licenciatura em Filosofia - LUIZ DOS SANTOS - Estudos Populacionais - Nota Máxima: 9")</f>
        <v>#SLFA  - Segunda Licenciatura em Filosofia - Segunda Licenciatura em Filosofia - LUIZ DOS SANTOS - Estudos Populacionais - Nota Máxima: 9</v>
      </c>
    </row>
    <row r="3970">
      <c r="A3970" s="390" t="str">
        <f>IFERROR(__xludf.DUMMYFUNCTION("""COMPUTED_VALUE"""),"#SLFA  - Segunda Licenciatura em Filosofia - Segunda Licenciatura em Filosofia - LUIZ DOS SANTOS - Filosofia das Artes à Estética - Nota Máxima: 10")</f>
        <v>#SLFA  - Segunda Licenciatura em Filosofia - Segunda Licenciatura em Filosofia - LUIZ DOS SANTOS - Filosofia das Artes à Estética - Nota Máxima: 10</v>
      </c>
    </row>
    <row r="3971">
      <c r="A3971" s="390" t="str">
        <f>IFERROR(__xludf.DUMMYFUNCTION("""COMPUTED_VALUE"""),"#SLFA  - Segunda Licenciatura em Filosofia - Segunda Licenciatura em Filosofia - LUIZ DOS SANTOS - Filosofia das Artes à Estética - Nota Máxima: 7")</f>
        <v>#SLFA  - Segunda Licenciatura em Filosofia - Segunda Licenciatura em Filosofia - LUIZ DOS SANTOS - Filosofia das Artes à Estética - Nota Máxima: 7</v>
      </c>
    </row>
    <row r="3972">
      <c r="A3972" s="390" t="str">
        <f>IFERROR(__xludf.DUMMYFUNCTION("""COMPUTED_VALUE"""),"#SLFA  - Segunda Licenciatura em Filosofia - Segunda Licenciatura em Filosofia - LUIZ DOS SANTOS - Filosofia e Política - Nota Máxima: 9")</f>
        <v>#SLFA  - Segunda Licenciatura em Filosofia - Segunda Licenciatura em Filosofia - LUIZ DOS SANTOS - Filosofia e Política - Nota Máxima: 9</v>
      </c>
    </row>
    <row r="3973">
      <c r="A3973" s="390" t="str">
        <f>IFERROR(__xludf.DUMMYFUNCTION("""COMPUTED_VALUE"""),"#SLFA  - Segunda Licenciatura em Filosofia - Segunda Licenciatura em Filosofia - LUIZ DOS SANTOS - Filosofia e Política - Nota Máxima: 4")</f>
        <v>#SLFA  - Segunda Licenciatura em Filosofia - Segunda Licenciatura em Filosofia - LUIZ DOS SANTOS - Filosofia e Política - Nota Máxima: 4</v>
      </c>
    </row>
    <row r="3974">
      <c r="A3974" s="390" t="str">
        <f>IFERROR(__xludf.DUMMYFUNCTION("""COMPUTED_VALUE"""),"#SLFA  - Segunda Licenciatura em Filosofia - Segunda Licenciatura em Filosofia - LUIZ DOS SANTOS - História da Filosofia Moderna - Nota Máxima: 10")</f>
        <v>#SLFA  - Segunda Licenciatura em Filosofia - Segunda Licenciatura em Filosofia - LUIZ DOS SANTOS - História da Filosofia Moderna - Nota Máxima: 10</v>
      </c>
    </row>
    <row r="3975">
      <c r="A3975" s="390" t="str">
        <f>IFERROR(__xludf.DUMMYFUNCTION("""COMPUTED_VALUE"""),"#SLFA  - Segunda Licenciatura em Filosofia - Segunda Licenciatura em Filosofia - LUIZ DOS SANTOS - História da Filosofia Moderna - Nota Máxima: 8")</f>
        <v>#SLFA  - Segunda Licenciatura em Filosofia - Segunda Licenciatura em Filosofia - LUIZ DOS SANTOS - História da Filosofia Moderna - Nota Máxima: 8</v>
      </c>
    </row>
    <row r="3976">
      <c r="A3976" s="390" t="str">
        <f>IFERROR(__xludf.DUMMYFUNCTION("""COMPUTED_VALUE"""),"#SLFA  - Segunda Licenciatura em Filosofia - Segunda Licenciatura em Filosofia - LUIZ DOS SANTOS - Legislação Educacional/a - Nota Máxima: 10")</f>
        <v>#SLFA  - Segunda Licenciatura em Filosofia - Segunda Licenciatura em Filosofia - LUIZ DOS SANTOS - Legislação Educacional/a - Nota Máxima: 10</v>
      </c>
    </row>
    <row r="3977">
      <c r="A3977" s="390" t="str">
        <f>IFERROR(__xludf.DUMMYFUNCTION("""COMPUTED_VALUE"""),"#SLFA  - Segunda Licenciatura em Filosofia - Segunda Licenciatura em Filosofia - LUIZ DOS SANTOS - Legislação Educacional/a - Nota Máxima: 7")</f>
        <v>#SLFA  - Segunda Licenciatura em Filosofia - Segunda Licenciatura em Filosofia - LUIZ DOS SANTOS - Legislação Educacional/a - Nota Máxima: 7</v>
      </c>
    </row>
    <row r="3978">
      <c r="A3978" s="390" t="str">
        <f>IFERROR(__xludf.DUMMYFUNCTION("""COMPUTED_VALUE"""),"#SLFA  - Segunda Licenciatura em Filosofia - Segunda Licenciatura em Filosofia - LUIZ DOS SANTOS - Metodologia do Aprendizado - Nota Máxima: 9")</f>
        <v>#SLFA  - Segunda Licenciatura em Filosofia - Segunda Licenciatura em Filosofia - LUIZ DOS SANTOS - Metodologia do Aprendizado - Nota Máxima: 9</v>
      </c>
    </row>
    <row r="3979">
      <c r="A3979" s="390" t="str">
        <f>IFERROR(__xludf.DUMMYFUNCTION("""COMPUTED_VALUE"""),"#SLFA  - Segunda Licenciatura em Filosofia - Segunda Licenciatura em Filosofia - LUIZ DOS SANTOS - Metodologia do Aprendizado - Nota Máxima: 5")</f>
        <v>#SLFA  - Segunda Licenciatura em Filosofia - Segunda Licenciatura em Filosofia - LUIZ DOS SANTOS - Metodologia do Aprendizado - Nota Máxima: 5</v>
      </c>
    </row>
    <row r="3980">
      <c r="A3980" s="390" t="str">
        <f>IFERROR(__xludf.DUMMYFUNCTION("""COMPUTED_VALUE"""),"#SLFA  - Segunda Licenciatura em Filosofia - Segunda Licenciatura em Filosofia - LUIZ DOS SANTOS - Planejamento, Gestão Educacional e Currículo/a - Nota Máxima: 10")</f>
        <v>#SLFA  - Segunda Licenciatura em Filosofia - Segunda Licenciatura em Filosofia - LUIZ DOS SANTOS - Planejamento, Gestão Educacional e Currículo/a - Nota Máxima: 10</v>
      </c>
    </row>
    <row r="3981">
      <c r="A3981" s="390" t="str">
        <f>IFERROR(__xludf.DUMMYFUNCTION("""COMPUTED_VALUE"""),"#SLFA  - Segunda Licenciatura em Filosofia - Segunda Licenciatura em Filosofia - LUIZ DOS SANTOS - Planejamento, Gestão Educacional e Currículo/a - Nota Máxima: 9")</f>
        <v>#SLFA  - Segunda Licenciatura em Filosofia - Segunda Licenciatura em Filosofia - LUIZ DOS SANTOS - Planejamento, Gestão Educacional e Currículo/a - Nota Máxima: 9</v>
      </c>
    </row>
    <row r="3982">
      <c r="A3982" s="390" t="str">
        <f>IFERROR(__xludf.DUMMYFUNCTION("""COMPUTED_VALUE"""),"#SLFA  - Segunda Licenciatura em Filosofia - Segunda Licenciatura em Filosofia - LUIZ DOS SANTOS - Práticas Pedagógicas - 400 Horas - Nota Máxima: 4")</f>
        <v>#SLFA  - Segunda Licenciatura em Filosofia - Segunda Licenciatura em Filosofia - LUIZ DOS SANTOS - Práticas Pedagógicas - 400 Horas - Nota Máxima: 4</v>
      </c>
    </row>
    <row r="3983">
      <c r="A3983" s="390" t="str">
        <f>IFERROR(__xludf.DUMMYFUNCTION("""COMPUTED_VALUE"""),"#SLFA  - Segunda Licenciatura em Filosofia - Segunda Licenciatura em Filosofia - LUIZ DOS SANTOS - Práticas Pedagógicas - 400 Horas - Nota Máxima: 3")</f>
        <v>#SLFA  - Segunda Licenciatura em Filosofia - Segunda Licenciatura em Filosofia - LUIZ DOS SANTOS - Práticas Pedagógicas - 400 Horas - Nota Máxima: 3</v>
      </c>
    </row>
    <row r="3984">
      <c r="A3984" s="390" t="str">
        <f>IFERROR(__xludf.DUMMYFUNCTION("""COMPUTED_VALUE"""),"#SLFA  - Segunda Licenciatura em Filosofia - Segunda Licenciatura em Filosofia - LUIZ DOS SANTOS - Psicologia da Educação/a - Nota Máxima: 10")</f>
        <v>#SLFA  - Segunda Licenciatura em Filosofia - Segunda Licenciatura em Filosofia - LUIZ DOS SANTOS - Psicologia da Educação/a - Nota Máxima: 10</v>
      </c>
    </row>
    <row r="3985">
      <c r="A3985" s="390" t="str">
        <f>IFERROR(__xludf.DUMMYFUNCTION("""COMPUTED_VALUE"""),"#SLFA  - Segunda Licenciatura em Filosofia - Segunda Licenciatura em Filosofia - LUIZ DOS SANTOS - Psicologia da Educação/a - Nota Máxima: 8")</f>
        <v>#SLFA  - Segunda Licenciatura em Filosofia - Segunda Licenciatura em Filosofia - LUIZ DOS SANTOS - Psicologia da Educação/a - Nota Máxima: 8</v>
      </c>
    </row>
    <row r="3986">
      <c r="A3986" s="390" t="str">
        <f>IFERROR(__xludf.DUMMYFUNCTION("""COMPUTED_VALUE"""),"#SLFA  - Segunda Licenciatura em Filosofia - Segunda Licenciatura em Filosofia - Eliene Alves Rodrigues Braga - Ciência Política - Nota Máxima: 8")</f>
        <v>#SLFA  - Segunda Licenciatura em Filosofia - Segunda Licenciatura em Filosofia - Eliene Alves Rodrigues Braga - Ciência Política - Nota Máxima: 8</v>
      </c>
    </row>
    <row r="3987">
      <c r="A3987" s="390" t="str">
        <f>IFERROR(__xludf.DUMMYFUNCTION("""COMPUTED_VALUE"""),"#SLFA  - Segunda Licenciatura em Filosofia - Segunda Licenciatura em Filosofia - Eliene Alves Rodrigues Braga - Ciência Política - Nota Máxima: 8")</f>
        <v>#SLFA  - Segunda Licenciatura em Filosofia - Segunda Licenciatura em Filosofia - Eliene Alves Rodrigues Braga - Ciência Política - Nota Máxima: 8</v>
      </c>
    </row>
    <row r="3988">
      <c r="A3988" s="390" t="str">
        <f>IFERROR(__xludf.DUMMYFUNCTION("""COMPUTED_VALUE"""),"#SLFA  - Segunda Licenciatura em Filosofia - Segunda Licenciatura em Filosofia - Eliene Alves Rodrigues Braga - Deficiência Auditiva e Libras/a - Nota Máxima: 8")</f>
        <v>#SLFA  - Segunda Licenciatura em Filosofia - Segunda Licenciatura em Filosofia - Eliene Alves Rodrigues Braga - Deficiência Auditiva e Libras/a - Nota Máxima: 8</v>
      </c>
    </row>
    <row r="3989">
      <c r="A3989" s="390" t="str">
        <f>IFERROR(__xludf.DUMMYFUNCTION("""COMPUTED_VALUE"""),"#SLFA  - Segunda Licenciatura em Filosofia - Segunda Licenciatura em Filosofia - Eliene Alves Rodrigues Braga - Desenvolvimento do Capital Humano - Nota Máxima: 6")</f>
        <v>#SLFA  - Segunda Licenciatura em Filosofia - Segunda Licenciatura em Filosofia - Eliene Alves Rodrigues Braga - Desenvolvimento do Capital Humano - Nota Máxima: 6</v>
      </c>
    </row>
    <row r="3990">
      <c r="A3990" s="390" t="str">
        <f>IFERROR(__xludf.DUMMYFUNCTION("""COMPUTED_VALUE"""),"#SLFA  - Segunda Licenciatura em Filosofia - Segunda Licenciatura em Filosofia - Eliene Alves Rodrigues Braga - Educação Especial, Inclusão Escolar e Adaptações Curriculares - Nota Máxima: 9")</f>
        <v>#SLFA  - Segunda Licenciatura em Filosofia - Segunda Licenciatura em Filosofia - Eliene Alves Rodrigues Braga - Educação Especial, Inclusão Escolar e Adaptações Curriculares - Nota Máxima: 9</v>
      </c>
    </row>
    <row r="3991">
      <c r="A3991" s="390" t="str">
        <f>IFERROR(__xludf.DUMMYFUNCTION("""COMPUTED_VALUE"""),"#SLFA  - Segunda Licenciatura em Filosofia - Segunda Licenciatura em Filosofia - CELSO HENRIQUE VIEIRA DE LIMA - Ciência Política - Nota Máxima: 10")</f>
        <v>#SLFA  - Segunda Licenciatura em Filosofia - Segunda Licenciatura em Filosofia - CELSO HENRIQUE VIEIRA DE LIMA - Ciência Política - Nota Máxima: 10</v>
      </c>
    </row>
    <row r="3992">
      <c r="A3992" s="390" t="str">
        <f>IFERROR(__xludf.DUMMYFUNCTION("""COMPUTED_VALUE"""),"#SLFA  - Segunda Licenciatura em Filosofia - Segunda Licenciatura em Filosofia - CELSO HENRIQUE VIEIRA DE LIMA - Deficiência Auditiva e Libras/a - Nota Máxima: 9")</f>
        <v>#SLFA  - Segunda Licenciatura em Filosofia - Segunda Licenciatura em Filosofia - CELSO HENRIQUE VIEIRA DE LIMA - Deficiência Auditiva e Libras/a - Nota Máxima: 9</v>
      </c>
    </row>
    <row r="3993">
      <c r="A3993" s="390" t="str">
        <f>IFERROR(__xludf.DUMMYFUNCTION("""COMPUTED_VALUE"""),"#SLFA  - Segunda Licenciatura em Filosofia - Segunda Licenciatura em Filosofia - CELSO HENRIQUE VIEIRA DE LIMA - Desenvolvimento do Capital Humano - Nota Máxima: 9")</f>
        <v>#SLFA  - Segunda Licenciatura em Filosofia - Segunda Licenciatura em Filosofia - CELSO HENRIQUE VIEIRA DE LIMA - Desenvolvimento do Capital Humano - Nota Máxima: 9</v>
      </c>
    </row>
    <row r="3994">
      <c r="A3994" s="390" t="str">
        <f>IFERROR(__xludf.DUMMYFUNCTION("""COMPUTED_VALUE"""),"#SLFA  - Segunda Licenciatura em Filosofia - Segunda Licenciatura em Filosofia - CELSO HENRIQUE VIEIRA DE LIMA - Educação Especial, Inclusão Escolar e Adaptações Curriculares - Nota Máxima: 9")</f>
        <v>#SLFA  - Segunda Licenciatura em Filosofia - Segunda Licenciatura em Filosofia - CELSO HENRIQUE VIEIRA DE LIMA - Educação Especial, Inclusão Escolar e Adaptações Curriculares - Nota Máxima: 9</v>
      </c>
    </row>
    <row r="3995">
      <c r="A3995" s="390" t="str">
        <f>IFERROR(__xludf.DUMMYFUNCTION("""COMPUTED_VALUE"""),"#SLFA  - Segunda Licenciatura em Filosofia - Segunda Licenciatura em Filosofia - CELSO HENRIQUE VIEIRA DE LIMA - Educação, História, Cultura e Práticas Indígenas/a - Nota Máxima: 8")</f>
        <v>#SLFA  - Segunda Licenciatura em Filosofia - Segunda Licenciatura em Filosofia - CELSO HENRIQUE VIEIRA DE LIMA - Educação, História, Cultura e Práticas Indígenas/a - Nota Máxima: 8</v>
      </c>
    </row>
    <row r="3996">
      <c r="A3996" s="390" t="str">
        <f>IFERROR(__xludf.DUMMYFUNCTION("""COMPUTED_VALUE"""),"#SLFA  - Segunda Licenciatura em Filosofia - Segunda Licenciatura em Filosofia - CELSO HENRIQUE VIEIRA DE LIMA - Estudos Populacionais - Nota Máxima: 9")</f>
        <v>#SLFA  - Segunda Licenciatura em Filosofia - Segunda Licenciatura em Filosofia - CELSO HENRIQUE VIEIRA DE LIMA - Estudos Populacionais - Nota Máxima: 9</v>
      </c>
    </row>
    <row r="3997">
      <c r="A3997" s="390" t="str">
        <f>IFERROR(__xludf.DUMMYFUNCTION("""COMPUTED_VALUE"""),"#SLFA  - Segunda Licenciatura em Filosofia - Segunda Licenciatura em Filosofia - CELSO HENRIQUE VIEIRA DE LIMA - Filosofia das Artes à Estética - Nota Máxima: 9")</f>
        <v>#SLFA  - Segunda Licenciatura em Filosofia - Segunda Licenciatura em Filosofia - CELSO HENRIQUE VIEIRA DE LIMA - Filosofia das Artes à Estética - Nota Máxima: 9</v>
      </c>
    </row>
    <row r="3998">
      <c r="A3998" s="390" t="str">
        <f>IFERROR(__xludf.DUMMYFUNCTION("""COMPUTED_VALUE"""),"#SLFA  - Segunda Licenciatura em Filosofia - Segunda Licenciatura em Filosofia - CELSO HENRIQUE VIEIRA DE LIMA - Filosofia e Política - Nota Máxima: 8")</f>
        <v>#SLFA  - Segunda Licenciatura em Filosofia - Segunda Licenciatura em Filosofia - CELSO HENRIQUE VIEIRA DE LIMA - Filosofia e Política - Nota Máxima: 8</v>
      </c>
    </row>
    <row r="3999">
      <c r="A3999" s="390" t="str">
        <f>IFERROR(__xludf.DUMMYFUNCTION("""COMPUTED_VALUE"""),"#SLFA  - Segunda Licenciatura em Filosofia - Segunda Licenciatura em Filosofia - CELSO HENRIQUE VIEIRA DE LIMA - História da Filosofia Moderna - Nota Máxima: 8")</f>
        <v>#SLFA  - Segunda Licenciatura em Filosofia - Segunda Licenciatura em Filosofia - CELSO HENRIQUE VIEIRA DE LIMA - História da Filosofia Moderna - Nota Máxima: 8</v>
      </c>
    </row>
    <row r="4000">
      <c r="A4000" s="390" t="str">
        <f>IFERROR(__xludf.DUMMYFUNCTION("""COMPUTED_VALUE"""),"#SLFA  - Segunda Licenciatura em Filosofia - Segunda Licenciatura em Filosofia - CELSO HENRIQUE VIEIRA DE LIMA - Legislação Educacional/a - Nota Máxima: 8")</f>
        <v>#SLFA  - Segunda Licenciatura em Filosofia - Segunda Licenciatura em Filosofia - CELSO HENRIQUE VIEIRA DE LIMA - Legislação Educacional/a - Nota Máxima: 8</v>
      </c>
    </row>
    <row r="4001">
      <c r="A4001" s="390" t="str">
        <f>IFERROR(__xludf.DUMMYFUNCTION("""COMPUTED_VALUE"""),"#SLFA  - Segunda Licenciatura em Filosofia - Segunda Licenciatura em Filosofia - CELSO HENRIQUE VIEIRA DE LIMA - Metodologia do Aprendizado - Nota Máxima: 9")</f>
        <v>#SLFA  - Segunda Licenciatura em Filosofia - Segunda Licenciatura em Filosofia - CELSO HENRIQUE VIEIRA DE LIMA - Metodologia do Aprendizado - Nota Máxima: 9</v>
      </c>
    </row>
    <row r="4002">
      <c r="A4002" s="390" t="str">
        <f>IFERROR(__xludf.DUMMYFUNCTION("""COMPUTED_VALUE"""),"#SLFA  - Segunda Licenciatura em Filosofia - Segunda Licenciatura em Filosofia - CELSO HENRIQUE VIEIRA DE LIMA - Planejamento, Gestão Educacional e Currículo/a - Nota Máxima: 10")</f>
        <v>#SLFA  - Segunda Licenciatura em Filosofia - Segunda Licenciatura em Filosofia - CELSO HENRIQUE VIEIRA DE LIMA - Planejamento, Gestão Educacional e Currículo/a - Nota Máxima: 10</v>
      </c>
    </row>
    <row r="4003">
      <c r="A4003" s="390" t="str">
        <f>IFERROR(__xludf.DUMMYFUNCTION("""COMPUTED_VALUE"""),"#SLFA  - Segunda Licenciatura em Filosofia - Segunda Licenciatura em Filosofia - CELSO HENRIQUE VIEIRA DE LIMA - Práticas Pedagógicas - 400 Horas - Nota Máxima: 45784")</f>
        <v>#SLFA  - Segunda Licenciatura em Filosofia - Segunda Licenciatura em Filosofia - CELSO HENRIQUE VIEIRA DE LIMA - Práticas Pedagógicas - 400 Horas - Nota Máxima: 45784</v>
      </c>
    </row>
    <row r="4004">
      <c r="A4004" s="390" t="str">
        <f>IFERROR(__xludf.DUMMYFUNCTION("""COMPUTED_VALUE"""),"#SLFA  - Segunda Licenciatura em Filosofia - Segunda Licenciatura em Filosofia - CELSO HENRIQUE VIEIRA DE LIMA - Psicologia da Educação/a - Nota Máxima: 8")</f>
        <v>#SLFA  - Segunda Licenciatura em Filosofia - Segunda Licenciatura em Filosofia - CELSO HENRIQUE VIEIRA DE LIMA - Psicologia da Educação/a - Nota Máxima: 8</v>
      </c>
    </row>
    <row r="4005">
      <c r="A4005" s="390" t="str">
        <f>IFERROR(__xludf.DUMMYFUNCTION("""COMPUTED_VALUE"""),"#SLFA  - Segunda Licenciatura em Filosofia - Segunda Licenciatura em Filosofia - Regina Célia De Araújo Jacob - Ciência Política - Nota Máxima: 8")</f>
        <v>#SLFA  - Segunda Licenciatura em Filosofia - Segunda Licenciatura em Filosofia - Regina Célia De Araújo Jacob - Ciência Política - Nota Máxima: 8</v>
      </c>
    </row>
    <row r="4006">
      <c r="A4006" s="390" t="str">
        <f>IFERROR(__xludf.DUMMYFUNCTION("""COMPUTED_VALUE"""),"#SLFA  - Segunda Licenciatura em Filosofia - Segunda Licenciatura em Filosofia - Regina Célia De Araújo Jacob - Deficiência Auditiva e Libras/a - Nota Máxima: 10")</f>
        <v>#SLFA  - Segunda Licenciatura em Filosofia - Segunda Licenciatura em Filosofia - Regina Célia De Araújo Jacob - Deficiência Auditiva e Libras/a - Nota Máxima: 10</v>
      </c>
    </row>
    <row r="4007">
      <c r="A4007" s="390" t="str">
        <f>IFERROR(__xludf.DUMMYFUNCTION("""COMPUTED_VALUE"""),"#SLFA  - Segunda Licenciatura em Filosofia - Segunda Licenciatura em Filosofia - Regina Célia De Araújo Jacob - Desenvolvimento do Capital Humano - Nota Máxima: 6")</f>
        <v>#SLFA  - Segunda Licenciatura em Filosofia - Segunda Licenciatura em Filosofia - Regina Célia De Araújo Jacob - Desenvolvimento do Capital Humano - Nota Máxima: 6</v>
      </c>
    </row>
    <row r="4008">
      <c r="A4008" s="390" t="str">
        <f>IFERROR(__xludf.DUMMYFUNCTION("""COMPUTED_VALUE"""),"#SLFA  - Segunda Licenciatura em Filosofia - Segunda Licenciatura em Filosofia - Regina Célia De Araújo Jacob - Educação Especial, Inclusão Escolar e Adaptações Curriculares - Nota Máxima: 8")</f>
        <v>#SLFA  - Segunda Licenciatura em Filosofia - Segunda Licenciatura em Filosofia - Regina Célia De Araújo Jacob - Educação Especial, Inclusão Escolar e Adaptações Curriculares - Nota Máxima: 8</v>
      </c>
    </row>
    <row r="4009">
      <c r="A4009" s="390" t="str">
        <f>IFERROR(__xludf.DUMMYFUNCTION("""COMPUTED_VALUE"""),"#SLFA  - Segunda Licenciatura em Filosofia - Segunda Licenciatura em Filosofia - Regina Célia De Araújo Jacob - Educação, História, Cultura e Práticas Indígenas/a - Nota Máxima: 9")</f>
        <v>#SLFA  - Segunda Licenciatura em Filosofia - Segunda Licenciatura em Filosofia - Regina Célia De Araújo Jacob - Educação, História, Cultura e Práticas Indígenas/a - Nota Máxima: 9</v>
      </c>
    </row>
    <row r="4010">
      <c r="A4010" s="390" t="str">
        <f>IFERROR(__xludf.DUMMYFUNCTION("""COMPUTED_VALUE"""),"#SLFA  - Segunda Licenciatura em Filosofia - Segunda Licenciatura em Filosofia - Regina Célia De Araújo Jacob - Estudos Populacionais - Nota Máxima: 6")</f>
        <v>#SLFA  - Segunda Licenciatura em Filosofia - Segunda Licenciatura em Filosofia - Regina Célia De Araújo Jacob - Estudos Populacionais - Nota Máxima: 6</v>
      </c>
    </row>
    <row r="4011">
      <c r="A4011" s="390" t="str">
        <f>IFERROR(__xludf.DUMMYFUNCTION("""COMPUTED_VALUE"""),"#SLFA  - Segunda Licenciatura em Filosofia - Segunda Licenciatura em Filosofia - Regina Célia De Araújo Jacob - Filosofia das Artes à Estética - Nota Máxima: 9")</f>
        <v>#SLFA  - Segunda Licenciatura em Filosofia - Segunda Licenciatura em Filosofia - Regina Célia De Araújo Jacob - Filosofia das Artes à Estética - Nota Máxima: 9</v>
      </c>
    </row>
    <row r="4012">
      <c r="A4012" s="390" t="str">
        <f>IFERROR(__xludf.DUMMYFUNCTION("""COMPUTED_VALUE"""),"#SLFA  - Segunda Licenciatura em Filosofia - Segunda Licenciatura em Filosofia - Regina Célia De Araújo Jacob - Filosofia e Política - Nota Máxima: 6")</f>
        <v>#SLFA  - Segunda Licenciatura em Filosofia - Segunda Licenciatura em Filosofia - Regina Célia De Araújo Jacob - Filosofia e Política - Nota Máxima: 6</v>
      </c>
    </row>
    <row r="4013">
      <c r="A4013" s="390" t="str">
        <f>IFERROR(__xludf.DUMMYFUNCTION("""COMPUTED_VALUE"""),"#SLFA  - Segunda Licenciatura em Filosofia - Segunda Licenciatura em Filosofia - Regina Célia De Araújo Jacob - História da Filosofia Moderna - Nota Máxima: 8")</f>
        <v>#SLFA  - Segunda Licenciatura em Filosofia - Segunda Licenciatura em Filosofia - Regina Célia De Araújo Jacob - História da Filosofia Moderna - Nota Máxima: 8</v>
      </c>
    </row>
    <row r="4014">
      <c r="A4014" s="390" t="str">
        <f>IFERROR(__xludf.DUMMYFUNCTION("""COMPUTED_VALUE"""),"#SLFA  - Segunda Licenciatura em Filosofia - Segunda Licenciatura em Filosofia - Regina Célia De Araújo Jacob - Legislação Educacional/a - Nota Máxima: 6")</f>
        <v>#SLFA  - Segunda Licenciatura em Filosofia - Segunda Licenciatura em Filosofia - Regina Célia De Araújo Jacob - Legislação Educacional/a - Nota Máxima: 6</v>
      </c>
    </row>
    <row r="4015">
      <c r="A4015" s="390" t="str">
        <f>IFERROR(__xludf.DUMMYFUNCTION("""COMPUTED_VALUE"""),"#SLFA  - Segunda Licenciatura em Filosofia - Segunda Licenciatura em Filosofia - Regina Célia De Araújo Jacob - Metodologia do Aprendizado - Nota Máxima: 7")</f>
        <v>#SLFA  - Segunda Licenciatura em Filosofia - Segunda Licenciatura em Filosofia - Regina Célia De Araújo Jacob - Metodologia do Aprendizado - Nota Máxima: 7</v>
      </c>
    </row>
    <row r="4016">
      <c r="A4016" s="390" t="str">
        <f>IFERROR(__xludf.DUMMYFUNCTION("""COMPUTED_VALUE"""),"#SLFA  - Segunda Licenciatura em Filosofia - Segunda Licenciatura em Filosofia - Regina Célia De Araújo Jacob - Planejamento, Gestão Educacional e Currículo/a - Nota Máxima: 9")</f>
        <v>#SLFA  - Segunda Licenciatura em Filosofia - Segunda Licenciatura em Filosofia - Regina Célia De Araújo Jacob - Planejamento, Gestão Educacional e Currículo/a - Nota Máxima: 9</v>
      </c>
    </row>
    <row r="4017">
      <c r="A4017" s="390" t="str">
        <f>IFERROR(__xludf.DUMMYFUNCTION("""COMPUTED_VALUE"""),"#SLFA  - Segunda Licenciatura em Filosofia - Segunda Licenciatura em Filosofia - Regina Célia De Araújo Jacob - Práticas Pedagógicas - 400 Horas - Nota Máxima: 4")</f>
        <v>#SLFA  - Segunda Licenciatura em Filosofia - Segunda Licenciatura em Filosofia - Regina Célia De Araújo Jacob - Práticas Pedagógicas - 400 Horas - Nota Máxima: 4</v>
      </c>
    </row>
    <row r="4018">
      <c r="A4018" s="390" t="str">
        <f>IFERROR(__xludf.DUMMYFUNCTION("""COMPUTED_VALUE"""),"#SLFA  - Segunda Licenciatura em Filosofia - Segunda Licenciatura em Filosofia - Regina Célia De Araújo Jacob - Psicologia da Educação/a - Nota Máxima: 10")</f>
        <v>#SLFA  - Segunda Licenciatura em Filosofia - Segunda Licenciatura em Filosofia - Regina Célia De Araújo Jacob - Psicologia da Educação/a - Nota Máxima: 10</v>
      </c>
    </row>
    <row r="4019">
      <c r="A4019" s="390" t="str">
        <f>IFERROR(__xludf.DUMMYFUNCTION("""COMPUTED_VALUE"""),"#SLFA  - Segunda Licenciatura em Filosofia - Segunda Licenciatura em Filosofia - Kátia Aparecida Cardoso da Rocha - Ciência Política - Nota Máxima: 9")</f>
        <v>#SLFA  - Segunda Licenciatura em Filosofia - Segunda Licenciatura em Filosofia - Kátia Aparecida Cardoso da Rocha - Ciência Política - Nota Máxima: 9</v>
      </c>
    </row>
    <row r="4020">
      <c r="A4020" s="390" t="str">
        <f>IFERROR(__xludf.DUMMYFUNCTION("""COMPUTED_VALUE"""),"#SLFA  - Segunda Licenciatura em Filosofia - Segunda Licenciatura em Filosofia - Kátia Aparecida Cardoso da Rocha - Deficiência Auditiva e Libras/a - Nota Máxima: 8")</f>
        <v>#SLFA  - Segunda Licenciatura em Filosofia - Segunda Licenciatura em Filosofia - Kátia Aparecida Cardoso da Rocha - Deficiência Auditiva e Libras/a - Nota Máxima: 8</v>
      </c>
    </row>
    <row r="4021">
      <c r="A4021" s="390" t="str">
        <f>IFERROR(__xludf.DUMMYFUNCTION("""COMPUTED_VALUE"""),"#SLFA  - Segunda Licenciatura em Filosofia - Segunda Licenciatura em Filosofia - Kátia Aparecida Cardoso da Rocha - Desenvolvimento do Capital Humano - Nota Máxima: 10")</f>
        <v>#SLFA  - Segunda Licenciatura em Filosofia - Segunda Licenciatura em Filosofia - Kátia Aparecida Cardoso da Rocha - Desenvolvimento do Capital Humano - Nota Máxima: 10</v>
      </c>
    </row>
    <row r="4022">
      <c r="A4022" s="390" t="str">
        <f>IFERROR(__xludf.DUMMYFUNCTION("""COMPUTED_VALUE"""),"#SLFA  - Segunda Licenciatura em Filosofia - Segunda Licenciatura em Filosofia - Kátia Aparecida Cardoso da Rocha - Educação Especial, Inclusão Escolar e Adaptações Curriculares - Nota Máxima: 7")</f>
        <v>#SLFA  - Segunda Licenciatura em Filosofia - Segunda Licenciatura em Filosofia - Kátia Aparecida Cardoso da Rocha - Educação Especial, Inclusão Escolar e Adaptações Curriculares - Nota Máxima: 7</v>
      </c>
    </row>
    <row r="4023">
      <c r="A4023" s="390" t="str">
        <f>IFERROR(__xludf.DUMMYFUNCTION("""COMPUTED_VALUE"""),"#SLFA  - Segunda Licenciatura em Filosofia - Segunda Licenciatura em Filosofia - Kátia Aparecida Cardoso da Rocha - Educação, História, Cultura e Práticas Indígenas/a - Nota Máxima: 9")</f>
        <v>#SLFA  - Segunda Licenciatura em Filosofia - Segunda Licenciatura em Filosofia - Kátia Aparecida Cardoso da Rocha - Educação, História, Cultura e Práticas Indígenas/a - Nota Máxima: 9</v>
      </c>
    </row>
    <row r="4024">
      <c r="A4024" s="390" t="str">
        <f>IFERROR(__xludf.DUMMYFUNCTION("""COMPUTED_VALUE"""),"#SLFA  - Segunda Licenciatura em Filosofia - Segunda Licenciatura em Filosofia - Kátia Aparecida Cardoso da Rocha - Estudos Populacionais - Nota Máxima: 8")</f>
        <v>#SLFA  - Segunda Licenciatura em Filosofia - Segunda Licenciatura em Filosofia - Kátia Aparecida Cardoso da Rocha - Estudos Populacionais - Nota Máxima: 8</v>
      </c>
    </row>
    <row r="4025">
      <c r="A4025" s="390" t="str">
        <f>IFERROR(__xludf.DUMMYFUNCTION("""COMPUTED_VALUE"""),"#SLFA  - Segunda Licenciatura em Filosofia - Segunda Licenciatura em Filosofia - Kátia Aparecida Cardoso da Rocha - Filosofia das Artes à Estética - Nota Máxima: 10")</f>
        <v>#SLFA  - Segunda Licenciatura em Filosofia - Segunda Licenciatura em Filosofia - Kátia Aparecida Cardoso da Rocha - Filosofia das Artes à Estética - Nota Máxima: 10</v>
      </c>
    </row>
    <row r="4026">
      <c r="A4026" s="390" t="str">
        <f>IFERROR(__xludf.DUMMYFUNCTION("""COMPUTED_VALUE"""),"#SLFA  - Segunda Licenciatura em Filosofia - Segunda Licenciatura em Filosofia - Kátia Aparecida Cardoso da Rocha - Filosofia das Artes à Estética - Nota Máxima: 7")</f>
        <v>#SLFA  - Segunda Licenciatura em Filosofia - Segunda Licenciatura em Filosofia - Kátia Aparecida Cardoso da Rocha - Filosofia das Artes à Estética - Nota Máxima: 7</v>
      </c>
    </row>
    <row r="4027">
      <c r="A4027" s="390" t="str">
        <f>IFERROR(__xludf.DUMMYFUNCTION("""COMPUTED_VALUE"""),"#SLFA  - Segunda Licenciatura em Filosofia - Segunda Licenciatura em Filosofia - Kátia Aparecida Cardoso da Rocha - Filosofia e Política - Nota Máxima: 9")</f>
        <v>#SLFA  - Segunda Licenciatura em Filosofia - Segunda Licenciatura em Filosofia - Kátia Aparecida Cardoso da Rocha - Filosofia e Política - Nota Máxima: 9</v>
      </c>
    </row>
    <row r="4028">
      <c r="A4028" s="390" t="str">
        <f>IFERROR(__xludf.DUMMYFUNCTION("""COMPUTED_VALUE"""),"#SLFA  - Segunda Licenciatura em Filosofia - Segunda Licenciatura em Filosofia - Kátia Aparecida Cardoso da Rocha - Filosofia e Política - Nota Máxima: 4")</f>
        <v>#SLFA  - Segunda Licenciatura em Filosofia - Segunda Licenciatura em Filosofia - Kátia Aparecida Cardoso da Rocha - Filosofia e Política - Nota Máxima: 4</v>
      </c>
    </row>
    <row r="4029">
      <c r="A4029" s="390" t="str">
        <f>IFERROR(__xludf.DUMMYFUNCTION("""COMPUTED_VALUE"""),"#SLFA  - Segunda Licenciatura em Filosofia - Segunda Licenciatura em Filosofia - Kátia Aparecida Cardoso da Rocha - História da Filosofia Moderna - Nota Máxima: 9")</f>
        <v>#SLFA  - Segunda Licenciatura em Filosofia - Segunda Licenciatura em Filosofia - Kátia Aparecida Cardoso da Rocha - História da Filosofia Moderna - Nota Máxima: 9</v>
      </c>
    </row>
    <row r="4030">
      <c r="A4030" s="390" t="str">
        <f>IFERROR(__xludf.DUMMYFUNCTION("""COMPUTED_VALUE"""),"#SLFA  - Segunda Licenciatura em Filosofia - Segunda Licenciatura em Filosofia - Kátia Aparecida Cardoso da Rocha - História da Filosofia Moderna - Nota Máxima: 6")</f>
        <v>#SLFA  - Segunda Licenciatura em Filosofia - Segunda Licenciatura em Filosofia - Kátia Aparecida Cardoso da Rocha - História da Filosofia Moderna - Nota Máxima: 6</v>
      </c>
    </row>
    <row r="4031">
      <c r="A4031" s="390" t="str">
        <f>IFERROR(__xludf.DUMMYFUNCTION("""COMPUTED_VALUE"""),"#SLFA  - Segunda Licenciatura em Filosofia - Segunda Licenciatura em Filosofia - Kátia Aparecida Cardoso da Rocha - Legislação Educacional/a - Nota Máxima: 9")</f>
        <v>#SLFA  - Segunda Licenciatura em Filosofia - Segunda Licenciatura em Filosofia - Kátia Aparecida Cardoso da Rocha - Legislação Educacional/a - Nota Máxima: 9</v>
      </c>
    </row>
    <row r="4032">
      <c r="A4032" s="390" t="str">
        <f>IFERROR(__xludf.DUMMYFUNCTION("""COMPUTED_VALUE"""),"#SLFA  - Segunda Licenciatura em Filosofia - Segunda Licenciatura em Filosofia - Kátia Aparecida Cardoso da Rocha - Legislação Educacional/a - Nota Máxima: 7")</f>
        <v>#SLFA  - Segunda Licenciatura em Filosofia - Segunda Licenciatura em Filosofia - Kátia Aparecida Cardoso da Rocha - Legislação Educacional/a - Nota Máxima: 7</v>
      </c>
    </row>
    <row r="4033">
      <c r="A4033" s="390" t="str">
        <f>IFERROR(__xludf.DUMMYFUNCTION("""COMPUTED_VALUE"""),"#SLFA  - Segunda Licenciatura em Filosofia - Segunda Licenciatura em Filosofia - Kátia Aparecida Cardoso da Rocha - Metodologia do Aprendizado - Nota Máxima: 10")</f>
        <v>#SLFA  - Segunda Licenciatura em Filosofia - Segunda Licenciatura em Filosofia - Kátia Aparecida Cardoso da Rocha - Metodologia do Aprendizado - Nota Máxima: 10</v>
      </c>
    </row>
    <row r="4034">
      <c r="A4034" s="390" t="str">
        <f>IFERROR(__xludf.DUMMYFUNCTION("""COMPUTED_VALUE"""),"#SLFA  - Segunda Licenciatura em Filosofia - Segunda Licenciatura em Filosofia - Kátia Aparecida Cardoso da Rocha - Metodologia do Aprendizado - Nota Máxima: 9")</f>
        <v>#SLFA  - Segunda Licenciatura em Filosofia - Segunda Licenciatura em Filosofia - Kátia Aparecida Cardoso da Rocha - Metodologia do Aprendizado - Nota Máxima: 9</v>
      </c>
    </row>
    <row r="4035">
      <c r="A4035" s="390" t="str">
        <f>IFERROR(__xludf.DUMMYFUNCTION("""COMPUTED_VALUE"""),"#SLFA  - Segunda Licenciatura em Filosofia - Segunda Licenciatura em Filosofia - Kátia Aparecida Cardoso da Rocha - Planejamento, Gestão Educacional e Currículo/a - Nota Máxima: 10")</f>
        <v>#SLFA  - Segunda Licenciatura em Filosofia - Segunda Licenciatura em Filosofia - Kátia Aparecida Cardoso da Rocha - Planejamento, Gestão Educacional e Currículo/a - Nota Máxima: 10</v>
      </c>
    </row>
    <row r="4036">
      <c r="A4036" s="390" t="str">
        <f>IFERROR(__xludf.DUMMYFUNCTION("""COMPUTED_VALUE"""),"#SLFA  - Segunda Licenciatura em Filosofia - Segunda Licenciatura em Filosofia - Kátia Aparecida Cardoso da Rocha - Planejamento, Gestão Educacional e Currículo/a - Nota Máxima: 8")</f>
        <v>#SLFA  - Segunda Licenciatura em Filosofia - Segunda Licenciatura em Filosofia - Kátia Aparecida Cardoso da Rocha - Planejamento, Gestão Educacional e Currículo/a - Nota Máxima: 8</v>
      </c>
    </row>
    <row r="4037">
      <c r="A4037" s="390" t="str">
        <f>IFERROR(__xludf.DUMMYFUNCTION("""COMPUTED_VALUE"""),"#SLFA  - Segunda Licenciatura em Filosofia - Segunda Licenciatura em Filosofia - Kátia Aparecida Cardoso da Rocha - Práticas Pedagógicas - 400 Horas - Nota Máxima: 10")</f>
        <v>#SLFA  - Segunda Licenciatura em Filosofia - Segunda Licenciatura em Filosofia - Kátia Aparecida Cardoso da Rocha - Práticas Pedagógicas - 400 Horas - Nota Máxima: 10</v>
      </c>
    </row>
    <row r="4038">
      <c r="A4038" s="390" t="str">
        <f>IFERROR(__xludf.DUMMYFUNCTION("""COMPUTED_VALUE"""),"#SLFA  - Segunda Licenciatura em Filosofia - Segunda Licenciatura em Filosofia - Kátia Aparecida Cardoso da Rocha - Práticas Pedagógicas - 400 Horas - Nota Máxima: 45779")</f>
        <v>#SLFA  - Segunda Licenciatura em Filosofia - Segunda Licenciatura em Filosofia - Kátia Aparecida Cardoso da Rocha - Práticas Pedagógicas - 400 Horas - Nota Máxima: 45779</v>
      </c>
    </row>
    <row r="4039">
      <c r="A4039" s="390" t="str">
        <f>IFERROR(__xludf.DUMMYFUNCTION("""COMPUTED_VALUE"""),"#SLFA  - Segunda Licenciatura em Filosofia - Segunda Licenciatura em Filosofia - Kátia Aparecida Cardoso da Rocha - Psicologia da Educação/a - Nota Máxima: 8")</f>
        <v>#SLFA  - Segunda Licenciatura em Filosofia - Segunda Licenciatura em Filosofia - Kátia Aparecida Cardoso da Rocha - Psicologia da Educação/a - Nota Máxima: 8</v>
      </c>
    </row>
    <row r="4040">
      <c r="A4040" s="390" t="str">
        <f>IFERROR(__xludf.DUMMYFUNCTION("""COMPUTED_VALUE"""),"#SLFA  - Segunda Licenciatura em Filosofia - Segunda Licenciatura em Filosofia - Kátia Aparecida Cardoso da Rocha - Psicologia da Educação/a - Nota Máxima: 3")</f>
        <v>#SLFA  - Segunda Licenciatura em Filosofia - Segunda Licenciatura em Filosofia - Kátia Aparecida Cardoso da Rocha - Psicologia da Educação/a - Nota Máxima: 3</v>
      </c>
    </row>
    <row r="4041">
      <c r="A4041" s="390" t="str">
        <f>IFERROR(__xludf.DUMMYFUNCTION("""COMPUTED_VALUE"""),"Formação Pedagógica em Filosofia - Formação Pedagógica em Filosofia - Reginaldo Nonato dos Santos - Ciência Política - Nota Máxima: 10")</f>
        <v>Formação Pedagógica em Filosofia - Formação Pedagógica em Filosofia - Reginaldo Nonato dos Santos - Ciência Política - Nota Máxima: 10</v>
      </c>
    </row>
    <row r="4042">
      <c r="A4042" s="390" t="str">
        <f>IFERROR(__xludf.DUMMYFUNCTION("""COMPUTED_VALUE"""),"Formação Pedagógica em Filosofia - Formação Pedagógica em Filosofia - Reginaldo Nonato dos Santos - Ciência Política - Nota Máxima: 5")</f>
        <v>Formação Pedagógica em Filosofia - Formação Pedagógica em Filosofia - Reginaldo Nonato dos Santos - Ciência Política - Nota Máxima: 5</v>
      </c>
    </row>
    <row r="4043">
      <c r="A4043" s="390" t="str">
        <f>IFERROR(__xludf.DUMMYFUNCTION("""COMPUTED_VALUE"""),"Formação Pedagógica em Filosofia - Formação Pedagógica em Filosofia - Reginaldo Nonato dos Santos - Deficiência Auditiva e Libras/a - Nota Máxima: 10")</f>
        <v>Formação Pedagógica em Filosofia - Formação Pedagógica em Filosofia - Reginaldo Nonato dos Santos - Deficiência Auditiva e Libras/a - Nota Máxima: 10</v>
      </c>
    </row>
    <row r="4044">
      <c r="A4044" s="390" t="str">
        <f>IFERROR(__xludf.DUMMYFUNCTION("""COMPUTED_VALUE"""),"Formação Pedagógica em Filosofia - Formação Pedagógica em Filosofia - Reginaldo Nonato dos Santos - Deficiência Auditiva e Libras/a - Nota Máxima: 5")</f>
        <v>Formação Pedagógica em Filosofia - Formação Pedagógica em Filosofia - Reginaldo Nonato dos Santos - Deficiência Auditiva e Libras/a - Nota Máxima: 5</v>
      </c>
    </row>
    <row r="4045">
      <c r="A4045" s="390" t="str">
        <f>IFERROR(__xludf.DUMMYFUNCTION("""COMPUTED_VALUE"""),"Formação Pedagógica em Filosofia - Formação Pedagógica em Filosofia - Reginaldo Nonato dos Santos - Desenvolvimento do Capital Humano - Nota Máxima: 10")</f>
        <v>Formação Pedagógica em Filosofia - Formação Pedagógica em Filosofia - Reginaldo Nonato dos Santos - Desenvolvimento do Capital Humano - Nota Máxima: 10</v>
      </c>
    </row>
    <row r="4046">
      <c r="A4046" s="390" t="str">
        <f>IFERROR(__xludf.DUMMYFUNCTION("""COMPUTED_VALUE"""),"Formação Pedagógica em Filosofia - Formação Pedagógica em Filosofia - Reginaldo Nonato dos Santos - Desenvolvimento do Capital Humano - Nota Máxima: 6")</f>
        <v>Formação Pedagógica em Filosofia - Formação Pedagógica em Filosofia - Reginaldo Nonato dos Santos - Desenvolvimento do Capital Humano - Nota Máxima: 6</v>
      </c>
    </row>
    <row r="4047">
      <c r="A4047" s="390" t="str">
        <f>IFERROR(__xludf.DUMMYFUNCTION("""COMPUTED_VALUE"""),"Formação Pedagógica em Filosofia - Formação Pedagógica em Filosofia - Reginaldo Nonato dos Santos - Educação Especial, Inclusão Escolar e Adaptações Curriculares - Nota Máxima: 10")</f>
        <v>Formação Pedagógica em Filosofia - Formação Pedagógica em Filosofia - Reginaldo Nonato dos Santos - Educação Especial, Inclusão Escolar e Adaptações Curriculares - Nota Máxima: 10</v>
      </c>
    </row>
    <row r="4048">
      <c r="A4048" s="390" t="str">
        <f>IFERROR(__xludf.DUMMYFUNCTION("""COMPUTED_VALUE"""),"Formação Pedagógica em Filosofia - Formação Pedagógica em Filosofia - Reginaldo Nonato dos Santos - Educação Especial, Inclusão Escolar e Adaptações Curriculares - Nota Máxima: 2")</f>
        <v>Formação Pedagógica em Filosofia - Formação Pedagógica em Filosofia - Reginaldo Nonato dos Santos - Educação Especial, Inclusão Escolar e Adaptações Curriculares - Nota Máxima: 2</v>
      </c>
    </row>
    <row r="4049">
      <c r="A4049" s="390" t="str">
        <f>IFERROR(__xludf.DUMMYFUNCTION("""COMPUTED_VALUE"""),"Formação Pedagógica em Filosofia - Formação Pedagógica em Filosofia - Reginaldo Nonato dos Santos - Educação, História, Cultura e Práticas Indígenas/a - Nota Máxima: 10")</f>
        <v>Formação Pedagógica em Filosofia - Formação Pedagógica em Filosofia - Reginaldo Nonato dos Santos - Educação, História, Cultura e Práticas Indígenas/a - Nota Máxima: 10</v>
      </c>
    </row>
    <row r="4050">
      <c r="A4050" s="390" t="str">
        <f>IFERROR(__xludf.DUMMYFUNCTION("""COMPUTED_VALUE"""),"Formação Pedagógica em Filosofia - Formação Pedagógica em Filosofia - Reginaldo Nonato dos Santos - Educação, História, Cultura e Práticas Indígenas/a - Nota Máxima: 6")</f>
        <v>Formação Pedagógica em Filosofia - Formação Pedagógica em Filosofia - Reginaldo Nonato dos Santos - Educação, História, Cultura e Práticas Indígenas/a - Nota Máxima: 6</v>
      </c>
    </row>
    <row r="4051">
      <c r="A4051" s="390" t="str">
        <f>IFERROR(__xludf.DUMMYFUNCTION("""COMPUTED_VALUE"""),"Formação Pedagógica em Filosofia - Formação Pedagógica em Filosofia - Reginaldo Nonato dos Santos - Estudos Populacionais - Nota Máxima: 9")</f>
        <v>Formação Pedagógica em Filosofia - Formação Pedagógica em Filosofia - Reginaldo Nonato dos Santos - Estudos Populacionais - Nota Máxima: 9</v>
      </c>
    </row>
    <row r="4052">
      <c r="A4052" s="390" t="str">
        <f>IFERROR(__xludf.DUMMYFUNCTION("""COMPUTED_VALUE"""),"Formação Pedagógica em Filosofia - Formação Pedagógica em Filosofia - Reginaldo Nonato dos Santos - Estudos Populacionais - Nota Máxima: 3")</f>
        <v>Formação Pedagógica em Filosofia - Formação Pedagógica em Filosofia - Reginaldo Nonato dos Santos - Estudos Populacionais - Nota Máxima: 3</v>
      </c>
    </row>
    <row r="4053">
      <c r="A4053" s="390" t="str">
        <f>IFERROR(__xludf.DUMMYFUNCTION("""COMPUTED_VALUE"""),"Formação Pedagógica em Filosofia - Formação Pedagógica em Filosofia - Reginaldo Nonato dos Santos - Filosofia das Artes à Estética - Nota Máxima: 10")</f>
        <v>Formação Pedagógica em Filosofia - Formação Pedagógica em Filosofia - Reginaldo Nonato dos Santos - Filosofia das Artes à Estética - Nota Máxima: 10</v>
      </c>
    </row>
    <row r="4054">
      <c r="A4054" s="390" t="str">
        <f>IFERROR(__xludf.DUMMYFUNCTION("""COMPUTED_VALUE"""),"Formação Pedagógica em Filosofia - Formação Pedagógica em Filosofia - Reginaldo Nonato dos Santos - Filosofia das Artes à Estética - Nota Máxima: 1")</f>
        <v>Formação Pedagógica em Filosofia - Formação Pedagógica em Filosofia - Reginaldo Nonato dos Santos - Filosofia das Artes à Estética - Nota Máxima: 1</v>
      </c>
    </row>
    <row r="4055">
      <c r="A4055" s="390" t="str">
        <f>IFERROR(__xludf.DUMMYFUNCTION("""COMPUTED_VALUE"""),"Formação Pedagógica em Filosofia - Formação Pedagógica em Filosofia - Reginaldo Nonato dos Santos - Filosofia e Política - Nota Máxima: 10")</f>
        <v>Formação Pedagógica em Filosofia - Formação Pedagógica em Filosofia - Reginaldo Nonato dos Santos - Filosofia e Política - Nota Máxima: 10</v>
      </c>
    </row>
    <row r="4056">
      <c r="A4056" s="390" t="str">
        <f>IFERROR(__xludf.DUMMYFUNCTION("""COMPUTED_VALUE"""),"Formação Pedagógica em Filosofia - Formação Pedagógica em Filosofia - Reginaldo Nonato dos Santos - Filosofia e Política - Nota Máxima: 3")</f>
        <v>Formação Pedagógica em Filosofia - Formação Pedagógica em Filosofia - Reginaldo Nonato dos Santos - Filosofia e Política - Nota Máxima: 3</v>
      </c>
    </row>
    <row r="4057">
      <c r="A4057" s="390" t="str">
        <f>IFERROR(__xludf.DUMMYFUNCTION("""COMPUTED_VALUE"""),"Formação Pedagógica em Filosofia - Formação Pedagógica em Filosofia - Reginaldo Nonato dos Santos - História da Filosofia Moderna - Nota Máxima: 10")</f>
        <v>Formação Pedagógica em Filosofia - Formação Pedagógica em Filosofia - Reginaldo Nonato dos Santos - História da Filosofia Moderna - Nota Máxima: 10</v>
      </c>
    </row>
    <row r="4058">
      <c r="A4058" s="390" t="str">
        <f>IFERROR(__xludf.DUMMYFUNCTION("""COMPUTED_VALUE"""),"Formação Pedagógica em Filosofia - Formação Pedagógica em Filosofia - Reginaldo Nonato dos Santos - História da Filosofia Moderna - Nota Máxima: 2")</f>
        <v>Formação Pedagógica em Filosofia - Formação Pedagógica em Filosofia - Reginaldo Nonato dos Santos - História da Filosofia Moderna - Nota Máxima: 2</v>
      </c>
    </row>
    <row r="4059">
      <c r="A4059" s="390" t="str">
        <f>IFERROR(__xludf.DUMMYFUNCTION("""COMPUTED_VALUE"""),"Formação Pedagógica em Filosofia - Formação Pedagógica em Filosofia - Reginaldo Nonato dos Santos - Legislação Educacional/a - Nota Máxima: 10")</f>
        <v>Formação Pedagógica em Filosofia - Formação Pedagógica em Filosofia - Reginaldo Nonato dos Santos - Legislação Educacional/a - Nota Máxima: 10</v>
      </c>
    </row>
    <row r="4060">
      <c r="A4060" s="390" t="str">
        <f>IFERROR(__xludf.DUMMYFUNCTION("""COMPUTED_VALUE"""),"Formação Pedagógica em Filosofia - Formação Pedagógica em Filosofia - Reginaldo Nonato dos Santos - Legislação Educacional/a - Nota Máxima: 3")</f>
        <v>Formação Pedagógica em Filosofia - Formação Pedagógica em Filosofia - Reginaldo Nonato dos Santos - Legislação Educacional/a - Nota Máxima: 3</v>
      </c>
    </row>
    <row r="4061">
      <c r="A4061" s="390" t="str">
        <f>IFERROR(__xludf.DUMMYFUNCTION("""COMPUTED_VALUE"""),"Formação Pedagógica em Filosofia - Formação Pedagógica em Filosofia - Reginaldo Nonato dos Santos - Metodologia do Aprendizado - Nota Máxima: 7")</f>
        <v>Formação Pedagógica em Filosofia - Formação Pedagógica em Filosofia - Reginaldo Nonato dos Santos - Metodologia do Aprendizado - Nota Máxima: 7</v>
      </c>
    </row>
    <row r="4062">
      <c r="A4062" s="390" t="str">
        <f>IFERROR(__xludf.DUMMYFUNCTION("""COMPUTED_VALUE"""),"Formação Pedagógica em Filosofia - Formação Pedagógica em Filosofia - Reginaldo Nonato dos Santos - Metodologia do Aprendizado - Nota Máxima: 4")</f>
        <v>Formação Pedagógica em Filosofia - Formação Pedagógica em Filosofia - Reginaldo Nonato dos Santos - Metodologia do Aprendizado - Nota Máxima: 4</v>
      </c>
    </row>
    <row r="4063">
      <c r="A4063" s="390" t="str">
        <f>IFERROR(__xludf.DUMMYFUNCTION("""COMPUTED_VALUE"""),"Formação Pedagógica em Filosofia - Formação Pedagógica em Filosofia - Reginaldo Nonato dos Santos - Planejamento, Gestão Educacional e Currículo/a - Nota Máxima: 10")</f>
        <v>Formação Pedagógica em Filosofia - Formação Pedagógica em Filosofia - Reginaldo Nonato dos Santos - Planejamento, Gestão Educacional e Currículo/a - Nota Máxima: 10</v>
      </c>
    </row>
    <row r="4064">
      <c r="A4064" s="390" t="str">
        <f>IFERROR(__xludf.DUMMYFUNCTION("""COMPUTED_VALUE"""),"Formação Pedagógica em Filosofia - Formação Pedagógica em Filosofia - Reginaldo Nonato dos Santos - Planejamento, Gestão Educacional e Currículo/a - Nota Máxima: 6")</f>
        <v>Formação Pedagógica em Filosofia - Formação Pedagógica em Filosofia - Reginaldo Nonato dos Santos - Planejamento, Gestão Educacional e Currículo/a - Nota Máxima: 6</v>
      </c>
    </row>
    <row r="4065">
      <c r="A4065" s="390" t="str">
        <f>IFERROR(__xludf.DUMMYFUNCTION("""COMPUTED_VALUE"""),"Formação Pedagógica em Filosofia - Formação Pedagógica em Filosofia - Reginaldo Nonato dos Santos - Práticas Pedagógicas - 400 Horas - Nota Máxima: 45784")</f>
        <v>Formação Pedagógica em Filosofia - Formação Pedagógica em Filosofia - Reginaldo Nonato dos Santos - Práticas Pedagógicas - 400 Horas - Nota Máxima: 45784</v>
      </c>
    </row>
    <row r="4066">
      <c r="A4066" s="390" t="str">
        <f>IFERROR(__xludf.DUMMYFUNCTION("""COMPUTED_VALUE"""),"Formação Pedagógica em Filosofia - Formação Pedagógica em Filosofia - Reginaldo Nonato dos Santos - Psicologia da Educação/a - Nota Máxima: 10")</f>
        <v>Formação Pedagógica em Filosofia - Formação Pedagógica em Filosofia - Reginaldo Nonato dos Santos - Psicologia da Educação/a - Nota Máxima: 10</v>
      </c>
    </row>
    <row r="4067">
      <c r="A4067" s="390" t="str">
        <f>IFERROR(__xludf.DUMMYFUNCTION("""COMPUTED_VALUE"""),"Formação Pedagógica em Filosofia - Formação Pedagógica em Filosofia - Reginaldo Nonato dos Santos - Psicologia da Educação/a - Nota Máxima: 1")</f>
        <v>Formação Pedagógica em Filosofia - Formação Pedagógica em Filosofia - Reginaldo Nonato dos Santos - Psicologia da Educação/a - Nota Máxima: 1</v>
      </c>
    </row>
    <row r="4068">
      <c r="A4068" s="390" t="str">
        <f>IFERROR(__xludf.DUMMYFUNCTION("""COMPUTED_VALUE"""),"Formação Pedagógica em Filosofia - Formação Pedagógica em Filosofia - Flávia Rita dos Santos Lopes - Ciência Política - Nota Máxima: 10")</f>
        <v>Formação Pedagógica em Filosofia - Formação Pedagógica em Filosofia - Flávia Rita dos Santos Lopes - Ciência Política - Nota Máxima: 10</v>
      </c>
    </row>
    <row r="4069">
      <c r="A4069" s="390" t="str">
        <f>IFERROR(__xludf.DUMMYFUNCTION("""COMPUTED_VALUE"""),"Formação Pedagógica em Filosofia - Formação Pedagógica em Filosofia - Flávia Rita dos Santos Lopes - Ciência Política - Nota Máxima: 9")</f>
        <v>Formação Pedagógica em Filosofia - Formação Pedagógica em Filosofia - Flávia Rita dos Santos Lopes - Ciência Política - Nota Máxima: 9</v>
      </c>
    </row>
    <row r="4070">
      <c r="A4070" s="390" t="str">
        <f>IFERROR(__xludf.DUMMYFUNCTION("""COMPUTED_VALUE"""),"Formação Pedagógica em Filosofia - Formação Pedagógica em Filosofia - Flávia Rita dos Santos Lopes - Deficiência Auditiva e Libras/a - Nota Máxima: 10")</f>
        <v>Formação Pedagógica em Filosofia - Formação Pedagógica em Filosofia - Flávia Rita dos Santos Lopes - Deficiência Auditiva e Libras/a - Nota Máxima: 10</v>
      </c>
    </row>
    <row r="4071">
      <c r="A4071" s="390" t="str">
        <f>IFERROR(__xludf.DUMMYFUNCTION("""COMPUTED_VALUE"""),"Formação Pedagógica em Filosofia - Formação Pedagógica em Filosofia - Flávia Rita dos Santos Lopes - Deficiência Auditiva e Libras/a - Nota Máxima: 10")</f>
        <v>Formação Pedagógica em Filosofia - Formação Pedagógica em Filosofia - Flávia Rita dos Santos Lopes - Deficiência Auditiva e Libras/a - Nota Máxima: 10</v>
      </c>
    </row>
    <row r="4072">
      <c r="A4072" s="390" t="str">
        <f>IFERROR(__xludf.DUMMYFUNCTION("""COMPUTED_VALUE"""),"Formação Pedagógica em Filosofia - Formação Pedagógica em Filosofia - Flávia Rita dos Santos Lopes - Desenvolvimento do Capital Humano - Nota Máxima: 10")</f>
        <v>Formação Pedagógica em Filosofia - Formação Pedagógica em Filosofia - Flávia Rita dos Santos Lopes - Desenvolvimento do Capital Humano - Nota Máxima: 10</v>
      </c>
    </row>
    <row r="4073">
      <c r="A4073" s="390" t="str">
        <f>IFERROR(__xludf.DUMMYFUNCTION("""COMPUTED_VALUE"""),"Formação Pedagógica em Filosofia - Formação Pedagógica em Filosofia - Flávia Rita dos Santos Lopes - Desenvolvimento do Capital Humano - Nota Máxima: 6")</f>
        <v>Formação Pedagógica em Filosofia - Formação Pedagógica em Filosofia - Flávia Rita dos Santos Lopes - Desenvolvimento do Capital Humano - Nota Máxima: 6</v>
      </c>
    </row>
    <row r="4074">
      <c r="A4074" s="390" t="str">
        <f>IFERROR(__xludf.DUMMYFUNCTION("""COMPUTED_VALUE"""),"Formação Pedagógica em Filosofia - Formação Pedagógica em Filosofia - Flávia Rita dos Santos Lopes - Educação Especial, Inclusão Escolar e Adaptações Curriculares - Nota Máxima: 10")</f>
        <v>Formação Pedagógica em Filosofia - Formação Pedagógica em Filosofia - Flávia Rita dos Santos Lopes - Educação Especial, Inclusão Escolar e Adaptações Curriculares - Nota Máxima: 10</v>
      </c>
    </row>
    <row r="4075">
      <c r="A4075" s="390" t="str">
        <f>IFERROR(__xludf.DUMMYFUNCTION("""COMPUTED_VALUE"""),"Formação Pedagógica em Filosofia - Formação Pedagógica em Filosofia - Flávia Rita dos Santos Lopes - Educação Especial, Inclusão Escolar e Adaptações Curriculares - Nota Máxima: 8")</f>
        <v>Formação Pedagógica em Filosofia - Formação Pedagógica em Filosofia - Flávia Rita dos Santos Lopes - Educação Especial, Inclusão Escolar e Adaptações Curriculares - Nota Máxima: 8</v>
      </c>
    </row>
    <row r="4076">
      <c r="A4076" s="390" t="str">
        <f>IFERROR(__xludf.DUMMYFUNCTION("""COMPUTED_VALUE"""),"Formação Pedagógica em Filosofia - Formação Pedagógica em Filosofia - Flávia Rita dos Santos Lopes - Educação, História, Cultura e Práticas Indígenas/a - Nota Máxima: 10")</f>
        <v>Formação Pedagógica em Filosofia - Formação Pedagógica em Filosofia - Flávia Rita dos Santos Lopes - Educação, História, Cultura e Práticas Indígenas/a - Nota Máxima: 10</v>
      </c>
    </row>
    <row r="4077">
      <c r="A4077" s="390" t="str">
        <f>IFERROR(__xludf.DUMMYFUNCTION("""COMPUTED_VALUE"""),"Formação Pedagógica em Filosofia - Formação Pedagógica em Filosofia - Flávia Rita dos Santos Lopes - Educação, História, Cultura e Práticas Indígenas/a - Nota Máxima: 7")</f>
        <v>Formação Pedagógica em Filosofia - Formação Pedagógica em Filosofia - Flávia Rita dos Santos Lopes - Educação, História, Cultura e Práticas Indígenas/a - Nota Máxima: 7</v>
      </c>
    </row>
    <row r="4078">
      <c r="A4078" s="390" t="str">
        <f>IFERROR(__xludf.DUMMYFUNCTION("""COMPUTED_VALUE"""),"Formação Pedagógica em Filosofia - Formação Pedagógica em Filosofia - Flávia Rita dos Santos Lopes - Estudos Populacionais - Nota Máxima: 10")</f>
        <v>Formação Pedagógica em Filosofia - Formação Pedagógica em Filosofia - Flávia Rita dos Santos Lopes - Estudos Populacionais - Nota Máxima: 10</v>
      </c>
    </row>
    <row r="4079">
      <c r="A4079" s="390" t="str">
        <f>IFERROR(__xludf.DUMMYFUNCTION("""COMPUTED_VALUE"""),"Formação Pedagógica em Filosofia - Formação Pedagógica em Filosofia - Flávia Rita dos Santos Lopes - Estudos Populacionais - Nota Máxima: 10")</f>
        <v>Formação Pedagógica em Filosofia - Formação Pedagógica em Filosofia - Flávia Rita dos Santos Lopes - Estudos Populacionais - Nota Máxima: 10</v>
      </c>
    </row>
    <row r="4080">
      <c r="A4080" s="390" t="str">
        <f>IFERROR(__xludf.DUMMYFUNCTION("""COMPUTED_VALUE"""),"Formação Pedagógica em Filosofia - Formação Pedagógica em Filosofia - Flávia Rita dos Santos Lopes - Filosofia das Artes à Estética - Nota Máxima: 10")</f>
        <v>Formação Pedagógica em Filosofia - Formação Pedagógica em Filosofia - Flávia Rita dos Santos Lopes - Filosofia das Artes à Estética - Nota Máxima: 10</v>
      </c>
    </row>
    <row r="4081">
      <c r="A4081" s="390" t="str">
        <f>IFERROR(__xludf.DUMMYFUNCTION("""COMPUTED_VALUE"""),"Formação Pedagógica em Filosofia - Formação Pedagógica em Filosofia - Flávia Rita dos Santos Lopes - Filosofia das Artes à Estética - Nota Máxima: 9")</f>
        <v>Formação Pedagógica em Filosofia - Formação Pedagógica em Filosofia - Flávia Rita dos Santos Lopes - Filosofia das Artes à Estética - Nota Máxima: 9</v>
      </c>
    </row>
    <row r="4082">
      <c r="A4082" s="390" t="str">
        <f>IFERROR(__xludf.DUMMYFUNCTION("""COMPUTED_VALUE"""),"Formação Pedagógica em Filosofia - Formação Pedagógica em Filosofia - Flávia Rita dos Santos Lopes - Filosofia e Política - Nota Máxima: 10")</f>
        <v>Formação Pedagógica em Filosofia - Formação Pedagógica em Filosofia - Flávia Rita dos Santos Lopes - Filosofia e Política - Nota Máxima: 10</v>
      </c>
    </row>
    <row r="4083">
      <c r="A4083" s="390" t="str">
        <f>IFERROR(__xludf.DUMMYFUNCTION("""COMPUTED_VALUE"""),"Formação Pedagógica em Filosofia - Formação Pedagógica em Filosofia - Flávia Rita dos Santos Lopes - Filosofia e Política - Nota Máxima: 10")</f>
        <v>Formação Pedagógica em Filosofia - Formação Pedagógica em Filosofia - Flávia Rita dos Santos Lopes - Filosofia e Política - Nota Máxima: 10</v>
      </c>
    </row>
    <row r="4084">
      <c r="A4084" s="390" t="str">
        <f>IFERROR(__xludf.DUMMYFUNCTION("""COMPUTED_VALUE"""),"Formação Pedagógica em Filosofia - Formação Pedagógica em Filosofia - Flávia Rita dos Santos Lopes - História da Filosofia Moderna - Nota Máxima: 10")</f>
        <v>Formação Pedagógica em Filosofia - Formação Pedagógica em Filosofia - Flávia Rita dos Santos Lopes - História da Filosofia Moderna - Nota Máxima: 10</v>
      </c>
    </row>
    <row r="4085">
      <c r="A4085" s="390" t="str">
        <f>IFERROR(__xludf.DUMMYFUNCTION("""COMPUTED_VALUE"""),"Formação Pedagógica em Filosofia - Formação Pedagógica em Filosofia - Flávia Rita dos Santos Lopes - História da Filosofia Moderna - Nota Máxima: 9")</f>
        <v>Formação Pedagógica em Filosofia - Formação Pedagógica em Filosofia - Flávia Rita dos Santos Lopes - História da Filosofia Moderna - Nota Máxima: 9</v>
      </c>
    </row>
    <row r="4086">
      <c r="A4086" s="390" t="str">
        <f>IFERROR(__xludf.DUMMYFUNCTION("""COMPUTED_VALUE"""),"Formação Pedagógica em Filosofia - Formação Pedagógica em Filosofia - Flávia Rita dos Santos Lopes - Legislação Educacional/a - Nota Máxima: 10")</f>
        <v>Formação Pedagógica em Filosofia - Formação Pedagógica em Filosofia - Flávia Rita dos Santos Lopes - Legislação Educacional/a - Nota Máxima: 10</v>
      </c>
    </row>
    <row r="4087">
      <c r="A4087" s="390" t="str">
        <f>IFERROR(__xludf.DUMMYFUNCTION("""COMPUTED_VALUE"""),"Formação Pedagógica em Filosofia - Formação Pedagógica em Filosofia - Flávia Rita dos Santos Lopes - Metodologia do Aprendizado - Nota Máxima: 7")</f>
        <v>Formação Pedagógica em Filosofia - Formação Pedagógica em Filosofia - Flávia Rita dos Santos Lopes - Metodologia do Aprendizado - Nota Máxima: 7</v>
      </c>
    </row>
    <row r="4088">
      <c r="A4088" s="390" t="str">
        <f>IFERROR(__xludf.DUMMYFUNCTION("""COMPUTED_VALUE"""),"Formação Pedagógica em Filosofia - Formação Pedagógica em Filosofia - Flávia Rita dos Santos Lopes - Metodologia do Aprendizado - Nota Máxima: 7")</f>
        <v>Formação Pedagógica em Filosofia - Formação Pedagógica em Filosofia - Flávia Rita dos Santos Lopes - Metodologia do Aprendizado - Nota Máxima: 7</v>
      </c>
    </row>
    <row r="4089">
      <c r="A4089" s="390" t="str">
        <f>IFERROR(__xludf.DUMMYFUNCTION("""COMPUTED_VALUE"""),"Formação Pedagógica em Filosofia - Formação Pedagógica em Filosofia - Flávia Rita dos Santos Lopes - Planejamento, Gestão Educacional e Currículo/a - Nota Máxima: 10")</f>
        <v>Formação Pedagógica em Filosofia - Formação Pedagógica em Filosofia - Flávia Rita dos Santos Lopes - Planejamento, Gestão Educacional e Currículo/a - Nota Máxima: 10</v>
      </c>
    </row>
    <row r="4090">
      <c r="A4090" s="390" t="str">
        <f>IFERROR(__xludf.DUMMYFUNCTION("""COMPUTED_VALUE"""),"Formação Pedagógica em Filosofia - Formação Pedagógica em Filosofia - Flávia Rita dos Santos Lopes - Práticas Pedagógicas - 400 Horas - Nota Máxima: 10")</f>
        <v>Formação Pedagógica em Filosofia - Formação Pedagógica em Filosofia - Flávia Rita dos Santos Lopes - Práticas Pedagógicas - 400 Horas - Nota Máxima: 10</v>
      </c>
    </row>
    <row r="4091">
      <c r="A4091" s="390" t="str">
        <f>IFERROR(__xludf.DUMMYFUNCTION("""COMPUTED_VALUE"""),"Formação Pedagógica em Filosofia - Formação Pedagógica em Filosofia - Flávia Rita dos Santos Lopes - Práticas Pedagógicas - 400 Horas - Nota Máxima: 10")</f>
        <v>Formação Pedagógica em Filosofia - Formação Pedagógica em Filosofia - Flávia Rita dos Santos Lopes - Práticas Pedagógicas - 400 Horas - Nota Máxima: 10</v>
      </c>
    </row>
    <row r="4092">
      <c r="A4092" s="390" t="str">
        <f>IFERROR(__xludf.DUMMYFUNCTION("""COMPUTED_VALUE"""),"Formação Pedagógica em Filosofia - Formação Pedagógica em Filosofia - Flávia Rita dos Santos Lopes - Psicologia da Educação/a - Nota Máxima: 10")</f>
        <v>Formação Pedagógica em Filosofia - Formação Pedagógica em Filosofia - Flávia Rita dos Santos Lopes - Psicologia da Educação/a - Nota Máxima: 10</v>
      </c>
    </row>
    <row r="4093">
      <c r="A4093" s="390" t="str">
        <f>IFERROR(__xludf.DUMMYFUNCTION("""COMPUTED_VALUE"""),"Formação Pedagógica em Filosofia - Formação Pedagógica em Filosofia - Cristiano Rosa Marciano - Ciência Política - Nota Máxima: 9")</f>
        <v>Formação Pedagógica em Filosofia - Formação Pedagógica em Filosofia - Cristiano Rosa Marciano - Ciência Política - Nota Máxima: 9</v>
      </c>
    </row>
    <row r="4094">
      <c r="A4094" s="390" t="str">
        <f>IFERROR(__xludf.DUMMYFUNCTION("""COMPUTED_VALUE"""),"Formação Pedagógica em Filosofia - Formação Pedagógica em Filosofia - Cristiano Rosa Marciano - Deficiência Auditiva e Libras/a - Nota Máxima: 8")</f>
        <v>Formação Pedagógica em Filosofia - Formação Pedagógica em Filosofia - Cristiano Rosa Marciano - Deficiência Auditiva e Libras/a - Nota Máxima: 8</v>
      </c>
    </row>
    <row r="4095">
      <c r="A4095" s="390" t="str">
        <f>IFERROR(__xludf.DUMMYFUNCTION("""COMPUTED_VALUE"""),"Formação Pedagógica em Filosofia - Formação Pedagógica em Filosofia - Cristiano Rosa Marciano - Desenvolvimento do Capital Humano - Nota Máxima: 9")</f>
        <v>Formação Pedagógica em Filosofia - Formação Pedagógica em Filosofia - Cristiano Rosa Marciano - Desenvolvimento do Capital Humano - Nota Máxima: 9</v>
      </c>
    </row>
    <row r="4096">
      <c r="A4096" s="390" t="str">
        <f>IFERROR(__xludf.DUMMYFUNCTION("""COMPUTED_VALUE"""),"Formação Pedagógica em Filosofia - Formação Pedagógica em Filosofia - Cristiano Rosa Marciano - Educação Especial, Inclusão Escolar e Adaptações Curriculares - Nota Máxima: 10")</f>
        <v>Formação Pedagógica em Filosofia - Formação Pedagógica em Filosofia - Cristiano Rosa Marciano - Educação Especial, Inclusão Escolar e Adaptações Curriculares - Nota Máxima: 10</v>
      </c>
    </row>
    <row r="4097">
      <c r="A4097" s="390" t="str">
        <f>IFERROR(__xludf.DUMMYFUNCTION("""COMPUTED_VALUE"""),"Formação Pedagógica em Filosofia - Formação Pedagógica em Filosofia - Cristiano Rosa Marciano - Educação, História, Cultura e Práticas Indígenas/a - Nota Máxima: 10")</f>
        <v>Formação Pedagógica em Filosofia - Formação Pedagógica em Filosofia - Cristiano Rosa Marciano - Educação, História, Cultura e Práticas Indígenas/a - Nota Máxima: 10</v>
      </c>
    </row>
    <row r="4098">
      <c r="A4098" s="390" t="str">
        <f>IFERROR(__xludf.DUMMYFUNCTION("""COMPUTED_VALUE"""),"Formação Pedagógica em Filosofia - Formação Pedagógica em Filosofia - Cristiano Rosa Marciano - Estudos Populacionais - Nota Máxima: 7")</f>
        <v>Formação Pedagógica em Filosofia - Formação Pedagógica em Filosofia - Cristiano Rosa Marciano - Estudos Populacionais - Nota Máxima: 7</v>
      </c>
    </row>
    <row r="4099">
      <c r="A4099" s="390" t="str">
        <f>IFERROR(__xludf.DUMMYFUNCTION("""COMPUTED_VALUE"""),"Formação Pedagógica em Filosofia - Formação Pedagógica em Filosofia - Cristiano Rosa Marciano - Filosofia das Artes à Estética - Nota Máxima: 10")</f>
        <v>Formação Pedagógica em Filosofia - Formação Pedagógica em Filosofia - Cristiano Rosa Marciano - Filosofia das Artes à Estética - Nota Máxima: 10</v>
      </c>
    </row>
    <row r="4100">
      <c r="A4100" s="390" t="str">
        <f>IFERROR(__xludf.DUMMYFUNCTION("""COMPUTED_VALUE"""),"Formação Pedagógica em Filosofia - Formação Pedagógica em Filosofia - Cristiano Rosa Marciano - Filosofia e Política - Nota Máxima: 8")</f>
        <v>Formação Pedagógica em Filosofia - Formação Pedagógica em Filosofia - Cristiano Rosa Marciano - Filosofia e Política - Nota Máxima: 8</v>
      </c>
    </row>
    <row r="4101">
      <c r="A4101" s="390" t="str">
        <f>IFERROR(__xludf.DUMMYFUNCTION("""COMPUTED_VALUE"""),"Formação Pedagógica em Filosofia - Formação Pedagógica em Filosofia - Cristiano Rosa Marciano - História da Filosofia Moderna - Nota Máxima: 10")</f>
        <v>Formação Pedagógica em Filosofia - Formação Pedagógica em Filosofia - Cristiano Rosa Marciano - História da Filosofia Moderna - Nota Máxima: 10</v>
      </c>
    </row>
    <row r="4102">
      <c r="A4102" s="390" t="str">
        <f>IFERROR(__xludf.DUMMYFUNCTION("""COMPUTED_VALUE"""),"Formação Pedagógica em Filosofia - Formação Pedagógica em Filosofia - Cristiano Rosa Marciano - Legislação Educacional/a - Nota Máxima: 7")</f>
        <v>Formação Pedagógica em Filosofia - Formação Pedagógica em Filosofia - Cristiano Rosa Marciano - Legislação Educacional/a - Nota Máxima: 7</v>
      </c>
    </row>
    <row r="4103">
      <c r="A4103" s="390" t="str">
        <f>IFERROR(__xludf.DUMMYFUNCTION("""COMPUTED_VALUE"""),"Formação Pedagógica em Filosofia - Formação Pedagógica em Filosofia - Cristiano Rosa Marciano - Metodologia do Aprendizado - Nota Máxima: 5")</f>
        <v>Formação Pedagógica em Filosofia - Formação Pedagógica em Filosofia - Cristiano Rosa Marciano - Metodologia do Aprendizado - Nota Máxima: 5</v>
      </c>
    </row>
    <row r="4104">
      <c r="A4104" s="390" t="str">
        <f>IFERROR(__xludf.DUMMYFUNCTION("""COMPUTED_VALUE"""),"Formação Pedagógica em Filosofia - Formação Pedagógica em Filosofia - Cristiano Rosa Marciano - Planejamento, Gestão Educacional e Currículo/a - Nota Máxima: 10")</f>
        <v>Formação Pedagógica em Filosofia - Formação Pedagógica em Filosofia - Cristiano Rosa Marciano - Planejamento, Gestão Educacional e Currículo/a - Nota Máxima: 10</v>
      </c>
    </row>
    <row r="4105">
      <c r="A4105" s="390" t="str">
        <f>IFERROR(__xludf.DUMMYFUNCTION("""COMPUTED_VALUE"""),"Formação Pedagógica em Filosofia - Formação Pedagógica em Filosofia - Cristiano Rosa Marciano - Práticas Pedagógicas - 400 Horas - Nota Máxima: 3")</f>
        <v>Formação Pedagógica em Filosofia - Formação Pedagógica em Filosofia - Cristiano Rosa Marciano - Práticas Pedagógicas - 400 Horas - Nota Máxima: 3</v>
      </c>
    </row>
    <row r="4106">
      <c r="A4106" s="390" t="str">
        <f>IFERROR(__xludf.DUMMYFUNCTION("""COMPUTED_VALUE"""),"Formação Pedagógica em Filosofia - Formação Pedagógica em Filosofia - Cristiano Rosa Marciano - Psicologia da Educação/a - Nota Máxima: 7")</f>
        <v>Formação Pedagógica em Filosofia - Formação Pedagógica em Filosofia - Cristiano Rosa Marciano - Psicologia da Educação/a - Nota Máxima: 7</v>
      </c>
    </row>
    <row r="4107">
      <c r="A4107" s="390" t="str">
        <f>IFERROR(__xludf.DUMMYFUNCTION("""COMPUTED_VALUE"""),"Formação Pedagógica em Filosofia - Formação Pedagógica em Filosofia - Cláudio César Diniz - Ciência Política - Nota Máxima: 9")</f>
        <v>Formação Pedagógica em Filosofia - Formação Pedagógica em Filosofia - Cláudio César Diniz - Ciência Política - Nota Máxima: 9</v>
      </c>
    </row>
    <row r="4108">
      <c r="A4108" s="390" t="str">
        <f>IFERROR(__xludf.DUMMYFUNCTION("""COMPUTED_VALUE"""),"Formação Pedagógica em Filosofia - Formação Pedagógica em Filosofia - Cláudio César Diniz - Deficiência Auditiva e Libras/a - Nota Máxima: 10")</f>
        <v>Formação Pedagógica em Filosofia - Formação Pedagógica em Filosofia - Cláudio César Diniz - Deficiência Auditiva e Libras/a - Nota Máxima: 10</v>
      </c>
    </row>
    <row r="4109">
      <c r="A4109" s="390" t="str">
        <f>IFERROR(__xludf.DUMMYFUNCTION("""COMPUTED_VALUE"""),"Formação Pedagógica em Filosofia - Formação Pedagógica em Filosofia - Cláudio César Diniz - Desenvolvimento do Capital Humano - Nota Máxima: 7")</f>
        <v>Formação Pedagógica em Filosofia - Formação Pedagógica em Filosofia - Cláudio César Diniz - Desenvolvimento do Capital Humano - Nota Máxima: 7</v>
      </c>
    </row>
    <row r="4110">
      <c r="A4110" s="390" t="str">
        <f>IFERROR(__xludf.DUMMYFUNCTION("""COMPUTED_VALUE"""),"Formação Pedagógica em Filosofia - Formação Pedagógica em Filosofia - Cláudio César Diniz - Educação Especial, Inclusão Escolar e Adaptações Curriculares - Nota Máxima: 7")</f>
        <v>Formação Pedagógica em Filosofia - Formação Pedagógica em Filosofia - Cláudio César Diniz - Educação Especial, Inclusão Escolar e Adaptações Curriculares - Nota Máxima: 7</v>
      </c>
    </row>
    <row r="4111">
      <c r="A4111" s="390" t="str">
        <f>IFERROR(__xludf.DUMMYFUNCTION("""COMPUTED_VALUE"""),"Formação Pedagógica em Filosofia - Formação Pedagógica em Filosofia - Cláudio César Diniz - Educação, História, Cultura e Práticas Indígenas/a - Nota Máxima: 8")</f>
        <v>Formação Pedagógica em Filosofia - Formação Pedagógica em Filosofia - Cláudio César Diniz - Educação, História, Cultura e Práticas Indígenas/a - Nota Máxima: 8</v>
      </c>
    </row>
    <row r="4112">
      <c r="A4112" s="390" t="str">
        <f>IFERROR(__xludf.DUMMYFUNCTION("""COMPUTED_VALUE"""),"Formação Pedagógica em Filosofia - Formação Pedagógica em Filosofia - Cláudio César Diniz - Estudos Populacionais - Nota Máxima: 9")</f>
        <v>Formação Pedagógica em Filosofia - Formação Pedagógica em Filosofia - Cláudio César Diniz - Estudos Populacionais - Nota Máxima: 9</v>
      </c>
    </row>
    <row r="4113">
      <c r="A4113" s="390" t="str">
        <f>IFERROR(__xludf.DUMMYFUNCTION("""COMPUTED_VALUE"""),"Formação Pedagógica em Filosofia - Formação Pedagógica em Filosofia - Cláudio César Diniz - Filosofia das Artes à Estética - Nota Máxima: 8")</f>
        <v>Formação Pedagógica em Filosofia - Formação Pedagógica em Filosofia - Cláudio César Diniz - Filosofia das Artes à Estética - Nota Máxima: 8</v>
      </c>
    </row>
    <row r="4114">
      <c r="A4114" s="390" t="str">
        <f>IFERROR(__xludf.DUMMYFUNCTION("""COMPUTED_VALUE"""),"Formação Pedagógica em Filosofia - Formação Pedagógica em Filosofia - Cláudio César Diniz - Filosofia e Política - Nota Máxima: 8")</f>
        <v>Formação Pedagógica em Filosofia - Formação Pedagógica em Filosofia - Cláudio César Diniz - Filosofia e Política - Nota Máxima: 8</v>
      </c>
    </row>
    <row r="4115">
      <c r="A4115" s="390" t="str">
        <f>IFERROR(__xludf.DUMMYFUNCTION("""COMPUTED_VALUE"""),"Formação Pedagógica em Filosofia - Formação Pedagógica em Filosofia - Cláudio César Diniz - História da Filosofia Moderna - Nota Máxima: 7")</f>
        <v>Formação Pedagógica em Filosofia - Formação Pedagógica em Filosofia - Cláudio César Diniz - História da Filosofia Moderna - Nota Máxima: 7</v>
      </c>
    </row>
    <row r="4116">
      <c r="A4116" s="390" t="str">
        <f>IFERROR(__xludf.DUMMYFUNCTION("""COMPUTED_VALUE"""),"Formação Pedagógica em Filosofia - Formação Pedagógica em Filosofia - Cláudio César Diniz - Legislação Educacional/a - Nota Máxima: 10")</f>
        <v>Formação Pedagógica em Filosofia - Formação Pedagógica em Filosofia - Cláudio César Diniz - Legislação Educacional/a - Nota Máxima: 10</v>
      </c>
    </row>
    <row r="4117">
      <c r="A4117" s="390" t="str">
        <f>IFERROR(__xludf.DUMMYFUNCTION("""COMPUTED_VALUE"""),"Formação Pedagógica em Filosofia - Formação Pedagógica em Filosofia - Cláudio César Diniz - Metodologia do Aprendizado - Nota Máxima: 7")</f>
        <v>Formação Pedagógica em Filosofia - Formação Pedagógica em Filosofia - Cláudio César Diniz - Metodologia do Aprendizado - Nota Máxima: 7</v>
      </c>
    </row>
    <row r="4118">
      <c r="A4118" s="390" t="str">
        <f>IFERROR(__xludf.DUMMYFUNCTION("""COMPUTED_VALUE"""),"Formação Pedagógica em Filosofia - Formação Pedagógica em Filosofia - Cláudio César Diniz - Planejamento, Gestão Educacional e Currículo/a - Nota Máxima: 9")</f>
        <v>Formação Pedagógica em Filosofia - Formação Pedagógica em Filosofia - Cláudio César Diniz - Planejamento, Gestão Educacional e Currículo/a - Nota Máxima: 9</v>
      </c>
    </row>
    <row r="4119">
      <c r="A4119" s="390" t="str">
        <f>IFERROR(__xludf.DUMMYFUNCTION("""COMPUTED_VALUE"""),"Formação Pedagógica em Filosofia - Formação Pedagógica em Filosofia - Cláudio César Diniz - Práticas Pedagógicas - 400 Horas - Nota Máxima: 3")</f>
        <v>Formação Pedagógica em Filosofia - Formação Pedagógica em Filosofia - Cláudio César Diniz - Práticas Pedagógicas - 400 Horas - Nota Máxima: 3</v>
      </c>
    </row>
    <row r="4120">
      <c r="A4120" s="390" t="str">
        <f>IFERROR(__xludf.DUMMYFUNCTION("""COMPUTED_VALUE"""),"Formação Pedagógica em Filosofia - Formação Pedagógica em Filosofia - Cláudio César Diniz - Psicologia da Educação/a - Nota Máxima: 7")</f>
        <v>Formação Pedagógica em Filosofia - Formação Pedagógica em Filosofia - Cláudio César Diniz - Psicologia da Educação/a - Nota Máxima: 7</v>
      </c>
    </row>
    <row r="4121">
      <c r="A4121" s="390" t="str">
        <f>IFERROR(__xludf.DUMMYFUNCTION("""COMPUTED_VALUE"""),"Formação Pedagógica em Filosofia - Formação Pedagógica em Filosofia - Hugo de Souza Machado - Ciência Política - Nota Máxima: 9")</f>
        <v>Formação Pedagógica em Filosofia - Formação Pedagógica em Filosofia - Hugo de Souza Machado - Ciência Política - Nota Máxima: 9</v>
      </c>
    </row>
    <row r="4122">
      <c r="A4122" s="390" t="str">
        <f>IFERROR(__xludf.DUMMYFUNCTION("""COMPUTED_VALUE"""),"Formação Pedagógica em Filosofia - Formação Pedagógica em Filosofia - Hugo de Souza Machado - Deficiência Auditiva e Libras/a - Nota Máxima: 10")</f>
        <v>Formação Pedagógica em Filosofia - Formação Pedagógica em Filosofia - Hugo de Souza Machado - Deficiência Auditiva e Libras/a - Nota Máxima: 10</v>
      </c>
    </row>
    <row r="4123">
      <c r="A4123" s="390" t="str">
        <f>IFERROR(__xludf.DUMMYFUNCTION("""COMPUTED_VALUE"""),"Formação Pedagógica em Filosofia - Formação Pedagógica em Filosofia - Hugo de Souza Machado - Desenvolvimento do Capital Humano - Nota Máxima: 10")</f>
        <v>Formação Pedagógica em Filosofia - Formação Pedagógica em Filosofia - Hugo de Souza Machado - Desenvolvimento do Capital Humano - Nota Máxima: 10</v>
      </c>
    </row>
    <row r="4124">
      <c r="A4124" s="390" t="str">
        <f>IFERROR(__xludf.DUMMYFUNCTION("""COMPUTED_VALUE"""),"Formação Pedagógica em Filosofia - Formação Pedagógica em Filosofia - Hugo de Souza Machado - Desenvolvimento do Capital Humano - Nota Máxima: 9")</f>
        <v>Formação Pedagógica em Filosofia - Formação Pedagógica em Filosofia - Hugo de Souza Machado - Desenvolvimento do Capital Humano - Nota Máxima: 9</v>
      </c>
    </row>
    <row r="4125">
      <c r="A4125" s="390" t="str">
        <f>IFERROR(__xludf.DUMMYFUNCTION("""COMPUTED_VALUE"""),"Formação Pedagógica em Filosofia - Formação Pedagógica em Filosofia - Hugo de Souza Machado - Educação Especial, Inclusão Escolar e Adaptações Curriculares - Nota Máxima: 10")</f>
        <v>Formação Pedagógica em Filosofia - Formação Pedagógica em Filosofia - Hugo de Souza Machado - Educação Especial, Inclusão Escolar e Adaptações Curriculares - Nota Máxima: 10</v>
      </c>
    </row>
    <row r="4126">
      <c r="A4126" s="390" t="str">
        <f>IFERROR(__xludf.DUMMYFUNCTION("""COMPUTED_VALUE"""),"Formação Pedagógica em Filosofia - Formação Pedagógica em Filosofia - Hugo de Souza Machado - Educação Especial, Inclusão Escolar e Adaptações Curriculares - Nota Máxima: 8")</f>
        <v>Formação Pedagógica em Filosofia - Formação Pedagógica em Filosofia - Hugo de Souza Machado - Educação Especial, Inclusão Escolar e Adaptações Curriculares - Nota Máxima: 8</v>
      </c>
    </row>
    <row r="4127">
      <c r="A4127" s="390" t="str">
        <f>IFERROR(__xludf.DUMMYFUNCTION("""COMPUTED_VALUE"""),"Formação Pedagógica em Filosofia - Formação Pedagógica em Filosofia - Hugo de Souza Machado - Educação, História, Cultura e Práticas Indígenas/a - Nota Máxima: 8")</f>
        <v>Formação Pedagógica em Filosofia - Formação Pedagógica em Filosofia - Hugo de Souza Machado - Educação, História, Cultura e Práticas Indígenas/a - Nota Máxima: 8</v>
      </c>
    </row>
    <row r="4128">
      <c r="A4128" s="390" t="str">
        <f>IFERROR(__xludf.DUMMYFUNCTION("""COMPUTED_VALUE"""),"Formação Pedagógica em Filosofia - Formação Pedagógica em Filosofia - Hugo de Souza Machado - Educação, História, Cultura e Práticas Indígenas/a - Nota Máxima: 6")</f>
        <v>Formação Pedagógica em Filosofia - Formação Pedagógica em Filosofia - Hugo de Souza Machado - Educação, História, Cultura e Práticas Indígenas/a - Nota Máxima: 6</v>
      </c>
    </row>
    <row r="4129">
      <c r="A4129" s="390" t="str">
        <f>IFERROR(__xludf.DUMMYFUNCTION("""COMPUTED_VALUE"""),"Formação Pedagógica em Filosofia - Formação Pedagógica em Filosofia - Hugo de Souza Machado - Estudos Populacionais - Nota Máxima: 10")</f>
        <v>Formação Pedagógica em Filosofia - Formação Pedagógica em Filosofia - Hugo de Souza Machado - Estudos Populacionais - Nota Máxima: 10</v>
      </c>
    </row>
    <row r="4130">
      <c r="A4130" s="390" t="str">
        <f>IFERROR(__xludf.DUMMYFUNCTION("""COMPUTED_VALUE"""),"Formação Pedagógica em Filosofia - Formação Pedagógica em Filosofia - Hugo de Souza Machado - Estudos Populacionais - Nota Máxima: 8")</f>
        <v>Formação Pedagógica em Filosofia - Formação Pedagógica em Filosofia - Hugo de Souza Machado - Estudos Populacionais - Nota Máxima: 8</v>
      </c>
    </row>
    <row r="4131">
      <c r="A4131" s="390" t="str">
        <f>IFERROR(__xludf.DUMMYFUNCTION("""COMPUTED_VALUE"""),"Formação Pedagógica em Filosofia - Formação Pedagógica em Filosofia - Hugo de Souza Machado - Filosofia das Artes à Estética - Nota Máxima: 5")</f>
        <v>Formação Pedagógica em Filosofia - Formação Pedagógica em Filosofia - Hugo de Souza Machado - Filosofia das Artes à Estética - Nota Máxima: 5</v>
      </c>
    </row>
    <row r="4132">
      <c r="A4132" s="390" t="str">
        <f>IFERROR(__xludf.DUMMYFUNCTION("""COMPUTED_VALUE"""),"Formação Pedagógica em Filosofia - Formação Pedagógica em Filosofia - Hugo de Souza Machado - Filosofia das Artes à Estética - Nota Máxima: 4")</f>
        <v>Formação Pedagógica em Filosofia - Formação Pedagógica em Filosofia - Hugo de Souza Machado - Filosofia das Artes à Estética - Nota Máxima: 4</v>
      </c>
    </row>
    <row r="4133">
      <c r="A4133" s="390" t="str">
        <f>IFERROR(__xludf.DUMMYFUNCTION("""COMPUTED_VALUE"""),"Formação Pedagógica em Filosofia - Formação Pedagógica em Filosofia - Hugo de Souza Machado - Filosofia e Política - Nota Máxima: 7")</f>
        <v>Formação Pedagógica em Filosofia - Formação Pedagógica em Filosofia - Hugo de Souza Machado - Filosofia e Política - Nota Máxima: 7</v>
      </c>
    </row>
    <row r="4134">
      <c r="A4134" s="390" t="str">
        <f>IFERROR(__xludf.DUMMYFUNCTION("""COMPUTED_VALUE"""),"Formação Pedagógica em Filosofia - Formação Pedagógica em Filosofia - Hugo de Souza Machado - História da Filosofia Moderna - Nota Máxima: 8")</f>
        <v>Formação Pedagógica em Filosofia - Formação Pedagógica em Filosofia - Hugo de Souza Machado - História da Filosofia Moderna - Nota Máxima: 8</v>
      </c>
    </row>
    <row r="4135">
      <c r="A4135" s="390" t="str">
        <f>IFERROR(__xludf.DUMMYFUNCTION("""COMPUTED_VALUE"""),"Formação Pedagógica em Filosofia - Formação Pedagógica em Filosofia - Hugo de Souza Machado - Legislação Educacional/a - Nota Máxima: 9")</f>
        <v>Formação Pedagógica em Filosofia - Formação Pedagógica em Filosofia - Hugo de Souza Machado - Legislação Educacional/a - Nota Máxima: 9</v>
      </c>
    </row>
    <row r="4136">
      <c r="A4136" s="390" t="str">
        <f>IFERROR(__xludf.DUMMYFUNCTION("""COMPUTED_VALUE"""),"Formação Pedagógica em Filosofia - Formação Pedagógica em Filosofia - Hugo de Souza Machado - Legislação Educacional/a - Nota Máxima: 4")</f>
        <v>Formação Pedagógica em Filosofia - Formação Pedagógica em Filosofia - Hugo de Souza Machado - Legislação Educacional/a - Nota Máxima: 4</v>
      </c>
    </row>
    <row r="4137">
      <c r="A4137" s="390" t="str">
        <f>IFERROR(__xludf.DUMMYFUNCTION("""COMPUTED_VALUE"""),"Formação Pedagógica em Filosofia - Formação Pedagógica em Filosofia - Hugo de Souza Machado - Metodologia do Aprendizado - Nota Máxima: 7")</f>
        <v>Formação Pedagógica em Filosofia - Formação Pedagógica em Filosofia - Hugo de Souza Machado - Metodologia do Aprendizado - Nota Máxima: 7</v>
      </c>
    </row>
    <row r="4138">
      <c r="A4138" s="390" t="str">
        <f>IFERROR(__xludf.DUMMYFUNCTION("""COMPUTED_VALUE"""),"Formação Pedagógica em Filosofia - Formação Pedagógica em Filosofia - Hugo de Souza Machado - Metodologia do Aprendizado - Nota Máxima: 5")</f>
        <v>Formação Pedagógica em Filosofia - Formação Pedagógica em Filosofia - Hugo de Souza Machado - Metodologia do Aprendizado - Nota Máxima: 5</v>
      </c>
    </row>
    <row r="4139">
      <c r="A4139" s="390" t="str">
        <f>IFERROR(__xludf.DUMMYFUNCTION("""COMPUTED_VALUE"""),"Formação Pedagógica em Filosofia - Formação Pedagógica em Filosofia - Hugo de Souza Machado - Planejamento, Gestão Educacional e Currículo/a - Nota Máxima: 10")</f>
        <v>Formação Pedagógica em Filosofia - Formação Pedagógica em Filosofia - Hugo de Souza Machado - Planejamento, Gestão Educacional e Currículo/a - Nota Máxima: 10</v>
      </c>
    </row>
    <row r="4140">
      <c r="A4140" s="390" t="str">
        <f>IFERROR(__xludf.DUMMYFUNCTION("""COMPUTED_VALUE"""),"Formação Pedagógica em Filosofia - Formação Pedagógica em Filosofia - Hugo de Souza Machado - Psicologia da Educação/a - Nota Máxima: 9")</f>
        <v>Formação Pedagógica em Filosofia - Formação Pedagógica em Filosofia - Hugo de Souza Machado - Psicologia da Educação/a - Nota Máxima: 9</v>
      </c>
    </row>
    <row r="4141">
      <c r="A4141" s="390" t="str">
        <f>IFERROR(__xludf.DUMMYFUNCTION("""COMPUTED_VALUE"""),"Formação Pedagógica em Filosofia - Formação Pedagógica em Filosofia - Paulo de tarso de Moraes - Ciência Política - Nota Máxima: 8")</f>
        <v>Formação Pedagógica em Filosofia - Formação Pedagógica em Filosofia - Paulo de tarso de Moraes - Ciência Política - Nota Máxima: 8</v>
      </c>
    </row>
    <row r="4142">
      <c r="A4142" s="390" t="str">
        <f>IFERROR(__xludf.DUMMYFUNCTION("""COMPUTED_VALUE"""),"Formação Pedagógica em Filosofia - Formação Pedagógica em Filosofia - Paulo de tarso de Moraes - Ciência Política - Nota Máxima: 8")</f>
        <v>Formação Pedagógica em Filosofia - Formação Pedagógica em Filosofia - Paulo de tarso de Moraes - Ciência Política - Nota Máxima: 8</v>
      </c>
    </row>
    <row r="4143">
      <c r="A4143" s="390" t="str">
        <f>IFERROR(__xludf.DUMMYFUNCTION("""COMPUTED_VALUE"""),"Formação Pedagógica em Filosofia - Formação Pedagógica em Filosofia - Paulo de tarso de Moraes - Deficiência Auditiva e Libras/a - Nota Máxima: 9")</f>
        <v>Formação Pedagógica em Filosofia - Formação Pedagógica em Filosofia - Paulo de tarso de Moraes - Deficiência Auditiva e Libras/a - Nota Máxima: 9</v>
      </c>
    </row>
    <row r="4144">
      <c r="A4144" s="390" t="str">
        <f>IFERROR(__xludf.DUMMYFUNCTION("""COMPUTED_VALUE"""),"Formação Pedagógica em Filosofia - Formação Pedagógica em Filosofia - Paulo de tarso de Moraes - Deficiência Auditiva e Libras/a - Nota Máxima: 6")</f>
        <v>Formação Pedagógica em Filosofia - Formação Pedagógica em Filosofia - Paulo de tarso de Moraes - Deficiência Auditiva e Libras/a - Nota Máxima: 6</v>
      </c>
    </row>
    <row r="4145">
      <c r="A4145" s="390" t="str">
        <f>IFERROR(__xludf.DUMMYFUNCTION("""COMPUTED_VALUE"""),"Formação Pedagógica em Filosofia - Formação Pedagógica em Filosofia - Paulo de tarso de Moraes - Desenvolvimento do Capital Humano - Nota Máxima: 10")</f>
        <v>Formação Pedagógica em Filosofia - Formação Pedagógica em Filosofia - Paulo de tarso de Moraes - Desenvolvimento do Capital Humano - Nota Máxima: 10</v>
      </c>
    </row>
    <row r="4146">
      <c r="A4146" s="390" t="str">
        <f>IFERROR(__xludf.DUMMYFUNCTION("""COMPUTED_VALUE"""),"Formação Pedagógica em Filosofia - Formação Pedagógica em Filosofia - Paulo de tarso de Moraes - Desenvolvimento do Capital Humano - Nota Máxima: 9")</f>
        <v>Formação Pedagógica em Filosofia - Formação Pedagógica em Filosofia - Paulo de tarso de Moraes - Desenvolvimento do Capital Humano - Nota Máxima: 9</v>
      </c>
    </row>
    <row r="4147">
      <c r="A4147" s="390" t="str">
        <f>IFERROR(__xludf.DUMMYFUNCTION("""COMPUTED_VALUE"""),"Formação Pedagógica em Filosofia - Formação Pedagógica em Filosofia - Paulo de tarso de Moraes - Educação Especial, Inclusão Escolar e Adaptações Curriculares - Nota Máxima: 10")</f>
        <v>Formação Pedagógica em Filosofia - Formação Pedagógica em Filosofia - Paulo de tarso de Moraes - Educação Especial, Inclusão Escolar e Adaptações Curriculares - Nota Máxima: 10</v>
      </c>
    </row>
    <row r="4148">
      <c r="A4148" s="390" t="str">
        <f>IFERROR(__xludf.DUMMYFUNCTION("""COMPUTED_VALUE"""),"Formação Pedagógica em Filosofia - Formação Pedagógica em Filosofia - Paulo de tarso de Moraes - Educação Especial, Inclusão Escolar e Adaptações Curriculares - Nota Máxima: 8")</f>
        <v>Formação Pedagógica em Filosofia - Formação Pedagógica em Filosofia - Paulo de tarso de Moraes - Educação Especial, Inclusão Escolar e Adaptações Curriculares - Nota Máxima: 8</v>
      </c>
    </row>
    <row r="4149">
      <c r="A4149" s="390" t="str">
        <f>IFERROR(__xludf.DUMMYFUNCTION("""COMPUTED_VALUE"""),"Formação Pedagógica em Filosofia - Formação Pedagógica em Filosofia - Paulo de tarso de Moraes - Educação, História, Cultura e Práticas Indígenas/a - Nota Máxima: 10")</f>
        <v>Formação Pedagógica em Filosofia - Formação Pedagógica em Filosofia - Paulo de tarso de Moraes - Educação, História, Cultura e Práticas Indígenas/a - Nota Máxima: 10</v>
      </c>
    </row>
    <row r="4150">
      <c r="A4150" s="390" t="str">
        <f>IFERROR(__xludf.DUMMYFUNCTION("""COMPUTED_VALUE"""),"Formação Pedagógica em Filosofia - Formação Pedagógica em Filosofia - Paulo de tarso de Moraes - Educação, História, Cultura e Práticas Indígenas/a - Nota Máxima: 6")</f>
        <v>Formação Pedagógica em Filosofia - Formação Pedagógica em Filosofia - Paulo de tarso de Moraes - Educação, História, Cultura e Práticas Indígenas/a - Nota Máxima: 6</v>
      </c>
    </row>
    <row r="4151">
      <c r="A4151" s="390" t="str">
        <f>IFERROR(__xludf.DUMMYFUNCTION("""COMPUTED_VALUE"""),"Formação Pedagógica em Filosofia - Formação Pedagógica em Filosofia - Paulo de tarso de Moraes - Estudos Populacionais - Nota Máxima: 10")</f>
        <v>Formação Pedagógica em Filosofia - Formação Pedagógica em Filosofia - Paulo de tarso de Moraes - Estudos Populacionais - Nota Máxima: 10</v>
      </c>
    </row>
    <row r="4152">
      <c r="A4152" s="390" t="str">
        <f>IFERROR(__xludf.DUMMYFUNCTION("""COMPUTED_VALUE"""),"Formação Pedagógica em Filosofia - Formação Pedagógica em Filosofia - Paulo de tarso de Moraes - Estudos Populacionais - Nota Máxima: 7")</f>
        <v>Formação Pedagógica em Filosofia - Formação Pedagógica em Filosofia - Paulo de tarso de Moraes - Estudos Populacionais - Nota Máxima: 7</v>
      </c>
    </row>
    <row r="4153">
      <c r="A4153" s="390" t="str">
        <f>IFERROR(__xludf.DUMMYFUNCTION("""COMPUTED_VALUE"""),"Formação Pedagógica em Filosofia - Formação Pedagógica em Filosofia - Paulo de tarso de Moraes - Filosofia das Artes à Estética - Nota Máxima: 8")</f>
        <v>Formação Pedagógica em Filosofia - Formação Pedagógica em Filosofia - Paulo de tarso de Moraes - Filosofia das Artes à Estética - Nota Máxima: 8</v>
      </c>
    </row>
    <row r="4154">
      <c r="A4154" s="390" t="str">
        <f>IFERROR(__xludf.DUMMYFUNCTION("""COMPUTED_VALUE"""),"Formação Pedagógica em Filosofia - Formação Pedagógica em Filosofia - Paulo de tarso de Moraes - Filosofia das Artes à Estética - Nota Máxima: 2")</f>
        <v>Formação Pedagógica em Filosofia - Formação Pedagógica em Filosofia - Paulo de tarso de Moraes - Filosofia das Artes à Estética - Nota Máxima: 2</v>
      </c>
    </row>
    <row r="4155">
      <c r="A4155" s="390" t="str">
        <f>IFERROR(__xludf.DUMMYFUNCTION("""COMPUTED_VALUE"""),"Formação Pedagógica em Filosofia - Formação Pedagógica em Filosofia - Paulo de tarso de Moraes - Filosofia e Política - Nota Máxima: 9")</f>
        <v>Formação Pedagógica em Filosofia - Formação Pedagógica em Filosofia - Paulo de tarso de Moraes - Filosofia e Política - Nota Máxima: 9</v>
      </c>
    </row>
    <row r="4156">
      <c r="A4156" s="390" t="str">
        <f>IFERROR(__xludf.DUMMYFUNCTION("""COMPUTED_VALUE"""),"Formação Pedagógica em Filosofia - Formação Pedagógica em Filosofia - Paulo de tarso de Moraes - Filosofia e Política - Nota Máxima: 2")</f>
        <v>Formação Pedagógica em Filosofia - Formação Pedagógica em Filosofia - Paulo de tarso de Moraes - Filosofia e Política - Nota Máxima: 2</v>
      </c>
    </row>
    <row r="4157">
      <c r="A4157" s="390" t="str">
        <f>IFERROR(__xludf.DUMMYFUNCTION("""COMPUTED_VALUE"""),"Formação Pedagógica em Filosofia - Formação Pedagógica em Filosofia - Paulo de tarso de Moraes - História da Filosofia Moderna - Nota Máxima: 10")</f>
        <v>Formação Pedagógica em Filosofia - Formação Pedagógica em Filosofia - Paulo de tarso de Moraes - História da Filosofia Moderna - Nota Máxima: 10</v>
      </c>
    </row>
    <row r="4158">
      <c r="A4158" s="390" t="str">
        <f>IFERROR(__xludf.DUMMYFUNCTION("""COMPUTED_VALUE"""),"Formação Pedagógica em Filosofia - Formação Pedagógica em Filosofia - Paulo de tarso de Moraes - História da Filosofia Moderna - Nota Máxima: 8")</f>
        <v>Formação Pedagógica em Filosofia - Formação Pedagógica em Filosofia - Paulo de tarso de Moraes - História da Filosofia Moderna - Nota Máxima: 8</v>
      </c>
    </row>
    <row r="4159">
      <c r="A4159" s="390" t="str">
        <f>IFERROR(__xludf.DUMMYFUNCTION("""COMPUTED_VALUE"""),"Formação Pedagógica em Filosofia - Formação Pedagógica em Filosofia - Paulo de tarso de Moraes - Legislação Educacional/a - Nota Máxima: 9")</f>
        <v>Formação Pedagógica em Filosofia - Formação Pedagógica em Filosofia - Paulo de tarso de Moraes - Legislação Educacional/a - Nota Máxima: 9</v>
      </c>
    </row>
    <row r="4160">
      <c r="A4160" s="390" t="str">
        <f>IFERROR(__xludf.DUMMYFUNCTION("""COMPUTED_VALUE"""),"Formação Pedagógica em Filosofia - Formação Pedagógica em Filosofia - Paulo de tarso de Moraes - Legislação Educacional/a - Nota Máxima: 6")</f>
        <v>Formação Pedagógica em Filosofia - Formação Pedagógica em Filosofia - Paulo de tarso de Moraes - Legislação Educacional/a - Nota Máxima: 6</v>
      </c>
    </row>
    <row r="4161">
      <c r="A4161" s="390" t="str">
        <f>IFERROR(__xludf.DUMMYFUNCTION("""COMPUTED_VALUE"""),"Formação Pedagógica em Filosofia - Formação Pedagógica em Filosofia - Paulo de tarso de Moraes - Metodologia do Aprendizado - Nota Máxima: 7")</f>
        <v>Formação Pedagógica em Filosofia - Formação Pedagógica em Filosofia - Paulo de tarso de Moraes - Metodologia do Aprendizado - Nota Máxima: 7</v>
      </c>
    </row>
    <row r="4162">
      <c r="A4162" s="390" t="str">
        <f>IFERROR(__xludf.DUMMYFUNCTION("""COMPUTED_VALUE"""),"Formação Pedagógica em Filosofia - Formação Pedagógica em Filosofia - Paulo de tarso de Moraes - Metodologia do Aprendizado - Nota Máxima: 7")</f>
        <v>Formação Pedagógica em Filosofia - Formação Pedagógica em Filosofia - Paulo de tarso de Moraes - Metodologia do Aprendizado - Nota Máxima: 7</v>
      </c>
    </row>
    <row r="4163">
      <c r="A4163" s="390" t="str">
        <f>IFERROR(__xludf.DUMMYFUNCTION("""COMPUTED_VALUE"""),"Formação Pedagógica em Filosofia - Formação Pedagógica em Filosofia - Paulo de tarso de Moraes - Planejamento, Gestão Educacional e Currículo/a - Nota Máxima: 10")</f>
        <v>Formação Pedagógica em Filosofia - Formação Pedagógica em Filosofia - Paulo de tarso de Moraes - Planejamento, Gestão Educacional e Currículo/a - Nota Máxima: 10</v>
      </c>
    </row>
    <row r="4164">
      <c r="A4164" s="390" t="str">
        <f>IFERROR(__xludf.DUMMYFUNCTION("""COMPUTED_VALUE"""),"Formação Pedagógica em Filosofia - Formação Pedagógica em Filosofia - Paulo de tarso de Moraes - Planejamento, Gestão Educacional e Currículo/a - Nota Máxima: 10")</f>
        <v>Formação Pedagógica em Filosofia - Formação Pedagógica em Filosofia - Paulo de tarso de Moraes - Planejamento, Gestão Educacional e Currículo/a - Nota Máxima: 10</v>
      </c>
    </row>
    <row r="4165">
      <c r="A4165" s="390" t="str">
        <f>IFERROR(__xludf.DUMMYFUNCTION("""COMPUTED_VALUE"""),"Formação Pedagógica em Filosofia - Formação Pedagógica em Filosofia - Paulo de tarso de Moraes - Práticas Pedagógicas - 400 Horas - Nota Máxima: 4")</f>
        <v>Formação Pedagógica em Filosofia - Formação Pedagógica em Filosofia - Paulo de tarso de Moraes - Práticas Pedagógicas - 400 Horas - Nota Máxima: 4</v>
      </c>
    </row>
    <row r="4166">
      <c r="A4166" s="390" t="str">
        <f>IFERROR(__xludf.DUMMYFUNCTION("""COMPUTED_VALUE"""),"Formação Pedagógica em Filosofia - Formação Pedagógica em Filosofia - Paulo de tarso de Moraes - Práticas Pedagógicas - 400 Horas - Nota Máxima: 3")</f>
        <v>Formação Pedagógica em Filosofia - Formação Pedagógica em Filosofia - Paulo de tarso de Moraes - Práticas Pedagógicas - 400 Horas - Nota Máxima: 3</v>
      </c>
    </row>
    <row r="4167">
      <c r="A4167" s="390" t="str">
        <f>IFERROR(__xludf.DUMMYFUNCTION("""COMPUTED_VALUE"""),"Formação Pedagógica em Filosofia - Formação Pedagógica em Filosofia - Paulo de tarso de Moraes - Psicologia da Educação/a - Nota Máxima: 10")</f>
        <v>Formação Pedagógica em Filosofia - Formação Pedagógica em Filosofia - Paulo de tarso de Moraes - Psicologia da Educação/a - Nota Máxima: 10</v>
      </c>
    </row>
    <row r="4168">
      <c r="A4168" s="390" t="str">
        <f>IFERROR(__xludf.DUMMYFUNCTION("""COMPUTED_VALUE"""),"Formação Pedagógica em Filosofia - Formação Pedagógica em Filosofia - Paulo de tarso de Moraes - Psicologia da Educação/a - Nota Máxima: 7")</f>
        <v>Formação Pedagógica em Filosofia - Formação Pedagógica em Filosofia - Paulo de tarso de Moraes - Psicologia da Educação/a - Nota Máxima: 7</v>
      </c>
    </row>
    <row r="4169">
      <c r="A4169" s="390" t="str">
        <f>IFERROR(__xludf.DUMMYFUNCTION("""COMPUTED_VALUE"""),"Formação Pedagógica em Letras/Espanhol - Formação pedagógica em Letras/Espanhol  - 2023 - Nathalia Altina de Oliveira Silva - Cultura e Diversidade - Nota Máxima: 9")</f>
        <v>Formação Pedagógica em Letras/Espanhol - Formação pedagógica em Letras/Espanhol  - 2023 - Nathalia Altina de Oliveira Silva - Cultura e Diversidade - Nota Máxima: 9</v>
      </c>
    </row>
    <row r="4170">
      <c r="A4170" s="390" t="str">
        <f>IFERROR(__xludf.DUMMYFUNCTION("""COMPUTED_VALUE"""),"Formação Pedagógica em Letras/Espanhol - Formação pedagógica em Letras/Espanhol  - 2023 - Nathalia Altina de Oliveira Silva - Deficiência Auditiva e Libras/a - Nota Máxima: 9")</f>
        <v>Formação Pedagógica em Letras/Espanhol - Formação pedagógica em Letras/Espanhol  - 2023 - Nathalia Altina de Oliveira Silva - Deficiência Auditiva e Libras/a - Nota Máxima: 9</v>
      </c>
    </row>
    <row r="4171">
      <c r="A4171" s="390" t="str">
        <f>IFERROR(__xludf.DUMMYFUNCTION("""COMPUTED_VALUE"""),"Formação Pedagógica em Letras/Espanhol - Formação pedagógica em Letras/Espanhol  - 2023 - Nathalia Altina de Oliveira Silva - Educação em Direitos Humanos/a - Nota Máxima: 9")</f>
        <v>Formação Pedagógica em Letras/Espanhol - Formação pedagógica em Letras/Espanhol  - 2023 - Nathalia Altina de Oliveira Silva - Educação em Direitos Humanos/a - Nota Máxima: 9</v>
      </c>
    </row>
    <row r="4172">
      <c r="A4172" s="390" t="str">
        <f>IFERROR(__xludf.DUMMYFUNCTION("""COMPUTED_VALUE"""),"Formação Pedagógica em Letras/Espanhol - Formação pedagógica em Letras/Espanhol  - 2023 - Nathalia Altina de Oliveira Silva - Educação Especial em Educação Física - Nota Máxima: 9")</f>
        <v>Formação Pedagógica em Letras/Espanhol - Formação pedagógica em Letras/Espanhol  - 2023 - Nathalia Altina de Oliveira Silva - Educação Especial em Educação Física - Nota Máxima: 9</v>
      </c>
    </row>
    <row r="4173">
      <c r="A4173" s="390" t="str">
        <f>IFERROR(__xludf.DUMMYFUNCTION("""COMPUTED_VALUE"""),"Formação Pedagógica em Letras/Espanhol - Formação pedagógica em Letras/Espanhol  - 2023 - Nathalia Altina de Oliveira Silva - Fundamentos Pedagógicos dos Esportes e das Atividades Físicas - Nota Máxima: 8")</f>
        <v>Formação Pedagógica em Letras/Espanhol - Formação pedagógica em Letras/Espanhol  - 2023 - Nathalia Altina de Oliveira Silva - Fundamentos Pedagógicos dos Esportes e das Atividades Físicas - Nota Máxima: 8</v>
      </c>
    </row>
    <row r="4174">
      <c r="A4174" s="390" t="str">
        <f>IFERROR(__xludf.DUMMYFUNCTION("""COMPUTED_VALUE"""),"Formação Pedagógica em Letras/Espanhol - Formação pedagógica em Letras/Espanhol  - 2023 - Nathalia Altina de Oliveira Silva - Inclusão Escolar e Adaptações Curriculares - Nota Máxima: 9")</f>
        <v>Formação Pedagógica em Letras/Espanhol - Formação pedagógica em Letras/Espanhol  - 2023 - Nathalia Altina de Oliveira Silva - Inclusão Escolar e Adaptações Curriculares - Nota Máxima: 9</v>
      </c>
    </row>
    <row r="4175">
      <c r="A4175" s="390" t="str">
        <f>IFERROR(__xludf.DUMMYFUNCTION("""COMPUTED_VALUE"""),"Formação Pedagógica em Letras/Espanhol - Formação pedagógica em Letras/Espanhol  - 2023 - Nathalia Altina de Oliveira Silva - Introdução à Neurociência e Neuroeducação - Nota Máxima: 9")</f>
        <v>Formação Pedagógica em Letras/Espanhol - Formação pedagógica em Letras/Espanhol  - 2023 - Nathalia Altina de Oliveira Silva - Introdução à Neurociência e Neuroeducação - Nota Máxima: 9</v>
      </c>
    </row>
    <row r="4176">
      <c r="A4176" s="390" t="str">
        <f>IFERROR(__xludf.DUMMYFUNCTION("""COMPUTED_VALUE"""),"Formação Pedagógica em Letras/Espanhol - Formação pedagógica em Letras/Espanhol  - 2023 - Nathalia Altina de Oliveira Silva - Legislação e Políticas para Educação Inclusiva e Especial - Nota Máxima: 9")</f>
        <v>Formação Pedagógica em Letras/Espanhol - Formação pedagógica em Letras/Espanhol  - 2023 - Nathalia Altina de Oliveira Silva - Legislação e Políticas para Educação Inclusiva e Especial - Nota Máxima: 9</v>
      </c>
    </row>
    <row r="4177">
      <c r="A4177" s="390" t="str">
        <f>IFERROR(__xludf.DUMMYFUNCTION("""COMPUTED_VALUE"""),"Formação Pedagógica em Letras/Espanhol - Formação pedagógica em Letras/Espanhol  - 2023 - Nathalia Altina de Oliveira Silva - Legislação Educacional/c - Nota Máxima: 9")</f>
        <v>Formação Pedagógica em Letras/Espanhol - Formação pedagógica em Letras/Espanhol  - 2023 - Nathalia Altina de Oliveira Silva - Legislação Educacional/c - Nota Máxima: 9</v>
      </c>
    </row>
    <row r="4178">
      <c r="A4178" s="390" t="str">
        <f>IFERROR(__xludf.DUMMYFUNCTION("""COMPUTED_VALUE"""),"Formação Pedagógica em Letras/Espanhol - Formação pedagógica em Letras/Espanhol  - 2023 - Nathalia Altina de Oliveira Silva - Planejamento, Gestão Educacional e Currículo/b - Nota Máxima: 10")</f>
        <v>Formação Pedagógica em Letras/Espanhol - Formação pedagógica em Letras/Espanhol  - 2023 - Nathalia Altina de Oliveira Silva - Planejamento, Gestão Educacional e Currículo/b - Nota Máxima: 10</v>
      </c>
    </row>
    <row r="4179">
      <c r="A4179" s="390" t="str">
        <f>IFERROR(__xludf.DUMMYFUNCTION("""COMPUTED_VALUE"""),"Formação Pedagógica em Letras/Espanhol - Formação pedagógica em Letras/Espanhol  - 2023 - Nathalia Altina de Oliveira Silva - Práticas Corporais Adaptadas para Grupos Especiais/a - Nota Máxima: 7")</f>
        <v>Formação Pedagógica em Letras/Espanhol - Formação pedagógica em Letras/Espanhol  - 2023 - Nathalia Altina de Oliveira Silva - Práticas Corporais Adaptadas para Grupos Especiais/a - Nota Máxima: 7</v>
      </c>
    </row>
    <row r="4180">
      <c r="A4180" s="390" t="str">
        <f>IFERROR(__xludf.DUMMYFUNCTION("""COMPUTED_VALUE"""),"Formação Pedagógica em Letras/Espanhol - Formação pedagógica em Letras/Espanhol  - 2023 - Nathalia Altina de Oliveira Silva - Práticas Pedagógicas - 400 Horas - Nota Máxima: 4")</f>
        <v>Formação Pedagógica em Letras/Espanhol - Formação pedagógica em Letras/Espanhol  - 2023 - Nathalia Altina de Oliveira Silva - Práticas Pedagógicas - 400 Horas - Nota Máxima: 4</v>
      </c>
    </row>
    <row r="4181">
      <c r="A4181" s="390" t="str">
        <f>IFERROR(__xludf.DUMMYFUNCTION("""COMPUTED_VALUE"""),"Formação Pedagógica em Letras/Espanhol - Formação pedagógica em Letras/Espanhol  - 2023 - Nathalia Altina de Oliveira Silva - Psicologia da Educação – 100H - Nota Máxima: 10")</f>
        <v>Formação Pedagógica em Letras/Espanhol - Formação pedagógica em Letras/Espanhol  - 2023 - Nathalia Altina de Oliveira Silva - Psicologia da Educação – 100H - Nota Máxima: 10</v>
      </c>
    </row>
    <row r="4182">
      <c r="A4182" s="390" t="str">
        <f>IFERROR(__xludf.DUMMYFUNCTION("""COMPUTED_VALUE"""),"#SLEEA - Segunda Licenciatura em Educação Especial - Segunda Licenciatura em Educação Especial - Teste Waldiney Junior - Deficiência Auditiva e Libras/a - Nota Máxima: 7")</f>
        <v>#SLEEA - Segunda Licenciatura em Educação Especial - Segunda Licenciatura em Educação Especial - Teste Waldiney Junior - Deficiência Auditiva e Libras/a - Nota Máxima: 7</v>
      </c>
    </row>
    <row r="4183">
      <c r="A4183" s="390" t="str">
        <f>IFERROR(__xludf.DUMMYFUNCTION("""COMPUTED_VALUE"""),"#SLEEA - Segunda Licenciatura em Educação Especial - Segunda Licenciatura em Educação Especial - teste Joana - Atuação Docente na Educação Inclusiva - Nota Máxima: 3")</f>
        <v>#SLEEA - Segunda Licenciatura em Educação Especial - Segunda Licenciatura em Educação Especial - teste Joana - Atuação Docente na Educação Inclusiva - Nota Máxima: 3</v>
      </c>
    </row>
    <row r="4184">
      <c r="A4184" s="390" t="str">
        <f>IFERROR(__xludf.DUMMYFUNCTION("""COMPUTED_VALUE"""),"#SLEEA - Segunda Licenciatura em Educação Especial - Segunda Licenciatura em Educação Especial - teste Joana - Cultura e Diversidade - Nota Máxima: 4")</f>
        <v>#SLEEA - Segunda Licenciatura em Educação Especial - Segunda Licenciatura em Educação Especial - teste Joana - Cultura e Diversidade - Nota Máxima: 4</v>
      </c>
    </row>
    <row r="4185">
      <c r="A4185" s="390" t="str">
        <f>IFERROR(__xludf.DUMMYFUNCTION("""COMPUTED_VALUE"""),"#SLEEA - Segunda Licenciatura em Educação Especial - Segunda Licenciatura em Educação Especial - teste Joana - Deficiência Auditiva e Libras/a - Nota Máxima: 0")</f>
        <v>#SLEEA - Segunda Licenciatura em Educação Especial - Segunda Licenciatura em Educação Especial - teste Joana - Deficiência Auditiva e Libras/a - Nota Máxima: 0</v>
      </c>
    </row>
    <row r="4186">
      <c r="A4186" s="390" t="str">
        <f>IFERROR(__xludf.DUMMYFUNCTION("""COMPUTED_VALUE"""),"#SLEEA - Segunda Licenciatura em Educação Especial - Segunda Licenciatura em Educação Especial - teste Joana - Deficiência Auditiva e Libras/a - Nota Máxima: 5")</f>
        <v>#SLEEA - Segunda Licenciatura em Educação Especial - Segunda Licenciatura em Educação Especial - teste Joana - Deficiência Auditiva e Libras/a - Nota Máxima: 5</v>
      </c>
    </row>
    <row r="4187">
      <c r="A4187" s="390" t="str">
        <f>IFERROR(__xludf.DUMMYFUNCTION("""COMPUTED_VALUE"""),"#SLEEA - Segunda Licenciatura em Educação Especial - Segunda Licenciatura em Educação Especial - teste Joana - Educação Especial, Inclusão Escolar e Adaptações Curriculares - Nota Máxima: 2")</f>
        <v>#SLEEA - Segunda Licenciatura em Educação Especial - Segunda Licenciatura em Educação Especial - teste Joana - Educação Especial, Inclusão Escolar e Adaptações Curriculares - Nota Máxima: 2</v>
      </c>
    </row>
    <row r="4188">
      <c r="A4188" s="390" t="str">
        <f>IFERROR(__xludf.DUMMYFUNCTION("""COMPUTED_VALUE"""),"#SLEEA - Segunda Licenciatura em Educação Especial - Segunda Licenciatura em Educação Especial - teste Joana - Educação Especial, Inclusão Escolar e Adaptações Curriculares - Nota Máxima: 2")</f>
        <v>#SLEEA - Segunda Licenciatura em Educação Especial - Segunda Licenciatura em Educação Especial - teste Joana - Educação Especial, Inclusão Escolar e Adaptações Curriculares - Nota Máxima: 2</v>
      </c>
    </row>
    <row r="4189">
      <c r="A4189" s="390" t="str">
        <f>IFERROR(__xludf.DUMMYFUNCTION("""COMPUTED_VALUE"""),"#SLEEA - Segunda Licenciatura em Educação Especial - Segunda Licenciatura em Educação Especial - teste Joana - Fisiologia Humana - Nota Máxima: 4")</f>
        <v>#SLEEA - Segunda Licenciatura em Educação Especial - Segunda Licenciatura em Educação Especial - teste Joana - Fisiologia Humana - Nota Máxima: 4</v>
      </c>
    </row>
    <row r="4190">
      <c r="A4190" s="390" t="str">
        <f>IFERROR(__xludf.DUMMYFUNCTION("""COMPUTED_VALUE"""),"#SLEEA - Segunda Licenciatura em Educação Especial - Segunda Licenciatura em Educação Especial - teste Joana - Fisiologia Humana - Nota Máxima: 0")</f>
        <v>#SLEEA - Segunda Licenciatura em Educação Especial - Segunda Licenciatura em Educação Especial - teste Joana - Fisiologia Humana - Nota Máxima: 0</v>
      </c>
    </row>
    <row r="4191">
      <c r="A4191" s="390" t="str">
        <f>IFERROR(__xludf.DUMMYFUNCTION("""COMPUTED_VALUE"""),"#SLEEA - Segunda Licenciatura em Educação Especial - Segunda Licenciatura em Educação Especial - teste Joana - Legislação Educacional/a - Nota Máxima: 5")</f>
        <v>#SLEEA - Segunda Licenciatura em Educação Especial - Segunda Licenciatura em Educação Especial - teste Joana - Legislação Educacional/a - Nota Máxima: 5</v>
      </c>
    </row>
    <row r="4192">
      <c r="A4192" s="390" t="str">
        <f>IFERROR(__xludf.DUMMYFUNCTION("""COMPUTED_VALUE"""),"#SLEEA - Segunda Licenciatura em Educação Especial - Segunda Licenciatura em Educação Especial - teste Joana - Planejamento, Gestão Educacional e Currículo/a - Nota Máxima: 4")</f>
        <v>#SLEEA - Segunda Licenciatura em Educação Especial - Segunda Licenciatura em Educação Especial - teste Joana - Planejamento, Gestão Educacional e Currículo/a - Nota Máxima: 4</v>
      </c>
    </row>
    <row r="4193">
      <c r="A4193" s="390" t="str">
        <f>IFERROR(__xludf.DUMMYFUNCTION("""COMPUTED_VALUE"""),"#SLEEA - Segunda Licenciatura em Educação Especial - Segunda Licenciatura em Educação Especial - teste Joana - Planejamento, Gestão Educacional e Currículo/a - Nota Máxima: 0")</f>
        <v>#SLEEA - Segunda Licenciatura em Educação Especial - Segunda Licenciatura em Educação Especial - teste Joana - Planejamento, Gestão Educacional e Currículo/a - Nota Máxima: 0</v>
      </c>
    </row>
    <row r="4194">
      <c r="A4194" s="390" t="str">
        <f>IFERROR(__xludf.DUMMYFUNCTION("""COMPUTED_VALUE"""),"#SLEEA - Segunda Licenciatura em Educação Especial - Segunda Licenciatura em Educação Especial - teste Joana - Práticas Pedagógicas - 400 Horas - Nota Máxima: 0")</f>
        <v>#SLEEA - Segunda Licenciatura em Educação Especial - Segunda Licenciatura em Educação Especial - teste Joana - Práticas Pedagógicas - 400 Horas - Nota Máxima: 0</v>
      </c>
    </row>
    <row r="4195">
      <c r="A4195" s="390" t="str">
        <f>IFERROR(__xludf.DUMMYFUNCTION("""COMPUTED_VALUE"""),"#SLEEA - Segunda Licenciatura em Educação Especial - Segunda Licenciatura em Educação Especial - teste Joana - Psicologia da Educação/a - Nota Máxima: 5")</f>
        <v>#SLEEA - Segunda Licenciatura em Educação Especial - Segunda Licenciatura em Educação Especial - teste Joana - Psicologia da Educação/a - Nota Máxima: 5</v>
      </c>
    </row>
    <row r="4196">
      <c r="A4196" s="390" t="str">
        <f>IFERROR(__xludf.DUMMYFUNCTION("""COMPUTED_VALUE"""),"#SLEEA - Segunda Licenciatura em Educação Especial - Segunda Licenciatura em Educação Especial - Elisangela dos Santos Teixeira - Atuação Docente na Educação Inclusiva - Nota Máxima: 8")</f>
        <v>#SLEEA - Segunda Licenciatura em Educação Especial - Segunda Licenciatura em Educação Especial - Elisangela dos Santos Teixeira - Atuação Docente na Educação Inclusiva - Nota Máxima: 8</v>
      </c>
    </row>
    <row r="4197">
      <c r="A4197" s="390" t="str">
        <f>IFERROR(__xludf.DUMMYFUNCTION("""COMPUTED_VALUE"""),"#SLEEA - Segunda Licenciatura em Educação Especial - Segunda Licenciatura em Educação Especial - Elisangela dos Santos Teixeira - Atuação Docente na Educação Inclusiva - Nota Máxima: 9")</f>
        <v>#SLEEA - Segunda Licenciatura em Educação Especial - Segunda Licenciatura em Educação Especial - Elisangela dos Santos Teixeira - Atuação Docente na Educação Inclusiva - Nota Máxima: 9</v>
      </c>
    </row>
    <row r="4198">
      <c r="A4198" s="390" t="str">
        <f>IFERROR(__xludf.DUMMYFUNCTION("""COMPUTED_VALUE"""),"#SLEEA - Segunda Licenciatura em Educação Especial - Segunda Licenciatura em Educação Especial - Elisangela dos Santos Teixeira - Cultura e Diversidade - Nota Máxima: 7")</f>
        <v>#SLEEA - Segunda Licenciatura em Educação Especial - Segunda Licenciatura em Educação Especial - Elisangela dos Santos Teixeira - Cultura e Diversidade - Nota Máxima: 7</v>
      </c>
    </row>
    <row r="4199">
      <c r="A4199" s="390" t="str">
        <f>IFERROR(__xludf.DUMMYFUNCTION("""COMPUTED_VALUE"""),"#SLEEA - Segunda Licenciatura em Educação Especial - Segunda Licenciatura em Educação Especial - Elisangela dos Santos Teixeira - Cultura e Diversidade - Nota Máxima: 7")</f>
        <v>#SLEEA - Segunda Licenciatura em Educação Especial - Segunda Licenciatura em Educação Especial - Elisangela dos Santos Teixeira - Cultura e Diversidade - Nota Máxima: 7</v>
      </c>
    </row>
    <row r="4200">
      <c r="A4200" s="390" t="str">
        <f>IFERROR(__xludf.DUMMYFUNCTION("""COMPUTED_VALUE"""),"#SLEEA - Segunda Licenciatura em Educação Especial - Segunda Licenciatura em Educação Especial - Elisangela dos Santos Teixeira - Deficiência Auditiva e Libras/a - Nota Máxima: 9")</f>
        <v>#SLEEA - Segunda Licenciatura em Educação Especial - Segunda Licenciatura em Educação Especial - Elisangela dos Santos Teixeira - Deficiência Auditiva e Libras/a - Nota Máxima: 9</v>
      </c>
    </row>
    <row r="4201">
      <c r="A4201" s="390" t="str">
        <f>IFERROR(__xludf.DUMMYFUNCTION("""COMPUTED_VALUE"""),"#SLEEA - Segunda Licenciatura em Educação Especial - Segunda Licenciatura em Educação Especial - Elisangela dos Santos Teixeira - Deficiência Auditiva e Libras/a - Nota Máxima: 10")</f>
        <v>#SLEEA - Segunda Licenciatura em Educação Especial - Segunda Licenciatura em Educação Especial - Elisangela dos Santos Teixeira - Deficiência Auditiva e Libras/a - Nota Máxima: 10</v>
      </c>
    </row>
    <row r="4202">
      <c r="A4202" s="390" t="str">
        <f>IFERROR(__xludf.DUMMYFUNCTION("""COMPUTED_VALUE"""),"#SLEEA - Segunda Licenciatura em Educação Especial - Segunda Licenciatura em Educação Especial - Elisangela dos Santos Teixeira - Educação e as Tic's - Nota Máxima: 8")</f>
        <v>#SLEEA - Segunda Licenciatura em Educação Especial - Segunda Licenciatura em Educação Especial - Elisangela dos Santos Teixeira - Educação e as Tic's - Nota Máxima: 8</v>
      </c>
    </row>
    <row r="4203">
      <c r="A4203" s="390" t="str">
        <f>IFERROR(__xludf.DUMMYFUNCTION("""COMPUTED_VALUE"""),"#SLEEA - Segunda Licenciatura em Educação Especial - Segunda Licenciatura em Educação Especial - Elisangela dos Santos Teixeira - Educação e as Tic's - Nota Máxima: 8")</f>
        <v>#SLEEA - Segunda Licenciatura em Educação Especial - Segunda Licenciatura em Educação Especial - Elisangela dos Santos Teixeira - Educação e as Tic's - Nota Máxima: 8</v>
      </c>
    </row>
    <row r="4204">
      <c r="A4204" s="390" t="str">
        <f>IFERROR(__xludf.DUMMYFUNCTION("""COMPUTED_VALUE"""),"#SLEEA - Segunda Licenciatura em Educação Especial - Segunda Licenciatura em Educação Especial - Elisangela dos Santos Teixeira - Educação em Direitos Humanos/a - Nota Máxima: 9")</f>
        <v>#SLEEA - Segunda Licenciatura em Educação Especial - Segunda Licenciatura em Educação Especial - Elisangela dos Santos Teixeira - Educação em Direitos Humanos/a - Nota Máxima: 9</v>
      </c>
    </row>
    <row r="4205">
      <c r="A4205" s="390" t="str">
        <f>IFERROR(__xludf.DUMMYFUNCTION("""COMPUTED_VALUE"""),"#SLEEA - Segunda Licenciatura em Educação Especial - Segunda Licenciatura em Educação Especial - Elisangela dos Santos Teixeira - Educação em Direitos Humanos/a - Nota Máxima: 10")</f>
        <v>#SLEEA - Segunda Licenciatura em Educação Especial - Segunda Licenciatura em Educação Especial - Elisangela dos Santos Teixeira - Educação em Direitos Humanos/a - Nota Máxima: 10</v>
      </c>
    </row>
    <row r="4206">
      <c r="A4206" s="390" t="str">
        <f>IFERROR(__xludf.DUMMYFUNCTION("""COMPUTED_VALUE"""),"#SLEEA - Segunda Licenciatura em Educação Especial - Segunda Licenciatura em Educação Especial - Elisangela dos Santos Teixeira - Educação Especial - Nota Máxima: 8")</f>
        <v>#SLEEA - Segunda Licenciatura em Educação Especial - Segunda Licenciatura em Educação Especial - Elisangela dos Santos Teixeira - Educação Especial - Nota Máxima: 8</v>
      </c>
    </row>
    <row r="4207">
      <c r="A4207" s="390" t="str">
        <f>IFERROR(__xludf.DUMMYFUNCTION("""COMPUTED_VALUE"""),"#SLEEA - Segunda Licenciatura em Educação Especial - Segunda Licenciatura em Educação Especial - Elisangela dos Santos Teixeira - Educação Especial - Nota Máxima: 6")</f>
        <v>#SLEEA - Segunda Licenciatura em Educação Especial - Segunda Licenciatura em Educação Especial - Elisangela dos Santos Teixeira - Educação Especial - Nota Máxima: 6</v>
      </c>
    </row>
    <row r="4208">
      <c r="A4208" s="390" t="str">
        <f>IFERROR(__xludf.DUMMYFUNCTION("""COMPUTED_VALUE"""),"#SLEEA - Segunda Licenciatura em Educação Especial - Segunda Licenciatura em Educação Especial - Elisangela dos Santos Teixeira - Educação Especial, Inclusão Escolar e Adaptações Curriculares - Nota Máxima: 7")</f>
        <v>#SLEEA - Segunda Licenciatura em Educação Especial - Segunda Licenciatura em Educação Especial - Elisangela dos Santos Teixeira - Educação Especial, Inclusão Escolar e Adaptações Curriculares - Nota Máxima: 7</v>
      </c>
    </row>
    <row r="4209">
      <c r="A4209" s="390" t="str">
        <f>IFERROR(__xludf.DUMMYFUNCTION("""COMPUTED_VALUE"""),"#SLEEA - Segunda Licenciatura em Educação Especial - Segunda Licenciatura em Educação Especial - Elisangela dos Santos Teixeira - Educação Especial, Inclusão Escolar e Adaptações Curriculares - Nota Máxima: 7")</f>
        <v>#SLEEA - Segunda Licenciatura em Educação Especial - Segunda Licenciatura em Educação Especial - Elisangela dos Santos Teixeira - Educação Especial, Inclusão Escolar e Adaptações Curriculares - Nota Máxima: 7</v>
      </c>
    </row>
    <row r="4210">
      <c r="A4210" s="390" t="str">
        <f>IFERROR(__xludf.DUMMYFUNCTION("""COMPUTED_VALUE"""),"#SLEEA - Segunda Licenciatura em Educação Especial - Segunda Licenciatura em Educação Especial - Elisangela dos Santos Teixeira - Fisiologia Humana - Nota Máxima: 8")</f>
        <v>#SLEEA - Segunda Licenciatura em Educação Especial - Segunda Licenciatura em Educação Especial - Elisangela dos Santos Teixeira - Fisiologia Humana - Nota Máxima: 8</v>
      </c>
    </row>
    <row r="4211">
      <c r="A4211" s="390" t="str">
        <f>IFERROR(__xludf.DUMMYFUNCTION("""COMPUTED_VALUE"""),"#SLEEA - Segunda Licenciatura em Educação Especial - Segunda Licenciatura em Educação Especial - Elisangela dos Santos Teixeira - Fisiologia Humana - Nota Máxima: 7")</f>
        <v>#SLEEA - Segunda Licenciatura em Educação Especial - Segunda Licenciatura em Educação Especial - Elisangela dos Santos Teixeira - Fisiologia Humana - Nota Máxima: 7</v>
      </c>
    </row>
    <row r="4212">
      <c r="A4212" s="390" t="str">
        <f>IFERROR(__xludf.DUMMYFUNCTION("""COMPUTED_VALUE"""),"#SLEEA - Segunda Licenciatura em Educação Especial - Segunda Licenciatura em Educação Especial - Elisangela dos Santos Teixeira - Jogos e Recreação - Nota Máxima: 9")</f>
        <v>#SLEEA - Segunda Licenciatura em Educação Especial - Segunda Licenciatura em Educação Especial - Elisangela dos Santos Teixeira - Jogos e Recreação - Nota Máxima: 9</v>
      </c>
    </row>
    <row r="4213">
      <c r="A4213" s="390" t="str">
        <f>IFERROR(__xludf.DUMMYFUNCTION("""COMPUTED_VALUE"""),"#SLEEA - Segunda Licenciatura em Educação Especial - Segunda Licenciatura em Educação Especial - Elisangela dos Santos Teixeira - Jogos e Recreação - Nota Máxima: 6")</f>
        <v>#SLEEA - Segunda Licenciatura em Educação Especial - Segunda Licenciatura em Educação Especial - Elisangela dos Santos Teixeira - Jogos e Recreação - Nota Máxima: 6</v>
      </c>
    </row>
    <row r="4214">
      <c r="A4214" s="390" t="str">
        <f>IFERROR(__xludf.DUMMYFUNCTION("""COMPUTED_VALUE"""),"#SLEEA - Segunda Licenciatura em Educação Especial - Segunda Licenciatura em Educação Especial - Elisangela dos Santos Teixeira - Legislação e Políticas para Educação Inclusiva e Especial - Nota Máxima: 8")</f>
        <v>#SLEEA - Segunda Licenciatura em Educação Especial - Segunda Licenciatura em Educação Especial - Elisangela dos Santos Teixeira - Legislação e Políticas para Educação Inclusiva e Especial - Nota Máxima: 8</v>
      </c>
    </row>
    <row r="4215">
      <c r="A4215" s="390" t="str">
        <f>IFERROR(__xludf.DUMMYFUNCTION("""COMPUTED_VALUE"""),"#SLEEA - Segunda Licenciatura em Educação Especial - Segunda Licenciatura em Educação Especial - Elisangela dos Santos Teixeira - Legislação e Políticas para Educação Inclusiva e Especial - Nota Máxima: 9")</f>
        <v>#SLEEA - Segunda Licenciatura em Educação Especial - Segunda Licenciatura em Educação Especial - Elisangela dos Santos Teixeira - Legislação e Políticas para Educação Inclusiva e Especial - Nota Máxima: 9</v>
      </c>
    </row>
    <row r="4216">
      <c r="A4216" s="390" t="str">
        <f>IFERROR(__xludf.DUMMYFUNCTION("""COMPUTED_VALUE"""),"#SLEEA - Segunda Licenciatura em Educação Especial - Segunda Licenciatura em Educação Especial - Elisangela dos Santos Teixeira - Legislação Educacional/a - Nota Máxima: 8")</f>
        <v>#SLEEA - Segunda Licenciatura em Educação Especial - Segunda Licenciatura em Educação Especial - Elisangela dos Santos Teixeira - Legislação Educacional/a - Nota Máxima: 8</v>
      </c>
    </row>
    <row r="4217">
      <c r="A4217" s="390" t="str">
        <f>IFERROR(__xludf.DUMMYFUNCTION("""COMPUTED_VALUE"""),"#SLEEA - Segunda Licenciatura em Educação Especial - Segunda Licenciatura em Educação Especial - Elisangela dos Santos Teixeira - Legislação Educacional/a - Nota Máxima: 10")</f>
        <v>#SLEEA - Segunda Licenciatura em Educação Especial - Segunda Licenciatura em Educação Especial - Elisangela dos Santos Teixeira - Legislação Educacional/a - Nota Máxima: 10</v>
      </c>
    </row>
    <row r="4218">
      <c r="A4218" s="390" t="str">
        <f>IFERROR(__xludf.DUMMYFUNCTION("""COMPUTED_VALUE"""),"#SLEEA - Segunda Licenciatura em Educação Especial - Segunda Licenciatura em Educação Especial - Elisangela dos Santos Teixeira - Planejamento, Gestão Educacional e Currículo/a - Nota Máxima: 9")</f>
        <v>#SLEEA - Segunda Licenciatura em Educação Especial - Segunda Licenciatura em Educação Especial - Elisangela dos Santos Teixeira - Planejamento, Gestão Educacional e Currículo/a - Nota Máxima: 9</v>
      </c>
    </row>
    <row r="4219">
      <c r="A4219" s="390" t="str">
        <f>IFERROR(__xludf.DUMMYFUNCTION("""COMPUTED_VALUE"""),"#SLEEA - Segunda Licenciatura em Educação Especial - Segunda Licenciatura em Educação Especial - Elisangela dos Santos Teixeira - Planejamento, Gestão Educacional e Currículo/a - Nota Máxima: 9")</f>
        <v>#SLEEA - Segunda Licenciatura em Educação Especial - Segunda Licenciatura em Educação Especial - Elisangela dos Santos Teixeira - Planejamento, Gestão Educacional e Currículo/a - Nota Máxima: 9</v>
      </c>
    </row>
    <row r="4220">
      <c r="A4220" s="390" t="str">
        <f>IFERROR(__xludf.DUMMYFUNCTION("""COMPUTED_VALUE"""),"#SLEEA - Segunda Licenciatura em Educação Especial - Segunda Licenciatura em Educação Especial - Elisangela dos Santos Teixeira - Práticas Pedagógicas - 400 Horas - Nota Máxima: 10")</f>
        <v>#SLEEA - Segunda Licenciatura em Educação Especial - Segunda Licenciatura em Educação Especial - Elisangela dos Santos Teixeira - Práticas Pedagógicas - 400 Horas - Nota Máxima: 10</v>
      </c>
    </row>
    <row r="4221">
      <c r="A4221" s="390" t="str">
        <f>IFERROR(__xludf.DUMMYFUNCTION("""COMPUTED_VALUE"""),"#SLEEA - Segunda Licenciatura em Educação Especial - Segunda Licenciatura em Educação Especial - Elisangela dos Santos Teixeira - Práticas Pedagógicas - 400 Horas - Nota Máxima: 5")</f>
        <v>#SLEEA - Segunda Licenciatura em Educação Especial - Segunda Licenciatura em Educação Especial - Elisangela dos Santos Teixeira - Práticas Pedagógicas - 400 Horas - Nota Máxima: 5</v>
      </c>
    </row>
    <row r="4222">
      <c r="A4222" s="390" t="str">
        <f>IFERROR(__xludf.DUMMYFUNCTION("""COMPUTED_VALUE"""),"#SLEEA - Segunda Licenciatura em Educação Especial - Segunda Licenciatura em Educação Especial - Elisangela dos Santos Teixeira - Psicologia da Educação/a - Nota Máxima: 8")</f>
        <v>#SLEEA - Segunda Licenciatura em Educação Especial - Segunda Licenciatura em Educação Especial - Elisangela dos Santos Teixeira - Psicologia da Educação/a - Nota Máxima: 8</v>
      </c>
    </row>
    <row r="4223">
      <c r="A4223" s="390" t="str">
        <f>IFERROR(__xludf.DUMMYFUNCTION("""COMPUTED_VALUE"""),"#SLEEA - Segunda Licenciatura em Educação Especial - Segunda Licenciatura em Educação Especial - Elisangela dos Santos Teixeira - Psicologia da Educação/a - Nota Máxima: 3")</f>
        <v>#SLEEA - Segunda Licenciatura em Educação Especial - Segunda Licenciatura em Educação Especial - Elisangela dos Santos Teixeira - Psicologia da Educação/a - Nota Máxima: 3</v>
      </c>
    </row>
    <row r="4224">
      <c r="A4224" s="390" t="str">
        <f>IFERROR(__xludf.DUMMYFUNCTION("""COMPUTED_VALUE"""),"#SLEEA - Segunda Licenciatura em Educação Especial - Segunda Licenciatura em Educação Especial - Tatiane Tamires de Oliveira Cunha Pereira - Atuação Docente na Educação Inclusiva - Nota Máxima: 10")</f>
        <v>#SLEEA - Segunda Licenciatura em Educação Especial - Segunda Licenciatura em Educação Especial - Tatiane Tamires de Oliveira Cunha Pereira - Atuação Docente na Educação Inclusiva - Nota Máxima: 10</v>
      </c>
    </row>
    <row r="4225">
      <c r="A4225" s="390" t="str">
        <f>IFERROR(__xludf.DUMMYFUNCTION("""COMPUTED_VALUE"""),"#SLEEA - Segunda Licenciatura em Educação Especial - Segunda Licenciatura em Educação Especial - Tatiane Tamires de Oliveira Cunha Pereira - Cultura e Diversidade - Nota Máxima: 9")</f>
        <v>#SLEEA - Segunda Licenciatura em Educação Especial - Segunda Licenciatura em Educação Especial - Tatiane Tamires de Oliveira Cunha Pereira - Cultura e Diversidade - Nota Máxima: 9</v>
      </c>
    </row>
    <row r="4226">
      <c r="A4226" s="390" t="str">
        <f>IFERROR(__xludf.DUMMYFUNCTION("""COMPUTED_VALUE"""),"#SLEEA - Segunda Licenciatura em Educação Especial - Segunda Licenciatura em Educação Especial - Tatiane Tamires de Oliveira Cunha Pereira - Deficiência Auditiva e Libras/a - Nota Máxima: 7")</f>
        <v>#SLEEA - Segunda Licenciatura em Educação Especial - Segunda Licenciatura em Educação Especial - Tatiane Tamires de Oliveira Cunha Pereira - Deficiência Auditiva e Libras/a - Nota Máxima: 7</v>
      </c>
    </row>
    <row r="4227">
      <c r="A4227" s="390" t="str">
        <f>IFERROR(__xludf.DUMMYFUNCTION("""COMPUTED_VALUE"""),"#SLEEA - Segunda Licenciatura em Educação Especial - Segunda Licenciatura em Educação Especial - Tatiane Tamires de Oliveira Cunha Pereira - Educação e as Tic's - Nota Máxima: 9")</f>
        <v>#SLEEA - Segunda Licenciatura em Educação Especial - Segunda Licenciatura em Educação Especial - Tatiane Tamires de Oliveira Cunha Pereira - Educação e as Tic's - Nota Máxima: 9</v>
      </c>
    </row>
    <row r="4228">
      <c r="A4228" s="390" t="str">
        <f>IFERROR(__xludf.DUMMYFUNCTION("""COMPUTED_VALUE"""),"#SLEEA - Segunda Licenciatura em Educação Especial - Segunda Licenciatura em Educação Especial - Tatiane Tamires de Oliveira Cunha Pereira - Educação em Direitos Humanos/a - Nota Máxima: 9")</f>
        <v>#SLEEA - Segunda Licenciatura em Educação Especial - Segunda Licenciatura em Educação Especial - Tatiane Tamires de Oliveira Cunha Pereira - Educação em Direitos Humanos/a - Nota Máxima: 9</v>
      </c>
    </row>
    <row r="4229">
      <c r="A4229" s="390" t="str">
        <f>IFERROR(__xludf.DUMMYFUNCTION("""COMPUTED_VALUE"""),"#SLEEA - Segunda Licenciatura em Educação Especial - Segunda Licenciatura em Educação Especial - Tatiane Tamires de Oliveira Cunha Pereira - Educação Especial - Nota Máxima: 9")</f>
        <v>#SLEEA - Segunda Licenciatura em Educação Especial - Segunda Licenciatura em Educação Especial - Tatiane Tamires de Oliveira Cunha Pereira - Educação Especial - Nota Máxima: 9</v>
      </c>
    </row>
    <row r="4230">
      <c r="A4230" s="390" t="str">
        <f>IFERROR(__xludf.DUMMYFUNCTION("""COMPUTED_VALUE"""),"#SLEEA - Segunda Licenciatura em Educação Especial - Segunda Licenciatura em Educação Especial - Tatiane Tamires de Oliveira Cunha Pereira - Educação Especial, Inclusão Escolar e Adaptações Curriculares - Nota Máxima: 7")</f>
        <v>#SLEEA - Segunda Licenciatura em Educação Especial - Segunda Licenciatura em Educação Especial - Tatiane Tamires de Oliveira Cunha Pereira - Educação Especial, Inclusão Escolar e Adaptações Curriculares - Nota Máxima: 7</v>
      </c>
    </row>
    <row r="4231">
      <c r="A4231" s="390" t="str">
        <f>IFERROR(__xludf.DUMMYFUNCTION("""COMPUTED_VALUE"""),"#SLEEA - Segunda Licenciatura em Educação Especial - Segunda Licenciatura em Educação Especial - Tatiane Tamires de Oliveira Cunha Pereira - Fisiologia Humana - Nota Máxima: 9")</f>
        <v>#SLEEA - Segunda Licenciatura em Educação Especial - Segunda Licenciatura em Educação Especial - Tatiane Tamires de Oliveira Cunha Pereira - Fisiologia Humana - Nota Máxima: 9</v>
      </c>
    </row>
    <row r="4232">
      <c r="A4232" s="390" t="str">
        <f>IFERROR(__xludf.DUMMYFUNCTION("""COMPUTED_VALUE"""),"#SLEEA - Segunda Licenciatura em Educação Especial - Segunda Licenciatura em Educação Especial - Tatiane Tamires de Oliveira Cunha Pereira - Jogos e Recreação - Nota Máxima: 9")</f>
        <v>#SLEEA - Segunda Licenciatura em Educação Especial - Segunda Licenciatura em Educação Especial - Tatiane Tamires de Oliveira Cunha Pereira - Jogos e Recreação - Nota Máxima: 9</v>
      </c>
    </row>
    <row r="4233">
      <c r="A4233" s="390" t="str">
        <f>IFERROR(__xludf.DUMMYFUNCTION("""COMPUTED_VALUE"""),"#SLEEA - Segunda Licenciatura em Educação Especial - Segunda Licenciatura em Educação Especial - Tatiane Tamires de Oliveira Cunha Pereira - Legislação e Políticas para Educação Inclusiva e Especial - Nota Máxima: 7")</f>
        <v>#SLEEA - Segunda Licenciatura em Educação Especial - Segunda Licenciatura em Educação Especial - Tatiane Tamires de Oliveira Cunha Pereira - Legislação e Políticas para Educação Inclusiva e Especial - Nota Máxima: 7</v>
      </c>
    </row>
    <row r="4234">
      <c r="A4234" s="390" t="str">
        <f>IFERROR(__xludf.DUMMYFUNCTION("""COMPUTED_VALUE"""),"#SLEEA - Segunda Licenciatura em Educação Especial - Segunda Licenciatura em Educação Especial - Tatiane Tamires de Oliveira Cunha Pereira - Legislação Educacional/a - Nota Máxima: 7")</f>
        <v>#SLEEA - Segunda Licenciatura em Educação Especial - Segunda Licenciatura em Educação Especial - Tatiane Tamires de Oliveira Cunha Pereira - Legislação Educacional/a - Nota Máxima: 7</v>
      </c>
    </row>
    <row r="4235">
      <c r="A4235" s="390" t="str">
        <f>IFERROR(__xludf.DUMMYFUNCTION("""COMPUTED_VALUE"""),"#SLEEA - Segunda Licenciatura em Educação Especial - Segunda Licenciatura em Educação Especial - Tatiane Tamires de Oliveira Cunha Pereira - Planejamento, Gestão Educacional e Currículo/a - Nota Máxima: 10")</f>
        <v>#SLEEA - Segunda Licenciatura em Educação Especial - Segunda Licenciatura em Educação Especial - Tatiane Tamires de Oliveira Cunha Pereira - Planejamento, Gestão Educacional e Currículo/a - Nota Máxima: 10</v>
      </c>
    </row>
    <row r="4236">
      <c r="A4236" s="390" t="str">
        <f>IFERROR(__xludf.DUMMYFUNCTION("""COMPUTED_VALUE"""),"#SLEEA - Segunda Licenciatura em Educação Especial - Segunda Licenciatura em Educação Especial - Tatiane Tamires de Oliveira Cunha Pereira - Práticas Pedagógicas - 400 Horas - Nota Máxima: 10")</f>
        <v>#SLEEA - Segunda Licenciatura em Educação Especial - Segunda Licenciatura em Educação Especial - Tatiane Tamires de Oliveira Cunha Pereira - Práticas Pedagógicas - 400 Horas - Nota Máxima: 10</v>
      </c>
    </row>
    <row r="4237">
      <c r="A4237" s="390" t="str">
        <f>IFERROR(__xludf.DUMMYFUNCTION("""COMPUTED_VALUE"""),"#SLEEA - Segunda Licenciatura em Educação Especial - Segunda Licenciatura em Educação Especial - Tatiane Tamires de Oliveira Cunha Pereira - Psicologia da Educação/a - Nota Máxima: 9")</f>
        <v>#SLEEA - Segunda Licenciatura em Educação Especial - Segunda Licenciatura em Educação Especial - Tatiane Tamires de Oliveira Cunha Pereira - Psicologia da Educação/a - Nota Máxima: 9</v>
      </c>
    </row>
    <row r="4238">
      <c r="A4238" s="390" t="str">
        <f>IFERROR(__xludf.DUMMYFUNCTION("""COMPUTED_VALUE"""),"#SLEEA - Segunda Licenciatura em Educação Especial - Segunda Licenciatura em Educação Especial - Poliana Maciel Capanema - Atuação Docente na Educação Inclusiva - Nota Máxima: 8")</f>
        <v>#SLEEA - Segunda Licenciatura em Educação Especial - Segunda Licenciatura em Educação Especial - Poliana Maciel Capanema - Atuação Docente na Educação Inclusiva - Nota Máxima: 8</v>
      </c>
    </row>
    <row r="4239">
      <c r="A4239" s="390" t="str">
        <f>IFERROR(__xludf.DUMMYFUNCTION("""COMPUTED_VALUE"""),"#SLEEA - Segunda Licenciatura em Educação Especial - Segunda Licenciatura em Educação Especial - Poliana Maciel Capanema - Atuação Docente na Educação Inclusiva - Nota Máxima: 8")</f>
        <v>#SLEEA - Segunda Licenciatura em Educação Especial - Segunda Licenciatura em Educação Especial - Poliana Maciel Capanema - Atuação Docente na Educação Inclusiva - Nota Máxima: 8</v>
      </c>
    </row>
    <row r="4240">
      <c r="A4240" s="390" t="str">
        <f>IFERROR(__xludf.DUMMYFUNCTION("""COMPUTED_VALUE"""),"#SLEEA - Segunda Licenciatura em Educação Especial - Segunda Licenciatura em Educação Especial - Poliana Maciel Capanema - Cultura e Diversidade - Nota Máxima: 8")</f>
        <v>#SLEEA - Segunda Licenciatura em Educação Especial - Segunda Licenciatura em Educação Especial - Poliana Maciel Capanema - Cultura e Diversidade - Nota Máxima: 8</v>
      </c>
    </row>
    <row r="4241">
      <c r="A4241" s="390" t="str">
        <f>IFERROR(__xludf.DUMMYFUNCTION("""COMPUTED_VALUE"""),"#SLEEA - Segunda Licenciatura em Educação Especial - Segunda Licenciatura em Educação Especial - Poliana Maciel Capanema - Cultura e Diversidade - Nota Máxima: 9")</f>
        <v>#SLEEA - Segunda Licenciatura em Educação Especial - Segunda Licenciatura em Educação Especial - Poliana Maciel Capanema - Cultura e Diversidade - Nota Máxima: 9</v>
      </c>
    </row>
    <row r="4242">
      <c r="A4242" s="390" t="str">
        <f>IFERROR(__xludf.DUMMYFUNCTION("""COMPUTED_VALUE"""),"#SLEEA - Segunda Licenciatura em Educação Especial - Segunda Licenciatura em Educação Especial - Poliana Maciel Capanema - Deficiência Auditiva e Libras/a - Nota Máxima: 8")</f>
        <v>#SLEEA - Segunda Licenciatura em Educação Especial - Segunda Licenciatura em Educação Especial - Poliana Maciel Capanema - Deficiência Auditiva e Libras/a - Nota Máxima: 8</v>
      </c>
    </row>
    <row r="4243">
      <c r="A4243" s="390" t="str">
        <f>IFERROR(__xludf.DUMMYFUNCTION("""COMPUTED_VALUE"""),"#SLEEA - Segunda Licenciatura em Educação Especial - Segunda Licenciatura em Educação Especial - Poliana Maciel Capanema - Deficiência Auditiva e Libras/a - Nota Máxima: 4")</f>
        <v>#SLEEA - Segunda Licenciatura em Educação Especial - Segunda Licenciatura em Educação Especial - Poliana Maciel Capanema - Deficiência Auditiva e Libras/a - Nota Máxima: 4</v>
      </c>
    </row>
    <row r="4244">
      <c r="A4244" s="390" t="str">
        <f>IFERROR(__xludf.DUMMYFUNCTION("""COMPUTED_VALUE"""),"#SLEEA - Segunda Licenciatura em Educação Especial - Segunda Licenciatura em Educação Especial - Poliana Maciel Capanema - Educação e as Tic's - Nota Máxima: 9")</f>
        <v>#SLEEA - Segunda Licenciatura em Educação Especial - Segunda Licenciatura em Educação Especial - Poliana Maciel Capanema - Educação e as Tic's - Nota Máxima: 9</v>
      </c>
    </row>
    <row r="4245">
      <c r="A4245" s="390" t="str">
        <f>IFERROR(__xludf.DUMMYFUNCTION("""COMPUTED_VALUE"""),"#SLEEA - Segunda Licenciatura em Educação Especial - Segunda Licenciatura em Educação Especial - Poliana Maciel Capanema - Educação e as Tic's - Nota Máxima: 10")</f>
        <v>#SLEEA - Segunda Licenciatura em Educação Especial - Segunda Licenciatura em Educação Especial - Poliana Maciel Capanema - Educação e as Tic's - Nota Máxima: 10</v>
      </c>
    </row>
    <row r="4246">
      <c r="A4246" s="390" t="str">
        <f>IFERROR(__xludf.DUMMYFUNCTION("""COMPUTED_VALUE"""),"#SLEEA - Segunda Licenciatura em Educação Especial - Segunda Licenciatura em Educação Especial - Poliana Maciel Capanema - Educação em Direitos Humanos/a - Nota Máxima: 9")</f>
        <v>#SLEEA - Segunda Licenciatura em Educação Especial - Segunda Licenciatura em Educação Especial - Poliana Maciel Capanema - Educação em Direitos Humanos/a - Nota Máxima: 9</v>
      </c>
    </row>
    <row r="4247">
      <c r="A4247" s="390" t="str">
        <f>IFERROR(__xludf.DUMMYFUNCTION("""COMPUTED_VALUE"""),"#SLEEA - Segunda Licenciatura em Educação Especial - Segunda Licenciatura em Educação Especial - Poliana Maciel Capanema - Educação em Direitos Humanos/a - Nota Máxima: 9")</f>
        <v>#SLEEA - Segunda Licenciatura em Educação Especial - Segunda Licenciatura em Educação Especial - Poliana Maciel Capanema - Educação em Direitos Humanos/a - Nota Máxima: 9</v>
      </c>
    </row>
    <row r="4248">
      <c r="A4248" s="390" t="str">
        <f>IFERROR(__xludf.DUMMYFUNCTION("""COMPUTED_VALUE"""),"#SLEEA - Segunda Licenciatura em Educação Especial - Segunda Licenciatura em Educação Especial - Poliana Maciel Capanema - Educação Especial - Nota Máxima: 8")</f>
        <v>#SLEEA - Segunda Licenciatura em Educação Especial - Segunda Licenciatura em Educação Especial - Poliana Maciel Capanema - Educação Especial - Nota Máxima: 8</v>
      </c>
    </row>
    <row r="4249">
      <c r="A4249" s="390" t="str">
        <f>IFERROR(__xludf.DUMMYFUNCTION("""COMPUTED_VALUE"""),"#SLEEA - Segunda Licenciatura em Educação Especial - Segunda Licenciatura em Educação Especial - Poliana Maciel Capanema - Educação Especial - Nota Máxima: 8")</f>
        <v>#SLEEA - Segunda Licenciatura em Educação Especial - Segunda Licenciatura em Educação Especial - Poliana Maciel Capanema - Educação Especial - Nota Máxima: 8</v>
      </c>
    </row>
    <row r="4250">
      <c r="A4250" s="390" t="str">
        <f>IFERROR(__xludf.DUMMYFUNCTION("""COMPUTED_VALUE"""),"#SLEEA - Segunda Licenciatura em Educação Especial - Segunda Licenciatura em Educação Especial - Poliana Maciel Capanema - Educação Especial, Inclusão Escolar e Adaptações Curriculares - Nota Máxima: 10")</f>
        <v>#SLEEA - Segunda Licenciatura em Educação Especial - Segunda Licenciatura em Educação Especial - Poliana Maciel Capanema - Educação Especial, Inclusão Escolar e Adaptações Curriculares - Nota Máxima: 10</v>
      </c>
    </row>
    <row r="4251">
      <c r="A4251" s="390" t="str">
        <f>IFERROR(__xludf.DUMMYFUNCTION("""COMPUTED_VALUE"""),"#SLEEA - Segunda Licenciatura em Educação Especial - Segunda Licenciatura em Educação Especial - Poliana Maciel Capanema - Educação Especial, Inclusão Escolar e Adaptações Curriculares - Nota Máxima: 10")</f>
        <v>#SLEEA - Segunda Licenciatura em Educação Especial - Segunda Licenciatura em Educação Especial - Poliana Maciel Capanema - Educação Especial, Inclusão Escolar e Adaptações Curriculares - Nota Máxima: 10</v>
      </c>
    </row>
    <row r="4252">
      <c r="A4252" s="390" t="str">
        <f>IFERROR(__xludf.DUMMYFUNCTION("""COMPUTED_VALUE"""),"#SLEEA - Segunda Licenciatura em Educação Especial - Segunda Licenciatura em Educação Especial - Poliana Maciel Capanema - Fisiologia Humana - Nota Máxima: 10")</f>
        <v>#SLEEA - Segunda Licenciatura em Educação Especial - Segunda Licenciatura em Educação Especial - Poliana Maciel Capanema - Fisiologia Humana - Nota Máxima: 10</v>
      </c>
    </row>
    <row r="4253">
      <c r="A4253" s="390" t="str">
        <f>IFERROR(__xludf.DUMMYFUNCTION("""COMPUTED_VALUE"""),"#SLEEA - Segunda Licenciatura em Educação Especial - Segunda Licenciatura em Educação Especial - Poliana Maciel Capanema - Fisiologia Humana - Nota Máxima: 10")</f>
        <v>#SLEEA - Segunda Licenciatura em Educação Especial - Segunda Licenciatura em Educação Especial - Poliana Maciel Capanema - Fisiologia Humana - Nota Máxima: 10</v>
      </c>
    </row>
    <row r="4254">
      <c r="A4254" s="390" t="str">
        <f>IFERROR(__xludf.DUMMYFUNCTION("""COMPUTED_VALUE"""),"#SLEEA - Segunda Licenciatura em Educação Especial - Segunda Licenciatura em Educação Especial - Poliana Maciel Capanema - Jogos e Recreação - Nota Máxima: 8")</f>
        <v>#SLEEA - Segunda Licenciatura em Educação Especial - Segunda Licenciatura em Educação Especial - Poliana Maciel Capanema - Jogos e Recreação - Nota Máxima: 8</v>
      </c>
    </row>
    <row r="4255">
      <c r="A4255" s="390" t="str">
        <f>IFERROR(__xludf.DUMMYFUNCTION("""COMPUTED_VALUE"""),"#SLEEA - Segunda Licenciatura em Educação Especial - Segunda Licenciatura em Educação Especial - Poliana Maciel Capanema - Jogos e Recreação - Nota Máxima: 8")</f>
        <v>#SLEEA - Segunda Licenciatura em Educação Especial - Segunda Licenciatura em Educação Especial - Poliana Maciel Capanema - Jogos e Recreação - Nota Máxima: 8</v>
      </c>
    </row>
    <row r="4256">
      <c r="A4256" s="390" t="str">
        <f>IFERROR(__xludf.DUMMYFUNCTION("""COMPUTED_VALUE"""),"#SLEEA - Segunda Licenciatura em Educação Especial - Segunda Licenciatura em Educação Especial - Poliana Maciel Capanema - Legislação e Políticas para Educação Inclusiva e Especial - Nota Máxima: 10")</f>
        <v>#SLEEA - Segunda Licenciatura em Educação Especial - Segunda Licenciatura em Educação Especial - Poliana Maciel Capanema - Legislação e Políticas para Educação Inclusiva e Especial - Nota Máxima: 10</v>
      </c>
    </row>
    <row r="4257">
      <c r="A4257" s="390" t="str">
        <f>IFERROR(__xludf.DUMMYFUNCTION("""COMPUTED_VALUE"""),"#SLEEA - Segunda Licenciatura em Educação Especial - Segunda Licenciatura em Educação Especial - Poliana Maciel Capanema - Legislação e Políticas para Educação Inclusiva e Especial - Nota Máxima: 10")</f>
        <v>#SLEEA - Segunda Licenciatura em Educação Especial - Segunda Licenciatura em Educação Especial - Poliana Maciel Capanema - Legislação e Políticas para Educação Inclusiva e Especial - Nota Máxima: 10</v>
      </c>
    </row>
    <row r="4258">
      <c r="A4258" s="390" t="str">
        <f>IFERROR(__xludf.DUMMYFUNCTION("""COMPUTED_VALUE"""),"#SLEEA - Segunda Licenciatura em Educação Especial - Segunda Licenciatura em Educação Especial - Poliana Maciel Capanema - Legislação Educacional/a - Nota Máxima: 10")</f>
        <v>#SLEEA - Segunda Licenciatura em Educação Especial - Segunda Licenciatura em Educação Especial - Poliana Maciel Capanema - Legislação Educacional/a - Nota Máxima: 10</v>
      </c>
    </row>
    <row r="4259">
      <c r="A4259" s="390" t="str">
        <f>IFERROR(__xludf.DUMMYFUNCTION("""COMPUTED_VALUE"""),"#SLEEA - Segunda Licenciatura em Educação Especial - Segunda Licenciatura em Educação Especial - Poliana Maciel Capanema - Legislação Educacional/a - Nota Máxima: 10")</f>
        <v>#SLEEA - Segunda Licenciatura em Educação Especial - Segunda Licenciatura em Educação Especial - Poliana Maciel Capanema - Legislação Educacional/a - Nota Máxima: 10</v>
      </c>
    </row>
    <row r="4260">
      <c r="A4260" s="390" t="str">
        <f>IFERROR(__xludf.DUMMYFUNCTION("""COMPUTED_VALUE"""),"#SLEEA - Segunda Licenciatura em Educação Especial - Segunda Licenciatura em Educação Especial - Poliana Maciel Capanema - Planejamento, Gestão Educacional e Currículo/a - Nota Máxima: 10")</f>
        <v>#SLEEA - Segunda Licenciatura em Educação Especial - Segunda Licenciatura em Educação Especial - Poliana Maciel Capanema - Planejamento, Gestão Educacional e Currículo/a - Nota Máxima: 10</v>
      </c>
    </row>
    <row r="4261">
      <c r="A4261" s="390" t="str">
        <f>IFERROR(__xludf.DUMMYFUNCTION("""COMPUTED_VALUE"""),"#SLEEA - Segunda Licenciatura em Educação Especial - Segunda Licenciatura em Educação Especial - Poliana Maciel Capanema - Planejamento, Gestão Educacional e Currículo/a - Nota Máxima: 10")</f>
        <v>#SLEEA - Segunda Licenciatura em Educação Especial - Segunda Licenciatura em Educação Especial - Poliana Maciel Capanema - Planejamento, Gestão Educacional e Currículo/a - Nota Máxima: 10</v>
      </c>
    </row>
    <row r="4262">
      <c r="A4262" s="390" t="str">
        <f>IFERROR(__xludf.DUMMYFUNCTION("""COMPUTED_VALUE"""),"#SLEEA - Segunda Licenciatura em Educação Especial - Segunda Licenciatura em Educação Especial - Poliana Maciel Capanema - Práticas Pedagógicas - 400 Horas - Nota Máxima: 4")</f>
        <v>#SLEEA - Segunda Licenciatura em Educação Especial - Segunda Licenciatura em Educação Especial - Poliana Maciel Capanema - Práticas Pedagógicas - 400 Horas - Nota Máxima: 4</v>
      </c>
    </row>
    <row r="4263">
      <c r="A4263" s="390" t="str">
        <f>IFERROR(__xludf.DUMMYFUNCTION("""COMPUTED_VALUE"""),"#SLEEA - Segunda Licenciatura em Educação Especial - Segunda Licenciatura em Educação Especial - Poliana Maciel Capanema - Práticas Pedagógicas - 400 Horas - Nota Máxima: 4")</f>
        <v>#SLEEA - Segunda Licenciatura em Educação Especial - Segunda Licenciatura em Educação Especial - Poliana Maciel Capanema - Práticas Pedagógicas - 400 Horas - Nota Máxima: 4</v>
      </c>
    </row>
    <row r="4264">
      <c r="A4264" s="390" t="str">
        <f>IFERROR(__xludf.DUMMYFUNCTION("""COMPUTED_VALUE"""),"#SLEEA - Segunda Licenciatura em Educação Especial - Segunda Licenciatura em Educação Especial - Poliana Maciel Capanema - Psicologia da Educação/a - Nota Máxima: 10")</f>
        <v>#SLEEA - Segunda Licenciatura em Educação Especial - Segunda Licenciatura em Educação Especial - Poliana Maciel Capanema - Psicologia da Educação/a - Nota Máxima: 10</v>
      </c>
    </row>
    <row r="4265">
      <c r="A4265" s="390" t="str">
        <f>IFERROR(__xludf.DUMMYFUNCTION("""COMPUTED_VALUE"""),"#SLEEA - Segunda Licenciatura em Educação Especial - Segunda Licenciatura em Educação Especial - Poliana Maciel Capanema - Psicologia da Educação/a - Nota Máxima: 10")</f>
        <v>#SLEEA - Segunda Licenciatura em Educação Especial - Segunda Licenciatura em Educação Especial - Poliana Maciel Capanema - Psicologia da Educação/a - Nota Máxima: 10</v>
      </c>
    </row>
    <row r="4266">
      <c r="A4266" s="390" t="str">
        <f>IFERROR(__xludf.DUMMYFUNCTION("""COMPUTED_VALUE"""),"#SLEEA - Segunda Licenciatura em Educação Especial - Segunda Licenciatura em Educação Especial - Lutecia Pereira Franca - Atuação Docente na Educação Inclusiva - Nota Máxima: 10")</f>
        <v>#SLEEA - Segunda Licenciatura em Educação Especial - Segunda Licenciatura em Educação Especial - Lutecia Pereira Franca - Atuação Docente na Educação Inclusiva - Nota Máxima: 10</v>
      </c>
    </row>
    <row r="4267">
      <c r="A4267" s="390" t="str">
        <f>IFERROR(__xludf.DUMMYFUNCTION("""COMPUTED_VALUE"""),"#SLEEA - Segunda Licenciatura em Educação Especial - Segunda Licenciatura em Educação Especial - Lutecia Pereira Franca - Atuação Docente na Educação Inclusiva - Nota Máxima: 10")</f>
        <v>#SLEEA - Segunda Licenciatura em Educação Especial - Segunda Licenciatura em Educação Especial - Lutecia Pereira Franca - Atuação Docente na Educação Inclusiva - Nota Máxima: 10</v>
      </c>
    </row>
    <row r="4268">
      <c r="A4268" s="390" t="str">
        <f>IFERROR(__xludf.DUMMYFUNCTION("""COMPUTED_VALUE"""),"#SLEEA - Segunda Licenciatura em Educação Especial - Segunda Licenciatura em Educação Especial - Lutecia Pereira Franca - Cultura e Diversidade - Nota Máxima: 10")</f>
        <v>#SLEEA - Segunda Licenciatura em Educação Especial - Segunda Licenciatura em Educação Especial - Lutecia Pereira Franca - Cultura e Diversidade - Nota Máxima: 10</v>
      </c>
    </row>
    <row r="4269">
      <c r="A4269" s="390" t="str">
        <f>IFERROR(__xludf.DUMMYFUNCTION("""COMPUTED_VALUE"""),"#SLEEA - Segunda Licenciatura em Educação Especial - Segunda Licenciatura em Educação Especial - Lutecia Pereira Franca - Cultura e Diversidade - Nota Máxima: 10")</f>
        <v>#SLEEA - Segunda Licenciatura em Educação Especial - Segunda Licenciatura em Educação Especial - Lutecia Pereira Franca - Cultura e Diversidade - Nota Máxima: 10</v>
      </c>
    </row>
    <row r="4270">
      <c r="A4270" s="390" t="str">
        <f>IFERROR(__xludf.DUMMYFUNCTION("""COMPUTED_VALUE"""),"#SLEEA - Segunda Licenciatura em Educação Especial - Segunda Licenciatura em Educação Especial - Lutecia Pereira Franca - Deficiência Auditiva e Libras/a - Nota Máxima: 10")</f>
        <v>#SLEEA - Segunda Licenciatura em Educação Especial - Segunda Licenciatura em Educação Especial - Lutecia Pereira Franca - Deficiência Auditiva e Libras/a - Nota Máxima: 10</v>
      </c>
    </row>
    <row r="4271">
      <c r="A4271" s="390" t="str">
        <f>IFERROR(__xludf.DUMMYFUNCTION("""COMPUTED_VALUE"""),"#SLEEA - Segunda Licenciatura em Educação Especial - Segunda Licenciatura em Educação Especial - Lutecia Pereira Franca - Deficiência Auditiva e Libras/a - Nota Máxima: 9")</f>
        <v>#SLEEA - Segunda Licenciatura em Educação Especial - Segunda Licenciatura em Educação Especial - Lutecia Pereira Franca - Deficiência Auditiva e Libras/a - Nota Máxima: 9</v>
      </c>
    </row>
    <row r="4272">
      <c r="A4272" s="390" t="str">
        <f>IFERROR(__xludf.DUMMYFUNCTION("""COMPUTED_VALUE"""),"#SLEEA - Segunda Licenciatura em Educação Especial - Segunda Licenciatura em Educação Especial - Lutecia Pereira Franca - Educação e as Tic's - Nota Máxima: 10")</f>
        <v>#SLEEA - Segunda Licenciatura em Educação Especial - Segunda Licenciatura em Educação Especial - Lutecia Pereira Franca - Educação e as Tic's - Nota Máxima: 10</v>
      </c>
    </row>
    <row r="4273">
      <c r="A4273" s="390" t="str">
        <f>IFERROR(__xludf.DUMMYFUNCTION("""COMPUTED_VALUE"""),"#SLEEA - Segunda Licenciatura em Educação Especial - Segunda Licenciatura em Educação Especial - Lutecia Pereira Franca - Educação e as Tic's - Nota Máxima: 10")</f>
        <v>#SLEEA - Segunda Licenciatura em Educação Especial - Segunda Licenciatura em Educação Especial - Lutecia Pereira Franca - Educação e as Tic's - Nota Máxima: 10</v>
      </c>
    </row>
    <row r="4274">
      <c r="A4274" s="390" t="str">
        <f>IFERROR(__xludf.DUMMYFUNCTION("""COMPUTED_VALUE"""),"#SLEEA - Segunda Licenciatura em Educação Especial - Segunda Licenciatura em Educação Especial - Lutecia Pereira Franca - Educação em Direitos Humanos/a - Nota Máxima: 10")</f>
        <v>#SLEEA - Segunda Licenciatura em Educação Especial - Segunda Licenciatura em Educação Especial - Lutecia Pereira Franca - Educação em Direitos Humanos/a - Nota Máxima: 10</v>
      </c>
    </row>
    <row r="4275">
      <c r="A4275" s="390" t="str">
        <f>IFERROR(__xludf.DUMMYFUNCTION("""COMPUTED_VALUE"""),"#SLEEA - Segunda Licenciatura em Educação Especial - Segunda Licenciatura em Educação Especial - Lutecia Pereira Franca - Educação em Direitos Humanos/a - Nota Máxima: 10")</f>
        <v>#SLEEA - Segunda Licenciatura em Educação Especial - Segunda Licenciatura em Educação Especial - Lutecia Pereira Franca - Educação em Direitos Humanos/a - Nota Máxima: 10</v>
      </c>
    </row>
    <row r="4276">
      <c r="A4276" s="390" t="str">
        <f>IFERROR(__xludf.DUMMYFUNCTION("""COMPUTED_VALUE"""),"#SLEEA - Segunda Licenciatura em Educação Especial - Segunda Licenciatura em Educação Especial - Lutecia Pereira Franca - Educação Especial - Nota Máxima: 10")</f>
        <v>#SLEEA - Segunda Licenciatura em Educação Especial - Segunda Licenciatura em Educação Especial - Lutecia Pereira Franca - Educação Especial - Nota Máxima: 10</v>
      </c>
    </row>
    <row r="4277">
      <c r="A4277" s="390" t="str">
        <f>IFERROR(__xludf.DUMMYFUNCTION("""COMPUTED_VALUE"""),"#SLEEA - Segunda Licenciatura em Educação Especial - Segunda Licenciatura em Educação Especial - Lutecia Pereira Franca - Educação Especial - Nota Máxima: 10")</f>
        <v>#SLEEA - Segunda Licenciatura em Educação Especial - Segunda Licenciatura em Educação Especial - Lutecia Pereira Franca - Educação Especial - Nota Máxima: 10</v>
      </c>
    </row>
    <row r="4278">
      <c r="A4278" s="390" t="str">
        <f>IFERROR(__xludf.DUMMYFUNCTION("""COMPUTED_VALUE"""),"#SLEEA - Segunda Licenciatura em Educação Especial - Segunda Licenciatura em Educação Especial - Lutecia Pereira Franca - Educação Especial, Inclusão Escolar e Adaptações Curriculares - Nota Máxima: 10")</f>
        <v>#SLEEA - Segunda Licenciatura em Educação Especial - Segunda Licenciatura em Educação Especial - Lutecia Pereira Franca - Educação Especial, Inclusão Escolar e Adaptações Curriculares - Nota Máxima: 10</v>
      </c>
    </row>
    <row r="4279">
      <c r="A4279" s="390" t="str">
        <f>IFERROR(__xludf.DUMMYFUNCTION("""COMPUTED_VALUE"""),"#SLEEA - Segunda Licenciatura em Educação Especial - Segunda Licenciatura em Educação Especial - Lutecia Pereira Franca - Educação Especial, Inclusão Escolar e Adaptações Curriculares - Nota Máxima: 10")</f>
        <v>#SLEEA - Segunda Licenciatura em Educação Especial - Segunda Licenciatura em Educação Especial - Lutecia Pereira Franca - Educação Especial, Inclusão Escolar e Adaptações Curriculares - Nota Máxima: 10</v>
      </c>
    </row>
    <row r="4280">
      <c r="A4280" s="390" t="str">
        <f>IFERROR(__xludf.DUMMYFUNCTION("""COMPUTED_VALUE"""),"#SLEEA - Segunda Licenciatura em Educação Especial - Segunda Licenciatura em Educação Especial - Lutecia Pereira Franca - Fisiologia Humana - Nota Máxima: 10")</f>
        <v>#SLEEA - Segunda Licenciatura em Educação Especial - Segunda Licenciatura em Educação Especial - Lutecia Pereira Franca - Fisiologia Humana - Nota Máxima: 10</v>
      </c>
    </row>
    <row r="4281">
      <c r="A4281" s="390" t="str">
        <f>IFERROR(__xludf.DUMMYFUNCTION("""COMPUTED_VALUE"""),"#SLEEA - Segunda Licenciatura em Educação Especial - Segunda Licenciatura em Educação Especial - Lutecia Pereira Franca - Fisiologia Humana - Nota Máxima: 8")</f>
        <v>#SLEEA - Segunda Licenciatura em Educação Especial - Segunda Licenciatura em Educação Especial - Lutecia Pereira Franca - Fisiologia Humana - Nota Máxima: 8</v>
      </c>
    </row>
    <row r="4282">
      <c r="A4282" s="390" t="str">
        <f>IFERROR(__xludf.DUMMYFUNCTION("""COMPUTED_VALUE"""),"#SLEEA - Segunda Licenciatura em Educação Especial - Segunda Licenciatura em Educação Especial - Lutecia Pereira Franca - Jogos e Recreação - Nota Máxima: 10")</f>
        <v>#SLEEA - Segunda Licenciatura em Educação Especial - Segunda Licenciatura em Educação Especial - Lutecia Pereira Franca - Jogos e Recreação - Nota Máxima: 10</v>
      </c>
    </row>
    <row r="4283">
      <c r="A4283" s="390" t="str">
        <f>IFERROR(__xludf.DUMMYFUNCTION("""COMPUTED_VALUE"""),"#SLEEA - Segunda Licenciatura em Educação Especial - Segunda Licenciatura em Educação Especial - Lutecia Pereira Franca - Jogos e Recreação - Nota Máxima: 10")</f>
        <v>#SLEEA - Segunda Licenciatura em Educação Especial - Segunda Licenciatura em Educação Especial - Lutecia Pereira Franca - Jogos e Recreação - Nota Máxima: 10</v>
      </c>
    </row>
    <row r="4284">
      <c r="A4284" s="390" t="str">
        <f>IFERROR(__xludf.DUMMYFUNCTION("""COMPUTED_VALUE"""),"#SLEEA - Segunda Licenciatura em Educação Especial - Segunda Licenciatura em Educação Especial - Lutecia Pereira Franca - Legislação e Políticas para Educação Inclusiva e Especial - Nota Máxima: 10")</f>
        <v>#SLEEA - Segunda Licenciatura em Educação Especial - Segunda Licenciatura em Educação Especial - Lutecia Pereira Franca - Legislação e Políticas para Educação Inclusiva e Especial - Nota Máxima: 10</v>
      </c>
    </row>
    <row r="4285">
      <c r="A4285" s="390" t="str">
        <f>IFERROR(__xludf.DUMMYFUNCTION("""COMPUTED_VALUE"""),"#SLEEA - Segunda Licenciatura em Educação Especial - Segunda Licenciatura em Educação Especial - Lutecia Pereira Franca - Legislação e Políticas para Educação Inclusiva e Especial - Nota Máxima: 10")</f>
        <v>#SLEEA - Segunda Licenciatura em Educação Especial - Segunda Licenciatura em Educação Especial - Lutecia Pereira Franca - Legislação e Políticas para Educação Inclusiva e Especial - Nota Máxima: 10</v>
      </c>
    </row>
    <row r="4286">
      <c r="A4286" s="390" t="str">
        <f>IFERROR(__xludf.DUMMYFUNCTION("""COMPUTED_VALUE"""),"#SLEEA - Segunda Licenciatura em Educação Especial - Segunda Licenciatura em Educação Especial - Lutecia Pereira Franca - Legislação Educacional/a - Nota Máxima: 10")</f>
        <v>#SLEEA - Segunda Licenciatura em Educação Especial - Segunda Licenciatura em Educação Especial - Lutecia Pereira Franca - Legislação Educacional/a - Nota Máxima: 10</v>
      </c>
    </row>
    <row r="4287">
      <c r="A4287" s="390" t="str">
        <f>IFERROR(__xludf.DUMMYFUNCTION("""COMPUTED_VALUE"""),"#SLEEA - Segunda Licenciatura em Educação Especial - Segunda Licenciatura em Educação Especial - Lutecia Pereira Franca - Legislação Educacional/a - Nota Máxima: 10")</f>
        <v>#SLEEA - Segunda Licenciatura em Educação Especial - Segunda Licenciatura em Educação Especial - Lutecia Pereira Franca - Legislação Educacional/a - Nota Máxima: 10</v>
      </c>
    </row>
    <row r="4288">
      <c r="A4288" s="390" t="str">
        <f>IFERROR(__xludf.DUMMYFUNCTION("""COMPUTED_VALUE"""),"#SLEEA - Segunda Licenciatura em Educação Especial - Segunda Licenciatura em Educação Especial - Lutecia Pereira Franca - Planejamento, Gestão Educacional e Currículo/a - Nota Máxima: 10")</f>
        <v>#SLEEA - Segunda Licenciatura em Educação Especial - Segunda Licenciatura em Educação Especial - Lutecia Pereira Franca - Planejamento, Gestão Educacional e Currículo/a - Nota Máxima: 10</v>
      </c>
    </row>
    <row r="4289">
      <c r="A4289" s="390" t="str">
        <f>IFERROR(__xludf.DUMMYFUNCTION("""COMPUTED_VALUE"""),"#SLEEA - Segunda Licenciatura em Educação Especial - Segunda Licenciatura em Educação Especial - Lutecia Pereira Franca - Planejamento, Gestão Educacional e Currículo/a - Nota Máxima: 10")</f>
        <v>#SLEEA - Segunda Licenciatura em Educação Especial - Segunda Licenciatura em Educação Especial - Lutecia Pereira Franca - Planejamento, Gestão Educacional e Currículo/a - Nota Máxima: 10</v>
      </c>
    </row>
    <row r="4290">
      <c r="A4290" s="390" t="str">
        <f>IFERROR(__xludf.DUMMYFUNCTION("""COMPUTED_VALUE"""),"#SLEEA - Segunda Licenciatura em Educação Especial - Segunda Licenciatura em Educação Especial - Lutecia Pereira Franca - Práticas Pedagógicas - 400 Horas - Nota Máxima: 4")</f>
        <v>#SLEEA - Segunda Licenciatura em Educação Especial - Segunda Licenciatura em Educação Especial - Lutecia Pereira Franca - Práticas Pedagógicas - 400 Horas - Nota Máxima: 4</v>
      </c>
    </row>
    <row r="4291">
      <c r="A4291" s="390" t="str">
        <f>IFERROR(__xludf.DUMMYFUNCTION("""COMPUTED_VALUE"""),"#SLEEA - Segunda Licenciatura em Educação Especial - Segunda Licenciatura em Educação Especial - Lutecia Pereira Franca - Práticas Pedagógicas - 400 Horas - Nota Máxima: 4")</f>
        <v>#SLEEA - Segunda Licenciatura em Educação Especial - Segunda Licenciatura em Educação Especial - Lutecia Pereira Franca - Práticas Pedagógicas - 400 Horas - Nota Máxima: 4</v>
      </c>
    </row>
    <row r="4292">
      <c r="A4292" s="390" t="str">
        <f>IFERROR(__xludf.DUMMYFUNCTION("""COMPUTED_VALUE"""),"#SLEEA - Segunda Licenciatura em Educação Especial - Segunda Licenciatura em Educação Especial - Lutecia Pereira Franca - Psicologia da Educação/a - Nota Máxima: 8")</f>
        <v>#SLEEA - Segunda Licenciatura em Educação Especial - Segunda Licenciatura em Educação Especial - Lutecia Pereira Franca - Psicologia da Educação/a - Nota Máxima: 8</v>
      </c>
    </row>
    <row r="4293">
      <c r="A4293" s="390" t="str">
        <f>IFERROR(__xludf.DUMMYFUNCTION("""COMPUTED_VALUE"""),"#SLEEA - Segunda Licenciatura em Educação Especial - Segunda Licenciatura em Educação Especial - Lutecia Pereira Franca - Psicologia da Educação/a - Nota Máxima: 10")</f>
        <v>#SLEEA - Segunda Licenciatura em Educação Especial - Segunda Licenciatura em Educação Especial - Lutecia Pereira Franca - Psicologia da Educação/a - Nota Máxima: 10</v>
      </c>
    </row>
    <row r="4294">
      <c r="A4294" s="390" t="str">
        <f>IFERROR(__xludf.DUMMYFUNCTION("""COMPUTED_VALUE"""),"#SLEEA - Segunda Licenciatura em Educação Especial - Segunda Licenciatura em Educação Especial - Marilene Alves Guimarães - Atuação Docente na Educação Inclusiva - Nota Máxima: 9")</f>
        <v>#SLEEA - Segunda Licenciatura em Educação Especial - Segunda Licenciatura em Educação Especial - Marilene Alves Guimarães - Atuação Docente na Educação Inclusiva - Nota Máxima: 9</v>
      </c>
    </row>
    <row r="4295">
      <c r="A4295" s="390" t="str">
        <f>IFERROR(__xludf.DUMMYFUNCTION("""COMPUTED_VALUE"""),"#SLEEA - Segunda Licenciatura em Educação Especial - Segunda Licenciatura em Educação Especial - Marilene Alves Guimarães - Atuação Docente na Educação Inclusiva - Nota Máxima: 9")</f>
        <v>#SLEEA - Segunda Licenciatura em Educação Especial - Segunda Licenciatura em Educação Especial - Marilene Alves Guimarães - Atuação Docente na Educação Inclusiva - Nota Máxima: 9</v>
      </c>
    </row>
    <row r="4296">
      <c r="A4296" s="390" t="str">
        <f>IFERROR(__xludf.DUMMYFUNCTION("""COMPUTED_VALUE"""),"#SLEEA - Segunda Licenciatura em Educação Especial - Segunda Licenciatura em Educação Especial - Marilene Alves Guimarães - Cultura e Diversidade - Nota Máxima: 9")</f>
        <v>#SLEEA - Segunda Licenciatura em Educação Especial - Segunda Licenciatura em Educação Especial - Marilene Alves Guimarães - Cultura e Diversidade - Nota Máxima: 9</v>
      </c>
    </row>
    <row r="4297">
      <c r="A4297" s="390" t="str">
        <f>IFERROR(__xludf.DUMMYFUNCTION("""COMPUTED_VALUE"""),"#SLEEA - Segunda Licenciatura em Educação Especial - Segunda Licenciatura em Educação Especial - Marilene Alves Guimarães - Cultura e Diversidade - Nota Máxima: 5")</f>
        <v>#SLEEA - Segunda Licenciatura em Educação Especial - Segunda Licenciatura em Educação Especial - Marilene Alves Guimarães - Cultura e Diversidade - Nota Máxima: 5</v>
      </c>
    </row>
    <row r="4298">
      <c r="A4298" s="390" t="str">
        <f>IFERROR(__xludf.DUMMYFUNCTION("""COMPUTED_VALUE"""),"#SLEEA - Segunda Licenciatura em Educação Especial - Segunda Licenciatura em Educação Especial - Marilene Alves Guimarães - Deficiência Auditiva e Libras/a - Nota Máxima: 8")</f>
        <v>#SLEEA - Segunda Licenciatura em Educação Especial - Segunda Licenciatura em Educação Especial - Marilene Alves Guimarães - Deficiência Auditiva e Libras/a - Nota Máxima: 8</v>
      </c>
    </row>
    <row r="4299">
      <c r="A4299" s="390" t="str">
        <f>IFERROR(__xludf.DUMMYFUNCTION("""COMPUTED_VALUE"""),"#SLEEA - Segunda Licenciatura em Educação Especial - Segunda Licenciatura em Educação Especial - Marilene Alves Guimarães - Deficiência Auditiva e Libras/a - Nota Máxima: 7")</f>
        <v>#SLEEA - Segunda Licenciatura em Educação Especial - Segunda Licenciatura em Educação Especial - Marilene Alves Guimarães - Deficiência Auditiva e Libras/a - Nota Máxima: 7</v>
      </c>
    </row>
    <row r="4300">
      <c r="A4300" s="390" t="str">
        <f>IFERROR(__xludf.DUMMYFUNCTION("""COMPUTED_VALUE"""),"#SLEEA - Segunda Licenciatura em Educação Especial - Segunda Licenciatura em Educação Especial - Marilene Alves Guimarães - Educação e as Tic's - Nota Máxima: 10")</f>
        <v>#SLEEA - Segunda Licenciatura em Educação Especial - Segunda Licenciatura em Educação Especial - Marilene Alves Guimarães - Educação e as Tic's - Nota Máxima: 10</v>
      </c>
    </row>
    <row r="4301">
      <c r="A4301" s="390" t="str">
        <f>IFERROR(__xludf.DUMMYFUNCTION("""COMPUTED_VALUE"""),"#SLEEA - Segunda Licenciatura em Educação Especial - Segunda Licenciatura em Educação Especial - Marilene Alves Guimarães - Educação e as Tic's - Nota Máxima: 3")</f>
        <v>#SLEEA - Segunda Licenciatura em Educação Especial - Segunda Licenciatura em Educação Especial - Marilene Alves Guimarães - Educação e as Tic's - Nota Máxima: 3</v>
      </c>
    </row>
    <row r="4302">
      <c r="A4302" s="390" t="str">
        <f>IFERROR(__xludf.DUMMYFUNCTION("""COMPUTED_VALUE"""),"#SLEEA - Segunda Licenciatura em Educação Especial - Segunda Licenciatura em Educação Especial - Marilene Alves Guimarães - Educação em Direitos Humanos/a - Nota Máxima: 9")</f>
        <v>#SLEEA - Segunda Licenciatura em Educação Especial - Segunda Licenciatura em Educação Especial - Marilene Alves Guimarães - Educação em Direitos Humanos/a - Nota Máxima: 9</v>
      </c>
    </row>
    <row r="4303">
      <c r="A4303" s="390" t="str">
        <f>IFERROR(__xludf.DUMMYFUNCTION("""COMPUTED_VALUE"""),"#SLEEA - Segunda Licenciatura em Educação Especial - Segunda Licenciatura em Educação Especial - Marilene Alves Guimarães - Educação em Direitos Humanos/a - Nota Máxima: 9")</f>
        <v>#SLEEA - Segunda Licenciatura em Educação Especial - Segunda Licenciatura em Educação Especial - Marilene Alves Guimarães - Educação em Direitos Humanos/a - Nota Máxima: 9</v>
      </c>
    </row>
    <row r="4304">
      <c r="A4304" s="390" t="str">
        <f>IFERROR(__xludf.DUMMYFUNCTION("""COMPUTED_VALUE"""),"#SLEEA - Segunda Licenciatura em Educação Especial - Segunda Licenciatura em Educação Especial - Marilene Alves Guimarães - Educação Especial - Nota Máxima: 10")</f>
        <v>#SLEEA - Segunda Licenciatura em Educação Especial - Segunda Licenciatura em Educação Especial - Marilene Alves Guimarães - Educação Especial - Nota Máxima: 10</v>
      </c>
    </row>
    <row r="4305">
      <c r="A4305" s="390" t="str">
        <f>IFERROR(__xludf.DUMMYFUNCTION("""COMPUTED_VALUE"""),"#SLEEA - Segunda Licenciatura em Educação Especial - Segunda Licenciatura em Educação Especial - Marilene Alves Guimarães - Educação Especial - Nota Máxima: 9")</f>
        <v>#SLEEA - Segunda Licenciatura em Educação Especial - Segunda Licenciatura em Educação Especial - Marilene Alves Guimarães - Educação Especial - Nota Máxima: 9</v>
      </c>
    </row>
    <row r="4306">
      <c r="A4306" s="390" t="str">
        <f>IFERROR(__xludf.DUMMYFUNCTION("""COMPUTED_VALUE"""),"#SLEEA - Segunda Licenciatura em Educação Especial - Segunda Licenciatura em Educação Especial - Marilene Alves Guimarães - Educação Especial, Inclusão Escolar e Adaptações Curriculares - Nota Máxima: 8")</f>
        <v>#SLEEA - Segunda Licenciatura em Educação Especial - Segunda Licenciatura em Educação Especial - Marilene Alves Guimarães - Educação Especial, Inclusão Escolar e Adaptações Curriculares - Nota Máxima: 8</v>
      </c>
    </row>
    <row r="4307">
      <c r="A4307" s="390" t="str">
        <f>IFERROR(__xludf.DUMMYFUNCTION("""COMPUTED_VALUE"""),"#SLEEA - Segunda Licenciatura em Educação Especial - Segunda Licenciatura em Educação Especial - Marilene Alves Guimarães - Educação Especial, Inclusão Escolar e Adaptações Curriculares - Nota Máxima: 7")</f>
        <v>#SLEEA - Segunda Licenciatura em Educação Especial - Segunda Licenciatura em Educação Especial - Marilene Alves Guimarães - Educação Especial, Inclusão Escolar e Adaptações Curriculares - Nota Máxima: 7</v>
      </c>
    </row>
    <row r="4308">
      <c r="A4308" s="390" t="str">
        <f>IFERROR(__xludf.DUMMYFUNCTION("""COMPUTED_VALUE"""),"#SLEEA - Segunda Licenciatura em Educação Especial - Segunda Licenciatura em Educação Especial - Marilene Alves Guimarães - Fisiologia Humana - Nota Máxima: 10")</f>
        <v>#SLEEA - Segunda Licenciatura em Educação Especial - Segunda Licenciatura em Educação Especial - Marilene Alves Guimarães - Fisiologia Humana - Nota Máxima: 10</v>
      </c>
    </row>
    <row r="4309">
      <c r="A4309" s="390" t="str">
        <f>IFERROR(__xludf.DUMMYFUNCTION("""COMPUTED_VALUE"""),"#SLEEA - Segunda Licenciatura em Educação Especial - Segunda Licenciatura em Educação Especial - Marilene Alves Guimarães - Fisiologia Humana - Nota Máxima: 6")</f>
        <v>#SLEEA - Segunda Licenciatura em Educação Especial - Segunda Licenciatura em Educação Especial - Marilene Alves Guimarães - Fisiologia Humana - Nota Máxima: 6</v>
      </c>
    </row>
    <row r="4310">
      <c r="A4310" s="390" t="str">
        <f>IFERROR(__xludf.DUMMYFUNCTION("""COMPUTED_VALUE"""),"#SLEEA - Segunda Licenciatura em Educação Especial - Segunda Licenciatura em Educação Especial - Marilene Alves Guimarães - Jogos e Recreação - Nota Máxima: 10")</f>
        <v>#SLEEA - Segunda Licenciatura em Educação Especial - Segunda Licenciatura em Educação Especial - Marilene Alves Guimarães - Jogos e Recreação - Nota Máxima: 10</v>
      </c>
    </row>
    <row r="4311">
      <c r="A4311" s="390" t="str">
        <f>IFERROR(__xludf.DUMMYFUNCTION("""COMPUTED_VALUE"""),"#SLEEA - Segunda Licenciatura em Educação Especial - Segunda Licenciatura em Educação Especial - Marilene Alves Guimarães - Jogos e Recreação - Nota Máxima: 6")</f>
        <v>#SLEEA - Segunda Licenciatura em Educação Especial - Segunda Licenciatura em Educação Especial - Marilene Alves Guimarães - Jogos e Recreação - Nota Máxima: 6</v>
      </c>
    </row>
    <row r="4312">
      <c r="A4312" s="390" t="str">
        <f>IFERROR(__xludf.DUMMYFUNCTION("""COMPUTED_VALUE"""),"#SLEEA - Segunda Licenciatura em Educação Especial - Segunda Licenciatura em Educação Especial - Marilene Alves Guimarães - Legislação e Políticas para Educação Inclusiva e Especial - Nota Máxima: 9")</f>
        <v>#SLEEA - Segunda Licenciatura em Educação Especial - Segunda Licenciatura em Educação Especial - Marilene Alves Guimarães - Legislação e Políticas para Educação Inclusiva e Especial - Nota Máxima: 9</v>
      </c>
    </row>
    <row r="4313">
      <c r="A4313" s="390" t="str">
        <f>IFERROR(__xludf.DUMMYFUNCTION("""COMPUTED_VALUE"""),"#SLEEA - Segunda Licenciatura em Educação Especial - Segunda Licenciatura em Educação Especial - Marilene Alves Guimarães - Legislação e Políticas para Educação Inclusiva e Especial - Nota Máxima: 7")</f>
        <v>#SLEEA - Segunda Licenciatura em Educação Especial - Segunda Licenciatura em Educação Especial - Marilene Alves Guimarães - Legislação e Políticas para Educação Inclusiva e Especial - Nota Máxima: 7</v>
      </c>
    </row>
    <row r="4314">
      <c r="A4314" s="390" t="str">
        <f>IFERROR(__xludf.DUMMYFUNCTION("""COMPUTED_VALUE"""),"#SLEEA - Segunda Licenciatura em Educação Especial - Segunda Licenciatura em Educação Especial - Marilene Alves Guimarães - Legislação Educacional/a - Nota Máxima: 10")</f>
        <v>#SLEEA - Segunda Licenciatura em Educação Especial - Segunda Licenciatura em Educação Especial - Marilene Alves Guimarães - Legislação Educacional/a - Nota Máxima: 10</v>
      </c>
    </row>
    <row r="4315">
      <c r="A4315" s="390" t="str">
        <f>IFERROR(__xludf.DUMMYFUNCTION("""COMPUTED_VALUE"""),"#SLEEA - Segunda Licenciatura em Educação Especial - Segunda Licenciatura em Educação Especial - Marilene Alves Guimarães - Legislação Educacional/a - Nota Máxima: 5")</f>
        <v>#SLEEA - Segunda Licenciatura em Educação Especial - Segunda Licenciatura em Educação Especial - Marilene Alves Guimarães - Legislação Educacional/a - Nota Máxima: 5</v>
      </c>
    </row>
    <row r="4316">
      <c r="A4316" s="390" t="str">
        <f>IFERROR(__xludf.DUMMYFUNCTION("""COMPUTED_VALUE"""),"#SLEEA - Segunda Licenciatura em Educação Especial - Segunda Licenciatura em Educação Especial - Marilene Alves Guimarães - Planejamento, Gestão Educacional e Currículo/a - Nota Máxima: 10")</f>
        <v>#SLEEA - Segunda Licenciatura em Educação Especial - Segunda Licenciatura em Educação Especial - Marilene Alves Guimarães - Planejamento, Gestão Educacional e Currículo/a - Nota Máxima: 10</v>
      </c>
    </row>
    <row r="4317">
      <c r="A4317" s="390" t="str">
        <f>IFERROR(__xludf.DUMMYFUNCTION("""COMPUTED_VALUE"""),"#SLEEA - Segunda Licenciatura em Educação Especial - Segunda Licenciatura em Educação Especial - Marilene Alves Guimarães - Planejamento, Gestão Educacional e Currículo/a - Nota Máxima: 10")</f>
        <v>#SLEEA - Segunda Licenciatura em Educação Especial - Segunda Licenciatura em Educação Especial - Marilene Alves Guimarães - Planejamento, Gestão Educacional e Currículo/a - Nota Máxima: 10</v>
      </c>
    </row>
    <row r="4318">
      <c r="A4318" s="390" t="str">
        <f>IFERROR(__xludf.DUMMYFUNCTION("""COMPUTED_VALUE"""),"#SLEEA - Segunda Licenciatura em Educação Especial - Segunda Licenciatura em Educação Especial - Marilene Alves Guimarães - Práticas Pedagógicas - 400 Horas - Nota Máxima: 4")</f>
        <v>#SLEEA - Segunda Licenciatura em Educação Especial - Segunda Licenciatura em Educação Especial - Marilene Alves Guimarães - Práticas Pedagógicas - 400 Horas - Nota Máxima: 4</v>
      </c>
    </row>
    <row r="4319">
      <c r="A4319" s="390" t="str">
        <f>IFERROR(__xludf.DUMMYFUNCTION("""COMPUTED_VALUE"""),"#SLEEA - Segunda Licenciatura em Educação Especial - Segunda Licenciatura em Educação Especial - Marilene Alves Guimarães - Práticas Pedagógicas - 400 Horas - Nota Máxima: 1")</f>
        <v>#SLEEA - Segunda Licenciatura em Educação Especial - Segunda Licenciatura em Educação Especial - Marilene Alves Guimarães - Práticas Pedagógicas - 400 Horas - Nota Máxima: 1</v>
      </c>
    </row>
    <row r="4320">
      <c r="A4320" s="390" t="str">
        <f>IFERROR(__xludf.DUMMYFUNCTION("""COMPUTED_VALUE"""),"#SLEEA - Segunda Licenciatura em Educação Especial - Segunda Licenciatura em Educação Especial - Marilene Alves Guimarães - Psicologia da Educação/a - Nota Máxima: 10")</f>
        <v>#SLEEA - Segunda Licenciatura em Educação Especial - Segunda Licenciatura em Educação Especial - Marilene Alves Guimarães - Psicologia da Educação/a - Nota Máxima: 10</v>
      </c>
    </row>
    <row r="4321">
      <c r="A4321" s="390" t="str">
        <f>IFERROR(__xludf.DUMMYFUNCTION("""COMPUTED_VALUE"""),"#SLEEA - Segunda Licenciatura em Educação Especial - Segunda Licenciatura em Educação Especial - Marilene Alves Guimarães - Psicologia da Educação/a - Nota Máxima: 5")</f>
        <v>#SLEEA - Segunda Licenciatura em Educação Especial - Segunda Licenciatura em Educação Especial - Marilene Alves Guimarães - Psicologia da Educação/a - Nota Máxima: 5</v>
      </c>
    </row>
    <row r="4322">
      <c r="A4322" s="390" t="str">
        <f>IFERROR(__xludf.DUMMYFUNCTION("""COMPUTED_VALUE"""),"#SLEEA - Segunda Licenciatura em Educação Especial - Segunda Licenciatura em Educação Especial - José Joselio da Conceição da Silva - Atuação Docente na Educação Inclusiva - Nota Máxima: 10")</f>
        <v>#SLEEA - Segunda Licenciatura em Educação Especial - Segunda Licenciatura em Educação Especial - José Joselio da Conceição da Silva - Atuação Docente na Educação Inclusiva - Nota Máxima: 10</v>
      </c>
    </row>
    <row r="4323">
      <c r="A4323" s="390" t="str">
        <f>IFERROR(__xludf.DUMMYFUNCTION("""COMPUTED_VALUE"""),"#SLEEA - Segunda Licenciatura em Educação Especial - Segunda Licenciatura em Educação Especial - José Joselio da Conceição da Silva - Cultura e Diversidade - Nota Máxima: 10")</f>
        <v>#SLEEA - Segunda Licenciatura em Educação Especial - Segunda Licenciatura em Educação Especial - José Joselio da Conceição da Silva - Cultura e Diversidade - Nota Máxima: 10</v>
      </c>
    </row>
    <row r="4324">
      <c r="A4324" s="390" t="str">
        <f>IFERROR(__xludf.DUMMYFUNCTION("""COMPUTED_VALUE"""),"#SLEEA - Segunda Licenciatura em Educação Especial - Segunda Licenciatura em Educação Especial - José Joselio da Conceição da Silva - Deficiência Auditiva e Libras/a - Nota Máxima: 10")</f>
        <v>#SLEEA - Segunda Licenciatura em Educação Especial - Segunda Licenciatura em Educação Especial - José Joselio da Conceição da Silva - Deficiência Auditiva e Libras/a - Nota Máxima: 10</v>
      </c>
    </row>
    <row r="4325">
      <c r="A4325" s="390" t="str">
        <f>IFERROR(__xludf.DUMMYFUNCTION("""COMPUTED_VALUE"""),"#SLEEA - Segunda Licenciatura em Educação Especial - Segunda Licenciatura em Educação Especial - José Joselio da Conceição da Silva - Educação e as Tic's - Nota Máxima: 10")</f>
        <v>#SLEEA - Segunda Licenciatura em Educação Especial - Segunda Licenciatura em Educação Especial - José Joselio da Conceição da Silva - Educação e as Tic's - Nota Máxima: 10</v>
      </c>
    </row>
    <row r="4326">
      <c r="A4326" s="390" t="str">
        <f>IFERROR(__xludf.DUMMYFUNCTION("""COMPUTED_VALUE"""),"#SLEEA - Segunda Licenciatura em Educação Especial - Segunda Licenciatura em Educação Especial - José Joselio da Conceição da Silva - Educação em Direitos Humanos/a - Nota Máxima: 10")</f>
        <v>#SLEEA - Segunda Licenciatura em Educação Especial - Segunda Licenciatura em Educação Especial - José Joselio da Conceição da Silva - Educação em Direitos Humanos/a - Nota Máxima: 10</v>
      </c>
    </row>
    <row r="4327">
      <c r="A4327" s="390" t="str">
        <f>IFERROR(__xludf.DUMMYFUNCTION("""COMPUTED_VALUE"""),"#SLEEA - Segunda Licenciatura em Educação Especial - Segunda Licenciatura em Educação Especial - José Joselio da Conceição da Silva - Educação Especial - Nota Máxima: 8")</f>
        <v>#SLEEA - Segunda Licenciatura em Educação Especial - Segunda Licenciatura em Educação Especial - José Joselio da Conceição da Silva - Educação Especial - Nota Máxima: 8</v>
      </c>
    </row>
    <row r="4328">
      <c r="A4328" s="390" t="str">
        <f>IFERROR(__xludf.DUMMYFUNCTION("""COMPUTED_VALUE"""),"#SLEEA - Segunda Licenciatura em Educação Especial - Segunda Licenciatura em Educação Especial - José Joselio da Conceição da Silva - Educação Especial, Inclusão Escolar e Adaptações Curriculares - Nota Máxima: 10")</f>
        <v>#SLEEA - Segunda Licenciatura em Educação Especial - Segunda Licenciatura em Educação Especial - José Joselio da Conceição da Silva - Educação Especial, Inclusão Escolar e Adaptações Curriculares - Nota Máxima: 10</v>
      </c>
    </row>
    <row r="4329">
      <c r="A4329" s="390" t="str">
        <f>IFERROR(__xludf.DUMMYFUNCTION("""COMPUTED_VALUE"""),"#SLEEA - Segunda Licenciatura em Educação Especial - Segunda Licenciatura em Educação Especial - José Joselio da Conceição da Silva - Fisiologia Humana - Nota Máxima: 10")</f>
        <v>#SLEEA - Segunda Licenciatura em Educação Especial - Segunda Licenciatura em Educação Especial - José Joselio da Conceição da Silva - Fisiologia Humana - Nota Máxima: 10</v>
      </c>
    </row>
    <row r="4330">
      <c r="A4330" s="390" t="str">
        <f>IFERROR(__xludf.DUMMYFUNCTION("""COMPUTED_VALUE"""),"#SLEEA - Segunda Licenciatura em Educação Especial - Segunda Licenciatura em Educação Especial - José Joselio da Conceição da Silva - Jogos e Recreação - Nota Máxima: 10")</f>
        <v>#SLEEA - Segunda Licenciatura em Educação Especial - Segunda Licenciatura em Educação Especial - José Joselio da Conceição da Silva - Jogos e Recreação - Nota Máxima: 10</v>
      </c>
    </row>
    <row r="4331">
      <c r="A4331" s="390" t="str">
        <f>IFERROR(__xludf.DUMMYFUNCTION("""COMPUTED_VALUE"""),"#SLEEA - Segunda Licenciatura em Educação Especial - Segunda Licenciatura em Educação Especial - José Joselio da Conceição da Silva - Legislação e Políticas para Educação Inclusiva e Especial - Nota Máxima: 10")</f>
        <v>#SLEEA - Segunda Licenciatura em Educação Especial - Segunda Licenciatura em Educação Especial - José Joselio da Conceição da Silva - Legislação e Políticas para Educação Inclusiva e Especial - Nota Máxima: 10</v>
      </c>
    </row>
    <row r="4332">
      <c r="A4332" s="390" t="str">
        <f>IFERROR(__xludf.DUMMYFUNCTION("""COMPUTED_VALUE"""),"#SLEEA - Segunda Licenciatura em Educação Especial - Segunda Licenciatura em Educação Especial - José Joselio da Conceição da Silva - Legislação Educacional/a - Nota Máxima: 9")</f>
        <v>#SLEEA - Segunda Licenciatura em Educação Especial - Segunda Licenciatura em Educação Especial - José Joselio da Conceição da Silva - Legislação Educacional/a - Nota Máxima: 9</v>
      </c>
    </row>
    <row r="4333">
      <c r="A4333" s="390" t="str">
        <f>IFERROR(__xludf.DUMMYFUNCTION("""COMPUTED_VALUE"""),"#SLEEA - Segunda Licenciatura em Educação Especial - Segunda Licenciatura em Educação Especial - José Joselio da Conceição da Silva - Planejamento, Gestão Educacional e Currículo/a - Nota Máxima: 10")</f>
        <v>#SLEEA - Segunda Licenciatura em Educação Especial - Segunda Licenciatura em Educação Especial - José Joselio da Conceição da Silva - Planejamento, Gestão Educacional e Currículo/a - Nota Máxima: 10</v>
      </c>
    </row>
    <row r="4334">
      <c r="A4334" s="390" t="str">
        <f>IFERROR(__xludf.DUMMYFUNCTION("""COMPUTED_VALUE"""),"#SLEEA - Segunda Licenciatura em Educação Especial - Segunda Licenciatura em Educação Especial - José Joselio da Conceição da Silva - Práticas Pedagógicas - 400 Horas - Nota Máxima: 4")</f>
        <v>#SLEEA - Segunda Licenciatura em Educação Especial - Segunda Licenciatura em Educação Especial - José Joselio da Conceição da Silva - Práticas Pedagógicas - 400 Horas - Nota Máxima: 4</v>
      </c>
    </row>
    <row r="4335">
      <c r="A4335" s="390" t="str">
        <f>IFERROR(__xludf.DUMMYFUNCTION("""COMPUTED_VALUE"""),"#SLEEA - Segunda Licenciatura em Educação Especial - Segunda Licenciatura em Educação Especial - José Joselio da Conceição da Silva - Práticas Pedagógicas - 400 Horas - Nota Máxima: 1")</f>
        <v>#SLEEA - Segunda Licenciatura em Educação Especial - Segunda Licenciatura em Educação Especial - José Joselio da Conceição da Silva - Práticas Pedagógicas - 400 Horas - Nota Máxima: 1</v>
      </c>
    </row>
    <row r="4336">
      <c r="A4336" s="390" t="str">
        <f>IFERROR(__xludf.DUMMYFUNCTION("""COMPUTED_VALUE"""),"#SLEEA - Segunda Licenciatura em Educação Especial - Segunda Licenciatura em Educação Especial - José Joselio da Conceição da Silva - Psicologia da Educação/a - Nota Máxima: 10")</f>
        <v>#SLEEA - Segunda Licenciatura em Educação Especial - Segunda Licenciatura em Educação Especial - José Joselio da Conceição da Silva - Psicologia da Educação/a - Nota Máxima: 10</v>
      </c>
    </row>
    <row r="4337">
      <c r="A4337" s="390" t="str">
        <f>IFERROR(__xludf.DUMMYFUNCTION("""COMPUTED_VALUE"""),"#SLEEA - Segunda Licenciatura em Educação Especial - Segunda Licenciatura em Educação Especial - Adão do Carmo Muniz - Atuação Docente na Educação Inclusiva - Nota Máxima: 10")</f>
        <v>#SLEEA - Segunda Licenciatura em Educação Especial - Segunda Licenciatura em Educação Especial - Adão do Carmo Muniz - Atuação Docente na Educação Inclusiva - Nota Máxima: 10</v>
      </c>
    </row>
    <row r="4338">
      <c r="A4338" s="390" t="str">
        <f>IFERROR(__xludf.DUMMYFUNCTION("""COMPUTED_VALUE"""),"#SLEEA - Segunda Licenciatura em Educação Especial - Segunda Licenciatura em Educação Especial - Adão do Carmo Muniz - Atuação Docente na Educação Inclusiva - Nota Máxima: 9")</f>
        <v>#SLEEA - Segunda Licenciatura em Educação Especial - Segunda Licenciatura em Educação Especial - Adão do Carmo Muniz - Atuação Docente na Educação Inclusiva - Nota Máxima: 9</v>
      </c>
    </row>
    <row r="4339">
      <c r="A4339" s="390" t="str">
        <f>IFERROR(__xludf.DUMMYFUNCTION("""COMPUTED_VALUE"""),"#SLEEA - Segunda Licenciatura em Educação Especial - Segunda Licenciatura em Educação Especial - Adão do Carmo Muniz - Cultura e Diversidade - Nota Máxima: 10")</f>
        <v>#SLEEA - Segunda Licenciatura em Educação Especial - Segunda Licenciatura em Educação Especial - Adão do Carmo Muniz - Cultura e Diversidade - Nota Máxima: 10</v>
      </c>
    </row>
    <row r="4340">
      <c r="A4340" s="390" t="str">
        <f>IFERROR(__xludf.DUMMYFUNCTION("""COMPUTED_VALUE"""),"#SLEEA - Segunda Licenciatura em Educação Especial - Segunda Licenciatura em Educação Especial - Adão do Carmo Muniz - Cultura e Diversidade - Nota Máxima: 10")</f>
        <v>#SLEEA - Segunda Licenciatura em Educação Especial - Segunda Licenciatura em Educação Especial - Adão do Carmo Muniz - Cultura e Diversidade - Nota Máxima: 10</v>
      </c>
    </row>
    <row r="4341">
      <c r="A4341" s="390" t="str">
        <f>IFERROR(__xludf.DUMMYFUNCTION("""COMPUTED_VALUE"""),"#SLEEA - Segunda Licenciatura em Educação Especial - Segunda Licenciatura em Educação Especial - Adão do Carmo Muniz - Deficiência Auditiva e Libras/a - Nota Máxima: 10")</f>
        <v>#SLEEA - Segunda Licenciatura em Educação Especial - Segunda Licenciatura em Educação Especial - Adão do Carmo Muniz - Deficiência Auditiva e Libras/a - Nota Máxima: 10</v>
      </c>
    </row>
    <row r="4342">
      <c r="A4342" s="390" t="str">
        <f>IFERROR(__xludf.DUMMYFUNCTION("""COMPUTED_VALUE"""),"#SLEEA - Segunda Licenciatura em Educação Especial - Segunda Licenciatura em Educação Especial - Adão do Carmo Muniz - Deficiência Auditiva e Libras/a - Nota Máxima: 7")</f>
        <v>#SLEEA - Segunda Licenciatura em Educação Especial - Segunda Licenciatura em Educação Especial - Adão do Carmo Muniz - Deficiência Auditiva e Libras/a - Nota Máxima: 7</v>
      </c>
    </row>
    <row r="4343">
      <c r="A4343" s="390" t="str">
        <f>IFERROR(__xludf.DUMMYFUNCTION("""COMPUTED_VALUE"""),"#SLEEA - Segunda Licenciatura em Educação Especial - Segunda Licenciatura em Educação Especial - Adão do Carmo Muniz - Educação e as Tic's - Nota Máxima: 10")</f>
        <v>#SLEEA - Segunda Licenciatura em Educação Especial - Segunda Licenciatura em Educação Especial - Adão do Carmo Muniz - Educação e as Tic's - Nota Máxima: 10</v>
      </c>
    </row>
    <row r="4344">
      <c r="A4344" s="390" t="str">
        <f>IFERROR(__xludf.DUMMYFUNCTION("""COMPUTED_VALUE"""),"#SLEEA - Segunda Licenciatura em Educação Especial - Segunda Licenciatura em Educação Especial - Adão do Carmo Muniz - Educação e as Tic's - Nota Máxima: 10")</f>
        <v>#SLEEA - Segunda Licenciatura em Educação Especial - Segunda Licenciatura em Educação Especial - Adão do Carmo Muniz - Educação e as Tic's - Nota Máxima: 10</v>
      </c>
    </row>
    <row r="4345">
      <c r="A4345" s="390" t="str">
        <f>IFERROR(__xludf.DUMMYFUNCTION("""COMPUTED_VALUE"""),"#SLEEA - Segunda Licenciatura em Educação Especial - Segunda Licenciatura em Educação Especial - Adão do Carmo Muniz - Educação em Direitos Humanos/a - Nota Máxima: 10")</f>
        <v>#SLEEA - Segunda Licenciatura em Educação Especial - Segunda Licenciatura em Educação Especial - Adão do Carmo Muniz - Educação em Direitos Humanos/a - Nota Máxima: 10</v>
      </c>
    </row>
    <row r="4346">
      <c r="A4346" s="390" t="str">
        <f>IFERROR(__xludf.DUMMYFUNCTION("""COMPUTED_VALUE"""),"#SLEEA - Segunda Licenciatura em Educação Especial - Segunda Licenciatura em Educação Especial - Adão do Carmo Muniz - Educação em Direitos Humanos/a - Nota Máxima: 9")</f>
        <v>#SLEEA - Segunda Licenciatura em Educação Especial - Segunda Licenciatura em Educação Especial - Adão do Carmo Muniz - Educação em Direitos Humanos/a - Nota Máxima: 9</v>
      </c>
    </row>
    <row r="4347">
      <c r="A4347" s="390" t="str">
        <f>IFERROR(__xludf.DUMMYFUNCTION("""COMPUTED_VALUE"""),"#SLEEA - Segunda Licenciatura em Educação Especial - Segunda Licenciatura em Educação Especial - Adão do Carmo Muniz - Educação Especial - Nota Máxima: 10")</f>
        <v>#SLEEA - Segunda Licenciatura em Educação Especial - Segunda Licenciatura em Educação Especial - Adão do Carmo Muniz - Educação Especial - Nota Máxima: 10</v>
      </c>
    </row>
    <row r="4348">
      <c r="A4348" s="390" t="str">
        <f>IFERROR(__xludf.DUMMYFUNCTION("""COMPUTED_VALUE"""),"#SLEEA - Segunda Licenciatura em Educação Especial - Segunda Licenciatura em Educação Especial - Adão do Carmo Muniz - Educação Especial - Nota Máxima: 8")</f>
        <v>#SLEEA - Segunda Licenciatura em Educação Especial - Segunda Licenciatura em Educação Especial - Adão do Carmo Muniz - Educação Especial - Nota Máxima: 8</v>
      </c>
    </row>
    <row r="4349">
      <c r="A4349" s="390" t="str">
        <f>IFERROR(__xludf.DUMMYFUNCTION("""COMPUTED_VALUE"""),"#SLEEA - Segunda Licenciatura em Educação Especial - Segunda Licenciatura em Educação Especial - Adão do Carmo Muniz - Educação Especial, Inclusão Escolar e Adaptações Curriculares - Nota Máxima: 10")</f>
        <v>#SLEEA - Segunda Licenciatura em Educação Especial - Segunda Licenciatura em Educação Especial - Adão do Carmo Muniz - Educação Especial, Inclusão Escolar e Adaptações Curriculares - Nota Máxima: 10</v>
      </c>
    </row>
    <row r="4350">
      <c r="A4350" s="390" t="str">
        <f>IFERROR(__xludf.DUMMYFUNCTION("""COMPUTED_VALUE"""),"#SLEEA - Segunda Licenciatura em Educação Especial - Segunda Licenciatura em Educação Especial - Adão do Carmo Muniz - Educação Especial, Inclusão Escolar e Adaptações Curriculares - Nota Máxima: 5")</f>
        <v>#SLEEA - Segunda Licenciatura em Educação Especial - Segunda Licenciatura em Educação Especial - Adão do Carmo Muniz - Educação Especial, Inclusão Escolar e Adaptações Curriculares - Nota Máxima: 5</v>
      </c>
    </row>
    <row r="4351">
      <c r="A4351" s="390" t="str">
        <f>IFERROR(__xludf.DUMMYFUNCTION("""COMPUTED_VALUE"""),"#SLEEA - Segunda Licenciatura em Educação Especial - Segunda Licenciatura em Educação Especial - Adão do Carmo Muniz - Fisiologia Humana - Nota Máxima: 10")</f>
        <v>#SLEEA - Segunda Licenciatura em Educação Especial - Segunda Licenciatura em Educação Especial - Adão do Carmo Muniz - Fisiologia Humana - Nota Máxima: 10</v>
      </c>
    </row>
    <row r="4352">
      <c r="A4352" s="390" t="str">
        <f>IFERROR(__xludf.DUMMYFUNCTION("""COMPUTED_VALUE"""),"#SLEEA - Segunda Licenciatura em Educação Especial - Segunda Licenciatura em Educação Especial - Adão do Carmo Muniz - Fisiologia Humana - Nota Máxima: 7")</f>
        <v>#SLEEA - Segunda Licenciatura em Educação Especial - Segunda Licenciatura em Educação Especial - Adão do Carmo Muniz - Fisiologia Humana - Nota Máxima: 7</v>
      </c>
    </row>
    <row r="4353">
      <c r="A4353" s="390" t="str">
        <f>IFERROR(__xludf.DUMMYFUNCTION("""COMPUTED_VALUE"""),"#SLEEA - Segunda Licenciatura em Educação Especial - Segunda Licenciatura em Educação Especial - Adão do Carmo Muniz - Jogos e Recreação - Nota Máxima: 10")</f>
        <v>#SLEEA - Segunda Licenciatura em Educação Especial - Segunda Licenciatura em Educação Especial - Adão do Carmo Muniz - Jogos e Recreação - Nota Máxima: 10</v>
      </c>
    </row>
    <row r="4354">
      <c r="A4354" s="390" t="str">
        <f>IFERROR(__xludf.DUMMYFUNCTION("""COMPUTED_VALUE"""),"#SLEEA - Segunda Licenciatura em Educação Especial - Segunda Licenciatura em Educação Especial - Adão do Carmo Muniz - Jogos e Recreação - Nota Máxima: 8")</f>
        <v>#SLEEA - Segunda Licenciatura em Educação Especial - Segunda Licenciatura em Educação Especial - Adão do Carmo Muniz - Jogos e Recreação - Nota Máxima: 8</v>
      </c>
    </row>
    <row r="4355">
      <c r="A4355" s="390" t="str">
        <f>IFERROR(__xludf.DUMMYFUNCTION("""COMPUTED_VALUE"""),"#SLEEA - Segunda Licenciatura em Educação Especial - Segunda Licenciatura em Educação Especial - Adão do Carmo Muniz - Legislação e Políticas para Educação Inclusiva e Especial - Nota Máxima: 10")</f>
        <v>#SLEEA - Segunda Licenciatura em Educação Especial - Segunda Licenciatura em Educação Especial - Adão do Carmo Muniz - Legislação e Políticas para Educação Inclusiva e Especial - Nota Máxima: 10</v>
      </c>
    </row>
    <row r="4356">
      <c r="A4356" s="390" t="str">
        <f>IFERROR(__xludf.DUMMYFUNCTION("""COMPUTED_VALUE"""),"#SLEEA - Segunda Licenciatura em Educação Especial - Segunda Licenciatura em Educação Especial - Adão do Carmo Muniz - Legislação e Políticas para Educação Inclusiva e Especial - Nota Máxima: 10")</f>
        <v>#SLEEA - Segunda Licenciatura em Educação Especial - Segunda Licenciatura em Educação Especial - Adão do Carmo Muniz - Legislação e Políticas para Educação Inclusiva e Especial - Nota Máxima: 10</v>
      </c>
    </row>
    <row r="4357">
      <c r="A4357" s="390" t="str">
        <f>IFERROR(__xludf.DUMMYFUNCTION("""COMPUTED_VALUE"""),"#SLEEA - Segunda Licenciatura em Educação Especial - Segunda Licenciatura em Educação Especial - Adão do Carmo Muniz - Legislação Educacional/a - Nota Máxima: 10")</f>
        <v>#SLEEA - Segunda Licenciatura em Educação Especial - Segunda Licenciatura em Educação Especial - Adão do Carmo Muniz - Legislação Educacional/a - Nota Máxima: 10</v>
      </c>
    </row>
    <row r="4358">
      <c r="A4358" s="390" t="str">
        <f>IFERROR(__xludf.DUMMYFUNCTION("""COMPUTED_VALUE"""),"#SLEEA - Segunda Licenciatura em Educação Especial - Segunda Licenciatura em Educação Especial - Adão do Carmo Muniz - Legislação Educacional/a - Nota Máxima: 5")</f>
        <v>#SLEEA - Segunda Licenciatura em Educação Especial - Segunda Licenciatura em Educação Especial - Adão do Carmo Muniz - Legislação Educacional/a - Nota Máxima: 5</v>
      </c>
    </row>
    <row r="4359">
      <c r="A4359" s="390" t="str">
        <f>IFERROR(__xludf.DUMMYFUNCTION("""COMPUTED_VALUE"""),"#SLEEA - Segunda Licenciatura em Educação Especial - Segunda Licenciatura em Educação Especial - Adão do Carmo Muniz - Planejamento, Gestão Educacional e Currículo/a - Nota Máxima: 10")</f>
        <v>#SLEEA - Segunda Licenciatura em Educação Especial - Segunda Licenciatura em Educação Especial - Adão do Carmo Muniz - Planejamento, Gestão Educacional e Currículo/a - Nota Máxima: 10</v>
      </c>
    </row>
    <row r="4360">
      <c r="A4360" s="390" t="str">
        <f>IFERROR(__xludf.DUMMYFUNCTION("""COMPUTED_VALUE"""),"#SLEEA - Segunda Licenciatura em Educação Especial - Segunda Licenciatura em Educação Especial - Adão do Carmo Muniz - Planejamento, Gestão Educacional e Currículo/a - Nota Máxima: 8")</f>
        <v>#SLEEA - Segunda Licenciatura em Educação Especial - Segunda Licenciatura em Educação Especial - Adão do Carmo Muniz - Planejamento, Gestão Educacional e Currículo/a - Nota Máxima: 8</v>
      </c>
    </row>
    <row r="4361">
      <c r="A4361" s="390" t="str">
        <f>IFERROR(__xludf.DUMMYFUNCTION("""COMPUTED_VALUE"""),"#SLEEA - Segunda Licenciatura em Educação Especial - Segunda Licenciatura em Educação Especial - Adão do Carmo Muniz - Práticas Pedagógicas - 400 Horas - Nota Máxima: 4")</f>
        <v>#SLEEA - Segunda Licenciatura em Educação Especial - Segunda Licenciatura em Educação Especial - Adão do Carmo Muniz - Práticas Pedagógicas - 400 Horas - Nota Máxima: 4</v>
      </c>
    </row>
    <row r="4362">
      <c r="A4362" s="390" t="str">
        <f>IFERROR(__xludf.DUMMYFUNCTION("""COMPUTED_VALUE"""),"#SLEEA - Segunda Licenciatura em Educação Especial - Segunda Licenciatura em Educação Especial - Adão do Carmo Muniz - Práticas Pedagógicas - 400 Horas - Nota Máxima: 4")</f>
        <v>#SLEEA - Segunda Licenciatura em Educação Especial - Segunda Licenciatura em Educação Especial - Adão do Carmo Muniz - Práticas Pedagógicas - 400 Horas - Nota Máxima: 4</v>
      </c>
    </row>
    <row r="4363">
      <c r="A4363" s="390" t="str">
        <f>IFERROR(__xludf.DUMMYFUNCTION("""COMPUTED_VALUE"""),"#SLEEA - Segunda Licenciatura em Educação Especial - Segunda Licenciatura em Educação Especial - Adão do Carmo Muniz - Psicologia da Educação/a - Nota Máxima: 10")</f>
        <v>#SLEEA - Segunda Licenciatura em Educação Especial - Segunda Licenciatura em Educação Especial - Adão do Carmo Muniz - Psicologia da Educação/a - Nota Máxima: 10</v>
      </c>
    </row>
    <row r="4364">
      <c r="A4364" s="390" t="str">
        <f>IFERROR(__xludf.DUMMYFUNCTION("""COMPUTED_VALUE"""),"#SLEEA - Segunda Licenciatura em Educação Especial - Segunda Licenciatura em Educação Especial - Adão do Carmo Muniz - Psicologia da Educação/a - Nota Máxima: 8")</f>
        <v>#SLEEA - Segunda Licenciatura em Educação Especial - Segunda Licenciatura em Educação Especial - Adão do Carmo Muniz - Psicologia da Educação/a - Nota Máxima: 8</v>
      </c>
    </row>
    <row r="4365">
      <c r="A4365" s="390" t="str">
        <f>IFERROR(__xludf.DUMMYFUNCTION("""COMPUTED_VALUE"""),"#SLEEA - Segunda Licenciatura em Educação Especial - Segunda Licenciatura em Educação Especial - LEONICE APARECIDA DE FATIMA ALVES PEREIRA MOURAD - Atuação Docente na Educação Inclusiva - Nota Máxima: 9")</f>
        <v>#SLEEA - Segunda Licenciatura em Educação Especial - Segunda Licenciatura em Educação Especial - LEONICE APARECIDA DE FATIMA ALVES PEREIRA MOURAD - Atuação Docente na Educação Inclusiva - Nota Máxima: 9</v>
      </c>
    </row>
    <row r="4366">
      <c r="A4366" s="390" t="str">
        <f>IFERROR(__xludf.DUMMYFUNCTION("""COMPUTED_VALUE"""),"#SLEEA - Segunda Licenciatura em Educação Especial - Segunda Licenciatura em Educação Especial - LEONICE APARECIDA DE FATIMA ALVES PEREIRA MOURAD - Cultura e Diversidade - Nota Máxima: 10")</f>
        <v>#SLEEA - Segunda Licenciatura em Educação Especial - Segunda Licenciatura em Educação Especial - LEONICE APARECIDA DE FATIMA ALVES PEREIRA MOURAD - Cultura e Diversidade - Nota Máxima: 10</v>
      </c>
    </row>
    <row r="4367">
      <c r="A4367" s="390" t="str">
        <f>IFERROR(__xludf.DUMMYFUNCTION("""COMPUTED_VALUE"""),"#SLEEA - Segunda Licenciatura em Educação Especial - Segunda Licenciatura em Educação Especial - LEONICE APARECIDA DE FATIMA ALVES PEREIRA MOURAD - Deficiência Auditiva e Libras/a - Nota Máxima: 9")</f>
        <v>#SLEEA - Segunda Licenciatura em Educação Especial - Segunda Licenciatura em Educação Especial - LEONICE APARECIDA DE FATIMA ALVES PEREIRA MOURAD - Deficiência Auditiva e Libras/a - Nota Máxima: 9</v>
      </c>
    </row>
    <row r="4368">
      <c r="A4368" s="390" t="str">
        <f>IFERROR(__xludf.DUMMYFUNCTION("""COMPUTED_VALUE"""),"#SLEEA - Segunda Licenciatura em Educação Especial - Segunda Licenciatura em Educação Especial - LEONICE APARECIDA DE FATIMA ALVES PEREIRA MOURAD - Deficiência Auditiva e Libras/a - Nota Máxima: 10")</f>
        <v>#SLEEA - Segunda Licenciatura em Educação Especial - Segunda Licenciatura em Educação Especial - LEONICE APARECIDA DE FATIMA ALVES PEREIRA MOURAD - Deficiência Auditiva e Libras/a - Nota Máxima: 10</v>
      </c>
    </row>
    <row r="4369">
      <c r="A4369" s="390" t="str">
        <f>IFERROR(__xludf.DUMMYFUNCTION("""COMPUTED_VALUE"""),"#SLEEA - Segunda Licenciatura em Educação Especial - Segunda Licenciatura em Educação Especial - LEONICE APARECIDA DE FATIMA ALVES PEREIRA MOURAD - Educação e as Tic's - Nota Máxima: 9")</f>
        <v>#SLEEA - Segunda Licenciatura em Educação Especial - Segunda Licenciatura em Educação Especial - LEONICE APARECIDA DE FATIMA ALVES PEREIRA MOURAD - Educação e as Tic's - Nota Máxima: 9</v>
      </c>
    </row>
    <row r="4370">
      <c r="A4370" s="390" t="str">
        <f>IFERROR(__xludf.DUMMYFUNCTION("""COMPUTED_VALUE"""),"#SLEEA - Segunda Licenciatura em Educação Especial - Segunda Licenciatura em Educação Especial - LEONICE APARECIDA DE FATIMA ALVES PEREIRA MOURAD - Educação em Direitos Humanos/a - Nota Máxima: 9")</f>
        <v>#SLEEA - Segunda Licenciatura em Educação Especial - Segunda Licenciatura em Educação Especial - LEONICE APARECIDA DE FATIMA ALVES PEREIRA MOURAD - Educação em Direitos Humanos/a - Nota Máxima: 9</v>
      </c>
    </row>
    <row r="4371">
      <c r="A4371" s="390" t="str">
        <f>IFERROR(__xludf.DUMMYFUNCTION("""COMPUTED_VALUE"""),"#SLEEA - Segunda Licenciatura em Educação Especial - Segunda Licenciatura em Educação Especial - LEONICE APARECIDA DE FATIMA ALVES PEREIRA MOURAD - Educação Especial - Nota Máxima: 10")</f>
        <v>#SLEEA - Segunda Licenciatura em Educação Especial - Segunda Licenciatura em Educação Especial - LEONICE APARECIDA DE FATIMA ALVES PEREIRA MOURAD - Educação Especial - Nota Máxima: 10</v>
      </c>
    </row>
    <row r="4372">
      <c r="A4372" s="390" t="str">
        <f>IFERROR(__xludf.DUMMYFUNCTION("""COMPUTED_VALUE"""),"#SLEEA - Segunda Licenciatura em Educação Especial - Segunda Licenciatura em Educação Especial - LEONICE APARECIDA DE FATIMA ALVES PEREIRA MOURAD - Fisiologia Humana - Nota Máxima: 10")</f>
        <v>#SLEEA - Segunda Licenciatura em Educação Especial - Segunda Licenciatura em Educação Especial - LEONICE APARECIDA DE FATIMA ALVES PEREIRA MOURAD - Fisiologia Humana - Nota Máxima: 10</v>
      </c>
    </row>
    <row r="4373">
      <c r="A4373" s="390" t="str">
        <f>IFERROR(__xludf.DUMMYFUNCTION("""COMPUTED_VALUE"""),"#SLEEA - Segunda Licenciatura em Educação Especial - Segunda Licenciatura em Educação Especial - LEONICE APARECIDA DE FATIMA ALVES PEREIRA MOURAD - Jogos e Recreação - Nota Máxima: 10")</f>
        <v>#SLEEA - Segunda Licenciatura em Educação Especial - Segunda Licenciatura em Educação Especial - LEONICE APARECIDA DE FATIMA ALVES PEREIRA MOURAD - Jogos e Recreação - Nota Máxima: 10</v>
      </c>
    </row>
    <row r="4374">
      <c r="A4374" s="390" t="str">
        <f>IFERROR(__xludf.DUMMYFUNCTION("""COMPUTED_VALUE"""),"#SLEEA - Segunda Licenciatura em Educação Especial - Segunda Licenciatura em Educação Especial - LEONICE APARECIDA DE FATIMA ALVES PEREIRA MOURAD - Legislação e Políticas para Educação Inclusiva e Especial - Nota Máxima: 9")</f>
        <v>#SLEEA - Segunda Licenciatura em Educação Especial - Segunda Licenciatura em Educação Especial - LEONICE APARECIDA DE FATIMA ALVES PEREIRA MOURAD - Legislação e Políticas para Educação Inclusiva e Especial - Nota Máxima: 9</v>
      </c>
    </row>
    <row r="4375">
      <c r="A4375" s="390" t="str">
        <f>IFERROR(__xludf.DUMMYFUNCTION("""COMPUTED_VALUE"""),"#SLEEA - Segunda Licenciatura em Educação Especial - Segunda Licenciatura em Educação Especial - LEONICE APARECIDA DE FATIMA ALVES PEREIRA MOURAD - Legislação Educacional/a - Nota Máxima: 9")</f>
        <v>#SLEEA - Segunda Licenciatura em Educação Especial - Segunda Licenciatura em Educação Especial - LEONICE APARECIDA DE FATIMA ALVES PEREIRA MOURAD - Legislação Educacional/a - Nota Máxima: 9</v>
      </c>
    </row>
    <row r="4376">
      <c r="A4376" s="390" t="str">
        <f>IFERROR(__xludf.DUMMYFUNCTION("""COMPUTED_VALUE"""),"#SLEEA - Segunda Licenciatura em Educação Especial - Segunda Licenciatura em Educação Especial - LEONICE APARECIDA DE FATIMA ALVES PEREIRA MOURAD - Práticas Pedagógicas - 400 Horas - Nota Máxima: 10")</f>
        <v>#SLEEA - Segunda Licenciatura em Educação Especial - Segunda Licenciatura em Educação Especial - LEONICE APARECIDA DE FATIMA ALVES PEREIRA MOURAD - Práticas Pedagógicas - 400 Horas - Nota Máxima: 10</v>
      </c>
    </row>
    <row r="4377">
      <c r="A4377" s="390" t="str">
        <f>IFERROR(__xludf.DUMMYFUNCTION("""COMPUTED_VALUE"""),"#SLEEA - Segunda Licenciatura em Educação Especial - Segunda Licenciatura em Educação Especial - LEONICE APARECIDA DE FATIMA ALVES PEREIRA MOURAD - Psicologia da Educação/a - Nota Máxima: 10")</f>
        <v>#SLEEA - Segunda Licenciatura em Educação Especial - Segunda Licenciatura em Educação Especial - LEONICE APARECIDA DE FATIMA ALVES PEREIRA MOURAD - Psicologia da Educação/a - Nota Máxima: 10</v>
      </c>
    </row>
    <row r="4378">
      <c r="A4378" s="390" t="str">
        <f>IFERROR(__xludf.DUMMYFUNCTION("""COMPUTED_VALUE"""),"#SLEEA - Segunda Licenciatura em Educação Especial - Segunda Licenciatura em Educação Especial - Cheila Camargos Capanema - Atuação Docente na Educação Inclusiva - Nota Máxima: 10")</f>
        <v>#SLEEA - Segunda Licenciatura em Educação Especial - Segunda Licenciatura em Educação Especial - Cheila Camargos Capanema - Atuação Docente na Educação Inclusiva - Nota Máxima: 10</v>
      </c>
    </row>
    <row r="4379">
      <c r="A4379" s="390" t="str">
        <f>IFERROR(__xludf.DUMMYFUNCTION("""COMPUTED_VALUE"""),"#SLEEA - Segunda Licenciatura em Educação Especial - Segunda Licenciatura em Educação Especial - Cheila Camargos Capanema - Atuação Docente na Educação Inclusiva - Nota Máxima: 9")</f>
        <v>#SLEEA - Segunda Licenciatura em Educação Especial - Segunda Licenciatura em Educação Especial - Cheila Camargos Capanema - Atuação Docente na Educação Inclusiva - Nota Máxima: 9</v>
      </c>
    </row>
    <row r="4380">
      <c r="A4380" s="390" t="str">
        <f>IFERROR(__xludf.DUMMYFUNCTION("""COMPUTED_VALUE"""),"#SLEEA - Segunda Licenciatura em Educação Especial - Segunda Licenciatura em Educação Especial - Cheila Camargos Capanema - Cultura e Diversidade - Nota Máxima: 10")</f>
        <v>#SLEEA - Segunda Licenciatura em Educação Especial - Segunda Licenciatura em Educação Especial - Cheila Camargos Capanema - Cultura e Diversidade - Nota Máxima: 10</v>
      </c>
    </row>
    <row r="4381">
      <c r="A4381" s="390" t="str">
        <f>IFERROR(__xludf.DUMMYFUNCTION("""COMPUTED_VALUE"""),"#SLEEA - Segunda Licenciatura em Educação Especial - Segunda Licenciatura em Educação Especial - Cheila Camargos Capanema - Cultura e Diversidade - Nota Máxima: 8")</f>
        <v>#SLEEA - Segunda Licenciatura em Educação Especial - Segunda Licenciatura em Educação Especial - Cheila Camargos Capanema - Cultura e Diversidade - Nota Máxima: 8</v>
      </c>
    </row>
    <row r="4382">
      <c r="A4382" s="390" t="str">
        <f>IFERROR(__xludf.DUMMYFUNCTION("""COMPUTED_VALUE"""),"#SLEEA - Segunda Licenciatura em Educação Especial - Segunda Licenciatura em Educação Especial - Cheila Camargos Capanema - Deficiência Auditiva e Libras/a - Nota Máxima: 8")</f>
        <v>#SLEEA - Segunda Licenciatura em Educação Especial - Segunda Licenciatura em Educação Especial - Cheila Camargos Capanema - Deficiência Auditiva e Libras/a - Nota Máxima: 8</v>
      </c>
    </row>
    <row r="4383">
      <c r="A4383" s="390" t="str">
        <f>IFERROR(__xludf.DUMMYFUNCTION("""COMPUTED_VALUE"""),"#SLEEA - Segunda Licenciatura em Educação Especial - Segunda Licenciatura em Educação Especial - Cheila Camargos Capanema - Deficiência Auditiva e Libras/a - Nota Máxima: 10")</f>
        <v>#SLEEA - Segunda Licenciatura em Educação Especial - Segunda Licenciatura em Educação Especial - Cheila Camargos Capanema - Deficiência Auditiva e Libras/a - Nota Máxima: 10</v>
      </c>
    </row>
    <row r="4384">
      <c r="A4384" s="390" t="str">
        <f>IFERROR(__xludf.DUMMYFUNCTION("""COMPUTED_VALUE"""),"#SLEEA - Segunda Licenciatura em Educação Especial - Segunda Licenciatura em Educação Especial - Cheila Camargos Capanema - Educação e as Tic's - Nota Máxima: 10")</f>
        <v>#SLEEA - Segunda Licenciatura em Educação Especial - Segunda Licenciatura em Educação Especial - Cheila Camargos Capanema - Educação e as Tic's - Nota Máxima: 10</v>
      </c>
    </row>
    <row r="4385">
      <c r="A4385" s="390" t="str">
        <f>IFERROR(__xludf.DUMMYFUNCTION("""COMPUTED_VALUE"""),"#SLEEA - Segunda Licenciatura em Educação Especial - Segunda Licenciatura em Educação Especial - Cheila Camargos Capanema - Educação e as Tic's - Nota Máxima: 7")</f>
        <v>#SLEEA - Segunda Licenciatura em Educação Especial - Segunda Licenciatura em Educação Especial - Cheila Camargos Capanema - Educação e as Tic's - Nota Máxima: 7</v>
      </c>
    </row>
    <row r="4386">
      <c r="A4386" s="390" t="str">
        <f>IFERROR(__xludf.DUMMYFUNCTION("""COMPUTED_VALUE"""),"#SLEEA - Segunda Licenciatura em Educação Especial - Segunda Licenciatura em Educação Especial - Cheila Camargos Capanema - Educação em Direitos Humanos/a - Nota Máxima: 9")</f>
        <v>#SLEEA - Segunda Licenciatura em Educação Especial - Segunda Licenciatura em Educação Especial - Cheila Camargos Capanema - Educação em Direitos Humanos/a - Nota Máxima: 9</v>
      </c>
    </row>
    <row r="4387">
      <c r="A4387" s="390" t="str">
        <f>IFERROR(__xludf.DUMMYFUNCTION("""COMPUTED_VALUE"""),"#SLEEA - Segunda Licenciatura em Educação Especial - Segunda Licenciatura em Educação Especial - Cheila Camargos Capanema - Educação em Direitos Humanos/a - Nota Máxima: 9")</f>
        <v>#SLEEA - Segunda Licenciatura em Educação Especial - Segunda Licenciatura em Educação Especial - Cheila Camargos Capanema - Educação em Direitos Humanos/a - Nota Máxima: 9</v>
      </c>
    </row>
    <row r="4388">
      <c r="A4388" s="390" t="str">
        <f>IFERROR(__xludf.DUMMYFUNCTION("""COMPUTED_VALUE"""),"#SLEEA - Segunda Licenciatura em Educação Especial - Segunda Licenciatura em Educação Especial - Cheila Camargos Capanema - Educação Especial - Nota Máxima: 10")</f>
        <v>#SLEEA - Segunda Licenciatura em Educação Especial - Segunda Licenciatura em Educação Especial - Cheila Camargos Capanema - Educação Especial - Nota Máxima: 10</v>
      </c>
    </row>
    <row r="4389">
      <c r="A4389" s="390" t="str">
        <f>IFERROR(__xludf.DUMMYFUNCTION("""COMPUTED_VALUE"""),"#SLEEA - Segunda Licenciatura em Educação Especial - Segunda Licenciatura em Educação Especial - Cheila Camargos Capanema - Educação Especial - Nota Máxima: 8")</f>
        <v>#SLEEA - Segunda Licenciatura em Educação Especial - Segunda Licenciatura em Educação Especial - Cheila Camargos Capanema - Educação Especial - Nota Máxima: 8</v>
      </c>
    </row>
    <row r="4390">
      <c r="A4390" s="390" t="str">
        <f>IFERROR(__xludf.DUMMYFUNCTION("""COMPUTED_VALUE"""),"#SLEEA - Segunda Licenciatura em Educação Especial - Segunda Licenciatura em Educação Especial - Cheila Camargos Capanema - Educação Especial, Inclusão Escolar e Adaptações Curriculares - Nota Máxima: 9")</f>
        <v>#SLEEA - Segunda Licenciatura em Educação Especial - Segunda Licenciatura em Educação Especial - Cheila Camargos Capanema - Educação Especial, Inclusão Escolar e Adaptações Curriculares - Nota Máxima: 9</v>
      </c>
    </row>
    <row r="4391">
      <c r="A4391" s="390" t="str">
        <f>IFERROR(__xludf.DUMMYFUNCTION("""COMPUTED_VALUE"""),"#SLEEA - Segunda Licenciatura em Educação Especial - Segunda Licenciatura em Educação Especial - Cheila Camargos Capanema - Educação Especial, Inclusão Escolar e Adaptações Curriculares - Nota Máxima: 10")</f>
        <v>#SLEEA - Segunda Licenciatura em Educação Especial - Segunda Licenciatura em Educação Especial - Cheila Camargos Capanema - Educação Especial, Inclusão Escolar e Adaptações Curriculares - Nota Máxima: 10</v>
      </c>
    </row>
    <row r="4392">
      <c r="A4392" s="390" t="str">
        <f>IFERROR(__xludf.DUMMYFUNCTION("""COMPUTED_VALUE"""),"#SLEEA - Segunda Licenciatura em Educação Especial - Segunda Licenciatura em Educação Especial - Cheila Camargos Capanema - Fisiologia Humana - Nota Máxima: 10")</f>
        <v>#SLEEA - Segunda Licenciatura em Educação Especial - Segunda Licenciatura em Educação Especial - Cheila Camargos Capanema - Fisiologia Humana - Nota Máxima: 10</v>
      </c>
    </row>
    <row r="4393">
      <c r="A4393" s="390" t="str">
        <f>IFERROR(__xludf.DUMMYFUNCTION("""COMPUTED_VALUE"""),"#SLEEA - Segunda Licenciatura em Educação Especial - Segunda Licenciatura em Educação Especial - Cheila Camargos Capanema - Fisiologia Humana - Nota Máxima: 10")</f>
        <v>#SLEEA - Segunda Licenciatura em Educação Especial - Segunda Licenciatura em Educação Especial - Cheila Camargos Capanema - Fisiologia Humana - Nota Máxima: 10</v>
      </c>
    </row>
    <row r="4394">
      <c r="A4394" s="390" t="str">
        <f>IFERROR(__xludf.DUMMYFUNCTION("""COMPUTED_VALUE"""),"#SLEEA - Segunda Licenciatura em Educação Especial - Segunda Licenciatura em Educação Especial - Cheila Camargos Capanema - Jogos e Recreação - Nota Máxima: 10")</f>
        <v>#SLEEA - Segunda Licenciatura em Educação Especial - Segunda Licenciatura em Educação Especial - Cheila Camargos Capanema - Jogos e Recreação - Nota Máxima: 10</v>
      </c>
    </row>
    <row r="4395">
      <c r="A4395" s="390" t="str">
        <f>IFERROR(__xludf.DUMMYFUNCTION("""COMPUTED_VALUE"""),"#SLEEA - Segunda Licenciatura em Educação Especial - Segunda Licenciatura em Educação Especial - Cheila Camargos Capanema - Jogos e Recreação - Nota Máxima: 6")</f>
        <v>#SLEEA - Segunda Licenciatura em Educação Especial - Segunda Licenciatura em Educação Especial - Cheila Camargos Capanema - Jogos e Recreação - Nota Máxima: 6</v>
      </c>
    </row>
    <row r="4396">
      <c r="A4396" s="390" t="str">
        <f>IFERROR(__xludf.DUMMYFUNCTION("""COMPUTED_VALUE"""),"#SLEEA - Segunda Licenciatura em Educação Especial - Segunda Licenciatura em Educação Especial - Cheila Camargos Capanema - Legislação e Políticas para Educação Inclusiva e Especial - Nota Máxima: 10")</f>
        <v>#SLEEA - Segunda Licenciatura em Educação Especial - Segunda Licenciatura em Educação Especial - Cheila Camargos Capanema - Legislação e Políticas para Educação Inclusiva e Especial - Nota Máxima: 10</v>
      </c>
    </row>
    <row r="4397">
      <c r="A4397" s="390" t="str">
        <f>IFERROR(__xludf.DUMMYFUNCTION("""COMPUTED_VALUE"""),"#SLEEA - Segunda Licenciatura em Educação Especial - Segunda Licenciatura em Educação Especial - Cheila Camargos Capanema - Legislação e Políticas para Educação Inclusiva e Especial - Nota Máxima: 10")</f>
        <v>#SLEEA - Segunda Licenciatura em Educação Especial - Segunda Licenciatura em Educação Especial - Cheila Camargos Capanema - Legislação e Políticas para Educação Inclusiva e Especial - Nota Máxima: 10</v>
      </c>
    </row>
    <row r="4398">
      <c r="A4398" s="390" t="str">
        <f>IFERROR(__xludf.DUMMYFUNCTION("""COMPUTED_VALUE"""),"#SLEEA - Segunda Licenciatura em Educação Especial - Segunda Licenciatura em Educação Especial - Cheila Camargos Capanema - Legislação Educacional/a - Nota Máxima: 7")</f>
        <v>#SLEEA - Segunda Licenciatura em Educação Especial - Segunda Licenciatura em Educação Especial - Cheila Camargos Capanema - Legislação Educacional/a - Nota Máxima: 7</v>
      </c>
    </row>
    <row r="4399">
      <c r="A4399" s="390" t="str">
        <f>IFERROR(__xludf.DUMMYFUNCTION("""COMPUTED_VALUE"""),"#SLEEA - Segunda Licenciatura em Educação Especial - Segunda Licenciatura em Educação Especial - Cheila Camargos Capanema - Legislação Educacional/a - Nota Máxima: 5")</f>
        <v>#SLEEA - Segunda Licenciatura em Educação Especial - Segunda Licenciatura em Educação Especial - Cheila Camargos Capanema - Legislação Educacional/a - Nota Máxima: 5</v>
      </c>
    </row>
    <row r="4400">
      <c r="A4400" s="390" t="str">
        <f>IFERROR(__xludf.DUMMYFUNCTION("""COMPUTED_VALUE"""),"#SLEEA - Segunda Licenciatura em Educação Especial - Segunda Licenciatura em Educação Especial - Cheila Camargos Capanema - Planejamento, Gestão Educacional e Currículo/a - Nota Máxima: 10")</f>
        <v>#SLEEA - Segunda Licenciatura em Educação Especial - Segunda Licenciatura em Educação Especial - Cheila Camargos Capanema - Planejamento, Gestão Educacional e Currículo/a - Nota Máxima: 10</v>
      </c>
    </row>
    <row r="4401">
      <c r="A4401" s="390" t="str">
        <f>IFERROR(__xludf.DUMMYFUNCTION("""COMPUTED_VALUE"""),"#SLEEA - Segunda Licenciatura em Educação Especial - Segunda Licenciatura em Educação Especial - Cheila Camargos Capanema - Planejamento, Gestão Educacional e Currículo/a - Nota Máxima: 10")</f>
        <v>#SLEEA - Segunda Licenciatura em Educação Especial - Segunda Licenciatura em Educação Especial - Cheila Camargos Capanema - Planejamento, Gestão Educacional e Currículo/a - Nota Máxima: 10</v>
      </c>
    </row>
    <row r="4402">
      <c r="A4402" s="390" t="str">
        <f>IFERROR(__xludf.DUMMYFUNCTION("""COMPUTED_VALUE"""),"#SLEEA - Segunda Licenciatura em Educação Especial - Segunda Licenciatura em Educação Especial - Cheila Camargos Capanema - Práticas Pedagógicas - 400 Horas - Nota Máxima: 4")</f>
        <v>#SLEEA - Segunda Licenciatura em Educação Especial - Segunda Licenciatura em Educação Especial - Cheila Camargos Capanema - Práticas Pedagógicas - 400 Horas - Nota Máxima: 4</v>
      </c>
    </row>
    <row r="4403">
      <c r="A4403" s="390" t="str">
        <f>IFERROR(__xludf.DUMMYFUNCTION("""COMPUTED_VALUE"""),"#SLEEA - Segunda Licenciatura em Educação Especial - Segunda Licenciatura em Educação Especial - Cheila Camargos Capanema - Práticas Pedagógicas - 400 Horas - Nota Máxima: 4")</f>
        <v>#SLEEA - Segunda Licenciatura em Educação Especial - Segunda Licenciatura em Educação Especial - Cheila Camargos Capanema - Práticas Pedagógicas - 400 Horas - Nota Máxima: 4</v>
      </c>
    </row>
    <row r="4404">
      <c r="A4404" s="390" t="str">
        <f>IFERROR(__xludf.DUMMYFUNCTION("""COMPUTED_VALUE"""),"#SLEEA - Segunda Licenciatura em Educação Especial - Segunda Licenciatura em Educação Especial - Cheila Camargos Capanema - Psicologia da Educação/a - Nota Máxima: 9")</f>
        <v>#SLEEA - Segunda Licenciatura em Educação Especial - Segunda Licenciatura em Educação Especial - Cheila Camargos Capanema - Psicologia da Educação/a - Nota Máxima: 9</v>
      </c>
    </row>
    <row r="4405">
      <c r="A4405" s="390" t="str">
        <f>IFERROR(__xludf.DUMMYFUNCTION("""COMPUTED_VALUE"""),"#SLEEA - Segunda Licenciatura em Educação Especial - Segunda Licenciatura em Educação Especial - Cheila Camargos Capanema - Psicologia da Educação/a - Nota Máxima: 5")</f>
        <v>#SLEEA - Segunda Licenciatura em Educação Especial - Segunda Licenciatura em Educação Especial - Cheila Camargos Capanema - Psicologia da Educação/a - Nota Máxima: 5</v>
      </c>
    </row>
    <row r="4406">
      <c r="A4406" s="390" t="str">
        <f>IFERROR(__xludf.DUMMYFUNCTION("""COMPUTED_VALUE"""),"#SLEEA - Segunda Licenciatura em Educação Especial - Segunda Licenciatura em Educação Especial - Leila Costa Castro - Atuação Docente na Educação Inclusiva - Nota Máxima: 9")</f>
        <v>#SLEEA - Segunda Licenciatura em Educação Especial - Segunda Licenciatura em Educação Especial - Leila Costa Castro - Atuação Docente na Educação Inclusiva - Nota Máxima: 9</v>
      </c>
    </row>
    <row r="4407">
      <c r="A4407" s="390" t="str">
        <f>IFERROR(__xludf.DUMMYFUNCTION("""COMPUTED_VALUE"""),"#SLEEA - Segunda Licenciatura em Educação Especial - Segunda Licenciatura em Educação Especial - Leila Costa Castro - Atuação Docente na Educação Inclusiva - Nota Máxima: 10")</f>
        <v>#SLEEA - Segunda Licenciatura em Educação Especial - Segunda Licenciatura em Educação Especial - Leila Costa Castro - Atuação Docente na Educação Inclusiva - Nota Máxima: 10</v>
      </c>
    </row>
    <row r="4408">
      <c r="A4408" s="390" t="str">
        <f>IFERROR(__xludf.DUMMYFUNCTION("""COMPUTED_VALUE"""),"#SLEEA - Segunda Licenciatura em Educação Especial - Segunda Licenciatura em Educação Especial - Leila Costa Castro - Cultura e Diversidade - Nota Máxima: 9")</f>
        <v>#SLEEA - Segunda Licenciatura em Educação Especial - Segunda Licenciatura em Educação Especial - Leila Costa Castro - Cultura e Diversidade - Nota Máxima: 9</v>
      </c>
    </row>
    <row r="4409">
      <c r="A4409" s="390" t="str">
        <f>IFERROR(__xludf.DUMMYFUNCTION("""COMPUTED_VALUE"""),"#SLEEA - Segunda Licenciatura em Educação Especial - Segunda Licenciatura em Educação Especial - Leila Costa Castro - Cultura e Diversidade - Nota Máxima: 9")</f>
        <v>#SLEEA - Segunda Licenciatura em Educação Especial - Segunda Licenciatura em Educação Especial - Leila Costa Castro - Cultura e Diversidade - Nota Máxima: 9</v>
      </c>
    </row>
    <row r="4410">
      <c r="A4410" s="390" t="str">
        <f>IFERROR(__xludf.DUMMYFUNCTION("""COMPUTED_VALUE"""),"#SLEEA - Segunda Licenciatura em Educação Especial - Segunda Licenciatura em Educação Especial - Leila Costa Castro - Deficiência Auditiva e Libras/a - Nota Máxima: 8")</f>
        <v>#SLEEA - Segunda Licenciatura em Educação Especial - Segunda Licenciatura em Educação Especial - Leila Costa Castro - Deficiência Auditiva e Libras/a - Nota Máxima: 8</v>
      </c>
    </row>
    <row r="4411">
      <c r="A4411" s="390" t="str">
        <f>IFERROR(__xludf.DUMMYFUNCTION("""COMPUTED_VALUE"""),"#SLEEA - Segunda Licenciatura em Educação Especial - Segunda Licenciatura em Educação Especial - Leila Costa Castro - Deficiência Auditiva e Libras/a - Nota Máxima: 6")</f>
        <v>#SLEEA - Segunda Licenciatura em Educação Especial - Segunda Licenciatura em Educação Especial - Leila Costa Castro - Deficiência Auditiva e Libras/a - Nota Máxima: 6</v>
      </c>
    </row>
    <row r="4412">
      <c r="A4412" s="390" t="str">
        <f>IFERROR(__xludf.DUMMYFUNCTION("""COMPUTED_VALUE"""),"#SLEEA - Segunda Licenciatura em Educação Especial - Segunda Licenciatura em Educação Especial - Leila Costa Castro - Educação e as Tic's - Nota Máxima: 8")</f>
        <v>#SLEEA - Segunda Licenciatura em Educação Especial - Segunda Licenciatura em Educação Especial - Leila Costa Castro - Educação e as Tic's - Nota Máxima: 8</v>
      </c>
    </row>
    <row r="4413">
      <c r="A4413" s="390" t="str">
        <f>IFERROR(__xludf.DUMMYFUNCTION("""COMPUTED_VALUE"""),"#SLEEA - Segunda Licenciatura em Educação Especial - Segunda Licenciatura em Educação Especial - Leila Costa Castro - Educação e as Tic's - Nota Máxima: 8")</f>
        <v>#SLEEA - Segunda Licenciatura em Educação Especial - Segunda Licenciatura em Educação Especial - Leila Costa Castro - Educação e as Tic's - Nota Máxima: 8</v>
      </c>
    </row>
    <row r="4414">
      <c r="A4414" s="390" t="str">
        <f>IFERROR(__xludf.DUMMYFUNCTION("""COMPUTED_VALUE"""),"#SLEEA - Segunda Licenciatura em Educação Especial - Segunda Licenciatura em Educação Especial - Leila Costa Castro - Educação em Direitos Humanos/a - Nota Máxima: 9")</f>
        <v>#SLEEA - Segunda Licenciatura em Educação Especial - Segunda Licenciatura em Educação Especial - Leila Costa Castro - Educação em Direitos Humanos/a - Nota Máxima: 9</v>
      </c>
    </row>
    <row r="4415">
      <c r="A4415" s="390" t="str">
        <f>IFERROR(__xludf.DUMMYFUNCTION("""COMPUTED_VALUE"""),"#SLEEA - Segunda Licenciatura em Educação Especial - Segunda Licenciatura em Educação Especial - Leila Costa Castro - Educação em Direitos Humanos/a - Nota Máxima: 9")</f>
        <v>#SLEEA - Segunda Licenciatura em Educação Especial - Segunda Licenciatura em Educação Especial - Leila Costa Castro - Educação em Direitos Humanos/a - Nota Máxima: 9</v>
      </c>
    </row>
    <row r="4416">
      <c r="A4416" s="390" t="str">
        <f>IFERROR(__xludf.DUMMYFUNCTION("""COMPUTED_VALUE"""),"#SLEEA - Segunda Licenciatura em Educação Especial - Segunda Licenciatura em Educação Especial - Leila Costa Castro - Educação Especial - Nota Máxima: 10")</f>
        <v>#SLEEA - Segunda Licenciatura em Educação Especial - Segunda Licenciatura em Educação Especial - Leila Costa Castro - Educação Especial - Nota Máxima: 10</v>
      </c>
    </row>
    <row r="4417">
      <c r="A4417" s="390" t="str">
        <f>IFERROR(__xludf.DUMMYFUNCTION("""COMPUTED_VALUE"""),"#SLEEA - Segunda Licenciatura em Educação Especial - Segunda Licenciatura em Educação Especial - Leila Costa Castro - Educação Especial - Nota Máxima: 8")</f>
        <v>#SLEEA - Segunda Licenciatura em Educação Especial - Segunda Licenciatura em Educação Especial - Leila Costa Castro - Educação Especial - Nota Máxima: 8</v>
      </c>
    </row>
    <row r="4418">
      <c r="A4418" s="390" t="str">
        <f>IFERROR(__xludf.DUMMYFUNCTION("""COMPUTED_VALUE"""),"#SLEEA - Segunda Licenciatura em Educação Especial - Segunda Licenciatura em Educação Especial - Leila Costa Castro - Fisiologia Humana - Nota Máxima: 7")</f>
        <v>#SLEEA - Segunda Licenciatura em Educação Especial - Segunda Licenciatura em Educação Especial - Leila Costa Castro - Fisiologia Humana - Nota Máxima: 7</v>
      </c>
    </row>
    <row r="4419">
      <c r="A4419" s="390" t="str">
        <f>IFERROR(__xludf.DUMMYFUNCTION("""COMPUTED_VALUE"""),"#SLEEA - Segunda Licenciatura em Educação Especial - Segunda Licenciatura em Educação Especial - Leila Costa Castro - Fisiologia Humana - Nota Máxima: 6")</f>
        <v>#SLEEA - Segunda Licenciatura em Educação Especial - Segunda Licenciatura em Educação Especial - Leila Costa Castro - Fisiologia Humana - Nota Máxima: 6</v>
      </c>
    </row>
    <row r="4420">
      <c r="A4420" s="390" t="str">
        <f>IFERROR(__xludf.DUMMYFUNCTION("""COMPUTED_VALUE"""),"#SLEEA - Segunda Licenciatura em Educação Especial - Segunda Licenciatura em Educação Especial - Leila Costa Castro - Jogos e Recreação - Nota Máxima: 9")</f>
        <v>#SLEEA - Segunda Licenciatura em Educação Especial - Segunda Licenciatura em Educação Especial - Leila Costa Castro - Jogos e Recreação - Nota Máxima: 9</v>
      </c>
    </row>
    <row r="4421">
      <c r="A4421" s="390" t="str">
        <f>IFERROR(__xludf.DUMMYFUNCTION("""COMPUTED_VALUE"""),"#SLEEA - Segunda Licenciatura em Educação Especial - Segunda Licenciatura em Educação Especial - Leila Costa Castro - Jogos e Recreação - Nota Máxima: 8")</f>
        <v>#SLEEA - Segunda Licenciatura em Educação Especial - Segunda Licenciatura em Educação Especial - Leila Costa Castro - Jogos e Recreação - Nota Máxima: 8</v>
      </c>
    </row>
    <row r="4422">
      <c r="A4422" s="390" t="str">
        <f>IFERROR(__xludf.DUMMYFUNCTION("""COMPUTED_VALUE"""),"#SLEEA - Segunda Licenciatura em Educação Especial - Segunda Licenciatura em Educação Especial - Leila Costa Castro - Legislação e Políticas para Educação Inclusiva e Especial - Nota Máxima: 8")</f>
        <v>#SLEEA - Segunda Licenciatura em Educação Especial - Segunda Licenciatura em Educação Especial - Leila Costa Castro - Legislação e Políticas para Educação Inclusiva e Especial - Nota Máxima: 8</v>
      </c>
    </row>
    <row r="4423">
      <c r="A4423" s="390" t="str">
        <f>IFERROR(__xludf.DUMMYFUNCTION("""COMPUTED_VALUE"""),"#SLEEA - Segunda Licenciatura em Educação Especial - Segunda Licenciatura em Educação Especial - Leila Costa Castro - Legislação e Políticas para Educação Inclusiva e Especial - Nota Máxima: 9")</f>
        <v>#SLEEA - Segunda Licenciatura em Educação Especial - Segunda Licenciatura em Educação Especial - Leila Costa Castro - Legislação e Políticas para Educação Inclusiva e Especial - Nota Máxima: 9</v>
      </c>
    </row>
    <row r="4424">
      <c r="A4424" s="390" t="str">
        <f>IFERROR(__xludf.DUMMYFUNCTION("""COMPUTED_VALUE"""),"#SLEEA - Segunda Licenciatura em Educação Especial - Segunda Licenciatura em Educação Especial - Leila Costa Castro - Legislação Educacional/a - Nota Máxima: 8")</f>
        <v>#SLEEA - Segunda Licenciatura em Educação Especial - Segunda Licenciatura em Educação Especial - Leila Costa Castro - Legislação Educacional/a - Nota Máxima: 8</v>
      </c>
    </row>
    <row r="4425">
      <c r="A4425" s="390" t="str">
        <f>IFERROR(__xludf.DUMMYFUNCTION("""COMPUTED_VALUE"""),"#SLEEA - Segunda Licenciatura em Educação Especial - Segunda Licenciatura em Educação Especial - Leila Costa Castro - Legislação Educacional/a - Nota Máxima: 8")</f>
        <v>#SLEEA - Segunda Licenciatura em Educação Especial - Segunda Licenciatura em Educação Especial - Leila Costa Castro - Legislação Educacional/a - Nota Máxima: 8</v>
      </c>
    </row>
    <row r="4426">
      <c r="A4426" s="390" t="str">
        <f>IFERROR(__xludf.DUMMYFUNCTION("""COMPUTED_VALUE"""),"#SLEEA - Segunda Licenciatura em Educação Especial - Segunda Licenciatura em Educação Especial - Leila Costa Castro - Práticas Pedagógicas - 400 Horas - Nota Máxima: 10")</f>
        <v>#SLEEA - Segunda Licenciatura em Educação Especial - Segunda Licenciatura em Educação Especial - Leila Costa Castro - Práticas Pedagógicas - 400 Horas - Nota Máxima: 10</v>
      </c>
    </row>
    <row r="4427">
      <c r="A4427" s="390" t="str">
        <f>IFERROR(__xludf.DUMMYFUNCTION("""COMPUTED_VALUE"""),"#SLEEA - Segunda Licenciatura em Educação Especial - Segunda Licenciatura em Educação Especial - Leila Costa Castro - Práticas Pedagógicas - 400 Horas - Nota Máxima: 5")</f>
        <v>#SLEEA - Segunda Licenciatura em Educação Especial - Segunda Licenciatura em Educação Especial - Leila Costa Castro - Práticas Pedagógicas - 400 Horas - Nota Máxima: 5</v>
      </c>
    </row>
    <row r="4428">
      <c r="A4428" s="390" t="str">
        <f>IFERROR(__xludf.DUMMYFUNCTION("""COMPUTED_VALUE"""),"#SLEEA - Segunda Licenciatura em Educação Especial - Segunda Licenciatura em Educação Especial - Leila Costa Castro - Psicologia da Educação/a - Nota Máxima: 7")</f>
        <v>#SLEEA - Segunda Licenciatura em Educação Especial - Segunda Licenciatura em Educação Especial - Leila Costa Castro - Psicologia da Educação/a - Nota Máxima: 7</v>
      </c>
    </row>
    <row r="4429">
      <c r="A4429" s="390" t="str">
        <f>IFERROR(__xludf.DUMMYFUNCTION("""COMPUTED_VALUE"""),"#SLEEA - Segunda Licenciatura em Educação Especial - Segunda Licenciatura em Educação Especial - Leila Costa Castro - Psicologia da Educação/a - Nota Máxima: 7")</f>
        <v>#SLEEA - Segunda Licenciatura em Educação Especial - Segunda Licenciatura em Educação Especial - Leila Costa Castro - Psicologia da Educação/a - Nota Máxima: 7</v>
      </c>
    </row>
    <row r="4430">
      <c r="A4430" s="390" t="str">
        <f>IFERROR(__xludf.DUMMYFUNCTION("""COMPUTED_VALUE"""),"#SLEEA - Segunda Licenciatura em Educação Especial - Segunda Licenciatura em Educação Especial - Ana Paula de Freitas Gonçalves Silva - Atuação Docente na Educação Inclusiva - Nota Máxima: 10")</f>
        <v>#SLEEA - Segunda Licenciatura em Educação Especial - Segunda Licenciatura em Educação Especial - Ana Paula de Freitas Gonçalves Silva - Atuação Docente na Educação Inclusiva - Nota Máxima: 10</v>
      </c>
    </row>
    <row r="4431">
      <c r="A4431" s="390" t="str">
        <f>IFERROR(__xludf.DUMMYFUNCTION("""COMPUTED_VALUE"""),"#SLEEA - Segunda Licenciatura em Educação Especial - Segunda Licenciatura em Educação Especial - Ana Paula de Freitas Gonçalves Silva - Cultura e Diversidade - Nota Máxima: 10")</f>
        <v>#SLEEA - Segunda Licenciatura em Educação Especial - Segunda Licenciatura em Educação Especial - Ana Paula de Freitas Gonçalves Silva - Cultura e Diversidade - Nota Máxima: 10</v>
      </c>
    </row>
    <row r="4432">
      <c r="A4432" s="390" t="str">
        <f>IFERROR(__xludf.DUMMYFUNCTION("""COMPUTED_VALUE"""),"#SLEEA - Segunda Licenciatura em Educação Especial - Segunda Licenciatura em Educação Especial - Ana Paula de Freitas Gonçalves Silva - Deficiência Auditiva e Libras/a - Nota Máxima: 10")</f>
        <v>#SLEEA - Segunda Licenciatura em Educação Especial - Segunda Licenciatura em Educação Especial - Ana Paula de Freitas Gonçalves Silva - Deficiência Auditiva e Libras/a - Nota Máxima: 10</v>
      </c>
    </row>
    <row r="4433">
      <c r="A4433" s="390" t="str">
        <f>IFERROR(__xludf.DUMMYFUNCTION("""COMPUTED_VALUE"""),"#SLEEA - Segunda Licenciatura em Educação Especial - Segunda Licenciatura em Educação Especial - Ana Paula de Freitas Gonçalves Silva - Deficiência Auditiva e Libras/a - Nota Máxima: 5")</f>
        <v>#SLEEA - Segunda Licenciatura em Educação Especial - Segunda Licenciatura em Educação Especial - Ana Paula de Freitas Gonçalves Silva - Deficiência Auditiva e Libras/a - Nota Máxima: 5</v>
      </c>
    </row>
    <row r="4434">
      <c r="A4434" s="390" t="str">
        <f>IFERROR(__xludf.DUMMYFUNCTION("""COMPUTED_VALUE"""),"#SLEEA - Segunda Licenciatura em Educação Especial - Segunda Licenciatura em Educação Especial - Ana Paula de Freitas Gonçalves Silva - Educação e as Tic's - Nota Máxima: 10")</f>
        <v>#SLEEA - Segunda Licenciatura em Educação Especial - Segunda Licenciatura em Educação Especial - Ana Paula de Freitas Gonçalves Silva - Educação e as Tic's - Nota Máxima: 10</v>
      </c>
    </row>
    <row r="4435">
      <c r="A4435" s="390" t="str">
        <f>IFERROR(__xludf.DUMMYFUNCTION("""COMPUTED_VALUE"""),"#SLEEA - Segunda Licenciatura em Educação Especial - Segunda Licenciatura em Educação Especial - Ana Paula de Freitas Gonçalves Silva - Educação em Direitos Humanos/a - Nota Máxima: 10")</f>
        <v>#SLEEA - Segunda Licenciatura em Educação Especial - Segunda Licenciatura em Educação Especial - Ana Paula de Freitas Gonçalves Silva - Educação em Direitos Humanos/a - Nota Máxima: 10</v>
      </c>
    </row>
    <row r="4436">
      <c r="A4436" s="390" t="str">
        <f>IFERROR(__xludf.DUMMYFUNCTION("""COMPUTED_VALUE"""),"#SLEEA - Segunda Licenciatura em Educação Especial - Segunda Licenciatura em Educação Especial - Ana Paula de Freitas Gonçalves Silva - Educação Especial - Nota Máxima: 8")</f>
        <v>#SLEEA - Segunda Licenciatura em Educação Especial - Segunda Licenciatura em Educação Especial - Ana Paula de Freitas Gonçalves Silva - Educação Especial - Nota Máxima: 8</v>
      </c>
    </row>
    <row r="4437">
      <c r="A4437" s="390" t="str">
        <f>IFERROR(__xludf.DUMMYFUNCTION("""COMPUTED_VALUE"""),"#SLEEA - Segunda Licenciatura em Educação Especial - Segunda Licenciatura em Educação Especial - Ana Paula de Freitas Gonçalves Silva - Educação Especial, Inclusão Escolar e Adaptações Curriculares - Nota Máxima: 10")</f>
        <v>#SLEEA - Segunda Licenciatura em Educação Especial - Segunda Licenciatura em Educação Especial - Ana Paula de Freitas Gonçalves Silva - Educação Especial, Inclusão Escolar e Adaptações Curriculares - Nota Máxima: 10</v>
      </c>
    </row>
    <row r="4438">
      <c r="A4438" s="390" t="str">
        <f>IFERROR(__xludf.DUMMYFUNCTION("""COMPUTED_VALUE"""),"#SLEEA - Segunda Licenciatura em Educação Especial - Segunda Licenciatura em Educação Especial - Ana Paula de Freitas Gonçalves Silva - Educação Especial, Inclusão Escolar e Adaptações Curriculares - Nota Máxima: 7")</f>
        <v>#SLEEA - Segunda Licenciatura em Educação Especial - Segunda Licenciatura em Educação Especial - Ana Paula de Freitas Gonçalves Silva - Educação Especial, Inclusão Escolar e Adaptações Curriculares - Nota Máxima: 7</v>
      </c>
    </row>
    <row r="4439">
      <c r="A4439" s="390" t="str">
        <f>IFERROR(__xludf.DUMMYFUNCTION("""COMPUTED_VALUE"""),"#SLEEA - Segunda Licenciatura em Educação Especial - Segunda Licenciatura em Educação Especial - Ana Paula de Freitas Gonçalves Silva - Fisiologia Humana - Nota Máxima: 7")</f>
        <v>#SLEEA - Segunda Licenciatura em Educação Especial - Segunda Licenciatura em Educação Especial - Ana Paula de Freitas Gonçalves Silva - Fisiologia Humana - Nota Máxima: 7</v>
      </c>
    </row>
    <row r="4440">
      <c r="A4440" s="390" t="str">
        <f>IFERROR(__xludf.DUMMYFUNCTION("""COMPUTED_VALUE"""),"#SLEEA - Segunda Licenciatura em Educação Especial - Segunda Licenciatura em Educação Especial - Ana Paula de Freitas Gonçalves Silva - Jogos e Recreação - Nota Máxima: 7")</f>
        <v>#SLEEA - Segunda Licenciatura em Educação Especial - Segunda Licenciatura em Educação Especial - Ana Paula de Freitas Gonçalves Silva - Jogos e Recreação - Nota Máxima: 7</v>
      </c>
    </row>
    <row r="4441">
      <c r="A4441" s="390" t="str">
        <f>IFERROR(__xludf.DUMMYFUNCTION("""COMPUTED_VALUE"""),"#SLEEA - Segunda Licenciatura em Educação Especial - Segunda Licenciatura em Educação Especial - Ana Paula de Freitas Gonçalves Silva - Legislação e Políticas para Educação Inclusiva e Especial - Nota Máxima: 7")</f>
        <v>#SLEEA - Segunda Licenciatura em Educação Especial - Segunda Licenciatura em Educação Especial - Ana Paula de Freitas Gonçalves Silva - Legislação e Políticas para Educação Inclusiva e Especial - Nota Máxima: 7</v>
      </c>
    </row>
    <row r="4442">
      <c r="A4442" s="390" t="str">
        <f>IFERROR(__xludf.DUMMYFUNCTION("""COMPUTED_VALUE"""),"#SLEEA - Segunda Licenciatura em Educação Especial - Segunda Licenciatura em Educação Especial - Ana Paula de Freitas Gonçalves Silva - Legislação Educacional/a - Nota Máxima: 10")</f>
        <v>#SLEEA - Segunda Licenciatura em Educação Especial - Segunda Licenciatura em Educação Especial - Ana Paula de Freitas Gonçalves Silva - Legislação Educacional/a - Nota Máxima: 10</v>
      </c>
    </row>
    <row r="4443">
      <c r="A4443" s="390" t="str">
        <f>IFERROR(__xludf.DUMMYFUNCTION("""COMPUTED_VALUE"""),"#SLEEA - Segunda Licenciatura em Educação Especial - Segunda Licenciatura em Educação Especial - Ana Paula de Freitas Gonçalves Silva - Legislação Educacional/a - Nota Máxima: 10")</f>
        <v>#SLEEA - Segunda Licenciatura em Educação Especial - Segunda Licenciatura em Educação Especial - Ana Paula de Freitas Gonçalves Silva - Legislação Educacional/a - Nota Máxima: 10</v>
      </c>
    </row>
    <row r="4444">
      <c r="A4444" s="390" t="str">
        <f>IFERROR(__xludf.DUMMYFUNCTION("""COMPUTED_VALUE"""),"#SLEEA - Segunda Licenciatura em Educação Especial - Segunda Licenciatura em Educação Especial - Ana Paula de Freitas Gonçalves Silva - Planejamento, Gestão Educacional e Currículo/a - Nota Máxima: 10")</f>
        <v>#SLEEA - Segunda Licenciatura em Educação Especial - Segunda Licenciatura em Educação Especial - Ana Paula de Freitas Gonçalves Silva - Planejamento, Gestão Educacional e Currículo/a - Nota Máxima: 10</v>
      </c>
    </row>
    <row r="4445">
      <c r="A4445" s="390" t="str">
        <f>IFERROR(__xludf.DUMMYFUNCTION("""COMPUTED_VALUE"""),"#SLEEA - Segunda Licenciatura em Educação Especial - Segunda Licenciatura em Educação Especial - Ana Paula de Freitas Gonçalves Silva - Planejamento, Gestão Educacional e Currículo/a - Nota Máxima: 9")</f>
        <v>#SLEEA - Segunda Licenciatura em Educação Especial - Segunda Licenciatura em Educação Especial - Ana Paula de Freitas Gonçalves Silva - Planejamento, Gestão Educacional e Currículo/a - Nota Máxima: 9</v>
      </c>
    </row>
    <row r="4446">
      <c r="A4446" s="390" t="str">
        <f>IFERROR(__xludf.DUMMYFUNCTION("""COMPUTED_VALUE"""),"#SLEEA - Segunda Licenciatura em Educação Especial - Segunda Licenciatura em Educação Especial - Ana Paula de Freitas Gonçalves Silva - Práticas Pedagógicas - 400 Horas - Nota Máxima: 10")</f>
        <v>#SLEEA - Segunda Licenciatura em Educação Especial - Segunda Licenciatura em Educação Especial - Ana Paula de Freitas Gonçalves Silva - Práticas Pedagógicas - 400 Horas - Nota Máxima: 10</v>
      </c>
    </row>
    <row r="4447">
      <c r="A4447" s="390" t="str">
        <f>IFERROR(__xludf.DUMMYFUNCTION("""COMPUTED_VALUE"""),"#SLEEA - Segunda Licenciatura em Educação Especial - Segunda Licenciatura em Educação Especial - Ana Paula de Freitas Gonçalves Silva - Psicologia da Educação/a - Nota Máxima: 10")</f>
        <v>#SLEEA - Segunda Licenciatura em Educação Especial - Segunda Licenciatura em Educação Especial - Ana Paula de Freitas Gonçalves Silva - Psicologia da Educação/a - Nota Máxima: 10</v>
      </c>
    </row>
    <row r="4448">
      <c r="A4448" s="390" t="str">
        <f>IFERROR(__xludf.DUMMYFUNCTION("""COMPUTED_VALUE"""),"#SLEEA - Segunda Licenciatura em Educação Especial - Segunda Licenciatura em Educação Especial - Jaqueline Gonçalves da Costa - Atuação Docente na Educação Inclusiva - Nota Máxima: 9")</f>
        <v>#SLEEA - Segunda Licenciatura em Educação Especial - Segunda Licenciatura em Educação Especial - Jaqueline Gonçalves da Costa - Atuação Docente na Educação Inclusiva - Nota Máxima: 9</v>
      </c>
    </row>
    <row r="4449">
      <c r="A4449" s="390" t="str">
        <f>IFERROR(__xludf.DUMMYFUNCTION("""COMPUTED_VALUE"""),"#SLEEA - Segunda Licenciatura em Educação Especial - Segunda Licenciatura em Educação Especial - Jaqueline Gonçalves da Costa - Cultura e Diversidade - Nota Máxima: 5")</f>
        <v>#SLEEA - Segunda Licenciatura em Educação Especial - Segunda Licenciatura em Educação Especial - Jaqueline Gonçalves da Costa - Cultura e Diversidade - Nota Máxima: 5</v>
      </c>
    </row>
    <row r="4450">
      <c r="A4450" s="390" t="str">
        <f>IFERROR(__xludf.DUMMYFUNCTION("""COMPUTED_VALUE"""),"#SLEEA - Segunda Licenciatura em Educação Especial - Segunda Licenciatura em Educação Especial - Jaqueline Gonçalves da Costa - Deficiência Auditiva e Libras/a - Nota Máxima: 10")</f>
        <v>#SLEEA - Segunda Licenciatura em Educação Especial - Segunda Licenciatura em Educação Especial - Jaqueline Gonçalves da Costa - Deficiência Auditiva e Libras/a - Nota Máxima: 10</v>
      </c>
    </row>
    <row r="4451">
      <c r="A4451" s="390" t="str">
        <f>IFERROR(__xludf.DUMMYFUNCTION("""COMPUTED_VALUE"""),"#SLEEA - Segunda Licenciatura em Educação Especial - Segunda Licenciatura em Educação Especial - Jaqueline Gonçalves da Costa - Deficiência Auditiva e Libras/a - Nota Máxima: 10")</f>
        <v>#SLEEA - Segunda Licenciatura em Educação Especial - Segunda Licenciatura em Educação Especial - Jaqueline Gonçalves da Costa - Deficiência Auditiva e Libras/a - Nota Máxima: 10</v>
      </c>
    </row>
    <row r="4452">
      <c r="A4452" s="390" t="str">
        <f>IFERROR(__xludf.DUMMYFUNCTION("""COMPUTED_VALUE"""),"#SLEEA - Segunda Licenciatura em Educação Especial - Segunda Licenciatura em Educação Especial - Jaqueline Gonçalves da Costa - Educação e as Tic's - Nota Máxima: 10")</f>
        <v>#SLEEA - Segunda Licenciatura em Educação Especial - Segunda Licenciatura em Educação Especial - Jaqueline Gonçalves da Costa - Educação e as Tic's - Nota Máxima: 10</v>
      </c>
    </row>
    <row r="4453">
      <c r="A4453" s="390" t="str">
        <f>IFERROR(__xludf.DUMMYFUNCTION("""COMPUTED_VALUE"""),"#SLEEA - Segunda Licenciatura em Educação Especial - Segunda Licenciatura em Educação Especial - Jaqueline Gonçalves da Costa - Educação e as Tic's - Nota Máxima: 9")</f>
        <v>#SLEEA - Segunda Licenciatura em Educação Especial - Segunda Licenciatura em Educação Especial - Jaqueline Gonçalves da Costa - Educação e as Tic's - Nota Máxima: 9</v>
      </c>
    </row>
    <row r="4454">
      <c r="A4454" s="390" t="str">
        <f>IFERROR(__xludf.DUMMYFUNCTION("""COMPUTED_VALUE"""),"#SLEEA - Segunda Licenciatura em Educação Especial - Segunda Licenciatura em Educação Especial - Jaqueline Gonçalves da Costa - Educação em Direitos Humanos/a - Nota Máxima: 10")</f>
        <v>#SLEEA - Segunda Licenciatura em Educação Especial - Segunda Licenciatura em Educação Especial - Jaqueline Gonçalves da Costa - Educação em Direitos Humanos/a - Nota Máxima: 10</v>
      </c>
    </row>
    <row r="4455">
      <c r="A4455" s="390" t="str">
        <f>IFERROR(__xludf.DUMMYFUNCTION("""COMPUTED_VALUE"""),"#SLEEA - Segunda Licenciatura em Educação Especial - Segunda Licenciatura em Educação Especial - Jaqueline Gonçalves da Costa - Educação Especial - Nota Máxima: 7")</f>
        <v>#SLEEA - Segunda Licenciatura em Educação Especial - Segunda Licenciatura em Educação Especial - Jaqueline Gonçalves da Costa - Educação Especial - Nota Máxima: 7</v>
      </c>
    </row>
    <row r="4456">
      <c r="A4456" s="390" t="str">
        <f>IFERROR(__xludf.DUMMYFUNCTION("""COMPUTED_VALUE"""),"#SLEEA - Segunda Licenciatura em Educação Especial - Segunda Licenciatura em Educação Especial - Jaqueline Gonçalves da Costa - Educação Especial, Inclusão Escolar e Adaptações Curriculares - Nota Máxima: 7")</f>
        <v>#SLEEA - Segunda Licenciatura em Educação Especial - Segunda Licenciatura em Educação Especial - Jaqueline Gonçalves da Costa - Educação Especial, Inclusão Escolar e Adaptações Curriculares - Nota Máxima: 7</v>
      </c>
    </row>
    <row r="4457">
      <c r="A4457" s="390" t="str">
        <f>IFERROR(__xludf.DUMMYFUNCTION("""COMPUTED_VALUE"""),"#SLEEA - Segunda Licenciatura em Educação Especial - Segunda Licenciatura em Educação Especial - Jaqueline Gonçalves da Costa - Educação Especial, Inclusão Escolar e Adaptações Curriculares - Nota Máxima: 7")</f>
        <v>#SLEEA - Segunda Licenciatura em Educação Especial - Segunda Licenciatura em Educação Especial - Jaqueline Gonçalves da Costa - Educação Especial, Inclusão Escolar e Adaptações Curriculares - Nota Máxima: 7</v>
      </c>
    </row>
    <row r="4458">
      <c r="A4458" s="390" t="str">
        <f>IFERROR(__xludf.DUMMYFUNCTION("""COMPUTED_VALUE"""),"#SLEEA - Segunda Licenciatura em Educação Especial - Segunda Licenciatura em Educação Especial - Jaqueline Gonçalves da Costa - Fisiologia Humana - Nota Máxima: 9")</f>
        <v>#SLEEA - Segunda Licenciatura em Educação Especial - Segunda Licenciatura em Educação Especial - Jaqueline Gonçalves da Costa - Fisiologia Humana - Nota Máxima: 9</v>
      </c>
    </row>
    <row r="4459">
      <c r="A4459" s="390" t="str">
        <f>IFERROR(__xludf.DUMMYFUNCTION("""COMPUTED_VALUE"""),"#SLEEA - Segunda Licenciatura em Educação Especial - Segunda Licenciatura em Educação Especial - Jaqueline Gonçalves da Costa - Jogos e Recreação - Nota Máxima: 8")</f>
        <v>#SLEEA - Segunda Licenciatura em Educação Especial - Segunda Licenciatura em Educação Especial - Jaqueline Gonçalves da Costa - Jogos e Recreação - Nota Máxima: 8</v>
      </c>
    </row>
    <row r="4460">
      <c r="A4460" s="390" t="str">
        <f>IFERROR(__xludf.DUMMYFUNCTION("""COMPUTED_VALUE"""),"#SLEEA - Segunda Licenciatura em Educação Especial - Segunda Licenciatura em Educação Especial - Jaqueline Gonçalves da Costa - Jogos e Recreação - Nota Máxima: 3")</f>
        <v>#SLEEA - Segunda Licenciatura em Educação Especial - Segunda Licenciatura em Educação Especial - Jaqueline Gonçalves da Costa - Jogos e Recreação - Nota Máxima: 3</v>
      </c>
    </row>
    <row r="4461">
      <c r="A4461" s="390" t="str">
        <f>IFERROR(__xludf.DUMMYFUNCTION("""COMPUTED_VALUE"""),"#SLEEA - Segunda Licenciatura em Educação Especial - Segunda Licenciatura em Educação Especial - Jaqueline Gonçalves da Costa - Legislação e Políticas para Educação Inclusiva e Especial - Nota Máxima: 8")</f>
        <v>#SLEEA - Segunda Licenciatura em Educação Especial - Segunda Licenciatura em Educação Especial - Jaqueline Gonçalves da Costa - Legislação e Políticas para Educação Inclusiva e Especial - Nota Máxima: 8</v>
      </c>
    </row>
    <row r="4462">
      <c r="A4462" s="390" t="str">
        <f>IFERROR(__xludf.DUMMYFUNCTION("""COMPUTED_VALUE"""),"#SLEEA - Segunda Licenciatura em Educação Especial - Segunda Licenciatura em Educação Especial - Jaqueline Gonçalves da Costa - Legislação Educacional/a - Nota Máxima: 10")</f>
        <v>#SLEEA - Segunda Licenciatura em Educação Especial - Segunda Licenciatura em Educação Especial - Jaqueline Gonçalves da Costa - Legislação Educacional/a - Nota Máxima: 10</v>
      </c>
    </row>
    <row r="4463">
      <c r="A4463" s="390" t="str">
        <f>IFERROR(__xludf.DUMMYFUNCTION("""COMPUTED_VALUE"""),"#SLEEA - Segunda Licenciatura em Educação Especial - Segunda Licenciatura em Educação Especial - Jaqueline Gonçalves da Costa - Legislação Educacional/a - Nota Máxima: 8")</f>
        <v>#SLEEA - Segunda Licenciatura em Educação Especial - Segunda Licenciatura em Educação Especial - Jaqueline Gonçalves da Costa - Legislação Educacional/a - Nota Máxima: 8</v>
      </c>
    </row>
    <row r="4464">
      <c r="A4464" s="390" t="str">
        <f>IFERROR(__xludf.DUMMYFUNCTION("""COMPUTED_VALUE"""),"#SLEEA - Segunda Licenciatura em Educação Especial - Segunda Licenciatura em Educação Especial - Jaqueline Gonçalves da Costa - Planejamento, Gestão Educacional e Currículo/a - Nota Máxima: 9")</f>
        <v>#SLEEA - Segunda Licenciatura em Educação Especial - Segunda Licenciatura em Educação Especial - Jaqueline Gonçalves da Costa - Planejamento, Gestão Educacional e Currículo/a - Nota Máxima: 9</v>
      </c>
    </row>
    <row r="4465">
      <c r="A4465" s="390" t="str">
        <f>IFERROR(__xludf.DUMMYFUNCTION("""COMPUTED_VALUE"""),"#SLEEA - Segunda Licenciatura em Educação Especial - Segunda Licenciatura em Educação Especial - Jaqueline Gonçalves da Costa - Planejamento, Gestão Educacional e Currículo/a - Nota Máxima: 5")</f>
        <v>#SLEEA - Segunda Licenciatura em Educação Especial - Segunda Licenciatura em Educação Especial - Jaqueline Gonçalves da Costa - Planejamento, Gestão Educacional e Currículo/a - Nota Máxima: 5</v>
      </c>
    </row>
    <row r="4466">
      <c r="A4466" s="390" t="str">
        <f>IFERROR(__xludf.DUMMYFUNCTION("""COMPUTED_VALUE"""),"#SLEEA - Segunda Licenciatura em Educação Especial - Segunda Licenciatura em Educação Especial - Jaqueline Gonçalves da Costa - Práticas Pedagógicas - 400 Horas - Nota Máxima: 45779")</f>
        <v>#SLEEA - Segunda Licenciatura em Educação Especial - Segunda Licenciatura em Educação Especial - Jaqueline Gonçalves da Costa - Práticas Pedagógicas - 400 Horas - Nota Máxima: 45779</v>
      </c>
    </row>
    <row r="4467">
      <c r="A4467" s="390" t="str">
        <f>IFERROR(__xludf.DUMMYFUNCTION("""COMPUTED_VALUE"""),"#SLEEA - Segunda Licenciatura em Educação Especial - Segunda Licenciatura em Educação Especial - Jaqueline Gonçalves da Costa - Práticas Pedagógicas - 400 Horas - Nota Máxima: 10")</f>
        <v>#SLEEA - Segunda Licenciatura em Educação Especial - Segunda Licenciatura em Educação Especial - Jaqueline Gonçalves da Costa - Práticas Pedagógicas - 400 Horas - Nota Máxima: 10</v>
      </c>
    </row>
    <row r="4468">
      <c r="A4468" s="390" t="str">
        <f>IFERROR(__xludf.DUMMYFUNCTION("""COMPUTED_VALUE"""),"#SLEEA - Segunda Licenciatura em Educação Especial - Segunda Licenciatura em Educação Especial - Jaqueline Gonçalves da Costa - Psicologia da Educação/a - Nota Máxima: 10")</f>
        <v>#SLEEA - Segunda Licenciatura em Educação Especial - Segunda Licenciatura em Educação Especial - Jaqueline Gonçalves da Costa - Psicologia da Educação/a - Nota Máxima: 10</v>
      </c>
    </row>
    <row r="4469">
      <c r="A4469" s="390" t="str">
        <f>IFERROR(__xludf.DUMMYFUNCTION("""COMPUTED_VALUE"""),"#SLEEA - Segunda Licenciatura em Educação Especial - Segunda Licenciatura em Educação Especial - Edilane Aparecida Fernandes - Atuação Docente na Educação Inclusiva - Nota Máxima: 10")</f>
        <v>#SLEEA - Segunda Licenciatura em Educação Especial - Segunda Licenciatura em Educação Especial - Edilane Aparecida Fernandes - Atuação Docente na Educação Inclusiva - Nota Máxima: 10</v>
      </c>
    </row>
    <row r="4470">
      <c r="A4470" s="390" t="str">
        <f>IFERROR(__xludf.DUMMYFUNCTION("""COMPUTED_VALUE"""),"#SLEEA - Segunda Licenciatura em Educação Especial - Segunda Licenciatura em Educação Especial - Edilane Aparecida Fernandes - Atuação Docente na Educação Inclusiva - Nota Máxima: 10")</f>
        <v>#SLEEA - Segunda Licenciatura em Educação Especial - Segunda Licenciatura em Educação Especial - Edilane Aparecida Fernandes - Atuação Docente na Educação Inclusiva - Nota Máxima: 10</v>
      </c>
    </row>
    <row r="4471">
      <c r="A4471" s="390" t="str">
        <f>IFERROR(__xludf.DUMMYFUNCTION("""COMPUTED_VALUE"""),"#SLEEA - Segunda Licenciatura em Educação Especial - Segunda Licenciatura em Educação Especial - Edilane Aparecida Fernandes - Cultura e Diversidade - Nota Máxima: 10")</f>
        <v>#SLEEA - Segunda Licenciatura em Educação Especial - Segunda Licenciatura em Educação Especial - Edilane Aparecida Fernandes - Cultura e Diversidade - Nota Máxima: 10</v>
      </c>
    </row>
    <row r="4472">
      <c r="A4472" s="390" t="str">
        <f>IFERROR(__xludf.DUMMYFUNCTION("""COMPUTED_VALUE"""),"#SLEEA - Segunda Licenciatura em Educação Especial - Segunda Licenciatura em Educação Especial - Edilane Aparecida Fernandes - Cultura e Diversidade - Nota Máxima: 8")</f>
        <v>#SLEEA - Segunda Licenciatura em Educação Especial - Segunda Licenciatura em Educação Especial - Edilane Aparecida Fernandes - Cultura e Diversidade - Nota Máxima: 8</v>
      </c>
    </row>
    <row r="4473">
      <c r="A4473" s="390" t="str">
        <f>IFERROR(__xludf.DUMMYFUNCTION("""COMPUTED_VALUE"""),"#SLEEA - Segunda Licenciatura em Educação Especial - Segunda Licenciatura em Educação Especial - Edilane Aparecida Fernandes - Deficiência Auditiva e Libras/a - Nota Máxima: 10")</f>
        <v>#SLEEA - Segunda Licenciatura em Educação Especial - Segunda Licenciatura em Educação Especial - Edilane Aparecida Fernandes - Deficiência Auditiva e Libras/a - Nota Máxima: 10</v>
      </c>
    </row>
    <row r="4474">
      <c r="A4474" s="390" t="str">
        <f>IFERROR(__xludf.DUMMYFUNCTION("""COMPUTED_VALUE"""),"#SLEEA - Segunda Licenciatura em Educação Especial - Segunda Licenciatura em Educação Especial - Edilane Aparecida Fernandes - Deficiência Auditiva e Libras/a - Nota Máxima: 8")</f>
        <v>#SLEEA - Segunda Licenciatura em Educação Especial - Segunda Licenciatura em Educação Especial - Edilane Aparecida Fernandes - Deficiência Auditiva e Libras/a - Nota Máxima: 8</v>
      </c>
    </row>
    <row r="4475">
      <c r="A4475" s="390" t="str">
        <f>IFERROR(__xludf.DUMMYFUNCTION("""COMPUTED_VALUE"""),"#SLEEA - Segunda Licenciatura em Educação Especial - Segunda Licenciatura em Educação Especial - Edilane Aparecida Fernandes - Educação e as Tic's - Nota Máxima: 10")</f>
        <v>#SLEEA - Segunda Licenciatura em Educação Especial - Segunda Licenciatura em Educação Especial - Edilane Aparecida Fernandes - Educação e as Tic's - Nota Máxima: 10</v>
      </c>
    </row>
    <row r="4476">
      <c r="A4476" s="390" t="str">
        <f>IFERROR(__xludf.DUMMYFUNCTION("""COMPUTED_VALUE"""),"#SLEEA - Segunda Licenciatura em Educação Especial - Segunda Licenciatura em Educação Especial - Edilane Aparecida Fernandes - Educação e as Tic's - Nota Máxima: 10")</f>
        <v>#SLEEA - Segunda Licenciatura em Educação Especial - Segunda Licenciatura em Educação Especial - Edilane Aparecida Fernandes - Educação e as Tic's - Nota Máxima: 10</v>
      </c>
    </row>
    <row r="4477">
      <c r="A4477" s="390" t="str">
        <f>IFERROR(__xludf.DUMMYFUNCTION("""COMPUTED_VALUE"""),"#SLEEA - Segunda Licenciatura em Educação Especial - Segunda Licenciatura em Educação Especial - Edilane Aparecida Fernandes - Educação em Direitos Humanos/a - Nota Máxima: 10")</f>
        <v>#SLEEA - Segunda Licenciatura em Educação Especial - Segunda Licenciatura em Educação Especial - Edilane Aparecida Fernandes - Educação em Direitos Humanos/a - Nota Máxima: 10</v>
      </c>
    </row>
    <row r="4478">
      <c r="A4478" s="390" t="str">
        <f>IFERROR(__xludf.DUMMYFUNCTION("""COMPUTED_VALUE"""),"#SLEEA - Segunda Licenciatura em Educação Especial - Segunda Licenciatura em Educação Especial - Edilane Aparecida Fernandes - Educação em Direitos Humanos/a - Nota Máxima: 10")</f>
        <v>#SLEEA - Segunda Licenciatura em Educação Especial - Segunda Licenciatura em Educação Especial - Edilane Aparecida Fernandes - Educação em Direitos Humanos/a - Nota Máxima: 10</v>
      </c>
    </row>
    <row r="4479">
      <c r="A4479" s="390" t="str">
        <f>IFERROR(__xludf.DUMMYFUNCTION("""COMPUTED_VALUE"""),"#SLEEA - Segunda Licenciatura em Educação Especial - Segunda Licenciatura em Educação Especial - Edilane Aparecida Fernandes - Educação Especial - Nota Máxima: 10")</f>
        <v>#SLEEA - Segunda Licenciatura em Educação Especial - Segunda Licenciatura em Educação Especial - Edilane Aparecida Fernandes - Educação Especial - Nota Máxima: 10</v>
      </c>
    </row>
    <row r="4480">
      <c r="A4480" s="390" t="str">
        <f>IFERROR(__xludf.DUMMYFUNCTION("""COMPUTED_VALUE"""),"#SLEEA - Segunda Licenciatura em Educação Especial - Segunda Licenciatura em Educação Especial - Edilane Aparecida Fernandes - Educação Especial - Nota Máxima: 10")</f>
        <v>#SLEEA - Segunda Licenciatura em Educação Especial - Segunda Licenciatura em Educação Especial - Edilane Aparecida Fernandes - Educação Especial - Nota Máxima: 10</v>
      </c>
    </row>
    <row r="4481">
      <c r="A4481" s="390" t="str">
        <f>IFERROR(__xludf.DUMMYFUNCTION("""COMPUTED_VALUE"""),"#SLEEA - Segunda Licenciatura em Educação Especial - Segunda Licenciatura em Educação Especial - Edilane Aparecida Fernandes - Educação Especial, Inclusão Escolar e Adaptações Curriculares - Nota Máxima: 10")</f>
        <v>#SLEEA - Segunda Licenciatura em Educação Especial - Segunda Licenciatura em Educação Especial - Edilane Aparecida Fernandes - Educação Especial, Inclusão Escolar e Adaptações Curriculares - Nota Máxima: 10</v>
      </c>
    </row>
    <row r="4482">
      <c r="A4482" s="390" t="str">
        <f>IFERROR(__xludf.DUMMYFUNCTION("""COMPUTED_VALUE"""),"#SLEEA - Segunda Licenciatura em Educação Especial - Segunda Licenciatura em Educação Especial - Edilane Aparecida Fernandes - Educação Especial, Inclusão Escolar e Adaptações Curriculares - Nota Máxima: 10")</f>
        <v>#SLEEA - Segunda Licenciatura em Educação Especial - Segunda Licenciatura em Educação Especial - Edilane Aparecida Fernandes - Educação Especial, Inclusão Escolar e Adaptações Curriculares - Nota Máxima: 10</v>
      </c>
    </row>
    <row r="4483">
      <c r="A4483" s="390" t="str">
        <f>IFERROR(__xludf.DUMMYFUNCTION("""COMPUTED_VALUE"""),"#SLEEA - Segunda Licenciatura em Educação Especial - Segunda Licenciatura em Educação Especial - Edilane Aparecida Fernandes - Fisiologia Humana - Nota Máxima: 10")</f>
        <v>#SLEEA - Segunda Licenciatura em Educação Especial - Segunda Licenciatura em Educação Especial - Edilane Aparecida Fernandes - Fisiologia Humana - Nota Máxima: 10</v>
      </c>
    </row>
    <row r="4484">
      <c r="A4484" s="390" t="str">
        <f>IFERROR(__xludf.DUMMYFUNCTION("""COMPUTED_VALUE"""),"#SLEEA - Segunda Licenciatura em Educação Especial - Segunda Licenciatura em Educação Especial - Edilane Aparecida Fernandes - Fisiologia Humana - Nota Máxima: 10")</f>
        <v>#SLEEA - Segunda Licenciatura em Educação Especial - Segunda Licenciatura em Educação Especial - Edilane Aparecida Fernandes - Fisiologia Humana - Nota Máxima: 10</v>
      </c>
    </row>
    <row r="4485">
      <c r="A4485" s="390" t="str">
        <f>IFERROR(__xludf.DUMMYFUNCTION("""COMPUTED_VALUE"""),"#SLEEA - Segunda Licenciatura em Educação Especial - Segunda Licenciatura em Educação Especial - Edilane Aparecida Fernandes - Jogos e Recreação - Nota Máxima: 10")</f>
        <v>#SLEEA - Segunda Licenciatura em Educação Especial - Segunda Licenciatura em Educação Especial - Edilane Aparecida Fernandes - Jogos e Recreação - Nota Máxima: 10</v>
      </c>
    </row>
    <row r="4486">
      <c r="A4486" s="390" t="str">
        <f>IFERROR(__xludf.DUMMYFUNCTION("""COMPUTED_VALUE"""),"#SLEEA - Segunda Licenciatura em Educação Especial - Segunda Licenciatura em Educação Especial - Edilane Aparecida Fernandes - Jogos e Recreação - Nota Máxima: 10")</f>
        <v>#SLEEA - Segunda Licenciatura em Educação Especial - Segunda Licenciatura em Educação Especial - Edilane Aparecida Fernandes - Jogos e Recreação - Nota Máxima: 10</v>
      </c>
    </row>
    <row r="4487">
      <c r="A4487" s="390" t="str">
        <f>IFERROR(__xludf.DUMMYFUNCTION("""COMPUTED_VALUE"""),"#SLEEA - Segunda Licenciatura em Educação Especial - Segunda Licenciatura em Educação Especial - Edilane Aparecida Fernandes - Legislação e Políticas para Educação Inclusiva e Especial - Nota Máxima: 10")</f>
        <v>#SLEEA - Segunda Licenciatura em Educação Especial - Segunda Licenciatura em Educação Especial - Edilane Aparecida Fernandes - Legislação e Políticas para Educação Inclusiva e Especial - Nota Máxima: 10</v>
      </c>
    </row>
    <row r="4488">
      <c r="A4488" s="390" t="str">
        <f>IFERROR(__xludf.DUMMYFUNCTION("""COMPUTED_VALUE"""),"#SLEEA - Segunda Licenciatura em Educação Especial - Segunda Licenciatura em Educação Especial - Edilane Aparecida Fernandes - Legislação e Políticas para Educação Inclusiva e Especial - Nota Máxima: 10")</f>
        <v>#SLEEA - Segunda Licenciatura em Educação Especial - Segunda Licenciatura em Educação Especial - Edilane Aparecida Fernandes - Legislação e Políticas para Educação Inclusiva e Especial - Nota Máxima: 10</v>
      </c>
    </row>
    <row r="4489">
      <c r="A4489" s="390" t="str">
        <f>IFERROR(__xludf.DUMMYFUNCTION("""COMPUTED_VALUE"""),"#SLEEA - Segunda Licenciatura em Educação Especial - Segunda Licenciatura em Educação Especial - Edilane Aparecida Fernandes - Legislação Educacional/a - Nota Máxima: 10")</f>
        <v>#SLEEA - Segunda Licenciatura em Educação Especial - Segunda Licenciatura em Educação Especial - Edilane Aparecida Fernandes - Legislação Educacional/a - Nota Máxima: 10</v>
      </c>
    </row>
    <row r="4490">
      <c r="A4490" s="390" t="str">
        <f>IFERROR(__xludf.DUMMYFUNCTION("""COMPUTED_VALUE"""),"#SLEEA - Segunda Licenciatura em Educação Especial - Segunda Licenciatura em Educação Especial - Edilane Aparecida Fernandes - Legislação Educacional/a - Nota Máxima: 8")</f>
        <v>#SLEEA - Segunda Licenciatura em Educação Especial - Segunda Licenciatura em Educação Especial - Edilane Aparecida Fernandes - Legislação Educacional/a - Nota Máxima: 8</v>
      </c>
    </row>
    <row r="4491">
      <c r="A4491" s="390" t="str">
        <f>IFERROR(__xludf.DUMMYFUNCTION("""COMPUTED_VALUE"""),"#SLEEA - Segunda Licenciatura em Educação Especial - Segunda Licenciatura em Educação Especial - Edilane Aparecida Fernandes - Planejamento, Gestão Educacional e Currículo/a - Nota Máxima: 10")</f>
        <v>#SLEEA - Segunda Licenciatura em Educação Especial - Segunda Licenciatura em Educação Especial - Edilane Aparecida Fernandes - Planejamento, Gestão Educacional e Currículo/a - Nota Máxima: 10</v>
      </c>
    </row>
    <row r="4492">
      <c r="A4492" s="390" t="str">
        <f>IFERROR(__xludf.DUMMYFUNCTION("""COMPUTED_VALUE"""),"#SLEEA - Segunda Licenciatura em Educação Especial - Segunda Licenciatura em Educação Especial - Edilane Aparecida Fernandes - Planejamento, Gestão Educacional e Currículo/a - Nota Máxima: 10")</f>
        <v>#SLEEA - Segunda Licenciatura em Educação Especial - Segunda Licenciatura em Educação Especial - Edilane Aparecida Fernandes - Planejamento, Gestão Educacional e Currículo/a - Nota Máxima: 10</v>
      </c>
    </row>
    <row r="4493">
      <c r="A4493" s="390" t="str">
        <f>IFERROR(__xludf.DUMMYFUNCTION("""COMPUTED_VALUE"""),"#SLEEA - Segunda Licenciatura em Educação Especial - Segunda Licenciatura em Educação Especial - Edilane Aparecida Fernandes - Práticas Pedagógicas - 400 Horas - Nota Máxima: 4")</f>
        <v>#SLEEA - Segunda Licenciatura em Educação Especial - Segunda Licenciatura em Educação Especial - Edilane Aparecida Fernandes - Práticas Pedagógicas - 400 Horas - Nota Máxima: 4</v>
      </c>
    </row>
    <row r="4494">
      <c r="A4494" s="390" t="str">
        <f>IFERROR(__xludf.DUMMYFUNCTION("""COMPUTED_VALUE"""),"#SLEEA - Segunda Licenciatura em Educação Especial - Segunda Licenciatura em Educação Especial - Edilane Aparecida Fernandes - Práticas Pedagógicas - 400 Horas - Nota Máxima: 4")</f>
        <v>#SLEEA - Segunda Licenciatura em Educação Especial - Segunda Licenciatura em Educação Especial - Edilane Aparecida Fernandes - Práticas Pedagógicas - 400 Horas - Nota Máxima: 4</v>
      </c>
    </row>
    <row r="4495">
      <c r="A4495" s="390" t="str">
        <f>IFERROR(__xludf.DUMMYFUNCTION("""COMPUTED_VALUE"""),"#SLEEA - Segunda Licenciatura em Educação Especial - Segunda Licenciatura em Educação Especial - Edilane Aparecida Fernandes - Psicologia da Educação/a - Nota Máxima: 10")</f>
        <v>#SLEEA - Segunda Licenciatura em Educação Especial - Segunda Licenciatura em Educação Especial - Edilane Aparecida Fernandes - Psicologia da Educação/a - Nota Máxima: 10</v>
      </c>
    </row>
    <row r="4496">
      <c r="A4496" s="390" t="str">
        <f>IFERROR(__xludf.DUMMYFUNCTION("""COMPUTED_VALUE"""),"#SLEEA - Segunda Licenciatura em Educação Especial - Segunda Licenciatura em Educação Especial - Edilane Aparecida Fernandes - Psicologia da Educação/a - Nota Máxima: 7")</f>
        <v>#SLEEA - Segunda Licenciatura em Educação Especial - Segunda Licenciatura em Educação Especial - Edilane Aparecida Fernandes - Psicologia da Educação/a - Nota Máxima: 7</v>
      </c>
    </row>
    <row r="4497">
      <c r="A4497" s="390" t="str">
        <f>IFERROR(__xludf.DUMMYFUNCTION("""COMPUTED_VALUE"""),"#SLEEA - Segunda Licenciatura em Educação Especial - Segunda Licenciatura em Educação Especial - Rosely Aparecida Vilela Costa - Atuação Docente na Educação Inclusiva - Nota Máxima: 10")</f>
        <v>#SLEEA - Segunda Licenciatura em Educação Especial - Segunda Licenciatura em Educação Especial - Rosely Aparecida Vilela Costa - Atuação Docente na Educação Inclusiva - Nota Máxima: 10</v>
      </c>
    </row>
    <row r="4498">
      <c r="A4498" s="390" t="str">
        <f>IFERROR(__xludf.DUMMYFUNCTION("""COMPUTED_VALUE"""),"#SLEEA - Segunda Licenciatura em Educação Especial - Segunda Licenciatura em Educação Especial - Rosely Aparecida Vilela Costa - Cultura e Diversidade - Nota Máxima: 10")</f>
        <v>#SLEEA - Segunda Licenciatura em Educação Especial - Segunda Licenciatura em Educação Especial - Rosely Aparecida Vilela Costa - Cultura e Diversidade - Nota Máxima: 10</v>
      </c>
    </row>
    <row r="4499">
      <c r="A4499" s="390" t="str">
        <f>IFERROR(__xludf.DUMMYFUNCTION("""COMPUTED_VALUE"""),"#SLEEA - Segunda Licenciatura em Educação Especial - Segunda Licenciatura em Educação Especial - Rosely Aparecida Vilela Costa - Deficiência Auditiva e Libras/a - Nota Máxima: 10")</f>
        <v>#SLEEA - Segunda Licenciatura em Educação Especial - Segunda Licenciatura em Educação Especial - Rosely Aparecida Vilela Costa - Deficiência Auditiva e Libras/a - Nota Máxima: 10</v>
      </c>
    </row>
    <row r="4500">
      <c r="A4500" s="390" t="str">
        <f>IFERROR(__xludf.DUMMYFUNCTION("""COMPUTED_VALUE"""),"#SLEEA - Segunda Licenciatura em Educação Especial - Segunda Licenciatura em Educação Especial - Rosely Aparecida Vilela Costa - Educação e as Tic's - Nota Máxima: 10")</f>
        <v>#SLEEA - Segunda Licenciatura em Educação Especial - Segunda Licenciatura em Educação Especial - Rosely Aparecida Vilela Costa - Educação e as Tic's - Nota Máxima: 10</v>
      </c>
    </row>
    <row r="4501">
      <c r="A4501" s="390" t="str">
        <f>IFERROR(__xludf.DUMMYFUNCTION("""COMPUTED_VALUE"""),"#SLEEA - Segunda Licenciatura em Educação Especial - Segunda Licenciatura em Educação Especial - Rosely Aparecida Vilela Costa - Educação em Direitos Humanos/a - Nota Máxima: 10")</f>
        <v>#SLEEA - Segunda Licenciatura em Educação Especial - Segunda Licenciatura em Educação Especial - Rosely Aparecida Vilela Costa - Educação em Direitos Humanos/a - Nota Máxima: 10</v>
      </c>
    </row>
    <row r="4502">
      <c r="A4502" s="390" t="str">
        <f>IFERROR(__xludf.DUMMYFUNCTION("""COMPUTED_VALUE"""),"#SLEEA - Segunda Licenciatura em Educação Especial - Segunda Licenciatura em Educação Especial - Rosely Aparecida Vilela Costa - Educação Especial - Nota Máxima: 9")</f>
        <v>#SLEEA - Segunda Licenciatura em Educação Especial - Segunda Licenciatura em Educação Especial - Rosely Aparecida Vilela Costa - Educação Especial - Nota Máxima: 9</v>
      </c>
    </row>
    <row r="4503">
      <c r="A4503" s="390" t="str">
        <f>IFERROR(__xludf.DUMMYFUNCTION("""COMPUTED_VALUE"""),"#SLEEA - Segunda Licenciatura em Educação Especial - Segunda Licenciatura em Educação Especial - Rosely Aparecida Vilela Costa - Educação Especial, Inclusão Escolar e Adaptações Curriculares - Nota Máxima: 10")</f>
        <v>#SLEEA - Segunda Licenciatura em Educação Especial - Segunda Licenciatura em Educação Especial - Rosely Aparecida Vilela Costa - Educação Especial, Inclusão Escolar e Adaptações Curriculares - Nota Máxima: 10</v>
      </c>
    </row>
    <row r="4504">
      <c r="A4504" s="390" t="str">
        <f>IFERROR(__xludf.DUMMYFUNCTION("""COMPUTED_VALUE"""),"#SLEEA - Segunda Licenciatura em Educação Especial - Segunda Licenciatura em Educação Especial - Rosely Aparecida Vilela Costa - Fisiologia Humana - Nota Máxima: 10")</f>
        <v>#SLEEA - Segunda Licenciatura em Educação Especial - Segunda Licenciatura em Educação Especial - Rosely Aparecida Vilela Costa - Fisiologia Humana - Nota Máxima: 10</v>
      </c>
    </row>
    <row r="4505">
      <c r="A4505" s="390" t="str">
        <f>IFERROR(__xludf.DUMMYFUNCTION("""COMPUTED_VALUE"""),"#SLEEA - Segunda Licenciatura em Educação Especial - Segunda Licenciatura em Educação Especial - Rosely Aparecida Vilela Costa - Jogos e Recreação - Nota Máxima: 10")</f>
        <v>#SLEEA - Segunda Licenciatura em Educação Especial - Segunda Licenciatura em Educação Especial - Rosely Aparecida Vilela Costa - Jogos e Recreação - Nota Máxima: 10</v>
      </c>
    </row>
    <row r="4506">
      <c r="A4506" s="390" t="str">
        <f>IFERROR(__xludf.DUMMYFUNCTION("""COMPUTED_VALUE"""),"#SLEEA - Segunda Licenciatura em Educação Especial - Segunda Licenciatura em Educação Especial - Rosely Aparecida Vilela Costa - Legislação e Políticas para Educação Inclusiva e Especial - Nota Máxima: 9")</f>
        <v>#SLEEA - Segunda Licenciatura em Educação Especial - Segunda Licenciatura em Educação Especial - Rosely Aparecida Vilela Costa - Legislação e Políticas para Educação Inclusiva e Especial - Nota Máxima: 9</v>
      </c>
    </row>
    <row r="4507">
      <c r="A4507" s="390" t="str">
        <f>IFERROR(__xludf.DUMMYFUNCTION("""COMPUTED_VALUE"""),"#SLEEA - Segunda Licenciatura em Educação Especial - Segunda Licenciatura em Educação Especial - Rosely Aparecida Vilela Costa - Legislação Educacional/a - Nota Máxima: 10")</f>
        <v>#SLEEA - Segunda Licenciatura em Educação Especial - Segunda Licenciatura em Educação Especial - Rosely Aparecida Vilela Costa - Legislação Educacional/a - Nota Máxima: 10</v>
      </c>
    </row>
    <row r="4508">
      <c r="A4508" s="390" t="str">
        <f>IFERROR(__xludf.DUMMYFUNCTION("""COMPUTED_VALUE"""),"#SLEEA - Segunda Licenciatura em Educação Especial - Segunda Licenciatura em Educação Especial - Rosely Aparecida Vilela Costa - Planejamento, Gestão Educacional e Currículo/a - Nota Máxima: 10")</f>
        <v>#SLEEA - Segunda Licenciatura em Educação Especial - Segunda Licenciatura em Educação Especial - Rosely Aparecida Vilela Costa - Planejamento, Gestão Educacional e Currículo/a - Nota Máxima: 10</v>
      </c>
    </row>
    <row r="4509">
      <c r="A4509" s="390" t="str">
        <f>IFERROR(__xludf.DUMMYFUNCTION("""COMPUTED_VALUE"""),"#SLEEA - Segunda Licenciatura em Educação Especial - Segunda Licenciatura em Educação Especial - Rosely Aparecida Vilela Costa - Práticas Pedagógicas - 400 Horas - Nota Máxima: 10")</f>
        <v>#SLEEA - Segunda Licenciatura em Educação Especial - Segunda Licenciatura em Educação Especial - Rosely Aparecida Vilela Costa - Práticas Pedagógicas - 400 Horas - Nota Máxima: 10</v>
      </c>
    </row>
    <row r="4510">
      <c r="A4510" s="390" t="str">
        <f>IFERROR(__xludf.DUMMYFUNCTION("""COMPUTED_VALUE"""),"#SLEEA - Segunda Licenciatura em Educação Especial - Segunda Licenciatura em Educação Especial - Rosely Aparecida Vilela Costa - Psicologia da Educação/a - Nota Máxima: 10")</f>
        <v>#SLEEA - Segunda Licenciatura em Educação Especial - Segunda Licenciatura em Educação Especial - Rosely Aparecida Vilela Costa - Psicologia da Educação/a - Nota Máxima: 10</v>
      </c>
    </row>
    <row r="4511">
      <c r="A4511" s="390" t="str">
        <f>IFERROR(__xludf.DUMMYFUNCTION("""COMPUTED_VALUE"""),"#SLEEA - Segunda Licenciatura em Educação Especial - Segunda Licenciatura em Educação Especial - Regiane Alves Rodrigues - Atuação Docente na Educação Inclusiva - Nota Máxima: 10")</f>
        <v>#SLEEA - Segunda Licenciatura em Educação Especial - Segunda Licenciatura em Educação Especial - Regiane Alves Rodrigues - Atuação Docente na Educação Inclusiva - Nota Máxima: 10</v>
      </c>
    </row>
    <row r="4512">
      <c r="A4512" s="390" t="str">
        <f>IFERROR(__xludf.DUMMYFUNCTION("""COMPUTED_VALUE"""),"#SLEEA - Segunda Licenciatura em Educação Especial - Segunda Licenciatura em Educação Especial - Regiane Alves Rodrigues - Atuação Docente na Educação Inclusiva - Nota Máxima: 9")</f>
        <v>#SLEEA - Segunda Licenciatura em Educação Especial - Segunda Licenciatura em Educação Especial - Regiane Alves Rodrigues - Atuação Docente na Educação Inclusiva - Nota Máxima: 9</v>
      </c>
    </row>
    <row r="4513">
      <c r="A4513" s="390" t="str">
        <f>IFERROR(__xludf.DUMMYFUNCTION("""COMPUTED_VALUE"""),"#SLEEA - Segunda Licenciatura em Educação Especial - Segunda Licenciatura em Educação Especial - Regiane Alves Rodrigues - Cultura e Diversidade - Nota Máxima: 10")</f>
        <v>#SLEEA - Segunda Licenciatura em Educação Especial - Segunda Licenciatura em Educação Especial - Regiane Alves Rodrigues - Cultura e Diversidade - Nota Máxima: 10</v>
      </c>
    </row>
    <row r="4514">
      <c r="A4514" s="390" t="str">
        <f>IFERROR(__xludf.DUMMYFUNCTION("""COMPUTED_VALUE"""),"#SLEEA - Segunda Licenciatura em Educação Especial - Segunda Licenciatura em Educação Especial - Regiane Alves Rodrigues - Cultura e Diversidade - Nota Máxima: 10")</f>
        <v>#SLEEA - Segunda Licenciatura em Educação Especial - Segunda Licenciatura em Educação Especial - Regiane Alves Rodrigues - Cultura e Diversidade - Nota Máxima: 10</v>
      </c>
    </row>
    <row r="4515">
      <c r="A4515" s="390" t="str">
        <f>IFERROR(__xludf.DUMMYFUNCTION("""COMPUTED_VALUE"""),"#SLEEA - Segunda Licenciatura em Educação Especial - Segunda Licenciatura em Educação Especial - Regiane Alves Rodrigues - Deficiência Auditiva e Libras/a - Nota Máxima: 8")</f>
        <v>#SLEEA - Segunda Licenciatura em Educação Especial - Segunda Licenciatura em Educação Especial - Regiane Alves Rodrigues - Deficiência Auditiva e Libras/a - Nota Máxima: 8</v>
      </c>
    </row>
    <row r="4516">
      <c r="A4516" s="390" t="str">
        <f>IFERROR(__xludf.DUMMYFUNCTION("""COMPUTED_VALUE"""),"#SLEEA - Segunda Licenciatura em Educação Especial - Segunda Licenciatura em Educação Especial - Regiane Alves Rodrigues - Deficiência Auditiva e Libras/a - Nota Máxima: 9")</f>
        <v>#SLEEA - Segunda Licenciatura em Educação Especial - Segunda Licenciatura em Educação Especial - Regiane Alves Rodrigues - Deficiência Auditiva e Libras/a - Nota Máxima: 9</v>
      </c>
    </row>
    <row r="4517">
      <c r="A4517" s="390" t="str">
        <f>IFERROR(__xludf.DUMMYFUNCTION("""COMPUTED_VALUE"""),"#SLEEA - Segunda Licenciatura em Educação Especial - Segunda Licenciatura em Educação Especial - Regiane Alves Rodrigues - Educação e as Tic's - Nota Máxima: 10")</f>
        <v>#SLEEA - Segunda Licenciatura em Educação Especial - Segunda Licenciatura em Educação Especial - Regiane Alves Rodrigues - Educação e as Tic's - Nota Máxima: 10</v>
      </c>
    </row>
    <row r="4518">
      <c r="A4518" s="390" t="str">
        <f>IFERROR(__xludf.DUMMYFUNCTION("""COMPUTED_VALUE"""),"#SLEEA - Segunda Licenciatura em Educação Especial - Segunda Licenciatura em Educação Especial - Regiane Alves Rodrigues - Educação e as Tic's - Nota Máxima: 8")</f>
        <v>#SLEEA - Segunda Licenciatura em Educação Especial - Segunda Licenciatura em Educação Especial - Regiane Alves Rodrigues - Educação e as Tic's - Nota Máxima: 8</v>
      </c>
    </row>
    <row r="4519">
      <c r="A4519" s="390" t="str">
        <f>IFERROR(__xludf.DUMMYFUNCTION("""COMPUTED_VALUE"""),"#SLEEA - Segunda Licenciatura em Educação Especial - Segunda Licenciatura em Educação Especial - Regiane Alves Rodrigues - Educação em Direitos Humanos/a - Nota Máxima: 10")</f>
        <v>#SLEEA - Segunda Licenciatura em Educação Especial - Segunda Licenciatura em Educação Especial - Regiane Alves Rodrigues - Educação em Direitos Humanos/a - Nota Máxima: 10</v>
      </c>
    </row>
    <row r="4520">
      <c r="A4520" s="390" t="str">
        <f>IFERROR(__xludf.DUMMYFUNCTION("""COMPUTED_VALUE"""),"#SLEEA - Segunda Licenciatura em Educação Especial - Segunda Licenciatura em Educação Especial - Regiane Alves Rodrigues - Educação em Direitos Humanos/a - Nota Máxima: 8")</f>
        <v>#SLEEA - Segunda Licenciatura em Educação Especial - Segunda Licenciatura em Educação Especial - Regiane Alves Rodrigues - Educação em Direitos Humanos/a - Nota Máxima: 8</v>
      </c>
    </row>
    <row r="4521">
      <c r="A4521" s="390" t="str">
        <f>IFERROR(__xludf.DUMMYFUNCTION("""COMPUTED_VALUE"""),"#SLEEA - Segunda Licenciatura em Educação Especial - Segunda Licenciatura em Educação Especial - Regiane Alves Rodrigues - Educação Especial - Nota Máxima: 10")</f>
        <v>#SLEEA - Segunda Licenciatura em Educação Especial - Segunda Licenciatura em Educação Especial - Regiane Alves Rodrigues - Educação Especial - Nota Máxima: 10</v>
      </c>
    </row>
    <row r="4522">
      <c r="A4522" s="390" t="str">
        <f>IFERROR(__xludf.DUMMYFUNCTION("""COMPUTED_VALUE"""),"#SLEEA - Segunda Licenciatura em Educação Especial - Segunda Licenciatura em Educação Especial - Regiane Alves Rodrigues - Educação Especial - Nota Máxima: 8")</f>
        <v>#SLEEA - Segunda Licenciatura em Educação Especial - Segunda Licenciatura em Educação Especial - Regiane Alves Rodrigues - Educação Especial - Nota Máxima: 8</v>
      </c>
    </row>
    <row r="4523">
      <c r="A4523" s="390" t="str">
        <f>IFERROR(__xludf.DUMMYFUNCTION("""COMPUTED_VALUE"""),"#SLEEA - Segunda Licenciatura em Educação Especial - Segunda Licenciatura em Educação Especial - Regiane Alves Rodrigues - Educação Especial, Inclusão Escolar e Adaptações Curriculares - Nota Máxima: 10")</f>
        <v>#SLEEA - Segunda Licenciatura em Educação Especial - Segunda Licenciatura em Educação Especial - Regiane Alves Rodrigues - Educação Especial, Inclusão Escolar e Adaptações Curriculares - Nota Máxima: 10</v>
      </c>
    </row>
    <row r="4524">
      <c r="A4524" s="390" t="str">
        <f>IFERROR(__xludf.DUMMYFUNCTION("""COMPUTED_VALUE"""),"#SLEEA - Segunda Licenciatura em Educação Especial - Segunda Licenciatura em Educação Especial - Regiane Alves Rodrigues - Educação Especial, Inclusão Escolar e Adaptações Curriculares - Nota Máxima: 9")</f>
        <v>#SLEEA - Segunda Licenciatura em Educação Especial - Segunda Licenciatura em Educação Especial - Regiane Alves Rodrigues - Educação Especial, Inclusão Escolar e Adaptações Curriculares - Nota Máxima: 9</v>
      </c>
    </row>
    <row r="4525">
      <c r="A4525" s="390" t="str">
        <f>IFERROR(__xludf.DUMMYFUNCTION("""COMPUTED_VALUE"""),"#SLEEA - Segunda Licenciatura em Educação Especial - Segunda Licenciatura em Educação Especial - Regiane Alves Rodrigues - Fisiologia Humana - Nota Máxima: 10")</f>
        <v>#SLEEA - Segunda Licenciatura em Educação Especial - Segunda Licenciatura em Educação Especial - Regiane Alves Rodrigues - Fisiologia Humana - Nota Máxima: 10</v>
      </c>
    </row>
    <row r="4526">
      <c r="A4526" s="390" t="str">
        <f>IFERROR(__xludf.DUMMYFUNCTION("""COMPUTED_VALUE"""),"#SLEEA - Segunda Licenciatura em Educação Especial - Segunda Licenciatura em Educação Especial - Regiane Alves Rodrigues - Fisiologia Humana - Nota Máxima: 7")</f>
        <v>#SLEEA - Segunda Licenciatura em Educação Especial - Segunda Licenciatura em Educação Especial - Regiane Alves Rodrigues - Fisiologia Humana - Nota Máxima: 7</v>
      </c>
    </row>
    <row r="4527">
      <c r="A4527" s="390" t="str">
        <f>IFERROR(__xludf.DUMMYFUNCTION("""COMPUTED_VALUE"""),"#SLEEA - Segunda Licenciatura em Educação Especial - Segunda Licenciatura em Educação Especial - Regiane Alves Rodrigues - Jogos e Recreação - Nota Máxima: 10")</f>
        <v>#SLEEA - Segunda Licenciatura em Educação Especial - Segunda Licenciatura em Educação Especial - Regiane Alves Rodrigues - Jogos e Recreação - Nota Máxima: 10</v>
      </c>
    </row>
    <row r="4528">
      <c r="A4528" s="390" t="str">
        <f>IFERROR(__xludf.DUMMYFUNCTION("""COMPUTED_VALUE"""),"#SLEEA - Segunda Licenciatura em Educação Especial - Segunda Licenciatura em Educação Especial - Regiane Alves Rodrigues - Jogos e Recreação - Nota Máxima: 7")</f>
        <v>#SLEEA - Segunda Licenciatura em Educação Especial - Segunda Licenciatura em Educação Especial - Regiane Alves Rodrigues - Jogos e Recreação - Nota Máxima: 7</v>
      </c>
    </row>
    <row r="4529">
      <c r="A4529" s="390" t="str">
        <f>IFERROR(__xludf.DUMMYFUNCTION("""COMPUTED_VALUE"""),"#SLEEA - Segunda Licenciatura em Educação Especial - Segunda Licenciatura em Educação Especial - Regiane Alves Rodrigues - Legislação e Políticas para Educação Inclusiva e Especial - Nota Máxima: 10")</f>
        <v>#SLEEA - Segunda Licenciatura em Educação Especial - Segunda Licenciatura em Educação Especial - Regiane Alves Rodrigues - Legislação e Políticas para Educação Inclusiva e Especial - Nota Máxima: 10</v>
      </c>
    </row>
    <row r="4530">
      <c r="A4530" s="390" t="str">
        <f>IFERROR(__xludf.DUMMYFUNCTION("""COMPUTED_VALUE"""),"#SLEEA - Segunda Licenciatura em Educação Especial - Segunda Licenciatura em Educação Especial - Regiane Alves Rodrigues - Legislação e Políticas para Educação Inclusiva e Especial - Nota Máxima: 7")</f>
        <v>#SLEEA - Segunda Licenciatura em Educação Especial - Segunda Licenciatura em Educação Especial - Regiane Alves Rodrigues - Legislação e Políticas para Educação Inclusiva e Especial - Nota Máxima: 7</v>
      </c>
    </row>
    <row r="4531">
      <c r="A4531" s="390" t="str">
        <f>IFERROR(__xludf.DUMMYFUNCTION("""COMPUTED_VALUE"""),"#SLEEA - Segunda Licenciatura em Educação Especial - Segunda Licenciatura em Educação Especial - Regiane Alves Rodrigues - Legislação Educacional/a - Nota Máxima: 9")</f>
        <v>#SLEEA - Segunda Licenciatura em Educação Especial - Segunda Licenciatura em Educação Especial - Regiane Alves Rodrigues - Legislação Educacional/a - Nota Máxima: 9</v>
      </c>
    </row>
    <row r="4532">
      <c r="A4532" s="390" t="str">
        <f>IFERROR(__xludf.DUMMYFUNCTION("""COMPUTED_VALUE"""),"#SLEEA - Segunda Licenciatura em Educação Especial - Segunda Licenciatura em Educação Especial - Regiane Alves Rodrigues - Legislação Educacional/a - Nota Máxima: 10")</f>
        <v>#SLEEA - Segunda Licenciatura em Educação Especial - Segunda Licenciatura em Educação Especial - Regiane Alves Rodrigues - Legislação Educacional/a - Nota Máxima: 10</v>
      </c>
    </row>
    <row r="4533">
      <c r="A4533" s="390" t="str">
        <f>IFERROR(__xludf.DUMMYFUNCTION("""COMPUTED_VALUE"""),"#SLEEA - Segunda Licenciatura em Educação Especial - Segunda Licenciatura em Educação Especial - Regiane Alves Rodrigues - Planejamento, Gestão Educacional e Currículo/a - Nota Máxima: 10")</f>
        <v>#SLEEA - Segunda Licenciatura em Educação Especial - Segunda Licenciatura em Educação Especial - Regiane Alves Rodrigues - Planejamento, Gestão Educacional e Currículo/a - Nota Máxima: 10</v>
      </c>
    </row>
    <row r="4534">
      <c r="A4534" s="390" t="str">
        <f>IFERROR(__xludf.DUMMYFUNCTION("""COMPUTED_VALUE"""),"#SLEEA - Segunda Licenciatura em Educação Especial - Segunda Licenciatura em Educação Especial - Regiane Alves Rodrigues - Planejamento, Gestão Educacional e Currículo/a - Nota Máxima: 10")</f>
        <v>#SLEEA - Segunda Licenciatura em Educação Especial - Segunda Licenciatura em Educação Especial - Regiane Alves Rodrigues - Planejamento, Gestão Educacional e Currículo/a - Nota Máxima: 10</v>
      </c>
    </row>
    <row r="4535">
      <c r="A4535" s="390" t="str">
        <f>IFERROR(__xludf.DUMMYFUNCTION("""COMPUTED_VALUE"""),"#SLEEA - Segunda Licenciatura em Educação Especial - Segunda Licenciatura em Educação Especial - Regiane Alves Rodrigues - Práticas Pedagógicas - 400 Horas - Nota Máxima: 10")</f>
        <v>#SLEEA - Segunda Licenciatura em Educação Especial - Segunda Licenciatura em Educação Especial - Regiane Alves Rodrigues - Práticas Pedagógicas - 400 Horas - Nota Máxima: 10</v>
      </c>
    </row>
    <row r="4536">
      <c r="A4536" s="390" t="str">
        <f>IFERROR(__xludf.DUMMYFUNCTION("""COMPUTED_VALUE"""),"#SLEEA - Segunda Licenciatura em Educação Especial - Segunda Licenciatura em Educação Especial - Regiane Alves Rodrigues - Práticas Pedagógicas - 400 Horas - Nota Máxima: 10")</f>
        <v>#SLEEA - Segunda Licenciatura em Educação Especial - Segunda Licenciatura em Educação Especial - Regiane Alves Rodrigues - Práticas Pedagógicas - 400 Horas - Nota Máxima: 10</v>
      </c>
    </row>
    <row r="4537">
      <c r="A4537" s="390" t="str">
        <f>IFERROR(__xludf.DUMMYFUNCTION("""COMPUTED_VALUE"""),"#SLEEA - Segunda Licenciatura em Educação Especial - Segunda Licenciatura em Educação Especial - Regiane Alves Rodrigues - Psicologia da Educação/a - Nota Máxima: 10")</f>
        <v>#SLEEA - Segunda Licenciatura em Educação Especial - Segunda Licenciatura em Educação Especial - Regiane Alves Rodrigues - Psicologia da Educação/a - Nota Máxima: 10</v>
      </c>
    </row>
    <row r="4538">
      <c r="A4538" s="390" t="str">
        <f>IFERROR(__xludf.DUMMYFUNCTION("""COMPUTED_VALUE"""),"#SLEEA - Segunda Licenciatura em Educação Especial - Segunda Licenciatura em Educação Especial - Regiane Alves Rodrigues - Psicologia da Educação/a - Nota Máxima: 9")</f>
        <v>#SLEEA - Segunda Licenciatura em Educação Especial - Segunda Licenciatura em Educação Especial - Regiane Alves Rodrigues - Psicologia da Educação/a - Nota Máxima: 9</v>
      </c>
    </row>
    <row r="4539">
      <c r="A4539" s="390" t="str">
        <f>IFERROR(__xludf.DUMMYFUNCTION("""COMPUTED_VALUE"""),"#SLEEA - Segunda Licenciatura em Educação Especial - Segunda Licenciatura em Educação Especial - Valéria Coelho dos Santos - Atuação Docente na Educação Inclusiva - Nota Máxima: 9")</f>
        <v>#SLEEA - Segunda Licenciatura em Educação Especial - Segunda Licenciatura em Educação Especial - Valéria Coelho dos Santos - Atuação Docente na Educação Inclusiva - Nota Máxima: 9</v>
      </c>
    </row>
    <row r="4540">
      <c r="A4540" s="390" t="str">
        <f>IFERROR(__xludf.DUMMYFUNCTION("""COMPUTED_VALUE"""),"#SLEEA - Segunda Licenciatura em Educação Especial - Segunda Licenciatura em Educação Especial - Valéria Coelho dos Santos - Cultura e Diversidade - Nota Máxima: 9")</f>
        <v>#SLEEA - Segunda Licenciatura em Educação Especial - Segunda Licenciatura em Educação Especial - Valéria Coelho dos Santos - Cultura e Diversidade - Nota Máxima: 9</v>
      </c>
    </row>
    <row r="4541">
      <c r="A4541" s="390" t="str">
        <f>IFERROR(__xludf.DUMMYFUNCTION("""COMPUTED_VALUE"""),"#SLEEA - Segunda Licenciatura em Educação Especial - Segunda Licenciatura em Educação Especial - Valéria Coelho dos Santos - Deficiência Auditiva e Libras/a - Nota Máxima: 9")</f>
        <v>#SLEEA - Segunda Licenciatura em Educação Especial - Segunda Licenciatura em Educação Especial - Valéria Coelho dos Santos - Deficiência Auditiva e Libras/a - Nota Máxima: 9</v>
      </c>
    </row>
    <row r="4542">
      <c r="A4542" s="390" t="str">
        <f>IFERROR(__xludf.DUMMYFUNCTION("""COMPUTED_VALUE"""),"#SLEEA - Segunda Licenciatura em Educação Especial - Segunda Licenciatura em Educação Especial - Valéria Coelho dos Santos - Deficiência Auditiva e Libras/a - Nota Máxima: 8")</f>
        <v>#SLEEA - Segunda Licenciatura em Educação Especial - Segunda Licenciatura em Educação Especial - Valéria Coelho dos Santos - Deficiência Auditiva e Libras/a - Nota Máxima: 8</v>
      </c>
    </row>
    <row r="4543">
      <c r="A4543" s="390" t="str">
        <f>IFERROR(__xludf.DUMMYFUNCTION("""COMPUTED_VALUE"""),"#SLEEA - Segunda Licenciatura em Educação Especial - Segunda Licenciatura em Educação Especial - Valéria Coelho dos Santos - Educação e as Tic's - Nota Máxima: 8")</f>
        <v>#SLEEA - Segunda Licenciatura em Educação Especial - Segunda Licenciatura em Educação Especial - Valéria Coelho dos Santos - Educação e as Tic's - Nota Máxima: 8</v>
      </c>
    </row>
    <row r="4544">
      <c r="A4544" s="390" t="str">
        <f>IFERROR(__xludf.DUMMYFUNCTION("""COMPUTED_VALUE"""),"#SLEEA - Segunda Licenciatura em Educação Especial - Segunda Licenciatura em Educação Especial - Valéria Coelho dos Santos - Educação em Direitos Humanos/a - Nota Máxima: 10")</f>
        <v>#SLEEA - Segunda Licenciatura em Educação Especial - Segunda Licenciatura em Educação Especial - Valéria Coelho dos Santos - Educação em Direitos Humanos/a - Nota Máxima: 10</v>
      </c>
    </row>
    <row r="4545">
      <c r="A4545" s="390" t="str">
        <f>IFERROR(__xludf.DUMMYFUNCTION("""COMPUTED_VALUE"""),"#SLEEA - Segunda Licenciatura em Educação Especial - Segunda Licenciatura em Educação Especial - Valéria Coelho dos Santos - Educação Especial - Nota Máxima: 9")</f>
        <v>#SLEEA - Segunda Licenciatura em Educação Especial - Segunda Licenciatura em Educação Especial - Valéria Coelho dos Santos - Educação Especial - Nota Máxima: 9</v>
      </c>
    </row>
    <row r="4546">
      <c r="A4546" s="390" t="str">
        <f>IFERROR(__xludf.DUMMYFUNCTION("""COMPUTED_VALUE"""),"#SLEEA - Segunda Licenciatura em Educação Especial - Segunda Licenciatura em Educação Especial - Valéria Coelho dos Santos - Fisiologia Humana - Nota Máxima: 9")</f>
        <v>#SLEEA - Segunda Licenciatura em Educação Especial - Segunda Licenciatura em Educação Especial - Valéria Coelho dos Santos - Fisiologia Humana - Nota Máxima: 9</v>
      </c>
    </row>
    <row r="4547">
      <c r="A4547" s="390" t="str">
        <f>IFERROR(__xludf.DUMMYFUNCTION("""COMPUTED_VALUE"""),"#SLEEA - Segunda Licenciatura em Educação Especial - Segunda Licenciatura em Educação Especial - Valéria Coelho dos Santos - Jogos e Recreação - Nota Máxima: 9")</f>
        <v>#SLEEA - Segunda Licenciatura em Educação Especial - Segunda Licenciatura em Educação Especial - Valéria Coelho dos Santos - Jogos e Recreação - Nota Máxima: 9</v>
      </c>
    </row>
    <row r="4548">
      <c r="A4548" s="390" t="str">
        <f>IFERROR(__xludf.DUMMYFUNCTION("""COMPUTED_VALUE"""),"#SLEEA - Segunda Licenciatura em Educação Especial - Segunda Licenciatura em Educação Especial - Valéria Coelho dos Santos - Legislação e Políticas para Educação Inclusiva e Especial - Nota Máxima: 8")</f>
        <v>#SLEEA - Segunda Licenciatura em Educação Especial - Segunda Licenciatura em Educação Especial - Valéria Coelho dos Santos - Legislação e Políticas para Educação Inclusiva e Especial - Nota Máxima: 8</v>
      </c>
    </row>
    <row r="4549">
      <c r="A4549" s="390" t="str">
        <f>IFERROR(__xludf.DUMMYFUNCTION("""COMPUTED_VALUE"""),"#SLEEA - Segunda Licenciatura em Educação Especial - Segunda Licenciatura em Educação Especial - Valéria Coelho dos Santos - Legislação Educacional/a - Nota Máxima: 8")</f>
        <v>#SLEEA - Segunda Licenciatura em Educação Especial - Segunda Licenciatura em Educação Especial - Valéria Coelho dos Santos - Legislação Educacional/a - Nota Máxima: 8</v>
      </c>
    </row>
    <row r="4550">
      <c r="A4550" s="390" t="str">
        <f>IFERROR(__xludf.DUMMYFUNCTION("""COMPUTED_VALUE"""),"#SLEEA - Segunda Licenciatura em Educação Especial - Segunda Licenciatura em Educação Especial - Valéria Coelho dos Santos - Legislação Educacional/a - Nota Máxima: 7")</f>
        <v>#SLEEA - Segunda Licenciatura em Educação Especial - Segunda Licenciatura em Educação Especial - Valéria Coelho dos Santos - Legislação Educacional/a - Nota Máxima: 7</v>
      </c>
    </row>
    <row r="4551">
      <c r="A4551" s="390" t="str">
        <f>IFERROR(__xludf.DUMMYFUNCTION("""COMPUTED_VALUE"""),"#SLEEA - Segunda Licenciatura em Educação Especial - Segunda Licenciatura em Educação Especial - Valéria Coelho dos Santos - Práticas Pedagógicas - 400 Horas - Nota Máxima: 10")</f>
        <v>#SLEEA - Segunda Licenciatura em Educação Especial - Segunda Licenciatura em Educação Especial - Valéria Coelho dos Santos - Práticas Pedagógicas - 400 Horas - Nota Máxima: 10</v>
      </c>
    </row>
    <row r="4552">
      <c r="A4552" s="390" t="str">
        <f>IFERROR(__xludf.DUMMYFUNCTION("""COMPUTED_VALUE"""),"#SLEEA - Segunda Licenciatura em Educação Especial - Segunda Licenciatura em Educação Especial - Valéria Coelho dos Santos - Práticas Pedagógicas - 400 Horas - Nota Máxima: 0")</f>
        <v>#SLEEA - Segunda Licenciatura em Educação Especial - Segunda Licenciatura em Educação Especial - Valéria Coelho dos Santos - Práticas Pedagógicas - 400 Horas - Nota Máxima: 0</v>
      </c>
    </row>
    <row r="4553">
      <c r="A4553" s="390" t="str">
        <f>IFERROR(__xludf.DUMMYFUNCTION("""COMPUTED_VALUE"""),"#SLEEA - Segunda Licenciatura em Educação Especial - Segunda Licenciatura em Educação Especial - Valéria Coelho dos Santos - Psicologia da Educação/a - Nota Máxima: 7")</f>
        <v>#SLEEA - Segunda Licenciatura em Educação Especial - Segunda Licenciatura em Educação Especial - Valéria Coelho dos Santos - Psicologia da Educação/a - Nota Máxima: 7</v>
      </c>
    </row>
    <row r="4554">
      <c r="A4554" s="390" t="str">
        <f>IFERROR(__xludf.DUMMYFUNCTION("""COMPUTED_VALUE"""),"#SLEEA - Segunda Licenciatura em Educação Especial - Segunda Licenciatura em Educação Especial - Valéria Coelho dos Santos - Psicologia da Educação/a - Nota Máxima: 6")</f>
        <v>#SLEEA - Segunda Licenciatura em Educação Especial - Segunda Licenciatura em Educação Especial - Valéria Coelho dos Santos - Psicologia da Educação/a - Nota Máxima: 6</v>
      </c>
    </row>
    <row r="4555">
      <c r="A4555" s="390" t="str">
        <f>IFERROR(__xludf.DUMMYFUNCTION("""COMPUTED_VALUE"""),"#SLEEA - Segunda Licenciatura em Educação Especial - Segunda Licenciatura em Educação Especial - Henrique Cássio Cândido Cunha - Atuação Docente na Educação Inclusiva - Nota Máxima: 9")</f>
        <v>#SLEEA - Segunda Licenciatura em Educação Especial - Segunda Licenciatura em Educação Especial - Henrique Cássio Cândido Cunha - Atuação Docente na Educação Inclusiva - Nota Máxima: 9</v>
      </c>
    </row>
    <row r="4556">
      <c r="A4556" s="390" t="str">
        <f>IFERROR(__xludf.DUMMYFUNCTION("""COMPUTED_VALUE"""),"#SLEEA - Segunda Licenciatura em Educação Especial - Segunda Licenciatura em Educação Especial - Henrique Cássio Cândido Cunha - Atuação Docente na Educação Inclusiva - Nota Máxima: 10")</f>
        <v>#SLEEA - Segunda Licenciatura em Educação Especial - Segunda Licenciatura em Educação Especial - Henrique Cássio Cândido Cunha - Atuação Docente na Educação Inclusiva - Nota Máxima: 10</v>
      </c>
    </row>
    <row r="4557">
      <c r="A4557" s="390" t="str">
        <f>IFERROR(__xludf.DUMMYFUNCTION("""COMPUTED_VALUE"""),"#SLEEA - Segunda Licenciatura em Educação Especial - Segunda Licenciatura em Educação Especial - Henrique Cássio Cândido Cunha - Cultura e Diversidade - Nota Máxima: 8")</f>
        <v>#SLEEA - Segunda Licenciatura em Educação Especial - Segunda Licenciatura em Educação Especial - Henrique Cássio Cândido Cunha - Cultura e Diversidade - Nota Máxima: 8</v>
      </c>
    </row>
    <row r="4558">
      <c r="A4558" s="390" t="str">
        <f>IFERROR(__xludf.DUMMYFUNCTION("""COMPUTED_VALUE"""),"#SLEEA - Segunda Licenciatura em Educação Especial - Segunda Licenciatura em Educação Especial - Henrique Cássio Cândido Cunha - Cultura e Diversidade - Nota Máxima: 10")</f>
        <v>#SLEEA - Segunda Licenciatura em Educação Especial - Segunda Licenciatura em Educação Especial - Henrique Cássio Cândido Cunha - Cultura e Diversidade - Nota Máxima: 10</v>
      </c>
    </row>
    <row r="4559">
      <c r="A4559" s="390" t="str">
        <f>IFERROR(__xludf.DUMMYFUNCTION("""COMPUTED_VALUE"""),"#SLEEA - Segunda Licenciatura em Educação Especial - Segunda Licenciatura em Educação Especial - Henrique Cássio Cândido Cunha - Deficiência Auditiva e Libras/a - Nota Máxima: 8")</f>
        <v>#SLEEA - Segunda Licenciatura em Educação Especial - Segunda Licenciatura em Educação Especial - Henrique Cássio Cândido Cunha - Deficiência Auditiva e Libras/a - Nota Máxima: 8</v>
      </c>
    </row>
    <row r="4560">
      <c r="A4560" s="390" t="str">
        <f>IFERROR(__xludf.DUMMYFUNCTION("""COMPUTED_VALUE"""),"#SLEEA - Segunda Licenciatura em Educação Especial - Segunda Licenciatura em Educação Especial - Henrique Cássio Cândido Cunha - Deficiência Auditiva e Libras/a - Nota Máxima: 6")</f>
        <v>#SLEEA - Segunda Licenciatura em Educação Especial - Segunda Licenciatura em Educação Especial - Henrique Cássio Cândido Cunha - Deficiência Auditiva e Libras/a - Nota Máxima: 6</v>
      </c>
    </row>
    <row r="4561">
      <c r="A4561" s="390" t="str">
        <f>IFERROR(__xludf.DUMMYFUNCTION("""COMPUTED_VALUE"""),"#SLEEA - Segunda Licenciatura em Educação Especial - Segunda Licenciatura em Educação Especial - Henrique Cássio Cândido Cunha - Educação e as Tic's - Nota Máxima: 8")</f>
        <v>#SLEEA - Segunda Licenciatura em Educação Especial - Segunda Licenciatura em Educação Especial - Henrique Cássio Cândido Cunha - Educação e as Tic's - Nota Máxima: 8</v>
      </c>
    </row>
    <row r="4562">
      <c r="A4562" s="390" t="str">
        <f>IFERROR(__xludf.DUMMYFUNCTION("""COMPUTED_VALUE"""),"#SLEEA - Segunda Licenciatura em Educação Especial - Segunda Licenciatura em Educação Especial - Henrique Cássio Cândido Cunha - Educação e as Tic's - Nota Máxima: 7")</f>
        <v>#SLEEA - Segunda Licenciatura em Educação Especial - Segunda Licenciatura em Educação Especial - Henrique Cássio Cândido Cunha - Educação e as Tic's - Nota Máxima: 7</v>
      </c>
    </row>
    <row r="4563">
      <c r="A4563" s="390" t="str">
        <f>IFERROR(__xludf.DUMMYFUNCTION("""COMPUTED_VALUE"""),"#SLEEA - Segunda Licenciatura em Educação Especial - Segunda Licenciatura em Educação Especial - Henrique Cássio Cândido Cunha - Educação em Direitos Humanos/a - Nota Máxima: 9")</f>
        <v>#SLEEA - Segunda Licenciatura em Educação Especial - Segunda Licenciatura em Educação Especial - Henrique Cássio Cândido Cunha - Educação em Direitos Humanos/a - Nota Máxima: 9</v>
      </c>
    </row>
    <row r="4564">
      <c r="A4564" s="390" t="str">
        <f>IFERROR(__xludf.DUMMYFUNCTION("""COMPUTED_VALUE"""),"#SLEEA - Segunda Licenciatura em Educação Especial - Segunda Licenciatura em Educação Especial - Henrique Cássio Cândido Cunha - Educação em Direitos Humanos/a - Nota Máxima: 9")</f>
        <v>#SLEEA - Segunda Licenciatura em Educação Especial - Segunda Licenciatura em Educação Especial - Henrique Cássio Cândido Cunha - Educação em Direitos Humanos/a - Nota Máxima: 9</v>
      </c>
    </row>
    <row r="4565">
      <c r="A4565" s="390" t="str">
        <f>IFERROR(__xludf.DUMMYFUNCTION("""COMPUTED_VALUE"""),"#SLEEA - Segunda Licenciatura em Educação Especial - Segunda Licenciatura em Educação Especial - Henrique Cássio Cândido Cunha - Educação Especial - Nota Máxima: 7")</f>
        <v>#SLEEA - Segunda Licenciatura em Educação Especial - Segunda Licenciatura em Educação Especial - Henrique Cássio Cândido Cunha - Educação Especial - Nota Máxima: 7</v>
      </c>
    </row>
    <row r="4566">
      <c r="A4566" s="390" t="str">
        <f>IFERROR(__xludf.DUMMYFUNCTION("""COMPUTED_VALUE"""),"#SLEEA - Segunda Licenciatura em Educação Especial - Segunda Licenciatura em Educação Especial - Henrique Cássio Cândido Cunha - Educação Especial - Nota Máxima: 10")</f>
        <v>#SLEEA - Segunda Licenciatura em Educação Especial - Segunda Licenciatura em Educação Especial - Henrique Cássio Cândido Cunha - Educação Especial - Nota Máxima: 10</v>
      </c>
    </row>
    <row r="4567">
      <c r="A4567" s="390" t="str">
        <f>IFERROR(__xludf.DUMMYFUNCTION("""COMPUTED_VALUE"""),"#SLEEA - Segunda Licenciatura em Educação Especial - Segunda Licenciatura em Educação Especial - Henrique Cássio Cândido Cunha - Educação Especial, Inclusão Escolar e Adaptações Curriculares - Nota Máxima: 9")</f>
        <v>#SLEEA - Segunda Licenciatura em Educação Especial - Segunda Licenciatura em Educação Especial - Henrique Cássio Cândido Cunha - Educação Especial, Inclusão Escolar e Adaptações Curriculares - Nota Máxima: 9</v>
      </c>
    </row>
    <row r="4568">
      <c r="A4568" s="390" t="str">
        <f>IFERROR(__xludf.DUMMYFUNCTION("""COMPUTED_VALUE"""),"#SLEEA - Segunda Licenciatura em Educação Especial - Segunda Licenciatura em Educação Especial - Henrique Cássio Cândido Cunha - Educação Especial, Inclusão Escolar e Adaptações Curriculares - Nota Máxima: 8")</f>
        <v>#SLEEA - Segunda Licenciatura em Educação Especial - Segunda Licenciatura em Educação Especial - Henrique Cássio Cândido Cunha - Educação Especial, Inclusão Escolar e Adaptações Curriculares - Nota Máxima: 8</v>
      </c>
    </row>
    <row r="4569">
      <c r="A4569" s="390" t="str">
        <f>IFERROR(__xludf.DUMMYFUNCTION("""COMPUTED_VALUE"""),"#SLEEA - Segunda Licenciatura em Educação Especial - Segunda Licenciatura em Educação Especial - Henrique Cássio Cândido Cunha - Fisiologia Humana - Nota Máxima: 8")</f>
        <v>#SLEEA - Segunda Licenciatura em Educação Especial - Segunda Licenciatura em Educação Especial - Henrique Cássio Cândido Cunha - Fisiologia Humana - Nota Máxima: 8</v>
      </c>
    </row>
    <row r="4570">
      <c r="A4570" s="390" t="str">
        <f>IFERROR(__xludf.DUMMYFUNCTION("""COMPUTED_VALUE"""),"#SLEEA - Segunda Licenciatura em Educação Especial - Segunda Licenciatura em Educação Especial - Henrique Cássio Cândido Cunha - Fisiologia Humana - Nota Máxima: 7")</f>
        <v>#SLEEA - Segunda Licenciatura em Educação Especial - Segunda Licenciatura em Educação Especial - Henrique Cássio Cândido Cunha - Fisiologia Humana - Nota Máxima: 7</v>
      </c>
    </row>
    <row r="4571">
      <c r="A4571" s="390" t="str">
        <f>IFERROR(__xludf.DUMMYFUNCTION("""COMPUTED_VALUE"""),"#SLEEA - Segunda Licenciatura em Educação Especial - Segunda Licenciatura em Educação Especial - Henrique Cássio Cândido Cunha - Jogos e Recreação - Nota Máxima: 8")</f>
        <v>#SLEEA - Segunda Licenciatura em Educação Especial - Segunda Licenciatura em Educação Especial - Henrique Cássio Cândido Cunha - Jogos e Recreação - Nota Máxima: 8</v>
      </c>
    </row>
    <row r="4572">
      <c r="A4572" s="390" t="str">
        <f>IFERROR(__xludf.DUMMYFUNCTION("""COMPUTED_VALUE"""),"#SLEEA - Segunda Licenciatura em Educação Especial - Segunda Licenciatura em Educação Especial - Henrique Cássio Cândido Cunha - Jogos e Recreação - Nota Máxima: 9")</f>
        <v>#SLEEA - Segunda Licenciatura em Educação Especial - Segunda Licenciatura em Educação Especial - Henrique Cássio Cândido Cunha - Jogos e Recreação - Nota Máxima: 9</v>
      </c>
    </row>
    <row r="4573">
      <c r="A4573" s="390" t="str">
        <f>IFERROR(__xludf.DUMMYFUNCTION("""COMPUTED_VALUE"""),"#SLEEA - Segunda Licenciatura em Educação Especial - Segunda Licenciatura em Educação Especial - Henrique Cássio Cândido Cunha - Legislação e Políticas para Educação Inclusiva e Especial - Nota Máxima: 10")</f>
        <v>#SLEEA - Segunda Licenciatura em Educação Especial - Segunda Licenciatura em Educação Especial - Henrique Cássio Cândido Cunha - Legislação e Políticas para Educação Inclusiva e Especial - Nota Máxima: 10</v>
      </c>
    </row>
    <row r="4574">
      <c r="A4574" s="390" t="str">
        <f>IFERROR(__xludf.DUMMYFUNCTION("""COMPUTED_VALUE"""),"#SLEEA - Segunda Licenciatura em Educação Especial - Segunda Licenciatura em Educação Especial - Henrique Cássio Cândido Cunha - Legislação e Políticas para Educação Inclusiva e Especial - Nota Máxima: 9")</f>
        <v>#SLEEA - Segunda Licenciatura em Educação Especial - Segunda Licenciatura em Educação Especial - Henrique Cássio Cândido Cunha - Legislação e Políticas para Educação Inclusiva e Especial - Nota Máxima: 9</v>
      </c>
    </row>
    <row r="4575">
      <c r="A4575" s="390" t="str">
        <f>IFERROR(__xludf.DUMMYFUNCTION("""COMPUTED_VALUE"""),"#SLEEA - Segunda Licenciatura em Educação Especial - Segunda Licenciatura em Educação Especial - Henrique Cássio Cândido Cunha - Legislação Educacional/a - Nota Máxima: 7")</f>
        <v>#SLEEA - Segunda Licenciatura em Educação Especial - Segunda Licenciatura em Educação Especial - Henrique Cássio Cândido Cunha - Legislação Educacional/a - Nota Máxima: 7</v>
      </c>
    </row>
    <row r="4576">
      <c r="A4576" s="390" t="str">
        <f>IFERROR(__xludf.DUMMYFUNCTION("""COMPUTED_VALUE"""),"#SLEEA - Segunda Licenciatura em Educação Especial - Segunda Licenciatura em Educação Especial - Henrique Cássio Cândido Cunha - Legislação Educacional/a - Nota Máxima: 5")</f>
        <v>#SLEEA - Segunda Licenciatura em Educação Especial - Segunda Licenciatura em Educação Especial - Henrique Cássio Cândido Cunha - Legislação Educacional/a - Nota Máxima: 5</v>
      </c>
    </row>
    <row r="4577">
      <c r="A4577" s="390" t="str">
        <f>IFERROR(__xludf.DUMMYFUNCTION("""COMPUTED_VALUE"""),"#SLEEA - Segunda Licenciatura em Educação Especial - Segunda Licenciatura em Educação Especial - Henrique Cássio Cândido Cunha - Planejamento, Gestão Educacional e Currículo/a - Nota Máxima: 10")</f>
        <v>#SLEEA - Segunda Licenciatura em Educação Especial - Segunda Licenciatura em Educação Especial - Henrique Cássio Cândido Cunha - Planejamento, Gestão Educacional e Currículo/a - Nota Máxima: 10</v>
      </c>
    </row>
    <row r="4578">
      <c r="A4578" s="390" t="str">
        <f>IFERROR(__xludf.DUMMYFUNCTION("""COMPUTED_VALUE"""),"#SLEEA - Segunda Licenciatura em Educação Especial - Segunda Licenciatura em Educação Especial - Henrique Cássio Cândido Cunha - Planejamento, Gestão Educacional e Currículo/a - Nota Máxima: 10")</f>
        <v>#SLEEA - Segunda Licenciatura em Educação Especial - Segunda Licenciatura em Educação Especial - Henrique Cássio Cândido Cunha - Planejamento, Gestão Educacional e Currículo/a - Nota Máxima: 10</v>
      </c>
    </row>
    <row r="4579">
      <c r="A4579" s="390" t="str">
        <f>IFERROR(__xludf.DUMMYFUNCTION("""COMPUTED_VALUE"""),"#SLEEA - Segunda Licenciatura em Educação Especial - Segunda Licenciatura em Educação Especial - Henrique Cássio Cândido Cunha - Práticas Pedagógicas - 400 Horas - Nota Máxima: 4")</f>
        <v>#SLEEA - Segunda Licenciatura em Educação Especial - Segunda Licenciatura em Educação Especial - Henrique Cássio Cândido Cunha - Práticas Pedagógicas - 400 Horas - Nota Máxima: 4</v>
      </c>
    </row>
    <row r="4580">
      <c r="A4580" s="390" t="str">
        <f>IFERROR(__xludf.DUMMYFUNCTION("""COMPUTED_VALUE"""),"#SLEEA - Segunda Licenciatura em Educação Especial - Segunda Licenciatura em Educação Especial - Henrique Cássio Cândido Cunha - Práticas Pedagógicas - 400 Horas - Nota Máxima: 4")</f>
        <v>#SLEEA - Segunda Licenciatura em Educação Especial - Segunda Licenciatura em Educação Especial - Henrique Cássio Cândido Cunha - Práticas Pedagógicas - 400 Horas - Nota Máxima: 4</v>
      </c>
    </row>
    <row r="4581">
      <c r="A4581" s="390" t="str">
        <f>IFERROR(__xludf.DUMMYFUNCTION("""COMPUTED_VALUE"""),"#SLEEA - Segunda Licenciatura em Educação Especial - Segunda Licenciatura em Educação Especial - Henrique Cássio Cândido Cunha - Psicologia da Educação/a - Nota Máxima: 8")</f>
        <v>#SLEEA - Segunda Licenciatura em Educação Especial - Segunda Licenciatura em Educação Especial - Henrique Cássio Cândido Cunha - Psicologia da Educação/a - Nota Máxima: 8</v>
      </c>
    </row>
    <row r="4582">
      <c r="A4582" s="390" t="str">
        <f>IFERROR(__xludf.DUMMYFUNCTION("""COMPUTED_VALUE"""),"#SLEEA - Segunda Licenciatura em Educação Especial - Segunda Licenciatura em Educação Especial - Henrique Cássio Cândido Cunha - Psicologia da Educação/a - Nota Máxima: 5")</f>
        <v>#SLEEA - Segunda Licenciatura em Educação Especial - Segunda Licenciatura em Educação Especial - Henrique Cássio Cândido Cunha - Psicologia da Educação/a - Nota Máxima: 5</v>
      </c>
    </row>
    <row r="4583">
      <c r="A4583" s="390" t="str">
        <f>IFERROR(__xludf.DUMMYFUNCTION("""COMPUTED_VALUE"""),"#SLEEA - Segunda Licenciatura em Educação Especial - Segunda Licenciatura em Educação Especial - Erisvelton Sávio Silva de Melo - Atuação Docente na Educação Inclusiva - Nota Máxima: 10")</f>
        <v>#SLEEA - Segunda Licenciatura em Educação Especial - Segunda Licenciatura em Educação Especial - Erisvelton Sávio Silva de Melo - Atuação Docente na Educação Inclusiva - Nota Máxima: 10</v>
      </c>
    </row>
    <row r="4584">
      <c r="A4584" s="390" t="str">
        <f>IFERROR(__xludf.DUMMYFUNCTION("""COMPUTED_VALUE"""),"#SLEEA - Segunda Licenciatura em Educação Especial - Segunda Licenciatura em Educação Especial - Erisvelton Sávio Silva de Melo - Cultura e Diversidade - Nota Máxima: 9")</f>
        <v>#SLEEA - Segunda Licenciatura em Educação Especial - Segunda Licenciatura em Educação Especial - Erisvelton Sávio Silva de Melo - Cultura e Diversidade - Nota Máxima: 9</v>
      </c>
    </row>
    <row r="4585">
      <c r="A4585" s="390" t="str">
        <f>IFERROR(__xludf.DUMMYFUNCTION("""COMPUTED_VALUE"""),"#SLEEA - Segunda Licenciatura em Educação Especial - Segunda Licenciatura em Educação Especial - Erisvelton Sávio Silva de Melo - Deficiência Auditiva e Libras/a - Nota Máxima: 10")</f>
        <v>#SLEEA - Segunda Licenciatura em Educação Especial - Segunda Licenciatura em Educação Especial - Erisvelton Sávio Silva de Melo - Deficiência Auditiva e Libras/a - Nota Máxima: 10</v>
      </c>
    </row>
    <row r="4586">
      <c r="A4586" s="390" t="str">
        <f>IFERROR(__xludf.DUMMYFUNCTION("""COMPUTED_VALUE"""),"#SLEEA - Segunda Licenciatura em Educação Especial - Segunda Licenciatura em Educação Especial - Erisvelton Sávio Silva de Melo - Educação e as Tic's - Nota Máxima: 10")</f>
        <v>#SLEEA - Segunda Licenciatura em Educação Especial - Segunda Licenciatura em Educação Especial - Erisvelton Sávio Silva de Melo - Educação e as Tic's - Nota Máxima: 10</v>
      </c>
    </row>
    <row r="4587">
      <c r="A4587" s="390" t="str">
        <f>IFERROR(__xludf.DUMMYFUNCTION("""COMPUTED_VALUE"""),"#SLEEA - Segunda Licenciatura em Educação Especial - Segunda Licenciatura em Educação Especial - Erisvelton Sávio Silva de Melo - Educação em Direitos Humanos/a - Nota Máxima: 9")</f>
        <v>#SLEEA - Segunda Licenciatura em Educação Especial - Segunda Licenciatura em Educação Especial - Erisvelton Sávio Silva de Melo - Educação em Direitos Humanos/a - Nota Máxima: 9</v>
      </c>
    </row>
    <row r="4588">
      <c r="A4588" s="390" t="str">
        <f>IFERROR(__xludf.DUMMYFUNCTION("""COMPUTED_VALUE"""),"#SLEEA - Segunda Licenciatura em Educação Especial - Segunda Licenciatura em Educação Especial - Erisvelton Sávio Silva de Melo - Educação Especial - Nota Máxima: 9")</f>
        <v>#SLEEA - Segunda Licenciatura em Educação Especial - Segunda Licenciatura em Educação Especial - Erisvelton Sávio Silva de Melo - Educação Especial - Nota Máxima: 9</v>
      </c>
    </row>
    <row r="4589">
      <c r="A4589" s="390" t="str">
        <f>IFERROR(__xludf.DUMMYFUNCTION("""COMPUTED_VALUE"""),"#SLEEA - Segunda Licenciatura em Educação Especial - Segunda Licenciatura em Educação Especial - Erisvelton Sávio Silva de Melo - Educação Especial, Inclusão Escolar e Adaptações Curriculares - Nota Máxima: 8")</f>
        <v>#SLEEA - Segunda Licenciatura em Educação Especial - Segunda Licenciatura em Educação Especial - Erisvelton Sávio Silva de Melo - Educação Especial, Inclusão Escolar e Adaptações Curriculares - Nota Máxima: 8</v>
      </c>
    </row>
    <row r="4590">
      <c r="A4590" s="390" t="str">
        <f>IFERROR(__xludf.DUMMYFUNCTION("""COMPUTED_VALUE"""),"#SLEEA - Segunda Licenciatura em Educação Especial - Segunda Licenciatura em Educação Especial - Erisvelton Sávio Silva de Melo - Fisiologia Humana - Nota Máxima: 10")</f>
        <v>#SLEEA - Segunda Licenciatura em Educação Especial - Segunda Licenciatura em Educação Especial - Erisvelton Sávio Silva de Melo - Fisiologia Humana - Nota Máxima: 10</v>
      </c>
    </row>
    <row r="4591">
      <c r="A4591" s="390" t="str">
        <f>IFERROR(__xludf.DUMMYFUNCTION("""COMPUTED_VALUE"""),"#SLEEA - Segunda Licenciatura em Educação Especial - Segunda Licenciatura em Educação Especial - Erisvelton Sávio Silva de Melo - Jogos e Recreação - Nota Máxima: 10")</f>
        <v>#SLEEA - Segunda Licenciatura em Educação Especial - Segunda Licenciatura em Educação Especial - Erisvelton Sávio Silva de Melo - Jogos e Recreação - Nota Máxima: 10</v>
      </c>
    </row>
    <row r="4592">
      <c r="A4592" s="390" t="str">
        <f>IFERROR(__xludf.DUMMYFUNCTION("""COMPUTED_VALUE"""),"#SLEEA - Segunda Licenciatura em Educação Especial - Segunda Licenciatura em Educação Especial - Erisvelton Sávio Silva de Melo - Legislação e Políticas para Educação Inclusiva e Especial - Nota Máxima: 10")</f>
        <v>#SLEEA - Segunda Licenciatura em Educação Especial - Segunda Licenciatura em Educação Especial - Erisvelton Sávio Silva de Melo - Legislação e Políticas para Educação Inclusiva e Especial - Nota Máxima: 10</v>
      </c>
    </row>
    <row r="4593">
      <c r="A4593" s="390" t="str">
        <f>IFERROR(__xludf.DUMMYFUNCTION("""COMPUTED_VALUE"""),"#SLEEA - Segunda Licenciatura em Educação Especial - Segunda Licenciatura em Educação Especial - Erisvelton Sávio Silva de Melo - Legislação Educacional/a - Nota Máxima: 9")</f>
        <v>#SLEEA - Segunda Licenciatura em Educação Especial - Segunda Licenciatura em Educação Especial - Erisvelton Sávio Silva de Melo - Legislação Educacional/a - Nota Máxima: 9</v>
      </c>
    </row>
    <row r="4594">
      <c r="A4594" s="390" t="str">
        <f>IFERROR(__xludf.DUMMYFUNCTION("""COMPUTED_VALUE"""),"#SLEEA - Segunda Licenciatura em Educação Especial - Segunda Licenciatura em Educação Especial - Erisvelton Sávio Silva de Melo - Planejamento, Gestão Educacional e Currículo/a - Nota Máxima: 9")</f>
        <v>#SLEEA - Segunda Licenciatura em Educação Especial - Segunda Licenciatura em Educação Especial - Erisvelton Sávio Silva de Melo - Planejamento, Gestão Educacional e Currículo/a - Nota Máxima: 9</v>
      </c>
    </row>
    <row r="4595">
      <c r="A4595" s="390" t="str">
        <f>IFERROR(__xludf.DUMMYFUNCTION("""COMPUTED_VALUE"""),"#SLEEA - Segunda Licenciatura em Educação Especial - Segunda Licenciatura em Educação Especial - Erisvelton Sávio Silva de Melo - Práticas Pedagógicas - 400 Horas - Nota Máxima: 10")</f>
        <v>#SLEEA - Segunda Licenciatura em Educação Especial - Segunda Licenciatura em Educação Especial - Erisvelton Sávio Silva de Melo - Práticas Pedagógicas - 400 Horas - Nota Máxima: 10</v>
      </c>
    </row>
    <row r="4596">
      <c r="A4596" s="390" t="str">
        <f>IFERROR(__xludf.DUMMYFUNCTION("""COMPUTED_VALUE"""),"#SLEEA - Segunda Licenciatura em Educação Especial - Segunda Licenciatura em Educação Especial - Erisvelton Sávio Silva de Melo - Psicologia da Educação/a - Nota Máxima: 9")</f>
        <v>#SLEEA - Segunda Licenciatura em Educação Especial - Segunda Licenciatura em Educação Especial - Erisvelton Sávio Silva de Melo - Psicologia da Educação/a - Nota Máxima: 9</v>
      </c>
    </row>
    <row r="4597">
      <c r="A4597" s="390" t="str">
        <f>IFERROR(__xludf.DUMMYFUNCTION("""COMPUTED_VALUE"""),"#SLEEA - Segunda Licenciatura em Educação Especial - Segunda Licenciatura em Educação Especial - Daniela Cardoso Lidorio - Atuação Docente na Educação Inclusiva - Nota Máxima: 10")</f>
        <v>#SLEEA - Segunda Licenciatura em Educação Especial - Segunda Licenciatura em Educação Especial - Daniela Cardoso Lidorio - Atuação Docente na Educação Inclusiva - Nota Máxima: 10</v>
      </c>
    </row>
    <row r="4598">
      <c r="A4598" s="390" t="str">
        <f>IFERROR(__xludf.DUMMYFUNCTION("""COMPUTED_VALUE"""),"#SLEEA - Segunda Licenciatura em Educação Especial - Segunda Licenciatura em Educação Especial - Daniela Cardoso Lidorio - Atuação Docente na Educação Inclusiva - Nota Máxima: 10")</f>
        <v>#SLEEA - Segunda Licenciatura em Educação Especial - Segunda Licenciatura em Educação Especial - Daniela Cardoso Lidorio - Atuação Docente na Educação Inclusiva - Nota Máxima: 10</v>
      </c>
    </row>
    <row r="4599">
      <c r="A4599" s="390" t="str">
        <f>IFERROR(__xludf.DUMMYFUNCTION("""COMPUTED_VALUE"""),"#SLEEA - Segunda Licenciatura em Educação Especial - Segunda Licenciatura em Educação Especial - Daniela Cardoso Lidorio - Cultura e Diversidade - Nota Máxima: 9")</f>
        <v>#SLEEA - Segunda Licenciatura em Educação Especial - Segunda Licenciatura em Educação Especial - Daniela Cardoso Lidorio - Cultura e Diversidade - Nota Máxima: 9</v>
      </c>
    </row>
    <row r="4600">
      <c r="A4600" s="390" t="str">
        <f>IFERROR(__xludf.DUMMYFUNCTION("""COMPUTED_VALUE"""),"#SLEEA - Segunda Licenciatura em Educação Especial - Segunda Licenciatura em Educação Especial - Daniela Cardoso Lidorio - Cultura e Diversidade - Nota Máxima: 10")</f>
        <v>#SLEEA - Segunda Licenciatura em Educação Especial - Segunda Licenciatura em Educação Especial - Daniela Cardoso Lidorio - Cultura e Diversidade - Nota Máxima: 10</v>
      </c>
    </row>
    <row r="4601">
      <c r="A4601" s="390" t="str">
        <f>IFERROR(__xludf.DUMMYFUNCTION("""COMPUTED_VALUE"""),"#SLEEA - Segunda Licenciatura em Educação Especial - Segunda Licenciatura em Educação Especial - Daniela Cardoso Lidorio - Deficiência Auditiva e Libras/a - Nota Máxima: 9")</f>
        <v>#SLEEA - Segunda Licenciatura em Educação Especial - Segunda Licenciatura em Educação Especial - Daniela Cardoso Lidorio - Deficiência Auditiva e Libras/a - Nota Máxima: 9</v>
      </c>
    </row>
    <row r="4602">
      <c r="A4602" s="390" t="str">
        <f>IFERROR(__xludf.DUMMYFUNCTION("""COMPUTED_VALUE"""),"#SLEEA - Segunda Licenciatura em Educação Especial - Segunda Licenciatura em Educação Especial - Daniela Cardoso Lidorio - Deficiência Auditiva e Libras/a - Nota Máxima: 10")</f>
        <v>#SLEEA - Segunda Licenciatura em Educação Especial - Segunda Licenciatura em Educação Especial - Daniela Cardoso Lidorio - Deficiência Auditiva e Libras/a - Nota Máxima: 10</v>
      </c>
    </row>
    <row r="4603">
      <c r="A4603" s="390" t="str">
        <f>IFERROR(__xludf.DUMMYFUNCTION("""COMPUTED_VALUE"""),"#SLEEA - Segunda Licenciatura em Educação Especial - Segunda Licenciatura em Educação Especial - Daniela Cardoso Lidorio - Educação e as Tic's - Nota Máxima: 8")</f>
        <v>#SLEEA - Segunda Licenciatura em Educação Especial - Segunda Licenciatura em Educação Especial - Daniela Cardoso Lidorio - Educação e as Tic's - Nota Máxima: 8</v>
      </c>
    </row>
    <row r="4604">
      <c r="A4604" s="390" t="str">
        <f>IFERROR(__xludf.DUMMYFUNCTION("""COMPUTED_VALUE"""),"#SLEEA - Segunda Licenciatura em Educação Especial - Segunda Licenciatura em Educação Especial - Daniela Cardoso Lidorio - Educação e as Tic's - Nota Máxima: 8")</f>
        <v>#SLEEA - Segunda Licenciatura em Educação Especial - Segunda Licenciatura em Educação Especial - Daniela Cardoso Lidorio - Educação e as Tic's - Nota Máxima: 8</v>
      </c>
    </row>
    <row r="4605">
      <c r="A4605" s="390" t="str">
        <f>IFERROR(__xludf.DUMMYFUNCTION("""COMPUTED_VALUE"""),"#SLEEA - Segunda Licenciatura em Educação Especial - Segunda Licenciatura em Educação Especial - Daniela Cardoso Lidorio - Educação em Direitos Humanos/a - Nota Máxima: 9")</f>
        <v>#SLEEA - Segunda Licenciatura em Educação Especial - Segunda Licenciatura em Educação Especial - Daniela Cardoso Lidorio - Educação em Direitos Humanos/a - Nota Máxima: 9</v>
      </c>
    </row>
    <row r="4606">
      <c r="A4606" s="390" t="str">
        <f>IFERROR(__xludf.DUMMYFUNCTION("""COMPUTED_VALUE"""),"#SLEEA - Segunda Licenciatura em Educação Especial - Segunda Licenciatura em Educação Especial - Daniela Cardoso Lidorio - Educação em Direitos Humanos/a - Nota Máxima: 8")</f>
        <v>#SLEEA - Segunda Licenciatura em Educação Especial - Segunda Licenciatura em Educação Especial - Daniela Cardoso Lidorio - Educação em Direitos Humanos/a - Nota Máxima: 8</v>
      </c>
    </row>
    <row r="4607">
      <c r="A4607" s="390" t="str">
        <f>IFERROR(__xludf.DUMMYFUNCTION("""COMPUTED_VALUE"""),"#SLEEA - Segunda Licenciatura em Educação Especial - Segunda Licenciatura em Educação Especial - Daniela Cardoso Lidorio - Educação Especial - Nota Máxima: 8")</f>
        <v>#SLEEA - Segunda Licenciatura em Educação Especial - Segunda Licenciatura em Educação Especial - Daniela Cardoso Lidorio - Educação Especial - Nota Máxima: 8</v>
      </c>
    </row>
    <row r="4608">
      <c r="A4608" s="390" t="str">
        <f>IFERROR(__xludf.DUMMYFUNCTION("""COMPUTED_VALUE"""),"#SLEEA - Segunda Licenciatura em Educação Especial - Segunda Licenciatura em Educação Especial - Daniela Cardoso Lidorio - Educação Especial - Nota Máxima: 6")</f>
        <v>#SLEEA - Segunda Licenciatura em Educação Especial - Segunda Licenciatura em Educação Especial - Daniela Cardoso Lidorio - Educação Especial - Nota Máxima: 6</v>
      </c>
    </row>
    <row r="4609">
      <c r="A4609" s="390" t="str">
        <f>IFERROR(__xludf.DUMMYFUNCTION("""COMPUTED_VALUE"""),"#SLEEA - Segunda Licenciatura em Educação Especial - Segunda Licenciatura em Educação Especial - Daniela Cardoso Lidorio - Educação Especial, Inclusão Escolar e Adaptações Curriculares - Nota Máxima: 10")</f>
        <v>#SLEEA - Segunda Licenciatura em Educação Especial - Segunda Licenciatura em Educação Especial - Daniela Cardoso Lidorio - Educação Especial, Inclusão Escolar e Adaptações Curriculares - Nota Máxima: 10</v>
      </c>
    </row>
    <row r="4610">
      <c r="A4610" s="390" t="str">
        <f>IFERROR(__xludf.DUMMYFUNCTION("""COMPUTED_VALUE"""),"#SLEEA - Segunda Licenciatura em Educação Especial - Segunda Licenciatura em Educação Especial - Daniela Cardoso Lidorio - Educação Especial, Inclusão Escolar e Adaptações Curriculares - Nota Máxima: 8")</f>
        <v>#SLEEA - Segunda Licenciatura em Educação Especial - Segunda Licenciatura em Educação Especial - Daniela Cardoso Lidorio - Educação Especial, Inclusão Escolar e Adaptações Curriculares - Nota Máxima: 8</v>
      </c>
    </row>
    <row r="4611">
      <c r="A4611" s="390" t="str">
        <f>IFERROR(__xludf.DUMMYFUNCTION("""COMPUTED_VALUE"""),"#SLEEA - Segunda Licenciatura em Educação Especial - Segunda Licenciatura em Educação Especial - Daniela Cardoso Lidorio - Fisiologia Humana - Nota Máxima: 8")</f>
        <v>#SLEEA - Segunda Licenciatura em Educação Especial - Segunda Licenciatura em Educação Especial - Daniela Cardoso Lidorio - Fisiologia Humana - Nota Máxima: 8</v>
      </c>
    </row>
    <row r="4612">
      <c r="A4612" s="390" t="str">
        <f>IFERROR(__xludf.DUMMYFUNCTION("""COMPUTED_VALUE"""),"#SLEEA - Segunda Licenciatura em Educação Especial - Segunda Licenciatura em Educação Especial - Daniela Cardoso Lidorio - Fisiologia Humana - Nota Máxima: 7")</f>
        <v>#SLEEA - Segunda Licenciatura em Educação Especial - Segunda Licenciatura em Educação Especial - Daniela Cardoso Lidorio - Fisiologia Humana - Nota Máxima: 7</v>
      </c>
    </row>
    <row r="4613">
      <c r="A4613" s="390" t="str">
        <f>IFERROR(__xludf.DUMMYFUNCTION("""COMPUTED_VALUE"""),"#SLEEA - Segunda Licenciatura em Educação Especial - Segunda Licenciatura em Educação Especial - Daniela Cardoso Lidorio - Jogos e Recreação - Nota Máxima: 7")</f>
        <v>#SLEEA - Segunda Licenciatura em Educação Especial - Segunda Licenciatura em Educação Especial - Daniela Cardoso Lidorio - Jogos e Recreação - Nota Máxima: 7</v>
      </c>
    </row>
    <row r="4614">
      <c r="A4614" s="390" t="str">
        <f>IFERROR(__xludf.DUMMYFUNCTION("""COMPUTED_VALUE"""),"#SLEEA - Segunda Licenciatura em Educação Especial - Segunda Licenciatura em Educação Especial - Daniela Cardoso Lidorio - Jogos e Recreação - Nota Máxima: 9")</f>
        <v>#SLEEA - Segunda Licenciatura em Educação Especial - Segunda Licenciatura em Educação Especial - Daniela Cardoso Lidorio - Jogos e Recreação - Nota Máxima: 9</v>
      </c>
    </row>
    <row r="4615">
      <c r="A4615" s="390" t="str">
        <f>IFERROR(__xludf.DUMMYFUNCTION("""COMPUTED_VALUE"""),"#SLEEA - Segunda Licenciatura em Educação Especial - Segunda Licenciatura em Educação Especial - Daniela Cardoso Lidorio - Legislação e Políticas para Educação Inclusiva e Especial - Nota Máxima: 8")</f>
        <v>#SLEEA - Segunda Licenciatura em Educação Especial - Segunda Licenciatura em Educação Especial - Daniela Cardoso Lidorio - Legislação e Políticas para Educação Inclusiva e Especial - Nota Máxima: 8</v>
      </c>
    </row>
    <row r="4616">
      <c r="A4616" s="390" t="str">
        <f>IFERROR(__xludf.DUMMYFUNCTION("""COMPUTED_VALUE"""),"#SLEEA - Segunda Licenciatura em Educação Especial - Segunda Licenciatura em Educação Especial - Daniela Cardoso Lidorio - Legislação e Políticas para Educação Inclusiva e Especial - Nota Máxima: 5")</f>
        <v>#SLEEA - Segunda Licenciatura em Educação Especial - Segunda Licenciatura em Educação Especial - Daniela Cardoso Lidorio - Legislação e Políticas para Educação Inclusiva e Especial - Nota Máxima: 5</v>
      </c>
    </row>
    <row r="4617">
      <c r="A4617" s="390" t="str">
        <f>IFERROR(__xludf.DUMMYFUNCTION("""COMPUTED_VALUE"""),"#SLEEA - Segunda Licenciatura em Educação Especial - Segunda Licenciatura em Educação Especial - Daniela Cardoso Lidorio - Legislação Educacional/a - Nota Máxima: 8")</f>
        <v>#SLEEA - Segunda Licenciatura em Educação Especial - Segunda Licenciatura em Educação Especial - Daniela Cardoso Lidorio - Legislação Educacional/a - Nota Máxima: 8</v>
      </c>
    </row>
    <row r="4618">
      <c r="A4618" s="390" t="str">
        <f>IFERROR(__xludf.DUMMYFUNCTION("""COMPUTED_VALUE"""),"#SLEEA - Segunda Licenciatura em Educação Especial - Segunda Licenciatura em Educação Especial - Daniela Cardoso Lidorio - Legislação Educacional/a - Nota Máxima: 7")</f>
        <v>#SLEEA - Segunda Licenciatura em Educação Especial - Segunda Licenciatura em Educação Especial - Daniela Cardoso Lidorio - Legislação Educacional/a - Nota Máxima: 7</v>
      </c>
    </row>
    <row r="4619">
      <c r="A4619" s="390" t="str">
        <f>IFERROR(__xludf.DUMMYFUNCTION("""COMPUTED_VALUE"""),"#SLEEA - Segunda Licenciatura em Educação Especial - Segunda Licenciatura em Educação Especial - Daniela Cardoso Lidorio - Planejamento, Gestão Educacional e Currículo/a - Nota Máxima: 10")</f>
        <v>#SLEEA - Segunda Licenciatura em Educação Especial - Segunda Licenciatura em Educação Especial - Daniela Cardoso Lidorio - Planejamento, Gestão Educacional e Currículo/a - Nota Máxima: 10</v>
      </c>
    </row>
    <row r="4620">
      <c r="A4620" s="390" t="str">
        <f>IFERROR(__xludf.DUMMYFUNCTION("""COMPUTED_VALUE"""),"#SLEEA - Segunda Licenciatura em Educação Especial - Segunda Licenciatura em Educação Especial - Daniela Cardoso Lidorio - Planejamento, Gestão Educacional e Currículo/a - Nota Máxima: 10")</f>
        <v>#SLEEA - Segunda Licenciatura em Educação Especial - Segunda Licenciatura em Educação Especial - Daniela Cardoso Lidorio - Planejamento, Gestão Educacional e Currículo/a - Nota Máxima: 10</v>
      </c>
    </row>
    <row r="4621">
      <c r="A4621" s="390" t="str">
        <f>IFERROR(__xludf.DUMMYFUNCTION("""COMPUTED_VALUE"""),"#SLEEA - Segunda Licenciatura em Educação Especial - Segunda Licenciatura em Educação Especial - Daniela Cardoso Lidorio - Práticas Pedagógicas - 400 Horas - Nota Máxima: 10")</f>
        <v>#SLEEA - Segunda Licenciatura em Educação Especial - Segunda Licenciatura em Educação Especial - Daniela Cardoso Lidorio - Práticas Pedagógicas - 400 Horas - Nota Máxima: 10</v>
      </c>
    </row>
    <row r="4622">
      <c r="A4622" s="390" t="str">
        <f>IFERROR(__xludf.DUMMYFUNCTION("""COMPUTED_VALUE"""),"#SLEEA - Segunda Licenciatura em Educação Especial - Segunda Licenciatura em Educação Especial - Daniela Cardoso Lidorio - Práticas Pedagógicas - 400 Horas - Nota Máxima: 45784")</f>
        <v>#SLEEA - Segunda Licenciatura em Educação Especial - Segunda Licenciatura em Educação Especial - Daniela Cardoso Lidorio - Práticas Pedagógicas - 400 Horas - Nota Máxima: 45784</v>
      </c>
    </row>
    <row r="4623">
      <c r="A4623" s="390" t="str">
        <f>IFERROR(__xludf.DUMMYFUNCTION("""COMPUTED_VALUE"""),"#SLEEA - Segunda Licenciatura em Educação Especial - Segunda Licenciatura em Educação Especial - Daniela Cardoso Lidorio - Psicologia da Educação/a - Nota Máxima: 10")</f>
        <v>#SLEEA - Segunda Licenciatura em Educação Especial - Segunda Licenciatura em Educação Especial - Daniela Cardoso Lidorio - Psicologia da Educação/a - Nota Máxima: 10</v>
      </c>
    </row>
    <row r="4624">
      <c r="A4624" s="390" t="str">
        <f>IFERROR(__xludf.DUMMYFUNCTION("""COMPUTED_VALUE"""),"#SLEEA - Segunda Licenciatura em Educação Especial - Segunda Licenciatura em Educação Especial - Daniela Cardoso Lidorio - Psicologia da Educação/a - Nota Máxima: 6")</f>
        <v>#SLEEA - Segunda Licenciatura em Educação Especial - Segunda Licenciatura em Educação Especial - Daniela Cardoso Lidorio - Psicologia da Educação/a - Nota Máxima: 6</v>
      </c>
    </row>
    <row r="4625">
      <c r="A4625" s="390" t="str">
        <f>IFERROR(__xludf.DUMMYFUNCTION("""COMPUTED_VALUE"""),"#SLEEA - Segunda Licenciatura em Educação Especial - Segunda Licenciatura em Educação Especial - Eva Teixeira de Souza Caixeta - Atuação Docente na Educação Inclusiva - Nota Máxima: 10")</f>
        <v>#SLEEA - Segunda Licenciatura em Educação Especial - Segunda Licenciatura em Educação Especial - Eva Teixeira de Souza Caixeta - Atuação Docente na Educação Inclusiva - Nota Máxima: 10</v>
      </c>
    </row>
    <row r="4626">
      <c r="A4626" s="390" t="str">
        <f>IFERROR(__xludf.DUMMYFUNCTION("""COMPUTED_VALUE"""),"#SLEEA - Segunda Licenciatura em Educação Especial - Segunda Licenciatura em Educação Especial - Eva Teixeira de Souza Caixeta - Atuação Docente na Educação Inclusiva - Nota Máxima: 10")</f>
        <v>#SLEEA - Segunda Licenciatura em Educação Especial - Segunda Licenciatura em Educação Especial - Eva Teixeira de Souza Caixeta - Atuação Docente na Educação Inclusiva - Nota Máxima: 10</v>
      </c>
    </row>
    <row r="4627">
      <c r="A4627" s="390" t="str">
        <f>IFERROR(__xludf.DUMMYFUNCTION("""COMPUTED_VALUE"""),"#SLEEA - Segunda Licenciatura em Educação Especial - Segunda Licenciatura em Educação Especial - Eva Teixeira de Souza Caixeta - Cultura e Diversidade - Nota Máxima: 10")</f>
        <v>#SLEEA - Segunda Licenciatura em Educação Especial - Segunda Licenciatura em Educação Especial - Eva Teixeira de Souza Caixeta - Cultura e Diversidade - Nota Máxima: 10</v>
      </c>
    </row>
    <row r="4628">
      <c r="A4628" s="390" t="str">
        <f>IFERROR(__xludf.DUMMYFUNCTION("""COMPUTED_VALUE"""),"#SLEEA - Segunda Licenciatura em Educação Especial - Segunda Licenciatura em Educação Especial - Eva Teixeira de Souza Caixeta - Cultura e Diversidade - Nota Máxima: 10")</f>
        <v>#SLEEA - Segunda Licenciatura em Educação Especial - Segunda Licenciatura em Educação Especial - Eva Teixeira de Souza Caixeta - Cultura e Diversidade - Nota Máxima: 10</v>
      </c>
    </row>
    <row r="4629">
      <c r="A4629" s="390" t="str">
        <f>IFERROR(__xludf.DUMMYFUNCTION("""COMPUTED_VALUE"""),"#SLEEA - Segunda Licenciatura em Educação Especial - Segunda Licenciatura em Educação Especial - Eva Teixeira de Souza Caixeta - Deficiência Auditiva e Libras/a - Nota Máxima: 9")</f>
        <v>#SLEEA - Segunda Licenciatura em Educação Especial - Segunda Licenciatura em Educação Especial - Eva Teixeira de Souza Caixeta - Deficiência Auditiva e Libras/a - Nota Máxima: 9</v>
      </c>
    </row>
    <row r="4630">
      <c r="A4630" s="390" t="str">
        <f>IFERROR(__xludf.DUMMYFUNCTION("""COMPUTED_VALUE"""),"#SLEEA - Segunda Licenciatura em Educação Especial - Segunda Licenciatura em Educação Especial - Eva Teixeira de Souza Caixeta - Deficiência Auditiva e Libras/a - Nota Máxima: 9")</f>
        <v>#SLEEA - Segunda Licenciatura em Educação Especial - Segunda Licenciatura em Educação Especial - Eva Teixeira de Souza Caixeta - Deficiência Auditiva e Libras/a - Nota Máxima: 9</v>
      </c>
    </row>
    <row r="4631">
      <c r="A4631" s="390" t="str">
        <f>IFERROR(__xludf.DUMMYFUNCTION("""COMPUTED_VALUE"""),"#SLEEA - Segunda Licenciatura em Educação Especial - Segunda Licenciatura em Educação Especial - Eva Teixeira de Souza Caixeta - Educação e as Tic's - Nota Máxima: 10")</f>
        <v>#SLEEA - Segunda Licenciatura em Educação Especial - Segunda Licenciatura em Educação Especial - Eva Teixeira de Souza Caixeta - Educação e as Tic's - Nota Máxima: 10</v>
      </c>
    </row>
    <row r="4632">
      <c r="A4632" s="390" t="str">
        <f>IFERROR(__xludf.DUMMYFUNCTION("""COMPUTED_VALUE"""),"#SLEEA - Segunda Licenciatura em Educação Especial - Segunda Licenciatura em Educação Especial - Eva Teixeira de Souza Caixeta - Educação e as Tic's - Nota Máxima: 8")</f>
        <v>#SLEEA - Segunda Licenciatura em Educação Especial - Segunda Licenciatura em Educação Especial - Eva Teixeira de Souza Caixeta - Educação e as Tic's - Nota Máxima: 8</v>
      </c>
    </row>
    <row r="4633">
      <c r="A4633" s="390" t="str">
        <f>IFERROR(__xludf.DUMMYFUNCTION("""COMPUTED_VALUE"""),"#SLEEA - Segunda Licenciatura em Educação Especial - Segunda Licenciatura em Educação Especial - Eva Teixeira de Souza Caixeta - Educação em Direitos Humanos/a - Nota Máxima: 10")</f>
        <v>#SLEEA - Segunda Licenciatura em Educação Especial - Segunda Licenciatura em Educação Especial - Eva Teixeira de Souza Caixeta - Educação em Direitos Humanos/a - Nota Máxima: 10</v>
      </c>
    </row>
    <row r="4634">
      <c r="A4634" s="390" t="str">
        <f>IFERROR(__xludf.DUMMYFUNCTION("""COMPUTED_VALUE"""),"#SLEEA - Segunda Licenciatura em Educação Especial - Segunda Licenciatura em Educação Especial - Eva Teixeira de Souza Caixeta - Educação em Direitos Humanos/a - Nota Máxima: 9")</f>
        <v>#SLEEA - Segunda Licenciatura em Educação Especial - Segunda Licenciatura em Educação Especial - Eva Teixeira de Souza Caixeta - Educação em Direitos Humanos/a - Nota Máxima: 9</v>
      </c>
    </row>
    <row r="4635">
      <c r="A4635" s="390" t="str">
        <f>IFERROR(__xludf.DUMMYFUNCTION("""COMPUTED_VALUE"""),"#SLEEA - Segunda Licenciatura em Educação Especial - Segunda Licenciatura em Educação Especial - Eva Teixeira de Souza Caixeta - Educação Especial - Nota Máxima: 10")</f>
        <v>#SLEEA - Segunda Licenciatura em Educação Especial - Segunda Licenciatura em Educação Especial - Eva Teixeira de Souza Caixeta - Educação Especial - Nota Máxima: 10</v>
      </c>
    </row>
    <row r="4636">
      <c r="A4636" s="390" t="str">
        <f>IFERROR(__xludf.DUMMYFUNCTION("""COMPUTED_VALUE"""),"#SLEEA - Segunda Licenciatura em Educação Especial - Segunda Licenciatura em Educação Especial - Eva Teixeira de Souza Caixeta - Educação Especial - Nota Máxima: 9")</f>
        <v>#SLEEA - Segunda Licenciatura em Educação Especial - Segunda Licenciatura em Educação Especial - Eva Teixeira de Souza Caixeta - Educação Especial - Nota Máxima: 9</v>
      </c>
    </row>
    <row r="4637">
      <c r="A4637" s="390" t="str">
        <f>IFERROR(__xludf.DUMMYFUNCTION("""COMPUTED_VALUE"""),"#SLEEA - Segunda Licenciatura em Educação Especial - Segunda Licenciatura em Educação Especial - Eva Teixeira de Souza Caixeta - Educação Especial, Inclusão Escolar e Adaptações Curriculares - Nota Máxima: 10")</f>
        <v>#SLEEA - Segunda Licenciatura em Educação Especial - Segunda Licenciatura em Educação Especial - Eva Teixeira de Souza Caixeta - Educação Especial, Inclusão Escolar e Adaptações Curriculares - Nota Máxima: 10</v>
      </c>
    </row>
    <row r="4638">
      <c r="A4638" s="390" t="str">
        <f>IFERROR(__xludf.DUMMYFUNCTION("""COMPUTED_VALUE"""),"#SLEEA - Segunda Licenciatura em Educação Especial - Segunda Licenciatura em Educação Especial - Eva Teixeira de Souza Caixeta - Educação Especial, Inclusão Escolar e Adaptações Curriculares - Nota Máxima: 9")</f>
        <v>#SLEEA - Segunda Licenciatura em Educação Especial - Segunda Licenciatura em Educação Especial - Eva Teixeira de Souza Caixeta - Educação Especial, Inclusão Escolar e Adaptações Curriculares - Nota Máxima: 9</v>
      </c>
    </row>
    <row r="4639">
      <c r="A4639" s="390" t="str">
        <f>IFERROR(__xludf.DUMMYFUNCTION("""COMPUTED_VALUE"""),"#SLEEA - Segunda Licenciatura em Educação Especial - Segunda Licenciatura em Educação Especial - Eva Teixeira de Souza Caixeta - Fisiologia Humana - Nota Máxima: 10")</f>
        <v>#SLEEA - Segunda Licenciatura em Educação Especial - Segunda Licenciatura em Educação Especial - Eva Teixeira de Souza Caixeta - Fisiologia Humana - Nota Máxima: 10</v>
      </c>
    </row>
    <row r="4640">
      <c r="A4640" s="390" t="str">
        <f>IFERROR(__xludf.DUMMYFUNCTION("""COMPUTED_VALUE"""),"#SLEEA - Segunda Licenciatura em Educação Especial - Segunda Licenciatura em Educação Especial - Eva Teixeira de Souza Caixeta - Fisiologia Humana - Nota Máxima: 9")</f>
        <v>#SLEEA - Segunda Licenciatura em Educação Especial - Segunda Licenciatura em Educação Especial - Eva Teixeira de Souza Caixeta - Fisiologia Humana - Nota Máxima: 9</v>
      </c>
    </row>
    <row r="4641">
      <c r="A4641" s="390" t="str">
        <f>IFERROR(__xludf.DUMMYFUNCTION("""COMPUTED_VALUE"""),"#SLEEA - Segunda Licenciatura em Educação Especial - Segunda Licenciatura em Educação Especial - Eva Teixeira de Souza Caixeta - Jogos e Recreação - Nota Máxima: 10")</f>
        <v>#SLEEA - Segunda Licenciatura em Educação Especial - Segunda Licenciatura em Educação Especial - Eva Teixeira de Souza Caixeta - Jogos e Recreação - Nota Máxima: 10</v>
      </c>
    </row>
    <row r="4642">
      <c r="A4642" s="390" t="str">
        <f>IFERROR(__xludf.DUMMYFUNCTION("""COMPUTED_VALUE"""),"#SLEEA - Segunda Licenciatura em Educação Especial - Segunda Licenciatura em Educação Especial - Eva Teixeira de Souza Caixeta - Jogos e Recreação - Nota Máxima: 10")</f>
        <v>#SLEEA - Segunda Licenciatura em Educação Especial - Segunda Licenciatura em Educação Especial - Eva Teixeira de Souza Caixeta - Jogos e Recreação - Nota Máxima: 10</v>
      </c>
    </row>
    <row r="4643">
      <c r="A4643" s="390" t="str">
        <f>IFERROR(__xludf.DUMMYFUNCTION("""COMPUTED_VALUE"""),"#SLEEA - Segunda Licenciatura em Educação Especial - Segunda Licenciatura em Educação Especial - Eva Teixeira de Souza Caixeta - Legislação e Políticas para Educação Inclusiva e Especial - Nota Máxima: 10")</f>
        <v>#SLEEA - Segunda Licenciatura em Educação Especial - Segunda Licenciatura em Educação Especial - Eva Teixeira de Souza Caixeta - Legislação e Políticas para Educação Inclusiva e Especial - Nota Máxima: 10</v>
      </c>
    </row>
    <row r="4644">
      <c r="A4644" s="390" t="str">
        <f>IFERROR(__xludf.DUMMYFUNCTION("""COMPUTED_VALUE"""),"#SLEEA - Segunda Licenciatura em Educação Especial - Segunda Licenciatura em Educação Especial - Eva Teixeira de Souza Caixeta - Legislação e Políticas para Educação Inclusiva e Especial - Nota Máxima: 8")</f>
        <v>#SLEEA - Segunda Licenciatura em Educação Especial - Segunda Licenciatura em Educação Especial - Eva Teixeira de Souza Caixeta - Legislação e Políticas para Educação Inclusiva e Especial - Nota Máxima: 8</v>
      </c>
    </row>
    <row r="4645">
      <c r="A4645" s="390" t="str">
        <f>IFERROR(__xludf.DUMMYFUNCTION("""COMPUTED_VALUE"""),"#SLEEA - Segunda Licenciatura em Educação Especial - Segunda Licenciatura em Educação Especial - Eva Teixeira de Souza Caixeta - Legislação Educacional/a - Nota Máxima: 10")</f>
        <v>#SLEEA - Segunda Licenciatura em Educação Especial - Segunda Licenciatura em Educação Especial - Eva Teixeira de Souza Caixeta - Legislação Educacional/a - Nota Máxima: 10</v>
      </c>
    </row>
    <row r="4646">
      <c r="A4646" s="390" t="str">
        <f>IFERROR(__xludf.DUMMYFUNCTION("""COMPUTED_VALUE"""),"#SLEEA - Segunda Licenciatura em Educação Especial - Segunda Licenciatura em Educação Especial - Eva Teixeira de Souza Caixeta - Legislação Educacional/a - Nota Máxima: 10")</f>
        <v>#SLEEA - Segunda Licenciatura em Educação Especial - Segunda Licenciatura em Educação Especial - Eva Teixeira de Souza Caixeta - Legislação Educacional/a - Nota Máxima: 10</v>
      </c>
    </row>
    <row r="4647">
      <c r="A4647" s="390" t="str">
        <f>IFERROR(__xludf.DUMMYFUNCTION("""COMPUTED_VALUE"""),"#SLEEA - Segunda Licenciatura em Educação Especial - Segunda Licenciatura em Educação Especial - Eva Teixeira de Souza Caixeta - Planejamento, Gestão Educacional e Currículo/a - Nota Máxima: 10")</f>
        <v>#SLEEA - Segunda Licenciatura em Educação Especial - Segunda Licenciatura em Educação Especial - Eva Teixeira de Souza Caixeta - Planejamento, Gestão Educacional e Currículo/a - Nota Máxima: 10</v>
      </c>
    </row>
    <row r="4648">
      <c r="A4648" s="390" t="str">
        <f>IFERROR(__xludf.DUMMYFUNCTION("""COMPUTED_VALUE"""),"#SLEEA - Segunda Licenciatura em Educação Especial - Segunda Licenciatura em Educação Especial - Eva Teixeira de Souza Caixeta - Planejamento, Gestão Educacional e Currículo/a - Nota Máxima: 10")</f>
        <v>#SLEEA - Segunda Licenciatura em Educação Especial - Segunda Licenciatura em Educação Especial - Eva Teixeira de Souza Caixeta - Planejamento, Gestão Educacional e Currículo/a - Nota Máxima: 10</v>
      </c>
    </row>
    <row r="4649">
      <c r="A4649" s="390" t="str">
        <f>IFERROR(__xludf.DUMMYFUNCTION("""COMPUTED_VALUE"""),"#SLEEA - Segunda Licenciatura em Educação Especial - Segunda Licenciatura em Educação Especial - Eva Teixeira de Souza Caixeta - Práticas Pedagógicas - 400 Horas - Nota Máxima: 4")</f>
        <v>#SLEEA - Segunda Licenciatura em Educação Especial - Segunda Licenciatura em Educação Especial - Eva Teixeira de Souza Caixeta - Práticas Pedagógicas - 400 Horas - Nota Máxima: 4</v>
      </c>
    </row>
    <row r="4650">
      <c r="A4650" s="390" t="str">
        <f>IFERROR(__xludf.DUMMYFUNCTION("""COMPUTED_VALUE"""),"#SLEEA - Segunda Licenciatura em Educação Especial - Segunda Licenciatura em Educação Especial - Eva Teixeira de Souza Caixeta - Práticas Pedagógicas - 400 Horas - Nota Máxima: 4")</f>
        <v>#SLEEA - Segunda Licenciatura em Educação Especial - Segunda Licenciatura em Educação Especial - Eva Teixeira de Souza Caixeta - Práticas Pedagógicas - 400 Horas - Nota Máxima: 4</v>
      </c>
    </row>
    <row r="4651">
      <c r="A4651" s="390" t="str">
        <f>IFERROR(__xludf.DUMMYFUNCTION("""COMPUTED_VALUE"""),"#SLEEA - Segunda Licenciatura em Educação Especial - Segunda Licenciatura em Educação Especial - Eva Teixeira de Souza Caixeta - Psicologia da Educação/a - Nota Máxima: 10")</f>
        <v>#SLEEA - Segunda Licenciatura em Educação Especial - Segunda Licenciatura em Educação Especial - Eva Teixeira de Souza Caixeta - Psicologia da Educação/a - Nota Máxima: 10</v>
      </c>
    </row>
    <row r="4652">
      <c r="A4652" s="390" t="str">
        <f>IFERROR(__xludf.DUMMYFUNCTION("""COMPUTED_VALUE"""),"#SLEEA - Segunda Licenciatura em Educação Especial - Segunda Licenciatura em Educação Especial - Eva Teixeira de Souza Caixeta - Psicologia da Educação/a - Nota Máxima: 9")</f>
        <v>#SLEEA - Segunda Licenciatura em Educação Especial - Segunda Licenciatura em Educação Especial - Eva Teixeira de Souza Caixeta - Psicologia da Educação/a - Nota Máxima: 9</v>
      </c>
    </row>
    <row r="4653">
      <c r="A4653" s="390" t="str">
        <f>IFERROR(__xludf.DUMMYFUNCTION("""COMPUTED_VALUE"""),"#SLEEA - Segunda Licenciatura em Educação Especial - Segunda Licenciatura em Educação Especial - Zezenaelda batista dos santos - Atuação Docente na Educação Inclusiva - Nota Máxima: 7")</f>
        <v>#SLEEA - Segunda Licenciatura em Educação Especial - Segunda Licenciatura em Educação Especial - Zezenaelda batista dos santos - Atuação Docente na Educação Inclusiva - Nota Máxima: 7</v>
      </c>
    </row>
    <row r="4654">
      <c r="A4654" s="390" t="str">
        <f>IFERROR(__xludf.DUMMYFUNCTION("""COMPUTED_VALUE"""),"#SLEEA - Segunda Licenciatura em Educação Especial - Segunda Licenciatura em Educação Especial - Zezenaelda batista dos santos - Atuação Docente na Educação Inclusiva - Nota Máxima: 10")</f>
        <v>#SLEEA - Segunda Licenciatura em Educação Especial - Segunda Licenciatura em Educação Especial - Zezenaelda batista dos santos - Atuação Docente na Educação Inclusiva - Nota Máxima: 10</v>
      </c>
    </row>
    <row r="4655">
      <c r="A4655" s="390" t="str">
        <f>IFERROR(__xludf.DUMMYFUNCTION("""COMPUTED_VALUE"""),"#SLEEA - Segunda Licenciatura em Educação Especial - Segunda Licenciatura em Educação Especial - Zezenaelda batista dos santos - Cultura e Diversidade - Nota Máxima: 9")</f>
        <v>#SLEEA - Segunda Licenciatura em Educação Especial - Segunda Licenciatura em Educação Especial - Zezenaelda batista dos santos - Cultura e Diversidade - Nota Máxima: 9</v>
      </c>
    </row>
    <row r="4656">
      <c r="A4656" s="390" t="str">
        <f>IFERROR(__xludf.DUMMYFUNCTION("""COMPUTED_VALUE"""),"#SLEEA - Segunda Licenciatura em Educação Especial - Segunda Licenciatura em Educação Especial - Zezenaelda batista dos santos - Cultura e Diversidade - Nota Máxima: 10")</f>
        <v>#SLEEA - Segunda Licenciatura em Educação Especial - Segunda Licenciatura em Educação Especial - Zezenaelda batista dos santos - Cultura e Diversidade - Nota Máxima: 10</v>
      </c>
    </row>
    <row r="4657">
      <c r="A4657" s="390" t="str">
        <f>IFERROR(__xludf.DUMMYFUNCTION("""COMPUTED_VALUE"""),"#SLEEA - Segunda Licenciatura em Educação Especial - Segunda Licenciatura em Educação Especial - Zezenaelda batista dos santos - Deficiência Auditiva e Libras/a - Nota Máxima: 8")</f>
        <v>#SLEEA - Segunda Licenciatura em Educação Especial - Segunda Licenciatura em Educação Especial - Zezenaelda batista dos santos - Deficiência Auditiva e Libras/a - Nota Máxima: 8</v>
      </c>
    </row>
    <row r="4658">
      <c r="A4658" s="390" t="str">
        <f>IFERROR(__xludf.DUMMYFUNCTION("""COMPUTED_VALUE"""),"#SLEEA - Segunda Licenciatura em Educação Especial - Segunda Licenciatura em Educação Especial - Zezenaelda batista dos santos - Deficiência Auditiva e Libras/a - Nota Máxima: 10")</f>
        <v>#SLEEA - Segunda Licenciatura em Educação Especial - Segunda Licenciatura em Educação Especial - Zezenaelda batista dos santos - Deficiência Auditiva e Libras/a - Nota Máxima: 10</v>
      </c>
    </row>
    <row r="4659">
      <c r="A4659" s="390" t="str">
        <f>IFERROR(__xludf.DUMMYFUNCTION("""COMPUTED_VALUE"""),"#SLEEA - Segunda Licenciatura em Educação Especial - Segunda Licenciatura em Educação Especial - Zezenaelda batista dos santos - Educação e as Tic's - Nota Máxima: 8")</f>
        <v>#SLEEA - Segunda Licenciatura em Educação Especial - Segunda Licenciatura em Educação Especial - Zezenaelda batista dos santos - Educação e as Tic's - Nota Máxima: 8</v>
      </c>
    </row>
    <row r="4660">
      <c r="A4660" s="390" t="str">
        <f>IFERROR(__xludf.DUMMYFUNCTION("""COMPUTED_VALUE"""),"#SLEEA - Segunda Licenciatura em Educação Especial - Segunda Licenciatura em Educação Especial - Zezenaelda batista dos santos - Educação e as Tic's - Nota Máxima: 10")</f>
        <v>#SLEEA - Segunda Licenciatura em Educação Especial - Segunda Licenciatura em Educação Especial - Zezenaelda batista dos santos - Educação e as Tic's - Nota Máxima: 10</v>
      </c>
    </row>
    <row r="4661">
      <c r="A4661" s="390" t="str">
        <f>IFERROR(__xludf.DUMMYFUNCTION("""COMPUTED_VALUE"""),"#SLEEA - Segunda Licenciatura em Educação Especial - Segunda Licenciatura em Educação Especial - Zezenaelda batista dos santos - Educação em Direitos Humanos/a - Nota Máxima: 9")</f>
        <v>#SLEEA - Segunda Licenciatura em Educação Especial - Segunda Licenciatura em Educação Especial - Zezenaelda batista dos santos - Educação em Direitos Humanos/a - Nota Máxima: 9</v>
      </c>
    </row>
    <row r="4662">
      <c r="A4662" s="390" t="str">
        <f>IFERROR(__xludf.DUMMYFUNCTION("""COMPUTED_VALUE"""),"#SLEEA - Segunda Licenciatura em Educação Especial - Segunda Licenciatura em Educação Especial - Zezenaelda batista dos santos - Educação em Direitos Humanos/a - Nota Máxima: 10")</f>
        <v>#SLEEA - Segunda Licenciatura em Educação Especial - Segunda Licenciatura em Educação Especial - Zezenaelda batista dos santos - Educação em Direitos Humanos/a - Nota Máxima: 10</v>
      </c>
    </row>
    <row r="4663">
      <c r="A4663" s="390" t="str">
        <f>IFERROR(__xludf.DUMMYFUNCTION("""COMPUTED_VALUE"""),"#SLEEA - Segunda Licenciatura em Educação Especial - Segunda Licenciatura em Educação Especial - Zezenaelda batista dos santos - Educação Especial - Nota Máxima: 8")</f>
        <v>#SLEEA - Segunda Licenciatura em Educação Especial - Segunda Licenciatura em Educação Especial - Zezenaelda batista dos santos - Educação Especial - Nota Máxima: 8</v>
      </c>
    </row>
    <row r="4664">
      <c r="A4664" s="390" t="str">
        <f>IFERROR(__xludf.DUMMYFUNCTION("""COMPUTED_VALUE"""),"#SLEEA - Segunda Licenciatura em Educação Especial - Segunda Licenciatura em Educação Especial - Zezenaelda batista dos santos - Educação Especial - Nota Máxima: 10")</f>
        <v>#SLEEA - Segunda Licenciatura em Educação Especial - Segunda Licenciatura em Educação Especial - Zezenaelda batista dos santos - Educação Especial - Nota Máxima: 10</v>
      </c>
    </row>
    <row r="4665">
      <c r="A4665" s="390" t="str">
        <f>IFERROR(__xludf.DUMMYFUNCTION("""COMPUTED_VALUE"""),"#SLEEA - Segunda Licenciatura em Educação Especial - Segunda Licenciatura em Educação Especial - Zezenaelda batista dos santos - Educação Especial, Inclusão Escolar e Adaptações Curriculares - Nota Máxima: 9")</f>
        <v>#SLEEA - Segunda Licenciatura em Educação Especial - Segunda Licenciatura em Educação Especial - Zezenaelda batista dos santos - Educação Especial, Inclusão Escolar e Adaptações Curriculares - Nota Máxima: 9</v>
      </c>
    </row>
    <row r="4666">
      <c r="A4666" s="390" t="str">
        <f>IFERROR(__xludf.DUMMYFUNCTION("""COMPUTED_VALUE"""),"#SLEEA - Segunda Licenciatura em Educação Especial - Segunda Licenciatura em Educação Especial - Zezenaelda batista dos santos - Educação Especial, Inclusão Escolar e Adaptações Curriculares - Nota Máxima: 10")</f>
        <v>#SLEEA - Segunda Licenciatura em Educação Especial - Segunda Licenciatura em Educação Especial - Zezenaelda batista dos santos - Educação Especial, Inclusão Escolar e Adaptações Curriculares - Nota Máxima: 10</v>
      </c>
    </row>
    <row r="4667">
      <c r="A4667" s="390" t="str">
        <f>IFERROR(__xludf.DUMMYFUNCTION("""COMPUTED_VALUE"""),"#SLEEA - Segunda Licenciatura em Educação Especial - Segunda Licenciatura em Educação Especial - Zezenaelda batista dos santos - Fisiologia Humana - Nota Máxima: 7")</f>
        <v>#SLEEA - Segunda Licenciatura em Educação Especial - Segunda Licenciatura em Educação Especial - Zezenaelda batista dos santos - Fisiologia Humana - Nota Máxima: 7</v>
      </c>
    </row>
    <row r="4668">
      <c r="A4668" s="390" t="str">
        <f>IFERROR(__xludf.DUMMYFUNCTION("""COMPUTED_VALUE"""),"#SLEEA - Segunda Licenciatura em Educação Especial - Segunda Licenciatura em Educação Especial - Zezenaelda batista dos santos - Fisiologia Humana - Nota Máxima: 10")</f>
        <v>#SLEEA - Segunda Licenciatura em Educação Especial - Segunda Licenciatura em Educação Especial - Zezenaelda batista dos santos - Fisiologia Humana - Nota Máxima: 10</v>
      </c>
    </row>
    <row r="4669">
      <c r="A4669" s="390" t="str">
        <f>IFERROR(__xludf.DUMMYFUNCTION("""COMPUTED_VALUE"""),"#SLEEA - Segunda Licenciatura em Educação Especial - Segunda Licenciatura em Educação Especial - Zezenaelda batista dos santos - Jogos e Recreação - Nota Máxima: 9")</f>
        <v>#SLEEA - Segunda Licenciatura em Educação Especial - Segunda Licenciatura em Educação Especial - Zezenaelda batista dos santos - Jogos e Recreação - Nota Máxima: 9</v>
      </c>
    </row>
    <row r="4670">
      <c r="A4670" s="390" t="str">
        <f>IFERROR(__xludf.DUMMYFUNCTION("""COMPUTED_VALUE"""),"#SLEEA - Segunda Licenciatura em Educação Especial - Segunda Licenciatura em Educação Especial - Zezenaelda batista dos santos - Jogos e Recreação - Nota Máxima: 10")</f>
        <v>#SLEEA - Segunda Licenciatura em Educação Especial - Segunda Licenciatura em Educação Especial - Zezenaelda batista dos santos - Jogos e Recreação - Nota Máxima: 10</v>
      </c>
    </row>
    <row r="4671">
      <c r="A4671" s="390" t="str">
        <f>IFERROR(__xludf.DUMMYFUNCTION("""COMPUTED_VALUE"""),"#SLEEA - Segunda Licenciatura em Educação Especial - Segunda Licenciatura em Educação Especial - Zezenaelda batista dos santos - Legislação e Políticas para Educação Inclusiva e Especial - Nota Máxima: 8")</f>
        <v>#SLEEA - Segunda Licenciatura em Educação Especial - Segunda Licenciatura em Educação Especial - Zezenaelda batista dos santos - Legislação e Políticas para Educação Inclusiva e Especial - Nota Máxima: 8</v>
      </c>
    </row>
    <row r="4672">
      <c r="A4672" s="390" t="str">
        <f>IFERROR(__xludf.DUMMYFUNCTION("""COMPUTED_VALUE"""),"#SLEEA - Segunda Licenciatura em Educação Especial - Segunda Licenciatura em Educação Especial - Zezenaelda batista dos santos - Legislação e Políticas para Educação Inclusiva e Especial - Nota Máxima: 10")</f>
        <v>#SLEEA - Segunda Licenciatura em Educação Especial - Segunda Licenciatura em Educação Especial - Zezenaelda batista dos santos - Legislação e Políticas para Educação Inclusiva e Especial - Nota Máxima: 10</v>
      </c>
    </row>
    <row r="4673">
      <c r="A4673" s="390" t="str">
        <f>IFERROR(__xludf.DUMMYFUNCTION("""COMPUTED_VALUE"""),"#SLEEA - Segunda Licenciatura em Educação Especial - Segunda Licenciatura em Educação Especial - Zezenaelda batista dos santos - Legislação Educacional/a - Nota Máxima: 8")</f>
        <v>#SLEEA - Segunda Licenciatura em Educação Especial - Segunda Licenciatura em Educação Especial - Zezenaelda batista dos santos - Legislação Educacional/a - Nota Máxima: 8</v>
      </c>
    </row>
    <row r="4674">
      <c r="A4674" s="390" t="str">
        <f>IFERROR(__xludf.DUMMYFUNCTION("""COMPUTED_VALUE"""),"#SLEEA - Segunda Licenciatura em Educação Especial - Segunda Licenciatura em Educação Especial - Zezenaelda batista dos santos - Legislação Educacional/a - Nota Máxima: 10")</f>
        <v>#SLEEA - Segunda Licenciatura em Educação Especial - Segunda Licenciatura em Educação Especial - Zezenaelda batista dos santos - Legislação Educacional/a - Nota Máxima: 10</v>
      </c>
    </row>
    <row r="4675">
      <c r="A4675" s="390" t="str">
        <f>IFERROR(__xludf.DUMMYFUNCTION("""COMPUTED_VALUE"""),"#SLEEA - Segunda Licenciatura em Educação Especial - Segunda Licenciatura em Educação Especial - Zezenaelda batista dos santos - Planejamento, Gestão Educacional e Currículo/a - Nota Máxima: 7")</f>
        <v>#SLEEA - Segunda Licenciatura em Educação Especial - Segunda Licenciatura em Educação Especial - Zezenaelda batista dos santos - Planejamento, Gestão Educacional e Currículo/a - Nota Máxima: 7</v>
      </c>
    </row>
    <row r="4676">
      <c r="A4676" s="390" t="str">
        <f>IFERROR(__xludf.DUMMYFUNCTION("""COMPUTED_VALUE"""),"#SLEEA - Segunda Licenciatura em Educação Especial - Segunda Licenciatura em Educação Especial - Zezenaelda batista dos santos - Planejamento, Gestão Educacional e Currículo/a - Nota Máxima: 10")</f>
        <v>#SLEEA - Segunda Licenciatura em Educação Especial - Segunda Licenciatura em Educação Especial - Zezenaelda batista dos santos - Planejamento, Gestão Educacional e Currículo/a - Nota Máxima: 10</v>
      </c>
    </row>
    <row r="4677">
      <c r="A4677" s="390" t="str">
        <f>IFERROR(__xludf.DUMMYFUNCTION("""COMPUTED_VALUE"""),"#SLEEA - Segunda Licenciatura em Educação Especial - Segunda Licenciatura em Educação Especial - Zezenaelda batista dos santos - Práticas Pedagógicas - 400 Horas - Nota Máxima: 4")</f>
        <v>#SLEEA - Segunda Licenciatura em Educação Especial - Segunda Licenciatura em Educação Especial - Zezenaelda batista dos santos - Práticas Pedagógicas - 400 Horas - Nota Máxima: 4</v>
      </c>
    </row>
    <row r="4678">
      <c r="A4678" s="390" t="str">
        <f>IFERROR(__xludf.DUMMYFUNCTION("""COMPUTED_VALUE"""),"#SLEEA - Segunda Licenciatura em Educação Especial - Segunda Licenciatura em Educação Especial - Zezenaelda batista dos santos - Práticas Pedagógicas - 400 Horas - Nota Máxima: 10")</f>
        <v>#SLEEA - Segunda Licenciatura em Educação Especial - Segunda Licenciatura em Educação Especial - Zezenaelda batista dos santos - Práticas Pedagógicas - 400 Horas - Nota Máxima: 10</v>
      </c>
    </row>
    <row r="4679">
      <c r="A4679" s="390" t="str">
        <f>IFERROR(__xludf.DUMMYFUNCTION("""COMPUTED_VALUE"""),"#SLEEA - Segunda Licenciatura em Educação Especial - Segunda Licenciatura em Educação Especial - Zezenaelda batista dos santos - Psicologia da Educação/a - Nota Máxima: 7")</f>
        <v>#SLEEA - Segunda Licenciatura em Educação Especial - Segunda Licenciatura em Educação Especial - Zezenaelda batista dos santos - Psicologia da Educação/a - Nota Máxima: 7</v>
      </c>
    </row>
    <row r="4680">
      <c r="A4680" s="390" t="str">
        <f>IFERROR(__xludf.DUMMYFUNCTION("""COMPUTED_VALUE"""),"#SLEEA - Segunda Licenciatura em Educação Especial - Segunda Licenciatura em Educação Especial - Zezenaelda batista dos santos - Psicologia da Educação/a - Nota Máxima: 10")</f>
        <v>#SLEEA - Segunda Licenciatura em Educação Especial - Segunda Licenciatura em Educação Especial - Zezenaelda batista dos santos - Psicologia da Educação/a - Nota Máxima: 10</v>
      </c>
    </row>
    <row r="4681">
      <c r="A4681" s="390" t="str">
        <f>IFERROR(__xludf.DUMMYFUNCTION("""COMPUTED_VALUE"""),"#SLEEA - Segunda Licenciatura em Educação Especial - Segunda Licenciatura em Educação Especial - Renato Lopes Almeida - Atuação Docente na Educação Inclusiva - Nota Máxima: 10")</f>
        <v>#SLEEA - Segunda Licenciatura em Educação Especial - Segunda Licenciatura em Educação Especial - Renato Lopes Almeida - Atuação Docente na Educação Inclusiva - Nota Máxima: 10</v>
      </c>
    </row>
    <row r="4682">
      <c r="A4682" s="390" t="str">
        <f>IFERROR(__xludf.DUMMYFUNCTION("""COMPUTED_VALUE"""),"#SLEEA - Segunda Licenciatura em Educação Especial - Segunda Licenciatura em Educação Especial - Renato Lopes Almeida - Cultura e Diversidade - Nota Máxima: 7")</f>
        <v>#SLEEA - Segunda Licenciatura em Educação Especial - Segunda Licenciatura em Educação Especial - Renato Lopes Almeida - Cultura e Diversidade - Nota Máxima: 7</v>
      </c>
    </row>
    <row r="4683">
      <c r="A4683" s="390" t="str">
        <f>IFERROR(__xludf.DUMMYFUNCTION("""COMPUTED_VALUE"""),"#SLEEA - Segunda Licenciatura em Educação Especial - Segunda Licenciatura em Educação Especial - Renato Lopes Almeida - Deficiência Auditiva e Libras/a - Nota Máxima: 8")</f>
        <v>#SLEEA - Segunda Licenciatura em Educação Especial - Segunda Licenciatura em Educação Especial - Renato Lopes Almeida - Deficiência Auditiva e Libras/a - Nota Máxima: 8</v>
      </c>
    </row>
    <row r="4684">
      <c r="A4684" s="390" t="str">
        <f>IFERROR(__xludf.DUMMYFUNCTION("""COMPUTED_VALUE"""),"#SLEEA - Segunda Licenciatura em Educação Especial - Segunda Licenciatura em Educação Especial - Renato Lopes Almeida - Educação e as Tic's - Nota Máxima: 7")</f>
        <v>#SLEEA - Segunda Licenciatura em Educação Especial - Segunda Licenciatura em Educação Especial - Renato Lopes Almeida - Educação e as Tic's - Nota Máxima: 7</v>
      </c>
    </row>
    <row r="4685">
      <c r="A4685" s="390" t="str">
        <f>IFERROR(__xludf.DUMMYFUNCTION("""COMPUTED_VALUE"""),"#SLEEA - Segunda Licenciatura em Educação Especial - Segunda Licenciatura em Educação Especial - Renato Lopes Almeida - Educação em Direitos Humanos/a - Nota Máxima: 8")</f>
        <v>#SLEEA - Segunda Licenciatura em Educação Especial - Segunda Licenciatura em Educação Especial - Renato Lopes Almeida - Educação em Direitos Humanos/a - Nota Máxima: 8</v>
      </c>
    </row>
    <row r="4686">
      <c r="A4686" s="390" t="str">
        <f>IFERROR(__xludf.DUMMYFUNCTION("""COMPUTED_VALUE"""),"#SLEEA - Segunda Licenciatura em Educação Especial - Segunda Licenciatura em Educação Especial - Renato Lopes Almeida - Educação Especial - Nota Máxima: 7")</f>
        <v>#SLEEA - Segunda Licenciatura em Educação Especial - Segunda Licenciatura em Educação Especial - Renato Lopes Almeida - Educação Especial - Nota Máxima: 7</v>
      </c>
    </row>
    <row r="4687">
      <c r="A4687" s="390" t="str">
        <f>IFERROR(__xludf.DUMMYFUNCTION("""COMPUTED_VALUE"""),"#SLEEA - Segunda Licenciatura em Educação Especial - Segunda Licenciatura em Educação Especial - Renato Lopes Almeida - Educação Especial, Inclusão Escolar e Adaptações Curriculares - Nota Máxima: 10")</f>
        <v>#SLEEA - Segunda Licenciatura em Educação Especial - Segunda Licenciatura em Educação Especial - Renato Lopes Almeida - Educação Especial, Inclusão Escolar e Adaptações Curriculares - Nota Máxima: 10</v>
      </c>
    </row>
    <row r="4688">
      <c r="A4688" s="390" t="str">
        <f>IFERROR(__xludf.DUMMYFUNCTION("""COMPUTED_VALUE"""),"#SLEEA - Segunda Licenciatura em Educação Especial - Segunda Licenciatura em Educação Especial - Renato Lopes Almeida - Fisiologia Humana - Nota Máxima: 7")</f>
        <v>#SLEEA - Segunda Licenciatura em Educação Especial - Segunda Licenciatura em Educação Especial - Renato Lopes Almeida - Fisiologia Humana - Nota Máxima: 7</v>
      </c>
    </row>
    <row r="4689">
      <c r="A4689" s="390" t="str">
        <f>IFERROR(__xludf.DUMMYFUNCTION("""COMPUTED_VALUE"""),"#SLEEA - Segunda Licenciatura em Educação Especial - Segunda Licenciatura em Educação Especial - Renato Lopes Almeida - Jogos e Recreação - Nota Máxima: 8")</f>
        <v>#SLEEA - Segunda Licenciatura em Educação Especial - Segunda Licenciatura em Educação Especial - Renato Lopes Almeida - Jogos e Recreação - Nota Máxima: 8</v>
      </c>
    </row>
    <row r="4690">
      <c r="A4690" s="390" t="str">
        <f>IFERROR(__xludf.DUMMYFUNCTION("""COMPUTED_VALUE"""),"#SLEEA - Segunda Licenciatura em Educação Especial - Segunda Licenciatura em Educação Especial - Renato Lopes Almeida - Legislação e Políticas para Educação Inclusiva e Especial - Nota Máxima: 8")</f>
        <v>#SLEEA - Segunda Licenciatura em Educação Especial - Segunda Licenciatura em Educação Especial - Renato Lopes Almeida - Legislação e Políticas para Educação Inclusiva e Especial - Nota Máxima: 8</v>
      </c>
    </row>
    <row r="4691">
      <c r="A4691" s="390" t="str">
        <f>IFERROR(__xludf.DUMMYFUNCTION("""COMPUTED_VALUE"""),"#SLEEA - Segunda Licenciatura em Educação Especial - Segunda Licenciatura em Educação Especial - Renato Lopes Almeida - Legislação Educacional/a - Nota Máxima: 10")</f>
        <v>#SLEEA - Segunda Licenciatura em Educação Especial - Segunda Licenciatura em Educação Especial - Renato Lopes Almeida - Legislação Educacional/a - Nota Máxima: 10</v>
      </c>
    </row>
    <row r="4692">
      <c r="A4692" s="390" t="str">
        <f>IFERROR(__xludf.DUMMYFUNCTION("""COMPUTED_VALUE"""),"#SLEEA - Segunda Licenciatura em Educação Especial - Segunda Licenciatura em Educação Especial - Renato Lopes Almeida - Planejamento, Gestão Educacional e Currículo/a - Nota Máxima: 10")</f>
        <v>#SLEEA - Segunda Licenciatura em Educação Especial - Segunda Licenciatura em Educação Especial - Renato Lopes Almeida - Planejamento, Gestão Educacional e Currículo/a - Nota Máxima: 10</v>
      </c>
    </row>
    <row r="4693">
      <c r="A4693" s="390" t="str">
        <f>IFERROR(__xludf.DUMMYFUNCTION("""COMPUTED_VALUE"""),"#SLEEA - Segunda Licenciatura em Educação Especial - Segunda Licenciatura em Educação Especial - Renato Lopes Almeida - Práticas Pedagógicas - 400 Horas - Nota Máxima: 10")</f>
        <v>#SLEEA - Segunda Licenciatura em Educação Especial - Segunda Licenciatura em Educação Especial - Renato Lopes Almeida - Práticas Pedagógicas - 400 Horas - Nota Máxima: 10</v>
      </c>
    </row>
    <row r="4694">
      <c r="A4694" s="390" t="str">
        <f>IFERROR(__xludf.DUMMYFUNCTION("""COMPUTED_VALUE"""),"#SLEEA - Segunda Licenciatura em Educação Especial - Segunda Licenciatura em Educação Especial - Renato Lopes Almeida - Psicologia da Educação/a - Nota Máxima: 7")</f>
        <v>#SLEEA - Segunda Licenciatura em Educação Especial - Segunda Licenciatura em Educação Especial - Renato Lopes Almeida - Psicologia da Educação/a - Nota Máxima: 7</v>
      </c>
    </row>
    <row r="4695">
      <c r="A4695" s="390" t="str">
        <f>IFERROR(__xludf.DUMMYFUNCTION("""COMPUTED_VALUE"""),"#SLEEA - Segunda Licenciatura em Educação Especial - Segunda Licenciatura em Educação Especial - Wagner Wanderley do Nascimento - Atuação Docente na Educação Inclusiva - Nota Máxima: 10")</f>
        <v>#SLEEA - Segunda Licenciatura em Educação Especial - Segunda Licenciatura em Educação Especial - Wagner Wanderley do Nascimento - Atuação Docente na Educação Inclusiva - Nota Máxima: 10</v>
      </c>
    </row>
    <row r="4696">
      <c r="A4696" s="390" t="str">
        <f>IFERROR(__xludf.DUMMYFUNCTION("""COMPUTED_VALUE"""),"#SLEEA - Segunda Licenciatura em Educação Especial - Segunda Licenciatura em Educação Especial - Wagner Wanderley do Nascimento - Atuação Docente na Educação Inclusiva - Nota Máxima: 9")</f>
        <v>#SLEEA - Segunda Licenciatura em Educação Especial - Segunda Licenciatura em Educação Especial - Wagner Wanderley do Nascimento - Atuação Docente na Educação Inclusiva - Nota Máxima: 9</v>
      </c>
    </row>
    <row r="4697">
      <c r="A4697" s="390" t="str">
        <f>IFERROR(__xludf.DUMMYFUNCTION("""COMPUTED_VALUE"""),"#SLEEA - Segunda Licenciatura em Educação Especial - Segunda Licenciatura em Educação Especial - Wagner Wanderley do Nascimento - Cultura e Diversidade - Nota Máxima: 10")</f>
        <v>#SLEEA - Segunda Licenciatura em Educação Especial - Segunda Licenciatura em Educação Especial - Wagner Wanderley do Nascimento - Cultura e Diversidade - Nota Máxima: 10</v>
      </c>
    </row>
    <row r="4698">
      <c r="A4698" s="390" t="str">
        <f>IFERROR(__xludf.DUMMYFUNCTION("""COMPUTED_VALUE"""),"#SLEEA - Segunda Licenciatura em Educação Especial - Segunda Licenciatura em Educação Especial - Wagner Wanderley do Nascimento - Cultura e Diversidade - Nota Máxima: 8")</f>
        <v>#SLEEA - Segunda Licenciatura em Educação Especial - Segunda Licenciatura em Educação Especial - Wagner Wanderley do Nascimento - Cultura e Diversidade - Nota Máxima: 8</v>
      </c>
    </row>
    <row r="4699">
      <c r="A4699" s="390" t="str">
        <f>IFERROR(__xludf.DUMMYFUNCTION("""COMPUTED_VALUE"""),"#SLEEA - Segunda Licenciatura em Educação Especial - Segunda Licenciatura em Educação Especial - Wagner Wanderley do Nascimento - Deficiência Auditiva e Libras/a - Nota Máxima: 10")</f>
        <v>#SLEEA - Segunda Licenciatura em Educação Especial - Segunda Licenciatura em Educação Especial - Wagner Wanderley do Nascimento - Deficiência Auditiva e Libras/a - Nota Máxima: 10</v>
      </c>
    </row>
    <row r="4700">
      <c r="A4700" s="390" t="str">
        <f>IFERROR(__xludf.DUMMYFUNCTION("""COMPUTED_VALUE"""),"#SLEEA - Segunda Licenciatura em Educação Especial - Segunda Licenciatura em Educação Especial - Wagner Wanderley do Nascimento - Deficiência Auditiva e Libras/a - Nota Máxima: 8")</f>
        <v>#SLEEA - Segunda Licenciatura em Educação Especial - Segunda Licenciatura em Educação Especial - Wagner Wanderley do Nascimento - Deficiência Auditiva e Libras/a - Nota Máxima: 8</v>
      </c>
    </row>
    <row r="4701">
      <c r="A4701" s="390" t="str">
        <f>IFERROR(__xludf.DUMMYFUNCTION("""COMPUTED_VALUE"""),"#SLEEA - Segunda Licenciatura em Educação Especial - Segunda Licenciatura em Educação Especial - Wagner Wanderley do Nascimento - Educação e as Tic's - Nota Máxima: 10")</f>
        <v>#SLEEA - Segunda Licenciatura em Educação Especial - Segunda Licenciatura em Educação Especial - Wagner Wanderley do Nascimento - Educação e as Tic's - Nota Máxima: 10</v>
      </c>
    </row>
    <row r="4702">
      <c r="A4702" s="390" t="str">
        <f>IFERROR(__xludf.DUMMYFUNCTION("""COMPUTED_VALUE"""),"#SLEEA - Segunda Licenciatura em Educação Especial - Segunda Licenciatura em Educação Especial - Wagner Wanderley do Nascimento - Educação e as Tic's - Nota Máxima: 8")</f>
        <v>#SLEEA - Segunda Licenciatura em Educação Especial - Segunda Licenciatura em Educação Especial - Wagner Wanderley do Nascimento - Educação e as Tic's - Nota Máxima: 8</v>
      </c>
    </row>
    <row r="4703">
      <c r="A4703" s="390" t="str">
        <f>IFERROR(__xludf.DUMMYFUNCTION("""COMPUTED_VALUE"""),"#SLEEA - Segunda Licenciatura em Educação Especial - Segunda Licenciatura em Educação Especial - Wagner Wanderley do Nascimento - Educação em Direitos Humanos/a - Nota Máxima: 10")</f>
        <v>#SLEEA - Segunda Licenciatura em Educação Especial - Segunda Licenciatura em Educação Especial - Wagner Wanderley do Nascimento - Educação em Direitos Humanos/a - Nota Máxima: 10</v>
      </c>
    </row>
    <row r="4704">
      <c r="A4704" s="390" t="str">
        <f>IFERROR(__xludf.DUMMYFUNCTION("""COMPUTED_VALUE"""),"#SLEEA - Segunda Licenciatura em Educação Especial - Segunda Licenciatura em Educação Especial - Wagner Wanderley do Nascimento - Educação em Direitos Humanos/a - Nota Máxima: 9")</f>
        <v>#SLEEA - Segunda Licenciatura em Educação Especial - Segunda Licenciatura em Educação Especial - Wagner Wanderley do Nascimento - Educação em Direitos Humanos/a - Nota Máxima: 9</v>
      </c>
    </row>
    <row r="4705">
      <c r="A4705" s="390" t="str">
        <f>IFERROR(__xludf.DUMMYFUNCTION("""COMPUTED_VALUE"""),"#SLEEA - Segunda Licenciatura em Educação Especial - Segunda Licenciatura em Educação Especial - Wagner Wanderley do Nascimento - Educação Especial - Nota Máxima: 10")</f>
        <v>#SLEEA - Segunda Licenciatura em Educação Especial - Segunda Licenciatura em Educação Especial - Wagner Wanderley do Nascimento - Educação Especial - Nota Máxima: 10</v>
      </c>
    </row>
    <row r="4706">
      <c r="A4706" s="390" t="str">
        <f>IFERROR(__xludf.DUMMYFUNCTION("""COMPUTED_VALUE"""),"#SLEEA - Segunda Licenciatura em Educação Especial - Segunda Licenciatura em Educação Especial - Wagner Wanderley do Nascimento - Educação Especial - Nota Máxima: 7")</f>
        <v>#SLEEA - Segunda Licenciatura em Educação Especial - Segunda Licenciatura em Educação Especial - Wagner Wanderley do Nascimento - Educação Especial - Nota Máxima: 7</v>
      </c>
    </row>
    <row r="4707">
      <c r="A4707" s="390" t="str">
        <f>IFERROR(__xludf.DUMMYFUNCTION("""COMPUTED_VALUE"""),"#SLEEA - Segunda Licenciatura em Educação Especial - Segunda Licenciatura em Educação Especial - Wagner Wanderley do Nascimento - Educação Especial, Inclusão Escolar e Adaptações Curriculares - Nota Máxima: 10")</f>
        <v>#SLEEA - Segunda Licenciatura em Educação Especial - Segunda Licenciatura em Educação Especial - Wagner Wanderley do Nascimento - Educação Especial, Inclusão Escolar e Adaptações Curriculares - Nota Máxima: 10</v>
      </c>
    </row>
    <row r="4708">
      <c r="A4708" s="390" t="str">
        <f>IFERROR(__xludf.DUMMYFUNCTION("""COMPUTED_VALUE"""),"#SLEEA - Segunda Licenciatura em Educação Especial - Segunda Licenciatura em Educação Especial - Wagner Wanderley do Nascimento - Educação Especial, Inclusão Escolar e Adaptações Curriculares - Nota Máxima: 6")</f>
        <v>#SLEEA - Segunda Licenciatura em Educação Especial - Segunda Licenciatura em Educação Especial - Wagner Wanderley do Nascimento - Educação Especial, Inclusão Escolar e Adaptações Curriculares - Nota Máxima: 6</v>
      </c>
    </row>
    <row r="4709">
      <c r="A4709" s="390" t="str">
        <f>IFERROR(__xludf.DUMMYFUNCTION("""COMPUTED_VALUE"""),"#SLEEA - Segunda Licenciatura em Educação Especial - Segunda Licenciatura em Educação Especial - Wagner Wanderley do Nascimento - Fisiologia Humana - Nota Máxima: 10")</f>
        <v>#SLEEA - Segunda Licenciatura em Educação Especial - Segunda Licenciatura em Educação Especial - Wagner Wanderley do Nascimento - Fisiologia Humana - Nota Máxima: 10</v>
      </c>
    </row>
    <row r="4710">
      <c r="A4710" s="390" t="str">
        <f>IFERROR(__xludf.DUMMYFUNCTION("""COMPUTED_VALUE"""),"#SLEEA - Segunda Licenciatura em Educação Especial - Segunda Licenciatura em Educação Especial - Wagner Wanderley do Nascimento - Fisiologia Humana - Nota Máxima: 8")</f>
        <v>#SLEEA - Segunda Licenciatura em Educação Especial - Segunda Licenciatura em Educação Especial - Wagner Wanderley do Nascimento - Fisiologia Humana - Nota Máxima: 8</v>
      </c>
    </row>
    <row r="4711">
      <c r="A4711" s="390" t="str">
        <f>IFERROR(__xludf.DUMMYFUNCTION("""COMPUTED_VALUE"""),"#SLEEA - Segunda Licenciatura em Educação Especial - Segunda Licenciatura em Educação Especial - Wagner Wanderley do Nascimento - Jogos e Recreação - Nota Máxima: 10")</f>
        <v>#SLEEA - Segunda Licenciatura em Educação Especial - Segunda Licenciatura em Educação Especial - Wagner Wanderley do Nascimento - Jogos e Recreação - Nota Máxima: 10</v>
      </c>
    </row>
    <row r="4712">
      <c r="A4712" s="390" t="str">
        <f>IFERROR(__xludf.DUMMYFUNCTION("""COMPUTED_VALUE"""),"#SLEEA - Segunda Licenciatura em Educação Especial - Segunda Licenciatura em Educação Especial - Wagner Wanderley do Nascimento - Jogos e Recreação - Nota Máxima: 8")</f>
        <v>#SLEEA - Segunda Licenciatura em Educação Especial - Segunda Licenciatura em Educação Especial - Wagner Wanderley do Nascimento - Jogos e Recreação - Nota Máxima: 8</v>
      </c>
    </row>
    <row r="4713">
      <c r="A4713" s="390" t="str">
        <f>IFERROR(__xludf.DUMMYFUNCTION("""COMPUTED_VALUE"""),"#SLEEA - Segunda Licenciatura em Educação Especial - Segunda Licenciatura em Educação Especial - Wagner Wanderley do Nascimento - Legislação e Políticas para Educação Inclusiva e Especial - Nota Máxima: 10")</f>
        <v>#SLEEA - Segunda Licenciatura em Educação Especial - Segunda Licenciatura em Educação Especial - Wagner Wanderley do Nascimento - Legislação e Políticas para Educação Inclusiva e Especial - Nota Máxima: 10</v>
      </c>
    </row>
    <row r="4714">
      <c r="A4714" s="390" t="str">
        <f>IFERROR(__xludf.DUMMYFUNCTION("""COMPUTED_VALUE"""),"#SLEEA - Segunda Licenciatura em Educação Especial - Segunda Licenciatura em Educação Especial - Wagner Wanderley do Nascimento - Legislação e Políticas para Educação Inclusiva e Especial - Nota Máxima: 8")</f>
        <v>#SLEEA - Segunda Licenciatura em Educação Especial - Segunda Licenciatura em Educação Especial - Wagner Wanderley do Nascimento - Legislação e Políticas para Educação Inclusiva e Especial - Nota Máxima: 8</v>
      </c>
    </row>
    <row r="4715">
      <c r="A4715" s="390" t="str">
        <f>IFERROR(__xludf.DUMMYFUNCTION("""COMPUTED_VALUE"""),"#SLEEA - Segunda Licenciatura em Educação Especial - Segunda Licenciatura em Educação Especial - Wagner Wanderley do Nascimento - Legislação Educacional/a - Nota Máxima: 10")</f>
        <v>#SLEEA - Segunda Licenciatura em Educação Especial - Segunda Licenciatura em Educação Especial - Wagner Wanderley do Nascimento - Legislação Educacional/a - Nota Máxima: 10</v>
      </c>
    </row>
    <row r="4716">
      <c r="A4716" s="390" t="str">
        <f>IFERROR(__xludf.DUMMYFUNCTION("""COMPUTED_VALUE"""),"#SLEEA - Segunda Licenciatura em Educação Especial - Segunda Licenciatura em Educação Especial - Wagner Wanderley do Nascimento - Legislação Educacional/a - Nota Máxima: 9")</f>
        <v>#SLEEA - Segunda Licenciatura em Educação Especial - Segunda Licenciatura em Educação Especial - Wagner Wanderley do Nascimento - Legislação Educacional/a - Nota Máxima: 9</v>
      </c>
    </row>
    <row r="4717">
      <c r="A4717" s="390" t="str">
        <f>IFERROR(__xludf.DUMMYFUNCTION("""COMPUTED_VALUE"""),"#SLEEA - Segunda Licenciatura em Educação Especial - Segunda Licenciatura em Educação Especial - Wagner Wanderley do Nascimento - Planejamento, Gestão Educacional e Currículo/a - Nota Máxima: 10")</f>
        <v>#SLEEA - Segunda Licenciatura em Educação Especial - Segunda Licenciatura em Educação Especial - Wagner Wanderley do Nascimento - Planejamento, Gestão Educacional e Currículo/a - Nota Máxima: 10</v>
      </c>
    </row>
    <row r="4718">
      <c r="A4718" s="390" t="str">
        <f>IFERROR(__xludf.DUMMYFUNCTION("""COMPUTED_VALUE"""),"#SLEEA - Segunda Licenciatura em Educação Especial - Segunda Licenciatura em Educação Especial - Wagner Wanderley do Nascimento - Planejamento, Gestão Educacional e Currículo/a - Nota Máxima: 10")</f>
        <v>#SLEEA - Segunda Licenciatura em Educação Especial - Segunda Licenciatura em Educação Especial - Wagner Wanderley do Nascimento - Planejamento, Gestão Educacional e Currículo/a - Nota Máxima: 10</v>
      </c>
    </row>
    <row r="4719">
      <c r="A4719" s="390" t="str">
        <f>IFERROR(__xludf.DUMMYFUNCTION("""COMPUTED_VALUE"""),"#SLEEA - Segunda Licenciatura em Educação Especial - Segunda Licenciatura em Educação Especial - Wagner Wanderley do Nascimento - Práticas Pedagógicas - 400 Horas - Nota Máxima: 4")</f>
        <v>#SLEEA - Segunda Licenciatura em Educação Especial - Segunda Licenciatura em Educação Especial - Wagner Wanderley do Nascimento - Práticas Pedagógicas - 400 Horas - Nota Máxima: 4</v>
      </c>
    </row>
    <row r="4720">
      <c r="A4720" s="390" t="str">
        <f>IFERROR(__xludf.DUMMYFUNCTION("""COMPUTED_VALUE"""),"#SLEEA - Segunda Licenciatura em Educação Especial - Segunda Licenciatura em Educação Especial - Wagner Wanderley do Nascimento - Práticas Pedagógicas - 400 Horas - Nota Máxima: 4")</f>
        <v>#SLEEA - Segunda Licenciatura em Educação Especial - Segunda Licenciatura em Educação Especial - Wagner Wanderley do Nascimento - Práticas Pedagógicas - 400 Horas - Nota Máxima: 4</v>
      </c>
    </row>
    <row r="4721">
      <c r="A4721" s="390" t="str">
        <f>IFERROR(__xludf.DUMMYFUNCTION("""COMPUTED_VALUE"""),"#SLEEA - Segunda Licenciatura em Educação Especial - Segunda Licenciatura em Educação Especial - Wagner Wanderley do Nascimento - Psicologia da Educação/a - Nota Máxima: 10")</f>
        <v>#SLEEA - Segunda Licenciatura em Educação Especial - Segunda Licenciatura em Educação Especial - Wagner Wanderley do Nascimento - Psicologia da Educação/a - Nota Máxima: 10</v>
      </c>
    </row>
    <row r="4722">
      <c r="A4722" s="390" t="str">
        <f>IFERROR(__xludf.DUMMYFUNCTION("""COMPUTED_VALUE"""),"#SLEEA - Segunda Licenciatura em Educação Especial - Segunda Licenciatura em Educação Especial - Wagner Wanderley do Nascimento - Psicologia da Educação/a - Nota Máxima: 6")</f>
        <v>#SLEEA - Segunda Licenciatura em Educação Especial - Segunda Licenciatura em Educação Especial - Wagner Wanderley do Nascimento - Psicologia da Educação/a - Nota Máxima: 6</v>
      </c>
    </row>
    <row r="4723">
      <c r="A4723" s="390" t="str">
        <f>IFERROR(__xludf.DUMMYFUNCTION("""COMPUTED_VALUE"""),"#SLEEA - Segunda Licenciatura em Educação Especial - Segunda Licenciatura em Educação Especial - Zoraia de Jesus Pereira dos Santos - Deficiência Auditiva e Libras/a - Nota Máxima: 8")</f>
        <v>#SLEEA - Segunda Licenciatura em Educação Especial - Segunda Licenciatura em Educação Especial - Zoraia de Jesus Pereira dos Santos - Deficiência Auditiva e Libras/a - Nota Máxima: 8</v>
      </c>
    </row>
    <row r="4724">
      <c r="A4724" s="390" t="str">
        <f>IFERROR(__xludf.DUMMYFUNCTION("""COMPUTED_VALUE"""),"#SLEEA - Segunda Licenciatura em Educação Especial - Segunda Licenciatura em Educação Especial - Zoraia de Jesus Pereira dos Santos - Educação Especial, Inclusão Escolar e Adaptações Curriculares - Nota Máxima: 8")</f>
        <v>#SLEEA - Segunda Licenciatura em Educação Especial - Segunda Licenciatura em Educação Especial - Zoraia de Jesus Pereira dos Santos - Educação Especial, Inclusão Escolar e Adaptações Curriculares - Nota Máxima: 8</v>
      </c>
    </row>
    <row r="4725">
      <c r="A4725" s="390" t="str">
        <f>IFERROR(__xludf.DUMMYFUNCTION("""COMPUTED_VALUE"""),"#SLEEA - Segunda Licenciatura em Educação Especial - Segunda Licenciatura em Educação Especial - Zoraia de Jesus Pereira dos Santos - Jogos e Recreação - Nota Máxima: 10")</f>
        <v>#SLEEA - Segunda Licenciatura em Educação Especial - Segunda Licenciatura em Educação Especial - Zoraia de Jesus Pereira dos Santos - Jogos e Recreação - Nota Máxima: 10</v>
      </c>
    </row>
    <row r="4726">
      <c r="A4726" s="390" t="str">
        <f>IFERROR(__xludf.DUMMYFUNCTION("""COMPUTED_VALUE"""),"#SLEEA - Segunda Licenciatura em Educação Especial - Segunda Licenciatura em Educação Especial - Tacylla Lima Silva - Atuação Docente na Educação Inclusiva - Nota Máxima: 10")</f>
        <v>#SLEEA - Segunda Licenciatura em Educação Especial - Segunda Licenciatura em Educação Especial - Tacylla Lima Silva - Atuação Docente na Educação Inclusiva - Nota Máxima: 10</v>
      </c>
    </row>
    <row r="4727">
      <c r="A4727" s="390" t="str">
        <f>IFERROR(__xludf.DUMMYFUNCTION("""COMPUTED_VALUE"""),"#SLEEA - Segunda Licenciatura em Educação Especial - Segunda Licenciatura em Educação Especial - Tacylla Lima Silva - Atuação Docente na Educação Inclusiva - Nota Máxima: 10")</f>
        <v>#SLEEA - Segunda Licenciatura em Educação Especial - Segunda Licenciatura em Educação Especial - Tacylla Lima Silva - Atuação Docente na Educação Inclusiva - Nota Máxima: 10</v>
      </c>
    </row>
    <row r="4728">
      <c r="A4728" s="390" t="str">
        <f>IFERROR(__xludf.DUMMYFUNCTION("""COMPUTED_VALUE"""),"#SLEEA - Segunda Licenciatura em Educação Especial - Segunda Licenciatura em Educação Especial - Tacylla Lima Silva - Cultura e Diversidade - Nota Máxima: 10")</f>
        <v>#SLEEA - Segunda Licenciatura em Educação Especial - Segunda Licenciatura em Educação Especial - Tacylla Lima Silva - Cultura e Diversidade - Nota Máxima: 10</v>
      </c>
    </row>
    <row r="4729">
      <c r="A4729" s="390" t="str">
        <f>IFERROR(__xludf.DUMMYFUNCTION("""COMPUTED_VALUE"""),"#SLEEA - Segunda Licenciatura em Educação Especial - Segunda Licenciatura em Educação Especial - Tacylla Lima Silva - Cultura e Diversidade - Nota Máxima: 9")</f>
        <v>#SLEEA - Segunda Licenciatura em Educação Especial - Segunda Licenciatura em Educação Especial - Tacylla Lima Silva - Cultura e Diversidade - Nota Máxima: 9</v>
      </c>
    </row>
    <row r="4730">
      <c r="A4730" s="390" t="str">
        <f>IFERROR(__xludf.DUMMYFUNCTION("""COMPUTED_VALUE"""),"#SLEEA - Segunda Licenciatura em Educação Especial - Segunda Licenciatura em Educação Especial - Tacylla Lima Silva - Deficiência Auditiva e Libras/a - Nota Máxima: 10")</f>
        <v>#SLEEA - Segunda Licenciatura em Educação Especial - Segunda Licenciatura em Educação Especial - Tacylla Lima Silva - Deficiência Auditiva e Libras/a - Nota Máxima: 10</v>
      </c>
    </row>
    <row r="4731">
      <c r="A4731" s="390" t="str">
        <f>IFERROR(__xludf.DUMMYFUNCTION("""COMPUTED_VALUE"""),"#SLEEA - Segunda Licenciatura em Educação Especial - Segunda Licenciatura em Educação Especial - Tacylla Lima Silva - Deficiência Auditiva e Libras/a - Nota Máxima: 10")</f>
        <v>#SLEEA - Segunda Licenciatura em Educação Especial - Segunda Licenciatura em Educação Especial - Tacylla Lima Silva - Deficiência Auditiva e Libras/a - Nota Máxima: 10</v>
      </c>
    </row>
    <row r="4732">
      <c r="A4732" s="390" t="str">
        <f>IFERROR(__xludf.DUMMYFUNCTION("""COMPUTED_VALUE"""),"#SLEEA - Segunda Licenciatura em Educação Especial - Segunda Licenciatura em Educação Especial - Tacylla Lima Silva - Educação e as Tic's - Nota Máxima: 10")</f>
        <v>#SLEEA - Segunda Licenciatura em Educação Especial - Segunda Licenciatura em Educação Especial - Tacylla Lima Silva - Educação e as Tic's - Nota Máxima: 10</v>
      </c>
    </row>
    <row r="4733">
      <c r="A4733" s="390" t="str">
        <f>IFERROR(__xludf.DUMMYFUNCTION("""COMPUTED_VALUE"""),"#SLEEA - Segunda Licenciatura em Educação Especial - Segunda Licenciatura em Educação Especial - Tacylla Lima Silva - Educação e as Tic's - Nota Máxima: 7")</f>
        <v>#SLEEA - Segunda Licenciatura em Educação Especial - Segunda Licenciatura em Educação Especial - Tacylla Lima Silva - Educação e as Tic's - Nota Máxima: 7</v>
      </c>
    </row>
    <row r="4734">
      <c r="A4734" s="390" t="str">
        <f>IFERROR(__xludf.DUMMYFUNCTION("""COMPUTED_VALUE"""),"#SLEEA - Segunda Licenciatura em Educação Especial - Segunda Licenciatura em Educação Especial - Tacylla Lima Silva - Educação em Direitos Humanos/a - Nota Máxima: 10")</f>
        <v>#SLEEA - Segunda Licenciatura em Educação Especial - Segunda Licenciatura em Educação Especial - Tacylla Lima Silva - Educação em Direitos Humanos/a - Nota Máxima: 10</v>
      </c>
    </row>
    <row r="4735">
      <c r="A4735" s="390" t="str">
        <f>IFERROR(__xludf.DUMMYFUNCTION("""COMPUTED_VALUE"""),"#SLEEA - Segunda Licenciatura em Educação Especial - Segunda Licenciatura em Educação Especial - Tacylla Lima Silva - Educação em Direitos Humanos/a - Nota Máxima: 8")</f>
        <v>#SLEEA - Segunda Licenciatura em Educação Especial - Segunda Licenciatura em Educação Especial - Tacylla Lima Silva - Educação em Direitos Humanos/a - Nota Máxima: 8</v>
      </c>
    </row>
    <row r="4736">
      <c r="A4736" s="390" t="str">
        <f>IFERROR(__xludf.DUMMYFUNCTION("""COMPUTED_VALUE"""),"#SLEEA - Segunda Licenciatura em Educação Especial - Segunda Licenciatura em Educação Especial - Tacylla Lima Silva - Educação Especial - Nota Máxima: 10")</f>
        <v>#SLEEA - Segunda Licenciatura em Educação Especial - Segunda Licenciatura em Educação Especial - Tacylla Lima Silva - Educação Especial - Nota Máxima: 10</v>
      </c>
    </row>
    <row r="4737">
      <c r="A4737" s="390" t="str">
        <f>IFERROR(__xludf.DUMMYFUNCTION("""COMPUTED_VALUE"""),"#SLEEA - Segunda Licenciatura em Educação Especial - Segunda Licenciatura em Educação Especial - Tacylla Lima Silva - Educação Especial - Nota Máxima: 7")</f>
        <v>#SLEEA - Segunda Licenciatura em Educação Especial - Segunda Licenciatura em Educação Especial - Tacylla Lima Silva - Educação Especial - Nota Máxima: 7</v>
      </c>
    </row>
    <row r="4738">
      <c r="A4738" s="390" t="str">
        <f>IFERROR(__xludf.DUMMYFUNCTION("""COMPUTED_VALUE"""),"#SLEEA - Segunda Licenciatura em Educação Especial - Segunda Licenciatura em Educação Especial - Tacylla Lima Silva - Educação Especial, Inclusão Escolar e Adaptações Curriculares - Nota Máxima: 9")</f>
        <v>#SLEEA - Segunda Licenciatura em Educação Especial - Segunda Licenciatura em Educação Especial - Tacylla Lima Silva - Educação Especial, Inclusão Escolar e Adaptações Curriculares - Nota Máxima: 9</v>
      </c>
    </row>
    <row r="4739">
      <c r="A4739" s="390" t="str">
        <f>IFERROR(__xludf.DUMMYFUNCTION("""COMPUTED_VALUE"""),"#SLEEA - Segunda Licenciatura em Educação Especial - Segunda Licenciatura em Educação Especial - Tacylla Lima Silva - Fisiologia Humana - Nota Máxima: 10")</f>
        <v>#SLEEA - Segunda Licenciatura em Educação Especial - Segunda Licenciatura em Educação Especial - Tacylla Lima Silva - Fisiologia Humana - Nota Máxima: 10</v>
      </c>
    </row>
    <row r="4740">
      <c r="A4740" s="390" t="str">
        <f>IFERROR(__xludf.DUMMYFUNCTION("""COMPUTED_VALUE"""),"#SLEEA - Segunda Licenciatura em Educação Especial - Segunda Licenciatura em Educação Especial - Tacylla Lima Silva - Fisiologia Humana - Nota Máxima: 8")</f>
        <v>#SLEEA - Segunda Licenciatura em Educação Especial - Segunda Licenciatura em Educação Especial - Tacylla Lima Silva - Fisiologia Humana - Nota Máxima: 8</v>
      </c>
    </row>
    <row r="4741">
      <c r="A4741" s="390" t="str">
        <f>IFERROR(__xludf.DUMMYFUNCTION("""COMPUTED_VALUE"""),"#SLEEA - Segunda Licenciatura em Educação Especial - Segunda Licenciatura em Educação Especial - Tacylla Lima Silva - Jogos e Recreação - Nota Máxima: 10")</f>
        <v>#SLEEA - Segunda Licenciatura em Educação Especial - Segunda Licenciatura em Educação Especial - Tacylla Lima Silva - Jogos e Recreação - Nota Máxima: 10</v>
      </c>
    </row>
    <row r="4742">
      <c r="A4742" s="390" t="str">
        <f>IFERROR(__xludf.DUMMYFUNCTION("""COMPUTED_VALUE"""),"#SLEEA - Segunda Licenciatura em Educação Especial - Segunda Licenciatura em Educação Especial - Tacylla Lima Silva - Jogos e Recreação - Nota Máxima: 8")</f>
        <v>#SLEEA - Segunda Licenciatura em Educação Especial - Segunda Licenciatura em Educação Especial - Tacylla Lima Silva - Jogos e Recreação - Nota Máxima: 8</v>
      </c>
    </row>
    <row r="4743">
      <c r="A4743" s="390" t="str">
        <f>IFERROR(__xludf.DUMMYFUNCTION("""COMPUTED_VALUE"""),"#SLEEA - Segunda Licenciatura em Educação Especial - Segunda Licenciatura em Educação Especial - Tacylla Lima Silva - Legislação e Políticas para Educação Inclusiva e Especial - Nota Máxima: 10")</f>
        <v>#SLEEA - Segunda Licenciatura em Educação Especial - Segunda Licenciatura em Educação Especial - Tacylla Lima Silva - Legislação e Políticas para Educação Inclusiva e Especial - Nota Máxima: 10</v>
      </c>
    </row>
    <row r="4744">
      <c r="A4744" s="390" t="str">
        <f>IFERROR(__xludf.DUMMYFUNCTION("""COMPUTED_VALUE"""),"#SLEEA - Segunda Licenciatura em Educação Especial - Segunda Licenciatura em Educação Especial - Tacylla Lima Silva - Legislação e Políticas para Educação Inclusiva e Especial - Nota Máxima: 6")</f>
        <v>#SLEEA - Segunda Licenciatura em Educação Especial - Segunda Licenciatura em Educação Especial - Tacylla Lima Silva - Legislação e Políticas para Educação Inclusiva e Especial - Nota Máxima: 6</v>
      </c>
    </row>
    <row r="4745">
      <c r="A4745" s="390" t="str">
        <f>IFERROR(__xludf.DUMMYFUNCTION("""COMPUTED_VALUE"""),"#SLEEA - Segunda Licenciatura em Educação Especial - Segunda Licenciatura em Educação Especial - Tacylla Lima Silva - Legislação Educacional/a - Nota Máxima: 10")</f>
        <v>#SLEEA - Segunda Licenciatura em Educação Especial - Segunda Licenciatura em Educação Especial - Tacylla Lima Silva - Legislação Educacional/a - Nota Máxima: 10</v>
      </c>
    </row>
    <row r="4746">
      <c r="A4746" s="390" t="str">
        <f>IFERROR(__xludf.DUMMYFUNCTION("""COMPUTED_VALUE"""),"#SLEEA - Segunda Licenciatura em Educação Especial - Segunda Licenciatura em Educação Especial - Tacylla Lima Silva - Legislação Educacional/a - Nota Máxima: 7")</f>
        <v>#SLEEA - Segunda Licenciatura em Educação Especial - Segunda Licenciatura em Educação Especial - Tacylla Lima Silva - Legislação Educacional/a - Nota Máxima: 7</v>
      </c>
    </row>
    <row r="4747">
      <c r="A4747" s="390" t="str">
        <f>IFERROR(__xludf.DUMMYFUNCTION("""COMPUTED_VALUE"""),"#SLEEA - Segunda Licenciatura em Educação Especial - Segunda Licenciatura em Educação Especial - Tacylla Lima Silva - Planejamento, Gestão Educacional e Currículo/a - Nota Máxima: 9")</f>
        <v>#SLEEA - Segunda Licenciatura em Educação Especial - Segunda Licenciatura em Educação Especial - Tacylla Lima Silva - Planejamento, Gestão Educacional e Currículo/a - Nota Máxima: 9</v>
      </c>
    </row>
    <row r="4748">
      <c r="A4748" s="390" t="str">
        <f>IFERROR(__xludf.DUMMYFUNCTION("""COMPUTED_VALUE"""),"#SLEEA - Segunda Licenciatura em Educação Especial - Segunda Licenciatura em Educação Especial - Tacylla Lima Silva - Práticas Pedagógicas - 400 Horas - Nota Máxima: 4")</f>
        <v>#SLEEA - Segunda Licenciatura em Educação Especial - Segunda Licenciatura em Educação Especial - Tacylla Lima Silva - Práticas Pedagógicas - 400 Horas - Nota Máxima: 4</v>
      </c>
    </row>
    <row r="4749">
      <c r="A4749" s="390" t="str">
        <f>IFERROR(__xludf.DUMMYFUNCTION("""COMPUTED_VALUE"""),"#SLEEA - Segunda Licenciatura em Educação Especial - Segunda Licenciatura em Educação Especial - Tacylla Lima Silva - Práticas Pedagógicas - 400 Horas - Nota Máxima: 3")</f>
        <v>#SLEEA - Segunda Licenciatura em Educação Especial - Segunda Licenciatura em Educação Especial - Tacylla Lima Silva - Práticas Pedagógicas - 400 Horas - Nota Máxima: 3</v>
      </c>
    </row>
    <row r="4750">
      <c r="A4750" s="390" t="str">
        <f>IFERROR(__xludf.DUMMYFUNCTION("""COMPUTED_VALUE"""),"#SLEEA - Segunda Licenciatura em Educação Especial - Segunda Licenciatura em Educação Especial - Tacylla Lima Silva - Psicologia da Educação/a - Nota Máxima: 10")</f>
        <v>#SLEEA - Segunda Licenciatura em Educação Especial - Segunda Licenciatura em Educação Especial - Tacylla Lima Silva - Psicologia da Educação/a - Nota Máxima: 10</v>
      </c>
    </row>
    <row r="4751">
      <c r="A4751" s="390" t="str">
        <f>IFERROR(__xludf.DUMMYFUNCTION("""COMPUTED_VALUE"""),"#SLEEA - Segunda Licenciatura em Educação Especial - Segunda Licenciatura em Educação Especial - Tacylla Lima Silva - Psicologia da Educação/a - Nota Máxima: 7")</f>
        <v>#SLEEA - Segunda Licenciatura em Educação Especial - Segunda Licenciatura em Educação Especial - Tacylla Lima Silva - Psicologia da Educação/a - Nota Máxima: 7</v>
      </c>
    </row>
    <row r="4752">
      <c r="A4752" s="390" t="str">
        <f>IFERROR(__xludf.DUMMYFUNCTION("""COMPUTED_VALUE"""),"#SLEEA - Segunda Licenciatura em Educação Especial - Segunda Licenciatura em Educação Especial - Jeane Carla da Silveira - Atuação Docente na Educação Inclusiva - Nota Máxima: 10")</f>
        <v>#SLEEA - Segunda Licenciatura em Educação Especial - Segunda Licenciatura em Educação Especial - Jeane Carla da Silveira - Atuação Docente na Educação Inclusiva - Nota Máxima: 10</v>
      </c>
    </row>
    <row r="4753">
      <c r="A4753" s="390" t="str">
        <f>IFERROR(__xludf.DUMMYFUNCTION("""COMPUTED_VALUE"""),"#SLEEA - Segunda Licenciatura em Educação Especial - Segunda Licenciatura em Educação Especial - Jeane Carla da Silveira - Atuação Docente na Educação Inclusiva - Nota Máxima: 10")</f>
        <v>#SLEEA - Segunda Licenciatura em Educação Especial - Segunda Licenciatura em Educação Especial - Jeane Carla da Silveira - Atuação Docente na Educação Inclusiva - Nota Máxima: 10</v>
      </c>
    </row>
    <row r="4754">
      <c r="A4754" s="390" t="str">
        <f>IFERROR(__xludf.DUMMYFUNCTION("""COMPUTED_VALUE"""),"#SLEEA - Segunda Licenciatura em Educação Especial - Segunda Licenciatura em Educação Especial - Jeane Carla da Silveira - Cultura e Diversidade - Nota Máxima: 10")</f>
        <v>#SLEEA - Segunda Licenciatura em Educação Especial - Segunda Licenciatura em Educação Especial - Jeane Carla da Silveira - Cultura e Diversidade - Nota Máxima: 10</v>
      </c>
    </row>
    <row r="4755">
      <c r="A4755" s="390" t="str">
        <f>IFERROR(__xludf.DUMMYFUNCTION("""COMPUTED_VALUE"""),"#SLEEA - Segunda Licenciatura em Educação Especial - Segunda Licenciatura em Educação Especial - Jeane Carla da Silveira - Cultura e Diversidade - Nota Máxima: 10")</f>
        <v>#SLEEA - Segunda Licenciatura em Educação Especial - Segunda Licenciatura em Educação Especial - Jeane Carla da Silveira - Cultura e Diversidade - Nota Máxima: 10</v>
      </c>
    </row>
    <row r="4756">
      <c r="A4756" s="390" t="str">
        <f>IFERROR(__xludf.DUMMYFUNCTION("""COMPUTED_VALUE"""),"#SLEEA - Segunda Licenciatura em Educação Especial - Segunda Licenciatura em Educação Especial - Jeane Carla da Silveira - Deficiência Auditiva e Libras/a - Nota Máxima: 10")</f>
        <v>#SLEEA - Segunda Licenciatura em Educação Especial - Segunda Licenciatura em Educação Especial - Jeane Carla da Silveira - Deficiência Auditiva e Libras/a - Nota Máxima: 10</v>
      </c>
    </row>
    <row r="4757">
      <c r="A4757" s="390" t="str">
        <f>IFERROR(__xludf.DUMMYFUNCTION("""COMPUTED_VALUE"""),"#SLEEA - Segunda Licenciatura em Educação Especial - Segunda Licenciatura em Educação Especial - Jeane Carla da Silveira - Deficiência Auditiva e Libras/a - Nota Máxima: 10")</f>
        <v>#SLEEA - Segunda Licenciatura em Educação Especial - Segunda Licenciatura em Educação Especial - Jeane Carla da Silveira - Deficiência Auditiva e Libras/a - Nota Máxima: 10</v>
      </c>
    </row>
    <row r="4758">
      <c r="A4758" s="390" t="str">
        <f>IFERROR(__xludf.DUMMYFUNCTION("""COMPUTED_VALUE"""),"#SLEEA - Segunda Licenciatura em Educação Especial - Segunda Licenciatura em Educação Especial - Jeane Carla da Silveira - Educação e as Tic's - Nota Máxima: 10")</f>
        <v>#SLEEA - Segunda Licenciatura em Educação Especial - Segunda Licenciatura em Educação Especial - Jeane Carla da Silveira - Educação e as Tic's - Nota Máxima: 10</v>
      </c>
    </row>
    <row r="4759">
      <c r="A4759" s="390" t="str">
        <f>IFERROR(__xludf.DUMMYFUNCTION("""COMPUTED_VALUE"""),"#SLEEA - Segunda Licenciatura em Educação Especial - Segunda Licenciatura em Educação Especial - Jeane Carla da Silveira - Educação e as Tic's - Nota Máxima: 4")</f>
        <v>#SLEEA - Segunda Licenciatura em Educação Especial - Segunda Licenciatura em Educação Especial - Jeane Carla da Silveira - Educação e as Tic's - Nota Máxima: 4</v>
      </c>
    </row>
    <row r="4760">
      <c r="A4760" s="390" t="str">
        <f>IFERROR(__xludf.DUMMYFUNCTION("""COMPUTED_VALUE"""),"#SLEEA - Segunda Licenciatura em Educação Especial - Segunda Licenciatura em Educação Especial - Jeane Carla da Silveira - Educação em Direitos Humanos/a - Nota Máxima: 10")</f>
        <v>#SLEEA - Segunda Licenciatura em Educação Especial - Segunda Licenciatura em Educação Especial - Jeane Carla da Silveira - Educação em Direitos Humanos/a - Nota Máxima: 10</v>
      </c>
    </row>
    <row r="4761">
      <c r="A4761" s="390" t="str">
        <f>IFERROR(__xludf.DUMMYFUNCTION("""COMPUTED_VALUE"""),"#SLEEA - Segunda Licenciatura em Educação Especial - Segunda Licenciatura em Educação Especial - Jeane Carla da Silveira - Educação em Direitos Humanos/a - Nota Máxima: 10")</f>
        <v>#SLEEA - Segunda Licenciatura em Educação Especial - Segunda Licenciatura em Educação Especial - Jeane Carla da Silveira - Educação em Direitos Humanos/a - Nota Máxima: 10</v>
      </c>
    </row>
    <row r="4762">
      <c r="A4762" s="390" t="str">
        <f>IFERROR(__xludf.DUMMYFUNCTION("""COMPUTED_VALUE"""),"#SLEEA - Segunda Licenciatura em Educação Especial - Segunda Licenciatura em Educação Especial - Jeane Carla da Silveira - Educação Especial - Nota Máxima: 10")</f>
        <v>#SLEEA - Segunda Licenciatura em Educação Especial - Segunda Licenciatura em Educação Especial - Jeane Carla da Silveira - Educação Especial - Nota Máxima: 10</v>
      </c>
    </row>
    <row r="4763">
      <c r="A4763" s="390" t="str">
        <f>IFERROR(__xludf.DUMMYFUNCTION("""COMPUTED_VALUE"""),"#SLEEA - Segunda Licenciatura em Educação Especial - Segunda Licenciatura em Educação Especial - Jeane Carla da Silveira - Educação Especial - Nota Máxima: 5")</f>
        <v>#SLEEA - Segunda Licenciatura em Educação Especial - Segunda Licenciatura em Educação Especial - Jeane Carla da Silveira - Educação Especial - Nota Máxima: 5</v>
      </c>
    </row>
    <row r="4764">
      <c r="A4764" s="390" t="str">
        <f>IFERROR(__xludf.DUMMYFUNCTION("""COMPUTED_VALUE"""),"#SLEEA - Segunda Licenciatura em Educação Especial - Segunda Licenciatura em Educação Especial - Jeane Carla da Silveira - Educação Especial, Inclusão Escolar e Adaptações Curriculares - Nota Máxima: 10")</f>
        <v>#SLEEA - Segunda Licenciatura em Educação Especial - Segunda Licenciatura em Educação Especial - Jeane Carla da Silveira - Educação Especial, Inclusão Escolar e Adaptações Curriculares - Nota Máxima: 10</v>
      </c>
    </row>
    <row r="4765">
      <c r="A4765" s="390" t="str">
        <f>IFERROR(__xludf.DUMMYFUNCTION("""COMPUTED_VALUE"""),"#SLEEA - Segunda Licenciatura em Educação Especial - Segunda Licenciatura em Educação Especial - Jeane Carla da Silveira - Educação Especial, Inclusão Escolar e Adaptações Curriculares - Nota Máxima: 8")</f>
        <v>#SLEEA - Segunda Licenciatura em Educação Especial - Segunda Licenciatura em Educação Especial - Jeane Carla da Silveira - Educação Especial, Inclusão Escolar e Adaptações Curriculares - Nota Máxima: 8</v>
      </c>
    </row>
    <row r="4766">
      <c r="A4766" s="390" t="str">
        <f>IFERROR(__xludf.DUMMYFUNCTION("""COMPUTED_VALUE"""),"#SLEEA - Segunda Licenciatura em Educação Especial - Segunda Licenciatura em Educação Especial - Jeane Carla da Silveira - Fisiologia Humana - Nota Máxima: 10")</f>
        <v>#SLEEA - Segunda Licenciatura em Educação Especial - Segunda Licenciatura em Educação Especial - Jeane Carla da Silveira - Fisiologia Humana - Nota Máxima: 10</v>
      </c>
    </row>
    <row r="4767">
      <c r="A4767" s="390" t="str">
        <f>IFERROR(__xludf.DUMMYFUNCTION("""COMPUTED_VALUE"""),"#SLEEA - Segunda Licenciatura em Educação Especial - Segunda Licenciatura em Educação Especial - Jeane Carla da Silveira - Fisiologia Humana - Nota Máxima: 3")</f>
        <v>#SLEEA - Segunda Licenciatura em Educação Especial - Segunda Licenciatura em Educação Especial - Jeane Carla da Silveira - Fisiologia Humana - Nota Máxima: 3</v>
      </c>
    </row>
    <row r="4768">
      <c r="A4768" s="390" t="str">
        <f>IFERROR(__xludf.DUMMYFUNCTION("""COMPUTED_VALUE"""),"#SLEEA - Segunda Licenciatura em Educação Especial - Segunda Licenciatura em Educação Especial - Jeane Carla da Silveira - Jogos e Recreação - Nota Máxima: 10")</f>
        <v>#SLEEA - Segunda Licenciatura em Educação Especial - Segunda Licenciatura em Educação Especial - Jeane Carla da Silveira - Jogos e Recreação - Nota Máxima: 10</v>
      </c>
    </row>
    <row r="4769">
      <c r="A4769" s="390" t="str">
        <f>IFERROR(__xludf.DUMMYFUNCTION("""COMPUTED_VALUE"""),"#SLEEA - Segunda Licenciatura em Educação Especial - Segunda Licenciatura em Educação Especial - Jeane Carla da Silveira - Jogos e Recreação - Nota Máxima: 6")</f>
        <v>#SLEEA - Segunda Licenciatura em Educação Especial - Segunda Licenciatura em Educação Especial - Jeane Carla da Silveira - Jogos e Recreação - Nota Máxima: 6</v>
      </c>
    </row>
    <row r="4770">
      <c r="A4770" s="390" t="str">
        <f>IFERROR(__xludf.DUMMYFUNCTION("""COMPUTED_VALUE"""),"#SLEEA - Segunda Licenciatura em Educação Especial - Segunda Licenciatura em Educação Especial - Jeane Carla da Silveira - Legislação e Políticas para Educação Inclusiva e Especial - Nota Máxima: 10")</f>
        <v>#SLEEA - Segunda Licenciatura em Educação Especial - Segunda Licenciatura em Educação Especial - Jeane Carla da Silveira - Legislação e Políticas para Educação Inclusiva e Especial - Nota Máxima: 10</v>
      </c>
    </row>
    <row r="4771">
      <c r="A4771" s="390" t="str">
        <f>IFERROR(__xludf.DUMMYFUNCTION("""COMPUTED_VALUE"""),"#SLEEA - Segunda Licenciatura em Educação Especial - Segunda Licenciatura em Educação Especial - Jeane Carla da Silveira - Legislação e Políticas para Educação Inclusiva e Especial - Nota Máxima: 7")</f>
        <v>#SLEEA - Segunda Licenciatura em Educação Especial - Segunda Licenciatura em Educação Especial - Jeane Carla da Silveira - Legislação e Políticas para Educação Inclusiva e Especial - Nota Máxima: 7</v>
      </c>
    </row>
    <row r="4772">
      <c r="A4772" s="390" t="str">
        <f>IFERROR(__xludf.DUMMYFUNCTION("""COMPUTED_VALUE"""),"#SLEEA - Segunda Licenciatura em Educação Especial - Segunda Licenciatura em Educação Especial - Jeane Carla da Silveira - Legislação Educacional/a - Nota Máxima: 10")</f>
        <v>#SLEEA - Segunda Licenciatura em Educação Especial - Segunda Licenciatura em Educação Especial - Jeane Carla da Silveira - Legislação Educacional/a - Nota Máxima: 10</v>
      </c>
    </row>
    <row r="4773">
      <c r="A4773" s="390" t="str">
        <f>IFERROR(__xludf.DUMMYFUNCTION("""COMPUTED_VALUE"""),"#SLEEA - Segunda Licenciatura em Educação Especial - Segunda Licenciatura em Educação Especial - Jeane Carla da Silveira - Legislação Educacional/a - Nota Máxima: 5")</f>
        <v>#SLEEA - Segunda Licenciatura em Educação Especial - Segunda Licenciatura em Educação Especial - Jeane Carla da Silveira - Legislação Educacional/a - Nota Máxima: 5</v>
      </c>
    </row>
    <row r="4774">
      <c r="A4774" s="390" t="str">
        <f>IFERROR(__xludf.DUMMYFUNCTION("""COMPUTED_VALUE"""),"#SLEEA - Segunda Licenciatura em Educação Especial - Segunda Licenciatura em Educação Especial - Jeane Carla da Silveira - Planejamento, Gestão Educacional e Currículo/a - Nota Máxima: 10")</f>
        <v>#SLEEA - Segunda Licenciatura em Educação Especial - Segunda Licenciatura em Educação Especial - Jeane Carla da Silveira - Planejamento, Gestão Educacional e Currículo/a - Nota Máxima: 10</v>
      </c>
    </row>
    <row r="4775">
      <c r="A4775" s="390" t="str">
        <f>IFERROR(__xludf.DUMMYFUNCTION("""COMPUTED_VALUE"""),"#SLEEA - Segunda Licenciatura em Educação Especial - Segunda Licenciatura em Educação Especial - Jeane Carla da Silveira - Planejamento, Gestão Educacional e Currículo/a - Nota Máxima: 9")</f>
        <v>#SLEEA - Segunda Licenciatura em Educação Especial - Segunda Licenciatura em Educação Especial - Jeane Carla da Silveira - Planejamento, Gestão Educacional e Currículo/a - Nota Máxima: 9</v>
      </c>
    </row>
    <row r="4776">
      <c r="A4776" s="390" t="str">
        <f>IFERROR(__xludf.DUMMYFUNCTION("""COMPUTED_VALUE"""),"#SLEEA - Segunda Licenciatura em Educação Especial - Segunda Licenciatura em Educação Especial - Jeane Carla da Silveira - Práticas Pedagógicas - 400 Horas - Nota Máxima: 10")</f>
        <v>#SLEEA - Segunda Licenciatura em Educação Especial - Segunda Licenciatura em Educação Especial - Jeane Carla da Silveira - Práticas Pedagógicas - 400 Horas - Nota Máxima: 10</v>
      </c>
    </row>
    <row r="4777">
      <c r="A4777" s="390" t="str">
        <f>IFERROR(__xludf.DUMMYFUNCTION("""COMPUTED_VALUE"""),"#SLEEA - Segunda Licenciatura em Educação Especial - Segunda Licenciatura em Educação Especial - Jeane Carla da Silveira - Práticas Pedagógicas - 400 Horas - Nota Máxima: 45779")</f>
        <v>#SLEEA - Segunda Licenciatura em Educação Especial - Segunda Licenciatura em Educação Especial - Jeane Carla da Silveira - Práticas Pedagógicas - 400 Horas - Nota Máxima: 45779</v>
      </c>
    </row>
    <row r="4778">
      <c r="A4778" s="390" t="str">
        <f>IFERROR(__xludf.DUMMYFUNCTION("""COMPUTED_VALUE"""),"#SLEEA - Segunda Licenciatura em Educação Especial - Segunda Licenciatura em Educação Especial - Jeane Carla da Silveira - Psicologia da Educação/a - Nota Máxima: 10")</f>
        <v>#SLEEA - Segunda Licenciatura em Educação Especial - Segunda Licenciatura em Educação Especial - Jeane Carla da Silveira - Psicologia da Educação/a - Nota Máxima: 10</v>
      </c>
    </row>
    <row r="4779">
      <c r="A4779" s="390" t="str">
        <f>IFERROR(__xludf.DUMMYFUNCTION("""COMPUTED_VALUE"""),"#SLEEA - Segunda Licenciatura em Educação Especial - Segunda Licenciatura em Educação Especial - Jeane Carla da Silveira - Psicologia da Educação/a - Nota Máxima: 10")</f>
        <v>#SLEEA - Segunda Licenciatura em Educação Especial - Segunda Licenciatura em Educação Especial - Jeane Carla da Silveira - Psicologia da Educação/a - Nota Máxima: 10</v>
      </c>
    </row>
    <row r="4780">
      <c r="A4780" s="390" t="str">
        <f>IFERROR(__xludf.DUMMYFUNCTION("""COMPUTED_VALUE"""),"#SLEEA - Segunda Licenciatura em Educação Especial - Segunda Licenciatura em Educação Especial - Rayssa de Jesus Cabral - Atuação Docente na Educação Inclusiva - Nota Máxima: 10")</f>
        <v>#SLEEA - Segunda Licenciatura em Educação Especial - Segunda Licenciatura em Educação Especial - Rayssa de Jesus Cabral - Atuação Docente na Educação Inclusiva - Nota Máxima: 10</v>
      </c>
    </row>
    <row r="4781">
      <c r="A4781" s="390" t="str">
        <f>IFERROR(__xludf.DUMMYFUNCTION("""COMPUTED_VALUE"""),"#SLEEA - Segunda Licenciatura em Educação Especial - Segunda Licenciatura em Educação Especial - Rayssa de Jesus Cabral - Atuação Docente na Educação Inclusiva - Nota Máxima: 10")</f>
        <v>#SLEEA - Segunda Licenciatura em Educação Especial - Segunda Licenciatura em Educação Especial - Rayssa de Jesus Cabral - Atuação Docente na Educação Inclusiva - Nota Máxima: 10</v>
      </c>
    </row>
    <row r="4782">
      <c r="A4782" s="390" t="str">
        <f>IFERROR(__xludf.DUMMYFUNCTION("""COMPUTED_VALUE"""),"#SLEEA - Segunda Licenciatura em Educação Especial - Segunda Licenciatura em Educação Especial - Rayssa de Jesus Cabral - Cultura e Diversidade - Nota Máxima: 10")</f>
        <v>#SLEEA - Segunda Licenciatura em Educação Especial - Segunda Licenciatura em Educação Especial - Rayssa de Jesus Cabral - Cultura e Diversidade - Nota Máxima: 10</v>
      </c>
    </row>
    <row r="4783">
      <c r="A4783" s="390" t="str">
        <f>IFERROR(__xludf.DUMMYFUNCTION("""COMPUTED_VALUE"""),"#SLEEA - Segunda Licenciatura em Educação Especial - Segunda Licenciatura em Educação Especial - Rayssa de Jesus Cabral - Cultura e Diversidade - Nota Máxima: 8")</f>
        <v>#SLEEA - Segunda Licenciatura em Educação Especial - Segunda Licenciatura em Educação Especial - Rayssa de Jesus Cabral - Cultura e Diversidade - Nota Máxima: 8</v>
      </c>
    </row>
    <row r="4784">
      <c r="A4784" s="390" t="str">
        <f>IFERROR(__xludf.DUMMYFUNCTION("""COMPUTED_VALUE"""),"#SLEEA - Segunda Licenciatura em Educação Especial - Segunda Licenciatura em Educação Especial - Rayssa de Jesus Cabral - Deficiência Auditiva e Libras/a - Nota Máxima: 10")</f>
        <v>#SLEEA - Segunda Licenciatura em Educação Especial - Segunda Licenciatura em Educação Especial - Rayssa de Jesus Cabral - Deficiência Auditiva e Libras/a - Nota Máxima: 10</v>
      </c>
    </row>
    <row r="4785">
      <c r="A4785" s="390" t="str">
        <f>IFERROR(__xludf.DUMMYFUNCTION("""COMPUTED_VALUE"""),"#SLEEA - Segunda Licenciatura em Educação Especial - Segunda Licenciatura em Educação Especial - Rayssa de Jesus Cabral - Deficiência Auditiva e Libras/a - Nota Máxima: 10")</f>
        <v>#SLEEA - Segunda Licenciatura em Educação Especial - Segunda Licenciatura em Educação Especial - Rayssa de Jesus Cabral - Deficiência Auditiva e Libras/a - Nota Máxima: 10</v>
      </c>
    </row>
    <row r="4786">
      <c r="A4786" s="390" t="str">
        <f>IFERROR(__xludf.DUMMYFUNCTION("""COMPUTED_VALUE"""),"#SLEEA - Segunda Licenciatura em Educação Especial - Segunda Licenciatura em Educação Especial - Rayssa de Jesus Cabral - Educação e as Tic's - Nota Máxima: 10")</f>
        <v>#SLEEA - Segunda Licenciatura em Educação Especial - Segunda Licenciatura em Educação Especial - Rayssa de Jesus Cabral - Educação e as Tic's - Nota Máxima: 10</v>
      </c>
    </row>
    <row r="4787">
      <c r="A4787" s="390" t="str">
        <f>IFERROR(__xludf.DUMMYFUNCTION("""COMPUTED_VALUE"""),"#SLEEA - Segunda Licenciatura em Educação Especial - Segunda Licenciatura em Educação Especial - Rayssa de Jesus Cabral - Educação e as Tic's - Nota Máxima: 9")</f>
        <v>#SLEEA - Segunda Licenciatura em Educação Especial - Segunda Licenciatura em Educação Especial - Rayssa de Jesus Cabral - Educação e as Tic's - Nota Máxima: 9</v>
      </c>
    </row>
    <row r="4788">
      <c r="A4788" s="390" t="str">
        <f>IFERROR(__xludf.DUMMYFUNCTION("""COMPUTED_VALUE"""),"#SLEEA - Segunda Licenciatura em Educação Especial - Segunda Licenciatura em Educação Especial - Rayssa de Jesus Cabral - Educação em Direitos Humanos/a - Nota Máxima: 10")</f>
        <v>#SLEEA - Segunda Licenciatura em Educação Especial - Segunda Licenciatura em Educação Especial - Rayssa de Jesus Cabral - Educação em Direitos Humanos/a - Nota Máxima: 10</v>
      </c>
    </row>
    <row r="4789">
      <c r="A4789" s="390" t="str">
        <f>IFERROR(__xludf.DUMMYFUNCTION("""COMPUTED_VALUE"""),"#SLEEA - Segunda Licenciatura em Educação Especial - Segunda Licenciatura em Educação Especial - Rayssa de Jesus Cabral - Educação em Direitos Humanos/a - Nota Máxima: 9")</f>
        <v>#SLEEA - Segunda Licenciatura em Educação Especial - Segunda Licenciatura em Educação Especial - Rayssa de Jesus Cabral - Educação em Direitos Humanos/a - Nota Máxima: 9</v>
      </c>
    </row>
    <row r="4790">
      <c r="A4790" s="390" t="str">
        <f>IFERROR(__xludf.DUMMYFUNCTION("""COMPUTED_VALUE"""),"#SLEEA - Segunda Licenciatura em Educação Especial - Segunda Licenciatura em Educação Especial - Rayssa de Jesus Cabral - Educação Especial - Nota Máxima: 10")</f>
        <v>#SLEEA - Segunda Licenciatura em Educação Especial - Segunda Licenciatura em Educação Especial - Rayssa de Jesus Cabral - Educação Especial - Nota Máxima: 10</v>
      </c>
    </row>
    <row r="4791">
      <c r="A4791" s="390" t="str">
        <f>IFERROR(__xludf.DUMMYFUNCTION("""COMPUTED_VALUE"""),"#SLEEA - Segunda Licenciatura em Educação Especial - Segunda Licenciatura em Educação Especial - Rayssa de Jesus Cabral - Educação Especial - Nota Máxima: 8")</f>
        <v>#SLEEA - Segunda Licenciatura em Educação Especial - Segunda Licenciatura em Educação Especial - Rayssa de Jesus Cabral - Educação Especial - Nota Máxima: 8</v>
      </c>
    </row>
    <row r="4792">
      <c r="A4792" s="390" t="str">
        <f>IFERROR(__xludf.DUMMYFUNCTION("""COMPUTED_VALUE"""),"#SLEEA - Segunda Licenciatura em Educação Especial - Segunda Licenciatura em Educação Especial - Rayssa de Jesus Cabral - Fisiologia Humana - Nota Máxima: 9")</f>
        <v>#SLEEA - Segunda Licenciatura em Educação Especial - Segunda Licenciatura em Educação Especial - Rayssa de Jesus Cabral - Fisiologia Humana - Nota Máxima: 9</v>
      </c>
    </row>
    <row r="4793">
      <c r="A4793" s="390" t="str">
        <f>IFERROR(__xludf.DUMMYFUNCTION("""COMPUTED_VALUE"""),"#SLEEA - Segunda Licenciatura em Educação Especial - Segunda Licenciatura em Educação Especial - Rayssa de Jesus Cabral - Fisiologia Humana - Nota Máxima: 7")</f>
        <v>#SLEEA - Segunda Licenciatura em Educação Especial - Segunda Licenciatura em Educação Especial - Rayssa de Jesus Cabral - Fisiologia Humana - Nota Máxima: 7</v>
      </c>
    </row>
    <row r="4794">
      <c r="A4794" s="390" t="str">
        <f>IFERROR(__xludf.DUMMYFUNCTION("""COMPUTED_VALUE"""),"#SLEEA - Segunda Licenciatura em Educação Especial - Segunda Licenciatura em Educação Especial - Rayssa de Jesus Cabral - Jogos e Recreação - Nota Máxima: 10")</f>
        <v>#SLEEA - Segunda Licenciatura em Educação Especial - Segunda Licenciatura em Educação Especial - Rayssa de Jesus Cabral - Jogos e Recreação - Nota Máxima: 10</v>
      </c>
    </row>
    <row r="4795">
      <c r="A4795" s="390" t="str">
        <f>IFERROR(__xludf.DUMMYFUNCTION("""COMPUTED_VALUE"""),"#SLEEA - Segunda Licenciatura em Educação Especial - Segunda Licenciatura em Educação Especial - Rayssa de Jesus Cabral - Jogos e Recreação - Nota Máxima: 9")</f>
        <v>#SLEEA - Segunda Licenciatura em Educação Especial - Segunda Licenciatura em Educação Especial - Rayssa de Jesus Cabral - Jogos e Recreação - Nota Máxima: 9</v>
      </c>
    </row>
    <row r="4796">
      <c r="A4796" s="390" t="str">
        <f>IFERROR(__xludf.DUMMYFUNCTION("""COMPUTED_VALUE"""),"#SLEEA - Segunda Licenciatura em Educação Especial - Segunda Licenciatura em Educação Especial - Rayssa de Jesus Cabral - Legislação e Políticas para Educação Inclusiva e Especial - Nota Máxima: 10")</f>
        <v>#SLEEA - Segunda Licenciatura em Educação Especial - Segunda Licenciatura em Educação Especial - Rayssa de Jesus Cabral - Legislação e Políticas para Educação Inclusiva e Especial - Nota Máxima: 10</v>
      </c>
    </row>
    <row r="4797">
      <c r="A4797" s="390" t="str">
        <f>IFERROR(__xludf.DUMMYFUNCTION("""COMPUTED_VALUE"""),"#SLEEA - Segunda Licenciatura em Educação Especial - Segunda Licenciatura em Educação Especial - Rayssa de Jesus Cabral - Legislação e Políticas para Educação Inclusiva e Especial - Nota Máxima: 5")</f>
        <v>#SLEEA - Segunda Licenciatura em Educação Especial - Segunda Licenciatura em Educação Especial - Rayssa de Jesus Cabral - Legislação e Políticas para Educação Inclusiva e Especial - Nota Máxima: 5</v>
      </c>
    </row>
    <row r="4798">
      <c r="A4798" s="390" t="str">
        <f>IFERROR(__xludf.DUMMYFUNCTION("""COMPUTED_VALUE"""),"#SLEEA - Segunda Licenciatura em Educação Especial - Segunda Licenciatura em Educação Especial - Rayssa de Jesus Cabral - Legislação Educacional/a - Nota Máxima: 10")</f>
        <v>#SLEEA - Segunda Licenciatura em Educação Especial - Segunda Licenciatura em Educação Especial - Rayssa de Jesus Cabral - Legislação Educacional/a - Nota Máxima: 10</v>
      </c>
    </row>
    <row r="4799">
      <c r="A4799" s="390" t="str">
        <f>IFERROR(__xludf.DUMMYFUNCTION("""COMPUTED_VALUE"""),"#SLEEA - Segunda Licenciatura em Educação Especial - Segunda Licenciatura em Educação Especial - Rayssa de Jesus Cabral - Legislação Educacional/a - Nota Máxima: 9")</f>
        <v>#SLEEA - Segunda Licenciatura em Educação Especial - Segunda Licenciatura em Educação Especial - Rayssa de Jesus Cabral - Legislação Educacional/a - Nota Máxima: 9</v>
      </c>
    </row>
    <row r="4800">
      <c r="A4800" s="390" t="str">
        <f>IFERROR(__xludf.DUMMYFUNCTION("""COMPUTED_VALUE"""),"#SLEEA - Segunda Licenciatura em Educação Especial - Segunda Licenciatura em Educação Especial - Rayssa de Jesus Cabral - Psicologia da Educação/a - Nota Máxima: 10")</f>
        <v>#SLEEA - Segunda Licenciatura em Educação Especial - Segunda Licenciatura em Educação Especial - Rayssa de Jesus Cabral - Psicologia da Educação/a - Nota Máxima: 10</v>
      </c>
    </row>
    <row r="4801">
      <c r="A4801" s="390" t="str">
        <f>IFERROR(__xludf.DUMMYFUNCTION("""COMPUTED_VALUE"""),"#SLEEA - Segunda Licenciatura em Educação Especial - Segunda Licenciatura em Educação Especial - Rayssa de Jesus Cabral - Psicologia da Educação/a - Nota Máxima: 7")</f>
        <v>#SLEEA - Segunda Licenciatura em Educação Especial - Segunda Licenciatura em Educação Especial - Rayssa de Jesus Cabral - Psicologia da Educação/a - Nota Máxima: 7</v>
      </c>
    </row>
    <row r="4802">
      <c r="A4802" s="390" t="str">
        <f>IFERROR(__xludf.DUMMYFUNCTION("""COMPUTED_VALUE"""),"#SLEEA - Segunda Licenciatura em Educação Especial - Segunda Licenciatura em Educação Especial - Kety Adriana Bichet - Atuação Docente na Educação Inclusiva - Nota Máxima: 8")</f>
        <v>#SLEEA - Segunda Licenciatura em Educação Especial - Segunda Licenciatura em Educação Especial - Kety Adriana Bichet - Atuação Docente na Educação Inclusiva - Nota Máxima: 8</v>
      </c>
    </row>
    <row r="4803">
      <c r="A4803" s="390" t="str">
        <f>IFERROR(__xludf.DUMMYFUNCTION("""COMPUTED_VALUE"""),"#SLEEA - Segunda Licenciatura em Educação Especial - Segunda Licenciatura em Educação Especial - Kety Adriana Bichet - Atuação Docente na Educação Inclusiva - Nota Máxima: 9")</f>
        <v>#SLEEA - Segunda Licenciatura em Educação Especial - Segunda Licenciatura em Educação Especial - Kety Adriana Bichet - Atuação Docente na Educação Inclusiva - Nota Máxima: 9</v>
      </c>
    </row>
    <row r="4804">
      <c r="A4804" s="390" t="str">
        <f>IFERROR(__xludf.DUMMYFUNCTION("""COMPUTED_VALUE"""),"#SLEEA - Segunda Licenciatura em Educação Especial - Segunda Licenciatura em Educação Especial - Kety Adriana Bichet - Cultura e Diversidade - Nota Máxima: 8")</f>
        <v>#SLEEA - Segunda Licenciatura em Educação Especial - Segunda Licenciatura em Educação Especial - Kety Adriana Bichet - Cultura e Diversidade - Nota Máxima: 8</v>
      </c>
    </row>
    <row r="4805">
      <c r="A4805" s="390" t="str">
        <f>IFERROR(__xludf.DUMMYFUNCTION("""COMPUTED_VALUE"""),"#SLEEA - Segunda Licenciatura em Educação Especial - Segunda Licenciatura em Educação Especial - Kety Adriana Bichet - Cultura e Diversidade - Nota Máxima: 5")</f>
        <v>#SLEEA - Segunda Licenciatura em Educação Especial - Segunda Licenciatura em Educação Especial - Kety Adriana Bichet - Cultura e Diversidade - Nota Máxima: 5</v>
      </c>
    </row>
    <row r="4806">
      <c r="A4806" s="390" t="str">
        <f>IFERROR(__xludf.DUMMYFUNCTION("""COMPUTED_VALUE"""),"#SLEEA - Segunda Licenciatura em Educação Especial - Segunda Licenciatura em Educação Especial - Kety Adriana Bichet - Deficiência Auditiva e Libras/a - Nota Máxima: 8")</f>
        <v>#SLEEA - Segunda Licenciatura em Educação Especial - Segunda Licenciatura em Educação Especial - Kety Adriana Bichet - Deficiência Auditiva e Libras/a - Nota Máxima: 8</v>
      </c>
    </row>
    <row r="4807">
      <c r="A4807" s="390" t="str">
        <f>IFERROR(__xludf.DUMMYFUNCTION("""COMPUTED_VALUE"""),"#SLEEA - Segunda Licenciatura em Educação Especial - Segunda Licenciatura em Educação Especial - Kety Adriana Bichet - Deficiência Auditiva e Libras/a - Nota Máxima: 4")</f>
        <v>#SLEEA - Segunda Licenciatura em Educação Especial - Segunda Licenciatura em Educação Especial - Kety Adriana Bichet - Deficiência Auditiva e Libras/a - Nota Máxima: 4</v>
      </c>
    </row>
    <row r="4808">
      <c r="A4808" s="390" t="str">
        <f>IFERROR(__xludf.DUMMYFUNCTION("""COMPUTED_VALUE"""),"#SLEEA - Segunda Licenciatura em Educação Especial - Segunda Licenciatura em Educação Especial - Kety Adriana Bichet - Educação e as Tic's - Nota Máxima: 8")</f>
        <v>#SLEEA - Segunda Licenciatura em Educação Especial - Segunda Licenciatura em Educação Especial - Kety Adriana Bichet - Educação e as Tic's - Nota Máxima: 8</v>
      </c>
    </row>
    <row r="4809">
      <c r="A4809" s="390" t="str">
        <f>IFERROR(__xludf.DUMMYFUNCTION("""COMPUTED_VALUE"""),"#SLEEA - Segunda Licenciatura em Educação Especial - Segunda Licenciatura em Educação Especial - Kety Adriana Bichet - Educação e as Tic's - Nota Máxima: 7")</f>
        <v>#SLEEA - Segunda Licenciatura em Educação Especial - Segunda Licenciatura em Educação Especial - Kety Adriana Bichet - Educação e as Tic's - Nota Máxima: 7</v>
      </c>
    </row>
    <row r="4810">
      <c r="A4810" s="390" t="str">
        <f>IFERROR(__xludf.DUMMYFUNCTION("""COMPUTED_VALUE"""),"#SLEEA - Segunda Licenciatura em Educação Especial - Segunda Licenciatura em Educação Especial - Kety Adriana Bichet - Educação em Direitos Humanos/a - Nota Máxima: 9")</f>
        <v>#SLEEA - Segunda Licenciatura em Educação Especial - Segunda Licenciatura em Educação Especial - Kety Adriana Bichet - Educação em Direitos Humanos/a - Nota Máxima: 9</v>
      </c>
    </row>
    <row r="4811">
      <c r="A4811" s="390" t="str">
        <f>IFERROR(__xludf.DUMMYFUNCTION("""COMPUTED_VALUE"""),"#SLEEA - Segunda Licenciatura em Educação Especial - Segunda Licenciatura em Educação Especial - Kety Adriana Bichet - Educação em Direitos Humanos/a - Nota Máxima: 8")</f>
        <v>#SLEEA - Segunda Licenciatura em Educação Especial - Segunda Licenciatura em Educação Especial - Kety Adriana Bichet - Educação em Direitos Humanos/a - Nota Máxima: 8</v>
      </c>
    </row>
    <row r="4812">
      <c r="A4812" s="390" t="str">
        <f>IFERROR(__xludf.DUMMYFUNCTION("""COMPUTED_VALUE"""),"#SLEEA - Segunda Licenciatura em Educação Especial - Segunda Licenciatura em Educação Especial - Kety Adriana Bichet - Educação Especial - Nota Máxima: 7")</f>
        <v>#SLEEA - Segunda Licenciatura em Educação Especial - Segunda Licenciatura em Educação Especial - Kety Adriana Bichet - Educação Especial - Nota Máxima: 7</v>
      </c>
    </row>
    <row r="4813">
      <c r="A4813" s="390" t="str">
        <f>IFERROR(__xludf.DUMMYFUNCTION("""COMPUTED_VALUE"""),"#SLEEA - Segunda Licenciatura em Educação Especial - Segunda Licenciatura em Educação Especial - Kety Adriana Bichet - Educação Especial - Nota Máxima: 7")</f>
        <v>#SLEEA - Segunda Licenciatura em Educação Especial - Segunda Licenciatura em Educação Especial - Kety Adriana Bichet - Educação Especial - Nota Máxima: 7</v>
      </c>
    </row>
    <row r="4814">
      <c r="A4814" s="390" t="str">
        <f>IFERROR(__xludf.DUMMYFUNCTION("""COMPUTED_VALUE"""),"#SLEEA - Segunda Licenciatura em Educação Especial - Segunda Licenciatura em Educação Especial - Kety Adriana Bichet - Educação Especial, Inclusão Escolar e Adaptações Curriculares - Nota Máxima: 9")</f>
        <v>#SLEEA - Segunda Licenciatura em Educação Especial - Segunda Licenciatura em Educação Especial - Kety Adriana Bichet - Educação Especial, Inclusão Escolar e Adaptações Curriculares - Nota Máxima: 9</v>
      </c>
    </row>
    <row r="4815">
      <c r="A4815" s="390" t="str">
        <f>IFERROR(__xludf.DUMMYFUNCTION("""COMPUTED_VALUE"""),"#SLEEA - Segunda Licenciatura em Educação Especial - Segunda Licenciatura em Educação Especial - Kety Adriana Bichet - Educação Especial, Inclusão Escolar e Adaptações Curriculares - Nota Máxima: 4")</f>
        <v>#SLEEA - Segunda Licenciatura em Educação Especial - Segunda Licenciatura em Educação Especial - Kety Adriana Bichet - Educação Especial, Inclusão Escolar e Adaptações Curriculares - Nota Máxima: 4</v>
      </c>
    </row>
    <row r="4816">
      <c r="A4816" s="390" t="str">
        <f>IFERROR(__xludf.DUMMYFUNCTION("""COMPUTED_VALUE"""),"#SLEEA - Segunda Licenciatura em Educação Especial - Segunda Licenciatura em Educação Especial - Kety Adriana Bichet - Fisiologia Humana - Nota Máxima: 8")</f>
        <v>#SLEEA - Segunda Licenciatura em Educação Especial - Segunda Licenciatura em Educação Especial - Kety Adriana Bichet - Fisiologia Humana - Nota Máxima: 8</v>
      </c>
    </row>
    <row r="4817">
      <c r="A4817" s="390" t="str">
        <f>IFERROR(__xludf.DUMMYFUNCTION("""COMPUTED_VALUE"""),"#SLEEA - Segunda Licenciatura em Educação Especial - Segunda Licenciatura em Educação Especial - Kety Adriana Bichet - Fisiologia Humana - Nota Máxima: 6")</f>
        <v>#SLEEA - Segunda Licenciatura em Educação Especial - Segunda Licenciatura em Educação Especial - Kety Adriana Bichet - Fisiologia Humana - Nota Máxima: 6</v>
      </c>
    </row>
    <row r="4818">
      <c r="A4818" s="390" t="str">
        <f>IFERROR(__xludf.DUMMYFUNCTION("""COMPUTED_VALUE"""),"#SLEEA - Segunda Licenciatura em Educação Especial - Segunda Licenciatura em Educação Especial - Kety Adriana Bichet - Jogos e Recreação - Nota Máxima: 8")</f>
        <v>#SLEEA - Segunda Licenciatura em Educação Especial - Segunda Licenciatura em Educação Especial - Kety Adriana Bichet - Jogos e Recreação - Nota Máxima: 8</v>
      </c>
    </row>
    <row r="4819">
      <c r="A4819" s="390" t="str">
        <f>IFERROR(__xludf.DUMMYFUNCTION("""COMPUTED_VALUE"""),"#SLEEA - Segunda Licenciatura em Educação Especial - Segunda Licenciatura em Educação Especial - Kety Adriana Bichet - Jogos e Recreação - Nota Máxima: 4")</f>
        <v>#SLEEA - Segunda Licenciatura em Educação Especial - Segunda Licenciatura em Educação Especial - Kety Adriana Bichet - Jogos e Recreação - Nota Máxima: 4</v>
      </c>
    </row>
    <row r="4820">
      <c r="A4820" s="390" t="str">
        <f>IFERROR(__xludf.DUMMYFUNCTION("""COMPUTED_VALUE"""),"#SLEEA - Segunda Licenciatura em Educação Especial - Segunda Licenciatura em Educação Especial - Kety Adriana Bichet - Legislação e Políticas para Educação Inclusiva e Especial - Nota Máxima: 8")</f>
        <v>#SLEEA - Segunda Licenciatura em Educação Especial - Segunda Licenciatura em Educação Especial - Kety Adriana Bichet - Legislação e Políticas para Educação Inclusiva e Especial - Nota Máxima: 8</v>
      </c>
    </row>
    <row r="4821">
      <c r="A4821" s="390" t="str">
        <f>IFERROR(__xludf.DUMMYFUNCTION("""COMPUTED_VALUE"""),"#SLEEA - Segunda Licenciatura em Educação Especial - Segunda Licenciatura em Educação Especial - Kety Adriana Bichet - Legislação e Políticas para Educação Inclusiva e Especial - Nota Máxima: 8")</f>
        <v>#SLEEA - Segunda Licenciatura em Educação Especial - Segunda Licenciatura em Educação Especial - Kety Adriana Bichet - Legislação e Políticas para Educação Inclusiva e Especial - Nota Máxima: 8</v>
      </c>
    </row>
    <row r="4822">
      <c r="A4822" s="390" t="str">
        <f>IFERROR(__xludf.DUMMYFUNCTION("""COMPUTED_VALUE"""),"#SLEEA - Segunda Licenciatura em Educação Especial - Segunda Licenciatura em Educação Especial - Kety Adriana Bichet - Legislação Educacional/a - Nota Máxima: 9")</f>
        <v>#SLEEA - Segunda Licenciatura em Educação Especial - Segunda Licenciatura em Educação Especial - Kety Adriana Bichet - Legislação Educacional/a - Nota Máxima: 9</v>
      </c>
    </row>
    <row r="4823">
      <c r="A4823" s="390" t="str">
        <f>IFERROR(__xludf.DUMMYFUNCTION("""COMPUTED_VALUE"""),"#SLEEA - Segunda Licenciatura em Educação Especial - Segunda Licenciatura em Educação Especial - Kety Adriana Bichet - Legislação Educacional/a - Nota Máxima: 6")</f>
        <v>#SLEEA - Segunda Licenciatura em Educação Especial - Segunda Licenciatura em Educação Especial - Kety Adriana Bichet - Legislação Educacional/a - Nota Máxima: 6</v>
      </c>
    </row>
    <row r="4824">
      <c r="A4824" s="390" t="str">
        <f>IFERROR(__xludf.DUMMYFUNCTION("""COMPUTED_VALUE"""),"#SLEEA - Segunda Licenciatura em Educação Especial - Segunda Licenciatura em Educação Especial - Kety Adriana Bichet - Planejamento, Gestão Educacional e Currículo/a - Nota Máxima: 9")</f>
        <v>#SLEEA - Segunda Licenciatura em Educação Especial - Segunda Licenciatura em Educação Especial - Kety Adriana Bichet - Planejamento, Gestão Educacional e Currículo/a - Nota Máxima: 9</v>
      </c>
    </row>
    <row r="4825">
      <c r="A4825" s="390" t="str">
        <f>IFERROR(__xludf.DUMMYFUNCTION("""COMPUTED_VALUE"""),"#SLEEA - Segunda Licenciatura em Educação Especial - Segunda Licenciatura em Educação Especial - Kety Adriana Bichet - Planejamento, Gestão Educacional e Currículo/a - Nota Máxima: 9")</f>
        <v>#SLEEA - Segunda Licenciatura em Educação Especial - Segunda Licenciatura em Educação Especial - Kety Adriana Bichet - Planejamento, Gestão Educacional e Currículo/a - Nota Máxima: 9</v>
      </c>
    </row>
    <row r="4826">
      <c r="A4826" s="390" t="str">
        <f>IFERROR(__xludf.DUMMYFUNCTION("""COMPUTED_VALUE"""),"#SLEEA - Segunda Licenciatura em Educação Especial - Segunda Licenciatura em Educação Especial - Kety Adriana Bichet - Práticas Pedagógicas - 400 Horas - Nota Máxima: 4")</f>
        <v>#SLEEA - Segunda Licenciatura em Educação Especial - Segunda Licenciatura em Educação Especial - Kety Adriana Bichet - Práticas Pedagógicas - 400 Horas - Nota Máxima: 4</v>
      </c>
    </row>
    <row r="4827">
      <c r="A4827" s="390" t="str">
        <f>IFERROR(__xludf.DUMMYFUNCTION("""COMPUTED_VALUE"""),"#SLEEA - Segunda Licenciatura em Educação Especial - Segunda Licenciatura em Educação Especial - Kety Adriana Bichet - Psicologia da Educação/a - Nota Máxima: 8")</f>
        <v>#SLEEA - Segunda Licenciatura em Educação Especial - Segunda Licenciatura em Educação Especial - Kety Adriana Bichet - Psicologia da Educação/a - Nota Máxima: 8</v>
      </c>
    </row>
    <row r="4828">
      <c r="A4828" s="390" t="str">
        <f>IFERROR(__xludf.DUMMYFUNCTION("""COMPUTED_VALUE"""),"#SLEEA - Segunda Licenciatura em Educação Especial - Segunda Licenciatura em Educação Especial - Kety Adriana Bichet - Psicologia da Educação/a - Nota Máxima: 1")</f>
        <v>#SLEEA - Segunda Licenciatura em Educação Especial - Segunda Licenciatura em Educação Especial - Kety Adriana Bichet - Psicologia da Educação/a - Nota Máxima: 1</v>
      </c>
    </row>
    <row r="4829">
      <c r="A4829" s="390" t="str">
        <f>IFERROR(__xludf.DUMMYFUNCTION("""COMPUTED_VALUE"""),"#SLEEA - Segunda Licenciatura em Educação Especial - Segunda Licenciatura em Educação Especial - Maria Aparecida Novais Tudeia - Atuação Docente na Educação Inclusiva - Nota Máxima: 8")</f>
        <v>#SLEEA - Segunda Licenciatura em Educação Especial - Segunda Licenciatura em Educação Especial - Maria Aparecida Novais Tudeia - Atuação Docente na Educação Inclusiva - Nota Máxima: 8</v>
      </c>
    </row>
    <row r="4830">
      <c r="A4830" s="390" t="str">
        <f>IFERROR(__xludf.DUMMYFUNCTION("""COMPUTED_VALUE"""),"#SLEEA - Segunda Licenciatura em Educação Especial - Segunda Licenciatura em Educação Especial - Maria Aparecida Novais Tudeia - Cultura e Diversidade - Nota Máxima: 10")</f>
        <v>#SLEEA - Segunda Licenciatura em Educação Especial - Segunda Licenciatura em Educação Especial - Maria Aparecida Novais Tudeia - Cultura e Diversidade - Nota Máxima: 10</v>
      </c>
    </row>
    <row r="4831">
      <c r="A4831" s="390" t="str">
        <f>IFERROR(__xludf.DUMMYFUNCTION("""COMPUTED_VALUE"""),"#SLEEA - Segunda Licenciatura em Educação Especial - Segunda Licenciatura em Educação Especial - Maria Aparecida Novais Tudeia - Deficiência Auditiva e Libras/a - Nota Máxima: 10")</f>
        <v>#SLEEA - Segunda Licenciatura em Educação Especial - Segunda Licenciatura em Educação Especial - Maria Aparecida Novais Tudeia - Deficiência Auditiva e Libras/a - Nota Máxima: 10</v>
      </c>
    </row>
    <row r="4832">
      <c r="A4832" s="390" t="str">
        <f>IFERROR(__xludf.DUMMYFUNCTION("""COMPUTED_VALUE"""),"#SLEEA - Segunda Licenciatura em Educação Especial - Segunda Licenciatura em Educação Especial - Maria Aparecida Novais Tudeia - Deficiência Auditiva e Libras/a - Nota Máxima: 8")</f>
        <v>#SLEEA - Segunda Licenciatura em Educação Especial - Segunda Licenciatura em Educação Especial - Maria Aparecida Novais Tudeia - Deficiência Auditiva e Libras/a - Nota Máxima: 8</v>
      </c>
    </row>
    <row r="4833">
      <c r="A4833" s="390" t="str">
        <f>IFERROR(__xludf.DUMMYFUNCTION("""COMPUTED_VALUE"""),"#SLEEA - Segunda Licenciatura em Educação Especial - Segunda Licenciatura em Educação Especial - Maria Aparecida Novais Tudeia - Educação e as Tic's - Nota Máxima: 9")</f>
        <v>#SLEEA - Segunda Licenciatura em Educação Especial - Segunda Licenciatura em Educação Especial - Maria Aparecida Novais Tudeia - Educação e as Tic's - Nota Máxima: 9</v>
      </c>
    </row>
    <row r="4834">
      <c r="A4834" s="390" t="str">
        <f>IFERROR(__xludf.DUMMYFUNCTION("""COMPUTED_VALUE"""),"#SLEEA - Segunda Licenciatura em Educação Especial - Segunda Licenciatura em Educação Especial - Maria Aparecida Novais Tudeia - Educação em Direitos Humanos/a - Nota Máxima: 10")</f>
        <v>#SLEEA - Segunda Licenciatura em Educação Especial - Segunda Licenciatura em Educação Especial - Maria Aparecida Novais Tudeia - Educação em Direitos Humanos/a - Nota Máxima: 10</v>
      </c>
    </row>
    <row r="4835">
      <c r="A4835" s="390" t="str">
        <f>IFERROR(__xludf.DUMMYFUNCTION("""COMPUTED_VALUE"""),"#SLEEA - Segunda Licenciatura em Educação Especial - Segunda Licenciatura em Educação Especial - Maria Aparecida Novais Tudeia - Educação Especial - Nota Máxima: 8")</f>
        <v>#SLEEA - Segunda Licenciatura em Educação Especial - Segunda Licenciatura em Educação Especial - Maria Aparecida Novais Tudeia - Educação Especial - Nota Máxima: 8</v>
      </c>
    </row>
    <row r="4836">
      <c r="A4836" s="390" t="str">
        <f>IFERROR(__xludf.DUMMYFUNCTION("""COMPUTED_VALUE"""),"#SLEEA - Segunda Licenciatura em Educação Especial - Segunda Licenciatura em Educação Especial - Maria Aparecida Novais Tudeia - Fisiologia Humana - Nota Máxima: 8")</f>
        <v>#SLEEA - Segunda Licenciatura em Educação Especial - Segunda Licenciatura em Educação Especial - Maria Aparecida Novais Tudeia - Fisiologia Humana - Nota Máxima: 8</v>
      </c>
    </row>
    <row r="4837">
      <c r="A4837" s="390" t="str">
        <f>IFERROR(__xludf.DUMMYFUNCTION("""COMPUTED_VALUE"""),"#SLEEA - Segunda Licenciatura em Educação Especial - Segunda Licenciatura em Educação Especial - Maria Aparecida Novais Tudeia - Jogos e Recreação - Nota Máxima: 8")</f>
        <v>#SLEEA - Segunda Licenciatura em Educação Especial - Segunda Licenciatura em Educação Especial - Maria Aparecida Novais Tudeia - Jogos e Recreação - Nota Máxima: 8</v>
      </c>
    </row>
    <row r="4838">
      <c r="A4838" s="390" t="str">
        <f>IFERROR(__xludf.DUMMYFUNCTION("""COMPUTED_VALUE"""),"#SLEEA - Segunda Licenciatura em Educação Especial - Segunda Licenciatura em Educação Especial - Maria Aparecida Novais Tudeia - Legislação e Políticas para Educação Inclusiva e Especial - Nota Máxima: 10")</f>
        <v>#SLEEA - Segunda Licenciatura em Educação Especial - Segunda Licenciatura em Educação Especial - Maria Aparecida Novais Tudeia - Legislação e Políticas para Educação Inclusiva e Especial - Nota Máxima: 10</v>
      </c>
    </row>
    <row r="4839">
      <c r="A4839" s="390" t="str">
        <f>IFERROR(__xludf.DUMMYFUNCTION("""COMPUTED_VALUE"""),"#SLEEA - Segunda Licenciatura em Educação Especial - Segunda Licenciatura em Educação Especial - Maria Aparecida Novais Tudeia - Legislação Educacional/a - Nota Máxima: 9")</f>
        <v>#SLEEA - Segunda Licenciatura em Educação Especial - Segunda Licenciatura em Educação Especial - Maria Aparecida Novais Tudeia - Legislação Educacional/a - Nota Máxima: 9</v>
      </c>
    </row>
    <row r="4840">
      <c r="A4840" s="390" t="str">
        <f>IFERROR(__xludf.DUMMYFUNCTION("""COMPUTED_VALUE"""),"#SLEEA - Segunda Licenciatura em Educação Especial - Segunda Licenciatura em Educação Especial - Maria Aparecida Novais Tudeia - Legislação Educacional/a - Nota Máxima: 8")</f>
        <v>#SLEEA - Segunda Licenciatura em Educação Especial - Segunda Licenciatura em Educação Especial - Maria Aparecida Novais Tudeia - Legislação Educacional/a - Nota Máxima: 8</v>
      </c>
    </row>
    <row r="4841">
      <c r="A4841" s="390" t="str">
        <f>IFERROR(__xludf.DUMMYFUNCTION("""COMPUTED_VALUE"""),"#SLEEA - Segunda Licenciatura em Educação Especial - Segunda Licenciatura em Educação Especial - Maria Aparecida Novais Tudeia - Práticas Pedagógicas - 400 Horas - Nota Máxima: 10")</f>
        <v>#SLEEA - Segunda Licenciatura em Educação Especial - Segunda Licenciatura em Educação Especial - Maria Aparecida Novais Tudeia - Práticas Pedagógicas - 400 Horas - Nota Máxima: 10</v>
      </c>
    </row>
    <row r="4842">
      <c r="A4842" s="390" t="str">
        <f>IFERROR(__xludf.DUMMYFUNCTION("""COMPUTED_VALUE"""),"#SLEEA - Segunda Licenciatura em Educação Especial - Segunda Licenciatura em Educação Especial - Maria Aparecida Novais Tudeia - Práticas Pedagógicas - 400 Horas - Nota Máxima: 45784")</f>
        <v>#SLEEA - Segunda Licenciatura em Educação Especial - Segunda Licenciatura em Educação Especial - Maria Aparecida Novais Tudeia - Práticas Pedagógicas - 400 Horas - Nota Máxima: 45784</v>
      </c>
    </row>
    <row r="4843">
      <c r="A4843" s="390" t="str">
        <f>IFERROR(__xludf.DUMMYFUNCTION("""COMPUTED_VALUE"""),"#SLEEA - Segunda Licenciatura em Educação Especial - Segunda Licenciatura em Educação Especial - Maria Aparecida Novais Tudeia - Psicologia da Educação/a - Nota Máxima: 10")</f>
        <v>#SLEEA - Segunda Licenciatura em Educação Especial - Segunda Licenciatura em Educação Especial - Maria Aparecida Novais Tudeia - Psicologia da Educação/a - Nota Máxima: 10</v>
      </c>
    </row>
    <row r="4844">
      <c r="A4844" s="390" t="str">
        <f>IFERROR(__xludf.DUMMYFUNCTION("""COMPUTED_VALUE"""),"#SLEEA - Segunda Licenciatura em Educação Especial - Segunda Licenciatura em Educação Especial - Mônica Ferreira da Silva - Deficiência Auditiva e Libras/a - Nota Máxima: 10")</f>
        <v>#SLEEA - Segunda Licenciatura em Educação Especial - Segunda Licenciatura em Educação Especial - Mônica Ferreira da Silva - Deficiência Auditiva e Libras/a - Nota Máxima: 10</v>
      </c>
    </row>
    <row r="4845">
      <c r="A4845" s="390" t="str">
        <f>IFERROR(__xludf.DUMMYFUNCTION("""COMPUTED_VALUE"""),"#SLEEA - Segunda Licenciatura em Educação Especial - Segunda Licenciatura em Educação Especial - Mônica Ferreira da Silva - Deficiência Auditiva e Libras/a - Nota Máxima: 10")</f>
        <v>#SLEEA - Segunda Licenciatura em Educação Especial - Segunda Licenciatura em Educação Especial - Mônica Ferreira da Silva - Deficiência Auditiva e Libras/a - Nota Máxima: 10</v>
      </c>
    </row>
    <row r="4846">
      <c r="A4846" s="390" t="str">
        <f>IFERROR(__xludf.DUMMYFUNCTION("""COMPUTED_VALUE"""),"#SLEEA - Segunda Licenciatura em Educação Especial - Segunda Licenciatura em Educação Especial - Mônica Ferreira da Silva - Educação Especial, Inclusão Escolar e Adaptações Curriculares - Nota Máxima: 10")</f>
        <v>#SLEEA - Segunda Licenciatura em Educação Especial - Segunda Licenciatura em Educação Especial - Mônica Ferreira da Silva - Educação Especial, Inclusão Escolar e Adaptações Curriculares - Nota Máxima: 10</v>
      </c>
    </row>
    <row r="4847">
      <c r="A4847" s="390" t="str">
        <f>IFERROR(__xludf.DUMMYFUNCTION("""COMPUTED_VALUE"""),"#SLEEA - Segunda Licenciatura em Educação Especial - Segunda Licenciatura em Educação Especial - Mônica Ferreira da Silva - Educação Especial, Inclusão Escolar e Adaptações Curriculares - Nota Máxima: 9")</f>
        <v>#SLEEA - Segunda Licenciatura em Educação Especial - Segunda Licenciatura em Educação Especial - Mônica Ferreira da Silva - Educação Especial, Inclusão Escolar e Adaptações Curriculares - Nota Máxima: 9</v>
      </c>
    </row>
    <row r="4848">
      <c r="A4848" s="390" t="str">
        <f>IFERROR(__xludf.DUMMYFUNCTION("""COMPUTED_VALUE"""),"#SLEEA - Segunda Licenciatura em Educação Especial - Segunda Licenciatura em Educação Especial - Mônica Ferreira da Silva - Legislação Educacional/a - Nota Máxima: 10")</f>
        <v>#SLEEA - Segunda Licenciatura em Educação Especial - Segunda Licenciatura em Educação Especial - Mônica Ferreira da Silva - Legislação Educacional/a - Nota Máxima: 10</v>
      </c>
    </row>
    <row r="4849">
      <c r="A4849" s="390" t="str">
        <f>IFERROR(__xludf.DUMMYFUNCTION("""COMPUTED_VALUE"""),"#SLEEA - Segunda Licenciatura em Educação Especial - Segunda Licenciatura em Educação Especial - Mônica Ferreira da Silva - Planejamento, Gestão Educacional e Currículo/a - Nota Máxima: 10")</f>
        <v>#SLEEA - Segunda Licenciatura em Educação Especial - Segunda Licenciatura em Educação Especial - Mônica Ferreira da Silva - Planejamento, Gestão Educacional e Currículo/a - Nota Máxima: 10</v>
      </c>
    </row>
    <row r="4850">
      <c r="A4850" s="390" t="str">
        <f>IFERROR(__xludf.DUMMYFUNCTION("""COMPUTED_VALUE"""),"#SLEEA - Segunda Licenciatura em Educação Especial - Segunda Licenciatura em Educação Especial - Marcileia Ana Dos Santos - Atuação Docente na Educação Inclusiva - Nota Máxima: 10")</f>
        <v>#SLEEA - Segunda Licenciatura em Educação Especial - Segunda Licenciatura em Educação Especial - Marcileia Ana Dos Santos - Atuação Docente na Educação Inclusiva - Nota Máxima: 10</v>
      </c>
    </row>
    <row r="4851">
      <c r="A4851" s="390" t="str">
        <f>IFERROR(__xludf.DUMMYFUNCTION("""COMPUTED_VALUE"""),"#SLEEA - Segunda Licenciatura em Educação Especial - Segunda Licenciatura em Educação Especial - Marcileia Ana Dos Santos - Atuação Docente na Educação Inclusiva - Nota Máxima: 9")</f>
        <v>#SLEEA - Segunda Licenciatura em Educação Especial - Segunda Licenciatura em Educação Especial - Marcileia Ana Dos Santos - Atuação Docente na Educação Inclusiva - Nota Máxima: 9</v>
      </c>
    </row>
    <row r="4852">
      <c r="A4852" s="390" t="str">
        <f>IFERROR(__xludf.DUMMYFUNCTION("""COMPUTED_VALUE"""),"#SLEEA - Segunda Licenciatura em Educação Especial - Segunda Licenciatura em Educação Especial - Marcileia Ana Dos Santos - Cultura e Diversidade - Nota Máxima: 10")</f>
        <v>#SLEEA - Segunda Licenciatura em Educação Especial - Segunda Licenciatura em Educação Especial - Marcileia Ana Dos Santos - Cultura e Diversidade - Nota Máxima: 10</v>
      </c>
    </row>
    <row r="4853">
      <c r="A4853" s="390" t="str">
        <f>IFERROR(__xludf.DUMMYFUNCTION("""COMPUTED_VALUE"""),"#SLEEA - Segunda Licenciatura em Educação Especial - Segunda Licenciatura em Educação Especial - Marcileia Ana Dos Santos - Cultura e Diversidade - Nota Máxima: 7")</f>
        <v>#SLEEA - Segunda Licenciatura em Educação Especial - Segunda Licenciatura em Educação Especial - Marcileia Ana Dos Santos - Cultura e Diversidade - Nota Máxima: 7</v>
      </c>
    </row>
    <row r="4854">
      <c r="A4854" s="390" t="str">
        <f>IFERROR(__xludf.DUMMYFUNCTION("""COMPUTED_VALUE"""),"#SLEEA - Segunda Licenciatura em Educação Especial - Segunda Licenciatura em Educação Especial - Marcileia Ana Dos Santos - Deficiência Auditiva e Libras/a - Nota Máxima: 9")</f>
        <v>#SLEEA - Segunda Licenciatura em Educação Especial - Segunda Licenciatura em Educação Especial - Marcileia Ana Dos Santos - Deficiência Auditiva e Libras/a - Nota Máxima: 9</v>
      </c>
    </row>
    <row r="4855">
      <c r="A4855" s="390" t="str">
        <f>IFERROR(__xludf.DUMMYFUNCTION("""COMPUTED_VALUE"""),"#SLEEA - Segunda Licenciatura em Educação Especial - Segunda Licenciatura em Educação Especial - Marcileia Ana Dos Santos - Deficiência Auditiva e Libras/a - Nota Máxima: 10")</f>
        <v>#SLEEA - Segunda Licenciatura em Educação Especial - Segunda Licenciatura em Educação Especial - Marcileia Ana Dos Santos - Deficiência Auditiva e Libras/a - Nota Máxima: 10</v>
      </c>
    </row>
    <row r="4856">
      <c r="A4856" s="390" t="str">
        <f>IFERROR(__xludf.DUMMYFUNCTION("""COMPUTED_VALUE"""),"#SLEEA - Segunda Licenciatura em Educação Especial - Segunda Licenciatura em Educação Especial - Marcileia Ana Dos Santos - Educação e as Tic's - Nota Máxima: 10")</f>
        <v>#SLEEA - Segunda Licenciatura em Educação Especial - Segunda Licenciatura em Educação Especial - Marcileia Ana Dos Santos - Educação e as Tic's - Nota Máxima: 10</v>
      </c>
    </row>
    <row r="4857">
      <c r="A4857" s="390" t="str">
        <f>IFERROR(__xludf.DUMMYFUNCTION("""COMPUTED_VALUE"""),"#SLEEA - Segunda Licenciatura em Educação Especial - Segunda Licenciatura em Educação Especial - Marcileia Ana Dos Santos - Educação e as Tic's - Nota Máxima: 7")</f>
        <v>#SLEEA - Segunda Licenciatura em Educação Especial - Segunda Licenciatura em Educação Especial - Marcileia Ana Dos Santos - Educação e as Tic's - Nota Máxima: 7</v>
      </c>
    </row>
    <row r="4858">
      <c r="A4858" s="390" t="str">
        <f>IFERROR(__xludf.DUMMYFUNCTION("""COMPUTED_VALUE"""),"#SLEEA - Segunda Licenciatura em Educação Especial - Segunda Licenciatura em Educação Especial - Marcileia Ana Dos Santos - Educação em Direitos Humanos/a - Nota Máxima: 10")</f>
        <v>#SLEEA - Segunda Licenciatura em Educação Especial - Segunda Licenciatura em Educação Especial - Marcileia Ana Dos Santos - Educação em Direitos Humanos/a - Nota Máxima: 10</v>
      </c>
    </row>
    <row r="4859">
      <c r="A4859" s="390" t="str">
        <f>IFERROR(__xludf.DUMMYFUNCTION("""COMPUTED_VALUE"""),"#SLEEA - Segunda Licenciatura em Educação Especial - Segunda Licenciatura em Educação Especial - Marcileia Ana Dos Santos - Educação em Direitos Humanos/a - Nota Máxima: 10")</f>
        <v>#SLEEA - Segunda Licenciatura em Educação Especial - Segunda Licenciatura em Educação Especial - Marcileia Ana Dos Santos - Educação em Direitos Humanos/a - Nota Máxima: 10</v>
      </c>
    </row>
    <row r="4860">
      <c r="A4860" s="390" t="str">
        <f>IFERROR(__xludf.DUMMYFUNCTION("""COMPUTED_VALUE"""),"#SLEEA - Segunda Licenciatura em Educação Especial - Segunda Licenciatura em Educação Especial - Marcileia Ana Dos Santos - Educação Especial - Nota Máxima: 10")</f>
        <v>#SLEEA - Segunda Licenciatura em Educação Especial - Segunda Licenciatura em Educação Especial - Marcileia Ana Dos Santos - Educação Especial - Nota Máxima: 10</v>
      </c>
    </row>
    <row r="4861">
      <c r="A4861" s="390" t="str">
        <f>IFERROR(__xludf.DUMMYFUNCTION("""COMPUTED_VALUE"""),"#SLEEA - Segunda Licenciatura em Educação Especial - Segunda Licenciatura em Educação Especial - Marcileia Ana Dos Santos - Educação Especial - Nota Máxima: 7")</f>
        <v>#SLEEA - Segunda Licenciatura em Educação Especial - Segunda Licenciatura em Educação Especial - Marcileia Ana Dos Santos - Educação Especial - Nota Máxima: 7</v>
      </c>
    </row>
    <row r="4862">
      <c r="A4862" s="390" t="str">
        <f>IFERROR(__xludf.DUMMYFUNCTION("""COMPUTED_VALUE"""),"#SLEEA - Segunda Licenciatura em Educação Especial - Segunda Licenciatura em Educação Especial - Marcileia Ana Dos Santos - Educação Especial, Inclusão Escolar e Adaptações Curriculares - Nota Máxima: 10")</f>
        <v>#SLEEA - Segunda Licenciatura em Educação Especial - Segunda Licenciatura em Educação Especial - Marcileia Ana Dos Santos - Educação Especial, Inclusão Escolar e Adaptações Curriculares - Nota Máxima: 10</v>
      </c>
    </row>
    <row r="4863">
      <c r="A4863" s="390" t="str">
        <f>IFERROR(__xludf.DUMMYFUNCTION("""COMPUTED_VALUE"""),"#SLEEA - Segunda Licenciatura em Educação Especial - Segunda Licenciatura em Educação Especial - Marcileia Ana Dos Santos - Educação Especial, Inclusão Escolar e Adaptações Curriculares - Nota Máxima: 9")</f>
        <v>#SLEEA - Segunda Licenciatura em Educação Especial - Segunda Licenciatura em Educação Especial - Marcileia Ana Dos Santos - Educação Especial, Inclusão Escolar e Adaptações Curriculares - Nota Máxima: 9</v>
      </c>
    </row>
    <row r="4864">
      <c r="A4864" s="390" t="str">
        <f>IFERROR(__xludf.DUMMYFUNCTION("""COMPUTED_VALUE"""),"#SLEEA - Segunda Licenciatura em Educação Especial - Segunda Licenciatura em Educação Especial - Marcileia Ana Dos Santos - Fisiologia Humana - Nota Máxima: 10")</f>
        <v>#SLEEA - Segunda Licenciatura em Educação Especial - Segunda Licenciatura em Educação Especial - Marcileia Ana Dos Santos - Fisiologia Humana - Nota Máxima: 10</v>
      </c>
    </row>
    <row r="4865">
      <c r="A4865" s="390" t="str">
        <f>IFERROR(__xludf.DUMMYFUNCTION("""COMPUTED_VALUE"""),"#SLEEA - Segunda Licenciatura em Educação Especial - Segunda Licenciatura em Educação Especial - Marcileia Ana Dos Santos - Fisiologia Humana - Nota Máxima: 3")</f>
        <v>#SLEEA - Segunda Licenciatura em Educação Especial - Segunda Licenciatura em Educação Especial - Marcileia Ana Dos Santos - Fisiologia Humana - Nota Máxima: 3</v>
      </c>
    </row>
    <row r="4866">
      <c r="A4866" s="390" t="str">
        <f>IFERROR(__xludf.DUMMYFUNCTION("""COMPUTED_VALUE"""),"#SLEEA - Segunda Licenciatura em Educação Especial - Segunda Licenciatura em Educação Especial - Marcileia Ana Dos Santos - Jogos e Recreação - Nota Máxima: 10")</f>
        <v>#SLEEA - Segunda Licenciatura em Educação Especial - Segunda Licenciatura em Educação Especial - Marcileia Ana Dos Santos - Jogos e Recreação - Nota Máxima: 10</v>
      </c>
    </row>
    <row r="4867">
      <c r="A4867" s="390" t="str">
        <f>IFERROR(__xludf.DUMMYFUNCTION("""COMPUTED_VALUE"""),"#SLEEA - Segunda Licenciatura em Educação Especial - Segunda Licenciatura em Educação Especial - Marcileia Ana Dos Santos - Jogos e Recreação - Nota Máxima: 6")</f>
        <v>#SLEEA - Segunda Licenciatura em Educação Especial - Segunda Licenciatura em Educação Especial - Marcileia Ana Dos Santos - Jogos e Recreação - Nota Máxima: 6</v>
      </c>
    </row>
    <row r="4868">
      <c r="A4868" s="390" t="str">
        <f>IFERROR(__xludf.DUMMYFUNCTION("""COMPUTED_VALUE"""),"#SLEEA - Segunda Licenciatura em Educação Especial - Segunda Licenciatura em Educação Especial - Marcileia Ana Dos Santos - Legislação e Políticas para Educação Inclusiva e Especial - Nota Máxima: 10")</f>
        <v>#SLEEA - Segunda Licenciatura em Educação Especial - Segunda Licenciatura em Educação Especial - Marcileia Ana Dos Santos - Legislação e Políticas para Educação Inclusiva e Especial - Nota Máxima: 10</v>
      </c>
    </row>
    <row r="4869">
      <c r="A4869" s="390" t="str">
        <f>IFERROR(__xludf.DUMMYFUNCTION("""COMPUTED_VALUE"""),"#SLEEA - Segunda Licenciatura em Educação Especial - Segunda Licenciatura em Educação Especial - Marcileia Ana Dos Santos - Legislação e Políticas para Educação Inclusiva e Especial - Nota Máxima: 6")</f>
        <v>#SLEEA - Segunda Licenciatura em Educação Especial - Segunda Licenciatura em Educação Especial - Marcileia Ana Dos Santos - Legislação e Políticas para Educação Inclusiva e Especial - Nota Máxima: 6</v>
      </c>
    </row>
    <row r="4870">
      <c r="A4870" s="390" t="str">
        <f>IFERROR(__xludf.DUMMYFUNCTION("""COMPUTED_VALUE"""),"#SLEEA - Segunda Licenciatura em Educação Especial - Segunda Licenciatura em Educação Especial - Marcileia Ana Dos Santos - Legislação Educacional/a - Nota Máxima: 10")</f>
        <v>#SLEEA - Segunda Licenciatura em Educação Especial - Segunda Licenciatura em Educação Especial - Marcileia Ana Dos Santos - Legislação Educacional/a - Nota Máxima: 10</v>
      </c>
    </row>
    <row r="4871">
      <c r="A4871" s="390" t="str">
        <f>IFERROR(__xludf.DUMMYFUNCTION("""COMPUTED_VALUE"""),"#SLEEA - Segunda Licenciatura em Educação Especial - Segunda Licenciatura em Educação Especial - Marcileia Ana Dos Santos - Legislação Educacional/a - Nota Máxima: 8")</f>
        <v>#SLEEA - Segunda Licenciatura em Educação Especial - Segunda Licenciatura em Educação Especial - Marcileia Ana Dos Santos - Legislação Educacional/a - Nota Máxima: 8</v>
      </c>
    </row>
    <row r="4872">
      <c r="A4872" s="390" t="str">
        <f>IFERROR(__xludf.DUMMYFUNCTION("""COMPUTED_VALUE"""),"#SLEEA - Segunda Licenciatura em Educação Especial - Segunda Licenciatura em Educação Especial - Marcileia Ana Dos Santos - Planejamento, Gestão Educacional e Currículo/a - Nota Máxima: 10")</f>
        <v>#SLEEA - Segunda Licenciatura em Educação Especial - Segunda Licenciatura em Educação Especial - Marcileia Ana Dos Santos - Planejamento, Gestão Educacional e Currículo/a - Nota Máxima: 10</v>
      </c>
    </row>
    <row r="4873">
      <c r="A4873" s="390" t="str">
        <f>IFERROR(__xludf.DUMMYFUNCTION("""COMPUTED_VALUE"""),"#SLEEA - Segunda Licenciatura em Educação Especial - Segunda Licenciatura em Educação Especial - Marcileia Ana Dos Santos - Planejamento, Gestão Educacional e Currículo/a - Nota Máxima: 8")</f>
        <v>#SLEEA - Segunda Licenciatura em Educação Especial - Segunda Licenciatura em Educação Especial - Marcileia Ana Dos Santos - Planejamento, Gestão Educacional e Currículo/a - Nota Máxima: 8</v>
      </c>
    </row>
    <row r="4874">
      <c r="A4874" s="390" t="str">
        <f>IFERROR(__xludf.DUMMYFUNCTION("""COMPUTED_VALUE"""),"#SLEEA - Segunda Licenciatura em Educação Especial - Segunda Licenciatura em Educação Especial - Marcileia Ana Dos Santos - Práticas Pedagógicas - 400 Horas - Nota Máxima: 10")</f>
        <v>#SLEEA - Segunda Licenciatura em Educação Especial - Segunda Licenciatura em Educação Especial - Marcileia Ana Dos Santos - Práticas Pedagógicas - 400 Horas - Nota Máxima: 10</v>
      </c>
    </row>
    <row r="4875">
      <c r="A4875" s="390" t="str">
        <f>IFERROR(__xludf.DUMMYFUNCTION("""COMPUTED_VALUE"""),"#SLEEA - Segunda Licenciatura em Educação Especial - Segunda Licenciatura em Educação Especial - Marcileia Ana Dos Santos - Práticas Pedagógicas - 400 Horas - Nota Máxima: 5")</f>
        <v>#SLEEA - Segunda Licenciatura em Educação Especial - Segunda Licenciatura em Educação Especial - Marcileia Ana Dos Santos - Práticas Pedagógicas - 400 Horas - Nota Máxima: 5</v>
      </c>
    </row>
    <row r="4876">
      <c r="A4876" s="390" t="str">
        <f>IFERROR(__xludf.DUMMYFUNCTION("""COMPUTED_VALUE"""),"#SLEEA - Segunda Licenciatura em Educação Especial - Segunda Licenciatura em Educação Especial - Marcileia Ana Dos Santos - Psicologia da Educação/a - Nota Máxima: 10")</f>
        <v>#SLEEA - Segunda Licenciatura em Educação Especial - Segunda Licenciatura em Educação Especial - Marcileia Ana Dos Santos - Psicologia da Educação/a - Nota Máxima: 10</v>
      </c>
    </row>
    <row r="4877">
      <c r="A4877" s="390" t="str">
        <f>IFERROR(__xludf.DUMMYFUNCTION("""COMPUTED_VALUE"""),"#SLEEA - Segunda Licenciatura em Educação Especial - Segunda Licenciatura em Educação Especial - Marcileia Ana Dos Santos - Psicologia da Educação/a - Nota Máxima: 3")</f>
        <v>#SLEEA - Segunda Licenciatura em Educação Especial - Segunda Licenciatura em Educação Especial - Marcileia Ana Dos Santos - Psicologia da Educação/a - Nota Máxima: 3</v>
      </c>
    </row>
    <row r="4878">
      <c r="A4878" s="390" t="str">
        <f>IFERROR(__xludf.DUMMYFUNCTION("""COMPUTED_VALUE"""),"#SLEEA - Segunda Licenciatura em Educação Especial - Segunda Licenciatura em Educação Especial - Clarisse de souza - Atuação Docente na Educação Inclusiva - Nota Máxima: 10")</f>
        <v>#SLEEA - Segunda Licenciatura em Educação Especial - Segunda Licenciatura em Educação Especial - Clarisse de souza - Atuação Docente na Educação Inclusiva - Nota Máxima: 10</v>
      </c>
    </row>
    <row r="4879">
      <c r="A4879" s="390" t="str">
        <f>IFERROR(__xludf.DUMMYFUNCTION("""COMPUTED_VALUE"""),"#SLEEA - Segunda Licenciatura em Educação Especial - Segunda Licenciatura em Educação Especial - Clarisse de souza - Atuação Docente na Educação Inclusiva - Nota Máxima: 5")</f>
        <v>#SLEEA - Segunda Licenciatura em Educação Especial - Segunda Licenciatura em Educação Especial - Clarisse de souza - Atuação Docente na Educação Inclusiva - Nota Máxima: 5</v>
      </c>
    </row>
    <row r="4880">
      <c r="A4880" s="390" t="str">
        <f>IFERROR(__xludf.DUMMYFUNCTION("""COMPUTED_VALUE"""),"#SLEEA - Segunda Licenciatura em Educação Especial - Segunda Licenciatura em Educação Especial - Clarisse de souza - Cultura e Diversidade - Nota Máxima: 10")</f>
        <v>#SLEEA - Segunda Licenciatura em Educação Especial - Segunda Licenciatura em Educação Especial - Clarisse de souza - Cultura e Diversidade - Nota Máxima: 10</v>
      </c>
    </row>
    <row r="4881">
      <c r="A4881" s="390" t="str">
        <f>IFERROR(__xludf.DUMMYFUNCTION("""COMPUTED_VALUE"""),"#SLEEA - Segunda Licenciatura em Educação Especial - Segunda Licenciatura em Educação Especial - Clarisse de souza - Cultura e Diversidade - Nota Máxima: 2")</f>
        <v>#SLEEA - Segunda Licenciatura em Educação Especial - Segunda Licenciatura em Educação Especial - Clarisse de souza - Cultura e Diversidade - Nota Máxima: 2</v>
      </c>
    </row>
    <row r="4882">
      <c r="A4882" s="390" t="str">
        <f>IFERROR(__xludf.DUMMYFUNCTION("""COMPUTED_VALUE"""),"#SLEEA - Segunda Licenciatura em Educação Especial - Segunda Licenciatura em Educação Especial - Clarisse de souza - Deficiência Auditiva e Libras/a - Nota Máxima: 10")</f>
        <v>#SLEEA - Segunda Licenciatura em Educação Especial - Segunda Licenciatura em Educação Especial - Clarisse de souza - Deficiência Auditiva e Libras/a - Nota Máxima: 10</v>
      </c>
    </row>
    <row r="4883">
      <c r="A4883" s="390" t="str">
        <f>IFERROR(__xludf.DUMMYFUNCTION("""COMPUTED_VALUE"""),"#SLEEA - Segunda Licenciatura em Educação Especial - Segunda Licenciatura em Educação Especial - Clarisse de souza - Deficiência Auditiva e Libras/a - Nota Máxima: 4")</f>
        <v>#SLEEA - Segunda Licenciatura em Educação Especial - Segunda Licenciatura em Educação Especial - Clarisse de souza - Deficiência Auditiva e Libras/a - Nota Máxima: 4</v>
      </c>
    </row>
    <row r="4884">
      <c r="A4884" s="390" t="str">
        <f>IFERROR(__xludf.DUMMYFUNCTION("""COMPUTED_VALUE"""),"#SLEEA - Segunda Licenciatura em Educação Especial - Segunda Licenciatura em Educação Especial - Clarisse de souza - Educação e as Tic's - Nota Máxima: 10")</f>
        <v>#SLEEA - Segunda Licenciatura em Educação Especial - Segunda Licenciatura em Educação Especial - Clarisse de souza - Educação e as Tic's - Nota Máxima: 10</v>
      </c>
    </row>
    <row r="4885">
      <c r="A4885" s="390" t="str">
        <f>IFERROR(__xludf.DUMMYFUNCTION("""COMPUTED_VALUE"""),"#SLEEA - Segunda Licenciatura em Educação Especial - Segunda Licenciatura em Educação Especial - Clarisse de souza - Educação e as Tic's - Nota Máxima: 5")</f>
        <v>#SLEEA - Segunda Licenciatura em Educação Especial - Segunda Licenciatura em Educação Especial - Clarisse de souza - Educação e as Tic's - Nota Máxima: 5</v>
      </c>
    </row>
    <row r="4886">
      <c r="A4886" s="390" t="str">
        <f>IFERROR(__xludf.DUMMYFUNCTION("""COMPUTED_VALUE"""),"#SLEEA - Segunda Licenciatura em Educação Especial - Segunda Licenciatura em Educação Especial - Clarisse de souza - Educação em Direitos Humanos/a - Nota Máxima: 10")</f>
        <v>#SLEEA - Segunda Licenciatura em Educação Especial - Segunda Licenciatura em Educação Especial - Clarisse de souza - Educação em Direitos Humanos/a - Nota Máxima: 10</v>
      </c>
    </row>
    <row r="4887">
      <c r="A4887" s="390" t="str">
        <f>IFERROR(__xludf.DUMMYFUNCTION("""COMPUTED_VALUE"""),"#SLEEA - Segunda Licenciatura em Educação Especial - Segunda Licenciatura em Educação Especial - Clarisse de souza - Educação em Direitos Humanos/a - Nota Máxima: 7")</f>
        <v>#SLEEA - Segunda Licenciatura em Educação Especial - Segunda Licenciatura em Educação Especial - Clarisse de souza - Educação em Direitos Humanos/a - Nota Máxima: 7</v>
      </c>
    </row>
    <row r="4888">
      <c r="A4888" s="390" t="str">
        <f>IFERROR(__xludf.DUMMYFUNCTION("""COMPUTED_VALUE"""),"#SLEEA - Segunda Licenciatura em Educação Especial - Segunda Licenciatura em Educação Especial - Clarisse de souza - Educação Especial - Nota Máxima: 10")</f>
        <v>#SLEEA - Segunda Licenciatura em Educação Especial - Segunda Licenciatura em Educação Especial - Clarisse de souza - Educação Especial - Nota Máxima: 10</v>
      </c>
    </row>
    <row r="4889">
      <c r="A4889" s="390" t="str">
        <f>IFERROR(__xludf.DUMMYFUNCTION("""COMPUTED_VALUE"""),"#SLEEA - Segunda Licenciatura em Educação Especial - Segunda Licenciatura em Educação Especial - Clarisse de souza - Educação Especial - Nota Máxima: 2")</f>
        <v>#SLEEA - Segunda Licenciatura em Educação Especial - Segunda Licenciatura em Educação Especial - Clarisse de souza - Educação Especial - Nota Máxima: 2</v>
      </c>
    </row>
    <row r="4890">
      <c r="A4890" s="390" t="str">
        <f>IFERROR(__xludf.DUMMYFUNCTION("""COMPUTED_VALUE"""),"#SLEEA - Segunda Licenciatura em Educação Especial - Segunda Licenciatura em Educação Especial - Clarisse de souza - Educação Especial, Inclusão Escolar e Adaptações Curriculares - Nota Máxima: 9")</f>
        <v>#SLEEA - Segunda Licenciatura em Educação Especial - Segunda Licenciatura em Educação Especial - Clarisse de souza - Educação Especial, Inclusão Escolar e Adaptações Curriculares - Nota Máxima: 9</v>
      </c>
    </row>
    <row r="4891">
      <c r="A4891" s="390" t="str">
        <f>IFERROR(__xludf.DUMMYFUNCTION("""COMPUTED_VALUE"""),"#SLEEA - Segunda Licenciatura em Educação Especial - Segunda Licenciatura em Educação Especial - Clarisse de souza - Educação Especial, Inclusão Escolar e Adaptações Curriculares - Nota Máxima: 5")</f>
        <v>#SLEEA - Segunda Licenciatura em Educação Especial - Segunda Licenciatura em Educação Especial - Clarisse de souza - Educação Especial, Inclusão Escolar e Adaptações Curriculares - Nota Máxima: 5</v>
      </c>
    </row>
    <row r="4892">
      <c r="A4892" s="390" t="str">
        <f>IFERROR(__xludf.DUMMYFUNCTION("""COMPUTED_VALUE"""),"#SLEEA - Segunda Licenciatura em Educação Especial - Segunda Licenciatura em Educação Especial - Clarisse de souza - Fisiologia Humana - Nota Máxima: 9")</f>
        <v>#SLEEA - Segunda Licenciatura em Educação Especial - Segunda Licenciatura em Educação Especial - Clarisse de souza - Fisiologia Humana - Nota Máxima: 9</v>
      </c>
    </row>
    <row r="4893">
      <c r="A4893" s="390" t="str">
        <f>IFERROR(__xludf.DUMMYFUNCTION("""COMPUTED_VALUE"""),"#SLEEA - Segunda Licenciatura em Educação Especial - Segunda Licenciatura em Educação Especial - Clarisse de souza - Fisiologia Humana - Nota Máxima: 3")</f>
        <v>#SLEEA - Segunda Licenciatura em Educação Especial - Segunda Licenciatura em Educação Especial - Clarisse de souza - Fisiologia Humana - Nota Máxima: 3</v>
      </c>
    </row>
    <row r="4894">
      <c r="A4894" s="390" t="str">
        <f>IFERROR(__xludf.DUMMYFUNCTION("""COMPUTED_VALUE"""),"#SLEEA - Segunda Licenciatura em Educação Especial - Segunda Licenciatura em Educação Especial - Clarisse de souza - Jogos e Recreação - Nota Máxima: 10")</f>
        <v>#SLEEA - Segunda Licenciatura em Educação Especial - Segunda Licenciatura em Educação Especial - Clarisse de souza - Jogos e Recreação - Nota Máxima: 10</v>
      </c>
    </row>
    <row r="4895">
      <c r="A4895" s="390" t="str">
        <f>IFERROR(__xludf.DUMMYFUNCTION("""COMPUTED_VALUE"""),"#SLEEA - Segunda Licenciatura em Educação Especial - Segunda Licenciatura em Educação Especial - Clarisse de souza - Jogos e Recreação - Nota Máxima: 2")</f>
        <v>#SLEEA - Segunda Licenciatura em Educação Especial - Segunda Licenciatura em Educação Especial - Clarisse de souza - Jogos e Recreação - Nota Máxima: 2</v>
      </c>
    </row>
    <row r="4896">
      <c r="A4896" s="390" t="str">
        <f>IFERROR(__xludf.DUMMYFUNCTION("""COMPUTED_VALUE"""),"#SLEEA - Segunda Licenciatura em Educação Especial - Segunda Licenciatura em Educação Especial - Clarisse de souza - Legislação e Políticas para Educação Inclusiva e Especial - Nota Máxima: 9")</f>
        <v>#SLEEA - Segunda Licenciatura em Educação Especial - Segunda Licenciatura em Educação Especial - Clarisse de souza - Legislação e Políticas para Educação Inclusiva e Especial - Nota Máxima: 9</v>
      </c>
    </row>
    <row r="4897">
      <c r="A4897" s="390" t="str">
        <f>IFERROR(__xludf.DUMMYFUNCTION("""COMPUTED_VALUE"""),"#SLEEA - Segunda Licenciatura em Educação Especial - Segunda Licenciatura em Educação Especial - Clarisse de souza - Legislação e Políticas para Educação Inclusiva e Especial - Nota Máxima: 4")</f>
        <v>#SLEEA - Segunda Licenciatura em Educação Especial - Segunda Licenciatura em Educação Especial - Clarisse de souza - Legislação e Políticas para Educação Inclusiva e Especial - Nota Máxima: 4</v>
      </c>
    </row>
    <row r="4898">
      <c r="A4898" s="390" t="str">
        <f>IFERROR(__xludf.DUMMYFUNCTION("""COMPUTED_VALUE"""),"#SLEEA - Segunda Licenciatura em Educação Especial - Segunda Licenciatura em Educação Especial - Clarisse de souza - Legislação Educacional/a - Nota Máxima: 10")</f>
        <v>#SLEEA - Segunda Licenciatura em Educação Especial - Segunda Licenciatura em Educação Especial - Clarisse de souza - Legislação Educacional/a - Nota Máxima: 10</v>
      </c>
    </row>
    <row r="4899">
      <c r="A4899" s="390" t="str">
        <f>IFERROR(__xludf.DUMMYFUNCTION("""COMPUTED_VALUE"""),"#SLEEA - Segunda Licenciatura em Educação Especial - Segunda Licenciatura em Educação Especial - Clarisse de souza - Legislação Educacional/a - Nota Máxima: 4")</f>
        <v>#SLEEA - Segunda Licenciatura em Educação Especial - Segunda Licenciatura em Educação Especial - Clarisse de souza - Legislação Educacional/a - Nota Máxima: 4</v>
      </c>
    </row>
    <row r="4900">
      <c r="A4900" s="390" t="str">
        <f>IFERROR(__xludf.DUMMYFUNCTION("""COMPUTED_VALUE"""),"#SLEEA - Segunda Licenciatura em Educação Especial - Segunda Licenciatura em Educação Especial - Clarisse de souza - Planejamento, Gestão Educacional e Currículo/a - Nota Máxima: 9")</f>
        <v>#SLEEA - Segunda Licenciatura em Educação Especial - Segunda Licenciatura em Educação Especial - Clarisse de souza - Planejamento, Gestão Educacional e Currículo/a - Nota Máxima: 9</v>
      </c>
    </row>
    <row r="4901">
      <c r="A4901" s="390" t="str">
        <f>IFERROR(__xludf.DUMMYFUNCTION("""COMPUTED_VALUE"""),"#SLEEA - Segunda Licenciatura em Educação Especial - Segunda Licenciatura em Educação Especial - Clarisse de souza - Planejamento, Gestão Educacional e Currículo/a - Nota Máxima: 3")</f>
        <v>#SLEEA - Segunda Licenciatura em Educação Especial - Segunda Licenciatura em Educação Especial - Clarisse de souza - Planejamento, Gestão Educacional e Currículo/a - Nota Máxima: 3</v>
      </c>
    </row>
    <row r="4902">
      <c r="A4902" s="390" t="str">
        <f>IFERROR(__xludf.DUMMYFUNCTION("""COMPUTED_VALUE"""),"#SLEEA - Segunda Licenciatura em Educação Especial - Segunda Licenciatura em Educação Especial - Clarisse de souza - Práticas Pedagógicas - 400 Horas - Nota Máxima: 4")</f>
        <v>#SLEEA - Segunda Licenciatura em Educação Especial - Segunda Licenciatura em Educação Especial - Clarisse de souza - Práticas Pedagógicas - 400 Horas - Nota Máxima: 4</v>
      </c>
    </row>
    <row r="4903">
      <c r="A4903" s="390" t="str">
        <f>IFERROR(__xludf.DUMMYFUNCTION("""COMPUTED_VALUE"""),"#SLEEA - Segunda Licenciatura em Educação Especial - Segunda Licenciatura em Educação Especial - Clarisse de souza - Práticas Pedagógicas - 400 Horas - Nota Máxima: 0")</f>
        <v>#SLEEA - Segunda Licenciatura em Educação Especial - Segunda Licenciatura em Educação Especial - Clarisse de souza - Práticas Pedagógicas - 400 Horas - Nota Máxima: 0</v>
      </c>
    </row>
    <row r="4904">
      <c r="A4904" s="390" t="str">
        <f>IFERROR(__xludf.DUMMYFUNCTION("""COMPUTED_VALUE"""),"#SLEEA - Segunda Licenciatura em Educação Especial - Segunda Licenciatura em Educação Especial - Clarisse de souza - Psicologia da Educação/a - Nota Máxima: 9")</f>
        <v>#SLEEA - Segunda Licenciatura em Educação Especial - Segunda Licenciatura em Educação Especial - Clarisse de souza - Psicologia da Educação/a - Nota Máxima: 9</v>
      </c>
    </row>
    <row r="4905">
      <c r="A4905" s="390" t="str">
        <f>IFERROR(__xludf.DUMMYFUNCTION("""COMPUTED_VALUE"""),"#SLEEA - Segunda Licenciatura em Educação Especial - Segunda Licenciatura em Educação Especial - Clarisse de souza - Psicologia da Educação/a - Nota Máxima: 2")</f>
        <v>#SLEEA - Segunda Licenciatura em Educação Especial - Segunda Licenciatura em Educação Especial - Clarisse de souza - Psicologia da Educação/a - Nota Máxima: 2</v>
      </c>
    </row>
    <row r="4906">
      <c r="A4906" s="390" t="str">
        <f>IFERROR(__xludf.DUMMYFUNCTION("""COMPUTED_VALUE"""),"#SLEEA - Segunda Licenciatura em Educação Especial - Segunda Licenciatura em Educação Especial - teste Joana - Atuação Docente na Educação Inclusiva - Nota Máxima: 3")</f>
        <v>#SLEEA - Segunda Licenciatura em Educação Especial - Segunda Licenciatura em Educação Especial - teste Joana - Atuação Docente na Educação Inclusiva - Nota Máxima: 3</v>
      </c>
    </row>
    <row r="4907">
      <c r="A4907" s="390" t="str">
        <f>IFERROR(__xludf.DUMMYFUNCTION("""COMPUTED_VALUE"""),"#SLEEA - Segunda Licenciatura em Educação Especial - Segunda Licenciatura em Educação Especial - teste Joana - Cultura e Diversidade - Nota Máxima: 4")</f>
        <v>#SLEEA - Segunda Licenciatura em Educação Especial - Segunda Licenciatura em Educação Especial - teste Joana - Cultura e Diversidade - Nota Máxima: 4</v>
      </c>
    </row>
    <row r="4908">
      <c r="A4908" s="390" t="str">
        <f>IFERROR(__xludf.DUMMYFUNCTION("""COMPUTED_VALUE"""),"#SLEEA - Segunda Licenciatura em Educação Especial - Segunda Licenciatura em Educação Especial - teste Joana - Deficiência Auditiva e Libras/a - Nota Máxima: 0")</f>
        <v>#SLEEA - Segunda Licenciatura em Educação Especial - Segunda Licenciatura em Educação Especial - teste Joana - Deficiência Auditiva e Libras/a - Nota Máxima: 0</v>
      </c>
    </row>
    <row r="4909">
      <c r="A4909" s="390" t="str">
        <f>IFERROR(__xludf.DUMMYFUNCTION("""COMPUTED_VALUE"""),"#SLEEA - Segunda Licenciatura em Educação Especial - Segunda Licenciatura em Educação Especial - teste Joana - Deficiência Auditiva e Libras/a - Nota Máxima: 5")</f>
        <v>#SLEEA - Segunda Licenciatura em Educação Especial - Segunda Licenciatura em Educação Especial - teste Joana - Deficiência Auditiva e Libras/a - Nota Máxima: 5</v>
      </c>
    </row>
    <row r="4910">
      <c r="A4910" s="390" t="str">
        <f>IFERROR(__xludf.DUMMYFUNCTION("""COMPUTED_VALUE"""),"#SLEEA - Segunda Licenciatura em Educação Especial - Segunda Licenciatura em Educação Especial - teste Joana - Educação Especial, Inclusão Escolar e Adaptações Curriculares - Nota Máxima: 2")</f>
        <v>#SLEEA - Segunda Licenciatura em Educação Especial - Segunda Licenciatura em Educação Especial - teste Joana - Educação Especial, Inclusão Escolar e Adaptações Curriculares - Nota Máxima: 2</v>
      </c>
    </row>
    <row r="4911">
      <c r="A4911" s="390" t="str">
        <f>IFERROR(__xludf.DUMMYFUNCTION("""COMPUTED_VALUE"""),"#SLEEA - Segunda Licenciatura em Educação Especial - Segunda Licenciatura em Educação Especial - teste Joana - Educação Especial, Inclusão Escolar e Adaptações Curriculares - Nota Máxima: 2")</f>
        <v>#SLEEA - Segunda Licenciatura em Educação Especial - Segunda Licenciatura em Educação Especial - teste Joana - Educação Especial, Inclusão Escolar e Adaptações Curriculares - Nota Máxima: 2</v>
      </c>
    </row>
    <row r="4912">
      <c r="A4912" s="390" t="str">
        <f>IFERROR(__xludf.DUMMYFUNCTION("""COMPUTED_VALUE"""),"#SLEEA - Segunda Licenciatura em Educação Especial - Segunda Licenciatura em Educação Especial - teste Joana - Fisiologia Humana - Nota Máxima: 4")</f>
        <v>#SLEEA - Segunda Licenciatura em Educação Especial - Segunda Licenciatura em Educação Especial - teste Joana - Fisiologia Humana - Nota Máxima: 4</v>
      </c>
    </row>
    <row r="4913">
      <c r="A4913" s="390" t="str">
        <f>IFERROR(__xludf.DUMMYFUNCTION("""COMPUTED_VALUE"""),"#SLEEA - Segunda Licenciatura em Educação Especial - Segunda Licenciatura em Educação Especial - teste Joana - Fisiologia Humana - Nota Máxima: 0")</f>
        <v>#SLEEA - Segunda Licenciatura em Educação Especial - Segunda Licenciatura em Educação Especial - teste Joana - Fisiologia Humana - Nota Máxima: 0</v>
      </c>
    </row>
    <row r="4914">
      <c r="A4914" s="390" t="str">
        <f>IFERROR(__xludf.DUMMYFUNCTION("""COMPUTED_VALUE"""),"#SLEEA - Segunda Licenciatura em Educação Especial - Segunda Licenciatura em Educação Especial - teste Joana - Legislação Educacional/a - Nota Máxima: 5")</f>
        <v>#SLEEA - Segunda Licenciatura em Educação Especial - Segunda Licenciatura em Educação Especial - teste Joana - Legislação Educacional/a - Nota Máxima: 5</v>
      </c>
    </row>
    <row r="4915">
      <c r="A4915" s="390" t="str">
        <f>IFERROR(__xludf.DUMMYFUNCTION("""COMPUTED_VALUE"""),"#SLEEA - Segunda Licenciatura em Educação Especial - Segunda Licenciatura em Educação Especial - teste Joana - Planejamento, Gestão Educacional e Currículo/a - Nota Máxima: 4")</f>
        <v>#SLEEA - Segunda Licenciatura em Educação Especial - Segunda Licenciatura em Educação Especial - teste Joana - Planejamento, Gestão Educacional e Currículo/a - Nota Máxima: 4</v>
      </c>
    </row>
    <row r="4916">
      <c r="A4916" s="390" t="str">
        <f>IFERROR(__xludf.DUMMYFUNCTION("""COMPUTED_VALUE"""),"#SLEEA - Segunda Licenciatura em Educação Especial - Segunda Licenciatura em Educação Especial - teste Joana - Planejamento, Gestão Educacional e Currículo/a - Nota Máxima: 0")</f>
        <v>#SLEEA - Segunda Licenciatura em Educação Especial - Segunda Licenciatura em Educação Especial - teste Joana - Planejamento, Gestão Educacional e Currículo/a - Nota Máxima: 0</v>
      </c>
    </row>
    <row r="4917">
      <c r="A4917" s="390" t="str">
        <f>IFERROR(__xludf.DUMMYFUNCTION("""COMPUTED_VALUE"""),"#SLEEA - Segunda Licenciatura em Educação Especial - Segunda Licenciatura em Educação Especial - teste Joana - Práticas Pedagógicas - 400 Horas - Nota Máxima: 0")</f>
        <v>#SLEEA - Segunda Licenciatura em Educação Especial - Segunda Licenciatura em Educação Especial - teste Joana - Práticas Pedagógicas - 400 Horas - Nota Máxima: 0</v>
      </c>
    </row>
    <row r="4918">
      <c r="A4918" s="390" t="str">
        <f>IFERROR(__xludf.DUMMYFUNCTION("""COMPUTED_VALUE"""),"#SLEEA - Segunda Licenciatura em Educação Especial - Segunda Licenciatura em Educação Especial - teste Joana - Psicologia da Educação/a - Nota Máxima: 5")</f>
        <v>#SLEEA - Segunda Licenciatura em Educação Especial - Segunda Licenciatura em Educação Especial - teste Joana - Psicologia da Educação/a - Nota Máxima: 5</v>
      </c>
    </row>
    <row r="4919">
      <c r="A4919" s="390" t="str">
        <f>IFERROR(__xludf.DUMMYFUNCTION("""COMPUTED_VALUE"""),"#SLEEA - Segunda Licenciatura em Educação Especial - Segunda Licenciatura em Educação Especial - Elisangela Maria de Oliveira - Atuação Docente na Educação Inclusiva - Nota Máxima: 9")</f>
        <v>#SLEEA - Segunda Licenciatura em Educação Especial - Segunda Licenciatura em Educação Especial - Elisangela Maria de Oliveira - Atuação Docente na Educação Inclusiva - Nota Máxima: 9</v>
      </c>
    </row>
    <row r="4920">
      <c r="A4920" s="390" t="str">
        <f>IFERROR(__xludf.DUMMYFUNCTION("""COMPUTED_VALUE"""),"#SLEEA - Segunda Licenciatura em Educação Especial - Segunda Licenciatura em Educação Especial - Elisangela Maria de Oliveira - Atuação Docente na Educação Inclusiva - Nota Máxima: 8")</f>
        <v>#SLEEA - Segunda Licenciatura em Educação Especial - Segunda Licenciatura em Educação Especial - Elisangela Maria de Oliveira - Atuação Docente na Educação Inclusiva - Nota Máxima: 8</v>
      </c>
    </row>
    <row r="4921">
      <c r="A4921" s="390" t="str">
        <f>IFERROR(__xludf.DUMMYFUNCTION("""COMPUTED_VALUE"""),"#SLEEA - Segunda Licenciatura em Educação Especial - Segunda Licenciatura em Educação Especial - Elisangela Maria de Oliveira - Cultura e Diversidade - Nota Máxima: 9")</f>
        <v>#SLEEA - Segunda Licenciatura em Educação Especial - Segunda Licenciatura em Educação Especial - Elisangela Maria de Oliveira - Cultura e Diversidade - Nota Máxima: 9</v>
      </c>
    </row>
    <row r="4922">
      <c r="A4922" s="390" t="str">
        <f>IFERROR(__xludf.DUMMYFUNCTION("""COMPUTED_VALUE"""),"#SLEEA - Segunda Licenciatura em Educação Especial - Segunda Licenciatura em Educação Especial - Elisangela Maria de Oliveira - Cultura e Diversidade - Nota Máxima: 9")</f>
        <v>#SLEEA - Segunda Licenciatura em Educação Especial - Segunda Licenciatura em Educação Especial - Elisangela Maria de Oliveira - Cultura e Diversidade - Nota Máxima: 9</v>
      </c>
    </row>
    <row r="4923">
      <c r="A4923" s="390" t="str">
        <f>IFERROR(__xludf.DUMMYFUNCTION("""COMPUTED_VALUE"""),"#SLEEA - Segunda Licenciatura em Educação Especial - Segunda Licenciatura em Educação Especial - Elisangela Maria de Oliveira - Deficiência Auditiva e Libras/a - Nota Máxima: 9")</f>
        <v>#SLEEA - Segunda Licenciatura em Educação Especial - Segunda Licenciatura em Educação Especial - Elisangela Maria de Oliveira - Deficiência Auditiva e Libras/a - Nota Máxima: 9</v>
      </c>
    </row>
    <row r="4924">
      <c r="A4924" s="390" t="str">
        <f>IFERROR(__xludf.DUMMYFUNCTION("""COMPUTED_VALUE"""),"#SLEEA - Segunda Licenciatura em Educação Especial - Segunda Licenciatura em Educação Especial - Elisangela Maria de Oliveira - Deficiência Auditiva e Libras/a - Nota Máxima: 7")</f>
        <v>#SLEEA - Segunda Licenciatura em Educação Especial - Segunda Licenciatura em Educação Especial - Elisangela Maria de Oliveira - Deficiência Auditiva e Libras/a - Nota Máxima: 7</v>
      </c>
    </row>
    <row r="4925">
      <c r="A4925" s="390" t="str">
        <f>IFERROR(__xludf.DUMMYFUNCTION("""COMPUTED_VALUE"""),"#SLEEA - Segunda Licenciatura em Educação Especial - Segunda Licenciatura em Educação Especial - Elisangela Maria de Oliveira - Educação e as Tic's - Nota Máxima: 9")</f>
        <v>#SLEEA - Segunda Licenciatura em Educação Especial - Segunda Licenciatura em Educação Especial - Elisangela Maria de Oliveira - Educação e as Tic's - Nota Máxima: 9</v>
      </c>
    </row>
    <row r="4926">
      <c r="A4926" s="390" t="str">
        <f>IFERROR(__xludf.DUMMYFUNCTION("""COMPUTED_VALUE"""),"#SLEEA - Segunda Licenciatura em Educação Especial - Segunda Licenciatura em Educação Especial - Elisangela Maria de Oliveira - Educação e as Tic's - Nota Máxima: 9")</f>
        <v>#SLEEA - Segunda Licenciatura em Educação Especial - Segunda Licenciatura em Educação Especial - Elisangela Maria de Oliveira - Educação e as Tic's - Nota Máxima: 9</v>
      </c>
    </row>
    <row r="4927">
      <c r="A4927" s="390" t="str">
        <f>IFERROR(__xludf.DUMMYFUNCTION("""COMPUTED_VALUE"""),"#SLEEA - Segunda Licenciatura em Educação Especial - Segunda Licenciatura em Educação Especial - Elisangela Maria de Oliveira - Educação em Direitos Humanos/a - Nota Máxima: 9")</f>
        <v>#SLEEA - Segunda Licenciatura em Educação Especial - Segunda Licenciatura em Educação Especial - Elisangela Maria de Oliveira - Educação em Direitos Humanos/a - Nota Máxima: 9</v>
      </c>
    </row>
    <row r="4928">
      <c r="A4928" s="390" t="str">
        <f>IFERROR(__xludf.DUMMYFUNCTION("""COMPUTED_VALUE"""),"#SLEEA - Segunda Licenciatura em Educação Especial - Segunda Licenciatura em Educação Especial - Elisangela Maria de Oliveira - Educação em Direitos Humanos/a - Nota Máxima: 8")</f>
        <v>#SLEEA - Segunda Licenciatura em Educação Especial - Segunda Licenciatura em Educação Especial - Elisangela Maria de Oliveira - Educação em Direitos Humanos/a - Nota Máxima: 8</v>
      </c>
    </row>
    <row r="4929">
      <c r="A4929" s="390" t="str">
        <f>IFERROR(__xludf.DUMMYFUNCTION("""COMPUTED_VALUE"""),"#SLEEA - Segunda Licenciatura em Educação Especial - Segunda Licenciatura em Educação Especial - Elisangela Maria de Oliveira - Educação Especial - Nota Máxima: 9")</f>
        <v>#SLEEA - Segunda Licenciatura em Educação Especial - Segunda Licenciatura em Educação Especial - Elisangela Maria de Oliveira - Educação Especial - Nota Máxima: 9</v>
      </c>
    </row>
    <row r="4930">
      <c r="A4930" s="390" t="str">
        <f>IFERROR(__xludf.DUMMYFUNCTION("""COMPUTED_VALUE"""),"#SLEEA - Segunda Licenciatura em Educação Especial - Segunda Licenciatura em Educação Especial - Elisangela Maria de Oliveira - Educação Especial - Nota Máxima: 6")</f>
        <v>#SLEEA - Segunda Licenciatura em Educação Especial - Segunda Licenciatura em Educação Especial - Elisangela Maria de Oliveira - Educação Especial - Nota Máxima: 6</v>
      </c>
    </row>
    <row r="4931">
      <c r="A4931" s="390" t="str">
        <f>IFERROR(__xludf.DUMMYFUNCTION("""COMPUTED_VALUE"""),"#SLEEA - Segunda Licenciatura em Educação Especial - Segunda Licenciatura em Educação Especial - Elisangela Maria de Oliveira - Educação Especial, Inclusão Escolar e Adaptações Curriculares - Nota Máxima: 9")</f>
        <v>#SLEEA - Segunda Licenciatura em Educação Especial - Segunda Licenciatura em Educação Especial - Elisangela Maria de Oliveira - Educação Especial, Inclusão Escolar e Adaptações Curriculares - Nota Máxima: 9</v>
      </c>
    </row>
    <row r="4932">
      <c r="A4932" s="390" t="str">
        <f>IFERROR(__xludf.DUMMYFUNCTION("""COMPUTED_VALUE"""),"#SLEEA - Segunda Licenciatura em Educação Especial - Segunda Licenciatura em Educação Especial - Elisangela Maria de Oliveira - Educação Especial, Inclusão Escolar e Adaptações Curriculares - Nota Máxima: 8")</f>
        <v>#SLEEA - Segunda Licenciatura em Educação Especial - Segunda Licenciatura em Educação Especial - Elisangela Maria de Oliveira - Educação Especial, Inclusão Escolar e Adaptações Curriculares - Nota Máxima: 8</v>
      </c>
    </row>
    <row r="4933">
      <c r="A4933" s="390" t="str">
        <f>IFERROR(__xludf.DUMMYFUNCTION("""COMPUTED_VALUE"""),"#SLEEA - Segunda Licenciatura em Educação Especial - Segunda Licenciatura em Educação Especial - Elisangela Maria de Oliveira - Fisiologia Humana - Nota Máxima: 9")</f>
        <v>#SLEEA - Segunda Licenciatura em Educação Especial - Segunda Licenciatura em Educação Especial - Elisangela Maria de Oliveira - Fisiologia Humana - Nota Máxima: 9</v>
      </c>
    </row>
    <row r="4934">
      <c r="A4934" s="390" t="str">
        <f>IFERROR(__xludf.DUMMYFUNCTION("""COMPUTED_VALUE"""),"#SLEEA - Segunda Licenciatura em Educação Especial - Segunda Licenciatura em Educação Especial - Elisangela Maria de Oliveira - Fisiologia Humana - Nota Máxima: 4")</f>
        <v>#SLEEA - Segunda Licenciatura em Educação Especial - Segunda Licenciatura em Educação Especial - Elisangela Maria de Oliveira - Fisiologia Humana - Nota Máxima: 4</v>
      </c>
    </row>
    <row r="4935">
      <c r="A4935" s="390" t="str">
        <f>IFERROR(__xludf.DUMMYFUNCTION("""COMPUTED_VALUE"""),"#SLEEA - Segunda Licenciatura em Educação Especial - Segunda Licenciatura em Educação Especial - Elisangela Maria de Oliveira - Jogos e Recreação - Nota Máxima: 9")</f>
        <v>#SLEEA - Segunda Licenciatura em Educação Especial - Segunda Licenciatura em Educação Especial - Elisangela Maria de Oliveira - Jogos e Recreação - Nota Máxima: 9</v>
      </c>
    </row>
    <row r="4936">
      <c r="A4936" s="390" t="str">
        <f>IFERROR(__xludf.DUMMYFUNCTION("""COMPUTED_VALUE"""),"#SLEEA - Segunda Licenciatura em Educação Especial - Segunda Licenciatura em Educação Especial - Elisangela Maria de Oliveira - Jogos e Recreação - Nota Máxima: 9")</f>
        <v>#SLEEA - Segunda Licenciatura em Educação Especial - Segunda Licenciatura em Educação Especial - Elisangela Maria de Oliveira - Jogos e Recreação - Nota Máxima: 9</v>
      </c>
    </row>
    <row r="4937">
      <c r="A4937" s="390" t="str">
        <f>IFERROR(__xludf.DUMMYFUNCTION("""COMPUTED_VALUE"""),"#SLEEA - Segunda Licenciatura em Educação Especial - Segunda Licenciatura em Educação Especial - Elisangela Maria de Oliveira - Legislação e Políticas para Educação Inclusiva e Especial - Nota Máxima: 9")</f>
        <v>#SLEEA - Segunda Licenciatura em Educação Especial - Segunda Licenciatura em Educação Especial - Elisangela Maria de Oliveira - Legislação e Políticas para Educação Inclusiva e Especial - Nota Máxima: 9</v>
      </c>
    </row>
    <row r="4938">
      <c r="A4938" s="390" t="str">
        <f>IFERROR(__xludf.DUMMYFUNCTION("""COMPUTED_VALUE"""),"#SLEEA - Segunda Licenciatura em Educação Especial - Segunda Licenciatura em Educação Especial - Elisangela Maria de Oliveira - Legislação e Políticas para Educação Inclusiva e Especial - Nota Máxima: 6")</f>
        <v>#SLEEA - Segunda Licenciatura em Educação Especial - Segunda Licenciatura em Educação Especial - Elisangela Maria de Oliveira - Legislação e Políticas para Educação Inclusiva e Especial - Nota Máxima: 6</v>
      </c>
    </row>
    <row r="4939">
      <c r="A4939" s="390" t="str">
        <f>IFERROR(__xludf.DUMMYFUNCTION("""COMPUTED_VALUE"""),"#SLEEA - Segunda Licenciatura em Educação Especial - Segunda Licenciatura em Educação Especial - Elisangela Maria de Oliveira - Legislação Educacional/a - Nota Máxima: 8")</f>
        <v>#SLEEA - Segunda Licenciatura em Educação Especial - Segunda Licenciatura em Educação Especial - Elisangela Maria de Oliveira - Legislação Educacional/a - Nota Máxima: 8</v>
      </c>
    </row>
    <row r="4940">
      <c r="A4940" s="390" t="str">
        <f>IFERROR(__xludf.DUMMYFUNCTION("""COMPUTED_VALUE"""),"#SLEEA - Segunda Licenciatura em Educação Especial - Segunda Licenciatura em Educação Especial - Elisangela Maria de Oliveira - Legislação Educacional/a - Nota Máxima: 7")</f>
        <v>#SLEEA - Segunda Licenciatura em Educação Especial - Segunda Licenciatura em Educação Especial - Elisangela Maria de Oliveira - Legislação Educacional/a - Nota Máxima: 7</v>
      </c>
    </row>
    <row r="4941">
      <c r="A4941" s="390" t="str">
        <f>IFERROR(__xludf.DUMMYFUNCTION("""COMPUTED_VALUE"""),"#SLEEA - Segunda Licenciatura em Educação Especial - Segunda Licenciatura em Educação Especial - Elisangela Maria de Oliveira - Planejamento, Gestão Educacional e Currículo/a - Nota Máxima: 9")</f>
        <v>#SLEEA - Segunda Licenciatura em Educação Especial - Segunda Licenciatura em Educação Especial - Elisangela Maria de Oliveira - Planejamento, Gestão Educacional e Currículo/a - Nota Máxima: 9</v>
      </c>
    </row>
    <row r="4942">
      <c r="A4942" s="390" t="str">
        <f>IFERROR(__xludf.DUMMYFUNCTION("""COMPUTED_VALUE"""),"#SLEEA - Segunda Licenciatura em Educação Especial - Segunda Licenciatura em Educação Especial - Elisangela Maria de Oliveira - Planejamento, Gestão Educacional e Currículo/a - Nota Máxima: 9")</f>
        <v>#SLEEA - Segunda Licenciatura em Educação Especial - Segunda Licenciatura em Educação Especial - Elisangela Maria de Oliveira - Planejamento, Gestão Educacional e Currículo/a - Nota Máxima: 9</v>
      </c>
    </row>
    <row r="4943">
      <c r="A4943" s="390" t="str">
        <f>IFERROR(__xludf.DUMMYFUNCTION("""COMPUTED_VALUE"""),"#SLEEA - Segunda Licenciatura em Educação Especial - Segunda Licenciatura em Educação Especial - Elisangela Maria de Oliveira - Práticas Pedagógicas - 400 Horas - Nota Máxima: 4")</f>
        <v>#SLEEA - Segunda Licenciatura em Educação Especial - Segunda Licenciatura em Educação Especial - Elisangela Maria de Oliveira - Práticas Pedagógicas - 400 Horas - Nota Máxima: 4</v>
      </c>
    </row>
    <row r="4944">
      <c r="A4944" s="390" t="str">
        <f>IFERROR(__xludf.DUMMYFUNCTION("""COMPUTED_VALUE"""),"#SLEEA - Segunda Licenciatura em Educação Especial - Segunda Licenciatura em Educação Especial - Elisangela Maria de Oliveira - Práticas Pedagógicas - 400 Horas - Nota Máxima: 3")</f>
        <v>#SLEEA - Segunda Licenciatura em Educação Especial - Segunda Licenciatura em Educação Especial - Elisangela Maria de Oliveira - Práticas Pedagógicas - 400 Horas - Nota Máxima: 3</v>
      </c>
    </row>
    <row r="4945">
      <c r="A4945" s="390" t="str">
        <f>IFERROR(__xludf.DUMMYFUNCTION("""COMPUTED_VALUE"""),"#SLEEA - Segunda Licenciatura em Educação Especial - Segunda Licenciatura em Educação Especial - Elisangela Maria de Oliveira - Psicologia da Educação/a - Nota Máxima: 9")</f>
        <v>#SLEEA - Segunda Licenciatura em Educação Especial - Segunda Licenciatura em Educação Especial - Elisangela Maria de Oliveira - Psicologia da Educação/a - Nota Máxima: 9</v>
      </c>
    </row>
    <row r="4946">
      <c r="A4946" s="390" t="str">
        <f>IFERROR(__xludf.DUMMYFUNCTION("""COMPUTED_VALUE"""),"#SLEEA - Segunda Licenciatura em Educação Especial - Segunda Licenciatura em Educação Especial - Elisangela Maria de Oliveira - Psicologia da Educação/a - Nota Máxima: 5")</f>
        <v>#SLEEA - Segunda Licenciatura em Educação Especial - Segunda Licenciatura em Educação Especial - Elisangela Maria de Oliveira - Psicologia da Educação/a - Nota Máxima: 5</v>
      </c>
    </row>
    <row r="4947">
      <c r="A4947" s="390" t="str">
        <f>IFERROR(__xludf.DUMMYFUNCTION("""COMPUTED_VALUE"""),"#SLEEA - Segunda Licenciatura em Educação Especial - Segunda Licenciatura em Educação Especial - Lucicleide Paz da Silva - Atuação Docente na Educação Inclusiva - Nota Máxima: 8")</f>
        <v>#SLEEA - Segunda Licenciatura em Educação Especial - Segunda Licenciatura em Educação Especial - Lucicleide Paz da Silva - Atuação Docente na Educação Inclusiva - Nota Máxima: 8</v>
      </c>
    </row>
    <row r="4948">
      <c r="A4948" s="390" t="str">
        <f>IFERROR(__xludf.DUMMYFUNCTION("""COMPUTED_VALUE"""),"#SLEEA - Segunda Licenciatura em Educação Especial - Segunda Licenciatura em Educação Especial - Lucicleide Paz da Silva - Cultura e Diversidade - Nota Máxima: 9")</f>
        <v>#SLEEA - Segunda Licenciatura em Educação Especial - Segunda Licenciatura em Educação Especial - Lucicleide Paz da Silva - Cultura e Diversidade - Nota Máxima: 9</v>
      </c>
    </row>
    <row r="4949">
      <c r="A4949" s="390" t="str">
        <f>IFERROR(__xludf.DUMMYFUNCTION("""COMPUTED_VALUE"""),"#SLEEA - Segunda Licenciatura em Educação Especial - Segunda Licenciatura em Educação Especial - Lucicleide Paz da Silva - Deficiência Auditiva e Libras/a - Nota Máxima: 8")</f>
        <v>#SLEEA - Segunda Licenciatura em Educação Especial - Segunda Licenciatura em Educação Especial - Lucicleide Paz da Silva - Deficiência Auditiva e Libras/a - Nota Máxima: 8</v>
      </c>
    </row>
    <row r="4950">
      <c r="A4950" s="390" t="str">
        <f>IFERROR(__xludf.DUMMYFUNCTION("""COMPUTED_VALUE"""),"#SLEEA - Segunda Licenciatura em Educação Especial - Segunda Licenciatura em Educação Especial - Lucicleide Paz da Silva - Educação e as Tic's - Nota Máxima: 7")</f>
        <v>#SLEEA - Segunda Licenciatura em Educação Especial - Segunda Licenciatura em Educação Especial - Lucicleide Paz da Silva - Educação e as Tic's - Nota Máxima: 7</v>
      </c>
    </row>
    <row r="4951">
      <c r="A4951" s="390" t="str">
        <f>IFERROR(__xludf.DUMMYFUNCTION("""COMPUTED_VALUE"""),"#SLEEA - Segunda Licenciatura em Educação Especial - Segunda Licenciatura em Educação Especial - Lucicleide Paz da Silva - Educação em Direitos Humanos/a - Nota Máxima: 8")</f>
        <v>#SLEEA - Segunda Licenciatura em Educação Especial - Segunda Licenciatura em Educação Especial - Lucicleide Paz da Silva - Educação em Direitos Humanos/a - Nota Máxima: 8</v>
      </c>
    </row>
    <row r="4952">
      <c r="A4952" s="390" t="str">
        <f>IFERROR(__xludf.DUMMYFUNCTION("""COMPUTED_VALUE"""),"#SLEEA - Segunda Licenciatura em Educação Especial - Segunda Licenciatura em Educação Especial - Lucicleide Paz da Silva - Educação Especial - Nota Máxima: 9")</f>
        <v>#SLEEA - Segunda Licenciatura em Educação Especial - Segunda Licenciatura em Educação Especial - Lucicleide Paz da Silva - Educação Especial - Nota Máxima: 9</v>
      </c>
    </row>
    <row r="4953">
      <c r="A4953" s="390" t="str">
        <f>IFERROR(__xludf.DUMMYFUNCTION("""COMPUTED_VALUE"""),"#SLEEA - Segunda Licenciatura em Educação Especial - Segunda Licenciatura em Educação Especial - Lucicleide Paz da Silva - Educação Especial, Inclusão Escolar e Adaptações Curriculares - Nota Máxima: 9")</f>
        <v>#SLEEA - Segunda Licenciatura em Educação Especial - Segunda Licenciatura em Educação Especial - Lucicleide Paz da Silva - Educação Especial, Inclusão Escolar e Adaptações Curriculares - Nota Máxima: 9</v>
      </c>
    </row>
    <row r="4954">
      <c r="A4954" s="390" t="str">
        <f>IFERROR(__xludf.DUMMYFUNCTION("""COMPUTED_VALUE"""),"#SLEEA - Segunda Licenciatura em Educação Especial - Segunda Licenciatura em Educação Especial - Lucicleide Paz da Silva - Fisiologia Humana - Nota Máxima: 9")</f>
        <v>#SLEEA - Segunda Licenciatura em Educação Especial - Segunda Licenciatura em Educação Especial - Lucicleide Paz da Silva - Fisiologia Humana - Nota Máxima: 9</v>
      </c>
    </row>
    <row r="4955">
      <c r="A4955" s="390" t="str">
        <f>IFERROR(__xludf.DUMMYFUNCTION("""COMPUTED_VALUE"""),"#SLEEA - Segunda Licenciatura em Educação Especial - Segunda Licenciatura em Educação Especial - Lucicleide Paz da Silva - Jogos e Recreação - Nota Máxima: 8")</f>
        <v>#SLEEA - Segunda Licenciatura em Educação Especial - Segunda Licenciatura em Educação Especial - Lucicleide Paz da Silva - Jogos e Recreação - Nota Máxima: 8</v>
      </c>
    </row>
    <row r="4956">
      <c r="A4956" s="390" t="str">
        <f>IFERROR(__xludf.DUMMYFUNCTION("""COMPUTED_VALUE"""),"#SLEEA - Segunda Licenciatura em Educação Especial - Segunda Licenciatura em Educação Especial - Lucicleide Paz da Silva - Legislação e Políticas para Educação Inclusiva e Especial - Nota Máxima: 8")</f>
        <v>#SLEEA - Segunda Licenciatura em Educação Especial - Segunda Licenciatura em Educação Especial - Lucicleide Paz da Silva - Legislação e Políticas para Educação Inclusiva e Especial - Nota Máxima: 8</v>
      </c>
    </row>
    <row r="4957">
      <c r="A4957" s="390" t="str">
        <f>IFERROR(__xludf.DUMMYFUNCTION("""COMPUTED_VALUE"""),"#SLEEA - Segunda Licenciatura em Educação Especial - Segunda Licenciatura em Educação Especial - Lucicleide Paz da Silva - Legislação Educacional/a - Nota Máxima: 9")</f>
        <v>#SLEEA - Segunda Licenciatura em Educação Especial - Segunda Licenciatura em Educação Especial - Lucicleide Paz da Silva - Legislação Educacional/a - Nota Máxima: 9</v>
      </c>
    </row>
    <row r="4958">
      <c r="A4958" s="390" t="str">
        <f>IFERROR(__xludf.DUMMYFUNCTION("""COMPUTED_VALUE"""),"#SLEEA - Segunda Licenciatura em Educação Especial - Segunda Licenciatura em Educação Especial - Lucicleide Paz da Silva - Planejamento, Gestão Educacional e Currículo/a - Nota Máxima: 9")</f>
        <v>#SLEEA - Segunda Licenciatura em Educação Especial - Segunda Licenciatura em Educação Especial - Lucicleide Paz da Silva - Planejamento, Gestão Educacional e Currículo/a - Nota Máxima: 9</v>
      </c>
    </row>
    <row r="4959">
      <c r="A4959" s="390" t="str">
        <f>IFERROR(__xludf.DUMMYFUNCTION("""COMPUTED_VALUE"""),"#SLEEA - Segunda Licenciatura em Educação Especial - Segunda Licenciatura em Educação Especial - Lucicleide Paz da Silva - Práticas Pedagógicas - 400 Horas - Nota Máxima: 45784")</f>
        <v>#SLEEA - Segunda Licenciatura em Educação Especial - Segunda Licenciatura em Educação Especial - Lucicleide Paz da Silva - Práticas Pedagógicas - 400 Horas - Nota Máxima: 45784</v>
      </c>
    </row>
    <row r="4960">
      <c r="A4960" s="390" t="str">
        <f>IFERROR(__xludf.DUMMYFUNCTION("""COMPUTED_VALUE"""),"#SLEEA - Segunda Licenciatura em Educação Especial - Segunda Licenciatura em Educação Especial - Lucicleide Paz da Silva - Práticas Pedagógicas - 400 Horas - Nota Máxima: 45784")</f>
        <v>#SLEEA - Segunda Licenciatura em Educação Especial - Segunda Licenciatura em Educação Especial - Lucicleide Paz da Silva - Práticas Pedagógicas - 400 Horas - Nota Máxima: 45784</v>
      </c>
    </row>
    <row r="4961">
      <c r="A4961" s="390" t="str">
        <f>IFERROR(__xludf.DUMMYFUNCTION("""COMPUTED_VALUE"""),"#SLEEA - Segunda Licenciatura em Educação Especial - Segunda Licenciatura em Educação Especial - Lucicleide Paz da Silva - Psicologia da Educação/a - Nota Máxima: 8")</f>
        <v>#SLEEA - Segunda Licenciatura em Educação Especial - Segunda Licenciatura em Educação Especial - Lucicleide Paz da Silva - Psicologia da Educação/a - Nota Máxima: 8</v>
      </c>
    </row>
    <row r="4962">
      <c r="A4962" s="390" t="str">
        <f>IFERROR(__xludf.DUMMYFUNCTION("""COMPUTED_VALUE"""),"Formação Pedagógica em Educação Especial - Formação Pedagógica em Educação Especial - JOSY MICHELLY FERREIRA DA COSTA NUNES - Atuação Docente na Educação Inclusiva - Nota Máxima: 10")</f>
        <v>Formação Pedagógica em Educação Especial - Formação Pedagógica em Educação Especial - JOSY MICHELLY FERREIRA DA COSTA NUNES - Atuação Docente na Educação Inclusiva - Nota Máxima: 10</v>
      </c>
    </row>
    <row r="4963">
      <c r="A4963" s="390" t="str">
        <f>IFERROR(__xludf.DUMMYFUNCTION("""COMPUTED_VALUE"""),"Formação Pedagógica em Educação Especial - Formação Pedagógica em Educação Especial - JOSY MICHELLY FERREIRA DA COSTA NUNES - Atuação Docente na Educação Inclusiva - Nota Máxima: 10")</f>
        <v>Formação Pedagógica em Educação Especial - Formação Pedagógica em Educação Especial - JOSY MICHELLY FERREIRA DA COSTA NUNES - Atuação Docente na Educação Inclusiva - Nota Máxima: 10</v>
      </c>
    </row>
    <row r="4964">
      <c r="A4964" s="390" t="str">
        <f>IFERROR(__xludf.DUMMYFUNCTION("""COMPUTED_VALUE"""),"Formação Pedagógica em Educação Especial - Formação Pedagógica em Educação Especial - JOSY MICHELLY FERREIRA DA COSTA NUNES - Educação e as Tic's - Nota Máxima: 10")</f>
        <v>Formação Pedagógica em Educação Especial - Formação Pedagógica em Educação Especial - JOSY MICHELLY FERREIRA DA COSTA NUNES - Educação e as Tic's - Nota Máxima: 10</v>
      </c>
    </row>
    <row r="4965">
      <c r="A4965" s="390" t="str">
        <f>IFERROR(__xludf.DUMMYFUNCTION("""COMPUTED_VALUE"""),"Formação Pedagógica em Educação Especial - Formação Pedagógica em Educação Especial - JOSY MICHELLY FERREIRA DA COSTA NUNES - Educação e as Tic's - Nota Máxima: 8")</f>
        <v>Formação Pedagógica em Educação Especial - Formação Pedagógica em Educação Especial - JOSY MICHELLY FERREIRA DA COSTA NUNES - Educação e as Tic's - Nota Máxima: 8</v>
      </c>
    </row>
    <row r="4966">
      <c r="A4966" s="390" t="str">
        <f>IFERROR(__xludf.DUMMYFUNCTION("""COMPUTED_VALUE"""),"Formação Pedagógica em Educação Especial - Formação Pedagógica em Educação Especial - JOSY MICHELLY FERREIRA DA COSTA NUNES - Educação em Direitos Humanos/a - Nota Máxima: 10")</f>
        <v>Formação Pedagógica em Educação Especial - Formação Pedagógica em Educação Especial - JOSY MICHELLY FERREIRA DA COSTA NUNES - Educação em Direitos Humanos/a - Nota Máxima: 10</v>
      </c>
    </row>
    <row r="4967">
      <c r="A4967" s="390" t="str">
        <f>IFERROR(__xludf.DUMMYFUNCTION("""COMPUTED_VALUE"""),"Formação Pedagógica em Educação Especial - Formação Pedagógica em Educação Especial - JOSY MICHELLY FERREIRA DA COSTA NUNES - Educação em Direitos Humanos/a - Nota Máxima: 10")</f>
        <v>Formação Pedagógica em Educação Especial - Formação Pedagógica em Educação Especial - JOSY MICHELLY FERREIRA DA COSTA NUNES - Educação em Direitos Humanos/a - Nota Máxima: 10</v>
      </c>
    </row>
    <row r="4968">
      <c r="A4968" s="390" t="str">
        <f>IFERROR(__xludf.DUMMYFUNCTION("""COMPUTED_VALUE"""),"Formação Pedagógica em Educação Especial - Formação Pedagógica em Educação Especial - JOSY MICHELLY FERREIRA DA COSTA NUNES - Educação Especial, Inclusão Escolar e Adaptações Curriculares - Nota Máxima: 10")</f>
        <v>Formação Pedagógica em Educação Especial - Formação Pedagógica em Educação Especial - JOSY MICHELLY FERREIRA DA COSTA NUNES - Educação Especial, Inclusão Escolar e Adaptações Curriculares - Nota Máxima: 10</v>
      </c>
    </row>
    <row r="4969">
      <c r="A4969" s="390" t="str">
        <f>IFERROR(__xludf.DUMMYFUNCTION("""COMPUTED_VALUE"""),"Formação Pedagógica em Educação Especial - Formação Pedagógica em Educação Especial - JOSY MICHELLY FERREIRA DA COSTA NUNES - Educação Especial, Inclusão Escolar e Adaptações Curriculares - Nota Máxima: 10")</f>
        <v>Formação Pedagógica em Educação Especial - Formação Pedagógica em Educação Especial - JOSY MICHELLY FERREIRA DA COSTA NUNES - Educação Especial, Inclusão Escolar e Adaptações Curriculares - Nota Máxima: 10</v>
      </c>
    </row>
    <row r="4970">
      <c r="A4970" s="390" t="str">
        <f>IFERROR(__xludf.DUMMYFUNCTION("""COMPUTED_VALUE"""),"Formação Pedagógica em Educação Especial - Formação Pedagógica em Educação Especial - JOSY MICHELLY FERREIRA DA COSTA NUNES - Fisiologia Humana - Nota Máxima: 10")</f>
        <v>Formação Pedagógica em Educação Especial - Formação Pedagógica em Educação Especial - JOSY MICHELLY FERREIRA DA COSTA NUNES - Fisiologia Humana - Nota Máxima: 10</v>
      </c>
    </row>
    <row r="4971">
      <c r="A4971" s="390" t="str">
        <f>IFERROR(__xludf.DUMMYFUNCTION("""COMPUTED_VALUE"""),"Formação Pedagógica em Educação Especial - Formação Pedagógica em Educação Especial - JOSY MICHELLY FERREIRA DA COSTA NUNES - Jogos e Recreação - Nota Máxima: 10")</f>
        <v>Formação Pedagógica em Educação Especial - Formação Pedagógica em Educação Especial - JOSY MICHELLY FERREIRA DA COSTA NUNES - Jogos e Recreação - Nota Máxima: 10</v>
      </c>
    </row>
    <row r="4972">
      <c r="A4972" s="390" t="str">
        <f>IFERROR(__xludf.DUMMYFUNCTION("""COMPUTED_VALUE"""),"Formação Pedagógica em Educação Especial - Formação Pedagógica em Educação Especial - JOSY MICHELLY FERREIRA DA COSTA NUNES - Jogos e Recreação - Nota Máxima: 10")</f>
        <v>Formação Pedagógica em Educação Especial - Formação Pedagógica em Educação Especial - JOSY MICHELLY FERREIRA DA COSTA NUNES - Jogos e Recreação - Nota Máxima: 10</v>
      </c>
    </row>
    <row r="4973">
      <c r="A4973" s="390" t="str">
        <f>IFERROR(__xludf.DUMMYFUNCTION("""COMPUTED_VALUE"""),"Formação Pedagógica em Educação Especial - Formação Pedagógica em Educação Especial - JOSY MICHELLY FERREIRA DA COSTA NUNES - Legislação e Políticas para Educação Inclusiva e Especial - Nota Máxima: 10")</f>
        <v>Formação Pedagógica em Educação Especial - Formação Pedagógica em Educação Especial - JOSY MICHELLY FERREIRA DA COSTA NUNES - Legislação e Políticas para Educação Inclusiva e Especial - Nota Máxima: 10</v>
      </c>
    </row>
    <row r="4974">
      <c r="A4974" s="390" t="str">
        <f>IFERROR(__xludf.DUMMYFUNCTION("""COMPUTED_VALUE"""),"Formação Pedagógica em Educação Especial - Formação Pedagógica em Educação Especial - JOSY MICHELLY FERREIRA DA COSTA NUNES - Legislação e Políticas para Educação Inclusiva e Especial - Nota Máxima: 6")</f>
        <v>Formação Pedagógica em Educação Especial - Formação Pedagógica em Educação Especial - JOSY MICHELLY FERREIRA DA COSTA NUNES - Legislação e Políticas para Educação Inclusiva e Especial - Nota Máxima: 6</v>
      </c>
    </row>
    <row r="4975">
      <c r="A4975" s="390" t="str">
        <f>IFERROR(__xludf.DUMMYFUNCTION("""COMPUTED_VALUE"""),"Formação Pedagógica em Educação Especial - Formação Pedagógica em Educação Especial - JOSY MICHELLY FERREIRA DA COSTA NUNES - Planejamento, Gestão Educacional e Currículo/a - Nota Máxima: 10")</f>
        <v>Formação Pedagógica em Educação Especial - Formação Pedagógica em Educação Especial - JOSY MICHELLY FERREIRA DA COSTA NUNES - Planejamento, Gestão Educacional e Currículo/a - Nota Máxima: 10</v>
      </c>
    </row>
    <row r="4976">
      <c r="A4976" s="390" t="str">
        <f>IFERROR(__xludf.DUMMYFUNCTION("""COMPUTED_VALUE"""),"Formação Pedagógica em Educação Especial - Formação Pedagógica em Educação Especial - JOSY MICHELLY FERREIRA DA COSTA NUNES - Planejamento, Gestão Educacional e Currículo/a - Nota Máxima: 10")</f>
        <v>Formação Pedagógica em Educação Especial - Formação Pedagógica em Educação Especial - JOSY MICHELLY FERREIRA DA COSTA NUNES - Planejamento, Gestão Educacional e Currículo/a - Nota Máxima: 10</v>
      </c>
    </row>
    <row r="4977">
      <c r="A4977" s="390" t="str">
        <f>IFERROR(__xludf.DUMMYFUNCTION("""COMPUTED_VALUE"""),"Formação Pedagógica em Educação Especial - Formação Pedagógica em Educação Especial - JOSY MICHELLY FERREIRA DA COSTA NUNES - Práticas Pedagógicas - 400 Horas - Nota Máxima: 10")</f>
        <v>Formação Pedagógica em Educação Especial - Formação Pedagógica em Educação Especial - JOSY MICHELLY FERREIRA DA COSTA NUNES - Práticas Pedagógicas - 400 Horas - Nota Máxima: 10</v>
      </c>
    </row>
    <row r="4978">
      <c r="A4978" s="390" t="str">
        <f>IFERROR(__xludf.DUMMYFUNCTION("""COMPUTED_VALUE"""),"Formação Pedagógica em Educação Especial - Formação Pedagógica em Educação Especial - JOSY MICHELLY FERREIRA DA COSTA NUNES - Práticas Pedagógicas - 400 Horas - Nota Máxima: 10")</f>
        <v>Formação Pedagógica em Educação Especial - Formação Pedagógica em Educação Especial - JOSY MICHELLY FERREIRA DA COSTA NUNES - Práticas Pedagógicas - 400 Horas - Nota Máxima: 10</v>
      </c>
    </row>
    <row r="4979">
      <c r="A4979" s="390" t="str">
        <f>IFERROR(__xludf.DUMMYFUNCTION("""COMPUTED_VALUE"""),"Formação Pedagógica em Educação Especial - Formação Pedagógica em Educação Especial - JOSY MICHELLY FERREIRA DA COSTA NUNES - Psicologia da Educação/a - Nota Máxima: 10")</f>
        <v>Formação Pedagógica em Educação Especial - Formação Pedagógica em Educação Especial - JOSY MICHELLY FERREIRA DA COSTA NUNES - Psicologia da Educação/a - Nota Máxima: 10</v>
      </c>
    </row>
    <row r="4980">
      <c r="A4980" s="390" t="str">
        <f>IFERROR(__xludf.DUMMYFUNCTION("""COMPUTED_VALUE"""),"Formação Pedagógica em Educação Especial - Formação Pedagógica em Educação Especial - JOSY MICHELLY FERREIRA DA COSTA NUNES - Psicologia da Educação/a - Nota Máxima: 7")</f>
        <v>Formação Pedagógica em Educação Especial - Formação Pedagógica em Educação Especial - JOSY MICHELLY FERREIRA DA COSTA NUNES - Psicologia da Educação/a - Nota Máxima: 7</v>
      </c>
    </row>
    <row r="4981">
      <c r="A4981" s="390" t="str">
        <f>IFERROR(__xludf.DUMMYFUNCTION("""COMPUTED_VALUE"""),"Formação Pedagógica em Educação Especial - Formação Pedagógica em Educação Especial - JOSY MICHELLY FERREIRA DA COSTA NUNES - Psicomotricidade e Ludopedagogia - Nota Máxima: 10")</f>
        <v>Formação Pedagógica em Educação Especial - Formação Pedagógica em Educação Especial - JOSY MICHELLY FERREIRA DA COSTA NUNES - Psicomotricidade e Ludopedagogia - Nota Máxima: 10</v>
      </c>
    </row>
    <row r="4982">
      <c r="A4982" s="390" t="str">
        <f>IFERROR(__xludf.DUMMYFUNCTION("""COMPUTED_VALUE"""),"Formação Pedagógica em Educação Especial - Formação Pedagógica em Educação Especial - JOSY MICHELLY FERREIRA DA COSTA NUNES - Psicomotricidade e Ludopedagogia - Nota Máxima: 10")</f>
        <v>Formação Pedagógica em Educação Especial - Formação Pedagógica em Educação Especial - JOSY MICHELLY FERREIRA DA COSTA NUNES - Psicomotricidade e Ludopedagogia - Nota Máxima: 10</v>
      </c>
    </row>
    <row r="4983">
      <c r="A4983" s="390" t="str">
        <f>IFERROR(__xludf.DUMMYFUNCTION("""COMPUTED_VALUE"""),"Formação Pedagógica em Educação Especial - Formação Pedagógica em Educação Especial - Lincio Júnior Assunção Nogueira - Atuação Docente na Educação Inclusiva - Nota Máxima: 10")</f>
        <v>Formação Pedagógica em Educação Especial - Formação Pedagógica em Educação Especial - Lincio Júnior Assunção Nogueira - Atuação Docente na Educação Inclusiva - Nota Máxima: 10</v>
      </c>
    </row>
    <row r="4984">
      <c r="A4984" s="390" t="str">
        <f>IFERROR(__xludf.DUMMYFUNCTION("""COMPUTED_VALUE"""),"Formação Pedagógica em Educação Especial - Formação Pedagógica em Educação Especial - Lincio Júnior Assunção Nogueira - Atuação Docente na Educação Inclusiva - Nota Máxima: 9")</f>
        <v>Formação Pedagógica em Educação Especial - Formação Pedagógica em Educação Especial - Lincio Júnior Assunção Nogueira - Atuação Docente na Educação Inclusiva - Nota Máxima: 9</v>
      </c>
    </row>
    <row r="4985">
      <c r="A4985" s="390" t="str">
        <f>IFERROR(__xludf.DUMMYFUNCTION("""COMPUTED_VALUE"""),"Formação Pedagógica em Educação Especial - Formação Pedagógica em Educação Especial - Lincio Júnior Assunção Nogueira - Deficiência Auditiva e Libras/a - Nota Máxima: 10")</f>
        <v>Formação Pedagógica em Educação Especial - Formação Pedagógica em Educação Especial - Lincio Júnior Assunção Nogueira - Deficiência Auditiva e Libras/a - Nota Máxima: 10</v>
      </c>
    </row>
    <row r="4986">
      <c r="A4986" s="390" t="str">
        <f>IFERROR(__xludf.DUMMYFUNCTION("""COMPUTED_VALUE"""),"Formação Pedagógica em Educação Especial - Formação Pedagógica em Educação Especial - Lincio Júnior Assunção Nogueira - Deficiência Auditiva e Libras/a - Nota Máxima: 10")</f>
        <v>Formação Pedagógica em Educação Especial - Formação Pedagógica em Educação Especial - Lincio Júnior Assunção Nogueira - Deficiência Auditiva e Libras/a - Nota Máxima: 10</v>
      </c>
    </row>
    <row r="4987">
      <c r="A4987" s="390" t="str">
        <f>IFERROR(__xludf.DUMMYFUNCTION("""COMPUTED_VALUE"""),"Formação Pedagógica em Educação Especial - Formação Pedagógica em Educação Especial - Lincio Júnior Assunção Nogueira - Educação e as Tic's - Nota Máxima: 10")</f>
        <v>Formação Pedagógica em Educação Especial - Formação Pedagógica em Educação Especial - Lincio Júnior Assunção Nogueira - Educação e as Tic's - Nota Máxima: 10</v>
      </c>
    </row>
    <row r="4988">
      <c r="A4988" s="390" t="str">
        <f>IFERROR(__xludf.DUMMYFUNCTION("""COMPUTED_VALUE"""),"Formação Pedagógica em Educação Especial - Formação Pedagógica em Educação Especial - Lincio Júnior Assunção Nogueira - Educação e as Tic's - Nota Máxima: 7")</f>
        <v>Formação Pedagógica em Educação Especial - Formação Pedagógica em Educação Especial - Lincio Júnior Assunção Nogueira - Educação e as Tic's - Nota Máxima: 7</v>
      </c>
    </row>
    <row r="4989">
      <c r="A4989" s="390" t="str">
        <f>IFERROR(__xludf.DUMMYFUNCTION("""COMPUTED_VALUE"""),"Formação Pedagógica em Educação Especial - Formação Pedagógica em Educação Especial - Lincio Júnior Assunção Nogueira - Educação em Direitos Humanos/a - Nota Máxima: 10")</f>
        <v>Formação Pedagógica em Educação Especial - Formação Pedagógica em Educação Especial - Lincio Júnior Assunção Nogueira - Educação em Direitos Humanos/a - Nota Máxima: 10</v>
      </c>
    </row>
    <row r="4990">
      <c r="A4990" s="390" t="str">
        <f>IFERROR(__xludf.DUMMYFUNCTION("""COMPUTED_VALUE"""),"Formação Pedagógica em Educação Especial - Formação Pedagógica em Educação Especial - Lincio Júnior Assunção Nogueira - Educação em Direitos Humanos/a - Nota Máxima: 9")</f>
        <v>Formação Pedagógica em Educação Especial - Formação Pedagógica em Educação Especial - Lincio Júnior Assunção Nogueira - Educação em Direitos Humanos/a - Nota Máxima: 9</v>
      </c>
    </row>
    <row r="4991">
      <c r="A4991" s="390" t="str">
        <f>IFERROR(__xludf.DUMMYFUNCTION("""COMPUTED_VALUE"""),"Formação Pedagógica em Educação Especial - Formação Pedagógica em Educação Especial - Lincio Júnior Assunção Nogueira - Educação Especial, Inclusão Escolar e Adaptações Curriculares - Nota Máxima: 10")</f>
        <v>Formação Pedagógica em Educação Especial - Formação Pedagógica em Educação Especial - Lincio Júnior Assunção Nogueira - Educação Especial, Inclusão Escolar e Adaptações Curriculares - Nota Máxima: 10</v>
      </c>
    </row>
    <row r="4992">
      <c r="A4992" s="390" t="str">
        <f>IFERROR(__xludf.DUMMYFUNCTION("""COMPUTED_VALUE"""),"Formação Pedagógica em Educação Especial - Formação Pedagógica em Educação Especial - Lincio Júnior Assunção Nogueira - Educação Especial, Inclusão Escolar e Adaptações Curriculares - Nota Máxima: 9")</f>
        <v>Formação Pedagógica em Educação Especial - Formação Pedagógica em Educação Especial - Lincio Júnior Assunção Nogueira - Educação Especial, Inclusão Escolar e Adaptações Curriculares - Nota Máxima: 9</v>
      </c>
    </row>
    <row r="4993">
      <c r="A4993" s="390" t="str">
        <f>IFERROR(__xludf.DUMMYFUNCTION("""COMPUTED_VALUE"""),"Formação Pedagógica em Educação Especial - Formação Pedagógica em Educação Especial - Lincio Júnior Assunção Nogueira - Educação, História, Cultura e Práticas Indígenas/a - Nota Máxima: 9")</f>
        <v>Formação Pedagógica em Educação Especial - Formação Pedagógica em Educação Especial - Lincio Júnior Assunção Nogueira - Educação, História, Cultura e Práticas Indígenas/a - Nota Máxima: 9</v>
      </c>
    </row>
    <row r="4994">
      <c r="A4994" s="390" t="str">
        <f>IFERROR(__xludf.DUMMYFUNCTION("""COMPUTED_VALUE"""),"Formação Pedagógica em Educação Especial - Formação Pedagógica em Educação Especial - Lincio Júnior Assunção Nogueira - Educação, História, Cultura e Práticas Indígenas/a - Nota Máxima: 9")</f>
        <v>Formação Pedagógica em Educação Especial - Formação Pedagógica em Educação Especial - Lincio Júnior Assunção Nogueira - Educação, História, Cultura e Práticas Indígenas/a - Nota Máxima: 9</v>
      </c>
    </row>
    <row r="4995">
      <c r="A4995" s="390" t="str">
        <f>IFERROR(__xludf.DUMMYFUNCTION("""COMPUTED_VALUE"""),"Formação Pedagógica em Educação Especial - Formação Pedagógica em Educação Especial - Lincio Júnior Assunção Nogueira - Fisiologia Humana - Nota Máxima: 9")</f>
        <v>Formação Pedagógica em Educação Especial - Formação Pedagógica em Educação Especial - Lincio Júnior Assunção Nogueira - Fisiologia Humana - Nota Máxima: 9</v>
      </c>
    </row>
    <row r="4996">
      <c r="A4996" s="390" t="str">
        <f>IFERROR(__xludf.DUMMYFUNCTION("""COMPUTED_VALUE"""),"Formação Pedagógica em Educação Especial - Formação Pedagógica em Educação Especial - Lincio Júnior Assunção Nogueira - Fisiologia Humana - Nota Máxima: 7")</f>
        <v>Formação Pedagógica em Educação Especial - Formação Pedagógica em Educação Especial - Lincio Júnior Assunção Nogueira - Fisiologia Humana - Nota Máxima: 7</v>
      </c>
    </row>
    <row r="4997">
      <c r="A4997" s="390" t="str">
        <f>IFERROR(__xludf.DUMMYFUNCTION("""COMPUTED_VALUE"""),"Formação Pedagógica em Educação Especial - Formação Pedagógica em Educação Especial - Lincio Júnior Assunção Nogueira - Jogos e Recreação - Nota Máxima: 9")</f>
        <v>Formação Pedagógica em Educação Especial - Formação Pedagógica em Educação Especial - Lincio Júnior Assunção Nogueira - Jogos e Recreação - Nota Máxima: 9</v>
      </c>
    </row>
    <row r="4998">
      <c r="A4998" s="390" t="str">
        <f>IFERROR(__xludf.DUMMYFUNCTION("""COMPUTED_VALUE"""),"Formação Pedagógica em Educação Especial - Formação Pedagógica em Educação Especial - Lincio Júnior Assunção Nogueira - Jogos e Recreação - Nota Máxima: 10")</f>
        <v>Formação Pedagógica em Educação Especial - Formação Pedagógica em Educação Especial - Lincio Júnior Assunção Nogueira - Jogos e Recreação - Nota Máxima: 10</v>
      </c>
    </row>
    <row r="4999">
      <c r="A4999" s="390" t="str">
        <f>IFERROR(__xludf.DUMMYFUNCTION("""COMPUTED_VALUE"""),"Formação Pedagógica em Educação Especial - Formação Pedagógica em Educação Especial - Lincio Júnior Assunção Nogueira - Legislação e Políticas para Educação Inclusiva e Especial - Nota Máxima: 10")</f>
        <v>Formação Pedagógica em Educação Especial - Formação Pedagógica em Educação Especial - Lincio Júnior Assunção Nogueira - Legislação e Políticas para Educação Inclusiva e Especial - Nota Máxima: 10</v>
      </c>
    </row>
    <row r="5000">
      <c r="A5000" s="390" t="str">
        <f>IFERROR(__xludf.DUMMYFUNCTION("""COMPUTED_VALUE"""),"Formação Pedagógica em Educação Especial - Formação Pedagógica em Educação Especial - Lincio Júnior Assunção Nogueira - Legislação e Políticas para Educação Inclusiva e Especial - Nota Máxima: 9")</f>
        <v>Formação Pedagógica em Educação Especial - Formação Pedagógica em Educação Especial - Lincio Júnior Assunção Nogueira - Legislação e Políticas para Educação Inclusiva e Especial - Nota Máxima: 9</v>
      </c>
    </row>
    <row r="5001">
      <c r="A5001" s="390" t="str">
        <f>IFERROR(__xludf.DUMMYFUNCTION("""COMPUTED_VALUE"""),"Formação Pedagógica em Educação Especial - Formação Pedagógica em Educação Especial - Lincio Júnior Assunção Nogueira - Legislação Educacional/a - Nota Máxima: 10")</f>
        <v>Formação Pedagógica em Educação Especial - Formação Pedagógica em Educação Especial - Lincio Júnior Assunção Nogueira - Legislação Educacional/a - Nota Máxima: 10</v>
      </c>
    </row>
    <row r="5002">
      <c r="A5002" s="390" t="str">
        <f>IFERROR(__xludf.DUMMYFUNCTION("""COMPUTED_VALUE"""),"Formação Pedagógica em Educação Especial - Formação Pedagógica em Educação Especial - Lincio Júnior Assunção Nogueira - Legislação Educacional/a - Nota Máxima: 7")</f>
        <v>Formação Pedagógica em Educação Especial - Formação Pedagógica em Educação Especial - Lincio Júnior Assunção Nogueira - Legislação Educacional/a - Nota Máxima: 7</v>
      </c>
    </row>
    <row r="5003">
      <c r="A5003" s="390" t="str">
        <f>IFERROR(__xludf.DUMMYFUNCTION("""COMPUTED_VALUE"""),"Formação Pedagógica em Educação Especial - Formação Pedagógica em Educação Especial - Lincio Júnior Assunção Nogueira - Planejamento, Gestão Educacional e Currículo/a - Nota Máxima: 10")</f>
        <v>Formação Pedagógica em Educação Especial - Formação Pedagógica em Educação Especial - Lincio Júnior Assunção Nogueira - Planejamento, Gestão Educacional e Currículo/a - Nota Máxima: 10</v>
      </c>
    </row>
    <row r="5004">
      <c r="A5004" s="390" t="str">
        <f>IFERROR(__xludf.DUMMYFUNCTION("""COMPUTED_VALUE"""),"Formação Pedagógica em Educação Especial - Formação Pedagógica em Educação Especial - Lincio Júnior Assunção Nogueira - Planejamento, Gestão Educacional e Currículo/a - Nota Máxima: 10")</f>
        <v>Formação Pedagógica em Educação Especial - Formação Pedagógica em Educação Especial - Lincio Júnior Assunção Nogueira - Planejamento, Gestão Educacional e Currículo/a - Nota Máxima: 10</v>
      </c>
    </row>
    <row r="5005">
      <c r="A5005" s="390" t="str">
        <f>IFERROR(__xludf.DUMMYFUNCTION("""COMPUTED_VALUE"""),"Formação Pedagógica em Educação Especial - Formação Pedagógica em Educação Especial - Lincio Júnior Assunção Nogueira - Psicologia da Educação/a - Nota Máxima: 10")</f>
        <v>Formação Pedagógica em Educação Especial - Formação Pedagógica em Educação Especial - Lincio Júnior Assunção Nogueira - Psicologia da Educação/a - Nota Máxima: 10</v>
      </c>
    </row>
    <row r="5006">
      <c r="A5006" s="390" t="str">
        <f>IFERROR(__xludf.DUMMYFUNCTION("""COMPUTED_VALUE"""),"Formação Pedagógica em Educação Especial - Formação Pedagógica em Educação Especial - Lincio Júnior Assunção Nogueira - Psicologia da Educação/a - Nota Máxima: 8")</f>
        <v>Formação Pedagógica em Educação Especial - Formação Pedagógica em Educação Especial - Lincio Júnior Assunção Nogueira - Psicologia da Educação/a - Nota Máxima: 8</v>
      </c>
    </row>
    <row r="5007">
      <c r="A5007" s="390" t="str">
        <f>IFERROR(__xludf.DUMMYFUNCTION("""COMPUTED_VALUE"""),"Formação Pedagógica em Educação Especial - Formação Pedagógica em Educação Especial - Lincio Júnior Assunção Nogueira - Psicomotricidade e Ludopedagogia - Nota Máxima: 10")</f>
        <v>Formação Pedagógica em Educação Especial - Formação Pedagógica em Educação Especial - Lincio Júnior Assunção Nogueira - Psicomotricidade e Ludopedagogia - Nota Máxima: 10</v>
      </c>
    </row>
    <row r="5008">
      <c r="A5008" s="390" t="str">
        <f>IFERROR(__xludf.DUMMYFUNCTION("""COMPUTED_VALUE"""),"Formação Pedagógica em Educação Especial - Formação Pedagógica em Educação Especial - Lincio Júnior Assunção Nogueira - Psicomotricidade e Ludopedagogia - Nota Máxima: 10")</f>
        <v>Formação Pedagógica em Educação Especial - Formação Pedagógica em Educação Especial - Lincio Júnior Assunção Nogueira - Psicomotricidade e Ludopedagogia - Nota Máxima: 10</v>
      </c>
    </row>
    <row r="5009">
      <c r="A5009" s="390" t="str">
        <f>IFERROR(__xludf.DUMMYFUNCTION("""COMPUTED_VALUE"""),"Formação Pedagógica em Educação Especial - Formação Pedagógica em Educação Especial - Vaulenir Resende Bernado - Atuação Docente na Educação Inclusiva - Nota Máxima: 10")</f>
        <v>Formação Pedagógica em Educação Especial - Formação Pedagógica em Educação Especial - Vaulenir Resende Bernado - Atuação Docente na Educação Inclusiva - Nota Máxima: 10</v>
      </c>
    </row>
    <row r="5010">
      <c r="A5010" s="390" t="str">
        <f>IFERROR(__xludf.DUMMYFUNCTION("""COMPUTED_VALUE"""),"Formação Pedagógica em Educação Especial - Formação Pedagógica em Educação Especial - Vaulenir Resende Bernado - Deficiência Auditiva e Libras/a - Nota Máxima: 10")</f>
        <v>Formação Pedagógica em Educação Especial - Formação Pedagógica em Educação Especial - Vaulenir Resende Bernado - Deficiência Auditiva e Libras/a - Nota Máxima: 10</v>
      </c>
    </row>
    <row r="5011">
      <c r="A5011" s="390" t="str">
        <f>IFERROR(__xludf.DUMMYFUNCTION("""COMPUTED_VALUE"""),"Formação Pedagógica em Educação Especial - Formação Pedagógica em Educação Especial - Vaulenir Resende Bernado - Educação e as Tic's - Nota Máxima: 10")</f>
        <v>Formação Pedagógica em Educação Especial - Formação Pedagógica em Educação Especial - Vaulenir Resende Bernado - Educação e as Tic's - Nota Máxima: 10</v>
      </c>
    </row>
    <row r="5012">
      <c r="A5012" s="390" t="str">
        <f>IFERROR(__xludf.DUMMYFUNCTION("""COMPUTED_VALUE"""),"Formação Pedagógica em Educação Especial - Formação Pedagógica em Educação Especial - Vaulenir Resende Bernado - Educação em Direitos Humanos/a - Nota Máxima: 10")</f>
        <v>Formação Pedagógica em Educação Especial - Formação Pedagógica em Educação Especial - Vaulenir Resende Bernado - Educação em Direitos Humanos/a - Nota Máxima: 10</v>
      </c>
    </row>
    <row r="5013">
      <c r="A5013" s="390" t="str">
        <f>IFERROR(__xludf.DUMMYFUNCTION("""COMPUTED_VALUE"""),"Formação Pedagógica em Educação Especial - Formação Pedagógica em Educação Especial - Vaulenir Resende Bernado - Educação Especial, Inclusão Escolar e Adaptações Curriculares - Nota Máxima: 10")</f>
        <v>Formação Pedagógica em Educação Especial - Formação Pedagógica em Educação Especial - Vaulenir Resende Bernado - Educação Especial, Inclusão Escolar e Adaptações Curriculares - Nota Máxima: 10</v>
      </c>
    </row>
    <row r="5014">
      <c r="A5014" s="390" t="str">
        <f>IFERROR(__xludf.DUMMYFUNCTION("""COMPUTED_VALUE"""),"Formação Pedagógica em Educação Especial - Formação Pedagógica em Educação Especial - Vaulenir Resende Bernado - Educação, História, Cultura e Práticas Indígenas/a - Nota Máxima: 10")</f>
        <v>Formação Pedagógica em Educação Especial - Formação Pedagógica em Educação Especial - Vaulenir Resende Bernado - Educação, História, Cultura e Práticas Indígenas/a - Nota Máxima: 10</v>
      </c>
    </row>
    <row r="5015">
      <c r="A5015" s="390" t="str">
        <f>IFERROR(__xludf.DUMMYFUNCTION("""COMPUTED_VALUE"""),"Formação Pedagógica em Educação Especial - Formação Pedagógica em Educação Especial - Vaulenir Resende Bernado - Fisiologia Humana - Nota Máxima: 9")</f>
        <v>Formação Pedagógica em Educação Especial - Formação Pedagógica em Educação Especial - Vaulenir Resende Bernado - Fisiologia Humana - Nota Máxima: 9</v>
      </c>
    </row>
    <row r="5016">
      <c r="A5016" s="390" t="str">
        <f>IFERROR(__xludf.DUMMYFUNCTION("""COMPUTED_VALUE"""),"Formação Pedagógica em Educação Especial - Formação Pedagógica em Educação Especial - Vaulenir Resende Bernado - Jogos e Recreação - Nota Máxima: 9")</f>
        <v>Formação Pedagógica em Educação Especial - Formação Pedagógica em Educação Especial - Vaulenir Resende Bernado - Jogos e Recreação - Nota Máxima: 9</v>
      </c>
    </row>
    <row r="5017">
      <c r="A5017" s="390" t="str">
        <f>IFERROR(__xludf.DUMMYFUNCTION("""COMPUTED_VALUE"""),"Formação Pedagógica em Educação Especial - Formação Pedagógica em Educação Especial - Vaulenir Resende Bernado - Legislação e Políticas para Educação Inclusiva e Especial - Nota Máxima: 10")</f>
        <v>Formação Pedagógica em Educação Especial - Formação Pedagógica em Educação Especial - Vaulenir Resende Bernado - Legislação e Políticas para Educação Inclusiva e Especial - Nota Máxima: 10</v>
      </c>
    </row>
    <row r="5018">
      <c r="A5018" s="390" t="str">
        <f>IFERROR(__xludf.DUMMYFUNCTION("""COMPUTED_VALUE"""),"Formação Pedagógica em Educação Especial - Formação Pedagógica em Educação Especial - Vaulenir Resende Bernado - Legislação Educacional/a - Nota Máxima: 10")</f>
        <v>Formação Pedagógica em Educação Especial - Formação Pedagógica em Educação Especial - Vaulenir Resende Bernado - Legislação Educacional/a - Nota Máxima: 10</v>
      </c>
    </row>
    <row r="5019">
      <c r="A5019" s="390" t="str">
        <f>IFERROR(__xludf.DUMMYFUNCTION("""COMPUTED_VALUE"""),"Formação Pedagógica em Educação Especial - Formação Pedagógica em Educação Especial - Vaulenir Resende Bernado - Planejamento, Gestão Educacional e Currículo/a - Nota Máxima: 10")</f>
        <v>Formação Pedagógica em Educação Especial - Formação Pedagógica em Educação Especial - Vaulenir Resende Bernado - Planejamento, Gestão Educacional e Currículo/a - Nota Máxima: 10</v>
      </c>
    </row>
    <row r="5020">
      <c r="A5020" s="390" t="str">
        <f>IFERROR(__xludf.DUMMYFUNCTION("""COMPUTED_VALUE"""),"Formação Pedagógica em Educação Especial - Formação Pedagógica em Educação Especial - Vaulenir Resende Bernado - Práticas Pedagógicas - 400 Horas - Nota Máxima: 4")</f>
        <v>Formação Pedagógica em Educação Especial - Formação Pedagógica em Educação Especial - Vaulenir Resende Bernado - Práticas Pedagógicas - 400 Horas - Nota Máxima: 4</v>
      </c>
    </row>
    <row r="5021">
      <c r="A5021" s="390" t="str">
        <f>IFERROR(__xludf.DUMMYFUNCTION("""COMPUTED_VALUE"""),"Formação Pedagógica em Educação Especial - Formação Pedagógica em Educação Especial - Vaulenir Resende Bernado - Psicologia da Educação/a - Nota Máxima: 10")</f>
        <v>Formação Pedagógica em Educação Especial - Formação Pedagógica em Educação Especial - Vaulenir Resende Bernado - Psicologia da Educação/a - Nota Máxima: 10</v>
      </c>
    </row>
    <row r="5022">
      <c r="A5022" s="390" t="str">
        <f>IFERROR(__xludf.DUMMYFUNCTION("""COMPUTED_VALUE"""),"Formação Pedagógica em Educação Especial - Formação Pedagógica em Educação Especial - Vaulenir Resende Bernado - Psicomotricidade e Ludopedagogia - Nota Máxima: 10")</f>
        <v>Formação Pedagógica em Educação Especial - Formação Pedagógica em Educação Especial - Vaulenir Resende Bernado - Psicomotricidade e Ludopedagogia - Nota Máxima: 10</v>
      </c>
    </row>
    <row r="5023">
      <c r="A5023" s="390" t="str">
        <f>IFERROR(__xludf.DUMMYFUNCTION("""COMPUTED_VALUE"""),"Formação Pedagógica em Educação Especial - Formação Pedagógica em Educação Especial - Viviane Santos Natal Silva - Atuação Docente na Educação Inclusiva - Nota Máxima: 8")</f>
        <v>Formação Pedagógica em Educação Especial - Formação Pedagógica em Educação Especial - Viviane Santos Natal Silva - Atuação Docente na Educação Inclusiva - Nota Máxima: 8</v>
      </c>
    </row>
    <row r="5024">
      <c r="A5024" s="390" t="str">
        <f>IFERROR(__xludf.DUMMYFUNCTION("""COMPUTED_VALUE"""),"Formação Pedagógica em Educação Especial - Formação Pedagógica em Educação Especial - Viviane Santos Natal Silva - Atuação Docente na Educação Inclusiva - Nota Máxima: 10")</f>
        <v>Formação Pedagógica em Educação Especial - Formação Pedagógica em Educação Especial - Viviane Santos Natal Silva - Atuação Docente na Educação Inclusiva - Nota Máxima: 10</v>
      </c>
    </row>
    <row r="5025">
      <c r="A5025" s="390" t="str">
        <f>IFERROR(__xludf.DUMMYFUNCTION("""COMPUTED_VALUE"""),"Formação Pedagógica em Educação Especial - Formação Pedagógica em Educação Especial - Viviane Santos Natal Silva - Deficiência Auditiva e Libras/a - Nota Máxima: 10")</f>
        <v>Formação Pedagógica em Educação Especial - Formação Pedagógica em Educação Especial - Viviane Santos Natal Silva - Deficiência Auditiva e Libras/a - Nota Máxima: 10</v>
      </c>
    </row>
    <row r="5026">
      <c r="A5026" s="390" t="str">
        <f>IFERROR(__xludf.DUMMYFUNCTION("""COMPUTED_VALUE"""),"Formação Pedagógica em Educação Especial - Formação Pedagógica em Educação Especial - Viviane Santos Natal Silva - Deficiência Auditiva e Libras/a - Nota Máxima: 10")</f>
        <v>Formação Pedagógica em Educação Especial - Formação Pedagógica em Educação Especial - Viviane Santos Natal Silva - Deficiência Auditiva e Libras/a - Nota Máxima: 10</v>
      </c>
    </row>
    <row r="5027">
      <c r="A5027" s="390" t="str">
        <f>IFERROR(__xludf.DUMMYFUNCTION("""COMPUTED_VALUE"""),"Formação Pedagógica em Educação Especial - Formação Pedagógica em Educação Especial - Viviane Santos Natal Silva - Educação e as Tic's - Nota Máxima: 10")</f>
        <v>Formação Pedagógica em Educação Especial - Formação Pedagógica em Educação Especial - Viviane Santos Natal Silva - Educação e as Tic's - Nota Máxima: 10</v>
      </c>
    </row>
    <row r="5028">
      <c r="A5028" s="390" t="str">
        <f>IFERROR(__xludf.DUMMYFUNCTION("""COMPUTED_VALUE"""),"Formação Pedagógica em Educação Especial - Formação Pedagógica em Educação Especial - Viviane Santos Natal Silva - Educação e as Tic's - Nota Máxima: 10")</f>
        <v>Formação Pedagógica em Educação Especial - Formação Pedagógica em Educação Especial - Viviane Santos Natal Silva - Educação e as Tic's - Nota Máxima: 10</v>
      </c>
    </row>
    <row r="5029">
      <c r="A5029" s="390" t="str">
        <f>IFERROR(__xludf.DUMMYFUNCTION("""COMPUTED_VALUE"""),"Formação Pedagógica em Educação Especial - Formação Pedagógica em Educação Especial - Viviane Santos Natal Silva - Educação em Direitos Humanos/a - Nota Máxima: 10")</f>
        <v>Formação Pedagógica em Educação Especial - Formação Pedagógica em Educação Especial - Viviane Santos Natal Silva - Educação em Direitos Humanos/a - Nota Máxima: 10</v>
      </c>
    </row>
    <row r="5030">
      <c r="A5030" s="390" t="str">
        <f>IFERROR(__xludf.DUMMYFUNCTION("""COMPUTED_VALUE"""),"Formação Pedagógica em Educação Especial - Formação Pedagógica em Educação Especial - Viviane Santos Natal Silva - Educação em Direitos Humanos/a - Nota Máxima: 10")</f>
        <v>Formação Pedagógica em Educação Especial - Formação Pedagógica em Educação Especial - Viviane Santos Natal Silva - Educação em Direitos Humanos/a - Nota Máxima: 10</v>
      </c>
    </row>
    <row r="5031">
      <c r="A5031" s="390" t="str">
        <f>IFERROR(__xludf.DUMMYFUNCTION("""COMPUTED_VALUE"""),"Formação Pedagógica em Educação Especial - Formação Pedagógica em Educação Especial - Viviane Santos Natal Silva - Educação Especial, Inclusão Escolar e Adaptações Curriculares - Nota Máxima: 10")</f>
        <v>Formação Pedagógica em Educação Especial - Formação Pedagógica em Educação Especial - Viviane Santos Natal Silva - Educação Especial, Inclusão Escolar e Adaptações Curriculares - Nota Máxima: 10</v>
      </c>
    </row>
    <row r="5032">
      <c r="A5032" s="390" t="str">
        <f>IFERROR(__xludf.DUMMYFUNCTION("""COMPUTED_VALUE"""),"Formação Pedagógica em Educação Especial - Formação Pedagógica em Educação Especial - Viviane Santos Natal Silva - Educação Especial, Inclusão Escolar e Adaptações Curriculares - Nota Máxima: 10")</f>
        <v>Formação Pedagógica em Educação Especial - Formação Pedagógica em Educação Especial - Viviane Santos Natal Silva - Educação Especial, Inclusão Escolar e Adaptações Curriculares - Nota Máxima: 10</v>
      </c>
    </row>
    <row r="5033">
      <c r="A5033" s="390" t="str">
        <f>IFERROR(__xludf.DUMMYFUNCTION("""COMPUTED_VALUE"""),"Formação Pedagógica em Educação Especial - Formação Pedagógica em Educação Especial - Viviane Santos Natal Silva - Educação, História, Cultura e Práticas Indígenas/a - Nota Máxima: 9")</f>
        <v>Formação Pedagógica em Educação Especial - Formação Pedagógica em Educação Especial - Viviane Santos Natal Silva - Educação, História, Cultura e Práticas Indígenas/a - Nota Máxima: 9</v>
      </c>
    </row>
    <row r="5034">
      <c r="A5034" s="390" t="str">
        <f>IFERROR(__xludf.DUMMYFUNCTION("""COMPUTED_VALUE"""),"Formação Pedagógica em Educação Especial - Formação Pedagógica em Educação Especial - Viviane Santos Natal Silva - Educação, História, Cultura e Práticas Indígenas/a - Nota Máxima: 10")</f>
        <v>Formação Pedagógica em Educação Especial - Formação Pedagógica em Educação Especial - Viviane Santos Natal Silva - Educação, História, Cultura e Práticas Indígenas/a - Nota Máxima: 10</v>
      </c>
    </row>
    <row r="5035">
      <c r="A5035" s="390" t="str">
        <f>IFERROR(__xludf.DUMMYFUNCTION("""COMPUTED_VALUE"""),"Formação Pedagógica em Educação Especial - Formação Pedagógica em Educação Especial - Viviane Santos Natal Silva - Fisiologia Humana - Nota Máxima: 10")</f>
        <v>Formação Pedagógica em Educação Especial - Formação Pedagógica em Educação Especial - Viviane Santos Natal Silva - Fisiologia Humana - Nota Máxima: 10</v>
      </c>
    </row>
    <row r="5036">
      <c r="A5036" s="390" t="str">
        <f>IFERROR(__xludf.DUMMYFUNCTION("""COMPUTED_VALUE"""),"Formação Pedagógica em Educação Especial - Formação Pedagógica em Educação Especial - Viviane Santos Natal Silva - Fisiologia Humana - Nota Máxima: 10")</f>
        <v>Formação Pedagógica em Educação Especial - Formação Pedagógica em Educação Especial - Viviane Santos Natal Silva - Fisiologia Humana - Nota Máxima: 10</v>
      </c>
    </row>
    <row r="5037">
      <c r="A5037" s="390" t="str">
        <f>IFERROR(__xludf.DUMMYFUNCTION("""COMPUTED_VALUE"""),"Formação Pedagógica em Educação Especial - Formação Pedagógica em Educação Especial - Viviane Santos Natal Silva - Jogos e Recreação - Nota Máxima: 10")</f>
        <v>Formação Pedagógica em Educação Especial - Formação Pedagógica em Educação Especial - Viviane Santos Natal Silva - Jogos e Recreação - Nota Máxima: 10</v>
      </c>
    </row>
    <row r="5038">
      <c r="A5038" s="390" t="str">
        <f>IFERROR(__xludf.DUMMYFUNCTION("""COMPUTED_VALUE"""),"Formação Pedagógica em Educação Especial - Formação Pedagógica em Educação Especial - Viviane Santos Natal Silva - Jogos e Recreação - Nota Máxima: 10")</f>
        <v>Formação Pedagógica em Educação Especial - Formação Pedagógica em Educação Especial - Viviane Santos Natal Silva - Jogos e Recreação - Nota Máxima: 10</v>
      </c>
    </row>
    <row r="5039">
      <c r="A5039" s="390" t="str">
        <f>IFERROR(__xludf.DUMMYFUNCTION("""COMPUTED_VALUE"""),"Formação Pedagógica em Educação Especial - Formação Pedagógica em Educação Especial - Viviane Santos Natal Silva - Legislação e Políticas para Educação Inclusiva e Especial - Nota Máxima: 10")</f>
        <v>Formação Pedagógica em Educação Especial - Formação Pedagógica em Educação Especial - Viviane Santos Natal Silva - Legislação e Políticas para Educação Inclusiva e Especial - Nota Máxima: 10</v>
      </c>
    </row>
    <row r="5040">
      <c r="A5040" s="390" t="str">
        <f>IFERROR(__xludf.DUMMYFUNCTION("""COMPUTED_VALUE"""),"Formação Pedagógica em Educação Especial - Formação Pedagógica em Educação Especial - Viviane Santos Natal Silva - Legislação e Políticas para Educação Inclusiva e Especial - Nota Máxima: 10")</f>
        <v>Formação Pedagógica em Educação Especial - Formação Pedagógica em Educação Especial - Viviane Santos Natal Silva - Legislação e Políticas para Educação Inclusiva e Especial - Nota Máxima: 10</v>
      </c>
    </row>
    <row r="5041">
      <c r="A5041" s="390" t="str">
        <f>IFERROR(__xludf.DUMMYFUNCTION("""COMPUTED_VALUE"""),"Formação Pedagógica em Educação Especial - Formação Pedagógica em Educação Especial - Viviane Santos Natal Silva - Legislação Educacional/a - Nota Máxima: 10")</f>
        <v>Formação Pedagógica em Educação Especial - Formação Pedagógica em Educação Especial - Viviane Santos Natal Silva - Legislação Educacional/a - Nota Máxima: 10</v>
      </c>
    </row>
    <row r="5042">
      <c r="A5042" s="390" t="str">
        <f>IFERROR(__xludf.DUMMYFUNCTION("""COMPUTED_VALUE"""),"Formação Pedagógica em Educação Especial - Formação Pedagógica em Educação Especial - Viviane Santos Natal Silva - Legislação Educacional/a - Nota Máxima: 10")</f>
        <v>Formação Pedagógica em Educação Especial - Formação Pedagógica em Educação Especial - Viviane Santos Natal Silva - Legislação Educacional/a - Nota Máxima: 10</v>
      </c>
    </row>
    <row r="5043">
      <c r="A5043" s="390" t="str">
        <f>IFERROR(__xludf.DUMMYFUNCTION("""COMPUTED_VALUE"""),"Formação Pedagógica em Educação Especial - Formação Pedagógica em Educação Especial - Viviane Santos Natal Silva - Planejamento, Gestão Educacional e Currículo/a - Nota Máxima: 10")</f>
        <v>Formação Pedagógica em Educação Especial - Formação Pedagógica em Educação Especial - Viviane Santos Natal Silva - Planejamento, Gestão Educacional e Currículo/a - Nota Máxima: 10</v>
      </c>
    </row>
    <row r="5044">
      <c r="A5044" s="390" t="str">
        <f>IFERROR(__xludf.DUMMYFUNCTION("""COMPUTED_VALUE"""),"Formação Pedagógica em Educação Especial - Formação Pedagógica em Educação Especial - Viviane Santos Natal Silva - Planejamento, Gestão Educacional e Currículo/a - Nota Máxima: 10")</f>
        <v>Formação Pedagógica em Educação Especial - Formação Pedagógica em Educação Especial - Viviane Santos Natal Silva - Planejamento, Gestão Educacional e Currículo/a - Nota Máxima: 10</v>
      </c>
    </row>
    <row r="5045">
      <c r="A5045" s="390" t="str">
        <f>IFERROR(__xludf.DUMMYFUNCTION("""COMPUTED_VALUE"""),"Formação Pedagógica em Educação Especial - Formação Pedagógica em Educação Especial - Viviane Santos Natal Silva - Práticas Pedagógicas - 400 Horas - Nota Máxima: 10")</f>
        <v>Formação Pedagógica em Educação Especial - Formação Pedagógica em Educação Especial - Viviane Santos Natal Silva - Práticas Pedagógicas - 400 Horas - Nota Máxima: 10</v>
      </c>
    </row>
    <row r="5046">
      <c r="A5046" s="390" t="str">
        <f>IFERROR(__xludf.DUMMYFUNCTION("""COMPUTED_VALUE"""),"Formação Pedagógica em Educação Especial - Formação Pedagógica em Educação Especial - Viviane Santos Natal Silva - Práticas Pedagógicas - 400 Horas - Nota Máxima: 10")</f>
        <v>Formação Pedagógica em Educação Especial - Formação Pedagógica em Educação Especial - Viviane Santos Natal Silva - Práticas Pedagógicas - 400 Horas - Nota Máxima: 10</v>
      </c>
    </row>
    <row r="5047">
      <c r="A5047" s="390" t="str">
        <f>IFERROR(__xludf.DUMMYFUNCTION("""COMPUTED_VALUE"""),"Formação Pedagógica em Educação Especial - Formação Pedagógica em Educação Especial - Viviane Santos Natal Silva - Psicologia da Educação/a - Nota Máxima: 10")</f>
        <v>Formação Pedagógica em Educação Especial - Formação Pedagógica em Educação Especial - Viviane Santos Natal Silva - Psicologia da Educação/a - Nota Máxima: 10</v>
      </c>
    </row>
    <row r="5048">
      <c r="A5048" s="390" t="str">
        <f>IFERROR(__xludf.DUMMYFUNCTION("""COMPUTED_VALUE"""),"Formação Pedagógica em Educação Especial - Formação Pedagógica em Educação Especial - Viviane Santos Natal Silva - Psicologia da Educação/a - Nota Máxima: 10")</f>
        <v>Formação Pedagógica em Educação Especial - Formação Pedagógica em Educação Especial - Viviane Santos Natal Silva - Psicologia da Educação/a - Nota Máxima: 10</v>
      </c>
    </row>
    <row r="5049">
      <c r="A5049" s="390" t="str">
        <f>IFERROR(__xludf.DUMMYFUNCTION("""COMPUTED_VALUE"""),"Formação Pedagógica em Educação Especial - Formação Pedagógica em Educação Especial - Viviane Santos Natal Silva - Psicomotricidade e Ludopedagogia - Nota Máxima: 9")</f>
        <v>Formação Pedagógica em Educação Especial - Formação Pedagógica em Educação Especial - Viviane Santos Natal Silva - Psicomotricidade e Ludopedagogia - Nota Máxima: 9</v>
      </c>
    </row>
    <row r="5050">
      <c r="A5050" s="390" t="str">
        <f>IFERROR(__xludf.DUMMYFUNCTION("""COMPUTED_VALUE"""),"Formação Pedagógica em Educação Especial - Formação Pedagógica em Educação Especial - Viviane Santos Natal Silva - Psicomotricidade e Ludopedagogia - Nota Máxima: 10")</f>
        <v>Formação Pedagógica em Educação Especial - Formação Pedagógica em Educação Especial - Viviane Santos Natal Silva - Psicomotricidade e Ludopedagogia - Nota Máxima: 10</v>
      </c>
    </row>
    <row r="5051">
      <c r="A5051" s="390" t="str">
        <f>IFERROR(__xludf.DUMMYFUNCTION("""COMPUTED_VALUE"""),"Formação Pedagógica em Educação Especial - Formação Pedagógica em Educação Especial - Viviane Espírito Santo dos Santos - Atuação Docente na Educação Inclusiva - Nota Máxima: 10")</f>
        <v>Formação Pedagógica em Educação Especial - Formação Pedagógica em Educação Especial - Viviane Espírito Santo dos Santos - Atuação Docente na Educação Inclusiva - Nota Máxima: 10</v>
      </c>
    </row>
    <row r="5052">
      <c r="A5052" s="390" t="str">
        <f>IFERROR(__xludf.DUMMYFUNCTION("""COMPUTED_VALUE"""),"Formação Pedagógica em Educação Especial - Formação Pedagógica em Educação Especial - Viviane Espírito Santo dos Santos - Atuação Docente na Educação Inclusiva - Nota Máxima: 10")</f>
        <v>Formação Pedagógica em Educação Especial - Formação Pedagógica em Educação Especial - Viviane Espírito Santo dos Santos - Atuação Docente na Educação Inclusiva - Nota Máxima: 10</v>
      </c>
    </row>
    <row r="5053">
      <c r="A5053" s="390" t="str">
        <f>IFERROR(__xludf.DUMMYFUNCTION("""COMPUTED_VALUE"""),"Formação Pedagógica em Educação Especial - Formação Pedagógica em Educação Especial - Viviane Espírito Santo dos Santos - Deficiência Auditiva e Libras/a - Nota Máxima: 10")</f>
        <v>Formação Pedagógica em Educação Especial - Formação Pedagógica em Educação Especial - Viviane Espírito Santo dos Santos - Deficiência Auditiva e Libras/a - Nota Máxima: 10</v>
      </c>
    </row>
    <row r="5054">
      <c r="A5054" s="390" t="str">
        <f>IFERROR(__xludf.DUMMYFUNCTION("""COMPUTED_VALUE"""),"Formação Pedagógica em Educação Especial - Formação Pedagógica em Educação Especial - Viviane Espírito Santo dos Santos - Deficiência Auditiva e Libras/a - Nota Máxima: 9")</f>
        <v>Formação Pedagógica em Educação Especial - Formação Pedagógica em Educação Especial - Viviane Espírito Santo dos Santos - Deficiência Auditiva e Libras/a - Nota Máxima: 9</v>
      </c>
    </row>
    <row r="5055">
      <c r="A5055" s="390" t="str">
        <f>IFERROR(__xludf.DUMMYFUNCTION("""COMPUTED_VALUE"""),"Formação Pedagógica em Educação Especial - Formação Pedagógica em Educação Especial - Viviane Espírito Santo dos Santos - Educação e as Tic's - Nota Máxima: 9")</f>
        <v>Formação Pedagógica em Educação Especial - Formação Pedagógica em Educação Especial - Viviane Espírito Santo dos Santos - Educação e as Tic's - Nota Máxima: 9</v>
      </c>
    </row>
    <row r="5056">
      <c r="A5056" s="390" t="str">
        <f>IFERROR(__xludf.DUMMYFUNCTION("""COMPUTED_VALUE"""),"Formação Pedagógica em Educação Especial - Formação Pedagógica em Educação Especial - Viviane Espírito Santo dos Santos - Educação e as Tic's - Nota Máxima: 10")</f>
        <v>Formação Pedagógica em Educação Especial - Formação Pedagógica em Educação Especial - Viviane Espírito Santo dos Santos - Educação e as Tic's - Nota Máxima: 10</v>
      </c>
    </row>
    <row r="5057">
      <c r="A5057" s="390" t="str">
        <f>IFERROR(__xludf.DUMMYFUNCTION("""COMPUTED_VALUE"""),"Formação Pedagógica em Educação Especial - Formação Pedagógica em Educação Especial - Viviane Espírito Santo dos Santos - Educação em Direitos Humanos/a - Nota Máxima: 9")</f>
        <v>Formação Pedagógica em Educação Especial - Formação Pedagógica em Educação Especial - Viviane Espírito Santo dos Santos - Educação em Direitos Humanos/a - Nota Máxima: 9</v>
      </c>
    </row>
    <row r="5058">
      <c r="A5058" s="390" t="str">
        <f>IFERROR(__xludf.DUMMYFUNCTION("""COMPUTED_VALUE"""),"Formação Pedagógica em Educação Especial - Formação Pedagógica em Educação Especial - Viviane Espírito Santo dos Santos - Educação em Direitos Humanos/a - Nota Máxima: 10")</f>
        <v>Formação Pedagógica em Educação Especial - Formação Pedagógica em Educação Especial - Viviane Espírito Santo dos Santos - Educação em Direitos Humanos/a - Nota Máxima: 10</v>
      </c>
    </row>
    <row r="5059">
      <c r="A5059" s="390" t="str">
        <f>IFERROR(__xludf.DUMMYFUNCTION("""COMPUTED_VALUE"""),"Formação Pedagógica em Educação Especial - Formação Pedagógica em Educação Especial - Viviane Espírito Santo dos Santos - Educação Especial, Inclusão Escolar e Adaptações Curriculares - Nota Máxima: 10")</f>
        <v>Formação Pedagógica em Educação Especial - Formação Pedagógica em Educação Especial - Viviane Espírito Santo dos Santos - Educação Especial, Inclusão Escolar e Adaptações Curriculares - Nota Máxima: 10</v>
      </c>
    </row>
    <row r="5060">
      <c r="A5060" s="390" t="str">
        <f>IFERROR(__xludf.DUMMYFUNCTION("""COMPUTED_VALUE"""),"Formação Pedagógica em Educação Especial - Formação Pedagógica em Educação Especial - Viviane Espírito Santo dos Santos - Educação Especial, Inclusão Escolar e Adaptações Curriculares - Nota Máxima: 9")</f>
        <v>Formação Pedagógica em Educação Especial - Formação Pedagógica em Educação Especial - Viviane Espírito Santo dos Santos - Educação Especial, Inclusão Escolar e Adaptações Curriculares - Nota Máxima: 9</v>
      </c>
    </row>
    <row r="5061">
      <c r="A5061" s="390" t="str">
        <f>IFERROR(__xludf.DUMMYFUNCTION("""COMPUTED_VALUE"""),"Formação Pedagógica em Educação Especial - Formação Pedagógica em Educação Especial - Viviane Espírito Santo dos Santos - Educação, História, Cultura e Práticas Indígenas/a - Nota Máxima: 10")</f>
        <v>Formação Pedagógica em Educação Especial - Formação Pedagógica em Educação Especial - Viviane Espírito Santo dos Santos - Educação, História, Cultura e Práticas Indígenas/a - Nota Máxima: 10</v>
      </c>
    </row>
    <row r="5062">
      <c r="A5062" s="390" t="str">
        <f>IFERROR(__xludf.DUMMYFUNCTION("""COMPUTED_VALUE"""),"Formação Pedagógica em Educação Especial - Formação Pedagógica em Educação Especial - Viviane Espírito Santo dos Santos - Educação, História, Cultura e Práticas Indígenas/a - Nota Máxima: 8")</f>
        <v>Formação Pedagógica em Educação Especial - Formação Pedagógica em Educação Especial - Viviane Espírito Santo dos Santos - Educação, História, Cultura e Práticas Indígenas/a - Nota Máxima: 8</v>
      </c>
    </row>
    <row r="5063">
      <c r="A5063" s="390" t="str">
        <f>IFERROR(__xludf.DUMMYFUNCTION("""COMPUTED_VALUE"""),"Formação Pedagógica em Educação Especial - Formação Pedagógica em Educação Especial - Viviane Espírito Santo dos Santos - Fisiologia Humana - Nota Máxima: 7")</f>
        <v>Formação Pedagógica em Educação Especial - Formação Pedagógica em Educação Especial - Viviane Espírito Santo dos Santos - Fisiologia Humana - Nota Máxima: 7</v>
      </c>
    </row>
    <row r="5064">
      <c r="A5064" s="390" t="str">
        <f>IFERROR(__xludf.DUMMYFUNCTION("""COMPUTED_VALUE"""),"Formação Pedagógica em Educação Especial - Formação Pedagógica em Educação Especial - Viviane Espírito Santo dos Santos - Fisiologia Humana - Nota Máxima: 10")</f>
        <v>Formação Pedagógica em Educação Especial - Formação Pedagógica em Educação Especial - Viviane Espírito Santo dos Santos - Fisiologia Humana - Nota Máxima: 10</v>
      </c>
    </row>
    <row r="5065">
      <c r="A5065" s="390" t="str">
        <f>IFERROR(__xludf.DUMMYFUNCTION("""COMPUTED_VALUE"""),"Formação Pedagógica em Educação Especial - Formação Pedagógica em Educação Especial - Viviane Espírito Santo dos Santos - Jogos e Recreação - Nota Máxima: 9")</f>
        <v>Formação Pedagógica em Educação Especial - Formação Pedagógica em Educação Especial - Viviane Espírito Santo dos Santos - Jogos e Recreação - Nota Máxima: 9</v>
      </c>
    </row>
    <row r="5066">
      <c r="A5066" s="390" t="str">
        <f>IFERROR(__xludf.DUMMYFUNCTION("""COMPUTED_VALUE"""),"Formação Pedagógica em Educação Especial - Formação Pedagógica em Educação Especial - Viviane Espírito Santo dos Santos - Jogos e Recreação - Nota Máxima: 10")</f>
        <v>Formação Pedagógica em Educação Especial - Formação Pedagógica em Educação Especial - Viviane Espírito Santo dos Santos - Jogos e Recreação - Nota Máxima: 10</v>
      </c>
    </row>
    <row r="5067">
      <c r="A5067" s="390" t="str">
        <f>IFERROR(__xludf.DUMMYFUNCTION("""COMPUTED_VALUE"""),"Formação Pedagógica em Educação Especial - Formação Pedagógica em Educação Especial - Viviane Espírito Santo dos Santos - Legislação e Políticas para Educação Inclusiva e Especial - Nota Máxima: 7")</f>
        <v>Formação Pedagógica em Educação Especial - Formação Pedagógica em Educação Especial - Viviane Espírito Santo dos Santos - Legislação e Políticas para Educação Inclusiva e Especial - Nota Máxima: 7</v>
      </c>
    </row>
    <row r="5068">
      <c r="A5068" s="390" t="str">
        <f>IFERROR(__xludf.DUMMYFUNCTION("""COMPUTED_VALUE"""),"Formação Pedagógica em Educação Especial - Formação Pedagógica em Educação Especial - Viviane Espírito Santo dos Santos - Legislação e Políticas para Educação Inclusiva e Especial - Nota Máxima: 7")</f>
        <v>Formação Pedagógica em Educação Especial - Formação Pedagógica em Educação Especial - Viviane Espírito Santo dos Santos - Legislação e Políticas para Educação Inclusiva e Especial - Nota Máxima: 7</v>
      </c>
    </row>
    <row r="5069">
      <c r="A5069" s="390" t="str">
        <f>IFERROR(__xludf.DUMMYFUNCTION("""COMPUTED_VALUE"""),"Formação Pedagógica em Educação Especial - Formação Pedagógica em Educação Especial - Viviane Espírito Santo dos Santos - Legislação Educacional/a - Nota Máxima: 8")</f>
        <v>Formação Pedagógica em Educação Especial - Formação Pedagógica em Educação Especial - Viviane Espírito Santo dos Santos - Legislação Educacional/a - Nota Máxima: 8</v>
      </c>
    </row>
    <row r="5070">
      <c r="A5070" s="390" t="str">
        <f>IFERROR(__xludf.DUMMYFUNCTION("""COMPUTED_VALUE"""),"Formação Pedagógica em Educação Especial - Formação Pedagógica em Educação Especial - Viviane Espírito Santo dos Santos - Legislação Educacional/a - Nota Máxima: 8")</f>
        <v>Formação Pedagógica em Educação Especial - Formação Pedagógica em Educação Especial - Viviane Espírito Santo dos Santos - Legislação Educacional/a - Nota Máxima: 8</v>
      </c>
    </row>
    <row r="5071">
      <c r="A5071" s="390" t="str">
        <f>IFERROR(__xludf.DUMMYFUNCTION("""COMPUTED_VALUE"""),"Formação Pedagógica em Educação Especial - Formação Pedagógica em Educação Especial - Viviane Espírito Santo dos Santos - Planejamento, Gestão Educacional e Currículo/a - Nota Máxima: 9")</f>
        <v>Formação Pedagógica em Educação Especial - Formação Pedagógica em Educação Especial - Viviane Espírito Santo dos Santos - Planejamento, Gestão Educacional e Currículo/a - Nota Máxima: 9</v>
      </c>
    </row>
    <row r="5072">
      <c r="A5072" s="390" t="str">
        <f>IFERROR(__xludf.DUMMYFUNCTION("""COMPUTED_VALUE"""),"Formação Pedagógica em Educação Especial - Formação Pedagógica em Educação Especial - Viviane Espírito Santo dos Santos - Planejamento, Gestão Educacional e Currículo/a - Nota Máxima: 9")</f>
        <v>Formação Pedagógica em Educação Especial - Formação Pedagógica em Educação Especial - Viviane Espírito Santo dos Santos - Planejamento, Gestão Educacional e Currículo/a - Nota Máxima: 9</v>
      </c>
    </row>
    <row r="5073">
      <c r="A5073" s="390" t="str">
        <f>IFERROR(__xludf.DUMMYFUNCTION("""COMPUTED_VALUE"""),"Formação Pedagógica em Educação Especial - Formação Pedagógica em Educação Especial - Viviane Espírito Santo dos Santos - Práticas Pedagógicas - 400 Horas - Nota Máxima: 4")</f>
        <v>Formação Pedagógica em Educação Especial - Formação Pedagógica em Educação Especial - Viviane Espírito Santo dos Santos - Práticas Pedagógicas - 400 Horas - Nota Máxima: 4</v>
      </c>
    </row>
    <row r="5074">
      <c r="A5074" s="390" t="str">
        <f>IFERROR(__xludf.DUMMYFUNCTION("""COMPUTED_VALUE"""),"Formação Pedagógica em Educação Especial - Formação Pedagógica em Educação Especial - Viviane Espírito Santo dos Santos - Práticas Pedagógicas - 400 Horas - Nota Máxima: 3")</f>
        <v>Formação Pedagógica em Educação Especial - Formação Pedagógica em Educação Especial - Viviane Espírito Santo dos Santos - Práticas Pedagógicas - 400 Horas - Nota Máxima: 3</v>
      </c>
    </row>
    <row r="5075">
      <c r="A5075" s="390" t="str">
        <f>IFERROR(__xludf.DUMMYFUNCTION("""COMPUTED_VALUE"""),"Formação Pedagógica em Educação Especial - Formação Pedagógica em Educação Especial - Viviane Espírito Santo dos Santos - Psicologia da Educação/a - Nota Máxima: 9")</f>
        <v>Formação Pedagógica em Educação Especial - Formação Pedagógica em Educação Especial - Viviane Espírito Santo dos Santos - Psicologia da Educação/a - Nota Máxima: 9</v>
      </c>
    </row>
    <row r="5076">
      <c r="A5076" s="390" t="str">
        <f>IFERROR(__xludf.DUMMYFUNCTION("""COMPUTED_VALUE"""),"Formação Pedagógica em Educação Especial - Formação Pedagógica em Educação Especial - Viviane Espírito Santo dos Santos - Psicologia da Educação/a - Nota Máxima: 9")</f>
        <v>Formação Pedagógica em Educação Especial - Formação Pedagógica em Educação Especial - Viviane Espírito Santo dos Santos - Psicologia da Educação/a - Nota Máxima: 9</v>
      </c>
    </row>
    <row r="5077">
      <c r="A5077" s="390" t="str">
        <f>IFERROR(__xludf.DUMMYFUNCTION("""COMPUTED_VALUE"""),"Formação Pedagógica em Educação Especial - Formação Pedagógica em Educação Especial - Viviane Espírito Santo dos Santos - Psicomotricidade e Ludopedagogia - Nota Máxima: 9")</f>
        <v>Formação Pedagógica em Educação Especial - Formação Pedagógica em Educação Especial - Viviane Espírito Santo dos Santos - Psicomotricidade e Ludopedagogia - Nota Máxima: 9</v>
      </c>
    </row>
    <row r="5078">
      <c r="A5078" s="390" t="str">
        <f>IFERROR(__xludf.DUMMYFUNCTION("""COMPUTED_VALUE"""),"Formação Pedagógica em Educação Especial - Formação Pedagógica em Educação Especial - Viviane Espírito Santo dos Santos - Psicomotricidade e Ludopedagogia - Nota Máxima: 8")</f>
        <v>Formação Pedagógica em Educação Especial - Formação Pedagógica em Educação Especial - Viviane Espírito Santo dos Santos - Psicomotricidade e Ludopedagogia - Nota Máxima: 8</v>
      </c>
    </row>
    <row r="5079">
      <c r="A5079" s="390" t="str">
        <f>IFERROR(__xludf.DUMMYFUNCTION("""COMPUTED_VALUE"""),"Formação Pedagógica em Educação Especial - Formação Pedagógica em Educação Especial - Ivana Marcia Nogueira Dinorah Silva Lobosco - Deficiência Auditiva e Libras/a - Nota Máxima: 9")</f>
        <v>Formação Pedagógica em Educação Especial - Formação Pedagógica em Educação Especial - Ivana Marcia Nogueira Dinorah Silva Lobosco - Deficiência Auditiva e Libras/a - Nota Máxima: 9</v>
      </c>
    </row>
    <row r="5080">
      <c r="A5080" s="390" t="str">
        <f>IFERROR(__xludf.DUMMYFUNCTION("""COMPUTED_VALUE"""),"Formação Pedagógica em Educação Especial - Formação Pedagógica em Educação Especial - Ivana Marcia Nogueira Dinorah Silva Lobosco - Deficiência Auditiva e Libras/a - Nota Máxima: 10")</f>
        <v>Formação Pedagógica em Educação Especial - Formação Pedagógica em Educação Especial - Ivana Marcia Nogueira Dinorah Silva Lobosco - Deficiência Auditiva e Libras/a - Nota Máxima: 10</v>
      </c>
    </row>
    <row r="5081">
      <c r="A5081" s="390" t="str">
        <f>IFERROR(__xludf.DUMMYFUNCTION("""COMPUTED_VALUE"""),"Formação Pedagógica em Educação Especial - Formação Pedagógica em Educação Especial - Ivana Marcia Nogueira Dinorah Silva Lobosco - Educação Especial, Inclusão Escolar e Adaptações Curriculares - Nota Máxima: 9")</f>
        <v>Formação Pedagógica em Educação Especial - Formação Pedagógica em Educação Especial - Ivana Marcia Nogueira Dinorah Silva Lobosco - Educação Especial, Inclusão Escolar e Adaptações Curriculares - Nota Máxima: 9</v>
      </c>
    </row>
    <row r="5082">
      <c r="A5082" s="390" t="str">
        <f>IFERROR(__xludf.DUMMYFUNCTION("""COMPUTED_VALUE"""),"Formação Pedagógica em Educação Especial - Formação Pedagógica em Educação Especial - Carlos Roberto Silva Junior - Atuação Docente na Educação Inclusiva - Nota Máxima: 10")</f>
        <v>Formação Pedagógica em Educação Especial - Formação Pedagógica em Educação Especial - Carlos Roberto Silva Junior - Atuação Docente na Educação Inclusiva - Nota Máxima: 10</v>
      </c>
    </row>
    <row r="5083">
      <c r="A5083" s="390" t="str">
        <f>IFERROR(__xludf.DUMMYFUNCTION("""COMPUTED_VALUE"""),"Formação Pedagógica em Educação Especial - Formação Pedagógica em Educação Especial - Carlos Roberto Silva Junior - Deficiência Auditiva e Libras/a - Nota Máxima: 9")</f>
        <v>Formação Pedagógica em Educação Especial - Formação Pedagógica em Educação Especial - Carlos Roberto Silva Junior - Deficiência Auditiva e Libras/a - Nota Máxima: 9</v>
      </c>
    </row>
    <row r="5084">
      <c r="A5084" s="390" t="str">
        <f>IFERROR(__xludf.DUMMYFUNCTION("""COMPUTED_VALUE"""),"Formação Pedagógica em Educação Especial - Formação Pedagógica em Educação Especial - Carlos Roberto Silva Junior - Deficiência Auditiva e Libras/a - Nota Máxima: 10")</f>
        <v>Formação Pedagógica em Educação Especial - Formação Pedagógica em Educação Especial - Carlos Roberto Silva Junior - Deficiência Auditiva e Libras/a - Nota Máxima: 10</v>
      </c>
    </row>
    <row r="5085">
      <c r="A5085" s="390" t="str">
        <f>IFERROR(__xludf.DUMMYFUNCTION("""COMPUTED_VALUE"""),"Formação Pedagógica em Educação Especial - Formação Pedagógica em Educação Especial - Carlos Roberto Silva Junior - Educação e as Tic's - Nota Máxima: 10")</f>
        <v>Formação Pedagógica em Educação Especial - Formação Pedagógica em Educação Especial - Carlos Roberto Silva Junior - Educação e as Tic's - Nota Máxima: 10</v>
      </c>
    </row>
    <row r="5086">
      <c r="A5086" s="390" t="str">
        <f>IFERROR(__xludf.DUMMYFUNCTION("""COMPUTED_VALUE"""),"Formação Pedagógica em Educação Especial - Formação Pedagógica em Educação Especial - Carlos Roberto Silva Junior - Educação em Direitos Humanos/a - Nota Máxima: 9")</f>
        <v>Formação Pedagógica em Educação Especial - Formação Pedagógica em Educação Especial - Carlos Roberto Silva Junior - Educação em Direitos Humanos/a - Nota Máxima: 9</v>
      </c>
    </row>
    <row r="5087">
      <c r="A5087" s="390" t="str">
        <f>IFERROR(__xludf.DUMMYFUNCTION("""COMPUTED_VALUE"""),"Formação Pedagógica em Educação Especial - Formação Pedagógica em Educação Especial - Carlos Roberto Silva Junior - Educação Especial, Inclusão Escolar e Adaptações Curriculares - Nota Máxima: 8")</f>
        <v>Formação Pedagógica em Educação Especial - Formação Pedagógica em Educação Especial - Carlos Roberto Silva Junior - Educação Especial, Inclusão Escolar e Adaptações Curriculares - Nota Máxima: 8</v>
      </c>
    </row>
    <row r="5088">
      <c r="A5088" s="390" t="str">
        <f>IFERROR(__xludf.DUMMYFUNCTION("""COMPUTED_VALUE"""),"Formação Pedagógica em Educação Especial - Formação Pedagógica em Educação Especial - Carlos Roberto Silva Junior - Educação Especial, Inclusão Escolar e Adaptações Curriculares - Nota Máxima: 10")</f>
        <v>Formação Pedagógica em Educação Especial - Formação Pedagógica em Educação Especial - Carlos Roberto Silva Junior - Educação Especial, Inclusão Escolar e Adaptações Curriculares - Nota Máxima: 10</v>
      </c>
    </row>
    <row r="5089">
      <c r="A5089" s="390" t="str">
        <f>IFERROR(__xludf.DUMMYFUNCTION("""COMPUTED_VALUE"""),"Formação Pedagógica em Educação Especial - Formação Pedagógica em Educação Especial - Carlos Roberto Silva Junior - Educação, História, Cultura e Práticas Indígenas/a - Nota Máxima: 10")</f>
        <v>Formação Pedagógica em Educação Especial - Formação Pedagógica em Educação Especial - Carlos Roberto Silva Junior - Educação, História, Cultura e Práticas Indígenas/a - Nota Máxima: 10</v>
      </c>
    </row>
    <row r="5090">
      <c r="A5090" s="390" t="str">
        <f>IFERROR(__xludf.DUMMYFUNCTION("""COMPUTED_VALUE"""),"Formação Pedagógica em Educação Especial - Formação Pedagógica em Educação Especial - Carlos Roberto Silva Junior - Educação, História, Cultura e Práticas Indígenas/a - Nota Máxima: 6")</f>
        <v>Formação Pedagógica em Educação Especial - Formação Pedagógica em Educação Especial - Carlos Roberto Silva Junior - Educação, História, Cultura e Práticas Indígenas/a - Nota Máxima: 6</v>
      </c>
    </row>
    <row r="5091">
      <c r="A5091" s="390" t="str">
        <f>IFERROR(__xludf.DUMMYFUNCTION("""COMPUTED_VALUE"""),"Formação Pedagógica em Educação Especial - Formação Pedagógica em Educação Especial - Carlos Roberto Silva Junior - Fisiologia Humana - Nota Máxima: 8")</f>
        <v>Formação Pedagógica em Educação Especial - Formação Pedagógica em Educação Especial - Carlos Roberto Silva Junior - Fisiologia Humana - Nota Máxima: 8</v>
      </c>
    </row>
    <row r="5092">
      <c r="A5092" s="390" t="str">
        <f>IFERROR(__xludf.DUMMYFUNCTION("""COMPUTED_VALUE"""),"Formação Pedagógica em Educação Especial - Formação Pedagógica em Educação Especial - Carlos Roberto Silva Junior - Jogos e Recreação - Nota Máxima: 10")</f>
        <v>Formação Pedagógica em Educação Especial - Formação Pedagógica em Educação Especial - Carlos Roberto Silva Junior - Jogos e Recreação - Nota Máxima: 10</v>
      </c>
    </row>
    <row r="5093">
      <c r="A5093" s="390" t="str">
        <f>IFERROR(__xludf.DUMMYFUNCTION("""COMPUTED_VALUE"""),"Formação Pedagógica em Educação Especial - Formação Pedagógica em Educação Especial - Carlos Roberto Silva Junior - Legislação e Políticas para Educação Inclusiva e Especial - Nota Máxima: 9")</f>
        <v>Formação Pedagógica em Educação Especial - Formação Pedagógica em Educação Especial - Carlos Roberto Silva Junior - Legislação e Políticas para Educação Inclusiva e Especial - Nota Máxima: 9</v>
      </c>
    </row>
    <row r="5094">
      <c r="A5094" s="390" t="str">
        <f>IFERROR(__xludf.DUMMYFUNCTION("""COMPUTED_VALUE"""),"Formação Pedagógica em Educação Especial - Formação Pedagógica em Educação Especial - Carlos Roberto Silva Junior - Legislação Educacional/a - Nota Máxima: 8")</f>
        <v>Formação Pedagógica em Educação Especial - Formação Pedagógica em Educação Especial - Carlos Roberto Silva Junior - Legislação Educacional/a - Nota Máxima: 8</v>
      </c>
    </row>
    <row r="5095">
      <c r="A5095" s="390" t="str">
        <f>IFERROR(__xludf.DUMMYFUNCTION("""COMPUTED_VALUE"""),"Formação Pedagógica em Educação Especial - Formação Pedagógica em Educação Especial - Carlos Roberto Silva Junior - Legislação Educacional/a - Nota Máxima: 6")</f>
        <v>Formação Pedagógica em Educação Especial - Formação Pedagógica em Educação Especial - Carlos Roberto Silva Junior - Legislação Educacional/a - Nota Máxima: 6</v>
      </c>
    </row>
    <row r="5096">
      <c r="A5096" s="390" t="str">
        <f>IFERROR(__xludf.DUMMYFUNCTION("""COMPUTED_VALUE"""),"Formação Pedagógica em Educação Especial - Formação Pedagógica em Educação Especial - Carlos Roberto Silva Junior - Planejamento, Gestão Educacional e Currículo/a - Nota Máxima: 10")</f>
        <v>Formação Pedagógica em Educação Especial - Formação Pedagógica em Educação Especial - Carlos Roberto Silva Junior - Planejamento, Gestão Educacional e Currículo/a - Nota Máxima: 10</v>
      </c>
    </row>
    <row r="5097">
      <c r="A5097" s="390" t="str">
        <f>IFERROR(__xludf.DUMMYFUNCTION("""COMPUTED_VALUE"""),"Formação Pedagógica em Educação Especial - Formação Pedagógica em Educação Especial - Carlos Roberto Silva Junior - Práticas Pedagógicas - 400 Horas - Nota Máxima: 10")</f>
        <v>Formação Pedagógica em Educação Especial - Formação Pedagógica em Educação Especial - Carlos Roberto Silva Junior - Práticas Pedagógicas - 400 Horas - Nota Máxima: 10</v>
      </c>
    </row>
    <row r="5098">
      <c r="A5098" s="390" t="str">
        <f>IFERROR(__xludf.DUMMYFUNCTION("""COMPUTED_VALUE"""),"Formação Pedagógica em Educação Especial - Formação Pedagógica em Educação Especial - Carlos Roberto Silva Junior - Psicologia da Educação/a - Nota Máxima: 10")</f>
        <v>Formação Pedagógica em Educação Especial - Formação Pedagógica em Educação Especial - Carlos Roberto Silva Junior - Psicologia da Educação/a - Nota Máxima: 10</v>
      </c>
    </row>
    <row r="5099">
      <c r="A5099" s="390" t="str">
        <f>IFERROR(__xludf.DUMMYFUNCTION("""COMPUTED_VALUE"""),"Formação Pedagógica em Educação Especial - Formação Pedagógica em Educação Especial - Carlos Roberto Silva Junior - Psicologia da Educação/a - Nota Máxima: 4")</f>
        <v>Formação Pedagógica em Educação Especial - Formação Pedagógica em Educação Especial - Carlos Roberto Silva Junior - Psicologia da Educação/a - Nota Máxima: 4</v>
      </c>
    </row>
    <row r="5100">
      <c r="A5100" s="390" t="str">
        <f>IFERROR(__xludf.DUMMYFUNCTION("""COMPUTED_VALUE"""),"Formação Pedagógica em Educação Especial - Formação Pedagógica em Educação Especial - Carlos Roberto Silva Junior - Psicomotricidade e Ludopedagogia - Nota Máxima: 8")</f>
        <v>Formação Pedagógica em Educação Especial - Formação Pedagógica em Educação Especial - Carlos Roberto Silva Junior - Psicomotricidade e Ludopedagogia - Nota Máxima: 8</v>
      </c>
    </row>
    <row r="5101">
      <c r="A5101" s="390" t="str">
        <f>IFERROR(__xludf.DUMMYFUNCTION("""COMPUTED_VALUE"""),"Formação Pedagógica em Educação Especial - Formação Pedagógica em Educação Especial - Eliana Silva da Silva - Atuação Docente na Educação Inclusiva - Nota Máxima: 9")</f>
        <v>Formação Pedagógica em Educação Especial - Formação Pedagógica em Educação Especial - Eliana Silva da Silva - Atuação Docente na Educação Inclusiva - Nota Máxima: 9</v>
      </c>
    </row>
    <row r="5102">
      <c r="A5102" s="390" t="str">
        <f>IFERROR(__xludf.DUMMYFUNCTION("""COMPUTED_VALUE"""),"Formação Pedagógica em Educação Especial - Formação Pedagógica em Educação Especial - Eliana Silva da Silva - Atuação Docente na Educação Inclusiva - Nota Máxima: 10")</f>
        <v>Formação Pedagógica em Educação Especial - Formação Pedagógica em Educação Especial - Eliana Silva da Silva - Atuação Docente na Educação Inclusiva - Nota Máxima: 10</v>
      </c>
    </row>
    <row r="5103">
      <c r="A5103" s="390" t="str">
        <f>IFERROR(__xludf.DUMMYFUNCTION("""COMPUTED_VALUE"""),"Formação Pedagógica em Educação Especial - Formação Pedagógica em Educação Especial - Eliana Silva da Silva - Deficiência Auditiva e Libras/a - Nota Máxima: 10")</f>
        <v>Formação Pedagógica em Educação Especial - Formação Pedagógica em Educação Especial - Eliana Silva da Silva - Deficiência Auditiva e Libras/a - Nota Máxima: 10</v>
      </c>
    </row>
    <row r="5104">
      <c r="A5104" s="390" t="str">
        <f>IFERROR(__xludf.DUMMYFUNCTION("""COMPUTED_VALUE"""),"Formação Pedagógica em Educação Especial - Formação Pedagógica em Educação Especial - Eliana Silva da Silva - Educação e as Tic's - Nota Máxima: 10")</f>
        <v>Formação Pedagógica em Educação Especial - Formação Pedagógica em Educação Especial - Eliana Silva da Silva - Educação e as Tic's - Nota Máxima: 10</v>
      </c>
    </row>
    <row r="5105">
      <c r="A5105" s="390" t="str">
        <f>IFERROR(__xludf.DUMMYFUNCTION("""COMPUTED_VALUE"""),"Formação Pedagógica em Educação Especial - Formação Pedagógica em Educação Especial - Eliana Silva da Silva - Educação em Direitos Humanos/a - Nota Máxima: 10")</f>
        <v>Formação Pedagógica em Educação Especial - Formação Pedagógica em Educação Especial - Eliana Silva da Silva - Educação em Direitos Humanos/a - Nota Máxima: 10</v>
      </c>
    </row>
    <row r="5106">
      <c r="A5106" s="390" t="str">
        <f>IFERROR(__xludf.DUMMYFUNCTION("""COMPUTED_VALUE"""),"Formação Pedagógica em Educação Especial - Formação Pedagógica em Educação Especial - Eliana Silva da Silva - Educação Especial, Inclusão Escolar e Adaptações Curriculares - Nota Máxima: 10")</f>
        <v>Formação Pedagógica em Educação Especial - Formação Pedagógica em Educação Especial - Eliana Silva da Silva - Educação Especial, Inclusão Escolar e Adaptações Curriculares - Nota Máxima: 10</v>
      </c>
    </row>
    <row r="5107">
      <c r="A5107" s="390" t="str">
        <f>IFERROR(__xludf.DUMMYFUNCTION("""COMPUTED_VALUE"""),"Formação Pedagógica em Educação Especial - Formação Pedagógica em Educação Especial - Eliana Silva da Silva - Educação, História, Cultura e Práticas Indígenas/a - Nota Máxima: 10")</f>
        <v>Formação Pedagógica em Educação Especial - Formação Pedagógica em Educação Especial - Eliana Silva da Silva - Educação, História, Cultura e Práticas Indígenas/a - Nota Máxima: 10</v>
      </c>
    </row>
    <row r="5108">
      <c r="A5108" s="390" t="str">
        <f>IFERROR(__xludf.DUMMYFUNCTION("""COMPUTED_VALUE"""),"Formação Pedagógica em Educação Especial - Formação Pedagógica em Educação Especial - Eliana Silva da Silva - Fisiologia Humana - Nota Máxima: 10")</f>
        <v>Formação Pedagógica em Educação Especial - Formação Pedagógica em Educação Especial - Eliana Silva da Silva - Fisiologia Humana - Nota Máxima: 10</v>
      </c>
    </row>
    <row r="5109">
      <c r="A5109" s="390" t="str">
        <f>IFERROR(__xludf.DUMMYFUNCTION("""COMPUTED_VALUE"""),"Formação Pedagógica em Educação Especial - Formação Pedagógica em Educação Especial - Eliana Silva da Silva - Jogos e Recreação - Nota Máxima: 9")</f>
        <v>Formação Pedagógica em Educação Especial - Formação Pedagógica em Educação Especial - Eliana Silva da Silva - Jogos e Recreação - Nota Máxima: 9</v>
      </c>
    </row>
    <row r="5110">
      <c r="A5110" s="390" t="str">
        <f>IFERROR(__xludf.DUMMYFUNCTION("""COMPUTED_VALUE"""),"Formação Pedagógica em Educação Especial - Formação Pedagógica em Educação Especial - Eliana Silva da Silva - Jogos e Recreação - Nota Máxima: 10")</f>
        <v>Formação Pedagógica em Educação Especial - Formação Pedagógica em Educação Especial - Eliana Silva da Silva - Jogos e Recreação - Nota Máxima: 10</v>
      </c>
    </row>
    <row r="5111">
      <c r="A5111" s="390" t="str">
        <f>IFERROR(__xludf.DUMMYFUNCTION("""COMPUTED_VALUE"""),"Formação Pedagógica em Educação Especial - Formação Pedagógica em Educação Especial - Eliana Silva da Silva - Legislação e Políticas para Educação Inclusiva e Especial - Nota Máxima: 10")</f>
        <v>Formação Pedagógica em Educação Especial - Formação Pedagógica em Educação Especial - Eliana Silva da Silva - Legislação e Políticas para Educação Inclusiva e Especial - Nota Máxima: 10</v>
      </c>
    </row>
    <row r="5112">
      <c r="A5112" s="390" t="str">
        <f>IFERROR(__xludf.DUMMYFUNCTION("""COMPUTED_VALUE"""),"Formação Pedagógica em Educação Especial - Formação Pedagógica em Educação Especial - Eliana Silva da Silva - Legislação Educacional/a - Nota Máxima: 9")</f>
        <v>Formação Pedagógica em Educação Especial - Formação Pedagógica em Educação Especial - Eliana Silva da Silva - Legislação Educacional/a - Nota Máxima: 9</v>
      </c>
    </row>
    <row r="5113">
      <c r="A5113" s="390" t="str">
        <f>IFERROR(__xludf.DUMMYFUNCTION("""COMPUTED_VALUE"""),"Formação Pedagógica em Educação Especial - Formação Pedagógica em Educação Especial - Eliana Silva da Silva - Planejamento, Gestão Educacional e Currículo/a - Nota Máxima: 10")</f>
        <v>Formação Pedagógica em Educação Especial - Formação Pedagógica em Educação Especial - Eliana Silva da Silva - Planejamento, Gestão Educacional e Currículo/a - Nota Máxima: 10</v>
      </c>
    </row>
    <row r="5114">
      <c r="A5114" s="390" t="str">
        <f>IFERROR(__xludf.DUMMYFUNCTION("""COMPUTED_VALUE"""),"Formação Pedagógica em Educação Especial - Formação Pedagógica em Educação Especial - Eliana Silva da Silva - Práticas Pedagógicas - 400 Horas - Nota Máxima: 4")</f>
        <v>Formação Pedagógica em Educação Especial - Formação Pedagógica em Educação Especial - Eliana Silva da Silva - Práticas Pedagógicas - 400 Horas - Nota Máxima: 4</v>
      </c>
    </row>
    <row r="5115">
      <c r="A5115" s="390" t="str">
        <f>IFERROR(__xludf.DUMMYFUNCTION("""COMPUTED_VALUE"""),"Formação Pedagógica em Educação Especial - Formação Pedagógica em Educação Especial - Eliana Silva da Silva - Práticas Pedagógicas - 400 Horas - Nota Máxima: 3")</f>
        <v>Formação Pedagógica em Educação Especial - Formação Pedagógica em Educação Especial - Eliana Silva da Silva - Práticas Pedagógicas - 400 Horas - Nota Máxima: 3</v>
      </c>
    </row>
    <row r="5116">
      <c r="A5116" s="390" t="str">
        <f>IFERROR(__xludf.DUMMYFUNCTION("""COMPUTED_VALUE"""),"Formação Pedagógica em Educação Especial - Formação Pedagógica em Educação Especial - Eliana Silva da Silva - Psicologia da Educação/a - Nota Máxima: 10")</f>
        <v>Formação Pedagógica em Educação Especial - Formação Pedagógica em Educação Especial - Eliana Silva da Silva - Psicologia da Educação/a - Nota Máxima: 10</v>
      </c>
    </row>
    <row r="5117">
      <c r="A5117" s="390" t="str">
        <f>IFERROR(__xludf.DUMMYFUNCTION("""COMPUTED_VALUE"""),"Formação Pedagógica em Educação Especial - Formação Pedagógica em Educação Especial - Eliana Silva da Silva - Psicomotricidade e Ludopedagogia - Nota Máxima: 8")</f>
        <v>Formação Pedagógica em Educação Especial - Formação Pedagógica em Educação Especial - Eliana Silva da Silva - Psicomotricidade e Ludopedagogia - Nota Máxima: 8</v>
      </c>
    </row>
    <row r="5118">
      <c r="A5118" s="390" t="str">
        <f>IFERROR(__xludf.DUMMYFUNCTION("""COMPUTED_VALUE"""),"Formação Pedagógica em Educação Especial - Formação Pedagógica em Educação Especial - Eliana Silva da Silva - Psicomotricidade e Ludopedagogia - Nota Máxima: 10")</f>
        <v>Formação Pedagógica em Educação Especial - Formação Pedagógica em Educação Especial - Eliana Silva da Silva - Psicomotricidade e Ludopedagogia - Nota Máxima: 10</v>
      </c>
    </row>
    <row r="5119">
      <c r="A5119" s="390" t="str">
        <f>IFERROR(__xludf.DUMMYFUNCTION("""COMPUTED_VALUE"""),"Formação Pedagógica em Educação Especial - Formação Pedagógica em Educação Especial - Rosana Cristina de Souza Siqueira - Atuação Docente na Educação Inclusiva - Nota Máxima: 10")</f>
        <v>Formação Pedagógica em Educação Especial - Formação Pedagógica em Educação Especial - Rosana Cristina de Souza Siqueira - Atuação Docente na Educação Inclusiva - Nota Máxima: 10</v>
      </c>
    </row>
    <row r="5120">
      <c r="A5120" s="390" t="str">
        <f>IFERROR(__xludf.DUMMYFUNCTION("""COMPUTED_VALUE"""),"Formação Pedagógica em Educação Especial - Formação Pedagógica em Educação Especial - Rosana Cristina de Souza Siqueira - Atuação Docente na Educação Inclusiva - Nota Máxima: 9")</f>
        <v>Formação Pedagógica em Educação Especial - Formação Pedagógica em Educação Especial - Rosana Cristina de Souza Siqueira - Atuação Docente na Educação Inclusiva - Nota Máxima: 9</v>
      </c>
    </row>
    <row r="5121">
      <c r="A5121" s="390" t="str">
        <f>IFERROR(__xludf.DUMMYFUNCTION("""COMPUTED_VALUE"""),"Formação Pedagógica em Educação Especial - Formação Pedagógica em Educação Especial - Rosana Cristina de Souza Siqueira - Deficiência Auditiva e Libras/a - Nota Máxima: 9")</f>
        <v>Formação Pedagógica em Educação Especial - Formação Pedagógica em Educação Especial - Rosana Cristina de Souza Siqueira - Deficiência Auditiva e Libras/a - Nota Máxima: 9</v>
      </c>
    </row>
    <row r="5122">
      <c r="A5122" s="390" t="str">
        <f>IFERROR(__xludf.DUMMYFUNCTION("""COMPUTED_VALUE"""),"Formação Pedagógica em Educação Especial - Formação Pedagógica em Educação Especial - Rosana Cristina de Souza Siqueira - Deficiência Auditiva e Libras/a - Nota Máxima: 9")</f>
        <v>Formação Pedagógica em Educação Especial - Formação Pedagógica em Educação Especial - Rosana Cristina de Souza Siqueira - Deficiência Auditiva e Libras/a - Nota Máxima: 9</v>
      </c>
    </row>
    <row r="5123">
      <c r="A5123" s="390" t="str">
        <f>IFERROR(__xludf.DUMMYFUNCTION("""COMPUTED_VALUE"""),"Formação Pedagógica em Educação Especial - Formação Pedagógica em Educação Especial - Rosana Cristina de Souza Siqueira - Educação e as Tic's - Nota Máxima: 10")</f>
        <v>Formação Pedagógica em Educação Especial - Formação Pedagógica em Educação Especial - Rosana Cristina de Souza Siqueira - Educação e as Tic's - Nota Máxima: 10</v>
      </c>
    </row>
    <row r="5124">
      <c r="A5124" s="390" t="str">
        <f>IFERROR(__xludf.DUMMYFUNCTION("""COMPUTED_VALUE"""),"Formação Pedagógica em Educação Especial - Formação Pedagógica em Educação Especial - Rosana Cristina de Souza Siqueira - Educação e as Tic's - Nota Máxima: 9")</f>
        <v>Formação Pedagógica em Educação Especial - Formação Pedagógica em Educação Especial - Rosana Cristina de Souza Siqueira - Educação e as Tic's - Nota Máxima: 9</v>
      </c>
    </row>
    <row r="5125">
      <c r="A5125" s="390" t="str">
        <f>IFERROR(__xludf.DUMMYFUNCTION("""COMPUTED_VALUE"""),"Formação Pedagógica em Educação Especial - Formação Pedagógica em Educação Especial - Rosana Cristina de Souza Siqueira - Educação em Direitos Humanos/a - Nota Máxima: 10")</f>
        <v>Formação Pedagógica em Educação Especial - Formação Pedagógica em Educação Especial - Rosana Cristina de Souza Siqueira - Educação em Direitos Humanos/a - Nota Máxima: 10</v>
      </c>
    </row>
    <row r="5126">
      <c r="A5126" s="390" t="str">
        <f>IFERROR(__xludf.DUMMYFUNCTION("""COMPUTED_VALUE"""),"Formação Pedagógica em Educação Especial - Formação Pedagógica em Educação Especial - Rosana Cristina de Souza Siqueira - Educação em Direitos Humanos/a - Nota Máxima: 9")</f>
        <v>Formação Pedagógica em Educação Especial - Formação Pedagógica em Educação Especial - Rosana Cristina de Souza Siqueira - Educação em Direitos Humanos/a - Nota Máxima: 9</v>
      </c>
    </row>
    <row r="5127">
      <c r="A5127" s="390" t="str">
        <f>IFERROR(__xludf.DUMMYFUNCTION("""COMPUTED_VALUE"""),"Formação Pedagógica em Educação Especial - Formação Pedagógica em Educação Especial - Rosana Cristina de Souza Siqueira - Educação Especial, Inclusão Escolar e Adaptações Curriculares - Nota Máxima: 10")</f>
        <v>Formação Pedagógica em Educação Especial - Formação Pedagógica em Educação Especial - Rosana Cristina de Souza Siqueira - Educação Especial, Inclusão Escolar e Adaptações Curriculares - Nota Máxima: 10</v>
      </c>
    </row>
    <row r="5128">
      <c r="A5128" s="390" t="str">
        <f>IFERROR(__xludf.DUMMYFUNCTION("""COMPUTED_VALUE"""),"Formação Pedagógica em Educação Especial - Formação Pedagógica em Educação Especial - Rosana Cristina de Souza Siqueira - Educação Especial, Inclusão Escolar e Adaptações Curriculares - Nota Máxima: 8")</f>
        <v>Formação Pedagógica em Educação Especial - Formação Pedagógica em Educação Especial - Rosana Cristina de Souza Siqueira - Educação Especial, Inclusão Escolar e Adaptações Curriculares - Nota Máxima: 8</v>
      </c>
    </row>
    <row r="5129">
      <c r="A5129" s="390" t="str">
        <f>IFERROR(__xludf.DUMMYFUNCTION("""COMPUTED_VALUE"""),"Formação Pedagógica em Educação Especial - Formação Pedagógica em Educação Especial - Rosana Cristina de Souza Siqueira - Educação, História, Cultura e Práticas Indígenas/a - Nota Máxima: 10")</f>
        <v>Formação Pedagógica em Educação Especial - Formação Pedagógica em Educação Especial - Rosana Cristina de Souza Siqueira - Educação, História, Cultura e Práticas Indígenas/a - Nota Máxima: 10</v>
      </c>
    </row>
    <row r="5130">
      <c r="A5130" s="390" t="str">
        <f>IFERROR(__xludf.DUMMYFUNCTION("""COMPUTED_VALUE"""),"Formação Pedagógica em Educação Especial - Formação Pedagógica em Educação Especial - Rosana Cristina de Souza Siqueira - Educação, História, Cultura e Práticas Indígenas/a - Nota Máxima: 8")</f>
        <v>Formação Pedagógica em Educação Especial - Formação Pedagógica em Educação Especial - Rosana Cristina de Souza Siqueira - Educação, História, Cultura e Práticas Indígenas/a - Nota Máxima: 8</v>
      </c>
    </row>
    <row r="5131">
      <c r="A5131" s="390" t="str">
        <f>IFERROR(__xludf.DUMMYFUNCTION("""COMPUTED_VALUE"""),"Formação Pedagógica em Educação Especial - Formação Pedagógica em Educação Especial - Rosana Cristina de Souza Siqueira - Fisiologia Humana - Nota Máxima: 10")</f>
        <v>Formação Pedagógica em Educação Especial - Formação Pedagógica em Educação Especial - Rosana Cristina de Souza Siqueira - Fisiologia Humana - Nota Máxima: 10</v>
      </c>
    </row>
    <row r="5132">
      <c r="A5132" s="390" t="str">
        <f>IFERROR(__xludf.DUMMYFUNCTION("""COMPUTED_VALUE"""),"Formação Pedagógica em Educação Especial - Formação Pedagógica em Educação Especial - Rosana Cristina de Souza Siqueira - Fisiologia Humana - Nota Máxima: 8")</f>
        <v>Formação Pedagógica em Educação Especial - Formação Pedagógica em Educação Especial - Rosana Cristina de Souza Siqueira - Fisiologia Humana - Nota Máxima: 8</v>
      </c>
    </row>
    <row r="5133">
      <c r="A5133" s="390" t="str">
        <f>IFERROR(__xludf.DUMMYFUNCTION("""COMPUTED_VALUE"""),"Formação Pedagógica em Educação Especial - Formação Pedagógica em Educação Especial - Rosana Cristina de Souza Siqueira - Jogos e Recreação - Nota Máxima: 10")</f>
        <v>Formação Pedagógica em Educação Especial - Formação Pedagógica em Educação Especial - Rosana Cristina de Souza Siqueira - Jogos e Recreação - Nota Máxima: 10</v>
      </c>
    </row>
    <row r="5134">
      <c r="A5134" s="390" t="str">
        <f>IFERROR(__xludf.DUMMYFUNCTION("""COMPUTED_VALUE"""),"Formação Pedagógica em Educação Especial - Formação Pedagógica em Educação Especial - Rosana Cristina de Souza Siqueira - Jogos e Recreação - Nota Máxima: 8")</f>
        <v>Formação Pedagógica em Educação Especial - Formação Pedagógica em Educação Especial - Rosana Cristina de Souza Siqueira - Jogos e Recreação - Nota Máxima: 8</v>
      </c>
    </row>
    <row r="5135">
      <c r="A5135" s="390" t="str">
        <f>IFERROR(__xludf.DUMMYFUNCTION("""COMPUTED_VALUE"""),"Formação Pedagógica em Educação Especial - Formação Pedagógica em Educação Especial - Rosana Cristina de Souza Siqueira - Legislação e Políticas para Educação Inclusiva e Especial - Nota Máxima: 10")</f>
        <v>Formação Pedagógica em Educação Especial - Formação Pedagógica em Educação Especial - Rosana Cristina de Souza Siqueira - Legislação e Políticas para Educação Inclusiva e Especial - Nota Máxima: 10</v>
      </c>
    </row>
    <row r="5136">
      <c r="A5136" s="390" t="str">
        <f>IFERROR(__xludf.DUMMYFUNCTION("""COMPUTED_VALUE"""),"Formação Pedagógica em Educação Especial - Formação Pedagógica em Educação Especial - Rosana Cristina de Souza Siqueira - Legislação e Políticas para Educação Inclusiva e Especial - Nota Máxima: 8")</f>
        <v>Formação Pedagógica em Educação Especial - Formação Pedagógica em Educação Especial - Rosana Cristina de Souza Siqueira - Legislação e Políticas para Educação Inclusiva e Especial - Nota Máxima: 8</v>
      </c>
    </row>
    <row r="5137">
      <c r="A5137" s="390" t="str">
        <f>IFERROR(__xludf.DUMMYFUNCTION("""COMPUTED_VALUE"""),"Formação Pedagógica em Educação Especial - Formação Pedagógica em Educação Especial - Rosana Cristina de Souza Siqueira - Legislação Educacional/a - Nota Máxima: 10")</f>
        <v>Formação Pedagógica em Educação Especial - Formação Pedagógica em Educação Especial - Rosana Cristina de Souza Siqueira - Legislação Educacional/a - Nota Máxima: 10</v>
      </c>
    </row>
    <row r="5138">
      <c r="A5138" s="390" t="str">
        <f>IFERROR(__xludf.DUMMYFUNCTION("""COMPUTED_VALUE"""),"Formação Pedagógica em Educação Especial - Formação Pedagógica em Educação Especial - Rosana Cristina de Souza Siqueira - Legislação Educacional/a - Nota Máxima: 5")</f>
        <v>Formação Pedagógica em Educação Especial - Formação Pedagógica em Educação Especial - Rosana Cristina de Souza Siqueira - Legislação Educacional/a - Nota Máxima: 5</v>
      </c>
    </row>
    <row r="5139">
      <c r="A5139" s="390" t="str">
        <f>IFERROR(__xludf.DUMMYFUNCTION("""COMPUTED_VALUE"""),"Formação Pedagógica em Educação Especial - Formação Pedagógica em Educação Especial - Rosana Cristina de Souza Siqueira - Planejamento, Gestão Educacional e Currículo/a - Nota Máxima: 10")</f>
        <v>Formação Pedagógica em Educação Especial - Formação Pedagógica em Educação Especial - Rosana Cristina de Souza Siqueira - Planejamento, Gestão Educacional e Currículo/a - Nota Máxima: 10</v>
      </c>
    </row>
    <row r="5140">
      <c r="A5140" s="390" t="str">
        <f>IFERROR(__xludf.DUMMYFUNCTION("""COMPUTED_VALUE"""),"Formação Pedagógica em Educação Especial - Formação Pedagógica em Educação Especial - Rosana Cristina de Souza Siqueira - Planejamento, Gestão Educacional e Currículo/a - Nota Máxima: 10")</f>
        <v>Formação Pedagógica em Educação Especial - Formação Pedagógica em Educação Especial - Rosana Cristina de Souza Siqueira - Planejamento, Gestão Educacional e Currículo/a - Nota Máxima: 10</v>
      </c>
    </row>
    <row r="5141">
      <c r="A5141" s="390" t="str">
        <f>IFERROR(__xludf.DUMMYFUNCTION("""COMPUTED_VALUE"""),"Formação Pedagógica em Educação Especial - Formação Pedagógica em Educação Especial - Rosana Cristina de Souza Siqueira - Práticas Pedagógicas - 400 Horas - Nota Máxima: 10")</f>
        <v>Formação Pedagógica em Educação Especial - Formação Pedagógica em Educação Especial - Rosana Cristina de Souza Siqueira - Práticas Pedagógicas - 400 Horas - Nota Máxima: 10</v>
      </c>
    </row>
    <row r="5142">
      <c r="A5142" s="390" t="str">
        <f>IFERROR(__xludf.DUMMYFUNCTION("""COMPUTED_VALUE"""),"Formação Pedagógica em Educação Especial - Formação Pedagógica em Educação Especial - Rosana Cristina de Souza Siqueira - Práticas Pedagógicas - 400 Horas - Nota Máxima: 45784")</f>
        <v>Formação Pedagógica em Educação Especial - Formação Pedagógica em Educação Especial - Rosana Cristina de Souza Siqueira - Práticas Pedagógicas - 400 Horas - Nota Máxima: 45784</v>
      </c>
    </row>
    <row r="5143">
      <c r="A5143" s="390" t="str">
        <f>IFERROR(__xludf.DUMMYFUNCTION("""COMPUTED_VALUE"""),"Formação Pedagógica em Educação Especial - Formação Pedagógica em Educação Especial - Rosana Cristina de Souza Siqueira - Psicologia da Educação/a - Nota Máxima: 10")</f>
        <v>Formação Pedagógica em Educação Especial - Formação Pedagógica em Educação Especial - Rosana Cristina de Souza Siqueira - Psicologia da Educação/a - Nota Máxima: 10</v>
      </c>
    </row>
    <row r="5144">
      <c r="A5144" s="390" t="str">
        <f>IFERROR(__xludf.DUMMYFUNCTION("""COMPUTED_VALUE"""),"Formação Pedagógica em Educação Especial - Formação Pedagógica em Educação Especial - Rosana Cristina de Souza Siqueira - Psicologia da Educação/a - Nota Máxima: 7")</f>
        <v>Formação Pedagógica em Educação Especial - Formação Pedagógica em Educação Especial - Rosana Cristina de Souza Siqueira - Psicologia da Educação/a - Nota Máxima: 7</v>
      </c>
    </row>
    <row r="5145">
      <c r="A5145" s="390" t="str">
        <f>IFERROR(__xludf.DUMMYFUNCTION("""COMPUTED_VALUE"""),"Formação Pedagógica em Educação Especial - Formação Pedagógica em Educação Especial - Rosana Cristina de Souza Siqueira - Psicomotricidade e Ludopedagogia - Nota Máxima: 10")</f>
        <v>Formação Pedagógica em Educação Especial - Formação Pedagógica em Educação Especial - Rosana Cristina de Souza Siqueira - Psicomotricidade e Ludopedagogia - Nota Máxima: 10</v>
      </c>
    </row>
    <row r="5146">
      <c r="A5146" s="390" t="str">
        <f>IFERROR(__xludf.DUMMYFUNCTION("""COMPUTED_VALUE"""),"Formação Pedagógica em Educação Especial - Formação Pedagógica em Educação Especial - Rosana Cristina de Souza Siqueira - Psicomotricidade e Ludopedagogia - Nota Máxima: 9")</f>
        <v>Formação Pedagógica em Educação Especial - Formação Pedagógica em Educação Especial - Rosana Cristina de Souza Siqueira - Psicomotricidade e Ludopedagogia - Nota Máxima: 9</v>
      </c>
    </row>
    <row r="5147">
      <c r="A5147" s="390" t="str">
        <f>IFERROR(__xludf.DUMMYFUNCTION("""COMPUTED_VALUE"""),"Formação Pedagógica em Educação Especial - Formação Pedagógica em Educação Especial - Diana Cristina Silvério Nascimento - Atuação Docente na Educação Inclusiva - Nota Máxima: 10")</f>
        <v>Formação Pedagógica em Educação Especial - Formação Pedagógica em Educação Especial - Diana Cristina Silvério Nascimento - Atuação Docente na Educação Inclusiva - Nota Máxima: 10</v>
      </c>
    </row>
    <row r="5148">
      <c r="A5148" s="390" t="str">
        <f>IFERROR(__xludf.DUMMYFUNCTION("""COMPUTED_VALUE"""),"Formação Pedagógica em Educação Especial - Formação Pedagógica em Educação Especial - Diana Cristina Silvério Nascimento - Atuação Docente na Educação Inclusiva - Nota Máxima: 10")</f>
        <v>Formação Pedagógica em Educação Especial - Formação Pedagógica em Educação Especial - Diana Cristina Silvério Nascimento - Atuação Docente na Educação Inclusiva - Nota Máxima: 10</v>
      </c>
    </row>
    <row r="5149">
      <c r="A5149" s="390" t="str">
        <f>IFERROR(__xludf.DUMMYFUNCTION("""COMPUTED_VALUE"""),"Formação Pedagógica em Educação Especial - Formação Pedagógica em Educação Especial - Diana Cristina Silvério Nascimento - Deficiência Auditiva e Libras/a - Nota Máxima: 10")</f>
        <v>Formação Pedagógica em Educação Especial - Formação Pedagógica em Educação Especial - Diana Cristina Silvério Nascimento - Deficiência Auditiva e Libras/a - Nota Máxima: 10</v>
      </c>
    </row>
    <row r="5150">
      <c r="A5150" s="390" t="str">
        <f>IFERROR(__xludf.DUMMYFUNCTION("""COMPUTED_VALUE"""),"Formação Pedagógica em Educação Especial - Formação Pedagógica em Educação Especial - Diana Cristina Silvério Nascimento - Deficiência Auditiva e Libras/a - Nota Máxima: 8")</f>
        <v>Formação Pedagógica em Educação Especial - Formação Pedagógica em Educação Especial - Diana Cristina Silvério Nascimento - Deficiência Auditiva e Libras/a - Nota Máxima: 8</v>
      </c>
    </row>
    <row r="5151">
      <c r="A5151" s="390" t="str">
        <f>IFERROR(__xludf.DUMMYFUNCTION("""COMPUTED_VALUE"""),"Formação Pedagógica em Educação Especial - Formação Pedagógica em Educação Especial - Diana Cristina Silvério Nascimento - Educação e as Tic's - Nota Máxima: 10")</f>
        <v>Formação Pedagógica em Educação Especial - Formação Pedagógica em Educação Especial - Diana Cristina Silvério Nascimento - Educação e as Tic's - Nota Máxima: 10</v>
      </c>
    </row>
    <row r="5152">
      <c r="A5152" s="390" t="str">
        <f>IFERROR(__xludf.DUMMYFUNCTION("""COMPUTED_VALUE"""),"Formação Pedagógica em Educação Especial - Formação Pedagógica em Educação Especial - Diana Cristina Silvério Nascimento - Educação e as Tic's - Nota Máxima: 9")</f>
        <v>Formação Pedagógica em Educação Especial - Formação Pedagógica em Educação Especial - Diana Cristina Silvério Nascimento - Educação e as Tic's - Nota Máxima: 9</v>
      </c>
    </row>
    <row r="5153">
      <c r="A5153" s="390" t="str">
        <f>IFERROR(__xludf.DUMMYFUNCTION("""COMPUTED_VALUE"""),"Formação Pedagógica em Educação Especial - Formação Pedagógica em Educação Especial - Diana Cristina Silvério Nascimento - Educação em Direitos Humanos/a - Nota Máxima: 10")</f>
        <v>Formação Pedagógica em Educação Especial - Formação Pedagógica em Educação Especial - Diana Cristina Silvério Nascimento - Educação em Direitos Humanos/a - Nota Máxima: 10</v>
      </c>
    </row>
    <row r="5154">
      <c r="A5154" s="390" t="str">
        <f>IFERROR(__xludf.DUMMYFUNCTION("""COMPUTED_VALUE"""),"Formação Pedagógica em Educação Especial - Formação Pedagógica em Educação Especial - Diana Cristina Silvério Nascimento - Educação em Direitos Humanos/a - Nota Máxima: 8")</f>
        <v>Formação Pedagógica em Educação Especial - Formação Pedagógica em Educação Especial - Diana Cristina Silvério Nascimento - Educação em Direitos Humanos/a - Nota Máxima: 8</v>
      </c>
    </row>
    <row r="5155">
      <c r="A5155" s="390" t="str">
        <f>IFERROR(__xludf.DUMMYFUNCTION("""COMPUTED_VALUE"""),"Formação Pedagógica em Educação Especial - Formação Pedagógica em Educação Especial - Diana Cristina Silvério Nascimento - Educação Especial, Inclusão Escolar e Adaptações Curriculares - Nota Máxima: 10")</f>
        <v>Formação Pedagógica em Educação Especial - Formação Pedagógica em Educação Especial - Diana Cristina Silvério Nascimento - Educação Especial, Inclusão Escolar e Adaptações Curriculares - Nota Máxima: 10</v>
      </c>
    </row>
    <row r="5156">
      <c r="A5156" s="390" t="str">
        <f>IFERROR(__xludf.DUMMYFUNCTION("""COMPUTED_VALUE"""),"Formação Pedagógica em Educação Especial - Formação Pedagógica em Educação Especial - Diana Cristina Silvério Nascimento - Educação Especial, Inclusão Escolar e Adaptações Curriculares - Nota Máxima: 7")</f>
        <v>Formação Pedagógica em Educação Especial - Formação Pedagógica em Educação Especial - Diana Cristina Silvério Nascimento - Educação Especial, Inclusão Escolar e Adaptações Curriculares - Nota Máxima: 7</v>
      </c>
    </row>
    <row r="5157">
      <c r="A5157" s="390" t="str">
        <f>IFERROR(__xludf.DUMMYFUNCTION("""COMPUTED_VALUE"""),"Formação Pedagógica em Educação Especial - Formação Pedagógica em Educação Especial - Diana Cristina Silvério Nascimento - Educação, História, Cultura e Práticas Indígenas/a - Nota Máxima: 10")</f>
        <v>Formação Pedagógica em Educação Especial - Formação Pedagógica em Educação Especial - Diana Cristina Silvério Nascimento - Educação, História, Cultura e Práticas Indígenas/a - Nota Máxima: 10</v>
      </c>
    </row>
    <row r="5158">
      <c r="A5158" s="390" t="str">
        <f>IFERROR(__xludf.DUMMYFUNCTION("""COMPUTED_VALUE"""),"Formação Pedagógica em Educação Especial - Formação Pedagógica em Educação Especial - Diana Cristina Silvério Nascimento - Educação, História, Cultura e Práticas Indígenas/a - Nota Máxima: 8")</f>
        <v>Formação Pedagógica em Educação Especial - Formação Pedagógica em Educação Especial - Diana Cristina Silvério Nascimento - Educação, História, Cultura e Práticas Indígenas/a - Nota Máxima: 8</v>
      </c>
    </row>
    <row r="5159">
      <c r="A5159" s="390" t="str">
        <f>IFERROR(__xludf.DUMMYFUNCTION("""COMPUTED_VALUE"""),"Formação Pedagógica em Educação Especial - Formação Pedagógica em Educação Especial - Diana Cristina Silvério Nascimento - Fisiologia Humana - Nota Máxima: 10")</f>
        <v>Formação Pedagógica em Educação Especial - Formação Pedagógica em Educação Especial - Diana Cristina Silvério Nascimento - Fisiologia Humana - Nota Máxima: 10</v>
      </c>
    </row>
    <row r="5160">
      <c r="A5160" s="390" t="str">
        <f>IFERROR(__xludf.DUMMYFUNCTION("""COMPUTED_VALUE"""),"Formação Pedagógica em Educação Especial - Formação Pedagógica em Educação Especial - Diana Cristina Silvério Nascimento - Fisiologia Humana - Nota Máxima: 9")</f>
        <v>Formação Pedagógica em Educação Especial - Formação Pedagógica em Educação Especial - Diana Cristina Silvério Nascimento - Fisiologia Humana - Nota Máxima: 9</v>
      </c>
    </row>
    <row r="5161">
      <c r="A5161" s="390" t="str">
        <f>IFERROR(__xludf.DUMMYFUNCTION("""COMPUTED_VALUE"""),"Formação Pedagógica em Educação Especial - Formação Pedagógica em Educação Especial - Diana Cristina Silvério Nascimento - Jogos e Recreação - Nota Máxima: 10")</f>
        <v>Formação Pedagógica em Educação Especial - Formação Pedagógica em Educação Especial - Diana Cristina Silvério Nascimento - Jogos e Recreação - Nota Máxima: 10</v>
      </c>
    </row>
    <row r="5162">
      <c r="A5162" s="390" t="str">
        <f>IFERROR(__xludf.DUMMYFUNCTION("""COMPUTED_VALUE"""),"Formação Pedagógica em Educação Especial - Formação Pedagógica em Educação Especial - Diana Cristina Silvério Nascimento - Jogos e Recreação - Nota Máxima: 10")</f>
        <v>Formação Pedagógica em Educação Especial - Formação Pedagógica em Educação Especial - Diana Cristina Silvério Nascimento - Jogos e Recreação - Nota Máxima: 10</v>
      </c>
    </row>
    <row r="5163">
      <c r="A5163" s="390" t="str">
        <f>IFERROR(__xludf.DUMMYFUNCTION("""COMPUTED_VALUE"""),"Formação Pedagógica em Educação Especial - Formação Pedagógica em Educação Especial - Diana Cristina Silvério Nascimento - Legislação e Políticas para Educação Inclusiva e Especial - Nota Máxima: 10")</f>
        <v>Formação Pedagógica em Educação Especial - Formação Pedagógica em Educação Especial - Diana Cristina Silvério Nascimento - Legislação e Políticas para Educação Inclusiva e Especial - Nota Máxima: 10</v>
      </c>
    </row>
    <row r="5164">
      <c r="A5164" s="390" t="str">
        <f>IFERROR(__xludf.DUMMYFUNCTION("""COMPUTED_VALUE"""),"Formação Pedagógica em Educação Especial - Formação Pedagógica em Educação Especial - Diana Cristina Silvério Nascimento - Legislação e Políticas para Educação Inclusiva e Especial - Nota Máxima: 6")</f>
        <v>Formação Pedagógica em Educação Especial - Formação Pedagógica em Educação Especial - Diana Cristina Silvério Nascimento - Legislação e Políticas para Educação Inclusiva e Especial - Nota Máxima: 6</v>
      </c>
    </row>
    <row r="5165">
      <c r="A5165" s="390" t="str">
        <f>IFERROR(__xludf.DUMMYFUNCTION("""COMPUTED_VALUE"""),"Formação Pedagógica em Educação Especial - Formação Pedagógica em Educação Especial - Diana Cristina Silvério Nascimento - Legislação Educacional/a - Nota Máxima: 10")</f>
        <v>Formação Pedagógica em Educação Especial - Formação Pedagógica em Educação Especial - Diana Cristina Silvério Nascimento - Legislação Educacional/a - Nota Máxima: 10</v>
      </c>
    </row>
    <row r="5166">
      <c r="A5166" s="390" t="str">
        <f>IFERROR(__xludf.DUMMYFUNCTION("""COMPUTED_VALUE"""),"Formação Pedagógica em Educação Especial - Formação Pedagógica em Educação Especial - Diana Cristina Silvério Nascimento - Legislação Educacional/a - Nota Máxima: 8")</f>
        <v>Formação Pedagógica em Educação Especial - Formação Pedagógica em Educação Especial - Diana Cristina Silvério Nascimento - Legislação Educacional/a - Nota Máxima: 8</v>
      </c>
    </row>
    <row r="5167">
      <c r="A5167" s="390" t="str">
        <f>IFERROR(__xludf.DUMMYFUNCTION("""COMPUTED_VALUE"""),"Formação Pedagógica em Educação Especial - Formação Pedagógica em Educação Especial - Diana Cristina Silvério Nascimento - Planejamento, Gestão Educacional e Currículo/a - Nota Máxima: 10")</f>
        <v>Formação Pedagógica em Educação Especial - Formação Pedagógica em Educação Especial - Diana Cristina Silvério Nascimento - Planejamento, Gestão Educacional e Currículo/a - Nota Máxima: 10</v>
      </c>
    </row>
    <row r="5168">
      <c r="A5168" s="390" t="str">
        <f>IFERROR(__xludf.DUMMYFUNCTION("""COMPUTED_VALUE"""),"Formação Pedagógica em Educação Especial - Formação Pedagógica em Educação Especial - Diana Cristina Silvério Nascimento - Planejamento, Gestão Educacional e Currículo/a - Nota Máxima: 9")</f>
        <v>Formação Pedagógica em Educação Especial - Formação Pedagógica em Educação Especial - Diana Cristina Silvério Nascimento - Planejamento, Gestão Educacional e Currículo/a - Nota Máxima: 9</v>
      </c>
    </row>
    <row r="5169">
      <c r="A5169" s="390" t="str">
        <f>IFERROR(__xludf.DUMMYFUNCTION("""COMPUTED_VALUE"""),"Formação Pedagógica em Educação Especial - Formação Pedagógica em Educação Especial - Diana Cristina Silvério Nascimento - Psicologia da Educação/a - Nota Máxima: 10")</f>
        <v>Formação Pedagógica em Educação Especial - Formação Pedagógica em Educação Especial - Diana Cristina Silvério Nascimento - Psicologia da Educação/a - Nota Máxima: 10</v>
      </c>
    </row>
    <row r="5170">
      <c r="A5170" s="390" t="str">
        <f>IFERROR(__xludf.DUMMYFUNCTION("""COMPUTED_VALUE"""),"Formação Pedagógica em Educação Especial - Formação Pedagógica em Educação Especial - Diana Cristina Silvério Nascimento - Psicologia da Educação/a - Nota Máxima: 7")</f>
        <v>Formação Pedagógica em Educação Especial - Formação Pedagógica em Educação Especial - Diana Cristina Silvério Nascimento - Psicologia da Educação/a - Nota Máxima: 7</v>
      </c>
    </row>
    <row r="5171">
      <c r="A5171" s="390" t="str">
        <f>IFERROR(__xludf.DUMMYFUNCTION("""COMPUTED_VALUE"""),"Formação Pedagógica em Educação Especial - Formação Pedagógica em Educação Especial - Diana Cristina Silvério Nascimento - Psicomotricidade e Ludopedagogia - Nota Máxima: 10")</f>
        <v>Formação Pedagógica em Educação Especial - Formação Pedagógica em Educação Especial - Diana Cristina Silvério Nascimento - Psicomotricidade e Ludopedagogia - Nota Máxima: 10</v>
      </c>
    </row>
    <row r="5172">
      <c r="A5172" s="390" t="str">
        <f>IFERROR(__xludf.DUMMYFUNCTION("""COMPUTED_VALUE"""),"Formação Pedagógica em Educação Especial - Formação Pedagógica em Educação Especial - Diana Cristina Silvério Nascimento - Psicomotricidade e Ludopedagogia - Nota Máxima: 3")</f>
        <v>Formação Pedagógica em Educação Especial - Formação Pedagógica em Educação Especial - Diana Cristina Silvério Nascimento - Psicomotricidade e Ludopedagogia - Nota Máxima: 3</v>
      </c>
    </row>
    <row r="5173">
      <c r="A5173" s="390" t="str">
        <f>IFERROR(__xludf.DUMMYFUNCTION("""COMPUTED_VALUE"""),"Formação Pedagógica em Educação Especial - Formação Pedagógica em Educação Especial - ROBERTO MENDES TEIXEIRA - Atuação Docente na Educação Inclusiva - Nota Máxima: 10")</f>
        <v>Formação Pedagógica em Educação Especial - Formação Pedagógica em Educação Especial - ROBERTO MENDES TEIXEIRA - Atuação Docente na Educação Inclusiva - Nota Máxima: 10</v>
      </c>
    </row>
    <row r="5174">
      <c r="A5174" s="390" t="str">
        <f>IFERROR(__xludf.DUMMYFUNCTION("""COMPUTED_VALUE"""),"Formação Pedagógica em Educação Especial - Formação Pedagógica em Educação Especial - ROBERTO MENDES TEIXEIRA - Atuação Docente na Educação Inclusiva - Nota Máxima: 7")</f>
        <v>Formação Pedagógica em Educação Especial - Formação Pedagógica em Educação Especial - ROBERTO MENDES TEIXEIRA - Atuação Docente na Educação Inclusiva - Nota Máxima: 7</v>
      </c>
    </row>
    <row r="5175">
      <c r="A5175" s="390" t="str">
        <f>IFERROR(__xludf.DUMMYFUNCTION("""COMPUTED_VALUE"""),"Formação Pedagógica em Educação Especial - Formação Pedagógica em Educação Especial - ROBERTO MENDES TEIXEIRA - Deficiência Auditiva e Libras/a - Nota Máxima: 10")</f>
        <v>Formação Pedagógica em Educação Especial - Formação Pedagógica em Educação Especial - ROBERTO MENDES TEIXEIRA - Deficiência Auditiva e Libras/a - Nota Máxima: 10</v>
      </c>
    </row>
    <row r="5176">
      <c r="A5176" s="390" t="str">
        <f>IFERROR(__xludf.DUMMYFUNCTION("""COMPUTED_VALUE"""),"Formação Pedagógica em Educação Especial - Formação Pedagógica em Educação Especial - ROBERTO MENDES TEIXEIRA - Deficiência Auditiva e Libras/a - Nota Máxima: 5")</f>
        <v>Formação Pedagógica em Educação Especial - Formação Pedagógica em Educação Especial - ROBERTO MENDES TEIXEIRA - Deficiência Auditiva e Libras/a - Nota Máxima: 5</v>
      </c>
    </row>
    <row r="5177">
      <c r="A5177" s="390" t="str">
        <f>IFERROR(__xludf.DUMMYFUNCTION("""COMPUTED_VALUE"""),"Formação Pedagógica em Educação Especial - Formação Pedagógica em Educação Especial - ROBERTO MENDES TEIXEIRA - Educação e as Tic's - Nota Máxima: 10")</f>
        <v>Formação Pedagógica em Educação Especial - Formação Pedagógica em Educação Especial - ROBERTO MENDES TEIXEIRA - Educação e as Tic's - Nota Máxima: 10</v>
      </c>
    </row>
    <row r="5178">
      <c r="A5178" s="390" t="str">
        <f>IFERROR(__xludf.DUMMYFUNCTION("""COMPUTED_VALUE"""),"Formação Pedagógica em Educação Especial - Formação Pedagógica em Educação Especial - ROBERTO MENDES TEIXEIRA - Educação e as Tic's - Nota Máxima: 5")</f>
        <v>Formação Pedagógica em Educação Especial - Formação Pedagógica em Educação Especial - ROBERTO MENDES TEIXEIRA - Educação e as Tic's - Nota Máxima: 5</v>
      </c>
    </row>
    <row r="5179">
      <c r="A5179" s="390" t="str">
        <f>IFERROR(__xludf.DUMMYFUNCTION("""COMPUTED_VALUE"""),"Formação Pedagógica em Educação Especial - Formação Pedagógica em Educação Especial - ROBERTO MENDES TEIXEIRA - Educação em Direitos Humanos/a - Nota Máxima: 10")</f>
        <v>Formação Pedagógica em Educação Especial - Formação Pedagógica em Educação Especial - ROBERTO MENDES TEIXEIRA - Educação em Direitos Humanos/a - Nota Máxima: 10</v>
      </c>
    </row>
    <row r="5180">
      <c r="A5180" s="390" t="str">
        <f>IFERROR(__xludf.DUMMYFUNCTION("""COMPUTED_VALUE"""),"Formação Pedagógica em Educação Especial - Formação Pedagógica em Educação Especial - ROBERTO MENDES TEIXEIRA - Educação em Direitos Humanos/a - Nota Máxima: 4")</f>
        <v>Formação Pedagógica em Educação Especial - Formação Pedagógica em Educação Especial - ROBERTO MENDES TEIXEIRA - Educação em Direitos Humanos/a - Nota Máxima: 4</v>
      </c>
    </row>
    <row r="5181">
      <c r="A5181" s="390" t="str">
        <f>IFERROR(__xludf.DUMMYFUNCTION("""COMPUTED_VALUE"""),"Formação Pedagógica em Educação Especial - Formação Pedagógica em Educação Especial - ROBERTO MENDES TEIXEIRA - Educação Especial, Inclusão Escolar e Adaptações Curriculares - Nota Máxima: 10")</f>
        <v>Formação Pedagógica em Educação Especial - Formação Pedagógica em Educação Especial - ROBERTO MENDES TEIXEIRA - Educação Especial, Inclusão Escolar e Adaptações Curriculares - Nota Máxima: 10</v>
      </c>
    </row>
    <row r="5182">
      <c r="A5182" s="390" t="str">
        <f>IFERROR(__xludf.DUMMYFUNCTION("""COMPUTED_VALUE"""),"Formação Pedagógica em Educação Especial - Formação Pedagógica em Educação Especial - ROBERTO MENDES TEIXEIRA - Educação Especial, Inclusão Escolar e Adaptações Curriculares - Nota Máxima: 4")</f>
        <v>Formação Pedagógica em Educação Especial - Formação Pedagógica em Educação Especial - ROBERTO MENDES TEIXEIRA - Educação Especial, Inclusão Escolar e Adaptações Curriculares - Nota Máxima: 4</v>
      </c>
    </row>
    <row r="5183">
      <c r="A5183" s="390" t="str">
        <f>IFERROR(__xludf.DUMMYFUNCTION("""COMPUTED_VALUE"""),"Formação Pedagógica em Educação Especial - Formação Pedagógica em Educação Especial - ROBERTO MENDES TEIXEIRA - Educação, História, Cultura e Práticas Indígenas/a - Nota Máxima: 10")</f>
        <v>Formação Pedagógica em Educação Especial - Formação Pedagógica em Educação Especial - ROBERTO MENDES TEIXEIRA - Educação, História, Cultura e Práticas Indígenas/a - Nota Máxima: 10</v>
      </c>
    </row>
    <row r="5184">
      <c r="A5184" s="390" t="str">
        <f>IFERROR(__xludf.DUMMYFUNCTION("""COMPUTED_VALUE"""),"Formação Pedagógica em Educação Especial - Formação Pedagógica em Educação Especial - ROBERTO MENDES TEIXEIRA - Educação, História, Cultura e Práticas Indígenas/a - Nota Máxima: 5")</f>
        <v>Formação Pedagógica em Educação Especial - Formação Pedagógica em Educação Especial - ROBERTO MENDES TEIXEIRA - Educação, História, Cultura e Práticas Indígenas/a - Nota Máxima: 5</v>
      </c>
    </row>
    <row r="5185">
      <c r="A5185" s="390" t="str">
        <f>IFERROR(__xludf.DUMMYFUNCTION("""COMPUTED_VALUE"""),"Formação Pedagógica em Educação Especial - Formação Pedagógica em Educação Especial - ROBERTO MENDES TEIXEIRA - Fisiologia Humana - Nota Máxima: 9")</f>
        <v>Formação Pedagógica em Educação Especial - Formação Pedagógica em Educação Especial - ROBERTO MENDES TEIXEIRA - Fisiologia Humana - Nota Máxima: 9</v>
      </c>
    </row>
    <row r="5186">
      <c r="A5186" s="390" t="str">
        <f>IFERROR(__xludf.DUMMYFUNCTION("""COMPUTED_VALUE"""),"Formação Pedagógica em Educação Especial - Formação Pedagógica em Educação Especial - ROBERTO MENDES TEIXEIRA - Fisiologia Humana - Nota Máxima: 6")</f>
        <v>Formação Pedagógica em Educação Especial - Formação Pedagógica em Educação Especial - ROBERTO MENDES TEIXEIRA - Fisiologia Humana - Nota Máxima: 6</v>
      </c>
    </row>
    <row r="5187">
      <c r="A5187" s="390" t="str">
        <f>IFERROR(__xludf.DUMMYFUNCTION("""COMPUTED_VALUE"""),"Formação Pedagógica em Educação Especial - Formação Pedagógica em Educação Especial - ROBERTO MENDES TEIXEIRA - Jogos e Recreação - Nota Máxima: 10")</f>
        <v>Formação Pedagógica em Educação Especial - Formação Pedagógica em Educação Especial - ROBERTO MENDES TEIXEIRA - Jogos e Recreação - Nota Máxima: 10</v>
      </c>
    </row>
    <row r="5188">
      <c r="A5188" s="390" t="str">
        <f>IFERROR(__xludf.DUMMYFUNCTION("""COMPUTED_VALUE"""),"Formação Pedagógica em Educação Especial - Formação Pedagógica em Educação Especial - ROBERTO MENDES TEIXEIRA - Jogos e Recreação - Nota Máxima: 7")</f>
        <v>Formação Pedagógica em Educação Especial - Formação Pedagógica em Educação Especial - ROBERTO MENDES TEIXEIRA - Jogos e Recreação - Nota Máxima: 7</v>
      </c>
    </row>
    <row r="5189">
      <c r="A5189" s="390" t="str">
        <f>IFERROR(__xludf.DUMMYFUNCTION("""COMPUTED_VALUE"""),"Formação Pedagógica em Educação Especial - Formação Pedagógica em Educação Especial - ROBERTO MENDES TEIXEIRA - Legislação e Políticas para Educação Inclusiva e Especial - Nota Máxima: 9")</f>
        <v>Formação Pedagógica em Educação Especial - Formação Pedagógica em Educação Especial - ROBERTO MENDES TEIXEIRA - Legislação e Políticas para Educação Inclusiva e Especial - Nota Máxima: 9</v>
      </c>
    </row>
    <row r="5190">
      <c r="A5190" s="390" t="str">
        <f>IFERROR(__xludf.DUMMYFUNCTION("""COMPUTED_VALUE"""),"Formação Pedagógica em Educação Especial - Formação Pedagógica em Educação Especial - ROBERTO MENDES TEIXEIRA - Legislação e Políticas para Educação Inclusiva e Especial - Nota Máxima: 3")</f>
        <v>Formação Pedagógica em Educação Especial - Formação Pedagógica em Educação Especial - ROBERTO MENDES TEIXEIRA - Legislação e Políticas para Educação Inclusiva e Especial - Nota Máxima: 3</v>
      </c>
    </row>
    <row r="5191">
      <c r="A5191" s="390" t="str">
        <f>IFERROR(__xludf.DUMMYFUNCTION("""COMPUTED_VALUE"""),"Formação Pedagógica em Educação Especial - Formação Pedagógica em Educação Especial - ROBERTO MENDES TEIXEIRA - Legislação Educacional/a - Nota Máxima: 10")</f>
        <v>Formação Pedagógica em Educação Especial - Formação Pedagógica em Educação Especial - ROBERTO MENDES TEIXEIRA - Legislação Educacional/a - Nota Máxima: 10</v>
      </c>
    </row>
    <row r="5192">
      <c r="A5192" s="390" t="str">
        <f>IFERROR(__xludf.DUMMYFUNCTION("""COMPUTED_VALUE"""),"Formação Pedagógica em Educação Especial - Formação Pedagógica em Educação Especial - ROBERTO MENDES TEIXEIRA - Legislação Educacional/a - Nota Máxima: 7")</f>
        <v>Formação Pedagógica em Educação Especial - Formação Pedagógica em Educação Especial - ROBERTO MENDES TEIXEIRA - Legislação Educacional/a - Nota Máxima: 7</v>
      </c>
    </row>
    <row r="5193">
      <c r="A5193" s="390" t="str">
        <f>IFERROR(__xludf.DUMMYFUNCTION("""COMPUTED_VALUE"""),"Formação Pedagógica em Educação Especial - Formação Pedagógica em Educação Especial - ROBERTO MENDES TEIXEIRA - Planejamento, Gestão Educacional e Currículo/a - Nota Máxima: 10")</f>
        <v>Formação Pedagógica em Educação Especial - Formação Pedagógica em Educação Especial - ROBERTO MENDES TEIXEIRA - Planejamento, Gestão Educacional e Currículo/a - Nota Máxima: 10</v>
      </c>
    </row>
    <row r="5194">
      <c r="A5194" s="390" t="str">
        <f>IFERROR(__xludf.DUMMYFUNCTION("""COMPUTED_VALUE"""),"Formação Pedagógica em Educação Especial - Formação Pedagógica em Educação Especial - ROBERTO MENDES TEIXEIRA - Planejamento, Gestão Educacional e Currículo/a - Nota Máxima: 8")</f>
        <v>Formação Pedagógica em Educação Especial - Formação Pedagógica em Educação Especial - ROBERTO MENDES TEIXEIRA - Planejamento, Gestão Educacional e Currículo/a - Nota Máxima: 8</v>
      </c>
    </row>
    <row r="5195">
      <c r="A5195" s="390" t="str">
        <f>IFERROR(__xludf.DUMMYFUNCTION("""COMPUTED_VALUE"""),"Formação Pedagógica em Educação Especial - Formação Pedagógica em Educação Especial - ROBERTO MENDES TEIXEIRA - Práticas Pedagógicas - 400 Horas - Nota Máxima: 10")</f>
        <v>Formação Pedagógica em Educação Especial - Formação Pedagógica em Educação Especial - ROBERTO MENDES TEIXEIRA - Práticas Pedagógicas - 400 Horas - Nota Máxima: 10</v>
      </c>
    </row>
    <row r="5196">
      <c r="A5196" s="390" t="str">
        <f>IFERROR(__xludf.DUMMYFUNCTION("""COMPUTED_VALUE"""),"Formação Pedagógica em Educação Especial - Formação Pedagógica em Educação Especial - ROBERTO MENDES TEIXEIRA - Práticas Pedagógicas - 400 Horas - Nota Máxima: 10")</f>
        <v>Formação Pedagógica em Educação Especial - Formação Pedagógica em Educação Especial - ROBERTO MENDES TEIXEIRA - Práticas Pedagógicas - 400 Horas - Nota Máxima: 10</v>
      </c>
    </row>
    <row r="5197">
      <c r="A5197" s="390" t="str">
        <f>IFERROR(__xludf.DUMMYFUNCTION("""COMPUTED_VALUE"""),"Formação Pedagógica em Educação Especial - Formação Pedagógica em Educação Especial - ROBERTO MENDES TEIXEIRA - Psicologia da Educação/a - Nota Máxima: 10")</f>
        <v>Formação Pedagógica em Educação Especial - Formação Pedagógica em Educação Especial - ROBERTO MENDES TEIXEIRA - Psicologia da Educação/a - Nota Máxima: 10</v>
      </c>
    </row>
    <row r="5198">
      <c r="A5198" s="390" t="str">
        <f>IFERROR(__xludf.DUMMYFUNCTION("""COMPUTED_VALUE"""),"Formação Pedagógica em Educação Especial - Formação Pedagógica em Educação Especial - ROBERTO MENDES TEIXEIRA - Psicologia da Educação/a - Nota Máxima: 6")</f>
        <v>Formação Pedagógica em Educação Especial - Formação Pedagógica em Educação Especial - ROBERTO MENDES TEIXEIRA - Psicologia da Educação/a - Nota Máxima: 6</v>
      </c>
    </row>
    <row r="5199">
      <c r="A5199" s="390" t="str">
        <f>IFERROR(__xludf.DUMMYFUNCTION("""COMPUTED_VALUE"""),"Formação Pedagógica em Educação Especial - Formação Pedagógica em Educação Especial - ROBERTO MENDES TEIXEIRA - Psicomotricidade e Ludopedagogia - Nota Máxima: 10")</f>
        <v>Formação Pedagógica em Educação Especial - Formação Pedagógica em Educação Especial - ROBERTO MENDES TEIXEIRA - Psicomotricidade e Ludopedagogia - Nota Máxima: 10</v>
      </c>
    </row>
    <row r="5200">
      <c r="A5200" s="390" t="str">
        <f>IFERROR(__xludf.DUMMYFUNCTION("""COMPUTED_VALUE"""),"Formação Pedagógica em Educação Especial - Formação Pedagógica em Educação Especial - ROBERTO MENDES TEIXEIRA - Psicomotricidade e Ludopedagogia - Nota Máxima: 4")</f>
        <v>Formação Pedagógica em Educação Especial - Formação Pedagógica em Educação Especial - ROBERTO MENDES TEIXEIRA - Psicomotricidade e Ludopedagogia - Nota Máxima: 4</v>
      </c>
    </row>
    <row r="5201">
      <c r="A5201" s="390" t="str">
        <f>IFERROR(__xludf.DUMMYFUNCTION("""COMPUTED_VALUE"""),"Formação Pedagógica em Educação Especial - Formação Pedagógica em Educação Especial - Arthur Henrique Silva - Atuação Docente na Educação Inclusiva - Nota Máxima: 10")</f>
        <v>Formação Pedagógica em Educação Especial - Formação Pedagógica em Educação Especial - Arthur Henrique Silva - Atuação Docente na Educação Inclusiva - Nota Máxima: 10</v>
      </c>
    </row>
    <row r="5202">
      <c r="A5202" s="390" t="str">
        <f>IFERROR(__xludf.DUMMYFUNCTION("""COMPUTED_VALUE"""),"Formação Pedagógica em Educação Especial - Formação Pedagógica em Educação Especial - Arthur Henrique Silva - Atuação Docente na Educação Inclusiva - Nota Máxima: 2")</f>
        <v>Formação Pedagógica em Educação Especial - Formação Pedagógica em Educação Especial - Arthur Henrique Silva - Atuação Docente na Educação Inclusiva - Nota Máxima: 2</v>
      </c>
    </row>
    <row r="5203">
      <c r="A5203" s="390" t="str">
        <f>IFERROR(__xludf.DUMMYFUNCTION("""COMPUTED_VALUE"""),"Formação Pedagógica em Educação Especial - Formação Pedagógica em Educação Especial - Arthur Henrique Silva - Deficiência Auditiva e Libras/a - Nota Máxima: 10")</f>
        <v>Formação Pedagógica em Educação Especial - Formação Pedagógica em Educação Especial - Arthur Henrique Silva - Deficiência Auditiva e Libras/a - Nota Máxima: 10</v>
      </c>
    </row>
    <row r="5204">
      <c r="A5204" s="390" t="str">
        <f>IFERROR(__xludf.DUMMYFUNCTION("""COMPUTED_VALUE"""),"Formação Pedagógica em Educação Especial - Formação Pedagógica em Educação Especial - Arthur Henrique Silva - Deficiência Auditiva e Libras/a - Nota Máxima: 5")</f>
        <v>Formação Pedagógica em Educação Especial - Formação Pedagógica em Educação Especial - Arthur Henrique Silva - Deficiência Auditiva e Libras/a - Nota Máxima: 5</v>
      </c>
    </row>
    <row r="5205">
      <c r="A5205" s="390" t="str">
        <f>IFERROR(__xludf.DUMMYFUNCTION("""COMPUTED_VALUE"""),"Formação Pedagógica em Educação Especial - Formação Pedagógica em Educação Especial - Arthur Henrique Silva - Educação e as Tic's - Nota Máxima: 10")</f>
        <v>Formação Pedagógica em Educação Especial - Formação Pedagógica em Educação Especial - Arthur Henrique Silva - Educação e as Tic's - Nota Máxima: 10</v>
      </c>
    </row>
    <row r="5206">
      <c r="A5206" s="390" t="str">
        <f>IFERROR(__xludf.DUMMYFUNCTION("""COMPUTED_VALUE"""),"Formação Pedagógica em Educação Especial - Formação Pedagógica em Educação Especial - Arthur Henrique Silva - Educação e as Tic's - Nota Máxima: 2")</f>
        <v>Formação Pedagógica em Educação Especial - Formação Pedagógica em Educação Especial - Arthur Henrique Silva - Educação e as Tic's - Nota Máxima: 2</v>
      </c>
    </row>
    <row r="5207">
      <c r="A5207" s="390" t="str">
        <f>IFERROR(__xludf.DUMMYFUNCTION("""COMPUTED_VALUE"""),"Formação Pedagógica em Educação Especial - Formação Pedagógica em Educação Especial - Arthur Henrique Silva - Educação em Direitos Humanos/a - Nota Máxima: 10")</f>
        <v>Formação Pedagógica em Educação Especial - Formação Pedagógica em Educação Especial - Arthur Henrique Silva - Educação em Direitos Humanos/a - Nota Máxima: 10</v>
      </c>
    </row>
    <row r="5208">
      <c r="A5208" s="390" t="str">
        <f>IFERROR(__xludf.DUMMYFUNCTION("""COMPUTED_VALUE"""),"Formação Pedagógica em Educação Especial - Formação Pedagógica em Educação Especial - Arthur Henrique Silva - Educação em Direitos Humanos/a - Nota Máxima: 8")</f>
        <v>Formação Pedagógica em Educação Especial - Formação Pedagógica em Educação Especial - Arthur Henrique Silva - Educação em Direitos Humanos/a - Nota Máxima: 8</v>
      </c>
    </row>
    <row r="5209">
      <c r="A5209" s="390" t="str">
        <f>IFERROR(__xludf.DUMMYFUNCTION("""COMPUTED_VALUE"""),"Formação Pedagógica em Educação Especial - Formação Pedagógica em Educação Especial - Arthur Henrique Silva - Educação Especial, Inclusão Escolar e Adaptações Curriculares - Nota Máxima: 10")</f>
        <v>Formação Pedagógica em Educação Especial - Formação Pedagógica em Educação Especial - Arthur Henrique Silva - Educação Especial, Inclusão Escolar e Adaptações Curriculares - Nota Máxima: 10</v>
      </c>
    </row>
    <row r="5210">
      <c r="A5210" s="390" t="str">
        <f>IFERROR(__xludf.DUMMYFUNCTION("""COMPUTED_VALUE"""),"Formação Pedagógica em Educação Especial - Formação Pedagógica em Educação Especial - Arthur Henrique Silva - Educação Especial, Inclusão Escolar e Adaptações Curriculares - Nota Máxima: 2")</f>
        <v>Formação Pedagógica em Educação Especial - Formação Pedagógica em Educação Especial - Arthur Henrique Silva - Educação Especial, Inclusão Escolar e Adaptações Curriculares - Nota Máxima: 2</v>
      </c>
    </row>
    <row r="5211">
      <c r="A5211" s="390" t="str">
        <f>IFERROR(__xludf.DUMMYFUNCTION("""COMPUTED_VALUE"""),"Formação Pedagógica em Educação Especial - Formação Pedagógica em Educação Especial - Arthur Henrique Silva - Educação, História, Cultura e Práticas Indígenas/a - Nota Máxima: 10")</f>
        <v>Formação Pedagógica em Educação Especial - Formação Pedagógica em Educação Especial - Arthur Henrique Silva - Educação, História, Cultura e Práticas Indígenas/a - Nota Máxima: 10</v>
      </c>
    </row>
    <row r="5212">
      <c r="A5212" s="390" t="str">
        <f>IFERROR(__xludf.DUMMYFUNCTION("""COMPUTED_VALUE"""),"Formação Pedagógica em Educação Especial - Formação Pedagógica em Educação Especial - Arthur Henrique Silva - Educação, História, Cultura e Práticas Indígenas/a - Nota Máxima: 4")</f>
        <v>Formação Pedagógica em Educação Especial - Formação Pedagógica em Educação Especial - Arthur Henrique Silva - Educação, História, Cultura e Práticas Indígenas/a - Nota Máxima: 4</v>
      </c>
    </row>
    <row r="5213">
      <c r="A5213" s="390" t="str">
        <f>IFERROR(__xludf.DUMMYFUNCTION("""COMPUTED_VALUE"""),"Formação Pedagógica em Educação Especial - Formação Pedagógica em Educação Especial - Arthur Henrique Silva - Fisiologia Humana - Nota Máxima: 10")</f>
        <v>Formação Pedagógica em Educação Especial - Formação Pedagógica em Educação Especial - Arthur Henrique Silva - Fisiologia Humana - Nota Máxima: 10</v>
      </c>
    </row>
    <row r="5214">
      <c r="A5214" s="390" t="str">
        <f>IFERROR(__xludf.DUMMYFUNCTION("""COMPUTED_VALUE"""),"Formação Pedagógica em Educação Especial - Formação Pedagógica em Educação Especial - Arthur Henrique Silva - Fisiologia Humana - Nota Máxima: 1")</f>
        <v>Formação Pedagógica em Educação Especial - Formação Pedagógica em Educação Especial - Arthur Henrique Silva - Fisiologia Humana - Nota Máxima: 1</v>
      </c>
    </row>
    <row r="5215">
      <c r="A5215" s="390" t="str">
        <f>IFERROR(__xludf.DUMMYFUNCTION("""COMPUTED_VALUE"""),"Formação Pedagógica em Educação Especial - Formação Pedagógica em Educação Especial - Arthur Henrique Silva - Jogos e Recreação - Nota Máxima: 10")</f>
        <v>Formação Pedagógica em Educação Especial - Formação Pedagógica em Educação Especial - Arthur Henrique Silva - Jogos e Recreação - Nota Máxima: 10</v>
      </c>
    </row>
    <row r="5216">
      <c r="A5216" s="390" t="str">
        <f>IFERROR(__xludf.DUMMYFUNCTION("""COMPUTED_VALUE"""),"Formação Pedagógica em Educação Especial - Formação Pedagógica em Educação Especial - Arthur Henrique Silva - Jogos e Recreação - Nota Máxima: 3")</f>
        <v>Formação Pedagógica em Educação Especial - Formação Pedagógica em Educação Especial - Arthur Henrique Silva - Jogos e Recreação - Nota Máxima: 3</v>
      </c>
    </row>
    <row r="5217">
      <c r="A5217" s="390" t="str">
        <f>IFERROR(__xludf.DUMMYFUNCTION("""COMPUTED_VALUE"""),"Formação Pedagógica em Educação Especial - Formação Pedagógica em Educação Especial - Arthur Henrique Silva - Legislação e Políticas para Educação Inclusiva e Especial - Nota Máxima: 10")</f>
        <v>Formação Pedagógica em Educação Especial - Formação Pedagógica em Educação Especial - Arthur Henrique Silva - Legislação e Políticas para Educação Inclusiva e Especial - Nota Máxima: 10</v>
      </c>
    </row>
    <row r="5218">
      <c r="A5218" s="390" t="str">
        <f>IFERROR(__xludf.DUMMYFUNCTION("""COMPUTED_VALUE"""),"Formação Pedagógica em Educação Especial - Formação Pedagógica em Educação Especial - Arthur Henrique Silva - Legislação e Políticas para Educação Inclusiva e Especial - Nota Máxima: 3")</f>
        <v>Formação Pedagógica em Educação Especial - Formação Pedagógica em Educação Especial - Arthur Henrique Silva - Legislação e Políticas para Educação Inclusiva e Especial - Nota Máxima: 3</v>
      </c>
    </row>
    <row r="5219">
      <c r="A5219" s="390" t="str">
        <f>IFERROR(__xludf.DUMMYFUNCTION("""COMPUTED_VALUE"""),"Formação Pedagógica em Educação Especial - Formação Pedagógica em Educação Especial - Arthur Henrique Silva - Legislação Educacional/a - Nota Máxima: 10")</f>
        <v>Formação Pedagógica em Educação Especial - Formação Pedagógica em Educação Especial - Arthur Henrique Silva - Legislação Educacional/a - Nota Máxima: 10</v>
      </c>
    </row>
    <row r="5220">
      <c r="A5220" s="390" t="str">
        <f>IFERROR(__xludf.DUMMYFUNCTION("""COMPUTED_VALUE"""),"Formação Pedagógica em Educação Especial - Formação Pedagógica em Educação Especial - Arthur Henrique Silva - Legislação Educacional/a - Nota Máxima: 5")</f>
        <v>Formação Pedagógica em Educação Especial - Formação Pedagógica em Educação Especial - Arthur Henrique Silva - Legislação Educacional/a - Nota Máxima: 5</v>
      </c>
    </row>
    <row r="5221">
      <c r="A5221" s="390" t="str">
        <f>IFERROR(__xludf.DUMMYFUNCTION("""COMPUTED_VALUE"""),"Formação Pedagógica em Educação Especial - Formação Pedagógica em Educação Especial - Arthur Henrique Silva - Planejamento, Gestão Educacional e Currículo/a - Nota Máxima: 10")</f>
        <v>Formação Pedagógica em Educação Especial - Formação Pedagógica em Educação Especial - Arthur Henrique Silva - Planejamento, Gestão Educacional e Currículo/a - Nota Máxima: 10</v>
      </c>
    </row>
    <row r="5222">
      <c r="A5222" s="390" t="str">
        <f>IFERROR(__xludf.DUMMYFUNCTION("""COMPUTED_VALUE"""),"Formação Pedagógica em Educação Especial - Formação Pedagógica em Educação Especial - Arthur Henrique Silva - Planejamento, Gestão Educacional e Currículo/a - Nota Máxima: 0")</f>
        <v>Formação Pedagógica em Educação Especial - Formação Pedagógica em Educação Especial - Arthur Henrique Silva - Planejamento, Gestão Educacional e Currículo/a - Nota Máxima: 0</v>
      </c>
    </row>
    <row r="5223">
      <c r="A5223" s="390" t="str">
        <f>IFERROR(__xludf.DUMMYFUNCTION("""COMPUTED_VALUE"""),"Formação Pedagógica em Educação Especial - Formação Pedagógica em Educação Especial - Arthur Henrique Silva - Práticas Pedagógicas - 400 Horas - Nota Máxima: 10")</f>
        <v>Formação Pedagógica em Educação Especial - Formação Pedagógica em Educação Especial - Arthur Henrique Silva - Práticas Pedagógicas - 400 Horas - Nota Máxima: 10</v>
      </c>
    </row>
    <row r="5224">
      <c r="A5224" s="390" t="str">
        <f>IFERROR(__xludf.DUMMYFUNCTION("""COMPUTED_VALUE"""),"Formação Pedagógica em Educação Especial - Formação Pedagógica em Educação Especial - Arthur Henrique Silva - Práticas Pedagógicas - 400 Horas - Nota Máxima: 10")</f>
        <v>Formação Pedagógica em Educação Especial - Formação Pedagógica em Educação Especial - Arthur Henrique Silva - Práticas Pedagógicas - 400 Horas - Nota Máxima: 10</v>
      </c>
    </row>
    <row r="5225">
      <c r="A5225" s="390" t="str">
        <f>IFERROR(__xludf.DUMMYFUNCTION("""COMPUTED_VALUE"""),"Formação Pedagógica em Educação Especial - Formação Pedagógica em Educação Especial - Arthur Henrique Silva - Psicologia da Educação/a - Nota Máxima: 10")</f>
        <v>Formação Pedagógica em Educação Especial - Formação Pedagógica em Educação Especial - Arthur Henrique Silva - Psicologia da Educação/a - Nota Máxima: 10</v>
      </c>
    </row>
    <row r="5226">
      <c r="A5226" s="390" t="str">
        <f>IFERROR(__xludf.DUMMYFUNCTION("""COMPUTED_VALUE"""),"Formação Pedagógica em Educação Especial - Formação Pedagógica em Educação Especial - Arthur Henrique Silva - Psicologia da Educação/a - Nota Máxima: 5")</f>
        <v>Formação Pedagógica em Educação Especial - Formação Pedagógica em Educação Especial - Arthur Henrique Silva - Psicologia da Educação/a - Nota Máxima: 5</v>
      </c>
    </row>
    <row r="5227">
      <c r="A5227" s="390" t="str">
        <f>IFERROR(__xludf.DUMMYFUNCTION("""COMPUTED_VALUE"""),"Formação Pedagógica em Educação Especial - Formação Pedagógica em Educação Especial - Arthur Henrique Silva - Psicomotricidade e Ludopedagogia - Nota Máxima: 10")</f>
        <v>Formação Pedagógica em Educação Especial - Formação Pedagógica em Educação Especial - Arthur Henrique Silva - Psicomotricidade e Ludopedagogia - Nota Máxima: 10</v>
      </c>
    </row>
    <row r="5228">
      <c r="A5228" s="390" t="str">
        <f>IFERROR(__xludf.DUMMYFUNCTION("""COMPUTED_VALUE"""),"Formação Pedagógica em Educação Especial - Formação Pedagógica em Educação Especial - Arthur Henrique Silva - Psicomotricidade e Ludopedagogia - Nota Máxima: 3")</f>
        <v>Formação Pedagógica em Educação Especial - Formação Pedagógica em Educação Especial - Arthur Henrique Silva - Psicomotricidade e Ludopedagogia - Nota Máxima: 3</v>
      </c>
    </row>
    <row r="5229">
      <c r="A5229" s="390" t="str">
        <f>IFERROR(__xludf.DUMMYFUNCTION("""COMPUTED_VALUE"""),"Formação Pedagógica em Ciências Sociais - Formação Pedagógica em Ciências Sociais - Glauce Ariane Dias Barbara - Ciência Política - Nota Máxima: 10")</f>
        <v>Formação Pedagógica em Ciências Sociais - Formação Pedagógica em Ciências Sociais - Glauce Ariane Dias Barbara - Ciência Política - Nota Máxima: 10</v>
      </c>
    </row>
    <row r="5230">
      <c r="A5230" s="390" t="str">
        <f>IFERROR(__xludf.DUMMYFUNCTION("""COMPUTED_VALUE"""),"Formação Pedagógica em Ciências Sociais - Formação Pedagógica em Ciências Sociais - Glauce Ariane Dias Barbara - Ciência Política - Nota Máxima: 8")</f>
        <v>Formação Pedagógica em Ciências Sociais - Formação Pedagógica em Ciências Sociais - Glauce Ariane Dias Barbara - Ciência Política - Nota Máxima: 8</v>
      </c>
    </row>
    <row r="5231">
      <c r="A5231" s="390" t="str">
        <f>IFERROR(__xludf.DUMMYFUNCTION("""COMPUTED_VALUE"""),"Formação Pedagógica em Ciências Sociais - Formação Pedagógica em Ciências Sociais - Glauce Ariane Dias Barbara - Desenvolvimento do Capital Humano - Nota Máxima: 10")</f>
        <v>Formação Pedagógica em Ciências Sociais - Formação Pedagógica em Ciências Sociais - Glauce Ariane Dias Barbara - Desenvolvimento do Capital Humano - Nota Máxima: 10</v>
      </c>
    </row>
    <row r="5232">
      <c r="A5232" s="390" t="str">
        <f>IFERROR(__xludf.DUMMYFUNCTION("""COMPUTED_VALUE"""),"Formação Pedagógica em Ciências Sociais - Formação Pedagógica em Ciências Sociais - Glauce Ariane Dias Barbara - Desenvolvimento do Capital Humano - Nota Máxima: 10")</f>
        <v>Formação Pedagógica em Ciências Sociais - Formação Pedagógica em Ciências Sociais - Glauce Ariane Dias Barbara - Desenvolvimento do Capital Humano - Nota Máxima: 10</v>
      </c>
    </row>
    <row r="5233">
      <c r="A5233" s="390" t="str">
        <f>IFERROR(__xludf.DUMMYFUNCTION("""COMPUTED_VALUE"""),"Formação Pedagógica em Ciências Sociais - Formação Pedagógica em Ciências Sociais - Glauce Ariane Dias Barbara - Ontologia - Nota Máxima: 7")</f>
        <v>Formação Pedagógica em Ciências Sociais - Formação Pedagógica em Ciências Sociais - Glauce Ariane Dias Barbara - Ontologia - Nota Máxima: 7</v>
      </c>
    </row>
    <row r="5234">
      <c r="A5234" s="390" t="str">
        <f>IFERROR(__xludf.DUMMYFUNCTION("""COMPUTED_VALUE"""),"Formação Pedagógica em Ciências Sociais - Formação Pedagógica em Ciências Sociais - Glauce Ariane Dias Barbara - Ontologia - Nota Máxima: 7")</f>
        <v>Formação Pedagógica em Ciências Sociais - Formação Pedagógica em Ciências Sociais - Glauce Ariane Dias Barbara - Ontologia - Nota Máxima: 7</v>
      </c>
    </row>
    <row r="5235">
      <c r="A5235" s="390" t="str">
        <f>IFERROR(__xludf.DUMMYFUNCTION("""COMPUTED_VALUE"""),"Formação Pedagógica em Ciências Sociais - Formação Pedagógica em Ciências Sociais - Glauce Ariane Dias Barbara - Sociologia Moderna - Nota Máxima: 9")</f>
        <v>Formação Pedagógica em Ciências Sociais - Formação Pedagógica em Ciências Sociais - Glauce Ariane Dias Barbara - Sociologia Moderna - Nota Máxima: 9</v>
      </c>
    </row>
    <row r="5236">
      <c r="A5236" s="390" t="str">
        <f>IFERROR(__xludf.DUMMYFUNCTION("""COMPUTED_VALUE"""),"Formação Pedagógica em Ciências Sociais - Formação Pedagógica em Ciências Sociais - Glauce Ariane Dias Barbara - Sociologia Moderna - Nota Máxima: 7")</f>
        <v>Formação Pedagógica em Ciências Sociais - Formação Pedagógica em Ciências Sociais - Glauce Ariane Dias Barbara - Sociologia Moderna - Nota Máxima: 7</v>
      </c>
    </row>
    <row r="5237">
      <c r="A5237" s="390" t="str">
        <f>IFERROR(__xludf.DUMMYFUNCTION("""COMPUTED_VALUE"""),"Formação Pedagógica em Ciências Sociais - Formação Pedagógica em Ciências Sociais - Daniel Frederico Fagundes De Lima Andrade - Ciência Política - Nota Máxima: 9")</f>
        <v>Formação Pedagógica em Ciências Sociais - Formação Pedagógica em Ciências Sociais - Daniel Frederico Fagundes De Lima Andrade - Ciência Política - Nota Máxima: 9</v>
      </c>
    </row>
    <row r="5238">
      <c r="A5238" s="390" t="str">
        <f>IFERROR(__xludf.DUMMYFUNCTION("""COMPUTED_VALUE"""),"Formação Pedagógica em Ciências Sociais - Formação Pedagógica em Ciências Sociais - Daniel Frederico Fagundes De Lima Andrade - Ciência Política - Nota Máxima: 9")</f>
        <v>Formação Pedagógica em Ciências Sociais - Formação Pedagógica em Ciências Sociais - Daniel Frederico Fagundes De Lima Andrade - Ciência Política - Nota Máxima: 9</v>
      </c>
    </row>
    <row r="5239">
      <c r="A5239" s="390" t="str">
        <f>IFERROR(__xludf.DUMMYFUNCTION("""COMPUTED_VALUE"""),"Formação Pedagógica em Ciências Sociais - Formação Pedagógica em Ciências Sociais - Daniel Frederico Fagundes De Lima Andrade - Desenvolvimento do Capital Humano - Nota Máxima: 10")</f>
        <v>Formação Pedagógica em Ciências Sociais - Formação Pedagógica em Ciências Sociais - Daniel Frederico Fagundes De Lima Andrade - Desenvolvimento do Capital Humano - Nota Máxima: 10</v>
      </c>
    </row>
    <row r="5240">
      <c r="A5240" s="390" t="str">
        <f>IFERROR(__xludf.DUMMYFUNCTION("""COMPUTED_VALUE"""),"Formação Pedagógica em Ciências Sociais - Formação Pedagógica em Ciências Sociais - Daniel Frederico Fagundes De Lima Andrade - Desenvolvimento do Capital Humano - Nota Máxima: 5")</f>
        <v>Formação Pedagógica em Ciências Sociais - Formação Pedagógica em Ciências Sociais - Daniel Frederico Fagundes De Lima Andrade - Desenvolvimento do Capital Humano - Nota Máxima: 5</v>
      </c>
    </row>
    <row r="5241">
      <c r="A5241" s="390" t="str">
        <f>IFERROR(__xludf.DUMMYFUNCTION("""COMPUTED_VALUE"""),"Formação Pedagógica em Ciências Sociais - Formação Pedagógica em Ciências Sociais - Daniel Frederico Fagundes De Lima Andrade - Ontologia - Nota Máxima: 10")</f>
        <v>Formação Pedagógica em Ciências Sociais - Formação Pedagógica em Ciências Sociais - Daniel Frederico Fagundes De Lima Andrade - Ontologia - Nota Máxima: 10</v>
      </c>
    </row>
    <row r="5242">
      <c r="A5242" s="390" t="str">
        <f>IFERROR(__xludf.DUMMYFUNCTION("""COMPUTED_VALUE"""),"Formação Pedagógica em Ciências Sociais - Formação Pedagógica em Ciências Sociais - Daniel Frederico Fagundes De Lima Andrade - Sociologia Moderna - Nota Máxima: 10")</f>
        <v>Formação Pedagógica em Ciências Sociais - Formação Pedagógica em Ciências Sociais - Daniel Frederico Fagundes De Lima Andrade - Sociologia Moderna - Nota Máxima: 10</v>
      </c>
    </row>
    <row r="5243">
      <c r="A5243" s="390" t="str">
        <f>IFERROR(__xludf.DUMMYFUNCTION("""COMPUTED_VALUE"""),"Formação Pedagógica em Ciências Sociais - Formação Pedagógica em Ciências Sociais - Daniel Frederico Fagundes De Lima Andrade - Sociologia Moderna - Nota Máxima: 6")</f>
        <v>Formação Pedagógica em Ciências Sociais - Formação Pedagógica em Ciências Sociais - Daniel Frederico Fagundes De Lima Andrade - Sociologia Moderna - Nota Máxima: 6</v>
      </c>
    </row>
    <row r="5244">
      <c r="A5244" s="390" t="str">
        <f>IFERROR(__xludf.DUMMYFUNCTION("""COMPUTED_VALUE"""),"Formação Pedagógica em Ciências Sociais - Formação Pedagógica em Ciências Sociais - Mariane Soares Lage - Arte Brasileira na Formação da Identidade Nacional - Nota Máxima: 10")</f>
        <v>Formação Pedagógica em Ciências Sociais - Formação Pedagógica em Ciências Sociais - Mariane Soares Lage - Arte Brasileira na Formação da Identidade Nacional - Nota Máxima: 10</v>
      </c>
    </row>
    <row r="5245">
      <c r="A5245" s="390" t="str">
        <f>IFERROR(__xludf.DUMMYFUNCTION("""COMPUTED_VALUE"""),"Formação Pedagógica em Ciências Sociais - Formação Pedagógica em Ciências Sociais - Mariane Soares Lage - Ciência Política - Nota Máxima: 10")</f>
        <v>Formação Pedagógica em Ciências Sociais - Formação Pedagógica em Ciências Sociais - Mariane Soares Lage - Ciência Política - Nota Máxima: 10</v>
      </c>
    </row>
    <row r="5246">
      <c r="A5246" s="390" t="str">
        <f>IFERROR(__xludf.DUMMYFUNCTION("""COMPUTED_VALUE"""),"Formação Pedagógica em Ciências Sociais - Formação Pedagógica em Ciências Sociais - Mariane Soares Lage - Deficiência Auditiva e Libras/a - Nota Máxima: 8")</f>
        <v>Formação Pedagógica em Ciências Sociais - Formação Pedagógica em Ciências Sociais - Mariane Soares Lage - Deficiência Auditiva e Libras/a - Nota Máxima: 8</v>
      </c>
    </row>
    <row r="5247">
      <c r="A5247" s="390" t="str">
        <f>IFERROR(__xludf.DUMMYFUNCTION("""COMPUTED_VALUE"""),"Formação Pedagógica em Ciências Sociais - Formação Pedagógica em Ciências Sociais - Mariane Soares Lage - Desenvolvimento do Capital Humano - Nota Máxima: 10")</f>
        <v>Formação Pedagógica em Ciências Sociais - Formação Pedagógica em Ciências Sociais - Mariane Soares Lage - Desenvolvimento do Capital Humano - Nota Máxima: 10</v>
      </c>
    </row>
    <row r="5248">
      <c r="A5248" s="390" t="str">
        <f>IFERROR(__xludf.DUMMYFUNCTION("""COMPUTED_VALUE"""),"Formação Pedagógica em Ciências Sociais - Formação Pedagógica em Ciências Sociais - Mariane Soares Lage - Educação Especial, Inclusão Escolar e Adaptações Curriculares - Nota Máxima: 10")</f>
        <v>Formação Pedagógica em Ciências Sociais - Formação Pedagógica em Ciências Sociais - Mariane Soares Lage - Educação Especial, Inclusão Escolar e Adaptações Curriculares - Nota Máxima: 10</v>
      </c>
    </row>
    <row r="5249">
      <c r="A5249" s="390" t="str">
        <f>IFERROR(__xludf.DUMMYFUNCTION("""COMPUTED_VALUE"""),"Formação Pedagógica em Ciências Sociais - Formação Pedagógica em Ciências Sociais - Mariane Soares Lage - Educação, História, Cultura e Práticas Indígenas/a - Nota Máxima: 10")</f>
        <v>Formação Pedagógica em Ciências Sociais - Formação Pedagógica em Ciências Sociais - Mariane Soares Lage - Educação, História, Cultura e Práticas Indígenas/a - Nota Máxima: 10</v>
      </c>
    </row>
    <row r="5250">
      <c r="A5250" s="390" t="str">
        <f>IFERROR(__xludf.DUMMYFUNCTION("""COMPUTED_VALUE"""),"Formação Pedagógica em Ciências Sociais - Formação Pedagógica em Ciências Sociais - Mariane Soares Lage - Estudos Populacionais - Nota Máxima: 8")</f>
        <v>Formação Pedagógica em Ciências Sociais - Formação Pedagógica em Ciências Sociais - Mariane Soares Lage - Estudos Populacionais - Nota Máxima: 8</v>
      </c>
    </row>
    <row r="5251">
      <c r="A5251" s="390" t="str">
        <f>IFERROR(__xludf.DUMMYFUNCTION("""COMPUTED_VALUE"""),"Formação Pedagógica em Ciências Sociais - Formação Pedagógica em Ciências Sociais - Mariane Soares Lage - Introdução a Sociologia - Nota Máxima: 10")</f>
        <v>Formação Pedagógica em Ciências Sociais - Formação Pedagógica em Ciências Sociais - Mariane Soares Lage - Introdução a Sociologia - Nota Máxima: 10</v>
      </c>
    </row>
    <row r="5252">
      <c r="A5252" s="390" t="str">
        <f>IFERROR(__xludf.DUMMYFUNCTION("""COMPUTED_VALUE"""),"Formação Pedagógica em Ciências Sociais - Formação Pedagógica em Ciências Sociais - Mariane Soares Lage - Legislação Educacional/a - Nota Máxima: 10")</f>
        <v>Formação Pedagógica em Ciências Sociais - Formação Pedagógica em Ciências Sociais - Mariane Soares Lage - Legislação Educacional/a - Nota Máxima: 10</v>
      </c>
    </row>
    <row r="5253">
      <c r="A5253" s="390" t="str">
        <f>IFERROR(__xludf.DUMMYFUNCTION("""COMPUTED_VALUE"""),"Formação Pedagógica em Ciências Sociais - Formação Pedagógica em Ciências Sociais - Mariane Soares Lage - Ontologia - Nota Máxima: 10")</f>
        <v>Formação Pedagógica em Ciências Sociais - Formação Pedagógica em Ciências Sociais - Mariane Soares Lage - Ontologia - Nota Máxima: 10</v>
      </c>
    </row>
    <row r="5254">
      <c r="A5254" s="390" t="str">
        <f>IFERROR(__xludf.DUMMYFUNCTION("""COMPUTED_VALUE"""),"Formação Pedagógica em Ciências Sociais - Formação Pedagógica em Ciências Sociais - Mariane Soares Lage - Planejamento, Gestão Educacional e Currículo/a - Nota Máxima: 10")</f>
        <v>Formação Pedagógica em Ciências Sociais - Formação Pedagógica em Ciências Sociais - Mariane Soares Lage - Planejamento, Gestão Educacional e Currículo/a - Nota Máxima: 10</v>
      </c>
    </row>
    <row r="5255">
      <c r="A5255" s="390" t="str">
        <f>IFERROR(__xludf.DUMMYFUNCTION("""COMPUTED_VALUE"""),"Formação Pedagógica em Ciências Sociais - Formação Pedagógica em Ciências Sociais - Mariane Soares Lage - Práticas Pedagógicas - 400 Horas - Nota Máxima: 10")</f>
        <v>Formação Pedagógica em Ciências Sociais - Formação Pedagógica em Ciências Sociais - Mariane Soares Lage - Práticas Pedagógicas - 400 Horas - Nota Máxima: 10</v>
      </c>
    </row>
    <row r="5256">
      <c r="A5256" s="390" t="str">
        <f>IFERROR(__xludf.DUMMYFUNCTION("""COMPUTED_VALUE"""),"Formação Pedagógica em Ciências Sociais - Formação Pedagógica em Ciências Sociais - Mariane Soares Lage - Psicologia da Educação/a - Nota Máxima: 10")</f>
        <v>Formação Pedagógica em Ciências Sociais - Formação Pedagógica em Ciências Sociais - Mariane Soares Lage - Psicologia da Educação/a - Nota Máxima: 10</v>
      </c>
    </row>
    <row r="5257">
      <c r="A5257" s="390" t="str">
        <f>IFERROR(__xludf.DUMMYFUNCTION("""COMPUTED_VALUE"""),"Formação Pedagógica em Ciências Sociais - Formação Pedagógica em Ciências Sociais - Mariane Soares Lage - Sociologia Moderna - Nota Máxima: 10")</f>
        <v>Formação Pedagógica em Ciências Sociais - Formação Pedagógica em Ciências Sociais - Mariane Soares Lage - Sociologia Moderna - Nota Máxima: 10</v>
      </c>
    </row>
    <row r="5258">
      <c r="A5258" s="390" t="str">
        <f>IFERROR(__xludf.DUMMYFUNCTION("""COMPUTED_VALUE"""),"Formação Pedagógica em Ciências Sociais - Formação Pedagógica em Ciências Sociais - Michel Guilherme Martins Gonçalves - Arte Brasileira na Formação da Identidade Nacional - Nota Máxima: 9")</f>
        <v>Formação Pedagógica em Ciências Sociais - Formação Pedagógica em Ciências Sociais - Michel Guilherme Martins Gonçalves - Arte Brasileira na Formação da Identidade Nacional - Nota Máxima: 9</v>
      </c>
    </row>
    <row r="5259">
      <c r="A5259" s="390" t="str">
        <f>IFERROR(__xludf.DUMMYFUNCTION("""COMPUTED_VALUE"""),"Formação Pedagógica em Ciências Sociais - Formação Pedagógica em Ciências Sociais - Michel Guilherme Martins Gonçalves - Ciência Política - Nota Máxima: 9")</f>
        <v>Formação Pedagógica em Ciências Sociais - Formação Pedagógica em Ciências Sociais - Michel Guilherme Martins Gonçalves - Ciência Política - Nota Máxima: 9</v>
      </c>
    </row>
    <row r="5260">
      <c r="A5260" s="390" t="str">
        <f>IFERROR(__xludf.DUMMYFUNCTION("""COMPUTED_VALUE"""),"Formação Pedagógica em Ciências Sociais - Formação Pedagógica em Ciências Sociais - Michel Guilherme Martins Gonçalves - Deficiência Auditiva e Libras/a - Nota Máxima: 10")</f>
        <v>Formação Pedagógica em Ciências Sociais - Formação Pedagógica em Ciências Sociais - Michel Guilherme Martins Gonçalves - Deficiência Auditiva e Libras/a - Nota Máxima: 10</v>
      </c>
    </row>
    <row r="5261">
      <c r="A5261" s="390" t="str">
        <f>IFERROR(__xludf.DUMMYFUNCTION("""COMPUTED_VALUE"""),"Formação Pedagógica em Ciências Sociais - Formação Pedagógica em Ciências Sociais - Michel Guilherme Martins Gonçalves - Deficiência Auditiva e Libras/a - Nota Máxima: 10")</f>
        <v>Formação Pedagógica em Ciências Sociais - Formação Pedagógica em Ciências Sociais - Michel Guilherme Martins Gonçalves - Deficiência Auditiva e Libras/a - Nota Máxima: 10</v>
      </c>
    </row>
    <row r="5262">
      <c r="A5262" s="390" t="str">
        <f>IFERROR(__xludf.DUMMYFUNCTION("""COMPUTED_VALUE"""),"Formação Pedagógica em Ciências Sociais - Formação Pedagógica em Ciências Sociais - Michel Guilherme Martins Gonçalves - Desenvolvimento do Capital Humano - Nota Máxima: 10")</f>
        <v>Formação Pedagógica em Ciências Sociais - Formação Pedagógica em Ciências Sociais - Michel Guilherme Martins Gonçalves - Desenvolvimento do Capital Humano - Nota Máxima: 10</v>
      </c>
    </row>
    <row r="5263">
      <c r="A5263" s="390" t="str">
        <f>IFERROR(__xludf.DUMMYFUNCTION("""COMPUTED_VALUE"""),"Formação Pedagógica em Ciências Sociais - Formação Pedagógica em Ciências Sociais - Michel Guilherme Martins Gonçalves - Educação, História, Cultura e Práticas Indígenas/a - Nota Máxima: 10")</f>
        <v>Formação Pedagógica em Ciências Sociais - Formação Pedagógica em Ciências Sociais - Michel Guilherme Martins Gonçalves - Educação, História, Cultura e Práticas Indígenas/a - Nota Máxima: 10</v>
      </c>
    </row>
    <row r="5264">
      <c r="A5264" s="390" t="str">
        <f>IFERROR(__xludf.DUMMYFUNCTION("""COMPUTED_VALUE"""),"Formação Pedagógica em Ciências Sociais - Formação Pedagógica em Ciências Sociais - Michel Guilherme Martins Gonçalves - Estudos Populacionais - Nota Máxima: 9")</f>
        <v>Formação Pedagógica em Ciências Sociais - Formação Pedagógica em Ciências Sociais - Michel Guilherme Martins Gonçalves - Estudos Populacionais - Nota Máxima: 9</v>
      </c>
    </row>
    <row r="5265">
      <c r="A5265" s="390" t="str">
        <f>IFERROR(__xludf.DUMMYFUNCTION("""COMPUTED_VALUE"""),"Formação Pedagógica em Ciências Sociais - Formação Pedagógica em Ciências Sociais - Michel Guilherme Martins Gonçalves - Introdução a Sociologia - Nota Máxima: 10")</f>
        <v>Formação Pedagógica em Ciências Sociais - Formação Pedagógica em Ciências Sociais - Michel Guilherme Martins Gonçalves - Introdução a Sociologia - Nota Máxima: 10</v>
      </c>
    </row>
    <row r="5266">
      <c r="A5266" s="390" t="str">
        <f>IFERROR(__xludf.DUMMYFUNCTION("""COMPUTED_VALUE"""),"Formação Pedagógica em Ciências Sociais - Formação Pedagógica em Ciências Sociais - Michel Guilherme Martins Gonçalves - Legislação Educacional/a - Nota Máxima: 10")</f>
        <v>Formação Pedagógica em Ciências Sociais - Formação Pedagógica em Ciências Sociais - Michel Guilherme Martins Gonçalves - Legislação Educacional/a - Nota Máxima: 10</v>
      </c>
    </row>
    <row r="5267">
      <c r="A5267" s="390" t="str">
        <f>IFERROR(__xludf.DUMMYFUNCTION("""COMPUTED_VALUE"""),"Formação Pedagógica em Ciências Sociais - Formação Pedagógica em Ciências Sociais - Michel Guilherme Martins Gonçalves - Legislação Educacional/a - Nota Máxima: 10")</f>
        <v>Formação Pedagógica em Ciências Sociais - Formação Pedagógica em Ciências Sociais - Michel Guilherme Martins Gonçalves - Legislação Educacional/a - Nota Máxima: 10</v>
      </c>
    </row>
    <row r="5268">
      <c r="A5268" s="390" t="str">
        <f>IFERROR(__xludf.DUMMYFUNCTION("""COMPUTED_VALUE"""),"Formação Pedagógica em Ciências Sociais - Formação Pedagógica em Ciências Sociais - Michel Guilherme Martins Gonçalves - Ontologia - Nota Máxima: 9")</f>
        <v>Formação Pedagógica em Ciências Sociais - Formação Pedagógica em Ciências Sociais - Michel Guilherme Martins Gonçalves - Ontologia - Nota Máxima: 9</v>
      </c>
    </row>
    <row r="5269">
      <c r="A5269" s="390" t="str">
        <f>IFERROR(__xludf.DUMMYFUNCTION("""COMPUTED_VALUE"""),"Formação Pedagógica em Ciências Sociais - Formação Pedagógica em Ciências Sociais - Michel Guilherme Martins Gonçalves - Práticas Pedagógicas - 400 Horas - Nota Máxima: 10")</f>
        <v>Formação Pedagógica em Ciências Sociais - Formação Pedagógica em Ciências Sociais - Michel Guilherme Martins Gonçalves - Práticas Pedagógicas - 400 Horas - Nota Máxima: 10</v>
      </c>
    </row>
    <row r="5270">
      <c r="A5270" s="390" t="str">
        <f>IFERROR(__xludf.DUMMYFUNCTION("""COMPUTED_VALUE"""),"Formação Pedagógica em Ciências Sociais - Formação Pedagógica em Ciências Sociais - Michel Guilherme Martins Gonçalves - Psicologia da Educação/a - Nota Máxima: 10")</f>
        <v>Formação Pedagógica em Ciências Sociais - Formação Pedagógica em Ciências Sociais - Michel Guilherme Martins Gonçalves - Psicologia da Educação/a - Nota Máxima: 10</v>
      </c>
    </row>
    <row r="5271">
      <c r="A5271" s="390" t="str">
        <f>IFERROR(__xludf.DUMMYFUNCTION("""COMPUTED_VALUE"""),"Formação Pedagógica em Ciências Sociais - Formação Pedagógica em Ciências Sociais - Michel Guilherme Martins Gonçalves - Sociologia Moderna - Nota Máxima: 9")</f>
        <v>Formação Pedagógica em Ciências Sociais - Formação Pedagógica em Ciências Sociais - Michel Guilherme Martins Gonçalves - Sociologia Moderna - Nota Máxima: 9</v>
      </c>
    </row>
    <row r="5272">
      <c r="A5272" s="390" t="str">
        <f>IFERROR(__xludf.DUMMYFUNCTION("""COMPUTED_VALUE"""),"Formação Pedagógica em Ciências Sociais - Formação Pedagógica em Ciências Sociais - Magna Gomes dos Santos - Arte Brasileira na Formação da Identidade Nacional - Nota Máxima: 10")</f>
        <v>Formação Pedagógica em Ciências Sociais - Formação Pedagógica em Ciências Sociais - Magna Gomes dos Santos - Arte Brasileira na Formação da Identidade Nacional - Nota Máxima: 10</v>
      </c>
    </row>
    <row r="5273">
      <c r="A5273" s="390" t="str">
        <f>IFERROR(__xludf.DUMMYFUNCTION("""COMPUTED_VALUE"""),"Formação Pedagógica em Ciências Sociais - Formação Pedagógica em Ciências Sociais - Magna Gomes dos Santos - Ciência Política - Nota Máxima: 10")</f>
        <v>Formação Pedagógica em Ciências Sociais - Formação Pedagógica em Ciências Sociais - Magna Gomes dos Santos - Ciência Política - Nota Máxima: 10</v>
      </c>
    </row>
    <row r="5274">
      <c r="A5274" s="390" t="str">
        <f>IFERROR(__xludf.DUMMYFUNCTION("""COMPUTED_VALUE"""),"Formação Pedagógica em Ciências Sociais - Formação Pedagógica em Ciências Sociais - Magna Gomes dos Santos - Deficiência Auditiva e Libras/a - Nota Máxima: 10")</f>
        <v>Formação Pedagógica em Ciências Sociais - Formação Pedagógica em Ciências Sociais - Magna Gomes dos Santos - Deficiência Auditiva e Libras/a - Nota Máxima: 10</v>
      </c>
    </row>
    <row r="5275">
      <c r="A5275" s="390" t="str">
        <f>IFERROR(__xludf.DUMMYFUNCTION("""COMPUTED_VALUE"""),"Formação Pedagógica em Ciências Sociais - Formação Pedagógica em Ciências Sociais - Magna Gomes dos Santos - Desenvolvimento do Capital Humano - Nota Máxima: 10")</f>
        <v>Formação Pedagógica em Ciências Sociais - Formação Pedagógica em Ciências Sociais - Magna Gomes dos Santos - Desenvolvimento do Capital Humano - Nota Máxima: 10</v>
      </c>
    </row>
    <row r="5276">
      <c r="A5276" s="390" t="str">
        <f>IFERROR(__xludf.DUMMYFUNCTION("""COMPUTED_VALUE"""),"Formação Pedagógica em Ciências Sociais - Formação Pedagógica em Ciências Sociais - Magna Gomes dos Santos - Educação Especial, Inclusão Escolar e Adaptações Curriculares - Nota Máxima: 9")</f>
        <v>Formação Pedagógica em Ciências Sociais - Formação Pedagógica em Ciências Sociais - Magna Gomes dos Santos - Educação Especial, Inclusão Escolar e Adaptações Curriculares - Nota Máxima: 9</v>
      </c>
    </row>
    <row r="5277">
      <c r="A5277" s="390" t="str">
        <f>IFERROR(__xludf.DUMMYFUNCTION("""COMPUTED_VALUE"""),"Formação Pedagógica em Ciências Sociais - Formação Pedagógica em Ciências Sociais - Magna Gomes dos Santos - Educação, História, Cultura e Práticas Indígenas/a - Nota Máxima: 10")</f>
        <v>Formação Pedagógica em Ciências Sociais - Formação Pedagógica em Ciências Sociais - Magna Gomes dos Santos - Educação, História, Cultura e Práticas Indígenas/a - Nota Máxima: 10</v>
      </c>
    </row>
    <row r="5278">
      <c r="A5278" s="390" t="str">
        <f>IFERROR(__xludf.DUMMYFUNCTION("""COMPUTED_VALUE"""),"Formação Pedagógica em Ciências Sociais - Formação Pedagógica em Ciências Sociais - Magna Gomes dos Santos - Estudos Populacionais - Nota Máxima: 10")</f>
        <v>Formação Pedagógica em Ciências Sociais - Formação Pedagógica em Ciências Sociais - Magna Gomes dos Santos - Estudos Populacionais - Nota Máxima: 10</v>
      </c>
    </row>
    <row r="5279">
      <c r="A5279" s="390" t="str">
        <f>IFERROR(__xludf.DUMMYFUNCTION("""COMPUTED_VALUE"""),"Formação Pedagógica em Ciências Sociais - Formação Pedagógica em Ciências Sociais - Magna Gomes dos Santos - Introdução a Sociologia - Nota Máxima: 10")</f>
        <v>Formação Pedagógica em Ciências Sociais - Formação Pedagógica em Ciências Sociais - Magna Gomes dos Santos - Introdução a Sociologia - Nota Máxima: 10</v>
      </c>
    </row>
    <row r="5280">
      <c r="A5280" s="390" t="str">
        <f>IFERROR(__xludf.DUMMYFUNCTION("""COMPUTED_VALUE"""),"Formação Pedagógica em Ciências Sociais - Formação Pedagógica em Ciências Sociais - Magna Gomes dos Santos - Legislação Educacional/a - Nota Máxima: 10")</f>
        <v>Formação Pedagógica em Ciências Sociais - Formação Pedagógica em Ciências Sociais - Magna Gomes dos Santos - Legislação Educacional/a - Nota Máxima: 10</v>
      </c>
    </row>
    <row r="5281">
      <c r="A5281" s="390" t="str">
        <f>IFERROR(__xludf.DUMMYFUNCTION("""COMPUTED_VALUE"""),"Formação Pedagógica em Ciências Sociais - Formação Pedagógica em Ciências Sociais - Magna Gomes dos Santos - Ontologia - Nota Máxima: 10")</f>
        <v>Formação Pedagógica em Ciências Sociais - Formação Pedagógica em Ciências Sociais - Magna Gomes dos Santos - Ontologia - Nota Máxima: 10</v>
      </c>
    </row>
    <row r="5282">
      <c r="A5282" s="390" t="str">
        <f>IFERROR(__xludf.DUMMYFUNCTION("""COMPUTED_VALUE"""),"Formação Pedagógica em Ciências Sociais - Formação Pedagógica em Ciências Sociais - Magna Gomes dos Santos - Planejamento, Gestão Educacional e Currículo/a - Nota Máxima: 10")</f>
        <v>Formação Pedagógica em Ciências Sociais - Formação Pedagógica em Ciências Sociais - Magna Gomes dos Santos - Planejamento, Gestão Educacional e Currículo/a - Nota Máxima: 10</v>
      </c>
    </row>
    <row r="5283">
      <c r="A5283" s="390" t="str">
        <f>IFERROR(__xludf.DUMMYFUNCTION("""COMPUTED_VALUE"""),"Formação Pedagógica em Ciências Sociais - Formação Pedagógica em Ciências Sociais - Magna Gomes dos Santos - Práticas Pedagógicas - 400 Horas - Nota Máxima: 10")</f>
        <v>Formação Pedagógica em Ciências Sociais - Formação Pedagógica em Ciências Sociais - Magna Gomes dos Santos - Práticas Pedagógicas - 400 Horas - Nota Máxima: 10</v>
      </c>
    </row>
    <row r="5284">
      <c r="A5284" s="390" t="str">
        <f>IFERROR(__xludf.DUMMYFUNCTION("""COMPUTED_VALUE"""),"Formação Pedagógica em Ciências Sociais - Formação Pedagógica em Ciências Sociais - Magna Gomes dos Santos - Psicologia da Educação/a - Nota Máxima: 9")</f>
        <v>Formação Pedagógica em Ciências Sociais - Formação Pedagógica em Ciências Sociais - Magna Gomes dos Santos - Psicologia da Educação/a - Nota Máxima: 9</v>
      </c>
    </row>
    <row r="5285">
      <c r="A5285" s="390" t="str">
        <f>IFERROR(__xludf.DUMMYFUNCTION("""COMPUTED_VALUE"""),"Formação Pedagógica em Ciências Sociais - Formação Pedagógica em Ciências Sociais - Magna Gomes dos Santos - Sociologia Moderna - Nota Máxima: 10")</f>
        <v>Formação Pedagógica em Ciências Sociais - Formação Pedagógica em Ciências Sociais - Magna Gomes dos Santos - Sociologia Moderna - Nota Máxima: 10</v>
      </c>
    </row>
    <row r="5286">
      <c r="A5286" s="390" t="str">
        <f>IFERROR(__xludf.DUMMYFUNCTION("""COMPUTED_VALUE"""),"Formação Pedagógica em Ciências Sociais - Formação Pedagógica em Ciências Sociais - Antonio José Ferreira Junior - Arte Brasileira na Formação da Identidade Nacional - Nota Máxima: 8")</f>
        <v>Formação Pedagógica em Ciências Sociais - Formação Pedagógica em Ciências Sociais - Antonio José Ferreira Junior - Arte Brasileira na Formação da Identidade Nacional - Nota Máxima: 8</v>
      </c>
    </row>
    <row r="5287">
      <c r="A5287" s="390" t="str">
        <f>IFERROR(__xludf.DUMMYFUNCTION("""COMPUTED_VALUE"""),"Formação Pedagógica em Ciências Sociais - Formação Pedagógica em Ciências Sociais - Antonio José Ferreira Junior - Ciência Política - Nota Máxima: 9")</f>
        <v>Formação Pedagógica em Ciências Sociais - Formação Pedagógica em Ciências Sociais - Antonio José Ferreira Junior - Ciência Política - Nota Máxima: 9</v>
      </c>
    </row>
    <row r="5288">
      <c r="A5288" s="390" t="str">
        <f>IFERROR(__xludf.DUMMYFUNCTION("""COMPUTED_VALUE"""),"Formação Pedagógica em Ciências Sociais - Formação Pedagógica em Ciências Sociais - Antonio José Ferreira Junior - Deficiência Auditiva e Libras/a - Nota Máxima: 9")</f>
        <v>Formação Pedagógica em Ciências Sociais - Formação Pedagógica em Ciências Sociais - Antonio José Ferreira Junior - Deficiência Auditiva e Libras/a - Nota Máxima: 9</v>
      </c>
    </row>
    <row r="5289">
      <c r="A5289" s="390" t="str">
        <f>IFERROR(__xludf.DUMMYFUNCTION("""COMPUTED_VALUE"""),"Formação Pedagógica em Ciências Sociais - Formação Pedagógica em Ciências Sociais - Antonio José Ferreira Junior - Desenvolvimento do Capital Humano - Nota Máxima: 8")</f>
        <v>Formação Pedagógica em Ciências Sociais - Formação Pedagógica em Ciências Sociais - Antonio José Ferreira Junior - Desenvolvimento do Capital Humano - Nota Máxima: 8</v>
      </c>
    </row>
    <row r="5290">
      <c r="A5290" s="390" t="str">
        <f>IFERROR(__xludf.DUMMYFUNCTION("""COMPUTED_VALUE"""),"Formação Pedagógica em Ciências Sociais - Formação Pedagógica em Ciências Sociais - Antonio José Ferreira Junior - Educação Especial, Inclusão Escolar e Adaptações Curriculares - Nota Máxima: 9")</f>
        <v>Formação Pedagógica em Ciências Sociais - Formação Pedagógica em Ciências Sociais - Antonio José Ferreira Junior - Educação Especial, Inclusão Escolar e Adaptações Curriculares - Nota Máxima: 9</v>
      </c>
    </row>
    <row r="5291">
      <c r="A5291" s="390" t="str">
        <f>IFERROR(__xludf.DUMMYFUNCTION("""COMPUTED_VALUE"""),"Formação Pedagógica em Ciências Sociais - Formação Pedagógica em Ciências Sociais - Antonio José Ferreira Junior - Educação, História, Cultura e Práticas Indígenas/a - Nota Máxima: 9")</f>
        <v>Formação Pedagógica em Ciências Sociais - Formação Pedagógica em Ciências Sociais - Antonio José Ferreira Junior - Educação, História, Cultura e Práticas Indígenas/a - Nota Máxima: 9</v>
      </c>
    </row>
    <row r="5292">
      <c r="A5292" s="390" t="str">
        <f>IFERROR(__xludf.DUMMYFUNCTION("""COMPUTED_VALUE"""),"Formação Pedagógica em Ciências Sociais - Formação Pedagógica em Ciências Sociais - Antonio José Ferreira Junior - Estudos Populacionais - Nota Máxima: 8")</f>
        <v>Formação Pedagógica em Ciências Sociais - Formação Pedagógica em Ciências Sociais - Antonio José Ferreira Junior - Estudos Populacionais - Nota Máxima: 8</v>
      </c>
    </row>
    <row r="5293">
      <c r="A5293" s="390" t="str">
        <f>IFERROR(__xludf.DUMMYFUNCTION("""COMPUTED_VALUE"""),"Formação Pedagógica em Ciências Sociais - Formação Pedagógica em Ciências Sociais - Antonio José Ferreira Junior - Introdução a Sociologia - Nota Máxima: 10")</f>
        <v>Formação Pedagógica em Ciências Sociais - Formação Pedagógica em Ciências Sociais - Antonio José Ferreira Junior - Introdução a Sociologia - Nota Máxima: 10</v>
      </c>
    </row>
    <row r="5294">
      <c r="A5294" s="390" t="str">
        <f>IFERROR(__xludf.DUMMYFUNCTION("""COMPUTED_VALUE"""),"Formação Pedagógica em Ciências Sociais - Formação Pedagógica em Ciências Sociais - Antonio José Ferreira Junior - Legislação Educacional/a - Nota Máxima: 9")</f>
        <v>Formação Pedagógica em Ciências Sociais - Formação Pedagógica em Ciências Sociais - Antonio José Ferreira Junior - Legislação Educacional/a - Nota Máxima: 9</v>
      </c>
    </row>
    <row r="5295">
      <c r="A5295" s="390" t="str">
        <f>IFERROR(__xludf.DUMMYFUNCTION("""COMPUTED_VALUE"""),"Formação Pedagógica em Ciências Sociais - Formação Pedagógica em Ciências Sociais - Antonio José Ferreira Junior - Ontologia - Nota Máxima: 7")</f>
        <v>Formação Pedagógica em Ciências Sociais - Formação Pedagógica em Ciências Sociais - Antonio José Ferreira Junior - Ontologia - Nota Máxima: 7</v>
      </c>
    </row>
    <row r="5296">
      <c r="A5296" s="390" t="str">
        <f>IFERROR(__xludf.DUMMYFUNCTION("""COMPUTED_VALUE"""),"Formação Pedagógica em Ciências Sociais - Formação Pedagógica em Ciências Sociais - Antonio José Ferreira Junior - Planejamento, Gestão Educacional e Currículo/a - Nota Máxima: 9")</f>
        <v>Formação Pedagógica em Ciências Sociais - Formação Pedagógica em Ciências Sociais - Antonio José Ferreira Junior - Planejamento, Gestão Educacional e Currículo/a - Nota Máxima: 9</v>
      </c>
    </row>
    <row r="5297">
      <c r="A5297" s="390" t="str">
        <f>IFERROR(__xludf.DUMMYFUNCTION("""COMPUTED_VALUE"""),"Formação Pedagógica em Ciências Sociais - Formação Pedagógica em Ciências Sociais - Antonio José Ferreira Junior - Práticas Pedagógicas - 400 Horas - Nota Máxima: 10")</f>
        <v>Formação Pedagógica em Ciências Sociais - Formação Pedagógica em Ciências Sociais - Antonio José Ferreira Junior - Práticas Pedagógicas - 400 Horas - Nota Máxima: 10</v>
      </c>
    </row>
    <row r="5298">
      <c r="A5298" s="390" t="str">
        <f>IFERROR(__xludf.DUMMYFUNCTION("""COMPUTED_VALUE"""),"Formação Pedagógica em Ciências Sociais - Formação Pedagógica em Ciências Sociais - Antonio José Ferreira Junior - Psicologia da Educação/a - Nota Máxima: 7")</f>
        <v>Formação Pedagógica em Ciências Sociais - Formação Pedagógica em Ciências Sociais - Antonio José Ferreira Junior - Psicologia da Educação/a - Nota Máxima: 7</v>
      </c>
    </row>
    <row r="5299">
      <c r="A5299" s="390" t="str">
        <f>IFERROR(__xludf.DUMMYFUNCTION("""COMPUTED_VALUE"""),"Formação Pedagógica em Ciências Sociais - Formação Pedagógica em Ciências Sociais - Antonio José Ferreira Junior - Sociologia Moderna - Nota Máxima: 10")</f>
        <v>Formação Pedagógica em Ciências Sociais - Formação Pedagógica em Ciências Sociais - Antonio José Ferreira Junior - Sociologia Moderna - Nota Máxima: 10</v>
      </c>
    </row>
    <row r="5300">
      <c r="A5300" s="390" t="str">
        <f>IFERROR(__xludf.DUMMYFUNCTION("""COMPUTED_VALUE"""),"#SLCSA - Segunda Licenciatura em Ciências Sociais - Segunda Licenciatura em Ciências Sociais - Claudia Teresa Romualdo da Silva - Arte Brasileira na Formação da Identidade Nacional - Nota Máxima: 9")</f>
        <v>#SLCSA - Segunda Licenciatura em Ciências Sociais - Segunda Licenciatura em Ciências Sociais - Claudia Teresa Romualdo da Silva - Arte Brasileira na Formação da Identidade Nacional - Nota Máxima: 9</v>
      </c>
    </row>
    <row r="5301">
      <c r="A5301" s="390" t="str">
        <f>IFERROR(__xludf.DUMMYFUNCTION("""COMPUTED_VALUE"""),"#SLCSA - Segunda Licenciatura em Ciências Sociais - Segunda Licenciatura em Ciências Sociais - Claudia Teresa Romualdo da Silva - Arte Brasileira na Formação da Identidade Nacional - Nota Máxima: 9")</f>
        <v>#SLCSA - Segunda Licenciatura em Ciências Sociais - Segunda Licenciatura em Ciências Sociais - Claudia Teresa Romualdo da Silva - Arte Brasileira na Formação da Identidade Nacional - Nota Máxima: 9</v>
      </c>
    </row>
    <row r="5302">
      <c r="A5302" s="390" t="str">
        <f>IFERROR(__xludf.DUMMYFUNCTION("""COMPUTED_VALUE"""),"#SLCSA - Segunda Licenciatura em Ciências Sociais - Segunda Licenciatura em Ciências Sociais - Claudia Teresa Romualdo da Silva - Ciência Política - Nota Máxima: 10")</f>
        <v>#SLCSA - Segunda Licenciatura em Ciências Sociais - Segunda Licenciatura em Ciências Sociais - Claudia Teresa Romualdo da Silva - Ciência Política - Nota Máxima: 10</v>
      </c>
    </row>
    <row r="5303">
      <c r="A5303" s="390" t="str">
        <f>IFERROR(__xludf.DUMMYFUNCTION("""COMPUTED_VALUE"""),"#SLCSA - Segunda Licenciatura em Ciências Sociais - Segunda Licenciatura em Ciências Sociais - Claudia Teresa Romualdo da Silva - Ciência Política - Nota Máxima: 9")</f>
        <v>#SLCSA - Segunda Licenciatura em Ciências Sociais - Segunda Licenciatura em Ciências Sociais - Claudia Teresa Romualdo da Silva - Ciência Política - Nota Máxima: 9</v>
      </c>
    </row>
    <row r="5304">
      <c r="A5304" s="390" t="str">
        <f>IFERROR(__xludf.DUMMYFUNCTION("""COMPUTED_VALUE"""),"#SLCSA - Segunda Licenciatura em Ciências Sociais - Segunda Licenciatura em Ciências Sociais - Claudia Teresa Romualdo da Silva - Deficiência Auditiva e Libras/a - Nota Máxima: 9")</f>
        <v>#SLCSA - Segunda Licenciatura em Ciências Sociais - Segunda Licenciatura em Ciências Sociais - Claudia Teresa Romualdo da Silva - Deficiência Auditiva e Libras/a - Nota Máxima: 9</v>
      </c>
    </row>
    <row r="5305">
      <c r="A5305" s="390" t="str">
        <f>IFERROR(__xludf.DUMMYFUNCTION("""COMPUTED_VALUE"""),"#SLCSA - Segunda Licenciatura em Ciências Sociais - Segunda Licenciatura em Ciências Sociais - Claudia Teresa Romualdo da Silva - Deficiência Auditiva e Libras/a - Nota Máxima: 8")</f>
        <v>#SLCSA - Segunda Licenciatura em Ciências Sociais - Segunda Licenciatura em Ciências Sociais - Claudia Teresa Romualdo da Silva - Deficiência Auditiva e Libras/a - Nota Máxima: 8</v>
      </c>
    </row>
    <row r="5306">
      <c r="A5306" s="390" t="str">
        <f>IFERROR(__xludf.DUMMYFUNCTION("""COMPUTED_VALUE"""),"#SLCSA - Segunda Licenciatura em Ciências Sociais - Segunda Licenciatura em Ciências Sociais - Claudia Teresa Romualdo da Silva - Desenvolvimento do Capital Humano - Nota Máxima: 9")</f>
        <v>#SLCSA - Segunda Licenciatura em Ciências Sociais - Segunda Licenciatura em Ciências Sociais - Claudia Teresa Romualdo da Silva - Desenvolvimento do Capital Humano - Nota Máxima: 9</v>
      </c>
    </row>
    <row r="5307">
      <c r="A5307" s="390" t="str">
        <f>IFERROR(__xludf.DUMMYFUNCTION("""COMPUTED_VALUE"""),"#SLCSA - Segunda Licenciatura em Ciências Sociais - Segunda Licenciatura em Ciências Sociais - Claudia Teresa Romualdo da Silva - Educação Especial, Inclusão Escolar e Adaptações Curriculares - Nota Máxima: 9")</f>
        <v>#SLCSA - Segunda Licenciatura em Ciências Sociais - Segunda Licenciatura em Ciências Sociais - Claudia Teresa Romualdo da Silva - Educação Especial, Inclusão Escolar e Adaptações Curriculares - Nota Máxima: 9</v>
      </c>
    </row>
    <row r="5308">
      <c r="A5308" s="390" t="str">
        <f>IFERROR(__xludf.DUMMYFUNCTION("""COMPUTED_VALUE"""),"#SLCSA - Segunda Licenciatura em Ciências Sociais - Segunda Licenciatura em Ciências Sociais - Claudia Teresa Romualdo da Silva - Educação Especial, Inclusão Escolar e Adaptações Curriculares - Nota Máxima: 9")</f>
        <v>#SLCSA - Segunda Licenciatura em Ciências Sociais - Segunda Licenciatura em Ciências Sociais - Claudia Teresa Romualdo da Silva - Educação Especial, Inclusão Escolar e Adaptações Curriculares - Nota Máxima: 9</v>
      </c>
    </row>
    <row r="5309">
      <c r="A5309" s="390" t="str">
        <f>IFERROR(__xludf.DUMMYFUNCTION("""COMPUTED_VALUE"""),"#SLCSA - Segunda Licenciatura em Ciências Sociais - Segunda Licenciatura em Ciências Sociais - Claudia Teresa Romualdo da Silva - Educação, História, Cultura e Práticas Indígenas/a - Nota Máxima: 8")</f>
        <v>#SLCSA - Segunda Licenciatura em Ciências Sociais - Segunda Licenciatura em Ciências Sociais - Claudia Teresa Romualdo da Silva - Educação, História, Cultura e Práticas Indígenas/a - Nota Máxima: 8</v>
      </c>
    </row>
    <row r="5310">
      <c r="A5310" s="390" t="str">
        <f>IFERROR(__xludf.DUMMYFUNCTION("""COMPUTED_VALUE"""),"#SLCSA - Segunda Licenciatura em Ciências Sociais - Segunda Licenciatura em Ciências Sociais - Claudia Teresa Romualdo da Silva - Educação, História, Cultura e Práticas Indígenas/a - Nota Máxima: 9")</f>
        <v>#SLCSA - Segunda Licenciatura em Ciências Sociais - Segunda Licenciatura em Ciências Sociais - Claudia Teresa Romualdo da Silva - Educação, História, Cultura e Práticas Indígenas/a - Nota Máxima: 9</v>
      </c>
    </row>
    <row r="5311">
      <c r="A5311" s="390" t="str">
        <f>IFERROR(__xludf.DUMMYFUNCTION("""COMPUTED_VALUE"""),"#SLCSA - Segunda Licenciatura em Ciências Sociais - Segunda Licenciatura em Ciências Sociais - Claudia Teresa Romualdo da Silva - Estudos Populacionais - Nota Máxima: 9")</f>
        <v>#SLCSA - Segunda Licenciatura em Ciências Sociais - Segunda Licenciatura em Ciências Sociais - Claudia Teresa Romualdo da Silva - Estudos Populacionais - Nota Máxima: 9</v>
      </c>
    </row>
    <row r="5312">
      <c r="A5312" s="390" t="str">
        <f>IFERROR(__xludf.DUMMYFUNCTION("""COMPUTED_VALUE"""),"#SLCSA - Segunda Licenciatura em Ciências Sociais - Segunda Licenciatura em Ciências Sociais - Claudia Teresa Romualdo da Silva - Introdução a Sociologia - Nota Máxima: 9")</f>
        <v>#SLCSA - Segunda Licenciatura em Ciências Sociais - Segunda Licenciatura em Ciências Sociais - Claudia Teresa Romualdo da Silva - Introdução a Sociologia - Nota Máxima: 9</v>
      </c>
    </row>
    <row r="5313">
      <c r="A5313" s="390" t="str">
        <f>IFERROR(__xludf.DUMMYFUNCTION("""COMPUTED_VALUE"""),"#SLCSA - Segunda Licenciatura em Ciências Sociais - Segunda Licenciatura em Ciências Sociais - Claudia Teresa Romualdo da Silva - Introdução a Sociologia - Nota Máxima: 9")</f>
        <v>#SLCSA - Segunda Licenciatura em Ciências Sociais - Segunda Licenciatura em Ciências Sociais - Claudia Teresa Romualdo da Silva - Introdução a Sociologia - Nota Máxima: 9</v>
      </c>
    </row>
    <row r="5314">
      <c r="A5314" s="390" t="str">
        <f>IFERROR(__xludf.DUMMYFUNCTION("""COMPUTED_VALUE"""),"#SLCSA - Segunda Licenciatura em Ciências Sociais - Segunda Licenciatura em Ciências Sociais - Claudia Teresa Romualdo da Silva - Legislação Educacional/a - Nota Máxima: 9")</f>
        <v>#SLCSA - Segunda Licenciatura em Ciências Sociais - Segunda Licenciatura em Ciências Sociais - Claudia Teresa Romualdo da Silva - Legislação Educacional/a - Nota Máxima: 9</v>
      </c>
    </row>
    <row r="5315">
      <c r="A5315" s="390" t="str">
        <f>IFERROR(__xludf.DUMMYFUNCTION("""COMPUTED_VALUE"""),"#SLCSA - Segunda Licenciatura em Ciências Sociais - Segunda Licenciatura em Ciências Sociais - Claudia Teresa Romualdo da Silva - Legislação Educacional/a - Nota Máxima: 8")</f>
        <v>#SLCSA - Segunda Licenciatura em Ciências Sociais - Segunda Licenciatura em Ciências Sociais - Claudia Teresa Romualdo da Silva - Legislação Educacional/a - Nota Máxima: 8</v>
      </c>
    </row>
    <row r="5316">
      <c r="A5316" s="390" t="str">
        <f>IFERROR(__xludf.DUMMYFUNCTION("""COMPUTED_VALUE"""),"#SLCSA - Segunda Licenciatura em Ciências Sociais - Segunda Licenciatura em Ciências Sociais - Claudia Teresa Romualdo da Silva - Ontologia - Nota Máxima: 9")</f>
        <v>#SLCSA - Segunda Licenciatura em Ciências Sociais - Segunda Licenciatura em Ciências Sociais - Claudia Teresa Romualdo da Silva - Ontologia - Nota Máxima: 9</v>
      </c>
    </row>
    <row r="5317">
      <c r="A5317" s="390" t="str">
        <f>IFERROR(__xludf.DUMMYFUNCTION("""COMPUTED_VALUE"""),"#SLCSA - Segunda Licenciatura em Ciências Sociais - Segunda Licenciatura em Ciências Sociais - Claudia Teresa Romualdo da Silva - Ontologia - Nota Máxima: 7")</f>
        <v>#SLCSA - Segunda Licenciatura em Ciências Sociais - Segunda Licenciatura em Ciências Sociais - Claudia Teresa Romualdo da Silva - Ontologia - Nota Máxima: 7</v>
      </c>
    </row>
    <row r="5318">
      <c r="A5318" s="390" t="str">
        <f>IFERROR(__xludf.DUMMYFUNCTION("""COMPUTED_VALUE"""),"#SLCSA - Segunda Licenciatura em Ciências Sociais - Segunda Licenciatura em Ciências Sociais - Claudia Teresa Romualdo da Silva - Planejamento, Gestão Educacional e Currículo/a - Nota Máxima: 10")</f>
        <v>#SLCSA - Segunda Licenciatura em Ciências Sociais - Segunda Licenciatura em Ciências Sociais - Claudia Teresa Romualdo da Silva - Planejamento, Gestão Educacional e Currículo/a - Nota Máxima: 10</v>
      </c>
    </row>
    <row r="5319">
      <c r="A5319" s="390" t="str">
        <f>IFERROR(__xludf.DUMMYFUNCTION("""COMPUTED_VALUE"""),"#SLCSA - Segunda Licenciatura em Ciências Sociais - Segunda Licenciatura em Ciências Sociais - Claudia Teresa Romualdo da Silva - Planejamento, Gestão Educacional e Currículo/a - Nota Máxima: 10")</f>
        <v>#SLCSA - Segunda Licenciatura em Ciências Sociais - Segunda Licenciatura em Ciências Sociais - Claudia Teresa Romualdo da Silva - Planejamento, Gestão Educacional e Currículo/a - Nota Máxima: 10</v>
      </c>
    </row>
    <row r="5320">
      <c r="A5320" s="390" t="str">
        <f>IFERROR(__xludf.DUMMYFUNCTION("""COMPUTED_VALUE"""),"#SLCSA - Segunda Licenciatura em Ciências Sociais - Segunda Licenciatura em Ciências Sociais - Claudia Teresa Romualdo da Silva - Práticas Pedagógicas - 400 Horas - Nota Máxima: 10")</f>
        <v>#SLCSA - Segunda Licenciatura em Ciências Sociais - Segunda Licenciatura em Ciências Sociais - Claudia Teresa Romualdo da Silva - Práticas Pedagógicas - 400 Horas - Nota Máxima: 10</v>
      </c>
    </row>
    <row r="5321">
      <c r="A5321" s="390" t="str">
        <f>IFERROR(__xludf.DUMMYFUNCTION("""COMPUTED_VALUE"""),"#SLCSA - Segunda Licenciatura em Ciências Sociais - Segunda Licenciatura em Ciências Sociais - Claudia Teresa Romualdo da Silva - Práticas Pedagógicas - 400 Horas - Nota Máxima: 10")</f>
        <v>#SLCSA - Segunda Licenciatura em Ciências Sociais - Segunda Licenciatura em Ciências Sociais - Claudia Teresa Romualdo da Silva - Práticas Pedagógicas - 400 Horas - Nota Máxima: 10</v>
      </c>
    </row>
    <row r="5322">
      <c r="A5322" s="390" t="str">
        <f>IFERROR(__xludf.DUMMYFUNCTION("""COMPUTED_VALUE"""),"#SLCSA - Segunda Licenciatura em Ciências Sociais - Segunda Licenciatura em Ciências Sociais - Claudia Teresa Romualdo da Silva - Psicologia da Educação/a - Nota Máxima: 9")</f>
        <v>#SLCSA - Segunda Licenciatura em Ciências Sociais - Segunda Licenciatura em Ciências Sociais - Claudia Teresa Romualdo da Silva - Psicologia da Educação/a - Nota Máxima: 9</v>
      </c>
    </row>
    <row r="5323">
      <c r="A5323" s="390" t="str">
        <f>IFERROR(__xludf.DUMMYFUNCTION("""COMPUTED_VALUE"""),"#SLCSA - Segunda Licenciatura em Ciências Sociais - Segunda Licenciatura em Ciências Sociais - Claudia Teresa Romualdo da Silva - Psicologia da Educação/a - Nota Máxima: 9")</f>
        <v>#SLCSA - Segunda Licenciatura em Ciências Sociais - Segunda Licenciatura em Ciências Sociais - Claudia Teresa Romualdo da Silva - Psicologia da Educação/a - Nota Máxima: 9</v>
      </c>
    </row>
    <row r="5324">
      <c r="A5324" s="390" t="str">
        <f>IFERROR(__xludf.DUMMYFUNCTION("""COMPUTED_VALUE"""),"#SLCSA - Segunda Licenciatura em Ciências Sociais - Segunda Licenciatura em Ciências Sociais - Claudia Teresa Romualdo da Silva - Sociologia Moderna - Nota Máxima: 7")</f>
        <v>#SLCSA - Segunda Licenciatura em Ciências Sociais - Segunda Licenciatura em Ciências Sociais - Claudia Teresa Romualdo da Silva - Sociologia Moderna - Nota Máxima: 7</v>
      </c>
    </row>
    <row r="5325">
      <c r="A5325" s="390" t="str">
        <f>IFERROR(__xludf.DUMMYFUNCTION("""COMPUTED_VALUE"""),"#SLCSA - Segunda Licenciatura em Ciências Sociais - Segunda Licenciatura em Ciências Sociais - Ênio Filipe Goulart de Oliveira - Arte Brasileira na Formação da Identidade Nacional - Nota Máxima: 10")</f>
        <v>#SLCSA - Segunda Licenciatura em Ciências Sociais - Segunda Licenciatura em Ciências Sociais - Ênio Filipe Goulart de Oliveira - Arte Brasileira na Formação da Identidade Nacional - Nota Máxima: 10</v>
      </c>
    </row>
    <row r="5326">
      <c r="A5326" s="390" t="str">
        <f>IFERROR(__xludf.DUMMYFUNCTION("""COMPUTED_VALUE"""),"#SLCSA - Segunda Licenciatura em Ciências Sociais - Segunda Licenciatura em Ciências Sociais - Ênio Filipe Goulart de Oliveira - Arte Brasileira na Formação da Identidade Nacional - Nota Máxima: 9")</f>
        <v>#SLCSA - Segunda Licenciatura em Ciências Sociais - Segunda Licenciatura em Ciências Sociais - Ênio Filipe Goulart de Oliveira - Arte Brasileira na Formação da Identidade Nacional - Nota Máxima: 9</v>
      </c>
    </row>
    <row r="5327">
      <c r="A5327" s="390" t="str">
        <f>IFERROR(__xludf.DUMMYFUNCTION("""COMPUTED_VALUE"""),"#SLCSA - Segunda Licenciatura em Ciências Sociais - Segunda Licenciatura em Ciências Sociais - Ênio Filipe Goulart de Oliveira - Ciência Política - Nota Máxima: 9")</f>
        <v>#SLCSA - Segunda Licenciatura em Ciências Sociais - Segunda Licenciatura em Ciências Sociais - Ênio Filipe Goulart de Oliveira - Ciência Política - Nota Máxima: 9</v>
      </c>
    </row>
    <row r="5328">
      <c r="A5328" s="390" t="str">
        <f>IFERROR(__xludf.DUMMYFUNCTION("""COMPUTED_VALUE"""),"#SLCSA - Segunda Licenciatura em Ciências Sociais - Segunda Licenciatura em Ciências Sociais - Ênio Filipe Goulart de Oliveira - Ciência Política - Nota Máxima: 10")</f>
        <v>#SLCSA - Segunda Licenciatura em Ciências Sociais - Segunda Licenciatura em Ciências Sociais - Ênio Filipe Goulart de Oliveira - Ciência Política - Nota Máxima: 10</v>
      </c>
    </row>
    <row r="5329">
      <c r="A5329" s="390" t="str">
        <f>IFERROR(__xludf.DUMMYFUNCTION("""COMPUTED_VALUE"""),"#SLCSA - Segunda Licenciatura em Ciências Sociais - Segunda Licenciatura em Ciências Sociais - Ênio Filipe Goulart de Oliveira - Deficiência Auditiva e Libras/a - Nota Máxima: 8")</f>
        <v>#SLCSA - Segunda Licenciatura em Ciências Sociais - Segunda Licenciatura em Ciências Sociais - Ênio Filipe Goulart de Oliveira - Deficiência Auditiva e Libras/a - Nota Máxima: 8</v>
      </c>
    </row>
    <row r="5330">
      <c r="A5330" s="390" t="str">
        <f>IFERROR(__xludf.DUMMYFUNCTION("""COMPUTED_VALUE"""),"#SLCSA - Segunda Licenciatura em Ciências Sociais - Segunda Licenciatura em Ciências Sociais - Ênio Filipe Goulart de Oliveira - Deficiência Auditiva e Libras/a - Nota Máxima: 9")</f>
        <v>#SLCSA - Segunda Licenciatura em Ciências Sociais - Segunda Licenciatura em Ciências Sociais - Ênio Filipe Goulart de Oliveira - Deficiência Auditiva e Libras/a - Nota Máxima: 9</v>
      </c>
    </row>
    <row r="5331">
      <c r="A5331" s="390" t="str">
        <f>IFERROR(__xludf.DUMMYFUNCTION("""COMPUTED_VALUE"""),"#SLCSA - Segunda Licenciatura em Ciências Sociais - Segunda Licenciatura em Ciências Sociais - Ênio Filipe Goulart de Oliveira - Desenvolvimento do Capital Humano - Nota Máxima: 10")</f>
        <v>#SLCSA - Segunda Licenciatura em Ciências Sociais - Segunda Licenciatura em Ciências Sociais - Ênio Filipe Goulart de Oliveira - Desenvolvimento do Capital Humano - Nota Máxima: 10</v>
      </c>
    </row>
    <row r="5332">
      <c r="A5332" s="390" t="str">
        <f>IFERROR(__xludf.DUMMYFUNCTION("""COMPUTED_VALUE"""),"#SLCSA - Segunda Licenciatura em Ciências Sociais - Segunda Licenciatura em Ciências Sociais - Ênio Filipe Goulart de Oliveira - Desenvolvimento do Capital Humano - Nota Máxima: 10")</f>
        <v>#SLCSA - Segunda Licenciatura em Ciências Sociais - Segunda Licenciatura em Ciências Sociais - Ênio Filipe Goulart de Oliveira - Desenvolvimento do Capital Humano - Nota Máxima: 10</v>
      </c>
    </row>
    <row r="5333">
      <c r="A5333" s="390" t="str">
        <f>IFERROR(__xludf.DUMMYFUNCTION("""COMPUTED_VALUE"""),"#SLCSA - Segunda Licenciatura em Ciências Sociais - Segunda Licenciatura em Ciências Sociais - Ênio Filipe Goulart de Oliveira - Educação Especial, Inclusão Escolar e Adaptações Curriculares - Nota Máxima: 10")</f>
        <v>#SLCSA - Segunda Licenciatura em Ciências Sociais - Segunda Licenciatura em Ciências Sociais - Ênio Filipe Goulart de Oliveira - Educação Especial, Inclusão Escolar e Adaptações Curriculares - Nota Máxima: 10</v>
      </c>
    </row>
    <row r="5334">
      <c r="A5334" s="390" t="str">
        <f>IFERROR(__xludf.DUMMYFUNCTION("""COMPUTED_VALUE"""),"#SLCSA - Segunda Licenciatura em Ciências Sociais - Segunda Licenciatura em Ciências Sociais - Ênio Filipe Goulart de Oliveira - Educação Especial, Inclusão Escolar e Adaptações Curriculares - Nota Máxima: 8")</f>
        <v>#SLCSA - Segunda Licenciatura em Ciências Sociais - Segunda Licenciatura em Ciências Sociais - Ênio Filipe Goulart de Oliveira - Educação Especial, Inclusão Escolar e Adaptações Curriculares - Nota Máxima: 8</v>
      </c>
    </row>
    <row r="5335">
      <c r="A5335" s="390" t="str">
        <f>IFERROR(__xludf.DUMMYFUNCTION("""COMPUTED_VALUE"""),"#SLCSA - Segunda Licenciatura em Ciências Sociais - Segunda Licenciatura em Ciências Sociais - Ênio Filipe Goulart de Oliveira - Educação, História, Cultura e Práticas Indígenas/a - Nota Máxima: 9")</f>
        <v>#SLCSA - Segunda Licenciatura em Ciências Sociais - Segunda Licenciatura em Ciências Sociais - Ênio Filipe Goulart de Oliveira - Educação, História, Cultura e Práticas Indígenas/a - Nota Máxima: 9</v>
      </c>
    </row>
    <row r="5336">
      <c r="A5336" s="390" t="str">
        <f>IFERROR(__xludf.DUMMYFUNCTION("""COMPUTED_VALUE"""),"#SLCSA - Segunda Licenciatura em Ciências Sociais - Segunda Licenciatura em Ciências Sociais - Ênio Filipe Goulart de Oliveira - Educação, História, Cultura e Práticas Indígenas/a - Nota Máxima: 8")</f>
        <v>#SLCSA - Segunda Licenciatura em Ciências Sociais - Segunda Licenciatura em Ciências Sociais - Ênio Filipe Goulart de Oliveira - Educação, História, Cultura e Práticas Indígenas/a - Nota Máxima: 8</v>
      </c>
    </row>
    <row r="5337">
      <c r="A5337" s="390" t="str">
        <f>IFERROR(__xludf.DUMMYFUNCTION("""COMPUTED_VALUE"""),"#SLCSA - Segunda Licenciatura em Ciências Sociais - Segunda Licenciatura em Ciências Sociais - Ênio Filipe Goulart de Oliveira - Estudos Populacionais - Nota Máxima: 9")</f>
        <v>#SLCSA - Segunda Licenciatura em Ciências Sociais - Segunda Licenciatura em Ciências Sociais - Ênio Filipe Goulart de Oliveira - Estudos Populacionais - Nota Máxima: 9</v>
      </c>
    </row>
    <row r="5338">
      <c r="A5338" s="390" t="str">
        <f>IFERROR(__xludf.DUMMYFUNCTION("""COMPUTED_VALUE"""),"#SLCSA - Segunda Licenciatura em Ciências Sociais - Segunda Licenciatura em Ciências Sociais - Ênio Filipe Goulart de Oliveira - Estudos Populacionais - Nota Máxima: 10")</f>
        <v>#SLCSA - Segunda Licenciatura em Ciências Sociais - Segunda Licenciatura em Ciências Sociais - Ênio Filipe Goulart de Oliveira - Estudos Populacionais - Nota Máxima: 10</v>
      </c>
    </row>
    <row r="5339">
      <c r="A5339" s="390" t="str">
        <f>IFERROR(__xludf.DUMMYFUNCTION("""COMPUTED_VALUE"""),"#SLCSA - Segunda Licenciatura em Ciências Sociais - Segunda Licenciatura em Ciências Sociais - Ênio Filipe Goulart de Oliveira - Introdução a Sociologia - Nota Máxima: 10")</f>
        <v>#SLCSA - Segunda Licenciatura em Ciências Sociais - Segunda Licenciatura em Ciências Sociais - Ênio Filipe Goulart de Oliveira - Introdução a Sociologia - Nota Máxima: 10</v>
      </c>
    </row>
    <row r="5340">
      <c r="A5340" s="390" t="str">
        <f>IFERROR(__xludf.DUMMYFUNCTION("""COMPUTED_VALUE"""),"#SLCSA - Segunda Licenciatura em Ciências Sociais - Segunda Licenciatura em Ciências Sociais - Ênio Filipe Goulart de Oliveira - Introdução a Sociologia - Nota Máxima: 8")</f>
        <v>#SLCSA - Segunda Licenciatura em Ciências Sociais - Segunda Licenciatura em Ciências Sociais - Ênio Filipe Goulart de Oliveira - Introdução a Sociologia - Nota Máxima: 8</v>
      </c>
    </row>
    <row r="5341">
      <c r="A5341" s="390" t="str">
        <f>IFERROR(__xludf.DUMMYFUNCTION("""COMPUTED_VALUE"""),"#SLCSA - Segunda Licenciatura em Ciências Sociais - Segunda Licenciatura em Ciências Sociais - Ênio Filipe Goulart de Oliveira - Legislação Educacional/a - Nota Máxima: 10")</f>
        <v>#SLCSA - Segunda Licenciatura em Ciências Sociais - Segunda Licenciatura em Ciências Sociais - Ênio Filipe Goulart de Oliveira - Legislação Educacional/a - Nota Máxima: 10</v>
      </c>
    </row>
    <row r="5342">
      <c r="A5342" s="390" t="str">
        <f>IFERROR(__xludf.DUMMYFUNCTION("""COMPUTED_VALUE"""),"#SLCSA - Segunda Licenciatura em Ciências Sociais - Segunda Licenciatura em Ciências Sociais - Ênio Filipe Goulart de Oliveira - Legislação Educacional/a - Nota Máxima: 8")</f>
        <v>#SLCSA - Segunda Licenciatura em Ciências Sociais - Segunda Licenciatura em Ciências Sociais - Ênio Filipe Goulart de Oliveira - Legislação Educacional/a - Nota Máxima: 8</v>
      </c>
    </row>
    <row r="5343">
      <c r="A5343" s="390" t="str">
        <f>IFERROR(__xludf.DUMMYFUNCTION("""COMPUTED_VALUE"""),"#SLCSA - Segunda Licenciatura em Ciências Sociais - Segunda Licenciatura em Ciências Sociais - Ênio Filipe Goulart de Oliveira - Ontologia - Nota Máxima: 10")</f>
        <v>#SLCSA - Segunda Licenciatura em Ciências Sociais - Segunda Licenciatura em Ciências Sociais - Ênio Filipe Goulart de Oliveira - Ontologia - Nota Máxima: 10</v>
      </c>
    </row>
    <row r="5344">
      <c r="A5344" s="390" t="str">
        <f>IFERROR(__xludf.DUMMYFUNCTION("""COMPUTED_VALUE"""),"#SLCSA - Segunda Licenciatura em Ciências Sociais - Segunda Licenciatura em Ciências Sociais - Ênio Filipe Goulart de Oliveira - Ontologia - Nota Máxima: 7")</f>
        <v>#SLCSA - Segunda Licenciatura em Ciências Sociais - Segunda Licenciatura em Ciências Sociais - Ênio Filipe Goulart de Oliveira - Ontologia - Nota Máxima: 7</v>
      </c>
    </row>
    <row r="5345">
      <c r="A5345" s="390" t="str">
        <f>IFERROR(__xludf.DUMMYFUNCTION("""COMPUTED_VALUE"""),"#SLCSA - Segunda Licenciatura em Ciências Sociais - Segunda Licenciatura em Ciências Sociais - Ênio Filipe Goulart de Oliveira - Planejamento, Gestão Educacional e Currículo/a - Nota Máxima: 10")</f>
        <v>#SLCSA - Segunda Licenciatura em Ciências Sociais - Segunda Licenciatura em Ciências Sociais - Ênio Filipe Goulart de Oliveira - Planejamento, Gestão Educacional e Currículo/a - Nota Máxima: 10</v>
      </c>
    </row>
    <row r="5346">
      <c r="A5346" s="390" t="str">
        <f>IFERROR(__xludf.DUMMYFUNCTION("""COMPUTED_VALUE"""),"#SLCSA - Segunda Licenciatura em Ciências Sociais - Segunda Licenciatura em Ciências Sociais - Ênio Filipe Goulart de Oliveira - Planejamento, Gestão Educacional e Currículo/a - Nota Máxima: 10")</f>
        <v>#SLCSA - Segunda Licenciatura em Ciências Sociais - Segunda Licenciatura em Ciências Sociais - Ênio Filipe Goulart de Oliveira - Planejamento, Gestão Educacional e Currículo/a - Nota Máxima: 10</v>
      </c>
    </row>
    <row r="5347">
      <c r="A5347" s="390" t="str">
        <f>IFERROR(__xludf.DUMMYFUNCTION("""COMPUTED_VALUE"""),"#SLCSA - Segunda Licenciatura em Ciências Sociais - Segunda Licenciatura em Ciências Sociais - Ênio Filipe Goulart de Oliveira - Práticas Pedagógicas - 400 Horas - Nota Máxima: 4")</f>
        <v>#SLCSA - Segunda Licenciatura em Ciências Sociais - Segunda Licenciatura em Ciências Sociais - Ênio Filipe Goulart de Oliveira - Práticas Pedagógicas - 400 Horas - Nota Máxima: 4</v>
      </c>
    </row>
    <row r="5348">
      <c r="A5348" s="390" t="str">
        <f>IFERROR(__xludf.DUMMYFUNCTION("""COMPUTED_VALUE"""),"#SLCSA - Segunda Licenciatura em Ciências Sociais - Segunda Licenciatura em Ciências Sociais - Ênio Filipe Goulart de Oliveira - Psicologia da Educação/a - Nota Máxima: 8")</f>
        <v>#SLCSA - Segunda Licenciatura em Ciências Sociais - Segunda Licenciatura em Ciências Sociais - Ênio Filipe Goulart de Oliveira - Psicologia da Educação/a - Nota Máxima: 8</v>
      </c>
    </row>
    <row r="5349">
      <c r="A5349" s="390" t="str">
        <f>IFERROR(__xludf.DUMMYFUNCTION("""COMPUTED_VALUE"""),"#SLCSA - Segunda Licenciatura em Ciências Sociais - Segunda Licenciatura em Ciências Sociais - Ênio Filipe Goulart de Oliveira - Psicologia da Educação/a - Nota Máxima: 8")</f>
        <v>#SLCSA - Segunda Licenciatura em Ciências Sociais - Segunda Licenciatura em Ciências Sociais - Ênio Filipe Goulart de Oliveira - Psicologia da Educação/a - Nota Máxima: 8</v>
      </c>
    </row>
    <row r="5350">
      <c r="A5350" s="390" t="str">
        <f>IFERROR(__xludf.DUMMYFUNCTION("""COMPUTED_VALUE"""),"#SLCSA - Segunda Licenciatura em Ciências Sociais - Segunda Licenciatura em Ciências Sociais - Ênio Filipe Goulart de Oliveira - Sociologia Moderna - Nota Máxima: 10")</f>
        <v>#SLCSA - Segunda Licenciatura em Ciências Sociais - Segunda Licenciatura em Ciências Sociais - Ênio Filipe Goulart de Oliveira - Sociologia Moderna - Nota Máxima: 10</v>
      </c>
    </row>
    <row r="5351">
      <c r="A5351" s="390" t="str">
        <f>IFERROR(__xludf.DUMMYFUNCTION("""COMPUTED_VALUE"""),"#SLCSA - Segunda Licenciatura em Ciências Sociais - Segunda Licenciatura em Ciências Sociais - Ênio Filipe Goulart de Oliveira - Sociologia Moderna - Nota Máxima: 6")</f>
        <v>#SLCSA - Segunda Licenciatura em Ciências Sociais - Segunda Licenciatura em Ciências Sociais - Ênio Filipe Goulart de Oliveira - Sociologia Moderna - Nota Máxima: 6</v>
      </c>
    </row>
    <row r="5352">
      <c r="A5352" s="390" t="str">
        <f>IFERROR(__xludf.DUMMYFUNCTION("""COMPUTED_VALUE"""),"#SLCSA - Segunda Licenciatura em Ciências Sociais - Segunda Licenciatura em Ciências Sociais - Tatiane Pereira Feitosa - Arte Brasileira na Formação da Identidade Nacional - Nota Máxima: 8")</f>
        <v>#SLCSA - Segunda Licenciatura em Ciências Sociais - Segunda Licenciatura em Ciências Sociais - Tatiane Pereira Feitosa - Arte Brasileira na Formação da Identidade Nacional - Nota Máxima: 8</v>
      </c>
    </row>
    <row r="5353">
      <c r="A5353" s="390" t="str">
        <f>IFERROR(__xludf.DUMMYFUNCTION("""COMPUTED_VALUE"""),"#SLCSA - Segunda Licenciatura em Ciências Sociais - Segunda Licenciatura em Ciências Sociais - Tatiane Pereira Feitosa - Ciência Política - Nota Máxima: 8")</f>
        <v>#SLCSA - Segunda Licenciatura em Ciências Sociais - Segunda Licenciatura em Ciências Sociais - Tatiane Pereira Feitosa - Ciência Política - Nota Máxima: 8</v>
      </c>
    </row>
    <row r="5354">
      <c r="A5354" s="390" t="str">
        <f>IFERROR(__xludf.DUMMYFUNCTION("""COMPUTED_VALUE"""),"#SLCSA - Segunda Licenciatura em Ciências Sociais - Segunda Licenciatura em Ciências Sociais - Tatiane Pereira Feitosa - Deficiência Auditiva e Libras/a - Nota Máxima: 10")</f>
        <v>#SLCSA - Segunda Licenciatura em Ciências Sociais - Segunda Licenciatura em Ciências Sociais - Tatiane Pereira Feitosa - Deficiência Auditiva e Libras/a - Nota Máxima: 10</v>
      </c>
    </row>
    <row r="5355">
      <c r="A5355" s="390" t="str">
        <f>IFERROR(__xludf.DUMMYFUNCTION("""COMPUTED_VALUE"""),"#SLCSA - Segunda Licenciatura em Ciências Sociais - Segunda Licenciatura em Ciências Sociais - Tatiane Pereira Feitosa - Deficiência Auditiva e Libras/a - Nota Máxima: 9")</f>
        <v>#SLCSA - Segunda Licenciatura em Ciências Sociais - Segunda Licenciatura em Ciências Sociais - Tatiane Pereira Feitosa - Deficiência Auditiva e Libras/a - Nota Máxima: 9</v>
      </c>
    </row>
    <row r="5356">
      <c r="A5356" s="390" t="str">
        <f>IFERROR(__xludf.DUMMYFUNCTION("""COMPUTED_VALUE"""),"#SLCSA - Segunda Licenciatura em Ciências Sociais - Segunda Licenciatura em Ciências Sociais - Tatiane Pereira Feitosa - Desenvolvimento do Capital Humano - Nota Máxima: 9")</f>
        <v>#SLCSA - Segunda Licenciatura em Ciências Sociais - Segunda Licenciatura em Ciências Sociais - Tatiane Pereira Feitosa - Desenvolvimento do Capital Humano - Nota Máxima: 9</v>
      </c>
    </row>
    <row r="5357">
      <c r="A5357" s="390" t="str">
        <f>IFERROR(__xludf.DUMMYFUNCTION("""COMPUTED_VALUE"""),"#SLCSA - Segunda Licenciatura em Ciências Sociais - Segunda Licenciatura em Ciências Sociais - Tatiane Pereira Feitosa - Educação Especial, Inclusão Escolar e Adaptações Curriculares - Nota Máxima: 10")</f>
        <v>#SLCSA - Segunda Licenciatura em Ciências Sociais - Segunda Licenciatura em Ciências Sociais - Tatiane Pereira Feitosa - Educação Especial, Inclusão Escolar e Adaptações Curriculares - Nota Máxima: 10</v>
      </c>
    </row>
    <row r="5358">
      <c r="A5358" s="390" t="str">
        <f>IFERROR(__xludf.DUMMYFUNCTION("""COMPUTED_VALUE"""),"#SLCSA - Segunda Licenciatura em Ciências Sociais - Segunda Licenciatura em Ciências Sociais - Tatiane Pereira Feitosa - Educação Especial, Inclusão Escolar e Adaptações Curriculares - Nota Máxima: 10")</f>
        <v>#SLCSA - Segunda Licenciatura em Ciências Sociais - Segunda Licenciatura em Ciências Sociais - Tatiane Pereira Feitosa - Educação Especial, Inclusão Escolar e Adaptações Curriculares - Nota Máxima: 10</v>
      </c>
    </row>
    <row r="5359">
      <c r="A5359" s="390" t="str">
        <f>IFERROR(__xludf.DUMMYFUNCTION("""COMPUTED_VALUE"""),"#SLCSA - Segunda Licenciatura em Ciências Sociais - Segunda Licenciatura em Ciências Sociais - Tatiane Pereira Feitosa - Educação, História, Cultura e Práticas Indígenas/a - Nota Máxima: 9")</f>
        <v>#SLCSA - Segunda Licenciatura em Ciências Sociais - Segunda Licenciatura em Ciências Sociais - Tatiane Pereira Feitosa - Educação, História, Cultura e Práticas Indígenas/a - Nota Máxima: 9</v>
      </c>
    </row>
    <row r="5360">
      <c r="A5360" s="390" t="str">
        <f>IFERROR(__xludf.DUMMYFUNCTION("""COMPUTED_VALUE"""),"#SLCSA - Segunda Licenciatura em Ciências Sociais - Segunda Licenciatura em Ciências Sociais - Tatiane Pereira Feitosa - Legislação Educacional/a - Nota Máxima: 10")</f>
        <v>#SLCSA - Segunda Licenciatura em Ciências Sociais - Segunda Licenciatura em Ciências Sociais - Tatiane Pereira Feitosa - Legislação Educacional/a - Nota Máxima: 10</v>
      </c>
    </row>
    <row r="5361">
      <c r="A5361" s="390" t="str">
        <f>IFERROR(__xludf.DUMMYFUNCTION("""COMPUTED_VALUE"""),"#SLCSA - Segunda Licenciatura em Ciências Sociais - Segunda Licenciatura em Ciências Sociais - Tatiane Pereira Feitosa - Planejamento, Gestão Educacional e Currículo/a - Nota Máxima: 10")</f>
        <v>#SLCSA - Segunda Licenciatura em Ciências Sociais - Segunda Licenciatura em Ciências Sociais - Tatiane Pereira Feitosa - Planejamento, Gestão Educacional e Currículo/a - Nota Máxima: 10</v>
      </c>
    </row>
    <row r="5362">
      <c r="A5362" s="390" t="str">
        <f>IFERROR(__xludf.DUMMYFUNCTION("""COMPUTED_VALUE"""),"#SLCSA - Segunda Licenciatura em Ciências Sociais - Segunda Licenciatura em Ciências Sociais - Tatiane Pereira Feitosa - Planejamento, Gestão Educacional e Currículo/a - Nota Máxima: 9")</f>
        <v>#SLCSA - Segunda Licenciatura em Ciências Sociais - Segunda Licenciatura em Ciências Sociais - Tatiane Pereira Feitosa - Planejamento, Gestão Educacional e Currículo/a - Nota Máxima: 9</v>
      </c>
    </row>
    <row r="5363">
      <c r="A5363" s="390" t="str">
        <f>IFERROR(__xludf.DUMMYFUNCTION("""COMPUTED_VALUE"""),"#SLCSA - Segunda Licenciatura em Ciências Sociais - Segunda Licenciatura em Ciências Sociais - Samuel Elói dos Santos - Arte Brasileira na Formação da Identidade Nacional - Nota Máxima: 9")</f>
        <v>#SLCSA - Segunda Licenciatura em Ciências Sociais - Segunda Licenciatura em Ciências Sociais - Samuel Elói dos Santos - Arte Brasileira na Formação da Identidade Nacional - Nota Máxima: 9</v>
      </c>
    </row>
    <row r="5364">
      <c r="A5364" s="390" t="str">
        <f>IFERROR(__xludf.DUMMYFUNCTION("""COMPUTED_VALUE"""),"#SLCSA - Segunda Licenciatura em Ciências Sociais - Segunda Licenciatura em Ciências Sociais - Samuel Elói dos Santos - Arte Brasileira na Formação da Identidade Nacional - Nota Máxima: 5")</f>
        <v>#SLCSA - Segunda Licenciatura em Ciências Sociais - Segunda Licenciatura em Ciências Sociais - Samuel Elói dos Santos - Arte Brasileira na Formação da Identidade Nacional - Nota Máxima: 5</v>
      </c>
    </row>
    <row r="5365">
      <c r="A5365" s="390" t="str">
        <f>IFERROR(__xludf.DUMMYFUNCTION("""COMPUTED_VALUE"""),"#SLCSA - Segunda Licenciatura em Ciências Sociais - Segunda Licenciatura em Ciências Sociais - Samuel Elói dos Santos - Ciência Política - Nota Máxima: 9")</f>
        <v>#SLCSA - Segunda Licenciatura em Ciências Sociais - Segunda Licenciatura em Ciências Sociais - Samuel Elói dos Santos - Ciência Política - Nota Máxima: 9</v>
      </c>
    </row>
    <row r="5366">
      <c r="A5366" s="390" t="str">
        <f>IFERROR(__xludf.DUMMYFUNCTION("""COMPUTED_VALUE"""),"#SLCSA - Segunda Licenciatura em Ciências Sociais - Segunda Licenciatura em Ciências Sociais - Samuel Elói dos Santos - Deficiência Auditiva e Libras/a - Nota Máxima: 10")</f>
        <v>#SLCSA - Segunda Licenciatura em Ciências Sociais - Segunda Licenciatura em Ciências Sociais - Samuel Elói dos Santos - Deficiência Auditiva e Libras/a - Nota Máxima: 10</v>
      </c>
    </row>
    <row r="5367">
      <c r="A5367" s="390" t="str">
        <f>IFERROR(__xludf.DUMMYFUNCTION("""COMPUTED_VALUE"""),"#SLCSA - Segunda Licenciatura em Ciências Sociais - Segunda Licenciatura em Ciências Sociais - Samuel Elói dos Santos - Deficiência Auditiva e Libras/a - Nota Máxima: 5")</f>
        <v>#SLCSA - Segunda Licenciatura em Ciências Sociais - Segunda Licenciatura em Ciências Sociais - Samuel Elói dos Santos - Deficiência Auditiva e Libras/a - Nota Máxima: 5</v>
      </c>
    </row>
    <row r="5368">
      <c r="A5368" s="390" t="str">
        <f>IFERROR(__xludf.DUMMYFUNCTION("""COMPUTED_VALUE"""),"#SLCSA - Segunda Licenciatura em Ciências Sociais - Segunda Licenciatura em Ciências Sociais - Samuel Elói dos Santos - Desenvolvimento do Capital Humano - Nota Máxima: 8")</f>
        <v>#SLCSA - Segunda Licenciatura em Ciências Sociais - Segunda Licenciatura em Ciências Sociais - Samuel Elói dos Santos - Desenvolvimento do Capital Humano - Nota Máxima: 8</v>
      </c>
    </row>
    <row r="5369">
      <c r="A5369" s="390" t="str">
        <f>IFERROR(__xludf.DUMMYFUNCTION("""COMPUTED_VALUE"""),"#SLCSA - Segunda Licenciatura em Ciências Sociais - Segunda Licenciatura em Ciências Sociais - Samuel Elói dos Santos - Educação Especial, Inclusão Escolar e Adaptações Curriculares - Nota Máxima: 8")</f>
        <v>#SLCSA - Segunda Licenciatura em Ciências Sociais - Segunda Licenciatura em Ciências Sociais - Samuel Elói dos Santos - Educação Especial, Inclusão Escolar e Adaptações Curriculares - Nota Máxima: 8</v>
      </c>
    </row>
    <row r="5370">
      <c r="A5370" s="390" t="str">
        <f>IFERROR(__xludf.DUMMYFUNCTION("""COMPUTED_VALUE"""),"#SLCSA - Segunda Licenciatura em Ciências Sociais - Segunda Licenciatura em Ciências Sociais - Samuel Elói dos Santos - Educação Especial, Inclusão Escolar e Adaptações Curriculares - Nota Máxima: 9")</f>
        <v>#SLCSA - Segunda Licenciatura em Ciências Sociais - Segunda Licenciatura em Ciências Sociais - Samuel Elói dos Santos - Educação Especial, Inclusão Escolar e Adaptações Curriculares - Nota Máxima: 9</v>
      </c>
    </row>
    <row r="5371">
      <c r="A5371" s="390" t="str">
        <f>IFERROR(__xludf.DUMMYFUNCTION("""COMPUTED_VALUE"""),"#SLCSA - Segunda Licenciatura em Ciências Sociais - Segunda Licenciatura em Ciências Sociais - Samuel Elói dos Santos - Educação, História, Cultura e Práticas Indígenas/a - Nota Máxima: 9")</f>
        <v>#SLCSA - Segunda Licenciatura em Ciências Sociais - Segunda Licenciatura em Ciências Sociais - Samuel Elói dos Santos - Educação, História, Cultura e Práticas Indígenas/a - Nota Máxima: 9</v>
      </c>
    </row>
    <row r="5372">
      <c r="A5372" s="390" t="str">
        <f>IFERROR(__xludf.DUMMYFUNCTION("""COMPUTED_VALUE"""),"#SLCSA - Segunda Licenciatura em Ciências Sociais - Segunda Licenciatura em Ciências Sociais - Samuel Elói dos Santos - Estudos Populacionais - Nota Máxima: 9")</f>
        <v>#SLCSA - Segunda Licenciatura em Ciências Sociais - Segunda Licenciatura em Ciências Sociais - Samuel Elói dos Santos - Estudos Populacionais - Nota Máxima: 9</v>
      </c>
    </row>
    <row r="5373">
      <c r="A5373" s="390" t="str">
        <f>IFERROR(__xludf.DUMMYFUNCTION("""COMPUTED_VALUE"""),"#SLCSA - Segunda Licenciatura em Ciências Sociais - Segunda Licenciatura em Ciências Sociais - Samuel Elói dos Santos - Introdução a Sociologia - Nota Máxima: 10")</f>
        <v>#SLCSA - Segunda Licenciatura em Ciências Sociais - Segunda Licenciatura em Ciências Sociais - Samuel Elói dos Santos - Introdução a Sociologia - Nota Máxima: 10</v>
      </c>
    </row>
    <row r="5374">
      <c r="A5374" s="390" t="str">
        <f>IFERROR(__xludf.DUMMYFUNCTION("""COMPUTED_VALUE"""),"#SLCSA - Segunda Licenciatura em Ciências Sociais - Segunda Licenciatura em Ciências Sociais - Samuel Elói dos Santos - Ontologia - Nota Máxima: 8")</f>
        <v>#SLCSA - Segunda Licenciatura em Ciências Sociais - Segunda Licenciatura em Ciências Sociais - Samuel Elói dos Santos - Ontologia - Nota Máxima: 8</v>
      </c>
    </row>
    <row r="5375">
      <c r="A5375" s="390" t="str">
        <f>IFERROR(__xludf.DUMMYFUNCTION("""COMPUTED_VALUE"""),"#SLCSA - Segunda Licenciatura em Ciências Sociais - Segunda Licenciatura em Ciências Sociais - Samuel Elói dos Santos - Psicologia da Educação/a - Nota Máxima: 7")</f>
        <v>#SLCSA - Segunda Licenciatura em Ciências Sociais - Segunda Licenciatura em Ciências Sociais - Samuel Elói dos Santos - Psicologia da Educação/a - Nota Máxima: 7</v>
      </c>
    </row>
    <row r="5376">
      <c r="A5376" s="390" t="str">
        <f>IFERROR(__xludf.DUMMYFUNCTION("""COMPUTED_VALUE"""),"#SLCSA - Segunda Licenciatura em Ciências Sociais - Segunda Licenciatura em Ciências Sociais - Samuel Elói dos Santos - Deficiência Auditiva e Libras/a - Nota Máxima: 9")</f>
        <v>#SLCSA - Segunda Licenciatura em Ciências Sociais - Segunda Licenciatura em Ciências Sociais - Samuel Elói dos Santos - Deficiência Auditiva e Libras/a - Nota Máxima: 9</v>
      </c>
    </row>
    <row r="5377">
      <c r="A5377" s="390" t="str">
        <f>IFERROR(__xludf.DUMMYFUNCTION("""COMPUTED_VALUE"""),"#SLCSA - Segunda Licenciatura em Ciências Sociais - Segunda Licenciatura em Ciências Sociais - Samuel Elói dos Santos - Legislação Educacional/a - Nota Máxima: 8")</f>
        <v>#SLCSA - Segunda Licenciatura em Ciências Sociais - Segunda Licenciatura em Ciências Sociais - Samuel Elói dos Santos - Legislação Educacional/a - Nota Máxima: 8</v>
      </c>
    </row>
    <row r="5378">
      <c r="A5378" s="390" t="str">
        <f>IFERROR(__xludf.DUMMYFUNCTION("""COMPUTED_VALUE"""),"#SLCSA - Segunda Licenciatura em Ciências Sociais - Segunda Licenciatura em Ciências Sociais - Samuel Elói dos Santos - Planejamento, Gestão Educacional e Currículo/a - Nota Máxima: 8")</f>
        <v>#SLCSA - Segunda Licenciatura em Ciências Sociais - Segunda Licenciatura em Ciências Sociais - Samuel Elói dos Santos - Planejamento, Gestão Educacional e Currículo/a - Nota Máxima: 8</v>
      </c>
    </row>
    <row r="5379">
      <c r="A5379" s="390" t="str">
        <f>IFERROR(__xludf.DUMMYFUNCTION("""COMPUTED_VALUE"""),"#SLCSA - Segunda Licenciatura em Ciências Sociais - Segunda Licenciatura em Ciências Sociais - Samuel Elói dos Santos - Práticas Pedagógicas - 400 Horas - Nota Máxima: 10")</f>
        <v>#SLCSA - Segunda Licenciatura em Ciências Sociais - Segunda Licenciatura em Ciências Sociais - Samuel Elói dos Santos - Práticas Pedagógicas - 400 Horas - Nota Máxima: 10</v>
      </c>
    </row>
    <row r="5380">
      <c r="A5380" s="390" t="str">
        <f>IFERROR(__xludf.DUMMYFUNCTION("""COMPUTED_VALUE"""),"#SLCSA - Segunda Licenciatura em Ciências Sociais - Segunda Licenciatura em Ciências Sociais - Samuel Elói dos Santos - Psicologia da Educação/a - Nota Máxima: 8")</f>
        <v>#SLCSA - Segunda Licenciatura em Ciências Sociais - Segunda Licenciatura em Ciências Sociais - Samuel Elói dos Santos - Psicologia da Educação/a - Nota Máxima: 8</v>
      </c>
    </row>
    <row r="5381">
      <c r="A5381" s="390" t="str">
        <f>IFERROR(__xludf.DUMMYFUNCTION("""COMPUTED_VALUE"""),"#SLCSA - Segunda Licenciatura em Ciências Sociais - Segunda Licenciatura em Ciências Sociais - Samuel Elói dos Santos - Sociologia Moderna - Nota Máxima: 10")</f>
        <v>#SLCSA - Segunda Licenciatura em Ciências Sociais - Segunda Licenciatura em Ciências Sociais - Samuel Elói dos Santos - Sociologia Moderna - Nota Máxima: 10</v>
      </c>
    </row>
    <row r="5382">
      <c r="A5382" s="390" t="str">
        <f>IFERROR(__xludf.DUMMYFUNCTION("""COMPUTED_VALUE"""),"#SLCSA - Segunda Licenciatura em Ciências Sociais - Segunda Licenciatura em Ciências Sociais - Daniele Tauane Souza de Melo - Arte Brasileira na Formação da Identidade Nacional - Nota Máxima: 9")</f>
        <v>#SLCSA - Segunda Licenciatura em Ciências Sociais - Segunda Licenciatura em Ciências Sociais - Daniele Tauane Souza de Melo - Arte Brasileira na Formação da Identidade Nacional - Nota Máxima: 9</v>
      </c>
    </row>
    <row r="5383">
      <c r="A5383" s="390" t="str">
        <f>IFERROR(__xludf.DUMMYFUNCTION("""COMPUTED_VALUE"""),"#SLCSA - Segunda Licenciatura em Ciências Sociais - Segunda Licenciatura em Ciências Sociais - Daniele Tauane Souza de Melo - Ciência Política - Nota Máxima: 10")</f>
        <v>#SLCSA - Segunda Licenciatura em Ciências Sociais - Segunda Licenciatura em Ciências Sociais - Daniele Tauane Souza de Melo - Ciência Política - Nota Máxima: 10</v>
      </c>
    </row>
    <row r="5384">
      <c r="A5384" s="390" t="str">
        <f>IFERROR(__xludf.DUMMYFUNCTION("""COMPUTED_VALUE"""),"#SLCSA - Segunda Licenciatura em Ciências Sociais - Segunda Licenciatura em Ciências Sociais - Daniele Tauane Souza de Melo - Deficiência Auditiva e Libras/a - Nota Máxima: 10")</f>
        <v>#SLCSA - Segunda Licenciatura em Ciências Sociais - Segunda Licenciatura em Ciências Sociais - Daniele Tauane Souza de Melo - Deficiência Auditiva e Libras/a - Nota Máxima: 10</v>
      </c>
    </row>
    <row r="5385">
      <c r="A5385" s="390" t="str">
        <f>IFERROR(__xludf.DUMMYFUNCTION("""COMPUTED_VALUE"""),"#SLCSA - Segunda Licenciatura em Ciências Sociais - Segunda Licenciatura em Ciências Sociais - Daniele Tauane Souza de Melo - Deficiência Auditiva e Libras/a - Nota Máxima: 7")</f>
        <v>#SLCSA - Segunda Licenciatura em Ciências Sociais - Segunda Licenciatura em Ciências Sociais - Daniele Tauane Souza de Melo - Deficiência Auditiva e Libras/a - Nota Máxima: 7</v>
      </c>
    </row>
    <row r="5386">
      <c r="A5386" s="390" t="str">
        <f>IFERROR(__xludf.DUMMYFUNCTION("""COMPUTED_VALUE"""),"#SLCSA - Segunda Licenciatura em Ciências Sociais - Segunda Licenciatura em Ciências Sociais - Daniele Tauane Souza de Melo - Desenvolvimento do Capital Humano - Nota Máxima: 10")</f>
        <v>#SLCSA - Segunda Licenciatura em Ciências Sociais - Segunda Licenciatura em Ciências Sociais - Daniele Tauane Souza de Melo - Desenvolvimento do Capital Humano - Nota Máxima: 10</v>
      </c>
    </row>
    <row r="5387">
      <c r="A5387" s="390" t="str">
        <f>IFERROR(__xludf.DUMMYFUNCTION("""COMPUTED_VALUE"""),"#SLCSA - Segunda Licenciatura em Ciências Sociais - Segunda Licenciatura em Ciências Sociais - Daniele Tauane Souza de Melo - Educação, História, Cultura e Práticas Indígenas/a - Nota Máxima: 9")</f>
        <v>#SLCSA - Segunda Licenciatura em Ciências Sociais - Segunda Licenciatura em Ciências Sociais - Daniele Tauane Souza de Melo - Educação, História, Cultura e Práticas Indígenas/a - Nota Máxima: 9</v>
      </c>
    </row>
    <row r="5388">
      <c r="A5388" s="390" t="str">
        <f>IFERROR(__xludf.DUMMYFUNCTION("""COMPUTED_VALUE"""),"#SLCSA - Segunda Licenciatura em Ciências Sociais - Segunda Licenciatura em Ciências Sociais - Daniele Tauane Souza de Melo - Estudos Populacionais - Nota Máxima: 10")</f>
        <v>#SLCSA - Segunda Licenciatura em Ciências Sociais - Segunda Licenciatura em Ciências Sociais - Daniele Tauane Souza de Melo - Estudos Populacionais - Nota Máxima: 10</v>
      </c>
    </row>
    <row r="5389">
      <c r="A5389" s="390" t="str">
        <f>IFERROR(__xludf.DUMMYFUNCTION("""COMPUTED_VALUE"""),"#SLCSA - Segunda Licenciatura em Ciências Sociais - Segunda Licenciatura em Ciências Sociais - Daniele Tauane Souza de Melo - Introdução a Sociologia - Nota Máxima: 9")</f>
        <v>#SLCSA - Segunda Licenciatura em Ciências Sociais - Segunda Licenciatura em Ciências Sociais - Daniele Tauane Souza de Melo - Introdução a Sociologia - Nota Máxima: 9</v>
      </c>
    </row>
    <row r="5390">
      <c r="A5390" s="390" t="str">
        <f>IFERROR(__xludf.DUMMYFUNCTION("""COMPUTED_VALUE"""),"#SLCSA - Segunda Licenciatura em Ciências Sociais - Segunda Licenciatura em Ciências Sociais - Daniele Tauane Souza de Melo - Legislação Educacional/a - Nota Máxima: 7")</f>
        <v>#SLCSA - Segunda Licenciatura em Ciências Sociais - Segunda Licenciatura em Ciências Sociais - Daniele Tauane Souza de Melo - Legislação Educacional/a - Nota Máxima: 7</v>
      </c>
    </row>
    <row r="5391">
      <c r="A5391" s="390" t="str">
        <f>IFERROR(__xludf.DUMMYFUNCTION("""COMPUTED_VALUE"""),"#SLCSA - Segunda Licenciatura em Ciências Sociais - Segunda Licenciatura em Ciências Sociais - Daniele Tauane Souza de Melo - Ontologia - Nota Máxima: 8")</f>
        <v>#SLCSA - Segunda Licenciatura em Ciências Sociais - Segunda Licenciatura em Ciências Sociais - Daniele Tauane Souza de Melo - Ontologia - Nota Máxima: 8</v>
      </c>
    </row>
    <row r="5392">
      <c r="A5392" s="390" t="str">
        <f>IFERROR(__xludf.DUMMYFUNCTION("""COMPUTED_VALUE"""),"#SLCSA - Segunda Licenciatura em Ciências Sociais - Segunda Licenciatura em Ciências Sociais - Daniele Tauane Souza de Melo - Práticas Pedagógicas - 400 Horas - Nota Máxima: 10")</f>
        <v>#SLCSA - Segunda Licenciatura em Ciências Sociais - Segunda Licenciatura em Ciências Sociais - Daniele Tauane Souza de Melo - Práticas Pedagógicas - 400 Horas - Nota Máxima: 10</v>
      </c>
    </row>
    <row r="5393">
      <c r="A5393" s="390" t="str">
        <f>IFERROR(__xludf.DUMMYFUNCTION("""COMPUTED_VALUE"""),"#SLCSA - Segunda Licenciatura em Ciências Sociais - Segunda Licenciatura em Ciências Sociais - Daniele Tauane Souza de Melo - Psicologia da Educação/a - Nota Máxima: 7")</f>
        <v>#SLCSA - Segunda Licenciatura em Ciências Sociais - Segunda Licenciatura em Ciências Sociais - Daniele Tauane Souza de Melo - Psicologia da Educação/a - Nota Máxima: 7</v>
      </c>
    </row>
    <row r="5394">
      <c r="A5394" s="390" t="str">
        <f>IFERROR(__xludf.DUMMYFUNCTION("""COMPUTED_VALUE"""),"#SLCSA - Segunda Licenciatura em Ciências Sociais - Segunda Licenciatura em Ciências Sociais - Daniele Tauane Souza de Melo - Sociologia Moderna - Nota Máxima: 10")</f>
        <v>#SLCSA - Segunda Licenciatura em Ciências Sociais - Segunda Licenciatura em Ciências Sociais - Daniele Tauane Souza de Melo - Sociologia Moderna - Nota Máxima: 10</v>
      </c>
    </row>
    <row r="5395">
      <c r="A5395" s="390" t="str">
        <f>IFERROR(__xludf.DUMMYFUNCTION("""COMPUTED_VALUE"""),"#SLCSA - Segunda Licenciatura em Ciências Sociais - Segunda Licenciatura em Ciências Sociais - Juliana Maria Corallo Quinan - Arte Brasileira na Formação da Identidade Nacional - Nota Máxima: 10")</f>
        <v>#SLCSA - Segunda Licenciatura em Ciências Sociais - Segunda Licenciatura em Ciências Sociais - Juliana Maria Corallo Quinan - Arte Brasileira na Formação da Identidade Nacional - Nota Máxima: 10</v>
      </c>
    </row>
    <row r="5396">
      <c r="A5396" s="390" t="str">
        <f>IFERROR(__xludf.DUMMYFUNCTION("""COMPUTED_VALUE"""),"#SLCSA - Segunda Licenciatura em Ciências Sociais - Segunda Licenciatura em Ciências Sociais - Juliana Maria Corallo Quinan - Ciência Política - Nota Máxima: 10")</f>
        <v>#SLCSA - Segunda Licenciatura em Ciências Sociais - Segunda Licenciatura em Ciências Sociais - Juliana Maria Corallo Quinan - Ciência Política - Nota Máxima: 10</v>
      </c>
    </row>
    <row r="5397">
      <c r="A5397" s="390" t="str">
        <f>IFERROR(__xludf.DUMMYFUNCTION("""COMPUTED_VALUE"""),"#SLCSA - Segunda Licenciatura em Ciências Sociais - Segunda Licenciatura em Ciências Sociais - Juliana Maria Corallo Quinan - Ciência Política - Nota Máxima: 10")</f>
        <v>#SLCSA - Segunda Licenciatura em Ciências Sociais - Segunda Licenciatura em Ciências Sociais - Juliana Maria Corallo Quinan - Ciência Política - Nota Máxima: 10</v>
      </c>
    </row>
    <row r="5398">
      <c r="A5398" s="390" t="str">
        <f>IFERROR(__xludf.DUMMYFUNCTION("""COMPUTED_VALUE"""),"#SLCSA - Segunda Licenciatura em Ciências Sociais - Segunda Licenciatura em Ciências Sociais - Juliana Maria Corallo Quinan - Deficiência Auditiva e Libras/a - Nota Máxima: 8")</f>
        <v>#SLCSA - Segunda Licenciatura em Ciências Sociais - Segunda Licenciatura em Ciências Sociais - Juliana Maria Corallo Quinan - Deficiência Auditiva e Libras/a - Nota Máxima: 8</v>
      </c>
    </row>
    <row r="5399">
      <c r="A5399" s="390" t="str">
        <f>IFERROR(__xludf.DUMMYFUNCTION("""COMPUTED_VALUE"""),"#SLCSA - Segunda Licenciatura em Ciências Sociais - Segunda Licenciatura em Ciências Sociais - Juliana Maria Corallo Quinan - Desenvolvimento do Capital Humano - Nota Máxima: 10")</f>
        <v>#SLCSA - Segunda Licenciatura em Ciências Sociais - Segunda Licenciatura em Ciências Sociais - Juliana Maria Corallo Quinan - Desenvolvimento do Capital Humano - Nota Máxima: 10</v>
      </c>
    </row>
    <row r="5400">
      <c r="A5400" s="390" t="str">
        <f>IFERROR(__xludf.DUMMYFUNCTION("""COMPUTED_VALUE"""),"#SLCSA - Segunda Licenciatura em Ciências Sociais - Segunda Licenciatura em Ciências Sociais - Juliana Maria Corallo Quinan - Educação Especial, Inclusão Escolar e Adaptações Curriculares - Nota Máxima: 10")</f>
        <v>#SLCSA - Segunda Licenciatura em Ciências Sociais - Segunda Licenciatura em Ciências Sociais - Juliana Maria Corallo Quinan - Educação Especial, Inclusão Escolar e Adaptações Curriculares - Nota Máxima: 10</v>
      </c>
    </row>
    <row r="5401">
      <c r="A5401" s="390" t="str">
        <f>IFERROR(__xludf.DUMMYFUNCTION("""COMPUTED_VALUE"""),"#SLCSA - Segunda Licenciatura em Ciências Sociais - Segunda Licenciatura em Ciências Sociais - Juliana Maria Corallo Quinan - Educação, História, Cultura e Práticas Indígenas/a - Nota Máxima: 10")</f>
        <v>#SLCSA - Segunda Licenciatura em Ciências Sociais - Segunda Licenciatura em Ciências Sociais - Juliana Maria Corallo Quinan - Educação, História, Cultura e Práticas Indígenas/a - Nota Máxima: 10</v>
      </c>
    </row>
    <row r="5402">
      <c r="A5402" s="390" t="str">
        <f>IFERROR(__xludf.DUMMYFUNCTION("""COMPUTED_VALUE"""),"#SLCSA - Segunda Licenciatura em Ciências Sociais - Segunda Licenciatura em Ciências Sociais - Juliana Maria Corallo Quinan - Estudos Populacionais - Nota Máxima: 10")</f>
        <v>#SLCSA - Segunda Licenciatura em Ciências Sociais - Segunda Licenciatura em Ciências Sociais - Juliana Maria Corallo Quinan - Estudos Populacionais - Nota Máxima: 10</v>
      </c>
    </row>
    <row r="5403">
      <c r="A5403" s="390" t="str">
        <f>IFERROR(__xludf.DUMMYFUNCTION("""COMPUTED_VALUE"""),"#SLCSA - Segunda Licenciatura em Ciências Sociais - Segunda Licenciatura em Ciências Sociais - Juliana Maria Corallo Quinan - Estudos Populacionais - Nota Máxima: 10")</f>
        <v>#SLCSA - Segunda Licenciatura em Ciências Sociais - Segunda Licenciatura em Ciências Sociais - Juliana Maria Corallo Quinan - Estudos Populacionais - Nota Máxima: 10</v>
      </c>
    </row>
    <row r="5404">
      <c r="A5404" s="390" t="str">
        <f>IFERROR(__xludf.DUMMYFUNCTION("""COMPUTED_VALUE"""),"#SLCSA - Segunda Licenciatura em Ciências Sociais - Segunda Licenciatura em Ciências Sociais - Juliana Maria Corallo Quinan - Introdução a Sociologia - Nota Máxima: 10")</f>
        <v>#SLCSA - Segunda Licenciatura em Ciências Sociais - Segunda Licenciatura em Ciências Sociais - Juliana Maria Corallo Quinan - Introdução a Sociologia - Nota Máxima: 10</v>
      </c>
    </row>
    <row r="5405">
      <c r="A5405" s="390" t="str">
        <f>IFERROR(__xludf.DUMMYFUNCTION("""COMPUTED_VALUE"""),"#SLCSA - Segunda Licenciatura em Ciências Sociais - Segunda Licenciatura em Ciências Sociais - Juliana Maria Corallo Quinan - Ontologia - Nota Máxima: 10")</f>
        <v>#SLCSA - Segunda Licenciatura em Ciências Sociais - Segunda Licenciatura em Ciências Sociais - Juliana Maria Corallo Quinan - Ontologia - Nota Máxima: 10</v>
      </c>
    </row>
    <row r="5406">
      <c r="A5406" s="390" t="str">
        <f>IFERROR(__xludf.DUMMYFUNCTION("""COMPUTED_VALUE"""),"#SLCSA - Segunda Licenciatura em Ciências Sociais - Segunda Licenciatura em Ciências Sociais - Juliana Maria Corallo Quinan - Planejamento, Gestão Educacional e Currículo/a - Nota Máxima: 10")</f>
        <v>#SLCSA - Segunda Licenciatura em Ciências Sociais - Segunda Licenciatura em Ciências Sociais - Juliana Maria Corallo Quinan - Planejamento, Gestão Educacional e Currículo/a - Nota Máxima: 10</v>
      </c>
    </row>
    <row r="5407">
      <c r="A5407" s="390" t="str">
        <f>IFERROR(__xludf.DUMMYFUNCTION("""COMPUTED_VALUE"""),"#SLCSA - Segunda Licenciatura em Ciências Sociais - Segunda Licenciatura em Ciências Sociais - Juliana Maria Corallo Quinan - Práticas Pedagógicas - 400 Horas - Nota Máxima: 10")</f>
        <v>#SLCSA - Segunda Licenciatura em Ciências Sociais - Segunda Licenciatura em Ciências Sociais - Juliana Maria Corallo Quinan - Práticas Pedagógicas - 400 Horas - Nota Máxima: 10</v>
      </c>
    </row>
    <row r="5408">
      <c r="A5408" s="390" t="str">
        <f>IFERROR(__xludf.DUMMYFUNCTION("""COMPUTED_VALUE"""),"#SLCSA - Segunda Licenciatura em Ciências Sociais - Segunda Licenciatura em Ciências Sociais - Juliana Maria Corallo Quinan - Psicologia da Educação/a - Nota Máxima: 10")</f>
        <v>#SLCSA - Segunda Licenciatura em Ciências Sociais - Segunda Licenciatura em Ciências Sociais - Juliana Maria Corallo Quinan - Psicologia da Educação/a - Nota Máxima: 10</v>
      </c>
    </row>
    <row r="5409">
      <c r="A5409" s="390" t="str">
        <f>IFERROR(__xludf.DUMMYFUNCTION("""COMPUTED_VALUE"""),"#SLCSA - Segunda Licenciatura em Ciências Sociais - Segunda Licenciatura em Ciências Sociais - Juliana Maria Corallo Quinan - Sociologia Moderna - Nota Máxima: 10")</f>
        <v>#SLCSA - Segunda Licenciatura em Ciências Sociais - Segunda Licenciatura em Ciências Sociais - Juliana Maria Corallo Quinan - Sociologia Moderna - Nota Máxima: 10</v>
      </c>
    </row>
    <row r="5410">
      <c r="A5410" s="390" t="str">
        <f>IFERROR(__xludf.DUMMYFUNCTION("""COMPUTED_VALUE"""),"#SLCSA - Segunda Licenciatura em Ciências Sociais - #SLCS+- Segunda Licenciatura em Ciências Sociais 2022 - Lucas MIguel de Souza - Dificuldades de Aprendizado e Suas Patologias - Nota Máxima: 10")</f>
        <v>#SLCSA - Segunda Licenciatura em Ciências Sociais - #SLCS+- Segunda Licenciatura em Ciências Sociais 2022 - Lucas MIguel de Souza - Dificuldades de Aprendizado e Suas Patologias - Nota Máxima: 10</v>
      </c>
    </row>
    <row r="5411">
      <c r="A5411" s="390" t="str">
        <f>IFERROR(__xludf.DUMMYFUNCTION("""COMPUTED_VALUE"""),"#SLCSA - Segunda Licenciatura em Ciências Sociais - #SLCS+- Segunda Licenciatura em Ciências Sociais 2022 - Lucas MIguel de Souza - Educação a Distância e Estratégias de Mediação - Nota Máxima: 10")</f>
        <v>#SLCSA - Segunda Licenciatura em Ciências Sociais - #SLCS+- Segunda Licenciatura em Ciências Sociais 2022 - Lucas MIguel de Souza - Educação a Distância e Estratégias de Mediação - Nota Máxima: 10</v>
      </c>
    </row>
    <row r="5412">
      <c r="A5412" s="390" t="str">
        <f>IFERROR(__xludf.DUMMYFUNCTION("""COMPUTED_VALUE"""),"#SLCSA - Segunda Licenciatura em Ciências Sociais - #SLCS+- Segunda Licenciatura em Ciências Sociais 2022 - Lucas MIguel de Souza - Educação em Direitos Humanos/a - Nota Máxima: 10")</f>
        <v>#SLCSA - Segunda Licenciatura em Ciências Sociais - #SLCS+- Segunda Licenciatura em Ciências Sociais 2022 - Lucas MIguel de Souza - Educação em Direitos Humanos/a - Nota Máxima: 10</v>
      </c>
    </row>
    <row r="5413">
      <c r="A5413" s="390" t="str">
        <f>IFERROR(__xludf.DUMMYFUNCTION("""COMPUTED_VALUE"""),"#SLCSA - Segunda Licenciatura em Ciências Sociais - #SLCS+- Segunda Licenciatura em Ciências Sociais 2022 - Lucas MIguel de Souza - História da Educação - Nota Máxima: 10")</f>
        <v>#SLCSA - Segunda Licenciatura em Ciências Sociais - #SLCS+- Segunda Licenciatura em Ciências Sociais 2022 - Lucas MIguel de Souza - História da Educação - Nota Máxima: 10</v>
      </c>
    </row>
    <row r="5414">
      <c r="A5414" s="390" t="str">
        <f>IFERROR(__xludf.DUMMYFUNCTION("""COMPUTED_VALUE"""),"#SLCSA - Segunda Licenciatura em Ciências Sociais - #SLCS+- Segunda Licenciatura em Ciências Sociais 2022 - Lucas MIguel de Souza - História Social e Economia Moderna - Nota Máxima: 9")</f>
        <v>#SLCSA - Segunda Licenciatura em Ciências Sociais - #SLCS+- Segunda Licenciatura em Ciências Sociais 2022 - Lucas MIguel de Souza - História Social e Economia Moderna - Nota Máxima: 9</v>
      </c>
    </row>
    <row r="5415">
      <c r="A5415" s="390" t="str">
        <f>IFERROR(__xludf.DUMMYFUNCTION("""COMPUTED_VALUE"""),"#SLCSA - Segunda Licenciatura em Ciências Sociais - #SLCS+- Segunda Licenciatura em Ciências Sociais 2022 - Lucas MIguel de Souza - Introdução à Filosofia - Nota Máxima: 10")</f>
        <v>#SLCSA - Segunda Licenciatura em Ciências Sociais - #SLCS+- Segunda Licenciatura em Ciências Sociais 2022 - Lucas MIguel de Souza - Introdução à Filosofia - Nota Máxima: 10</v>
      </c>
    </row>
    <row r="5416">
      <c r="A5416" s="390" t="str">
        <f>IFERROR(__xludf.DUMMYFUNCTION("""COMPUTED_VALUE"""),"#SLCSA - Segunda Licenciatura em Ciências Sociais - #SLCS+- Segunda Licenciatura em Ciências Sociais 2022 - Lucas MIguel de Souza - Introdução Geral à Sociologia - Nota Máxima: 10")</f>
        <v>#SLCSA - Segunda Licenciatura em Ciências Sociais - #SLCS+- Segunda Licenciatura em Ciências Sociais 2022 - Lucas MIguel de Souza - Introdução Geral à Sociologia - Nota Máxima: 10</v>
      </c>
    </row>
    <row r="5417">
      <c r="A5417" s="390" t="str">
        <f>IFERROR(__xludf.DUMMYFUNCTION("""COMPUTED_VALUE"""),"#SLCSA - Segunda Licenciatura em Ciências Sociais - #SLCS+- Segunda Licenciatura em Ciências Sociais 2022 - Lucas MIguel de Souza - Língua Brasileira de Sinais – Libras – 100H - Nota Máxima: 9")</f>
        <v>#SLCSA - Segunda Licenciatura em Ciências Sociais - #SLCS+- Segunda Licenciatura em Ciências Sociais 2022 - Lucas MIguel de Souza - Língua Brasileira de Sinais – Libras – 100H - Nota Máxima: 9</v>
      </c>
    </row>
    <row r="5418">
      <c r="A5418" s="390" t="str">
        <f>IFERROR(__xludf.DUMMYFUNCTION("""COMPUTED_VALUE"""),"#SLCSA - Segunda Licenciatura em Ciências Sociais - #SLCS+- Segunda Licenciatura em Ciências Sociais 2022 - Lucas MIguel de Souza - O Contexto Socioeducacional na Perspectiva da Inclusão - Nota Máxima: 10")</f>
        <v>#SLCSA - Segunda Licenciatura em Ciências Sociais - #SLCS+- Segunda Licenciatura em Ciências Sociais 2022 - Lucas MIguel de Souza - O Contexto Socioeducacional na Perspectiva da Inclusão - Nota Máxima: 10</v>
      </c>
    </row>
    <row r="5419">
      <c r="A5419" s="390" t="str">
        <f>IFERROR(__xludf.DUMMYFUNCTION("""COMPUTED_VALUE"""),"#SLCSA - Segunda Licenciatura em Ciências Sociais - #SLCS+- Segunda Licenciatura em Ciências Sociais 2022 - Lucas MIguel de Souza - Políticas Públicas e Legislação Educacional - Nota Máxima: 10")</f>
        <v>#SLCSA - Segunda Licenciatura em Ciências Sociais - #SLCS+- Segunda Licenciatura em Ciências Sociais 2022 - Lucas MIguel de Souza - Políticas Públicas e Legislação Educacional - Nota Máxima: 10</v>
      </c>
    </row>
    <row r="5420">
      <c r="A5420" s="390" t="str">
        <f>IFERROR(__xludf.DUMMYFUNCTION("""COMPUTED_VALUE"""),"#SLCSA - Segunda Licenciatura em Ciências Sociais - #SLCS+- Segunda Licenciatura em Ciências Sociais 2022 - Lucas MIguel de Souza - Práticas Pedagógicas - 400 Horas - Nota Máxima: 10")</f>
        <v>#SLCSA - Segunda Licenciatura em Ciências Sociais - #SLCS+- Segunda Licenciatura em Ciências Sociais 2022 - Lucas MIguel de Souza - Práticas Pedagógicas - 400 Horas - Nota Máxima: 10</v>
      </c>
    </row>
    <row r="5421">
      <c r="A5421" s="390" t="str">
        <f>IFERROR(__xludf.DUMMYFUNCTION("""COMPUTED_VALUE"""),"#SLCSA - Segunda Licenciatura em Ciências Sociais - #SLCS+- Segunda Licenciatura em Ciências Sociais 2022 - Lucas MIguel de Souza - Psicologia da Educação/a - Nota Máxima: 10")</f>
        <v>#SLCSA - Segunda Licenciatura em Ciências Sociais - #SLCS+- Segunda Licenciatura em Ciências Sociais 2022 - Lucas MIguel de Souza - Psicologia da Educação/a - Nota Máxima: 10</v>
      </c>
    </row>
    <row r="5422">
      <c r="A5422" s="390" t="str">
        <f>IFERROR(__xludf.DUMMYFUNCTION("""COMPUTED_VALUE"""),"#SLCSA - Segunda Licenciatura em Ciências Sociais - #SLCS+- Segunda Licenciatura em Ciências Sociais 2022 - Lucas MIguel de Souza - Relações Étnico Raciais e Afrodescendências - Nota Máxima: 10")</f>
        <v>#SLCSA - Segunda Licenciatura em Ciências Sociais - #SLCS+- Segunda Licenciatura em Ciências Sociais 2022 - Lucas MIguel de Souza - Relações Étnico Raciais e Afrodescendências - Nota Máxima: 10</v>
      </c>
    </row>
    <row r="5423">
      <c r="A5423" s="390" t="str">
        <f>IFERROR(__xludf.DUMMYFUNCTION("""COMPUTED_VALUE"""),"#SLCSA - Segunda Licenciatura em Ciências Sociais - #SLCS+- Segunda Licenciatura em Ciências Sociais 2022 - Lucas MIguel de Souza - Teoria da Democracia - Nota Máxima: 8")</f>
        <v>#SLCSA - Segunda Licenciatura em Ciências Sociais - #SLCS+- Segunda Licenciatura em Ciências Sociais 2022 - Lucas MIguel de Souza - Teoria da Democracia - Nota Máxima: 8</v>
      </c>
    </row>
    <row r="5424">
      <c r="A5424" s="390" t="str">
        <f>IFERROR(__xludf.DUMMYFUNCTION("""COMPUTED_VALUE"""),"#SLCSA - Segunda Licenciatura em Ciências Sociais - #SLCS+- Segunda Licenciatura em Ciências Sociais 2022 - Lucas MIguel de Souza - Teoria dos Movimentos Sociais - Nota Máxima: 9")</f>
        <v>#SLCSA - Segunda Licenciatura em Ciências Sociais - #SLCS+- Segunda Licenciatura em Ciências Sociais 2022 - Lucas MIguel de Souza - Teoria dos Movimentos Sociais - Nota Máxima: 9</v>
      </c>
    </row>
    <row r="5425">
      <c r="A5425" s="390" t="str">
        <f>IFERROR(__xludf.DUMMYFUNCTION("""COMPUTED_VALUE"""),"#SLCSA - Segunda Licenciatura em Ciências Sociais - #SLCS+- Segunda Licenciatura em Ciências Sociais 2022 - Lucas MIguel de Souza - Teoria e Prática em Ciência Política - Nota Máxima: 9")</f>
        <v>#SLCSA - Segunda Licenciatura em Ciências Sociais - #SLCS+- Segunda Licenciatura em Ciências Sociais 2022 - Lucas MIguel de Souza - Teoria e Prática em Ciência Política - Nota Máxima: 9</v>
      </c>
    </row>
    <row r="5426">
      <c r="A5426" s="390" t="str">
        <f>IFERROR(__xludf.DUMMYFUNCTION("""COMPUTED_VALUE"""),"teste psicanalise - teste psicanalise - Teste Waldiney Junior - Dificuldades de Aprendizagem: Principais Distúrbios e Interferência da Escrita - Nota Máxima: 0")</f>
        <v>teste psicanalise - teste psicanalise - Teste Waldiney Junior - Dificuldades de Aprendizagem: Principais Distúrbios e Interferência da Escrita - Nota Máxima: 0</v>
      </c>
    </row>
    <row r="5427">
      <c r="A5427" s="390" t="str">
        <f>IFERROR(__xludf.DUMMYFUNCTION("""COMPUTED_VALUE"""),"teste psicanalise - teste psicanalise - Teste Waldiney Junior - Educação Física Escolar - Nota Máxima: 3")</f>
        <v>teste psicanalise - teste psicanalise - Teste Waldiney Junior - Educação Física Escolar - Nota Máxima: 3</v>
      </c>
    </row>
    <row r="5428">
      <c r="A5428" s="390" t="str">
        <f>IFERROR(__xludf.DUMMYFUNCTION("""COMPUTED_VALUE"""),"teste psicanalise - teste psicanalise - Teste Waldiney Junior - Meio Ambiente e Qualidade de Vida - Nota Máxima: 4")</f>
        <v>teste psicanalise - teste psicanalise - Teste Waldiney Junior - Meio Ambiente e Qualidade de Vida - Nota Máxima: 4</v>
      </c>
    </row>
    <row r="5429">
      <c r="A5429" s="390" t="str">
        <f>IFERROR(__xludf.DUMMYFUNCTION("""COMPUTED_VALUE"""),"teste psicanalise - teste psicanalise - Teste Waldiney Junior - Processo de Aquisição da Linguagem e da Escrita - Nota Máxima: 0")</f>
        <v>teste psicanalise - teste psicanalise - Teste Waldiney Junior - Processo de Aquisição da Linguagem e da Escrita - Nota Máxima: 0</v>
      </c>
    </row>
    <row r="5430">
      <c r="A5430" s="390" t="str">
        <f>IFERROR(__xludf.DUMMYFUNCTION("""COMPUTED_VALUE"""),"teste psicanalise - teste psicanalise - Teste Waldiney Junior - Segurança Do Trabalho E Saúde Ocupacional - Nota Máxima: 1")</f>
        <v>teste psicanalise - teste psicanalise - Teste Waldiney Junior - Segurança Do Trabalho E Saúde Ocupacional - Nota Máxima: 1</v>
      </c>
    </row>
    <row r="5431">
      <c r="A5431" s="390" t="str">
        <f>IFERROR(__xludf.DUMMYFUNCTION("""COMPUTED_VALUE"""),"teste psicanalise - teste psicanalise - Teste Waldiney Junior - teste - Nota Máxima: 10")</f>
        <v>teste psicanalise - teste psicanalise - Teste Waldiney Junior - teste - Nota Máxima: 10</v>
      </c>
    </row>
    <row r="5432">
      <c r="A5432" s="390" t="str">
        <f>IFERROR(__xludf.DUMMYFUNCTION("""COMPUTED_VALUE"""),"teste psicanalise - teste psicanalise - Teste Waldiney Junior - teste - Nota Máxima: 20")</f>
        <v>teste psicanalise - teste psicanalise - Teste Waldiney Junior - teste - Nota Máxima: 20</v>
      </c>
    </row>
    <row r="5433">
      <c r="A5433" s="390" t="str">
        <f>IFERROR(__xludf.DUMMYFUNCTION("""COMPUTED_VALUE"""),"Formação Pedagógica em Artes Visuais - Formação Pedagógica em Artes Visuais - Teresa Cristina Hersen Monteiro - Arte Brasileira na Formação da Identidade Nacional - Nota Máxima: 7")</f>
        <v>Formação Pedagógica em Artes Visuais - Formação Pedagógica em Artes Visuais - Teresa Cristina Hersen Monteiro - Arte Brasileira na Formação da Identidade Nacional - Nota Máxima: 7</v>
      </c>
    </row>
    <row r="5434">
      <c r="A5434" s="390" t="str">
        <f>IFERROR(__xludf.DUMMYFUNCTION("""COMPUTED_VALUE"""),"Formação Pedagógica em Artes Visuais - Formação Pedagógica em Artes Visuais - Teresa Cristina Hersen Monteiro - Arte Conceitual, Instalações e Arte Urbana - Nota Máxima: 9")</f>
        <v>Formação Pedagógica em Artes Visuais - Formação Pedagógica em Artes Visuais - Teresa Cristina Hersen Monteiro - Arte Conceitual, Instalações e Arte Urbana - Nota Máxima: 9</v>
      </c>
    </row>
    <row r="5435">
      <c r="A5435" s="390" t="str">
        <f>IFERROR(__xludf.DUMMYFUNCTION("""COMPUTED_VALUE"""),"Formação Pedagógica em Artes Visuais - Formação Pedagógica em Artes Visuais - Teresa Cristina Hersen Monteiro - Artes Visuais - Nota Máxima: 7")</f>
        <v>Formação Pedagógica em Artes Visuais - Formação Pedagógica em Artes Visuais - Teresa Cristina Hersen Monteiro - Artes Visuais - Nota Máxima: 7</v>
      </c>
    </row>
    <row r="5436">
      <c r="A5436" s="390" t="str">
        <f>IFERROR(__xludf.DUMMYFUNCTION("""COMPUTED_VALUE"""),"Formação Pedagógica em Artes Visuais - Formação Pedagógica em Artes Visuais - Teresa Cristina Hersen Monteiro - Artes Visuais no Cotidiano - Nota Máxima: 9")</f>
        <v>Formação Pedagógica em Artes Visuais - Formação Pedagógica em Artes Visuais - Teresa Cristina Hersen Monteiro - Artes Visuais no Cotidiano - Nota Máxima: 9</v>
      </c>
    </row>
    <row r="5437">
      <c r="A5437" s="390" t="str">
        <f>IFERROR(__xludf.DUMMYFUNCTION("""COMPUTED_VALUE"""),"Formação Pedagógica em Artes Visuais - Formação Pedagógica em Artes Visuais - Teresa Cristina Hersen Monteiro - Deficiência Auditiva e Libras/a - Nota Máxima: 9")</f>
        <v>Formação Pedagógica em Artes Visuais - Formação Pedagógica em Artes Visuais - Teresa Cristina Hersen Monteiro - Deficiência Auditiva e Libras/a - Nota Máxima: 9</v>
      </c>
    </row>
    <row r="5438">
      <c r="A5438" s="390" t="str">
        <f>IFERROR(__xludf.DUMMYFUNCTION("""COMPUTED_VALUE"""),"Formação Pedagógica em Artes Visuais - Formação Pedagógica em Artes Visuais - Teresa Cristina Hersen Monteiro - Deficiência Auditiva e Libras/a - Nota Máxima: 8")</f>
        <v>Formação Pedagógica em Artes Visuais - Formação Pedagógica em Artes Visuais - Teresa Cristina Hersen Monteiro - Deficiência Auditiva e Libras/a - Nota Máxima: 8</v>
      </c>
    </row>
    <row r="5439">
      <c r="A5439" s="390" t="str">
        <f>IFERROR(__xludf.DUMMYFUNCTION("""COMPUTED_VALUE"""),"Formação Pedagógica em Artes Visuais - Formação Pedagógica em Artes Visuais - Teresa Cristina Hersen Monteiro - Desenho e Observação - Nota Máxima: 10")</f>
        <v>Formação Pedagógica em Artes Visuais - Formação Pedagógica em Artes Visuais - Teresa Cristina Hersen Monteiro - Desenho e Observação - Nota Máxima: 10</v>
      </c>
    </row>
    <row r="5440">
      <c r="A5440" s="390" t="str">
        <f>IFERROR(__xludf.DUMMYFUNCTION("""COMPUTED_VALUE"""),"Formação Pedagógica em Artes Visuais - Formação Pedagógica em Artes Visuais - Teresa Cristina Hersen Monteiro - Educação Especial, Inclusão Escolar e Adaptações Curriculares - Nota Máxima: 8")</f>
        <v>Formação Pedagógica em Artes Visuais - Formação Pedagógica em Artes Visuais - Teresa Cristina Hersen Monteiro - Educação Especial, Inclusão Escolar e Adaptações Curriculares - Nota Máxima: 8</v>
      </c>
    </row>
    <row r="5441">
      <c r="A5441" s="390" t="str">
        <f>IFERROR(__xludf.DUMMYFUNCTION("""COMPUTED_VALUE"""),"Formação Pedagógica em Artes Visuais - Formação Pedagógica em Artes Visuais - Teresa Cristina Hersen Monteiro - Educação, História, Cultura e Práticas Indígenas/a - Nota Máxima: 9")</f>
        <v>Formação Pedagógica em Artes Visuais - Formação Pedagógica em Artes Visuais - Teresa Cristina Hersen Monteiro - Educação, História, Cultura e Práticas Indígenas/a - Nota Máxima: 9</v>
      </c>
    </row>
    <row r="5442">
      <c r="A5442" s="390" t="str">
        <f>IFERROR(__xludf.DUMMYFUNCTION("""COMPUTED_VALUE"""),"Formação Pedagógica em Artes Visuais - Formação Pedagógica em Artes Visuais - Teresa Cristina Hersen Monteiro - Expressão Gráfica - Nota Máxima: 9")</f>
        <v>Formação Pedagógica em Artes Visuais - Formação Pedagógica em Artes Visuais - Teresa Cristina Hersen Monteiro - Expressão Gráfica - Nota Máxima: 9</v>
      </c>
    </row>
    <row r="5443">
      <c r="A5443" s="390" t="str">
        <f>IFERROR(__xludf.DUMMYFUNCTION("""COMPUTED_VALUE"""),"Formação Pedagógica em Artes Visuais - Formação Pedagógica em Artes Visuais - Teresa Cristina Hersen Monteiro - Filosofia das Artes à Estética - Nota Máxima: 9")</f>
        <v>Formação Pedagógica em Artes Visuais - Formação Pedagógica em Artes Visuais - Teresa Cristina Hersen Monteiro - Filosofia das Artes à Estética - Nota Máxima: 9</v>
      </c>
    </row>
    <row r="5444">
      <c r="A5444" s="390" t="str">
        <f>IFERROR(__xludf.DUMMYFUNCTION("""COMPUTED_VALUE"""),"Formação Pedagógica em Artes Visuais - Formação Pedagógica em Artes Visuais - Teresa Cristina Hersen Monteiro - Legislação Educacional/a - Nota Máxima: 7")</f>
        <v>Formação Pedagógica em Artes Visuais - Formação Pedagógica em Artes Visuais - Teresa Cristina Hersen Monteiro - Legislação Educacional/a - Nota Máxima: 7</v>
      </c>
    </row>
    <row r="5445">
      <c r="A5445" s="390" t="str">
        <f>IFERROR(__xludf.DUMMYFUNCTION("""COMPUTED_VALUE"""),"Formação Pedagógica em Artes Visuais - Formação Pedagógica em Artes Visuais - Teresa Cristina Hersen Monteiro - Linguagem das Artes Plásticas - Nota Máxima: 7")</f>
        <v>Formação Pedagógica em Artes Visuais - Formação Pedagógica em Artes Visuais - Teresa Cristina Hersen Monteiro - Linguagem das Artes Plásticas - Nota Máxima: 7</v>
      </c>
    </row>
    <row r="5446">
      <c r="A5446" s="390" t="str">
        <f>IFERROR(__xludf.DUMMYFUNCTION("""COMPUTED_VALUE"""),"Formação Pedagógica em Artes Visuais - Formação Pedagógica em Artes Visuais - Teresa Cristina Hersen Monteiro - Planejamento, Gestão Educacional e Currículo/a - Nota Máxima: 10")</f>
        <v>Formação Pedagógica em Artes Visuais - Formação Pedagógica em Artes Visuais - Teresa Cristina Hersen Monteiro - Planejamento, Gestão Educacional e Currículo/a - Nota Máxima: 10</v>
      </c>
    </row>
    <row r="5447">
      <c r="A5447" s="390" t="str">
        <f>IFERROR(__xludf.DUMMYFUNCTION("""COMPUTED_VALUE"""),"Formação Pedagógica em Artes Visuais - Formação Pedagógica em Artes Visuais - Teresa Cristina Hersen Monteiro - Psicologia da Educação/a - Nota Máxima: 8")</f>
        <v>Formação Pedagógica em Artes Visuais - Formação Pedagógica em Artes Visuais - Teresa Cristina Hersen Monteiro - Psicologia da Educação/a - Nota Máxima: 8</v>
      </c>
    </row>
    <row r="5448">
      <c r="A5448" s="390" t="str">
        <f>IFERROR(__xludf.DUMMYFUNCTION("""COMPUTED_VALUE"""),"Formação Pedagógica em Artes Visuais - Formação Pedagógica em Artes Visuais - Teresa Cristina Hersen Monteiro - Tecnologia nas Artes Visuais - Nota Máxima: 7")</f>
        <v>Formação Pedagógica em Artes Visuais - Formação Pedagógica em Artes Visuais - Teresa Cristina Hersen Monteiro - Tecnologia nas Artes Visuais - Nota Máxima: 7</v>
      </c>
    </row>
    <row r="5449">
      <c r="A5449" s="390" t="str">
        <f>IFERROR(__xludf.DUMMYFUNCTION("""COMPUTED_VALUE"""),"Formação Pedagógica em Artes Visuais - Formação Pedagógica em Artes Visuais - Matheus Bezerra do Nascimento - Arte Brasileira na Formação da Identidade Nacional - Nota Máxima: 7")</f>
        <v>Formação Pedagógica em Artes Visuais - Formação Pedagógica em Artes Visuais - Matheus Bezerra do Nascimento - Arte Brasileira na Formação da Identidade Nacional - Nota Máxima: 7</v>
      </c>
    </row>
    <row r="5450">
      <c r="A5450" s="390" t="str">
        <f>IFERROR(__xludf.DUMMYFUNCTION("""COMPUTED_VALUE"""),"Formação Pedagógica em Artes Visuais - Formação Pedagógica em Artes Visuais - Matheus Bezerra do Nascimento - Arte Brasileira na Formação da Identidade Nacional - Nota Máxima: 8")</f>
        <v>Formação Pedagógica em Artes Visuais - Formação Pedagógica em Artes Visuais - Matheus Bezerra do Nascimento - Arte Brasileira na Formação da Identidade Nacional - Nota Máxima: 8</v>
      </c>
    </row>
    <row r="5451">
      <c r="A5451" s="390" t="str">
        <f>IFERROR(__xludf.DUMMYFUNCTION("""COMPUTED_VALUE"""),"Formação Pedagógica em Artes Visuais - Formação Pedagógica em Artes Visuais - Matheus Bezerra do Nascimento - Arte Conceitual, Instalações e Arte Urbana - Nota Máxima: 10")</f>
        <v>Formação Pedagógica em Artes Visuais - Formação Pedagógica em Artes Visuais - Matheus Bezerra do Nascimento - Arte Conceitual, Instalações e Arte Urbana - Nota Máxima: 10</v>
      </c>
    </row>
    <row r="5452">
      <c r="A5452" s="390" t="str">
        <f>IFERROR(__xludf.DUMMYFUNCTION("""COMPUTED_VALUE"""),"Formação Pedagógica em Artes Visuais - Formação Pedagógica em Artes Visuais - Matheus Bezerra do Nascimento - Arte Conceitual, Instalações e Arte Urbana - Nota Máxima: 6")</f>
        <v>Formação Pedagógica em Artes Visuais - Formação Pedagógica em Artes Visuais - Matheus Bezerra do Nascimento - Arte Conceitual, Instalações e Arte Urbana - Nota Máxima: 6</v>
      </c>
    </row>
    <row r="5453">
      <c r="A5453" s="390" t="str">
        <f>IFERROR(__xludf.DUMMYFUNCTION("""COMPUTED_VALUE"""),"Formação Pedagógica em Artes Visuais - Formação Pedagógica em Artes Visuais - Matheus Bezerra do Nascimento - Artes Visuais - Nota Máxima: 10")</f>
        <v>Formação Pedagógica em Artes Visuais - Formação Pedagógica em Artes Visuais - Matheus Bezerra do Nascimento - Artes Visuais - Nota Máxima: 10</v>
      </c>
    </row>
    <row r="5454">
      <c r="A5454" s="390" t="str">
        <f>IFERROR(__xludf.DUMMYFUNCTION("""COMPUTED_VALUE"""),"Formação Pedagógica em Artes Visuais - Formação Pedagógica em Artes Visuais - Matheus Bezerra do Nascimento - Artes Visuais - Nota Máxima: 5")</f>
        <v>Formação Pedagógica em Artes Visuais - Formação Pedagógica em Artes Visuais - Matheus Bezerra do Nascimento - Artes Visuais - Nota Máxima: 5</v>
      </c>
    </row>
    <row r="5455">
      <c r="A5455" s="390" t="str">
        <f>IFERROR(__xludf.DUMMYFUNCTION("""COMPUTED_VALUE"""),"Formação Pedagógica em Artes Visuais - Formação Pedagógica em Artes Visuais - Matheus Bezerra do Nascimento - Tecnologia nas Artes Visuais - Nota Máxima: 10")</f>
        <v>Formação Pedagógica em Artes Visuais - Formação Pedagógica em Artes Visuais - Matheus Bezerra do Nascimento - Tecnologia nas Artes Visuais - Nota Máxima: 10</v>
      </c>
    </row>
    <row r="5456">
      <c r="A5456" s="390" t="str">
        <f>IFERROR(__xludf.DUMMYFUNCTION("""COMPUTED_VALUE"""),"Formação Pedagógica em Artes Visuais - Formação Pedagógica em Artes Visuais - Matheus Bezerra do Nascimento - Tecnologia nas Artes Visuais - Nota Máxima: 5")</f>
        <v>Formação Pedagógica em Artes Visuais - Formação Pedagógica em Artes Visuais - Matheus Bezerra do Nascimento - Tecnologia nas Artes Visuais - Nota Máxima: 5</v>
      </c>
    </row>
    <row r="5457">
      <c r="A5457" s="390" t="str">
        <f>IFERROR(__xludf.DUMMYFUNCTION("""COMPUTED_VALUE"""),"Formação Pedagógica em Artes Visuais - Formação Pedagógica em Artes Visuais - Grisiele Silverio Costa - Arte Brasileira na Formação da Identidade Nacional - Nota Máxima: 10")</f>
        <v>Formação Pedagógica em Artes Visuais - Formação Pedagógica em Artes Visuais - Grisiele Silverio Costa - Arte Brasileira na Formação da Identidade Nacional - Nota Máxima: 10</v>
      </c>
    </row>
    <row r="5458">
      <c r="A5458" s="390" t="str">
        <f>IFERROR(__xludf.DUMMYFUNCTION("""COMPUTED_VALUE"""),"Formação Pedagógica em Artes Visuais - Formação Pedagógica em Artes Visuais - Grisiele Silverio Costa - Arte Brasileira na Formação da Identidade Nacional - Nota Máxima: 8")</f>
        <v>Formação Pedagógica em Artes Visuais - Formação Pedagógica em Artes Visuais - Grisiele Silverio Costa - Arte Brasileira na Formação da Identidade Nacional - Nota Máxima: 8</v>
      </c>
    </row>
    <row r="5459">
      <c r="A5459" s="390" t="str">
        <f>IFERROR(__xludf.DUMMYFUNCTION("""COMPUTED_VALUE"""),"Formação Pedagógica em Artes Visuais - Formação Pedagógica em Artes Visuais - Grisiele Silverio Costa - Arte Conceitual, Instalações e Arte Urbana - Nota Máxima: 10")</f>
        <v>Formação Pedagógica em Artes Visuais - Formação Pedagógica em Artes Visuais - Grisiele Silverio Costa - Arte Conceitual, Instalações e Arte Urbana - Nota Máxima: 10</v>
      </c>
    </row>
    <row r="5460">
      <c r="A5460" s="390" t="str">
        <f>IFERROR(__xludf.DUMMYFUNCTION("""COMPUTED_VALUE"""),"Formação Pedagógica em Artes Visuais - Formação Pedagógica em Artes Visuais - Grisiele Silverio Costa - Arte Conceitual, Instalações e Arte Urbana - Nota Máxima: 7")</f>
        <v>Formação Pedagógica em Artes Visuais - Formação Pedagógica em Artes Visuais - Grisiele Silverio Costa - Arte Conceitual, Instalações e Arte Urbana - Nota Máxima: 7</v>
      </c>
    </row>
    <row r="5461">
      <c r="A5461" s="390" t="str">
        <f>IFERROR(__xludf.DUMMYFUNCTION("""COMPUTED_VALUE"""),"Formação Pedagógica em Artes Visuais - Formação Pedagógica em Artes Visuais - Grisiele Silverio Costa - Artes Visuais - Nota Máxima: 10")</f>
        <v>Formação Pedagógica em Artes Visuais - Formação Pedagógica em Artes Visuais - Grisiele Silverio Costa - Artes Visuais - Nota Máxima: 10</v>
      </c>
    </row>
    <row r="5462">
      <c r="A5462" s="390" t="str">
        <f>IFERROR(__xludf.DUMMYFUNCTION("""COMPUTED_VALUE"""),"Formação Pedagógica em Artes Visuais - Formação Pedagógica em Artes Visuais - Grisiele Silverio Costa - Artes Visuais - Nota Máxima: 6")</f>
        <v>Formação Pedagógica em Artes Visuais - Formação Pedagógica em Artes Visuais - Grisiele Silverio Costa - Artes Visuais - Nota Máxima: 6</v>
      </c>
    </row>
    <row r="5463">
      <c r="A5463" s="390" t="str">
        <f>IFERROR(__xludf.DUMMYFUNCTION("""COMPUTED_VALUE"""),"Formação Pedagógica em Artes Visuais - Formação Pedagógica em Artes Visuais - Grisiele Silverio Costa - Tecnologia nas Artes Visuais - Nota Máxima: 10")</f>
        <v>Formação Pedagógica em Artes Visuais - Formação Pedagógica em Artes Visuais - Grisiele Silverio Costa - Tecnologia nas Artes Visuais - Nota Máxima: 10</v>
      </c>
    </row>
    <row r="5464">
      <c r="A5464" s="390" t="str">
        <f>IFERROR(__xludf.DUMMYFUNCTION("""COMPUTED_VALUE"""),"Formação Pedagógica em Artes Visuais - Formação Pedagógica em Artes Visuais - Grisiele Silverio Costa - Tecnologia nas Artes Visuais - Nota Máxima: 6")</f>
        <v>Formação Pedagógica em Artes Visuais - Formação Pedagógica em Artes Visuais - Grisiele Silverio Costa - Tecnologia nas Artes Visuais - Nota Máxima: 6</v>
      </c>
    </row>
    <row r="5465">
      <c r="A5465" s="390" t="str">
        <f>IFERROR(__xludf.DUMMYFUNCTION("""COMPUTED_VALUE"""),"Formação Pedagógica em Artes Visuais - Formação Pedagógica em Artes Visuais - Isabely Franco Escóssia - Arte Brasileira na Formação da Identidade Nacional - Nota Máxima: 10")</f>
        <v>Formação Pedagógica em Artes Visuais - Formação Pedagógica em Artes Visuais - Isabely Franco Escóssia - Arte Brasileira na Formação da Identidade Nacional - Nota Máxima: 10</v>
      </c>
    </row>
    <row r="5466">
      <c r="A5466" s="390" t="str">
        <f>IFERROR(__xludf.DUMMYFUNCTION("""COMPUTED_VALUE"""),"Formação Pedagógica em Artes Visuais - Formação Pedagógica em Artes Visuais - Isabely Franco Escóssia - Arte Brasileira na Formação da Identidade Nacional - Nota Máxima: 10")</f>
        <v>Formação Pedagógica em Artes Visuais - Formação Pedagógica em Artes Visuais - Isabely Franco Escóssia - Arte Brasileira na Formação da Identidade Nacional - Nota Máxima: 10</v>
      </c>
    </row>
    <row r="5467">
      <c r="A5467" s="390" t="str">
        <f>IFERROR(__xludf.DUMMYFUNCTION("""COMPUTED_VALUE"""),"Formação Pedagógica em Artes Visuais - Formação Pedagógica em Artes Visuais - Isabely Franco Escóssia - Arte Conceitual, Instalações e Arte Urbana - Nota Máxima: 10")</f>
        <v>Formação Pedagógica em Artes Visuais - Formação Pedagógica em Artes Visuais - Isabely Franco Escóssia - Arte Conceitual, Instalações e Arte Urbana - Nota Máxima: 10</v>
      </c>
    </row>
    <row r="5468">
      <c r="A5468" s="390" t="str">
        <f>IFERROR(__xludf.DUMMYFUNCTION("""COMPUTED_VALUE"""),"Formação Pedagógica em Artes Visuais - Formação Pedagógica em Artes Visuais - Isabely Franco Escóssia - Arte Conceitual, Instalações e Arte Urbana - Nota Máxima: 9")</f>
        <v>Formação Pedagógica em Artes Visuais - Formação Pedagógica em Artes Visuais - Isabely Franco Escóssia - Arte Conceitual, Instalações e Arte Urbana - Nota Máxima: 9</v>
      </c>
    </row>
    <row r="5469">
      <c r="A5469" s="390" t="str">
        <f>IFERROR(__xludf.DUMMYFUNCTION("""COMPUTED_VALUE"""),"Formação Pedagógica em Artes Visuais - Formação Pedagógica em Artes Visuais - Isabely Franco Escóssia - Artes Visuais - Nota Máxima: 10")</f>
        <v>Formação Pedagógica em Artes Visuais - Formação Pedagógica em Artes Visuais - Isabely Franco Escóssia - Artes Visuais - Nota Máxima: 10</v>
      </c>
    </row>
    <row r="5470">
      <c r="A5470" s="390" t="str">
        <f>IFERROR(__xludf.DUMMYFUNCTION("""COMPUTED_VALUE"""),"Formação Pedagógica em Artes Visuais - Formação Pedagógica em Artes Visuais - Isabely Franco Escóssia - Artes Visuais - Nota Máxima: 5")</f>
        <v>Formação Pedagógica em Artes Visuais - Formação Pedagógica em Artes Visuais - Isabely Franco Escóssia - Artes Visuais - Nota Máxima: 5</v>
      </c>
    </row>
    <row r="5471">
      <c r="A5471" s="390" t="str">
        <f>IFERROR(__xludf.DUMMYFUNCTION("""COMPUTED_VALUE"""),"Formação Pedagógica em Artes Visuais - Formação Pedagógica em Artes Visuais - Isabely Franco Escóssia - Artes Visuais no Cotidiano - Nota Máxima: 9")</f>
        <v>Formação Pedagógica em Artes Visuais - Formação Pedagógica em Artes Visuais - Isabely Franco Escóssia - Artes Visuais no Cotidiano - Nota Máxima: 9</v>
      </c>
    </row>
    <row r="5472">
      <c r="A5472" s="390" t="str">
        <f>IFERROR(__xludf.DUMMYFUNCTION("""COMPUTED_VALUE"""),"Formação Pedagógica em Artes Visuais - Formação Pedagógica em Artes Visuais - Isabely Franco Escóssia - Artes Visuais no Cotidiano - Nota Máxima: 9")</f>
        <v>Formação Pedagógica em Artes Visuais - Formação Pedagógica em Artes Visuais - Isabely Franco Escóssia - Artes Visuais no Cotidiano - Nota Máxima: 9</v>
      </c>
    </row>
    <row r="5473">
      <c r="A5473" s="390" t="str">
        <f>IFERROR(__xludf.DUMMYFUNCTION("""COMPUTED_VALUE"""),"Formação Pedagógica em Artes Visuais - Formação Pedagógica em Artes Visuais - Isabely Franco Escóssia - Deficiência Auditiva e Libras/a - Nota Máxima: 10")</f>
        <v>Formação Pedagógica em Artes Visuais - Formação Pedagógica em Artes Visuais - Isabely Franco Escóssia - Deficiência Auditiva e Libras/a - Nota Máxima: 10</v>
      </c>
    </row>
    <row r="5474">
      <c r="A5474" s="390" t="str">
        <f>IFERROR(__xludf.DUMMYFUNCTION("""COMPUTED_VALUE"""),"Formação Pedagógica em Artes Visuais - Formação Pedagógica em Artes Visuais - Isabely Franco Escóssia - Deficiência Auditiva e Libras/a - Nota Máxima: 10")</f>
        <v>Formação Pedagógica em Artes Visuais - Formação Pedagógica em Artes Visuais - Isabely Franco Escóssia - Deficiência Auditiva e Libras/a - Nota Máxima: 10</v>
      </c>
    </row>
    <row r="5475">
      <c r="A5475" s="390" t="str">
        <f>IFERROR(__xludf.DUMMYFUNCTION("""COMPUTED_VALUE"""),"Formação Pedagógica em Artes Visuais - Formação Pedagógica em Artes Visuais - Isabely Franco Escóssia - Desenho e Observação - Nota Máxima: 10")</f>
        <v>Formação Pedagógica em Artes Visuais - Formação Pedagógica em Artes Visuais - Isabely Franco Escóssia - Desenho e Observação - Nota Máxima: 10</v>
      </c>
    </row>
    <row r="5476">
      <c r="A5476" s="390" t="str">
        <f>IFERROR(__xludf.DUMMYFUNCTION("""COMPUTED_VALUE"""),"Formação Pedagógica em Artes Visuais - Formação Pedagógica em Artes Visuais - Isabely Franco Escóssia - Desenho e Observação - Nota Máxima: 10")</f>
        <v>Formação Pedagógica em Artes Visuais - Formação Pedagógica em Artes Visuais - Isabely Franco Escóssia - Desenho e Observação - Nota Máxima: 10</v>
      </c>
    </row>
    <row r="5477">
      <c r="A5477" s="390" t="str">
        <f>IFERROR(__xludf.DUMMYFUNCTION("""COMPUTED_VALUE"""),"Formação Pedagógica em Artes Visuais - Formação Pedagógica em Artes Visuais - Isabely Franco Escóssia - Educação Especial, Inclusão Escolar e Adaptações Curriculares - Nota Máxima: 8")</f>
        <v>Formação Pedagógica em Artes Visuais - Formação Pedagógica em Artes Visuais - Isabely Franco Escóssia - Educação Especial, Inclusão Escolar e Adaptações Curriculares - Nota Máxima: 8</v>
      </c>
    </row>
    <row r="5478">
      <c r="A5478" s="390" t="str">
        <f>IFERROR(__xludf.DUMMYFUNCTION("""COMPUTED_VALUE"""),"Formação Pedagógica em Artes Visuais - Formação Pedagógica em Artes Visuais - Isabely Franco Escóssia - Educação Especial, Inclusão Escolar e Adaptações Curriculares - Nota Máxima: 9")</f>
        <v>Formação Pedagógica em Artes Visuais - Formação Pedagógica em Artes Visuais - Isabely Franco Escóssia - Educação Especial, Inclusão Escolar e Adaptações Curriculares - Nota Máxima: 9</v>
      </c>
    </row>
    <row r="5479">
      <c r="A5479" s="390" t="str">
        <f>IFERROR(__xludf.DUMMYFUNCTION("""COMPUTED_VALUE"""),"Formação Pedagógica em Artes Visuais - Formação Pedagógica em Artes Visuais - Isabely Franco Escóssia - Educação, História, Cultura e Práticas Indígenas/a - Nota Máxima: 10")</f>
        <v>Formação Pedagógica em Artes Visuais - Formação Pedagógica em Artes Visuais - Isabely Franco Escóssia - Educação, História, Cultura e Práticas Indígenas/a - Nota Máxima: 10</v>
      </c>
    </row>
    <row r="5480">
      <c r="A5480" s="390" t="str">
        <f>IFERROR(__xludf.DUMMYFUNCTION("""COMPUTED_VALUE"""),"Formação Pedagógica em Artes Visuais - Formação Pedagógica em Artes Visuais - Isabely Franco Escóssia - Educação, História, Cultura e Práticas Indígenas/a - Nota Máxima: 10")</f>
        <v>Formação Pedagógica em Artes Visuais - Formação Pedagógica em Artes Visuais - Isabely Franco Escóssia - Educação, História, Cultura e Práticas Indígenas/a - Nota Máxima: 10</v>
      </c>
    </row>
    <row r="5481">
      <c r="A5481" s="390" t="str">
        <f>IFERROR(__xludf.DUMMYFUNCTION("""COMPUTED_VALUE"""),"Formação Pedagógica em Artes Visuais - Formação Pedagógica em Artes Visuais - Isabely Franco Escóssia - Expressão Gráfica - Nota Máxima: 10")</f>
        <v>Formação Pedagógica em Artes Visuais - Formação Pedagógica em Artes Visuais - Isabely Franco Escóssia - Expressão Gráfica - Nota Máxima: 10</v>
      </c>
    </row>
    <row r="5482">
      <c r="A5482" s="390" t="str">
        <f>IFERROR(__xludf.DUMMYFUNCTION("""COMPUTED_VALUE"""),"Formação Pedagógica em Artes Visuais - Formação Pedagógica em Artes Visuais - Isabely Franco Escóssia - Expressão Gráfica - Nota Máxima: 10")</f>
        <v>Formação Pedagógica em Artes Visuais - Formação Pedagógica em Artes Visuais - Isabely Franco Escóssia - Expressão Gráfica - Nota Máxima: 10</v>
      </c>
    </row>
    <row r="5483">
      <c r="A5483" s="390" t="str">
        <f>IFERROR(__xludf.DUMMYFUNCTION("""COMPUTED_VALUE"""),"Formação Pedagógica em Artes Visuais - Formação Pedagógica em Artes Visuais - Isabely Franco Escóssia - Filosofia das Artes à Estética - Nota Máxima: 10")</f>
        <v>Formação Pedagógica em Artes Visuais - Formação Pedagógica em Artes Visuais - Isabely Franco Escóssia - Filosofia das Artes à Estética - Nota Máxima: 10</v>
      </c>
    </row>
    <row r="5484">
      <c r="A5484" s="390" t="str">
        <f>IFERROR(__xludf.DUMMYFUNCTION("""COMPUTED_VALUE"""),"Formação Pedagógica em Artes Visuais - Formação Pedagógica em Artes Visuais - Isabely Franco Escóssia - Filosofia das Artes à Estética - Nota Máxima: 10")</f>
        <v>Formação Pedagógica em Artes Visuais - Formação Pedagógica em Artes Visuais - Isabely Franco Escóssia - Filosofia das Artes à Estética - Nota Máxima: 10</v>
      </c>
    </row>
    <row r="5485">
      <c r="A5485" s="390" t="str">
        <f>IFERROR(__xludf.DUMMYFUNCTION("""COMPUTED_VALUE"""),"Formação Pedagógica em Artes Visuais - Formação Pedagógica em Artes Visuais - Isabely Franco Escóssia - Legislação Educacional/a - Nota Máxima: 10")</f>
        <v>Formação Pedagógica em Artes Visuais - Formação Pedagógica em Artes Visuais - Isabely Franco Escóssia - Legislação Educacional/a - Nota Máxima: 10</v>
      </c>
    </row>
    <row r="5486">
      <c r="A5486" s="390" t="str">
        <f>IFERROR(__xludf.DUMMYFUNCTION("""COMPUTED_VALUE"""),"Formação Pedagógica em Artes Visuais - Formação Pedagógica em Artes Visuais - Isabely Franco Escóssia - Legislação Educacional/a - Nota Máxima: 7")</f>
        <v>Formação Pedagógica em Artes Visuais - Formação Pedagógica em Artes Visuais - Isabely Franco Escóssia - Legislação Educacional/a - Nota Máxima: 7</v>
      </c>
    </row>
    <row r="5487">
      <c r="A5487" s="390" t="str">
        <f>IFERROR(__xludf.DUMMYFUNCTION("""COMPUTED_VALUE"""),"Formação Pedagógica em Artes Visuais - Formação Pedagógica em Artes Visuais - Isabely Franco Escóssia - Linguagem das Artes Plásticas - Nota Máxima: 10")</f>
        <v>Formação Pedagógica em Artes Visuais - Formação Pedagógica em Artes Visuais - Isabely Franco Escóssia - Linguagem das Artes Plásticas - Nota Máxima: 10</v>
      </c>
    </row>
    <row r="5488">
      <c r="A5488" s="390" t="str">
        <f>IFERROR(__xludf.DUMMYFUNCTION("""COMPUTED_VALUE"""),"Formação Pedagógica em Artes Visuais - Formação Pedagógica em Artes Visuais - Isabely Franco Escóssia - Linguagem das Artes Plásticas - Nota Máxima: 9")</f>
        <v>Formação Pedagógica em Artes Visuais - Formação Pedagógica em Artes Visuais - Isabely Franco Escóssia - Linguagem das Artes Plásticas - Nota Máxima: 9</v>
      </c>
    </row>
    <row r="5489">
      <c r="A5489" s="390" t="str">
        <f>IFERROR(__xludf.DUMMYFUNCTION("""COMPUTED_VALUE"""),"Formação Pedagógica em Artes Visuais - Formação Pedagógica em Artes Visuais - Isabely Franco Escóssia - Planejamento, Gestão Educacional e Currículo/a - Nota Máxima: 10")</f>
        <v>Formação Pedagógica em Artes Visuais - Formação Pedagógica em Artes Visuais - Isabely Franco Escóssia - Planejamento, Gestão Educacional e Currículo/a - Nota Máxima: 10</v>
      </c>
    </row>
    <row r="5490">
      <c r="A5490" s="390" t="str">
        <f>IFERROR(__xludf.DUMMYFUNCTION("""COMPUTED_VALUE"""),"Formação Pedagógica em Artes Visuais - Formação Pedagógica em Artes Visuais - Isabely Franco Escóssia - Planejamento, Gestão Educacional e Currículo/a - Nota Máxima: 8")</f>
        <v>Formação Pedagógica em Artes Visuais - Formação Pedagógica em Artes Visuais - Isabely Franco Escóssia - Planejamento, Gestão Educacional e Currículo/a - Nota Máxima: 8</v>
      </c>
    </row>
    <row r="5491">
      <c r="A5491" s="390" t="str">
        <f>IFERROR(__xludf.DUMMYFUNCTION("""COMPUTED_VALUE"""),"Formação Pedagógica em Artes Visuais - Formação Pedagógica em Artes Visuais - Isabely Franco Escóssia - Práticas Pedagógicas - 400 Horas - Nota Máxima: 4")</f>
        <v>Formação Pedagógica em Artes Visuais - Formação Pedagógica em Artes Visuais - Isabely Franco Escóssia - Práticas Pedagógicas - 400 Horas - Nota Máxima: 4</v>
      </c>
    </row>
    <row r="5492">
      <c r="A5492" s="390" t="str">
        <f>IFERROR(__xludf.DUMMYFUNCTION("""COMPUTED_VALUE"""),"Formação Pedagógica em Artes Visuais - Formação Pedagógica em Artes Visuais - Isabely Franco Escóssia - Práticas Pedagógicas - 400 Horas - Nota Máxima: 4")</f>
        <v>Formação Pedagógica em Artes Visuais - Formação Pedagógica em Artes Visuais - Isabely Franco Escóssia - Práticas Pedagógicas - 400 Horas - Nota Máxima: 4</v>
      </c>
    </row>
    <row r="5493">
      <c r="A5493" s="390" t="str">
        <f>IFERROR(__xludf.DUMMYFUNCTION("""COMPUTED_VALUE"""),"Formação Pedagógica em Artes Visuais - Formação Pedagógica em Artes Visuais - Isabely Franco Escóssia - Psicologia da Educação/a - Nota Máxima: 10")</f>
        <v>Formação Pedagógica em Artes Visuais - Formação Pedagógica em Artes Visuais - Isabely Franco Escóssia - Psicologia da Educação/a - Nota Máxima: 10</v>
      </c>
    </row>
    <row r="5494">
      <c r="A5494" s="390" t="str">
        <f>IFERROR(__xludf.DUMMYFUNCTION("""COMPUTED_VALUE"""),"Formação Pedagógica em Artes Visuais - Formação Pedagógica em Artes Visuais - Isabely Franco Escóssia - Psicologia da Educação/a - Nota Máxima: 8")</f>
        <v>Formação Pedagógica em Artes Visuais - Formação Pedagógica em Artes Visuais - Isabely Franco Escóssia - Psicologia da Educação/a - Nota Máxima: 8</v>
      </c>
    </row>
    <row r="5495">
      <c r="A5495" s="390" t="str">
        <f>IFERROR(__xludf.DUMMYFUNCTION("""COMPUTED_VALUE"""),"Formação Pedagógica em Artes Visuais - Formação Pedagógica em Artes Visuais - Isabely Franco Escóssia - Tecnologia nas Artes Visuais - Nota Máxima: 10")</f>
        <v>Formação Pedagógica em Artes Visuais - Formação Pedagógica em Artes Visuais - Isabely Franco Escóssia - Tecnologia nas Artes Visuais - Nota Máxima: 10</v>
      </c>
    </row>
    <row r="5496">
      <c r="A5496" s="390" t="str">
        <f>IFERROR(__xludf.DUMMYFUNCTION("""COMPUTED_VALUE"""),"Formação Pedagógica em Artes Visuais - Formação Pedagógica em Artes Visuais - Isabely Franco Escóssia - Tecnologia nas Artes Visuais - Nota Máxima: 6")</f>
        <v>Formação Pedagógica em Artes Visuais - Formação Pedagógica em Artes Visuais - Isabely Franco Escóssia - Tecnologia nas Artes Visuais - Nota Máxima: 6</v>
      </c>
    </row>
    <row r="5497">
      <c r="A5497" s="390" t="str">
        <f>IFERROR(__xludf.DUMMYFUNCTION("""COMPUTED_VALUE"""),"Formação Pedagógica em Artes Visuais - Formação Pedagógica em Artes Visuais - Liliane ribeiro de campos oliveira - Deficiência Auditiva e Libras/a - Nota Máxima: 10")</f>
        <v>Formação Pedagógica em Artes Visuais - Formação Pedagógica em Artes Visuais - Liliane ribeiro de campos oliveira - Deficiência Auditiva e Libras/a - Nota Máxima: 10</v>
      </c>
    </row>
    <row r="5498">
      <c r="A5498" s="390" t="str">
        <f>IFERROR(__xludf.DUMMYFUNCTION("""COMPUTED_VALUE"""),"Formação Pedagógica em Artes Visuais - Formação Pedagógica em Artes Visuais - Liliane ribeiro de campos oliveira - Deficiência Auditiva e Libras/a - Nota Máxima: 9")</f>
        <v>Formação Pedagógica em Artes Visuais - Formação Pedagógica em Artes Visuais - Liliane ribeiro de campos oliveira - Deficiência Auditiva e Libras/a - Nota Máxima: 9</v>
      </c>
    </row>
    <row r="5499">
      <c r="A5499" s="390" t="str">
        <f>IFERROR(__xludf.DUMMYFUNCTION("""COMPUTED_VALUE"""),"Formação Pedagógica em Artes Visuais - Formação Pedagógica em Artes Visuais - Liliane ribeiro de campos oliveira - Educação Especial, Inclusão Escolar e Adaptações Curriculares - Nota Máxima: 10")</f>
        <v>Formação Pedagógica em Artes Visuais - Formação Pedagógica em Artes Visuais - Liliane ribeiro de campos oliveira - Educação Especial, Inclusão Escolar e Adaptações Curriculares - Nota Máxima: 10</v>
      </c>
    </row>
    <row r="5500">
      <c r="A5500" s="390" t="str">
        <f>IFERROR(__xludf.DUMMYFUNCTION("""COMPUTED_VALUE"""),"Formação Pedagógica em Artes Visuais - Formação Pedagógica em Artes Visuais - Liliane ribeiro de campos oliveira - Educação Especial, Inclusão Escolar e Adaptações Curriculares - Nota Máxima: 7")</f>
        <v>Formação Pedagógica em Artes Visuais - Formação Pedagógica em Artes Visuais - Liliane ribeiro de campos oliveira - Educação Especial, Inclusão Escolar e Adaptações Curriculares - Nota Máxima: 7</v>
      </c>
    </row>
    <row r="5501">
      <c r="A5501" s="390" t="str">
        <f>IFERROR(__xludf.DUMMYFUNCTION("""COMPUTED_VALUE"""),"Formação Pedagógica em Artes Visuais - Formação Pedagógica em Artes Visuais - Patrícia Gomes de Sousa - Arte Brasileira na Formação da Identidade Nacional - Nota Máxima: 10")</f>
        <v>Formação Pedagógica em Artes Visuais - Formação Pedagógica em Artes Visuais - Patrícia Gomes de Sousa - Arte Brasileira na Formação da Identidade Nacional - Nota Máxima: 10</v>
      </c>
    </row>
    <row r="5502">
      <c r="A5502" s="390" t="str">
        <f>IFERROR(__xludf.DUMMYFUNCTION("""COMPUTED_VALUE"""),"Formação Pedagógica em Artes Visuais - Formação Pedagógica em Artes Visuais - Patrícia Gomes de Sousa - Arte Brasileira na Formação da Identidade Nacional - Nota Máxima: 10")</f>
        <v>Formação Pedagógica em Artes Visuais - Formação Pedagógica em Artes Visuais - Patrícia Gomes de Sousa - Arte Brasileira na Formação da Identidade Nacional - Nota Máxima: 10</v>
      </c>
    </row>
    <row r="5503">
      <c r="A5503" s="390" t="str">
        <f>IFERROR(__xludf.DUMMYFUNCTION("""COMPUTED_VALUE"""),"Formação Pedagógica em Artes Visuais - Formação Pedagógica em Artes Visuais - Patrícia Gomes de Sousa - Arte Conceitual, Instalações e Arte Urbana - Nota Máxima: 10")</f>
        <v>Formação Pedagógica em Artes Visuais - Formação Pedagógica em Artes Visuais - Patrícia Gomes de Sousa - Arte Conceitual, Instalações e Arte Urbana - Nota Máxima: 10</v>
      </c>
    </row>
    <row r="5504">
      <c r="A5504" s="390" t="str">
        <f>IFERROR(__xludf.DUMMYFUNCTION("""COMPUTED_VALUE"""),"Formação Pedagógica em Artes Visuais - Formação Pedagógica em Artes Visuais - Patrícia Gomes de Sousa - Arte Conceitual, Instalações e Arte Urbana - Nota Máxima: 10")</f>
        <v>Formação Pedagógica em Artes Visuais - Formação Pedagógica em Artes Visuais - Patrícia Gomes de Sousa - Arte Conceitual, Instalações e Arte Urbana - Nota Máxima: 10</v>
      </c>
    </row>
    <row r="5505">
      <c r="A5505" s="390" t="str">
        <f>IFERROR(__xludf.DUMMYFUNCTION("""COMPUTED_VALUE"""),"Formação Pedagógica em Artes Visuais - Formação Pedagógica em Artes Visuais - Patrícia Gomes de Sousa - Artes Visuais - Nota Máxima: 10")</f>
        <v>Formação Pedagógica em Artes Visuais - Formação Pedagógica em Artes Visuais - Patrícia Gomes de Sousa - Artes Visuais - Nota Máxima: 10</v>
      </c>
    </row>
    <row r="5506">
      <c r="A5506" s="390" t="str">
        <f>IFERROR(__xludf.DUMMYFUNCTION("""COMPUTED_VALUE"""),"Formação Pedagógica em Artes Visuais - Formação Pedagógica em Artes Visuais - Patrícia Gomes de Sousa - Artes Visuais - Nota Máxima: 10")</f>
        <v>Formação Pedagógica em Artes Visuais - Formação Pedagógica em Artes Visuais - Patrícia Gomes de Sousa - Artes Visuais - Nota Máxima: 10</v>
      </c>
    </row>
    <row r="5507">
      <c r="A5507" s="390" t="str">
        <f>IFERROR(__xludf.DUMMYFUNCTION("""COMPUTED_VALUE"""),"Formação Pedagógica em Artes Visuais - Formação Pedagógica em Artes Visuais - Patrícia Gomes de Sousa - Artes Visuais no Cotidiano - Nota Máxima: 9")</f>
        <v>Formação Pedagógica em Artes Visuais - Formação Pedagógica em Artes Visuais - Patrícia Gomes de Sousa - Artes Visuais no Cotidiano - Nota Máxima: 9</v>
      </c>
    </row>
    <row r="5508">
      <c r="A5508" s="390" t="str">
        <f>IFERROR(__xludf.DUMMYFUNCTION("""COMPUTED_VALUE"""),"Formação Pedagógica em Artes Visuais - Formação Pedagógica em Artes Visuais - Patrícia Gomes de Sousa - Artes Visuais no Cotidiano - Nota Máxima: 10")</f>
        <v>Formação Pedagógica em Artes Visuais - Formação Pedagógica em Artes Visuais - Patrícia Gomes de Sousa - Artes Visuais no Cotidiano - Nota Máxima: 10</v>
      </c>
    </row>
    <row r="5509">
      <c r="A5509" s="390" t="str">
        <f>IFERROR(__xludf.DUMMYFUNCTION("""COMPUTED_VALUE"""),"Formação Pedagógica em Artes Visuais - Formação Pedagógica em Artes Visuais - Patrícia Gomes de Sousa - Deficiência Auditiva e Libras/a - Nota Máxima: 10")</f>
        <v>Formação Pedagógica em Artes Visuais - Formação Pedagógica em Artes Visuais - Patrícia Gomes de Sousa - Deficiência Auditiva e Libras/a - Nota Máxima: 10</v>
      </c>
    </row>
    <row r="5510">
      <c r="A5510" s="390" t="str">
        <f>IFERROR(__xludf.DUMMYFUNCTION("""COMPUTED_VALUE"""),"Formação Pedagógica em Artes Visuais - Formação Pedagógica em Artes Visuais - Patrícia Gomes de Sousa - Deficiência Auditiva e Libras/a - Nota Máxima: 10")</f>
        <v>Formação Pedagógica em Artes Visuais - Formação Pedagógica em Artes Visuais - Patrícia Gomes de Sousa - Deficiência Auditiva e Libras/a - Nota Máxima: 10</v>
      </c>
    </row>
    <row r="5511">
      <c r="A5511" s="390" t="str">
        <f>IFERROR(__xludf.DUMMYFUNCTION("""COMPUTED_VALUE"""),"Formação Pedagógica em Artes Visuais - Formação Pedagógica em Artes Visuais - Patrícia Gomes de Sousa - Desenho e Observação - Nota Máxima: 10")</f>
        <v>Formação Pedagógica em Artes Visuais - Formação Pedagógica em Artes Visuais - Patrícia Gomes de Sousa - Desenho e Observação - Nota Máxima: 10</v>
      </c>
    </row>
    <row r="5512">
      <c r="A5512" s="390" t="str">
        <f>IFERROR(__xludf.DUMMYFUNCTION("""COMPUTED_VALUE"""),"Formação Pedagógica em Artes Visuais - Formação Pedagógica em Artes Visuais - Patrícia Gomes de Sousa - Educação Especial, Inclusão Escolar e Adaptações Curriculares - Nota Máxima: 9")</f>
        <v>Formação Pedagógica em Artes Visuais - Formação Pedagógica em Artes Visuais - Patrícia Gomes de Sousa - Educação Especial, Inclusão Escolar e Adaptações Curriculares - Nota Máxima: 9</v>
      </c>
    </row>
    <row r="5513">
      <c r="A5513" s="390" t="str">
        <f>IFERROR(__xludf.DUMMYFUNCTION("""COMPUTED_VALUE"""),"Formação Pedagógica em Artes Visuais - Formação Pedagógica em Artes Visuais - Patrícia Gomes de Sousa - Educação Especial, Inclusão Escolar e Adaptações Curriculares - Nota Máxima: 9")</f>
        <v>Formação Pedagógica em Artes Visuais - Formação Pedagógica em Artes Visuais - Patrícia Gomes de Sousa - Educação Especial, Inclusão Escolar e Adaptações Curriculares - Nota Máxima: 9</v>
      </c>
    </row>
    <row r="5514">
      <c r="A5514" s="390" t="str">
        <f>IFERROR(__xludf.DUMMYFUNCTION("""COMPUTED_VALUE"""),"Formação Pedagógica em Artes Visuais - Formação Pedagógica em Artes Visuais - Patrícia Gomes de Sousa - Educação, História, Cultura e Práticas Indígenas/a - Nota Máxima: 10")</f>
        <v>Formação Pedagógica em Artes Visuais - Formação Pedagógica em Artes Visuais - Patrícia Gomes de Sousa - Educação, História, Cultura e Práticas Indígenas/a - Nota Máxima: 10</v>
      </c>
    </row>
    <row r="5515">
      <c r="A5515" s="390" t="str">
        <f>IFERROR(__xludf.DUMMYFUNCTION("""COMPUTED_VALUE"""),"Formação Pedagógica em Artes Visuais - Formação Pedagógica em Artes Visuais - Patrícia Gomes de Sousa - Educação, História, Cultura e Práticas Indígenas/a - Nota Máxima: 10")</f>
        <v>Formação Pedagógica em Artes Visuais - Formação Pedagógica em Artes Visuais - Patrícia Gomes de Sousa - Educação, História, Cultura e Práticas Indígenas/a - Nota Máxima: 10</v>
      </c>
    </row>
    <row r="5516">
      <c r="A5516" s="390" t="str">
        <f>IFERROR(__xludf.DUMMYFUNCTION("""COMPUTED_VALUE"""),"Formação Pedagógica em Artes Visuais - Formação Pedagógica em Artes Visuais - Patrícia Gomes de Sousa - Expressão Gráfica - Nota Máxima: 10")</f>
        <v>Formação Pedagógica em Artes Visuais - Formação Pedagógica em Artes Visuais - Patrícia Gomes de Sousa - Expressão Gráfica - Nota Máxima: 10</v>
      </c>
    </row>
    <row r="5517">
      <c r="A5517" s="390" t="str">
        <f>IFERROR(__xludf.DUMMYFUNCTION("""COMPUTED_VALUE"""),"Formação Pedagógica em Artes Visuais - Formação Pedagógica em Artes Visuais - Patrícia Gomes de Sousa - Filosofia das Artes à Estética - Nota Máxima: 10")</f>
        <v>Formação Pedagógica em Artes Visuais - Formação Pedagógica em Artes Visuais - Patrícia Gomes de Sousa - Filosofia das Artes à Estética - Nota Máxima: 10</v>
      </c>
    </row>
    <row r="5518">
      <c r="A5518" s="390" t="str">
        <f>IFERROR(__xludf.DUMMYFUNCTION("""COMPUTED_VALUE"""),"Formação Pedagógica em Artes Visuais - Formação Pedagógica em Artes Visuais - Patrícia Gomes de Sousa - Filosofia das Artes à Estética - Nota Máxima: 10")</f>
        <v>Formação Pedagógica em Artes Visuais - Formação Pedagógica em Artes Visuais - Patrícia Gomes de Sousa - Filosofia das Artes à Estética - Nota Máxima: 10</v>
      </c>
    </row>
    <row r="5519">
      <c r="A5519" s="390" t="str">
        <f>IFERROR(__xludf.DUMMYFUNCTION("""COMPUTED_VALUE"""),"Formação Pedagógica em Artes Visuais - Formação Pedagógica em Artes Visuais - Patrícia Gomes de Sousa - Legislação Educacional/a - Nota Máxima: 9")</f>
        <v>Formação Pedagógica em Artes Visuais - Formação Pedagógica em Artes Visuais - Patrícia Gomes de Sousa - Legislação Educacional/a - Nota Máxima: 9</v>
      </c>
    </row>
    <row r="5520">
      <c r="A5520" s="390" t="str">
        <f>IFERROR(__xludf.DUMMYFUNCTION("""COMPUTED_VALUE"""),"Formação Pedagógica em Artes Visuais - Formação Pedagógica em Artes Visuais - Patrícia Gomes de Sousa - Legislação Educacional/a - Nota Máxima: 10")</f>
        <v>Formação Pedagógica em Artes Visuais - Formação Pedagógica em Artes Visuais - Patrícia Gomes de Sousa - Legislação Educacional/a - Nota Máxima: 10</v>
      </c>
    </row>
    <row r="5521">
      <c r="A5521" s="390" t="str">
        <f>IFERROR(__xludf.DUMMYFUNCTION("""COMPUTED_VALUE"""),"Formação Pedagógica em Artes Visuais - Formação Pedagógica em Artes Visuais - Patrícia Gomes de Sousa - Linguagem das Artes Plásticas - Nota Máxima: 10")</f>
        <v>Formação Pedagógica em Artes Visuais - Formação Pedagógica em Artes Visuais - Patrícia Gomes de Sousa - Linguagem das Artes Plásticas - Nota Máxima: 10</v>
      </c>
    </row>
    <row r="5522">
      <c r="A5522" s="390" t="str">
        <f>IFERROR(__xludf.DUMMYFUNCTION("""COMPUTED_VALUE"""),"Formação Pedagógica em Artes Visuais - Formação Pedagógica em Artes Visuais - Patrícia Gomes de Sousa - Linguagem das Artes Plásticas - Nota Máxima: 10")</f>
        <v>Formação Pedagógica em Artes Visuais - Formação Pedagógica em Artes Visuais - Patrícia Gomes de Sousa - Linguagem das Artes Plásticas - Nota Máxima: 10</v>
      </c>
    </row>
    <row r="5523">
      <c r="A5523" s="390" t="str">
        <f>IFERROR(__xludf.DUMMYFUNCTION("""COMPUTED_VALUE"""),"Formação Pedagógica em Artes Visuais - Formação Pedagógica em Artes Visuais - Patrícia Gomes de Sousa - Planejamento, Gestão Educacional e Currículo/a - Nota Máxima: 10")</f>
        <v>Formação Pedagógica em Artes Visuais - Formação Pedagógica em Artes Visuais - Patrícia Gomes de Sousa - Planejamento, Gestão Educacional e Currículo/a - Nota Máxima: 10</v>
      </c>
    </row>
    <row r="5524">
      <c r="A5524" s="390" t="str">
        <f>IFERROR(__xludf.DUMMYFUNCTION("""COMPUTED_VALUE"""),"Formação Pedagógica em Artes Visuais - Formação Pedagógica em Artes Visuais - Patrícia Gomes de Sousa - Planejamento, Gestão Educacional e Currículo/a - Nota Máxima: 10")</f>
        <v>Formação Pedagógica em Artes Visuais - Formação Pedagógica em Artes Visuais - Patrícia Gomes de Sousa - Planejamento, Gestão Educacional e Currículo/a - Nota Máxima: 10</v>
      </c>
    </row>
    <row r="5525">
      <c r="A5525" s="390" t="str">
        <f>IFERROR(__xludf.DUMMYFUNCTION("""COMPUTED_VALUE"""),"Formação Pedagógica em Artes Visuais - Formação Pedagógica em Artes Visuais - Patrícia Gomes de Sousa - Práticas Pedagógicas - 400 Horas - Nota Máxima: 10")</f>
        <v>Formação Pedagógica em Artes Visuais - Formação Pedagógica em Artes Visuais - Patrícia Gomes de Sousa - Práticas Pedagógicas - 400 Horas - Nota Máxima: 10</v>
      </c>
    </row>
    <row r="5526">
      <c r="A5526" s="390" t="str">
        <f>IFERROR(__xludf.DUMMYFUNCTION("""COMPUTED_VALUE"""),"Formação Pedagógica em Artes Visuais - Formação Pedagógica em Artes Visuais - Patrícia Gomes de Sousa - Práticas Pedagógicas - 400 Horas - Nota Máxima: 4")</f>
        <v>Formação Pedagógica em Artes Visuais - Formação Pedagógica em Artes Visuais - Patrícia Gomes de Sousa - Práticas Pedagógicas - 400 Horas - Nota Máxima: 4</v>
      </c>
    </row>
    <row r="5527">
      <c r="A5527" s="390" t="str">
        <f>IFERROR(__xludf.DUMMYFUNCTION("""COMPUTED_VALUE"""),"Formação Pedagógica em Artes Visuais - Formação Pedagógica em Artes Visuais - Patrícia Gomes de Sousa - Psicologia da Educação/a - Nota Máxima: 9")</f>
        <v>Formação Pedagógica em Artes Visuais - Formação Pedagógica em Artes Visuais - Patrícia Gomes de Sousa - Psicologia da Educação/a - Nota Máxima: 9</v>
      </c>
    </row>
    <row r="5528">
      <c r="A5528" s="390" t="str">
        <f>IFERROR(__xludf.DUMMYFUNCTION("""COMPUTED_VALUE"""),"Formação Pedagógica em Artes Visuais - Formação Pedagógica em Artes Visuais - Patrícia Gomes de Sousa - Psicologia da Educação/a - Nota Máxima: 9")</f>
        <v>Formação Pedagógica em Artes Visuais - Formação Pedagógica em Artes Visuais - Patrícia Gomes de Sousa - Psicologia da Educação/a - Nota Máxima: 9</v>
      </c>
    </row>
    <row r="5529">
      <c r="A5529" s="390" t="str">
        <f>IFERROR(__xludf.DUMMYFUNCTION("""COMPUTED_VALUE"""),"Formação Pedagógica em Artes Visuais - Formação Pedagógica em Artes Visuais - Patrícia Gomes de Sousa - Tecnologia nas Artes Visuais - Nota Máxima: 10")</f>
        <v>Formação Pedagógica em Artes Visuais - Formação Pedagógica em Artes Visuais - Patrícia Gomes de Sousa - Tecnologia nas Artes Visuais - Nota Máxima: 10</v>
      </c>
    </row>
    <row r="5530">
      <c r="A5530" s="390" t="str">
        <f>IFERROR(__xludf.DUMMYFUNCTION("""COMPUTED_VALUE"""),"Formação Pedagógica em Artes Visuais - Formação Pedagógica em Artes Visuais - Patrícia Gomes de Sousa - Tecnologia nas Artes Visuais - Nota Máxima: 10")</f>
        <v>Formação Pedagógica em Artes Visuais - Formação Pedagógica em Artes Visuais - Patrícia Gomes de Sousa - Tecnologia nas Artes Visuais - Nota Máxima: 10</v>
      </c>
    </row>
    <row r="5531">
      <c r="A5531" s="390" t="str">
        <f>IFERROR(__xludf.DUMMYFUNCTION("""COMPUTED_VALUE"""),"Formação Pedagógica em Artes Visuais - Formação Pedagógica em Artes Visuais - Estéfane Dantas Cabral Alexandre - Arte Brasileira na Formação da Identidade Nacional - Nota Máxima: 10")</f>
        <v>Formação Pedagógica em Artes Visuais - Formação Pedagógica em Artes Visuais - Estéfane Dantas Cabral Alexandre - Arte Brasileira na Formação da Identidade Nacional - Nota Máxima: 10</v>
      </c>
    </row>
    <row r="5532">
      <c r="A5532" s="390" t="str">
        <f>IFERROR(__xludf.DUMMYFUNCTION("""COMPUTED_VALUE"""),"Formação Pedagógica em Artes Visuais - Formação Pedagógica em Artes Visuais - Estéfane Dantas Cabral Alexandre - Arte Brasileira na Formação da Identidade Nacional - Nota Máxima: 5")</f>
        <v>Formação Pedagógica em Artes Visuais - Formação Pedagógica em Artes Visuais - Estéfane Dantas Cabral Alexandre - Arte Brasileira na Formação da Identidade Nacional - Nota Máxima: 5</v>
      </c>
    </row>
    <row r="5533">
      <c r="A5533" s="390" t="str">
        <f>IFERROR(__xludf.DUMMYFUNCTION("""COMPUTED_VALUE"""),"Formação Pedagógica em Artes Visuais - Formação Pedagógica em Artes Visuais - Estéfane Dantas Cabral Alexandre - Arte Conceitual, Instalações e Arte Urbana - Nota Máxima: 10")</f>
        <v>Formação Pedagógica em Artes Visuais - Formação Pedagógica em Artes Visuais - Estéfane Dantas Cabral Alexandre - Arte Conceitual, Instalações e Arte Urbana - Nota Máxima: 10</v>
      </c>
    </row>
    <row r="5534">
      <c r="A5534" s="390" t="str">
        <f>IFERROR(__xludf.DUMMYFUNCTION("""COMPUTED_VALUE"""),"Formação Pedagógica em Artes Visuais - Formação Pedagógica em Artes Visuais - Estéfane Dantas Cabral Alexandre - Arte Conceitual, Instalações e Arte Urbana - Nota Máxima: 6")</f>
        <v>Formação Pedagógica em Artes Visuais - Formação Pedagógica em Artes Visuais - Estéfane Dantas Cabral Alexandre - Arte Conceitual, Instalações e Arte Urbana - Nota Máxima: 6</v>
      </c>
    </row>
    <row r="5535">
      <c r="A5535" s="390" t="str">
        <f>IFERROR(__xludf.DUMMYFUNCTION("""COMPUTED_VALUE"""),"Formação Pedagógica em Artes Visuais - Formação Pedagógica em Artes Visuais - Estéfane Dantas Cabral Alexandre - Artes Visuais - Nota Máxima: 9")</f>
        <v>Formação Pedagógica em Artes Visuais - Formação Pedagógica em Artes Visuais - Estéfane Dantas Cabral Alexandre - Artes Visuais - Nota Máxima: 9</v>
      </c>
    </row>
    <row r="5536">
      <c r="A5536" s="390" t="str">
        <f>IFERROR(__xludf.DUMMYFUNCTION("""COMPUTED_VALUE"""),"Formação Pedagógica em Artes Visuais - Formação Pedagógica em Artes Visuais - Estéfane Dantas Cabral Alexandre - Artes Visuais - Nota Máxima: 5")</f>
        <v>Formação Pedagógica em Artes Visuais - Formação Pedagógica em Artes Visuais - Estéfane Dantas Cabral Alexandre - Artes Visuais - Nota Máxima: 5</v>
      </c>
    </row>
    <row r="5537">
      <c r="A5537" s="390" t="str">
        <f>IFERROR(__xludf.DUMMYFUNCTION("""COMPUTED_VALUE"""),"Formação Pedagógica em Artes Visuais - Formação Pedagógica em Artes Visuais - Estéfane Dantas Cabral Alexandre - Artes Visuais no Cotidiano - Nota Máxima: 10")</f>
        <v>Formação Pedagógica em Artes Visuais - Formação Pedagógica em Artes Visuais - Estéfane Dantas Cabral Alexandre - Artes Visuais no Cotidiano - Nota Máxima: 10</v>
      </c>
    </row>
    <row r="5538">
      <c r="A5538" s="390" t="str">
        <f>IFERROR(__xludf.DUMMYFUNCTION("""COMPUTED_VALUE"""),"Formação Pedagógica em Artes Visuais - Formação Pedagógica em Artes Visuais - Estéfane Dantas Cabral Alexandre - Artes Visuais no Cotidiano - Nota Máxima: 9")</f>
        <v>Formação Pedagógica em Artes Visuais - Formação Pedagógica em Artes Visuais - Estéfane Dantas Cabral Alexandre - Artes Visuais no Cotidiano - Nota Máxima: 9</v>
      </c>
    </row>
    <row r="5539">
      <c r="A5539" s="390" t="str">
        <f>IFERROR(__xludf.DUMMYFUNCTION("""COMPUTED_VALUE"""),"Formação Pedagógica em Artes Visuais - Formação Pedagógica em Artes Visuais - Estéfane Dantas Cabral Alexandre - Deficiência Auditiva e Libras/a - Nota Máxima: 10")</f>
        <v>Formação Pedagógica em Artes Visuais - Formação Pedagógica em Artes Visuais - Estéfane Dantas Cabral Alexandre - Deficiência Auditiva e Libras/a - Nota Máxima: 10</v>
      </c>
    </row>
    <row r="5540">
      <c r="A5540" s="390" t="str">
        <f>IFERROR(__xludf.DUMMYFUNCTION("""COMPUTED_VALUE"""),"Formação Pedagógica em Artes Visuais - Formação Pedagógica em Artes Visuais - Estéfane Dantas Cabral Alexandre - Deficiência Auditiva e Libras/a - Nota Máxima: 10")</f>
        <v>Formação Pedagógica em Artes Visuais - Formação Pedagógica em Artes Visuais - Estéfane Dantas Cabral Alexandre - Deficiência Auditiva e Libras/a - Nota Máxima: 10</v>
      </c>
    </row>
    <row r="5541">
      <c r="A5541" s="390" t="str">
        <f>IFERROR(__xludf.DUMMYFUNCTION("""COMPUTED_VALUE"""),"Formação Pedagógica em Artes Visuais - Formação Pedagógica em Artes Visuais - Estéfane Dantas Cabral Alexandre - Desenho e Observação - Nota Máxima: 10")</f>
        <v>Formação Pedagógica em Artes Visuais - Formação Pedagógica em Artes Visuais - Estéfane Dantas Cabral Alexandre - Desenho e Observação - Nota Máxima: 10</v>
      </c>
    </row>
    <row r="5542">
      <c r="A5542" s="390" t="str">
        <f>IFERROR(__xludf.DUMMYFUNCTION("""COMPUTED_VALUE"""),"Formação Pedagógica em Artes Visuais - Formação Pedagógica em Artes Visuais - Estéfane Dantas Cabral Alexandre - Desenho e Observação - Nota Máxima: 10")</f>
        <v>Formação Pedagógica em Artes Visuais - Formação Pedagógica em Artes Visuais - Estéfane Dantas Cabral Alexandre - Desenho e Observação - Nota Máxima: 10</v>
      </c>
    </row>
    <row r="5543">
      <c r="A5543" s="390" t="str">
        <f>IFERROR(__xludf.DUMMYFUNCTION("""COMPUTED_VALUE"""),"Formação Pedagógica em Artes Visuais - Formação Pedagógica em Artes Visuais - Estéfane Dantas Cabral Alexandre - Educação Especial, Inclusão Escolar e Adaptações Curriculares - Nota Máxima: 10")</f>
        <v>Formação Pedagógica em Artes Visuais - Formação Pedagógica em Artes Visuais - Estéfane Dantas Cabral Alexandre - Educação Especial, Inclusão Escolar e Adaptações Curriculares - Nota Máxima: 10</v>
      </c>
    </row>
    <row r="5544">
      <c r="A5544" s="390" t="str">
        <f>IFERROR(__xludf.DUMMYFUNCTION("""COMPUTED_VALUE"""),"Formação Pedagógica em Artes Visuais - Formação Pedagógica em Artes Visuais - Estéfane Dantas Cabral Alexandre - Educação, História, Cultura e Práticas Indígenas/a - Nota Máxima: 8")</f>
        <v>Formação Pedagógica em Artes Visuais - Formação Pedagógica em Artes Visuais - Estéfane Dantas Cabral Alexandre - Educação, História, Cultura e Práticas Indígenas/a - Nota Máxima: 8</v>
      </c>
    </row>
    <row r="5545">
      <c r="A5545" s="390" t="str">
        <f>IFERROR(__xludf.DUMMYFUNCTION("""COMPUTED_VALUE"""),"Formação Pedagógica em Artes Visuais - Formação Pedagógica em Artes Visuais - Estéfane Dantas Cabral Alexandre - Educação, História, Cultura e Práticas Indígenas/a - Nota Máxima: 8")</f>
        <v>Formação Pedagógica em Artes Visuais - Formação Pedagógica em Artes Visuais - Estéfane Dantas Cabral Alexandre - Educação, História, Cultura e Práticas Indígenas/a - Nota Máxima: 8</v>
      </c>
    </row>
    <row r="5546">
      <c r="A5546" s="390" t="str">
        <f>IFERROR(__xludf.DUMMYFUNCTION("""COMPUTED_VALUE"""),"Formação Pedagógica em Artes Visuais - Formação Pedagógica em Artes Visuais - Estéfane Dantas Cabral Alexandre - Expressão Gráfica - Nota Máxima: 10")</f>
        <v>Formação Pedagógica em Artes Visuais - Formação Pedagógica em Artes Visuais - Estéfane Dantas Cabral Alexandre - Expressão Gráfica - Nota Máxima: 10</v>
      </c>
    </row>
    <row r="5547">
      <c r="A5547" s="390" t="str">
        <f>IFERROR(__xludf.DUMMYFUNCTION("""COMPUTED_VALUE"""),"Formação Pedagógica em Artes Visuais - Formação Pedagógica em Artes Visuais - Estéfane Dantas Cabral Alexandre - Expressão Gráfica - Nota Máxima: 10")</f>
        <v>Formação Pedagógica em Artes Visuais - Formação Pedagógica em Artes Visuais - Estéfane Dantas Cabral Alexandre - Expressão Gráfica - Nota Máxima: 10</v>
      </c>
    </row>
    <row r="5548">
      <c r="A5548" s="390" t="str">
        <f>IFERROR(__xludf.DUMMYFUNCTION("""COMPUTED_VALUE"""),"Formação Pedagógica em Artes Visuais - Formação Pedagógica em Artes Visuais - Estéfane Dantas Cabral Alexandre - Filosofia das Artes à Estética - Nota Máxima: 7")</f>
        <v>Formação Pedagógica em Artes Visuais - Formação Pedagógica em Artes Visuais - Estéfane Dantas Cabral Alexandre - Filosofia das Artes à Estética - Nota Máxima: 7</v>
      </c>
    </row>
    <row r="5549">
      <c r="A5549" s="390" t="str">
        <f>IFERROR(__xludf.DUMMYFUNCTION("""COMPUTED_VALUE"""),"Formação Pedagógica em Artes Visuais - Formação Pedagógica em Artes Visuais - Estéfane Dantas Cabral Alexandre - Filosofia das Artes à Estética - Nota Máxima: 3")</f>
        <v>Formação Pedagógica em Artes Visuais - Formação Pedagógica em Artes Visuais - Estéfane Dantas Cabral Alexandre - Filosofia das Artes à Estética - Nota Máxima: 3</v>
      </c>
    </row>
    <row r="5550">
      <c r="A5550" s="390" t="str">
        <f>IFERROR(__xludf.DUMMYFUNCTION("""COMPUTED_VALUE"""),"Formação Pedagógica em Artes Visuais - Formação Pedagógica em Artes Visuais - Estéfane Dantas Cabral Alexandre - Legislação Educacional/a - Nota Máxima: 10")</f>
        <v>Formação Pedagógica em Artes Visuais - Formação Pedagógica em Artes Visuais - Estéfane Dantas Cabral Alexandre - Legislação Educacional/a - Nota Máxima: 10</v>
      </c>
    </row>
    <row r="5551">
      <c r="A5551" s="390" t="str">
        <f>IFERROR(__xludf.DUMMYFUNCTION("""COMPUTED_VALUE"""),"Formação Pedagógica em Artes Visuais - Formação Pedagógica em Artes Visuais - Estéfane Dantas Cabral Alexandre - Legislação Educacional/a - Nota Máxima: 6")</f>
        <v>Formação Pedagógica em Artes Visuais - Formação Pedagógica em Artes Visuais - Estéfane Dantas Cabral Alexandre - Legislação Educacional/a - Nota Máxima: 6</v>
      </c>
    </row>
    <row r="5552">
      <c r="A5552" s="390" t="str">
        <f>IFERROR(__xludf.DUMMYFUNCTION("""COMPUTED_VALUE"""),"Formação Pedagógica em Artes Visuais - Formação Pedagógica em Artes Visuais - Estéfane Dantas Cabral Alexandre - Linguagem das Artes Plásticas - Nota Máxima: 7")</f>
        <v>Formação Pedagógica em Artes Visuais - Formação Pedagógica em Artes Visuais - Estéfane Dantas Cabral Alexandre - Linguagem das Artes Plásticas - Nota Máxima: 7</v>
      </c>
    </row>
    <row r="5553">
      <c r="A5553" s="390" t="str">
        <f>IFERROR(__xludf.DUMMYFUNCTION("""COMPUTED_VALUE"""),"Formação Pedagógica em Artes Visuais - Formação Pedagógica em Artes Visuais - Estéfane Dantas Cabral Alexandre - Linguagem das Artes Plásticas - Nota Máxima: 5")</f>
        <v>Formação Pedagógica em Artes Visuais - Formação Pedagógica em Artes Visuais - Estéfane Dantas Cabral Alexandre - Linguagem das Artes Plásticas - Nota Máxima: 5</v>
      </c>
    </row>
    <row r="5554">
      <c r="A5554" s="390" t="str">
        <f>IFERROR(__xludf.DUMMYFUNCTION("""COMPUTED_VALUE"""),"Formação Pedagógica em Artes Visuais - Formação Pedagógica em Artes Visuais - Estéfane Dantas Cabral Alexandre - Planejamento, Gestão Educacional e Currículo/a - Nota Máxima: 10")</f>
        <v>Formação Pedagógica em Artes Visuais - Formação Pedagógica em Artes Visuais - Estéfane Dantas Cabral Alexandre - Planejamento, Gestão Educacional e Currículo/a - Nota Máxima: 10</v>
      </c>
    </row>
    <row r="5555">
      <c r="A5555" s="390" t="str">
        <f>IFERROR(__xludf.DUMMYFUNCTION("""COMPUTED_VALUE"""),"Formação Pedagógica em Artes Visuais - Formação Pedagógica em Artes Visuais - Estéfane Dantas Cabral Alexandre - Planejamento, Gestão Educacional e Currículo/a - Nota Máxima: 9")</f>
        <v>Formação Pedagógica em Artes Visuais - Formação Pedagógica em Artes Visuais - Estéfane Dantas Cabral Alexandre - Planejamento, Gestão Educacional e Currículo/a - Nota Máxima: 9</v>
      </c>
    </row>
    <row r="5556">
      <c r="A5556" s="390" t="str">
        <f>IFERROR(__xludf.DUMMYFUNCTION("""COMPUTED_VALUE"""),"Formação Pedagógica em Artes Visuais - Formação Pedagógica em Artes Visuais - Estéfane Dantas Cabral Alexandre - Práticas Pedagógicas - 400 Horas - Nota Máxima: 10")</f>
        <v>Formação Pedagógica em Artes Visuais - Formação Pedagógica em Artes Visuais - Estéfane Dantas Cabral Alexandre - Práticas Pedagógicas - 400 Horas - Nota Máxima: 10</v>
      </c>
    </row>
    <row r="5557">
      <c r="A5557" s="390" t="str">
        <f>IFERROR(__xludf.DUMMYFUNCTION("""COMPUTED_VALUE"""),"Formação Pedagógica em Artes Visuais - Formação Pedagógica em Artes Visuais - Estéfane Dantas Cabral Alexandre - Psicologia da Educação/a - Nota Máxima: 9")</f>
        <v>Formação Pedagógica em Artes Visuais - Formação Pedagógica em Artes Visuais - Estéfane Dantas Cabral Alexandre - Psicologia da Educação/a - Nota Máxima: 9</v>
      </c>
    </row>
    <row r="5558">
      <c r="A5558" s="390" t="str">
        <f>IFERROR(__xludf.DUMMYFUNCTION("""COMPUTED_VALUE"""),"Formação Pedagógica em Artes Visuais - Formação Pedagógica em Artes Visuais - Estéfane Dantas Cabral Alexandre - Psicologia da Educação/a - Nota Máxima: 3")</f>
        <v>Formação Pedagógica em Artes Visuais - Formação Pedagógica em Artes Visuais - Estéfane Dantas Cabral Alexandre - Psicologia da Educação/a - Nota Máxima: 3</v>
      </c>
    </row>
    <row r="5559">
      <c r="A5559" s="390" t="str">
        <f>IFERROR(__xludf.DUMMYFUNCTION("""COMPUTED_VALUE"""),"Formação Pedagógica em Artes Visuais - Formação Pedagógica em Artes Visuais - Estéfane Dantas Cabral Alexandre - Tecnologia nas Artes Visuais - Nota Máxima: 10")</f>
        <v>Formação Pedagógica em Artes Visuais - Formação Pedagógica em Artes Visuais - Estéfane Dantas Cabral Alexandre - Tecnologia nas Artes Visuais - Nota Máxima: 10</v>
      </c>
    </row>
    <row r="5560">
      <c r="A5560" s="390" t="str">
        <f>IFERROR(__xludf.DUMMYFUNCTION("""COMPUTED_VALUE"""),"Formação Pedagógica em Artes Visuais - Formação Pedagógica em Artes Visuais - Estéfane Dantas Cabral Alexandre - Tecnologia nas Artes Visuais - Nota Máxima: 7")</f>
        <v>Formação Pedagógica em Artes Visuais - Formação Pedagógica em Artes Visuais - Estéfane Dantas Cabral Alexandre - Tecnologia nas Artes Visuais - Nota Máxima: 7</v>
      </c>
    </row>
    <row r="5561">
      <c r="A5561" s="390" t="str">
        <f>IFERROR(__xludf.DUMMYFUNCTION("""COMPUTED_VALUE"""),"Formação Pedagógica em Artes Visuais - Formação Pedagógica em Artes Visuais - Adriane Ferreira Carvalho Costa - Arte Brasileira na Formação da Identidade Nacional - Nota Máxima: 10")</f>
        <v>Formação Pedagógica em Artes Visuais - Formação Pedagógica em Artes Visuais - Adriane Ferreira Carvalho Costa - Arte Brasileira na Formação da Identidade Nacional - Nota Máxima: 10</v>
      </c>
    </row>
    <row r="5562">
      <c r="A5562" s="390" t="str">
        <f>IFERROR(__xludf.DUMMYFUNCTION("""COMPUTED_VALUE"""),"Formação Pedagógica em Artes Visuais - Formação Pedagógica em Artes Visuais - Adriane Ferreira Carvalho Costa - Arte Brasileira na Formação da Identidade Nacional - Nota Máxima: 5")</f>
        <v>Formação Pedagógica em Artes Visuais - Formação Pedagógica em Artes Visuais - Adriane Ferreira Carvalho Costa - Arte Brasileira na Formação da Identidade Nacional - Nota Máxima: 5</v>
      </c>
    </row>
    <row r="5563">
      <c r="A5563" s="390" t="str">
        <f>IFERROR(__xludf.DUMMYFUNCTION("""COMPUTED_VALUE"""),"Formação Pedagógica em Artes Visuais - Formação Pedagógica em Artes Visuais - Adriane Ferreira Carvalho Costa - Arte Conceitual, Instalações e Arte Urbana - Nota Máxima: 10")</f>
        <v>Formação Pedagógica em Artes Visuais - Formação Pedagógica em Artes Visuais - Adriane Ferreira Carvalho Costa - Arte Conceitual, Instalações e Arte Urbana - Nota Máxima: 10</v>
      </c>
    </row>
    <row r="5564">
      <c r="A5564" s="390" t="str">
        <f>IFERROR(__xludf.DUMMYFUNCTION("""COMPUTED_VALUE"""),"Formação Pedagógica em Artes Visuais - Formação Pedagógica em Artes Visuais - Adriane Ferreira Carvalho Costa - Arte Conceitual, Instalações e Arte Urbana - Nota Máxima: 8")</f>
        <v>Formação Pedagógica em Artes Visuais - Formação Pedagógica em Artes Visuais - Adriane Ferreira Carvalho Costa - Arte Conceitual, Instalações e Arte Urbana - Nota Máxima: 8</v>
      </c>
    </row>
    <row r="5565">
      <c r="A5565" s="390" t="str">
        <f>IFERROR(__xludf.DUMMYFUNCTION("""COMPUTED_VALUE"""),"Formação Pedagógica em Artes Visuais - Formação Pedagógica em Artes Visuais - Adriane Ferreira Carvalho Costa - Artes Visuais - Nota Máxima: 10")</f>
        <v>Formação Pedagógica em Artes Visuais - Formação Pedagógica em Artes Visuais - Adriane Ferreira Carvalho Costa - Artes Visuais - Nota Máxima: 10</v>
      </c>
    </row>
    <row r="5566">
      <c r="A5566" s="390" t="str">
        <f>IFERROR(__xludf.DUMMYFUNCTION("""COMPUTED_VALUE"""),"Formação Pedagógica em Artes Visuais - Formação Pedagógica em Artes Visuais - Adriane Ferreira Carvalho Costa - Artes Visuais - Nota Máxima: 5")</f>
        <v>Formação Pedagógica em Artes Visuais - Formação Pedagógica em Artes Visuais - Adriane Ferreira Carvalho Costa - Artes Visuais - Nota Máxima: 5</v>
      </c>
    </row>
    <row r="5567">
      <c r="A5567" s="390" t="str">
        <f>IFERROR(__xludf.DUMMYFUNCTION("""COMPUTED_VALUE"""),"Formação Pedagógica em Artes Visuais - Formação Pedagógica em Artes Visuais - Adriane Ferreira Carvalho Costa - Artes Visuais no Cotidiano - Nota Máxima: 10")</f>
        <v>Formação Pedagógica em Artes Visuais - Formação Pedagógica em Artes Visuais - Adriane Ferreira Carvalho Costa - Artes Visuais no Cotidiano - Nota Máxima: 10</v>
      </c>
    </row>
    <row r="5568">
      <c r="A5568" s="390" t="str">
        <f>IFERROR(__xludf.DUMMYFUNCTION("""COMPUTED_VALUE"""),"Formação Pedagógica em Artes Visuais - Formação Pedagógica em Artes Visuais - Adriane Ferreira Carvalho Costa - Artes Visuais no Cotidiano - Nota Máxima: 8")</f>
        <v>Formação Pedagógica em Artes Visuais - Formação Pedagógica em Artes Visuais - Adriane Ferreira Carvalho Costa - Artes Visuais no Cotidiano - Nota Máxima: 8</v>
      </c>
    </row>
    <row r="5569">
      <c r="A5569" s="390" t="str">
        <f>IFERROR(__xludf.DUMMYFUNCTION("""COMPUTED_VALUE"""),"Formação Pedagógica em Artes Visuais - Formação Pedagógica em Artes Visuais - Adriane Ferreira Carvalho Costa - Deficiência Auditiva e Libras/a - Nota Máxima: 10")</f>
        <v>Formação Pedagógica em Artes Visuais - Formação Pedagógica em Artes Visuais - Adriane Ferreira Carvalho Costa - Deficiência Auditiva e Libras/a - Nota Máxima: 10</v>
      </c>
    </row>
    <row r="5570">
      <c r="A5570" s="390" t="str">
        <f>IFERROR(__xludf.DUMMYFUNCTION("""COMPUTED_VALUE"""),"Formação Pedagógica em Artes Visuais - Formação Pedagógica em Artes Visuais - Adriane Ferreira Carvalho Costa - Deficiência Auditiva e Libras/a - Nota Máxima: 7")</f>
        <v>Formação Pedagógica em Artes Visuais - Formação Pedagógica em Artes Visuais - Adriane Ferreira Carvalho Costa - Deficiência Auditiva e Libras/a - Nota Máxima: 7</v>
      </c>
    </row>
    <row r="5571">
      <c r="A5571" s="390" t="str">
        <f>IFERROR(__xludf.DUMMYFUNCTION("""COMPUTED_VALUE"""),"Formação Pedagógica em Artes Visuais - Formação Pedagógica em Artes Visuais - Adriane Ferreira Carvalho Costa - Desenho e Observação - Nota Máxima: 10")</f>
        <v>Formação Pedagógica em Artes Visuais - Formação Pedagógica em Artes Visuais - Adriane Ferreira Carvalho Costa - Desenho e Observação - Nota Máxima: 10</v>
      </c>
    </row>
    <row r="5572">
      <c r="A5572" s="390" t="str">
        <f>IFERROR(__xludf.DUMMYFUNCTION("""COMPUTED_VALUE"""),"Formação Pedagógica em Artes Visuais - Formação Pedagógica em Artes Visuais - Adriane Ferreira Carvalho Costa - Desenho e Observação - Nota Máxima: 10")</f>
        <v>Formação Pedagógica em Artes Visuais - Formação Pedagógica em Artes Visuais - Adriane Ferreira Carvalho Costa - Desenho e Observação - Nota Máxima: 10</v>
      </c>
    </row>
    <row r="5573">
      <c r="A5573" s="390" t="str">
        <f>IFERROR(__xludf.DUMMYFUNCTION("""COMPUTED_VALUE"""),"Formação Pedagógica em Artes Visuais - Formação Pedagógica em Artes Visuais - Adriane Ferreira Carvalho Costa - Educação Especial, Inclusão Escolar e Adaptações Curriculares - Nota Máxima: 10")</f>
        <v>Formação Pedagógica em Artes Visuais - Formação Pedagógica em Artes Visuais - Adriane Ferreira Carvalho Costa - Educação Especial, Inclusão Escolar e Adaptações Curriculares - Nota Máxima: 10</v>
      </c>
    </row>
    <row r="5574">
      <c r="A5574" s="390" t="str">
        <f>IFERROR(__xludf.DUMMYFUNCTION("""COMPUTED_VALUE"""),"Formação Pedagógica em Artes Visuais - Formação Pedagógica em Artes Visuais - Adriane Ferreira Carvalho Costa - Educação Especial, Inclusão Escolar e Adaptações Curriculares - Nota Máxima: 7")</f>
        <v>Formação Pedagógica em Artes Visuais - Formação Pedagógica em Artes Visuais - Adriane Ferreira Carvalho Costa - Educação Especial, Inclusão Escolar e Adaptações Curriculares - Nota Máxima: 7</v>
      </c>
    </row>
    <row r="5575">
      <c r="A5575" s="390" t="str">
        <f>IFERROR(__xludf.DUMMYFUNCTION("""COMPUTED_VALUE"""),"Formação Pedagógica em Artes Visuais - Formação Pedagógica em Artes Visuais - Adriane Ferreira Carvalho Costa - Educação, História, Cultura e Práticas Indígenas/a - Nota Máxima: 10")</f>
        <v>Formação Pedagógica em Artes Visuais - Formação Pedagógica em Artes Visuais - Adriane Ferreira Carvalho Costa - Educação, História, Cultura e Práticas Indígenas/a - Nota Máxima: 10</v>
      </c>
    </row>
    <row r="5576">
      <c r="A5576" s="390" t="str">
        <f>IFERROR(__xludf.DUMMYFUNCTION("""COMPUTED_VALUE"""),"Formação Pedagógica em Artes Visuais - Formação Pedagógica em Artes Visuais - Adriane Ferreira Carvalho Costa - Expressão Gráfica - Nota Máxima: 10")</f>
        <v>Formação Pedagógica em Artes Visuais - Formação Pedagógica em Artes Visuais - Adriane Ferreira Carvalho Costa - Expressão Gráfica - Nota Máxima: 10</v>
      </c>
    </row>
    <row r="5577">
      <c r="A5577" s="390" t="str">
        <f>IFERROR(__xludf.DUMMYFUNCTION("""COMPUTED_VALUE"""),"Formação Pedagógica em Artes Visuais - Formação Pedagógica em Artes Visuais - Adriane Ferreira Carvalho Costa - Filosofia das Artes à Estética - Nota Máxima: 9")</f>
        <v>Formação Pedagógica em Artes Visuais - Formação Pedagógica em Artes Visuais - Adriane Ferreira Carvalho Costa - Filosofia das Artes à Estética - Nota Máxima: 9</v>
      </c>
    </row>
    <row r="5578">
      <c r="A5578" s="390" t="str">
        <f>IFERROR(__xludf.DUMMYFUNCTION("""COMPUTED_VALUE"""),"Formação Pedagógica em Artes Visuais - Formação Pedagógica em Artes Visuais - Adriane Ferreira Carvalho Costa - Filosofia das Artes à Estética - Nota Máxima: 1")</f>
        <v>Formação Pedagógica em Artes Visuais - Formação Pedagógica em Artes Visuais - Adriane Ferreira Carvalho Costa - Filosofia das Artes à Estética - Nota Máxima: 1</v>
      </c>
    </row>
    <row r="5579">
      <c r="A5579" s="390" t="str">
        <f>IFERROR(__xludf.DUMMYFUNCTION("""COMPUTED_VALUE"""),"Formação Pedagógica em Artes Visuais - Formação Pedagógica em Artes Visuais - Adriane Ferreira Carvalho Costa - Legislação Educacional/a - Nota Máxima: 10")</f>
        <v>Formação Pedagógica em Artes Visuais - Formação Pedagógica em Artes Visuais - Adriane Ferreira Carvalho Costa - Legislação Educacional/a - Nota Máxima: 10</v>
      </c>
    </row>
    <row r="5580">
      <c r="A5580" s="390" t="str">
        <f>IFERROR(__xludf.DUMMYFUNCTION("""COMPUTED_VALUE"""),"Formação Pedagógica em Artes Visuais - Formação Pedagógica em Artes Visuais - Adriane Ferreira Carvalho Costa - Legislação Educacional/a - Nota Máxima: 6")</f>
        <v>Formação Pedagógica em Artes Visuais - Formação Pedagógica em Artes Visuais - Adriane Ferreira Carvalho Costa - Legislação Educacional/a - Nota Máxima: 6</v>
      </c>
    </row>
    <row r="5581">
      <c r="A5581" s="390" t="str">
        <f>IFERROR(__xludf.DUMMYFUNCTION("""COMPUTED_VALUE"""),"Formação Pedagógica em Artes Visuais - Formação Pedagógica em Artes Visuais - Adriane Ferreira Carvalho Costa - Linguagem das Artes Plásticas - Nota Máxima: 10")</f>
        <v>Formação Pedagógica em Artes Visuais - Formação Pedagógica em Artes Visuais - Adriane Ferreira Carvalho Costa - Linguagem das Artes Plásticas - Nota Máxima: 10</v>
      </c>
    </row>
    <row r="5582">
      <c r="A5582" s="390" t="str">
        <f>IFERROR(__xludf.DUMMYFUNCTION("""COMPUTED_VALUE"""),"Formação Pedagógica em Artes Visuais - Formação Pedagógica em Artes Visuais - Adriane Ferreira Carvalho Costa - Linguagem das Artes Plásticas - Nota Máxima: 4")</f>
        <v>Formação Pedagógica em Artes Visuais - Formação Pedagógica em Artes Visuais - Adriane Ferreira Carvalho Costa - Linguagem das Artes Plásticas - Nota Máxima: 4</v>
      </c>
    </row>
    <row r="5583">
      <c r="A5583" s="390" t="str">
        <f>IFERROR(__xludf.DUMMYFUNCTION("""COMPUTED_VALUE"""),"Formação Pedagógica em Artes Visuais - Formação Pedagógica em Artes Visuais - Adriane Ferreira Carvalho Costa - Planejamento, Gestão Educacional e Currículo/a - Nota Máxima: 10")</f>
        <v>Formação Pedagógica em Artes Visuais - Formação Pedagógica em Artes Visuais - Adriane Ferreira Carvalho Costa - Planejamento, Gestão Educacional e Currículo/a - Nota Máxima: 10</v>
      </c>
    </row>
    <row r="5584">
      <c r="A5584" s="390" t="str">
        <f>IFERROR(__xludf.DUMMYFUNCTION("""COMPUTED_VALUE"""),"Formação Pedagógica em Artes Visuais - Formação Pedagógica em Artes Visuais - Adriane Ferreira Carvalho Costa - Planejamento, Gestão Educacional e Currículo/a - Nota Máxima: 9")</f>
        <v>Formação Pedagógica em Artes Visuais - Formação Pedagógica em Artes Visuais - Adriane Ferreira Carvalho Costa - Planejamento, Gestão Educacional e Currículo/a - Nota Máxima: 9</v>
      </c>
    </row>
    <row r="5585">
      <c r="A5585" s="390" t="str">
        <f>IFERROR(__xludf.DUMMYFUNCTION("""COMPUTED_VALUE"""),"Formação Pedagógica em Artes Visuais - Formação Pedagógica em Artes Visuais - Adriane Ferreira Carvalho Costa - Práticas Pedagógicas - 400 Horas - Nota Máxima: 45784")</f>
        <v>Formação Pedagógica em Artes Visuais - Formação Pedagógica em Artes Visuais - Adriane Ferreira Carvalho Costa - Práticas Pedagógicas - 400 Horas - Nota Máxima: 45784</v>
      </c>
    </row>
    <row r="5586">
      <c r="A5586" s="390" t="str">
        <f>IFERROR(__xludf.DUMMYFUNCTION("""COMPUTED_VALUE"""),"Formação Pedagógica em Artes Visuais - Formação Pedagógica em Artes Visuais - Adriane Ferreira Carvalho Costa - Psicologia da Educação/a - Nota Máxima: 9")</f>
        <v>Formação Pedagógica em Artes Visuais - Formação Pedagógica em Artes Visuais - Adriane Ferreira Carvalho Costa - Psicologia da Educação/a - Nota Máxima: 9</v>
      </c>
    </row>
    <row r="5587">
      <c r="A5587" s="390" t="str">
        <f>IFERROR(__xludf.DUMMYFUNCTION("""COMPUTED_VALUE"""),"Formação Pedagógica em Artes Visuais - Formação Pedagógica em Artes Visuais - Adriane Ferreira Carvalho Costa - Psicologia da Educação/a - Nota Máxima: 6")</f>
        <v>Formação Pedagógica em Artes Visuais - Formação Pedagógica em Artes Visuais - Adriane Ferreira Carvalho Costa - Psicologia da Educação/a - Nota Máxima: 6</v>
      </c>
    </row>
    <row r="5588">
      <c r="A5588" s="390" t="str">
        <f>IFERROR(__xludf.DUMMYFUNCTION("""COMPUTED_VALUE"""),"Formação Pedagógica em Artes Visuais - Formação Pedagógica em Artes Visuais - Adriane Ferreira Carvalho Costa - Tecnologia nas Artes Visuais - Nota Máxima: 10")</f>
        <v>Formação Pedagógica em Artes Visuais - Formação Pedagógica em Artes Visuais - Adriane Ferreira Carvalho Costa - Tecnologia nas Artes Visuais - Nota Máxima: 10</v>
      </c>
    </row>
    <row r="5589">
      <c r="A5589" s="390" t="str">
        <f>IFERROR(__xludf.DUMMYFUNCTION("""COMPUTED_VALUE"""),"Formação Pedagógica em Artes Visuais - Formação Pedagógica em Artes Visuais - Adriane Ferreira Carvalho Costa - Tecnologia nas Artes Visuais - Nota Máxima: 3")</f>
        <v>Formação Pedagógica em Artes Visuais - Formação Pedagógica em Artes Visuais - Adriane Ferreira Carvalho Costa - Tecnologia nas Artes Visuais - Nota Máxima: 3</v>
      </c>
    </row>
    <row r="5590">
      <c r="A5590" s="390" t="str">
        <f>IFERROR(__xludf.DUMMYFUNCTION("""COMPUTED_VALUE"""),"Formação Pedagógica em Artes Visuais - Formação Pedagógica em Artes Visuais - José Muriel Oliveira Alves - Arte Brasileira na Formação da Identidade Nacional - Nota Máxima: 8")</f>
        <v>Formação Pedagógica em Artes Visuais - Formação Pedagógica em Artes Visuais - José Muriel Oliveira Alves - Arte Brasileira na Formação da Identidade Nacional - Nota Máxima: 8</v>
      </c>
    </row>
    <row r="5591">
      <c r="A5591" s="390" t="str">
        <f>IFERROR(__xludf.DUMMYFUNCTION("""COMPUTED_VALUE"""),"Formação Pedagógica em Artes Visuais - Formação Pedagógica em Artes Visuais - José Muriel Oliveira Alves - Arte Conceitual, Instalações e Arte Urbana - Nota Máxima: 9")</f>
        <v>Formação Pedagógica em Artes Visuais - Formação Pedagógica em Artes Visuais - José Muriel Oliveira Alves - Arte Conceitual, Instalações e Arte Urbana - Nota Máxima: 9</v>
      </c>
    </row>
    <row r="5592">
      <c r="A5592" s="390" t="str">
        <f>IFERROR(__xludf.DUMMYFUNCTION("""COMPUTED_VALUE"""),"Formação Pedagógica em Artes Visuais - Formação Pedagógica em Artes Visuais - José Muriel Oliveira Alves - Artes Visuais - Nota Máxima: 8")</f>
        <v>Formação Pedagógica em Artes Visuais - Formação Pedagógica em Artes Visuais - José Muriel Oliveira Alves - Artes Visuais - Nota Máxima: 8</v>
      </c>
    </row>
    <row r="5593">
      <c r="A5593" s="390" t="str">
        <f>IFERROR(__xludf.DUMMYFUNCTION("""COMPUTED_VALUE"""),"Formação Pedagógica em Artes Visuais - Formação Pedagógica em Artes Visuais - José Muriel Oliveira Alves - Artes Visuais no Cotidiano - Nota Máxima: 9")</f>
        <v>Formação Pedagógica em Artes Visuais - Formação Pedagógica em Artes Visuais - José Muriel Oliveira Alves - Artes Visuais no Cotidiano - Nota Máxima: 9</v>
      </c>
    </row>
    <row r="5594">
      <c r="A5594" s="390" t="str">
        <f>IFERROR(__xludf.DUMMYFUNCTION("""COMPUTED_VALUE"""),"Formação Pedagógica em Artes Visuais - Formação Pedagógica em Artes Visuais - José Muriel Oliveira Alves - Deficiência Auditiva e Libras/a - Nota Máxima: 9")</f>
        <v>Formação Pedagógica em Artes Visuais - Formação Pedagógica em Artes Visuais - José Muriel Oliveira Alves - Deficiência Auditiva e Libras/a - Nota Máxima: 9</v>
      </c>
    </row>
    <row r="5595">
      <c r="A5595" s="390" t="str">
        <f>IFERROR(__xludf.DUMMYFUNCTION("""COMPUTED_VALUE"""),"Formação Pedagógica em Artes Visuais - Formação Pedagógica em Artes Visuais - José Muriel Oliveira Alves - Desenho e Observação - Nota Máxima: 10")</f>
        <v>Formação Pedagógica em Artes Visuais - Formação Pedagógica em Artes Visuais - José Muriel Oliveira Alves - Desenho e Observação - Nota Máxima: 10</v>
      </c>
    </row>
    <row r="5596">
      <c r="A5596" s="390" t="str">
        <f>IFERROR(__xludf.DUMMYFUNCTION("""COMPUTED_VALUE"""),"Formação Pedagógica em Artes Visuais - Formação Pedagógica em Artes Visuais - José Muriel Oliveira Alves - Educação Especial, Inclusão Escolar e Adaptações Curriculares - Nota Máxima: 9")</f>
        <v>Formação Pedagógica em Artes Visuais - Formação Pedagógica em Artes Visuais - José Muriel Oliveira Alves - Educação Especial, Inclusão Escolar e Adaptações Curriculares - Nota Máxima: 9</v>
      </c>
    </row>
    <row r="5597">
      <c r="A5597" s="390" t="str">
        <f>IFERROR(__xludf.DUMMYFUNCTION("""COMPUTED_VALUE"""),"Formação Pedagógica em Artes Visuais - Formação Pedagógica em Artes Visuais - José Muriel Oliveira Alves - Educação, História, Cultura e Práticas Indígenas/a - Nota Máxima: 10")</f>
        <v>Formação Pedagógica em Artes Visuais - Formação Pedagógica em Artes Visuais - José Muriel Oliveira Alves - Educação, História, Cultura e Práticas Indígenas/a - Nota Máxima: 10</v>
      </c>
    </row>
    <row r="5598">
      <c r="A5598" s="390" t="str">
        <f>IFERROR(__xludf.DUMMYFUNCTION("""COMPUTED_VALUE"""),"Formação Pedagógica em Artes Visuais - Formação Pedagógica em Artes Visuais - José Muriel Oliveira Alves - Expressão Gráfica - Nota Máxima: 10")</f>
        <v>Formação Pedagógica em Artes Visuais - Formação Pedagógica em Artes Visuais - José Muriel Oliveira Alves - Expressão Gráfica - Nota Máxima: 10</v>
      </c>
    </row>
    <row r="5599">
      <c r="A5599" s="390" t="str">
        <f>IFERROR(__xludf.DUMMYFUNCTION("""COMPUTED_VALUE"""),"Formação Pedagógica em Artes Visuais - Formação Pedagógica em Artes Visuais - José Muriel Oliveira Alves - Filosofia das Artes à Estética - Nota Máxima: 9")</f>
        <v>Formação Pedagógica em Artes Visuais - Formação Pedagógica em Artes Visuais - José Muriel Oliveira Alves - Filosofia das Artes à Estética - Nota Máxima: 9</v>
      </c>
    </row>
    <row r="5600">
      <c r="A5600" s="390" t="str">
        <f>IFERROR(__xludf.DUMMYFUNCTION("""COMPUTED_VALUE"""),"Formação Pedagógica em Artes Visuais - Formação Pedagógica em Artes Visuais - José Muriel Oliveira Alves - Legislação Educacional/a - Nota Máxima: 9")</f>
        <v>Formação Pedagógica em Artes Visuais - Formação Pedagógica em Artes Visuais - José Muriel Oliveira Alves - Legislação Educacional/a - Nota Máxima: 9</v>
      </c>
    </row>
    <row r="5601">
      <c r="A5601" s="390" t="str">
        <f>IFERROR(__xludf.DUMMYFUNCTION("""COMPUTED_VALUE"""),"Formação Pedagógica em Artes Visuais - Formação Pedagógica em Artes Visuais - José Muriel Oliveira Alves - Linguagem das Artes Plásticas - Nota Máxima: 9")</f>
        <v>Formação Pedagógica em Artes Visuais - Formação Pedagógica em Artes Visuais - José Muriel Oliveira Alves - Linguagem das Artes Plásticas - Nota Máxima: 9</v>
      </c>
    </row>
    <row r="5602">
      <c r="A5602" s="390" t="str">
        <f>IFERROR(__xludf.DUMMYFUNCTION("""COMPUTED_VALUE"""),"Formação Pedagógica em Artes Visuais - Formação Pedagógica em Artes Visuais - José Muriel Oliveira Alves - Planejamento, Gestão Educacional e Currículo/a - Nota Máxima: 9")</f>
        <v>Formação Pedagógica em Artes Visuais - Formação Pedagógica em Artes Visuais - José Muriel Oliveira Alves - Planejamento, Gestão Educacional e Currículo/a - Nota Máxima: 9</v>
      </c>
    </row>
    <row r="5603">
      <c r="A5603" s="390" t="str">
        <f>IFERROR(__xludf.DUMMYFUNCTION("""COMPUTED_VALUE"""),"Formação Pedagógica em Artes Visuais - Formação Pedagógica em Artes Visuais - José Muriel Oliveira Alves - Práticas Pedagógicas - 400 Horas - Nota Máxima: 10")</f>
        <v>Formação Pedagógica em Artes Visuais - Formação Pedagógica em Artes Visuais - José Muriel Oliveira Alves - Práticas Pedagógicas - 400 Horas - Nota Máxima: 10</v>
      </c>
    </row>
    <row r="5604">
      <c r="A5604" s="390" t="str">
        <f>IFERROR(__xludf.DUMMYFUNCTION("""COMPUTED_VALUE"""),"Formação Pedagógica em Artes Visuais - Formação Pedagógica em Artes Visuais - José Muriel Oliveira Alves - Psicologia da Educação/a - Nota Máxima: 8")</f>
        <v>Formação Pedagógica em Artes Visuais - Formação Pedagógica em Artes Visuais - José Muriel Oliveira Alves - Psicologia da Educação/a - Nota Máxima: 8</v>
      </c>
    </row>
    <row r="5605">
      <c r="A5605" s="390" t="str">
        <f>IFERROR(__xludf.DUMMYFUNCTION("""COMPUTED_VALUE"""),"Formação Pedagógica em Artes Visuais - Formação Pedagógica em Artes Visuais - José Muriel Oliveira Alves - Tecnologia nas Artes Visuais - Nota Máxima: 8")</f>
        <v>Formação Pedagógica em Artes Visuais - Formação Pedagógica em Artes Visuais - José Muriel Oliveira Alves - Tecnologia nas Artes Visuais - Nota Máxima: 8</v>
      </c>
    </row>
    <row r="5606">
      <c r="A5606" s="390" t="str">
        <f>IFERROR(__xludf.DUMMYFUNCTION("""COMPUTED_VALUE"""),"Formação Pedagógica em Artes Visuais - Formação Pedagógica em Artes Visuais - Melina Fernandes - Deficiência Auditiva e Libras/a - Nota Máxima: 9")</f>
        <v>Formação Pedagógica em Artes Visuais - Formação Pedagógica em Artes Visuais - Melina Fernandes - Deficiência Auditiva e Libras/a - Nota Máxima: 9</v>
      </c>
    </row>
    <row r="5607">
      <c r="A5607" s="390" t="str">
        <f>IFERROR(__xludf.DUMMYFUNCTION("""COMPUTED_VALUE"""),"Formação Pedagógica em Artes Visuais - Formação Pedagógica em Artes Visuais - Melina Fernandes - Educação Especial, Inclusão Escolar e Adaptações Curriculares - Nota Máxima: 9")</f>
        <v>Formação Pedagógica em Artes Visuais - Formação Pedagógica em Artes Visuais - Melina Fernandes - Educação Especial, Inclusão Escolar e Adaptações Curriculares - Nota Máxima: 9</v>
      </c>
    </row>
    <row r="5608">
      <c r="A5608" s="390" t="str">
        <f>IFERROR(__xludf.DUMMYFUNCTION("""COMPUTED_VALUE"""),"Formação Pedagógica em Artes Visuais - Formação Pedagógica em Artes Visuais - Melina Fernandes - Educação, História, Cultura e Práticas Indígenas/a - Nota Máxima: 7")</f>
        <v>Formação Pedagógica em Artes Visuais - Formação Pedagógica em Artes Visuais - Melina Fernandes - Educação, História, Cultura e Práticas Indígenas/a - Nota Máxima: 7</v>
      </c>
    </row>
    <row r="5609">
      <c r="A5609" s="390" t="str">
        <f>IFERROR(__xludf.DUMMYFUNCTION("""COMPUTED_VALUE"""),"Formação Pedagógica em Artes Visuais - Formação Pedagógica em Artes Visuais - Melina Fernandes - Filosofia das Artes à Estética - Nota Máxima: 10")</f>
        <v>Formação Pedagógica em Artes Visuais - Formação Pedagógica em Artes Visuais - Melina Fernandes - Filosofia das Artes à Estética - Nota Máxima: 10</v>
      </c>
    </row>
    <row r="5610">
      <c r="A5610" s="390" t="str">
        <f>IFERROR(__xludf.DUMMYFUNCTION("""COMPUTED_VALUE"""),"Formação Pedagógica em Artes Visuais - Formação Pedagógica em Artes Visuais - Melina Fernandes - Legislação Educacional/a - Nota Máxima: 8")</f>
        <v>Formação Pedagógica em Artes Visuais - Formação Pedagógica em Artes Visuais - Melina Fernandes - Legislação Educacional/a - Nota Máxima: 8</v>
      </c>
    </row>
    <row r="5611">
      <c r="A5611" s="390" t="str">
        <f>IFERROR(__xludf.DUMMYFUNCTION("""COMPUTED_VALUE"""),"Formação Pedagógica em Artes Visuais - Formação Pedagógica em Artes Visuais - Melina Fernandes - Planejamento, Gestão Educacional e Currículo/a - Nota Máxima: 10")</f>
        <v>Formação Pedagógica em Artes Visuais - Formação Pedagógica em Artes Visuais - Melina Fernandes - Planejamento, Gestão Educacional e Currículo/a - Nota Máxima: 10</v>
      </c>
    </row>
    <row r="5612">
      <c r="A5612" s="390" t="str">
        <f>IFERROR(__xludf.DUMMYFUNCTION("""COMPUTED_VALUE"""),"Formação Pedagógica em Artes Visuais - Formação Pedagógica em Artes Visuais - Melina Fernandes - Psicologia da Educação/a - Nota Máxima: 7")</f>
        <v>Formação Pedagógica em Artes Visuais - Formação Pedagógica em Artes Visuais - Melina Fernandes - Psicologia da Educação/a - Nota Máxima: 7</v>
      </c>
    </row>
    <row r="5613">
      <c r="A5613" s="390" t="str">
        <f>IFERROR(__xludf.DUMMYFUNCTION("""COMPUTED_VALUE"""),"Formação Pedagógica em Artes Visuais - Formação Pedagógica em Artes Visuais - Ítalo Cardoso de Lima - Arte Brasileira na Formação da Identidade Nacional - Nota Máxima: 10")</f>
        <v>Formação Pedagógica em Artes Visuais - Formação Pedagógica em Artes Visuais - Ítalo Cardoso de Lima - Arte Brasileira na Formação da Identidade Nacional - Nota Máxima: 10</v>
      </c>
    </row>
    <row r="5614">
      <c r="A5614" s="390" t="str">
        <f>IFERROR(__xludf.DUMMYFUNCTION("""COMPUTED_VALUE"""),"Formação Pedagógica em Artes Visuais - Formação Pedagógica em Artes Visuais - Ítalo Cardoso de Lima - Arte Conceitual, Instalações e Arte Urbana - Nota Máxima: 10")</f>
        <v>Formação Pedagógica em Artes Visuais - Formação Pedagógica em Artes Visuais - Ítalo Cardoso de Lima - Arte Conceitual, Instalações e Arte Urbana - Nota Máxima: 10</v>
      </c>
    </row>
    <row r="5615">
      <c r="A5615" s="390" t="str">
        <f>IFERROR(__xludf.DUMMYFUNCTION("""COMPUTED_VALUE"""),"Formação Pedagógica em Artes Visuais - Formação Pedagógica em Artes Visuais - Ítalo Cardoso de Lima - Artes Visuais - Nota Máxima: 10")</f>
        <v>Formação Pedagógica em Artes Visuais - Formação Pedagógica em Artes Visuais - Ítalo Cardoso de Lima - Artes Visuais - Nota Máxima: 10</v>
      </c>
    </row>
    <row r="5616">
      <c r="A5616" s="390" t="str">
        <f>IFERROR(__xludf.DUMMYFUNCTION("""COMPUTED_VALUE"""),"Formação Pedagógica em Artes Visuais - Formação Pedagógica em Artes Visuais - Ítalo Cardoso de Lima - Artes Visuais no Cotidiano - Nota Máxima: 10")</f>
        <v>Formação Pedagógica em Artes Visuais - Formação Pedagógica em Artes Visuais - Ítalo Cardoso de Lima - Artes Visuais no Cotidiano - Nota Máxima: 10</v>
      </c>
    </row>
    <row r="5617">
      <c r="A5617" s="390" t="str">
        <f>IFERROR(__xludf.DUMMYFUNCTION("""COMPUTED_VALUE"""),"Formação Pedagógica em Artes Visuais - Formação Pedagógica em Artes Visuais - Ítalo Cardoso de Lima - Deficiência Auditiva e Libras/a - Nota Máxima: 10")</f>
        <v>Formação Pedagógica em Artes Visuais - Formação Pedagógica em Artes Visuais - Ítalo Cardoso de Lima - Deficiência Auditiva e Libras/a - Nota Máxima: 10</v>
      </c>
    </row>
    <row r="5618">
      <c r="A5618" s="390" t="str">
        <f>IFERROR(__xludf.DUMMYFUNCTION("""COMPUTED_VALUE"""),"Formação Pedagógica em Artes Visuais - Formação Pedagógica em Artes Visuais - Ítalo Cardoso de Lima - Desenho e Observação - Nota Máxima: 10")</f>
        <v>Formação Pedagógica em Artes Visuais - Formação Pedagógica em Artes Visuais - Ítalo Cardoso de Lima - Desenho e Observação - Nota Máxima: 10</v>
      </c>
    </row>
    <row r="5619">
      <c r="A5619" s="390" t="str">
        <f>IFERROR(__xludf.DUMMYFUNCTION("""COMPUTED_VALUE"""),"Formação Pedagógica em Artes Visuais - Formação Pedagógica em Artes Visuais - Ítalo Cardoso de Lima - Educação Especial, Inclusão Escolar e Adaptações Curriculares - Nota Máxima: 10")</f>
        <v>Formação Pedagógica em Artes Visuais - Formação Pedagógica em Artes Visuais - Ítalo Cardoso de Lima - Educação Especial, Inclusão Escolar e Adaptações Curriculares - Nota Máxima: 10</v>
      </c>
    </row>
    <row r="5620">
      <c r="A5620" s="390" t="str">
        <f>IFERROR(__xludf.DUMMYFUNCTION("""COMPUTED_VALUE"""),"Formação Pedagógica em Artes Visuais - Formação Pedagógica em Artes Visuais - Ítalo Cardoso de Lima - Educação, História, Cultura e Práticas Indígenas/a - Nota Máxima: 10")</f>
        <v>Formação Pedagógica em Artes Visuais - Formação Pedagógica em Artes Visuais - Ítalo Cardoso de Lima - Educação, História, Cultura e Práticas Indígenas/a - Nota Máxima: 10</v>
      </c>
    </row>
    <row r="5621">
      <c r="A5621" s="390" t="str">
        <f>IFERROR(__xludf.DUMMYFUNCTION("""COMPUTED_VALUE"""),"Formação Pedagógica em Artes Visuais - Formação Pedagógica em Artes Visuais - Ítalo Cardoso de Lima - Expressão Gráfica - Nota Máxima: 10")</f>
        <v>Formação Pedagógica em Artes Visuais - Formação Pedagógica em Artes Visuais - Ítalo Cardoso de Lima - Expressão Gráfica - Nota Máxima: 10</v>
      </c>
    </row>
    <row r="5622">
      <c r="A5622" s="390" t="str">
        <f>IFERROR(__xludf.DUMMYFUNCTION("""COMPUTED_VALUE"""),"Formação Pedagógica em Artes Visuais - Formação Pedagógica em Artes Visuais - Ítalo Cardoso de Lima - Filosofia das Artes à Estética - Nota Máxima: 10")</f>
        <v>Formação Pedagógica em Artes Visuais - Formação Pedagógica em Artes Visuais - Ítalo Cardoso de Lima - Filosofia das Artes à Estética - Nota Máxima: 10</v>
      </c>
    </row>
    <row r="5623">
      <c r="A5623" s="390" t="str">
        <f>IFERROR(__xludf.DUMMYFUNCTION("""COMPUTED_VALUE"""),"Formação Pedagógica em Artes Visuais - Formação Pedagógica em Artes Visuais - Ítalo Cardoso de Lima - Legislação Educacional/a - Nota Máxima: 10")</f>
        <v>Formação Pedagógica em Artes Visuais - Formação Pedagógica em Artes Visuais - Ítalo Cardoso de Lima - Legislação Educacional/a - Nota Máxima: 10</v>
      </c>
    </row>
    <row r="5624">
      <c r="A5624" s="390" t="str">
        <f>IFERROR(__xludf.DUMMYFUNCTION("""COMPUTED_VALUE"""),"Formação Pedagógica em Artes Visuais - Formação Pedagógica em Artes Visuais - Ítalo Cardoso de Lima - Linguagem das Artes Plásticas - Nota Máxima: 10")</f>
        <v>Formação Pedagógica em Artes Visuais - Formação Pedagógica em Artes Visuais - Ítalo Cardoso de Lima - Linguagem das Artes Plásticas - Nota Máxima: 10</v>
      </c>
    </row>
    <row r="5625">
      <c r="A5625" s="390" t="str">
        <f>IFERROR(__xludf.DUMMYFUNCTION("""COMPUTED_VALUE"""),"Formação Pedagógica em Artes Visuais - Formação Pedagógica em Artes Visuais - Ítalo Cardoso de Lima - Planejamento, Gestão Educacional e Currículo/a - Nota Máxima: 10")</f>
        <v>Formação Pedagógica em Artes Visuais - Formação Pedagógica em Artes Visuais - Ítalo Cardoso de Lima - Planejamento, Gestão Educacional e Currículo/a - Nota Máxima: 10</v>
      </c>
    </row>
    <row r="5626">
      <c r="A5626" s="390" t="str">
        <f>IFERROR(__xludf.DUMMYFUNCTION("""COMPUTED_VALUE"""),"Formação Pedagógica em Artes Visuais - Formação Pedagógica em Artes Visuais - Ítalo Cardoso de Lima - Práticas Pedagógicas - 400 Horas - Nota Máxima: 10")</f>
        <v>Formação Pedagógica em Artes Visuais - Formação Pedagógica em Artes Visuais - Ítalo Cardoso de Lima - Práticas Pedagógicas - 400 Horas - Nota Máxima: 10</v>
      </c>
    </row>
    <row r="5627">
      <c r="A5627" s="390" t="str">
        <f>IFERROR(__xludf.DUMMYFUNCTION("""COMPUTED_VALUE"""),"Formação Pedagógica em Artes Visuais - Formação Pedagógica em Artes Visuais - Ítalo Cardoso de Lima - Psicologia da Educação/a - Nota Máxima: 10")</f>
        <v>Formação Pedagógica em Artes Visuais - Formação Pedagógica em Artes Visuais - Ítalo Cardoso de Lima - Psicologia da Educação/a - Nota Máxima: 10</v>
      </c>
    </row>
    <row r="5628">
      <c r="A5628" s="390" t="str">
        <f>IFERROR(__xludf.DUMMYFUNCTION("""COMPUTED_VALUE"""),"Formação Pedagógica em Artes Visuais - Formação Pedagógica em Artes Visuais - Ítalo Cardoso de Lima - Tecnologia nas Artes Visuais - Nota Máxima: 10")</f>
        <v>Formação Pedagógica em Artes Visuais - Formação Pedagógica em Artes Visuais - Ítalo Cardoso de Lima - Tecnologia nas Artes Visuais - Nota Máxima: 10</v>
      </c>
    </row>
    <row r="5629">
      <c r="A5629" s="390" t="str">
        <f>IFERROR(__xludf.DUMMYFUNCTION("""COMPUTED_VALUE"""),"Formação Pedagógica em Artes Visuais - Formação Pedagógica em Artes Visuais - Carlos Edinei de Oliveira - Arte Brasileira na Formação da Identidade Nacional - Nota Máxima: 10")</f>
        <v>Formação Pedagógica em Artes Visuais - Formação Pedagógica em Artes Visuais - Carlos Edinei de Oliveira - Arte Brasileira na Formação da Identidade Nacional - Nota Máxima: 10</v>
      </c>
    </row>
    <row r="5630">
      <c r="A5630" s="390" t="str">
        <f>IFERROR(__xludf.DUMMYFUNCTION("""COMPUTED_VALUE"""),"Formação Pedagógica em Artes Visuais - Formação Pedagógica em Artes Visuais - Carlos Edinei de Oliveira - Arte Conceitual, Instalações e Arte Urbana - Nota Máxima: 8")</f>
        <v>Formação Pedagógica em Artes Visuais - Formação Pedagógica em Artes Visuais - Carlos Edinei de Oliveira - Arte Conceitual, Instalações e Arte Urbana - Nota Máxima: 8</v>
      </c>
    </row>
    <row r="5631">
      <c r="A5631" s="390" t="str">
        <f>IFERROR(__xludf.DUMMYFUNCTION("""COMPUTED_VALUE"""),"Formação Pedagógica em Artes Visuais - Formação Pedagógica em Artes Visuais - Carlos Edinei de Oliveira - Artes Visuais - Nota Máxima: 7")</f>
        <v>Formação Pedagógica em Artes Visuais - Formação Pedagógica em Artes Visuais - Carlos Edinei de Oliveira - Artes Visuais - Nota Máxima: 7</v>
      </c>
    </row>
    <row r="5632">
      <c r="A5632" s="390" t="str">
        <f>IFERROR(__xludf.DUMMYFUNCTION("""COMPUTED_VALUE"""),"Formação Pedagógica em Artes Visuais - Formação Pedagógica em Artes Visuais - Carlos Edinei de Oliveira - Artes Visuais no Cotidiano - Nota Máxima: 9")</f>
        <v>Formação Pedagógica em Artes Visuais - Formação Pedagógica em Artes Visuais - Carlos Edinei de Oliveira - Artes Visuais no Cotidiano - Nota Máxima: 9</v>
      </c>
    </row>
    <row r="5633">
      <c r="A5633" s="390" t="str">
        <f>IFERROR(__xludf.DUMMYFUNCTION("""COMPUTED_VALUE"""),"Formação Pedagógica em Artes Visuais - Formação Pedagógica em Artes Visuais - Carlos Edinei de Oliveira - Deficiência Auditiva e Libras/a - Nota Máxima: 7")</f>
        <v>Formação Pedagógica em Artes Visuais - Formação Pedagógica em Artes Visuais - Carlos Edinei de Oliveira - Deficiência Auditiva e Libras/a - Nota Máxima: 7</v>
      </c>
    </row>
    <row r="5634">
      <c r="A5634" s="390" t="str">
        <f>IFERROR(__xludf.DUMMYFUNCTION("""COMPUTED_VALUE"""),"Formação Pedagógica em Artes Visuais - Formação Pedagógica em Artes Visuais - Carlos Edinei de Oliveira - Desenho e Observação - Nota Máxima: 10")</f>
        <v>Formação Pedagógica em Artes Visuais - Formação Pedagógica em Artes Visuais - Carlos Edinei de Oliveira - Desenho e Observação - Nota Máxima: 10</v>
      </c>
    </row>
    <row r="5635">
      <c r="A5635" s="390" t="str">
        <f>IFERROR(__xludf.DUMMYFUNCTION("""COMPUTED_VALUE"""),"Formação Pedagógica em Artes Visuais - Formação Pedagógica em Artes Visuais - Carlos Edinei de Oliveira - Educação, História, Cultura e Práticas Indígenas/a - Nota Máxima: 8")</f>
        <v>Formação Pedagógica em Artes Visuais - Formação Pedagógica em Artes Visuais - Carlos Edinei de Oliveira - Educação, História, Cultura e Práticas Indígenas/a - Nota Máxima: 8</v>
      </c>
    </row>
    <row r="5636">
      <c r="A5636" s="390" t="str">
        <f>IFERROR(__xludf.DUMMYFUNCTION("""COMPUTED_VALUE"""),"Formação Pedagógica em Artes Visuais - Formação Pedagógica em Artes Visuais - Carlos Edinei de Oliveira - Expressão Gráfica - Nota Máxima: 10")</f>
        <v>Formação Pedagógica em Artes Visuais - Formação Pedagógica em Artes Visuais - Carlos Edinei de Oliveira - Expressão Gráfica - Nota Máxima: 10</v>
      </c>
    </row>
    <row r="5637">
      <c r="A5637" s="390" t="str">
        <f>IFERROR(__xludf.DUMMYFUNCTION("""COMPUTED_VALUE"""),"Formação Pedagógica em Artes Visuais - Formação Pedagógica em Artes Visuais - Carlos Edinei de Oliveira - Filosofia das Artes à Estética - Nota Máxima: 9")</f>
        <v>Formação Pedagógica em Artes Visuais - Formação Pedagógica em Artes Visuais - Carlos Edinei de Oliveira - Filosofia das Artes à Estética - Nota Máxima: 9</v>
      </c>
    </row>
    <row r="5638">
      <c r="A5638" s="390" t="str">
        <f>IFERROR(__xludf.DUMMYFUNCTION("""COMPUTED_VALUE"""),"Formação Pedagógica em Artes Visuais - Formação Pedagógica em Artes Visuais - Carlos Edinei de Oliveira - Legislação Educacional/a - Nota Máxima: 10")</f>
        <v>Formação Pedagógica em Artes Visuais - Formação Pedagógica em Artes Visuais - Carlos Edinei de Oliveira - Legislação Educacional/a - Nota Máxima: 10</v>
      </c>
    </row>
    <row r="5639">
      <c r="A5639" s="390" t="str">
        <f>IFERROR(__xludf.DUMMYFUNCTION("""COMPUTED_VALUE"""),"Formação Pedagógica em Artes Visuais - Formação Pedagógica em Artes Visuais - Carlos Edinei de Oliveira - Linguagem das Artes Plásticas - Nota Máxima: 7")</f>
        <v>Formação Pedagógica em Artes Visuais - Formação Pedagógica em Artes Visuais - Carlos Edinei de Oliveira - Linguagem das Artes Plásticas - Nota Máxima: 7</v>
      </c>
    </row>
    <row r="5640">
      <c r="A5640" s="390" t="str">
        <f>IFERROR(__xludf.DUMMYFUNCTION("""COMPUTED_VALUE"""),"Formação Pedagógica em Artes Visuais - Formação Pedagógica em Artes Visuais - Carlos Edinei de Oliveira - Práticas Pedagógicas - 400 Horas - Nota Máxima: 10")</f>
        <v>Formação Pedagógica em Artes Visuais - Formação Pedagógica em Artes Visuais - Carlos Edinei de Oliveira - Práticas Pedagógicas - 400 Horas - Nota Máxima: 10</v>
      </c>
    </row>
    <row r="5641">
      <c r="A5641" s="390" t="str">
        <f>IFERROR(__xludf.DUMMYFUNCTION("""COMPUTED_VALUE"""),"Formação Pedagógica em Artes Visuais - Formação Pedagógica em Artes Visuais - Carlos Edinei de Oliveira - Psicologia da Educação/a - Nota Máxima: 9")</f>
        <v>Formação Pedagógica em Artes Visuais - Formação Pedagógica em Artes Visuais - Carlos Edinei de Oliveira - Psicologia da Educação/a - Nota Máxima: 9</v>
      </c>
    </row>
    <row r="5642">
      <c r="A5642" s="390" t="str">
        <f>IFERROR(__xludf.DUMMYFUNCTION("""COMPUTED_VALUE"""),"Formação Pedagógica em Artes Visuais - Formação Pedagógica em Artes Visuais - Carlos Edinei de Oliveira - Tecnologia nas Artes Visuais - Nota Máxima: 7")</f>
        <v>Formação Pedagógica em Artes Visuais - Formação Pedagógica em Artes Visuais - Carlos Edinei de Oliveira - Tecnologia nas Artes Visuais - Nota Máxima: 7</v>
      </c>
    </row>
    <row r="5643">
      <c r="A5643" s="390" t="str">
        <f>IFERROR(__xludf.DUMMYFUNCTION("""COMPUTED_VALUE"""),"Formação Pedagógica em Artes Visuais - Formação Pedagógica em Artes Visuais - Renato Henrique Neves Franco - Arte Brasileira na Formação da Identidade Nacional - Nota Máxima: 9")</f>
        <v>Formação Pedagógica em Artes Visuais - Formação Pedagógica em Artes Visuais - Renato Henrique Neves Franco - Arte Brasileira na Formação da Identidade Nacional - Nota Máxima: 9</v>
      </c>
    </row>
    <row r="5644">
      <c r="A5644" s="390" t="str">
        <f>IFERROR(__xludf.DUMMYFUNCTION("""COMPUTED_VALUE"""),"Formação Pedagógica em Artes Visuais - Formação Pedagógica em Artes Visuais - Renato Henrique Neves Franco - Arte Conceitual, Instalações e Arte Urbana - Nota Máxima: 10")</f>
        <v>Formação Pedagógica em Artes Visuais - Formação Pedagógica em Artes Visuais - Renato Henrique Neves Franco - Arte Conceitual, Instalações e Arte Urbana - Nota Máxima: 10</v>
      </c>
    </row>
    <row r="5645">
      <c r="A5645" s="390" t="str">
        <f>IFERROR(__xludf.DUMMYFUNCTION("""COMPUTED_VALUE"""),"Formação Pedagógica em Artes Visuais - Formação Pedagógica em Artes Visuais - Renato Henrique Neves Franco - Artes Visuais - Nota Máxima: 8")</f>
        <v>Formação Pedagógica em Artes Visuais - Formação Pedagógica em Artes Visuais - Renato Henrique Neves Franco - Artes Visuais - Nota Máxima: 8</v>
      </c>
    </row>
    <row r="5646">
      <c r="A5646" s="390" t="str">
        <f>IFERROR(__xludf.DUMMYFUNCTION("""COMPUTED_VALUE"""),"Formação Pedagógica em Artes Visuais - Formação Pedagógica em Artes Visuais - Renato Henrique Neves Franco - Artes Visuais no Cotidiano - Nota Máxima: 9")</f>
        <v>Formação Pedagógica em Artes Visuais - Formação Pedagógica em Artes Visuais - Renato Henrique Neves Franco - Artes Visuais no Cotidiano - Nota Máxima: 9</v>
      </c>
    </row>
    <row r="5647">
      <c r="A5647" s="390" t="str">
        <f>IFERROR(__xludf.DUMMYFUNCTION("""COMPUTED_VALUE"""),"Formação Pedagógica em Artes Visuais - Formação Pedagógica em Artes Visuais - Renato Henrique Neves Franco - Deficiência Auditiva e Libras/a - Nota Máxima: 7")</f>
        <v>Formação Pedagógica em Artes Visuais - Formação Pedagógica em Artes Visuais - Renato Henrique Neves Franco - Deficiência Auditiva e Libras/a - Nota Máxima: 7</v>
      </c>
    </row>
    <row r="5648">
      <c r="A5648" s="390" t="str">
        <f>IFERROR(__xludf.DUMMYFUNCTION("""COMPUTED_VALUE"""),"Formação Pedagógica em Artes Visuais - Formação Pedagógica em Artes Visuais - Renato Henrique Neves Franco - Desenho e Observação - Nota Máxima: 9")</f>
        <v>Formação Pedagógica em Artes Visuais - Formação Pedagógica em Artes Visuais - Renato Henrique Neves Franco - Desenho e Observação - Nota Máxima: 9</v>
      </c>
    </row>
    <row r="5649">
      <c r="A5649" s="390" t="str">
        <f>IFERROR(__xludf.DUMMYFUNCTION("""COMPUTED_VALUE"""),"Formação Pedagógica em Artes Visuais - Formação Pedagógica em Artes Visuais - Renato Henrique Neves Franco - Educação Especial, Inclusão Escolar e Adaptações Curriculares - Nota Máxima: 7")</f>
        <v>Formação Pedagógica em Artes Visuais - Formação Pedagógica em Artes Visuais - Renato Henrique Neves Franco - Educação Especial, Inclusão Escolar e Adaptações Curriculares - Nota Máxima: 7</v>
      </c>
    </row>
    <row r="5650">
      <c r="A5650" s="390" t="str">
        <f>IFERROR(__xludf.DUMMYFUNCTION("""COMPUTED_VALUE"""),"Formação Pedagógica em Artes Visuais - Formação Pedagógica em Artes Visuais - Renato Henrique Neves Franco - Educação, História, Cultura e Práticas Indígenas/a - Nota Máxima: 9")</f>
        <v>Formação Pedagógica em Artes Visuais - Formação Pedagógica em Artes Visuais - Renato Henrique Neves Franco - Educação, História, Cultura e Práticas Indígenas/a - Nota Máxima: 9</v>
      </c>
    </row>
    <row r="5651">
      <c r="A5651" s="390" t="str">
        <f>IFERROR(__xludf.DUMMYFUNCTION("""COMPUTED_VALUE"""),"Formação Pedagógica em Artes Visuais - Formação Pedagógica em Artes Visuais - Renato Henrique Neves Franco - Expressão Gráfica - Nota Máxima: 9")</f>
        <v>Formação Pedagógica em Artes Visuais - Formação Pedagógica em Artes Visuais - Renato Henrique Neves Franco - Expressão Gráfica - Nota Máxima: 9</v>
      </c>
    </row>
    <row r="5652">
      <c r="A5652" s="390" t="str">
        <f>IFERROR(__xludf.DUMMYFUNCTION("""COMPUTED_VALUE"""),"Formação Pedagógica em Artes Visuais - Formação Pedagógica em Artes Visuais - Renato Henrique Neves Franco - Filosofia das Artes à Estética - Nota Máxima: 9")</f>
        <v>Formação Pedagógica em Artes Visuais - Formação Pedagógica em Artes Visuais - Renato Henrique Neves Franco - Filosofia das Artes à Estética - Nota Máxima: 9</v>
      </c>
    </row>
    <row r="5653">
      <c r="A5653" s="390" t="str">
        <f>IFERROR(__xludf.DUMMYFUNCTION("""COMPUTED_VALUE"""),"Formação Pedagógica em Artes Visuais - Formação Pedagógica em Artes Visuais - Renato Henrique Neves Franco - Legislação Educacional/a - Nota Máxima: 8")</f>
        <v>Formação Pedagógica em Artes Visuais - Formação Pedagógica em Artes Visuais - Renato Henrique Neves Franco - Legislação Educacional/a - Nota Máxima: 8</v>
      </c>
    </row>
    <row r="5654">
      <c r="A5654" s="390" t="str">
        <f>IFERROR(__xludf.DUMMYFUNCTION("""COMPUTED_VALUE"""),"Formação Pedagógica em Artes Visuais - Formação Pedagógica em Artes Visuais - Renato Henrique Neves Franco - Linguagem das Artes Plásticas - Nota Máxima: 9")</f>
        <v>Formação Pedagógica em Artes Visuais - Formação Pedagógica em Artes Visuais - Renato Henrique Neves Franco - Linguagem das Artes Plásticas - Nota Máxima: 9</v>
      </c>
    </row>
    <row r="5655">
      <c r="A5655" s="390" t="str">
        <f>IFERROR(__xludf.DUMMYFUNCTION("""COMPUTED_VALUE"""),"Formação Pedagógica em Artes Visuais - Formação Pedagógica em Artes Visuais - Renato Henrique Neves Franco - Planejamento, Gestão Educacional e Currículo/a - Nota Máxima: 9")</f>
        <v>Formação Pedagógica em Artes Visuais - Formação Pedagógica em Artes Visuais - Renato Henrique Neves Franco - Planejamento, Gestão Educacional e Currículo/a - Nota Máxima: 9</v>
      </c>
    </row>
    <row r="5656">
      <c r="A5656" s="390" t="str">
        <f>IFERROR(__xludf.DUMMYFUNCTION("""COMPUTED_VALUE"""),"Formação Pedagógica em Artes Visuais - Formação Pedagógica em Artes Visuais - Renato Henrique Neves Franco - Práticas Pedagógicas - 400 Horas - Nota Máxima: 45784")</f>
        <v>Formação Pedagógica em Artes Visuais - Formação Pedagógica em Artes Visuais - Renato Henrique Neves Franco - Práticas Pedagógicas - 400 Horas - Nota Máxima: 45784</v>
      </c>
    </row>
    <row r="5657">
      <c r="A5657" s="390" t="str">
        <f>IFERROR(__xludf.DUMMYFUNCTION("""COMPUTED_VALUE"""),"Formação Pedagógica em Artes Visuais - Formação Pedagógica em Artes Visuais - Renato Henrique Neves Franco - Psicologia da Educação/a - Nota Máxima: 10")</f>
        <v>Formação Pedagógica em Artes Visuais - Formação Pedagógica em Artes Visuais - Renato Henrique Neves Franco - Psicologia da Educação/a - Nota Máxima: 10</v>
      </c>
    </row>
    <row r="5658">
      <c r="A5658" s="390" t="str">
        <f>IFERROR(__xludf.DUMMYFUNCTION("""COMPUTED_VALUE"""),"Formação Pedagógica em Artes Visuais - Formação Pedagógica em Artes Visuais - Renato Henrique Neves Franco - Tecnologia nas Artes Visuais - Nota Máxima: 10")</f>
        <v>Formação Pedagógica em Artes Visuais - Formação Pedagógica em Artes Visuais - Renato Henrique Neves Franco - Tecnologia nas Artes Visuais - Nota Máxima: 10</v>
      </c>
    </row>
    <row r="5659">
      <c r="A5659" s="390" t="str">
        <f>IFERROR(__xludf.DUMMYFUNCTION("""COMPUTED_VALUE"""),"Formação Pedagógica em Artes Visuais - Formação Pedagógica em Artes Visuais - Adriana Pinto Ribeiro - Arte Brasileira na Formação da Identidade Nacional - Nota Máxima: 10")</f>
        <v>Formação Pedagógica em Artes Visuais - Formação Pedagógica em Artes Visuais - Adriana Pinto Ribeiro - Arte Brasileira na Formação da Identidade Nacional - Nota Máxima: 10</v>
      </c>
    </row>
    <row r="5660">
      <c r="A5660" s="390" t="str">
        <f>IFERROR(__xludf.DUMMYFUNCTION("""COMPUTED_VALUE"""),"Formação Pedagógica em Artes Visuais - Formação Pedagógica em Artes Visuais - Adriana Pinto Ribeiro - Arte Conceitual, Instalações e Arte Urbana - Nota Máxima: 10")</f>
        <v>Formação Pedagógica em Artes Visuais - Formação Pedagógica em Artes Visuais - Adriana Pinto Ribeiro - Arte Conceitual, Instalações e Arte Urbana - Nota Máxima: 10</v>
      </c>
    </row>
    <row r="5661">
      <c r="A5661" s="390" t="str">
        <f>IFERROR(__xludf.DUMMYFUNCTION("""COMPUTED_VALUE"""),"Formação Pedagógica em Artes Visuais - Formação Pedagógica em Artes Visuais - Adriana Pinto Ribeiro - Artes Visuais - Nota Máxima: 10")</f>
        <v>Formação Pedagógica em Artes Visuais - Formação Pedagógica em Artes Visuais - Adriana Pinto Ribeiro - Artes Visuais - Nota Máxima: 10</v>
      </c>
    </row>
    <row r="5662">
      <c r="A5662" s="390" t="str">
        <f>IFERROR(__xludf.DUMMYFUNCTION("""COMPUTED_VALUE"""),"Formação Pedagógica em Artes Visuais - Formação Pedagógica em Artes Visuais - Adriana Pinto Ribeiro - Artes Visuais no Cotidiano - Nota Máxima: 10")</f>
        <v>Formação Pedagógica em Artes Visuais - Formação Pedagógica em Artes Visuais - Adriana Pinto Ribeiro - Artes Visuais no Cotidiano - Nota Máxima: 10</v>
      </c>
    </row>
    <row r="5663">
      <c r="A5663" s="390" t="str">
        <f>IFERROR(__xludf.DUMMYFUNCTION("""COMPUTED_VALUE"""),"Formação Pedagógica em Artes Visuais - Formação Pedagógica em Artes Visuais - Adriana Pinto Ribeiro - Deficiência Auditiva e Libras/a - Nota Máxima: 8")</f>
        <v>Formação Pedagógica em Artes Visuais - Formação Pedagógica em Artes Visuais - Adriana Pinto Ribeiro - Deficiência Auditiva e Libras/a - Nota Máxima: 8</v>
      </c>
    </row>
    <row r="5664">
      <c r="A5664" s="390" t="str">
        <f>IFERROR(__xludf.DUMMYFUNCTION("""COMPUTED_VALUE"""),"Formação Pedagógica em Artes Visuais - Formação Pedagógica em Artes Visuais - Adriana Pinto Ribeiro - Desenho e Observação - Nota Máxima: 10")</f>
        <v>Formação Pedagógica em Artes Visuais - Formação Pedagógica em Artes Visuais - Adriana Pinto Ribeiro - Desenho e Observação - Nota Máxima: 10</v>
      </c>
    </row>
    <row r="5665">
      <c r="A5665" s="390" t="str">
        <f>IFERROR(__xludf.DUMMYFUNCTION("""COMPUTED_VALUE"""),"Formação Pedagógica em Artes Visuais - Formação Pedagógica em Artes Visuais - Adriana Pinto Ribeiro - Educação Especial, Inclusão Escolar e Adaptações Curriculares - Nota Máxima: 9")</f>
        <v>Formação Pedagógica em Artes Visuais - Formação Pedagógica em Artes Visuais - Adriana Pinto Ribeiro - Educação Especial, Inclusão Escolar e Adaptações Curriculares - Nota Máxima: 9</v>
      </c>
    </row>
    <row r="5666">
      <c r="A5666" s="390" t="str">
        <f>IFERROR(__xludf.DUMMYFUNCTION("""COMPUTED_VALUE"""),"Formação Pedagógica em Artes Visuais - Formação Pedagógica em Artes Visuais - Adriana Pinto Ribeiro - Educação, História, Cultura e Práticas Indígenas/a - Nota Máxima: 9")</f>
        <v>Formação Pedagógica em Artes Visuais - Formação Pedagógica em Artes Visuais - Adriana Pinto Ribeiro - Educação, História, Cultura e Práticas Indígenas/a - Nota Máxima: 9</v>
      </c>
    </row>
    <row r="5667">
      <c r="A5667" s="390" t="str">
        <f>IFERROR(__xludf.DUMMYFUNCTION("""COMPUTED_VALUE"""),"Formação Pedagógica em Artes Visuais - Formação Pedagógica em Artes Visuais - Adriana Pinto Ribeiro - Expressão Gráfica - Nota Máxima: 10")</f>
        <v>Formação Pedagógica em Artes Visuais - Formação Pedagógica em Artes Visuais - Adriana Pinto Ribeiro - Expressão Gráfica - Nota Máxima: 10</v>
      </c>
    </row>
    <row r="5668">
      <c r="A5668" s="390" t="str">
        <f>IFERROR(__xludf.DUMMYFUNCTION("""COMPUTED_VALUE"""),"Formação Pedagógica em Artes Visuais - Formação Pedagógica em Artes Visuais - Adriana Pinto Ribeiro - Filosofia das Artes à Estética - Nota Máxima: 10")</f>
        <v>Formação Pedagógica em Artes Visuais - Formação Pedagógica em Artes Visuais - Adriana Pinto Ribeiro - Filosofia das Artes à Estética - Nota Máxima: 10</v>
      </c>
    </row>
    <row r="5669">
      <c r="A5669" s="390" t="str">
        <f>IFERROR(__xludf.DUMMYFUNCTION("""COMPUTED_VALUE"""),"Formação Pedagógica em Artes Visuais - Formação Pedagógica em Artes Visuais - Adriana Pinto Ribeiro - Legislação Educacional/a - Nota Máxima: 7")</f>
        <v>Formação Pedagógica em Artes Visuais - Formação Pedagógica em Artes Visuais - Adriana Pinto Ribeiro - Legislação Educacional/a - Nota Máxima: 7</v>
      </c>
    </row>
    <row r="5670">
      <c r="A5670" s="390" t="str">
        <f>IFERROR(__xludf.DUMMYFUNCTION("""COMPUTED_VALUE"""),"Formação Pedagógica em Artes Visuais - Formação Pedagógica em Artes Visuais - Adriana Pinto Ribeiro - Linguagem das Artes Plásticas - Nota Máxima: 10")</f>
        <v>Formação Pedagógica em Artes Visuais - Formação Pedagógica em Artes Visuais - Adriana Pinto Ribeiro - Linguagem das Artes Plásticas - Nota Máxima: 10</v>
      </c>
    </row>
    <row r="5671">
      <c r="A5671" s="390" t="str">
        <f>IFERROR(__xludf.DUMMYFUNCTION("""COMPUTED_VALUE"""),"Formação Pedagógica em Artes Visuais - Formação Pedagógica em Artes Visuais - Adriana Pinto Ribeiro - Planejamento, Gestão Educacional e Currículo/a - Nota Máxima: 9")</f>
        <v>Formação Pedagógica em Artes Visuais - Formação Pedagógica em Artes Visuais - Adriana Pinto Ribeiro - Planejamento, Gestão Educacional e Currículo/a - Nota Máxima: 9</v>
      </c>
    </row>
    <row r="5672">
      <c r="A5672" s="390" t="str">
        <f>IFERROR(__xludf.DUMMYFUNCTION("""COMPUTED_VALUE"""),"Formação Pedagógica em Artes Visuais - Formação Pedagógica em Artes Visuais - Adriana Pinto Ribeiro - Práticas Pedagógicas - 400 Horas - Nota Máxima: 45784")</f>
        <v>Formação Pedagógica em Artes Visuais - Formação Pedagógica em Artes Visuais - Adriana Pinto Ribeiro - Práticas Pedagógicas - 400 Horas - Nota Máxima: 45784</v>
      </c>
    </row>
    <row r="5673">
      <c r="A5673" s="390" t="str">
        <f>IFERROR(__xludf.DUMMYFUNCTION("""COMPUTED_VALUE"""),"Formação Pedagógica em Artes Visuais - Formação Pedagógica em Artes Visuais - Adriana Pinto Ribeiro - Psicologia da Educação/a - Nota Máxima: 10")</f>
        <v>Formação Pedagógica em Artes Visuais - Formação Pedagógica em Artes Visuais - Adriana Pinto Ribeiro - Psicologia da Educação/a - Nota Máxima: 10</v>
      </c>
    </row>
    <row r="5674">
      <c r="A5674" s="390" t="str">
        <f>IFERROR(__xludf.DUMMYFUNCTION("""COMPUTED_VALUE"""),"Formação Pedagógica em Artes Visuais - Formação Pedagógica em Artes Visuais - Adriana Pinto Ribeiro - Tecnologia nas Artes Visuais - Nota Máxima: 10")</f>
        <v>Formação Pedagógica em Artes Visuais - Formação Pedagógica em Artes Visuais - Adriana Pinto Ribeiro - Tecnologia nas Artes Visuais - Nota Máxima: 10</v>
      </c>
    </row>
    <row r="5675">
      <c r="A5675" s="390" t="str">
        <f>IFERROR(__xludf.DUMMYFUNCTION("""COMPUTED_VALUE"""),"Formação Pedagógica em Artes Visuais - Formação Pedagógica em Artes Visuais - Renata Borges Ferreira - Arte Brasileira na Formação da Identidade Nacional - Nota Máxima: 8")</f>
        <v>Formação Pedagógica em Artes Visuais - Formação Pedagógica em Artes Visuais - Renata Borges Ferreira - Arte Brasileira na Formação da Identidade Nacional - Nota Máxima: 8</v>
      </c>
    </row>
    <row r="5676">
      <c r="A5676" s="390" t="str">
        <f>IFERROR(__xludf.DUMMYFUNCTION("""COMPUTED_VALUE"""),"Formação Pedagógica em Artes Visuais - Formação Pedagógica em Artes Visuais - Renata Borges Ferreira - Arte Conceitual, Instalações e Arte Urbana - Nota Máxima: 10")</f>
        <v>Formação Pedagógica em Artes Visuais - Formação Pedagógica em Artes Visuais - Renata Borges Ferreira - Arte Conceitual, Instalações e Arte Urbana - Nota Máxima: 10</v>
      </c>
    </row>
    <row r="5677">
      <c r="A5677" s="390" t="str">
        <f>IFERROR(__xludf.DUMMYFUNCTION("""COMPUTED_VALUE"""),"Formação Pedagógica em Artes Visuais - Formação Pedagógica em Artes Visuais - Renata Borges Ferreira - Artes Visuais - Nota Máxima: 9")</f>
        <v>Formação Pedagógica em Artes Visuais - Formação Pedagógica em Artes Visuais - Renata Borges Ferreira - Artes Visuais - Nota Máxima: 9</v>
      </c>
    </row>
    <row r="5678">
      <c r="A5678" s="390" t="str">
        <f>IFERROR(__xludf.DUMMYFUNCTION("""COMPUTED_VALUE"""),"Formação Pedagógica em Artes Visuais - Formação Pedagógica em Artes Visuais - Renata Borges Ferreira - Artes Visuais no Cotidiano - Nota Máxima: 10")</f>
        <v>Formação Pedagógica em Artes Visuais - Formação Pedagógica em Artes Visuais - Renata Borges Ferreira - Artes Visuais no Cotidiano - Nota Máxima: 10</v>
      </c>
    </row>
    <row r="5679">
      <c r="A5679" s="390" t="str">
        <f>IFERROR(__xludf.DUMMYFUNCTION("""COMPUTED_VALUE"""),"Formação Pedagógica em Artes Visuais - Formação Pedagógica em Artes Visuais - Renata Borges Ferreira - Deficiência Auditiva e Libras/a - Nota Máxima: 8")</f>
        <v>Formação Pedagógica em Artes Visuais - Formação Pedagógica em Artes Visuais - Renata Borges Ferreira - Deficiência Auditiva e Libras/a - Nota Máxima: 8</v>
      </c>
    </row>
    <row r="5680">
      <c r="A5680" s="390" t="str">
        <f>IFERROR(__xludf.DUMMYFUNCTION("""COMPUTED_VALUE"""),"Formação Pedagógica em Artes Visuais - Formação Pedagógica em Artes Visuais - Renata Borges Ferreira - Desenho e Observação - Nota Máxima: 10")</f>
        <v>Formação Pedagógica em Artes Visuais - Formação Pedagógica em Artes Visuais - Renata Borges Ferreira - Desenho e Observação - Nota Máxima: 10</v>
      </c>
    </row>
    <row r="5681">
      <c r="A5681" s="390" t="str">
        <f>IFERROR(__xludf.DUMMYFUNCTION("""COMPUTED_VALUE"""),"Formação Pedagógica em Artes Visuais - Formação Pedagógica em Artes Visuais - Renata Borges Ferreira - Educação, História, Cultura e Práticas Indígenas/a - Nota Máxima: 6")</f>
        <v>Formação Pedagógica em Artes Visuais - Formação Pedagógica em Artes Visuais - Renata Borges Ferreira - Educação, História, Cultura e Práticas Indígenas/a - Nota Máxima: 6</v>
      </c>
    </row>
    <row r="5682">
      <c r="A5682" s="390" t="str">
        <f>IFERROR(__xludf.DUMMYFUNCTION("""COMPUTED_VALUE"""),"Formação Pedagógica em Artes Visuais - Formação Pedagógica em Artes Visuais - Renata Borges Ferreira - Expressão Gráfica - Nota Máxima: 7")</f>
        <v>Formação Pedagógica em Artes Visuais - Formação Pedagógica em Artes Visuais - Renata Borges Ferreira - Expressão Gráfica - Nota Máxima: 7</v>
      </c>
    </row>
    <row r="5683">
      <c r="A5683" s="390" t="str">
        <f>IFERROR(__xludf.DUMMYFUNCTION("""COMPUTED_VALUE"""),"Formação Pedagógica em Artes Visuais - Formação Pedagógica em Artes Visuais - Renata Borges Ferreira - Filosofia das Artes à Estética - Nota Máxima: 9")</f>
        <v>Formação Pedagógica em Artes Visuais - Formação Pedagógica em Artes Visuais - Renata Borges Ferreira - Filosofia das Artes à Estética - Nota Máxima: 9</v>
      </c>
    </row>
    <row r="5684">
      <c r="A5684" s="390" t="str">
        <f>IFERROR(__xludf.DUMMYFUNCTION("""COMPUTED_VALUE"""),"Formação Pedagógica em Artes Visuais - Formação Pedagógica em Artes Visuais - Renata Borges Ferreira - Legislação Educacional/a - Nota Máxima: 8")</f>
        <v>Formação Pedagógica em Artes Visuais - Formação Pedagógica em Artes Visuais - Renata Borges Ferreira - Legislação Educacional/a - Nota Máxima: 8</v>
      </c>
    </row>
    <row r="5685">
      <c r="A5685" s="390" t="str">
        <f>IFERROR(__xludf.DUMMYFUNCTION("""COMPUTED_VALUE"""),"Formação Pedagógica em Artes Visuais - Formação Pedagógica em Artes Visuais - Renata Borges Ferreira - Linguagem das Artes Plásticas - Nota Máxima: 8")</f>
        <v>Formação Pedagógica em Artes Visuais - Formação Pedagógica em Artes Visuais - Renata Borges Ferreira - Linguagem das Artes Plásticas - Nota Máxima: 8</v>
      </c>
    </row>
    <row r="5686">
      <c r="A5686" s="390" t="str">
        <f>IFERROR(__xludf.DUMMYFUNCTION("""COMPUTED_VALUE"""),"Formação Pedagógica em Artes Visuais - Formação Pedagógica em Artes Visuais - Renata Borges Ferreira - Práticas Pedagógicas - 400 Horas - Nota Máxima: 45784")</f>
        <v>Formação Pedagógica em Artes Visuais - Formação Pedagógica em Artes Visuais - Renata Borges Ferreira - Práticas Pedagógicas - 400 Horas - Nota Máxima: 45784</v>
      </c>
    </row>
    <row r="5687">
      <c r="A5687" s="390" t="str">
        <f>IFERROR(__xludf.DUMMYFUNCTION("""COMPUTED_VALUE"""),"Formação Pedagógica em Artes Visuais - Formação Pedagógica em Artes Visuais - Renata Borges Ferreira - Psicologia da Educação/a - Nota Máxima: 7")</f>
        <v>Formação Pedagógica em Artes Visuais - Formação Pedagógica em Artes Visuais - Renata Borges Ferreira - Psicologia da Educação/a - Nota Máxima: 7</v>
      </c>
    </row>
    <row r="5688">
      <c r="A5688" s="390" t="str">
        <f>IFERROR(__xludf.DUMMYFUNCTION("""COMPUTED_VALUE"""),"Formação Pedagógica em Artes Visuais - Formação Pedagógica em Artes Visuais - Renata Borges Ferreira - Tecnologia nas Artes Visuais - Nota Máxima: 10")</f>
        <v>Formação Pedagógica em Artes Visuais - Formação Pedagógica em Artes Visuais - Renata Borges Ferreira - Tecnologia nas Artes Visuais - Nota Máxima: 10</v>
      </c>
    </row>
    <row r="5689">
      <c r="A5689" s="390" t="str">
        <f>IFERROR(__xludf.DUMMYFUNCTION("""COMPUTED_VALUE"""),"Formação Pedagógica em Artes Visuais - Formação Pedagógica em Artes Visuais - Fabio Messias Motta da Silva - Deficiência Auditiva e Libras/a - Nota Máxima: 9")</f>
        <v>Formação Pedagógica em Artes Visuais - Formação Pedagógica em Artes Visuais - Fabio Messias Motta da Silva - Deficiência Auditiva e Libras/a - Nota Máxima: 9</v>
      </c>
    </row>
    <row r="5690">
      <c r="A5690" s="390" t="str">
        <f>IFERROR(__xludf.DUMMYFUNCTION("""COMPUTED_VALUE"""),"Formação Pedagógica em Artes Visuais - Formação Pedagógica em Artes Visuais - Fabio Messias Motta da Silva - Educação Especial, Inclusão Escolar e Adaptações Curriculares - Nota Máxima: 9")</f>
        <v>Formação Pedagógica em Artes Visuais - Formação Pedagógica em Artes Visuais - Fabio Messias Motta da Silva - Educação Especial, Inclusão Escolar e Adaptações Curriculares - Nota Máxima: 9</v>
      </c>
    </row>
    <row r="5691">
      <c r="A5691" s="390" t="str">
        <f>IFERROR(__xludf.DUMMYFUNCTION("""COMPUTED_VALUE"""),"Formação Pedagógica em Artes Visuais - Formação Pedagógica em Artes Visuais - Vanessa Domingues Pinto - Arte Brasileira na Formação da Identidade Nacional - Nota Máxima: 10")</f>
        <v>Formação Pedagógica em Artes Visuais - Formação Pedagógica em Artes Visuais - Vanessa Domingues Pinto - Arte Brasileira na Formação da Identidade Nacional - Nota Máxima: 10</v>
      </c>
    </row>
    <row r="5692">
      <c r="A5692" s="390" t="str">
        <f>IFERROR(__xludf.DUMMYFUNCTION("""COMPUTED_VALUE"""),"Formação Pedagógica em Artes Visuais - Formação Pedagógica em Artes Visuais - Vanessa Domingues Pinto - Arte Brasileira na Formação da Identidade Nacional - Nota Máxima: 6")</f>
        <v>Formação Pedagógica em Artes Visuais - Formação Pedagógica em Artes Visuais - Vanessa Domingues Pinto - Arte Brasileira na Formação da Identidade Nacional - Nota Máxima: 6</v>
      </c>
    </row>
    <row r="5693">
      <c r="A5693" s="390" t="str">
        <f>IFERROR(__xludf.DUMMYFUNCTION("""COMPUTED_VALUE"""),"Formação Pedagógica em Artes Visuais - Formação Pedagógica em Artes Visuais - Vanessa Domingues Pinto - Arte Conceitual, Instalações e Arte Urbana - Nota Máxima: 10")</f>
        <v>Formação Pedagógica em Artes Visuais - Formação Pedagógica em Artes Visuais - Vanessa Domingues Pinto - Arte Conceitual, Instalações e Arte Urbana - Nota Máxima: 10</v>
      </c>
    </row>
    <row r="5694">
      <c r="A5694" s="390" t="str">
        <f>IFERROR(__xludf.DUMMYFUNCTION("""COMPUTED_VALUE"""),"Formação Pedagógica em Artes Visuais - Formação Pedagógica em Artes Visuais - Vanessa Domingues Pinto - Arte Conceitual, Instalações e Arte Urbana - Nota Máxima: 9")</f>
        <v>Formação Pedagógica em Artes Visuais - Formação Pedagógica em Artes Visuais - Vanessa Domingues Pinto - Arte Conceitual, Instalações e Arte Urbana - Nota Máxima: 9</v>
      </c>
    </row>
    <row r="5695">
      <c r="A5695" s="390" t="str">
        <f>IFERROR(__xludf.DUMMYFUNCTION("""COMPUTED_VALUE"""),"Formação Pedagógica em Artes Visuais - Formação Pedagógica em Artes Visuais - Vanessa Domingues Pinto - Artes Visuais - Nota Máxima: 10")</f>
        <v>Formação Pedagógica em Artes Visuais - Formação Pedagógica em Artes Visuais - Vanessa Domingues Pinto - Artes Visuais - Nota Máxima: 10</v>
      </c>
    </row>
    <row r="5696">
      <c r="A5696" s="390" t="str">
        <f>IFERROR(__xludf.DUMMYFUNCTION("""COMPUTED_VALUE"""),"Formação Pedagógica em Artes Visuais - Formação Pedagógica em Artes Visuais - Vanessa Domingues Pinto - Artes Visuais - Nota Máxima: 7")</f>
        <v>Formação Pedagógica em Artes Visuais - Formação Pedagógica em Artes Visuais - Vanessa Domingues Pinto - Artes Visuais - Nota Máxima: 7</v>
      </c>
    </row>
    <row r="5697">
      <c r="A5697" s="390" t="str">
        <f>IFERROR(__xludf.DUMMYFUNCTION("""COMPUTED_VALUE"""),"Formação Pedagógica em Artes Visuais - Formação Pedagógica em Artes Visuais - Vanessa Domingues Pinto - Artes Visuais no Cotidiano - Nota Máxima: 10")</f>
        <v>Formação Pedagógica em Artes Visuais - Formação Pedagógica em Artes Visuais - Vanessa Domingues Pinto - Artes Visuais no Cotidiano - Nota Máxima: 10</v>
      </c>
    </row>
    <row r="5698">
      <c r="A5698" s="390" t="str">
        <f>IFERROR(__xludf.DUMMYFUNCTION("""COMPUTED_VALUE"""),"Formação Pedagógica em Artes Visuais - Formação Pedagógica em Artes Visuais - Vanessa Domingues Pinto - Artes Visuais no Cotidiano - Nota Máxima: 10")</f>
        <v>Formação Pedagógica em Artes Visuais - Formação Pedagógica em Artes Visuais - Vanessa Domingues Pinto - Artes Visuais no Cotidiano - Nota Máxima: 10</v>
      </c>
    </row>
    <row r="5699">
      <c r="A5699" s="390" t="str">
        <f>IFERROR(__xludf.DUMMYFUNCTION("""COMPUTED_VALUE"""),"Formação Pedagógica em Artes Visuais - Formação Pedagógica em Artes Visuais - Vanessa Domingues Pinto - Deficiência Auditiva e Libras/a - Nota Máxima: 9")</f>
        <v>Formação Pedagógica em Artes Visuais - Formação Pedagógica em Artes Visuais - Vanessa Domingues Pinto - Deficiência Auditiva e Libras/a - Nota Máxima: 9</v>
      </c>
    </row>
    <row r="5700">
      <c r="A5700" s="390" t="str">
        <f>IFERROR(__xludf.DUMMYFUNCTION("""COMPUTED_VALUE"""),"Formação Pedagógica em Artes Visuais - Formação Pedagógica em Artes Visuais - Vanessa Domingues Pinto - Deficiência Auditiva e Libras/a - Nota Máxima: 10")</f>
        <v>Formação Pedagógica em Artes Visuais - Formação Pedagógica em Artes Visuais - Vanessa Domingues Pinto - Deficiência Auditiva e Libras/a - Nota Máxima: 10</v>
      </c>
    </row>
    <row r="5701">
      <c r="A5701" s="390" t="str">
        <f>IFERROR(__xludf.DUMMYFUNCTION("""COMPUTED_VALUE"""),"Formação Pedagógica em Artes Visuais - Formação Pedagógica em Artes Visuais - Vanessa Domingues Pinto - Desenho e Observação - Nota Máxima: 10")</f>
        <v>Formação Pedagógica em Artes Visuais - Formação Pedagógica em Artes Visuais - Vanessa Domingues Pinto - Desenho e Observação - Nota Máxima: 10</v>
      </c>
    </row>
    <row r="5702">
      <c r="A5702" s="390" t="str">
        <f>IFERROR(__xludf.DUMMYFUNCTION("""COMPUTED_VALUE"""),"Formação Pedagógica em Artes Visuais - Formação Pedagógica em Artes Visuais - Vanessa Domingues Pinto - Desenho e Observação - Nota Máxima: 10")</f>
        <v>Formação Pedagógica em Artes Visuais - Formação Pedagógica em Artes Visuais - Vanessa Domingues Pinto - Desenho e Observação - Nota Máxima: 10</v>
      </c>
    </row>
    <row r="5703">
      <c r="A5703" s="390" t="str">
        <f>IFERROR(__xludf.DUMMYFUNCTION("""COMPUTED_VALUE"""),"Formação Pedagógica em Artes Visuais - Formação Pedagógica em Artes Visuais - Vanessa Domingues Pinto - Educação Especial, Inclusão Escolar e Adaptações Curriculares - Nota Máxima: 9")</f>
        <v>Formação Pedagógica em Artes Visuais - Formação Pedagógica em Artes Visuais - Vanessa Domingues Pinto - Educação Especial, Inclusão Escolar e Adaptações Curriculares - Nota Máxima: 9</v>
      </c>
    </row>
    <row r="5704">
      <c r="A5704" s="390" t="str">
        <f>IFERROR(__xludf.DUMMYFUNCTION("""COMPUTED_VALUE"""),"Formação Pedagógica em Artes Visuais - Formação Pedagógica em Artes Visuais - Vanessa Domingues Pinto - Educação Especial, Inclusão Escolar e Adaptações Curriculares - Nota Máxima: 10")</f>
        <v>Formação Pedagógica em Artes Visuais - Formação Pedagógica em Artes Visuais - Vanessa Domingues Pinto - Educação Especial, Inclusão Escolar e Adaptações Curriculares - Nota Máxima: 10</v>
      </c>
    </row>
    <row r="5705">
      <c r="A5705" s="390" t="str">
        <f>IFERROR(__xludf.DUMMYFUNCTION("""COMPUTED_VALUE"""),"Formação Pedagógica em Artes Visuais - Formação Pedagógica em Artes Visuais - Vanessa Domingues Pinto - Educação, História, Cultura e Práticas Indígenas/a - Nota Máxima: 9")</f>
        <v>Formação Pedagógica em Artes Visuais - Formação Pedagógica em Artes Visuais - Vanessa Domingues Pinto - Educação, História, Cultura e Práticas Indígenas/a - Nota Máxima: 9</v>
      </c>
    </row>
    <row r="5706">
      <c r="A5706" s="390" t="str">
        <f>IFERROR(__xludf.DUMMYFUNCTION("""COMPUTED_VALUE"""),"Formação Pedagógica em Artes Visuais - Formação Pedagógica em Artes Visuais - Vanessa Domingues Pinto - Educação, História, Cultura e Práticas Indígenas/a - Nota Máxima: 9")</f>
        <v>Formação Pedagógica em Artes Visuais - Formação Pedagógica em Artes Visuais - Vanessa Domingues Pinto - Educação, História, Cultura e Práticas Indígenas/a - Nota Máxima: 9</v>
      </c>
    </row>
    <row r="5707">
      <c r="A5707" s="390" t="str">
        <f>IFERROR(__xludf.DUMMYFUNCTION("""COMPUTED_VALUE"""),"Formação Pedagógica em Artes Visuais - Formação Pedagógica em Artes Visuais - Vanessa Domingues Pinto - Expressão Gráfica - Nota Máxima: 10")</f>
        <v>Formação Pedagógica em Artes Visuais - Formação Pedagógica em Artes Visuais - Vanessa Domingues Pinto - Expressão Gráfica - Nota Máxima: 10</v>
      </c>
    </row>
    <row r="5708">
      <c r="A5708" s="390" t="str">
        <f>IFERROR(__xludf.DUMMYFUNCTION("""COMPUTED_VALUE"""),"Formação Pedagógica em Artes Visuais - Formação Pedagógica em Artes Visuais - Vanessa Domingues Pinto - Expressão Gráfica - Nota Máxima: 10")</f>
        <v>Formação Pedagógica em Artes Visuais - Formação Pedagógica em Artes Visuais - Vanessa Domingues Pinto - Expressão Gráfica - Nota Máxima: 10</v>
      </c>
    </row>
    <row r="5709">
      <c r="A5709" s="390" t="str">
        <f>IFERROR(__xludf.DUMMYFUNCTION("""COMPUTED_VALUE"""),"Formação Pedagógica em Artes Visuais - Formação Pedagógica em Artes Visuais - Vanessa Domingues Pinto - Filosofia das Artes à Estética - Nota Máxima: 9")</f>
        <v>Formação Pedagógica em Artes Visuais - Formação Pedagógica em Artes Visuais - Vanessa Domingues Pinto - Filosofia das Artes à Estética - Nota Máxima: 9</v>
      </c>
    </row>
    <row r="5710">
      <c r="A5710" s="390" t="str">
        <f>IFERROR(__xludf.DUMMYFUNCTION("""COMPUTED_VALUE"""),"Formação Pedagógica em Artes Visuais - Formação Pedagógica em Artes Visuais - Vanessa Domingues Pinto - Filosofia das Artes à Estética - Nota Máxima: 4")</f>
        <v>Formação Pedagógica em Artes Visuais - Formação Pedagógica em Artes Visuais - Vanessa Domingues Pinto - Filosofia das Artes à Estética - Nota Máxima: 4</v>
      </c>
    </row>
    <row r="5711">
      <c r="A5711" s="390" t="str">
        <f>IFERROR(__xludf.DUMMYFUNCTION("""COMPUTED_VALUE"""),"Formação Pedagógica em Artes Visuais - Formação Pedagógica em Artes Visuais - Vanessa Domingues Pinto - Legislação Educacional/a - Nota Máxima: 10")</f>
        <v>Formação Pedagógica em Artes Visuais - Formação Pedagógica em Artes Visuais - Vanessa Domingues Pinto - Legislação Educacional/a - Nota Máxima: 10</v>
      </c>
    </row>
    <row r="5712">
      <c r="A5712" s="390" t="str">
        <f>IFERROR(__xludf.DUMMYFUNCTION("""COMPUTED_VALUE"""),"Formação Pedagógica em Artes Visuais - Formação Pedagógica em Artes Visuais - Vanessa Domingues Pinto - Legislação Educacional/a - Nota Máxima: 9")</f>
        <v>Formação Pedagógica em Artes Visuais - Formação Pedagógica em Artes Visuais - Vanessa Domingues Pinto - Legislação Educacional/a - Nota Máxima: 9</v>
      </c>
    </row>
    <row r="5713">
      <c r="A5713" s="390" t="str">
        <f>IFERROR(__xludf.DUMMYFUNCTION("""COMPUTED_VALUE"""),"Formação Pedagógica em Artes Visuais - Formação Pedagógica em Artes Visuais - Vanessa Domingues Pinto - Linguagem das Artes Plásticas - Nota Máxima: 10")</f>
        <v>Formação Pedagógica em Artes Visuais - Formação Pedagógica em Artes Visuais - Vanessa Domingues Pinto - Linguagem das Artes Plásticas - Nota Máxima: 10</v>
      </c>
    </row>
    <row r="5714">
      <c r="A5714" s="390" t="str">
        <f>IFERROR(__xludf.DUMMYFUNCTION("""COMPUTED_VALUE"""),"Formação Pedagógica em Artes Visuais - Formação Pedagógica em Artes Visuais - Vanessa Domingues Pinto - Linguagem das Artes Plásticas - Nota Máxima: 6")</f>
        <v>Formação Pedagógica em Artes Visuais - Formação Pedagógica em Artes Visuais - Vanessa Domingues Pinto - Linguagem das Artes Plásticas - Nota Máxima: 6</v>
      </c>
    </row>
    <row r="5715">
      <c r="A5715" s="390" t="str">
        <f>IFERROR(__xludf.DUMMYFUNCTION("""COMPUTED_VALUE"""),"Formação Pedagógica em Artes Visuais - Formação Pedagógica em Artes Visuais - Vanessa Domingues Pinto - Planejamento, Gestão Educacional e Currículo/a - Nota Máxima: 10")</f>
        <v>Formação Pedagógica em Artes Visuais - Formação Pedagógica em Artes Visuais - Vanessa Domingues Pinto - Planejamento, Gestão Educacional e Currículo/a - Nota Máxima: 10</v>
      </c>
    </row>
    <row r="5716">
      <c r="A5716" s="390" t="str">
        <f>IFERROR(__xludf.DUMMYFUNCTION("""COMPUTED_VALUE"""),"Formação Pedagógica em Artes Visuais - Formação Pedagógica em Artes Visuais - Vanessa Domingues Pinto - Planejamento, Gestão Educacional e Currículo/a - Nota Máxima: 10")</f>
        <v>Formação Pedagógica em Artes Visuais - Formação Pedagógica em Artes Visuais - Vanessa Domingues Pinto - Planejamento, Gestão Educacional e Currículo/a - Nota Máxima: 10</v>
      </c>
    </row>
    <row r="5717">
      <c r="A5717" s="390" t="str">
        <f>IFERROR(__xludf.DUMMYFUNCTION("""COMPUTED_VALUE"""),"Formação Pedagógica em Artes Visuais - Formação Pedagógica em Artes Visuais - Vanessa Domingues Pinto - Práticas Pedagógicas - 400 Horas - Nota Máxima: 10")</f>
        <v>Formação Pedagógica em Artes Visuais - Formação Pedagógica em Artes Visuais - Vanessa Domingues Pinto - Práticas Pedagógicas - 400 Horas - Nota Máxima: 10</v>
      </c>
    </row>
    <row r="5718">
      <c r="A5718" s="390" t="str">
        <f>IFERROR(__xludf.DUMMYFUNCTION("""COMPUTED_VALUE"""),"Formação Pedagógica em Artes Visuais - Formação Pedagógica em Artes Visuais - Vanessa Domingues Pinto - Psicologia da Educação/a - Nota Máxima: 9")</f>
        <v>Formação Pedagógica em Artes Visuais - Formação Pedagógica em Artes Visuais - Vanessa Domingues Pinto - Psicologia da Educação/a - Nota Máxima: 9</v>
      </c>
    </row>
    <row r="5719">
      <c r="A5719" s="390" t="str">
        <f>IFERROR(__xludf.DUMMYFUNCTION("""COMPUTED_VALUE"""),"Formação Pedagógica em Artes Visuais - Formação Pedagógica em Artes Visuais - Vanessa Domingues Pinto - Psicologia da Educação/a - Nota Máxima: 9")</f>
        <v>Formação Pedagógica em Artes Visuais - Formação Pedagógica em Artes Visuais - Vanessa Domingues Pinto - Psicologia da Educação/a - Nota Máxima: 9</v>
      </c>
    </row>
    <row r="5720">
      <c r="A5720" s="390" t="str">
        <f>IFERROR(__xludf.DUMMYFUNCTION("""COMPUTED_VALUE"""),"Formação Pedagógica em Artes Visuais - Formação Pedagógica em Artes Visuais - Vanessa Domingues Pinto - Tecnologia nas Artes Visuais - Nota Máxima: 10")</f>
        <v>Formação Pedagógica em Artes Visuais - Formação Pedagógica em Artes Visuais - Vanessa Domingues Pinto - Tecnologia nas Artes Visuais - Nota Máxima: 10</v>
      </c>
    </row>
    <row r="5721">
      <c r="A5721" s="390" t="str">
        <f>IFERROR(__xludf.DUMMYFUNCTION("""COMPUTED_VALUE"""),"Formação Pedagógica em Artes Visuais - Formação Pedagógica em Artes Visuais - Vanessa Domingues Pinto - Tecnologia nas Artes Visuais - Nota Máxima: 9")</f>
        <v>Formação Pedagógica em Artes Visuais - Formação Pedagógica em Artes Visuais - Vanessa Domingues Pinto - Tecnologia nas Artes Visuais - Nota Máxima: 9</v>
      </c>
    </row>
    <row r="5722">
      <c r="A5722" s="390" t="str">
        <f>IFERROR(__xludf.DUMMYFUNCTION("""COMPUTED_VALUE"""),"Formação Pedagógica em Matemática - Formação Pedagógica em Matemática - Sergio Ricardo Ferreira - Algebra - Nota Máxima: 10")</f>
        <v>Formação Pedagógica em Matemática - Formação Pedagógica em Matemática - Sergio Ricardo Ferreira - Algebra - Nota Máxima: 10</v>
      </c>
    </row>
    <row r="5723">
      <c r="A5723" s="390" t="str">
        <f>IFERROR(__xludf.DUMMYFUNCTION("""COMPUTED_VALUE"""),"Formação Pedagógica em Matemática - Formação Pedagógica em Matemática - Sergio Ricardo Ferreira - Cálculo - Nota Máxima: 7")</f>
        <v>Formação Pedagógica em Matemática - Formação Pedagógica em Matemática - Sergio Ricardo Ferreira - Cálculo - Nota Máxima: 7</v>
      </c>
    </row>
    <row r="5724">
      <c r="A5724" s="390" t="str">
        <f>IFERROR(__xludf.DUMMYFUNCTION("""COMPUTED_VALUE"""),"Formação Pedagógica em Matemática - Formação Pedagógica em Matemática - Sergio Ricardo Ferreira - Deficiência Auditiva e Libras/a - Nota Máxima: 8")</f>
        <v>Formação Pedagógica em Matemática - Formação Pedagógica em Matemática - Sergio Ricardo Ferreira - Deficiência Auditiva e Libras/a - Nota Máxima: 8</v>
      </c>
    </row>
    <row r="5725">
      <c r="A5725" s="390" t="str">
        <f>IFERROR(__xludf.DUMMYFUNCTION("""COMPUTED_VALUE"""),"Formação Pedagógica em Matemática - Formação Pedagógica em Matemática - Sergio Ricardo Ferreira - Deficiência Auditiva e Libras/a - Nota Máxima: 8")</f>
        <v>Formação Pedagógica em Matemática - Formação Pedagógica em Matemática - Sergio Ricardo Ferreira - Deficiência Auditiva e Libras/a - Nota Máxima: 8</v>
      </c>
    </row>
    <row r="5726">
      <c r="A5726" s="390" t="str">
        <f>IFERROR(__xludf.DUMMYFUNCTION("""COMPUTED_VALUE"""),"Formação Pedagógica em Matemática - Formação Pedagógica em Matemática - Sergio Ricardo Ferreira - Educação Especial, Inclusão Escolar e Adaptações Curriculares - Nota Máxima: 10")</f>
        <v>Formação Pedagógica em Matemática - Formação Pedagógica em Matemática - Sergio Ricardo Ferreira - Educação Especial, Inclusão Escolar e Adaptações Curriculares - Nota Máxima: 10</v>
      </c>
    </row>
    <row r="5727">
      <c r="A5727" s="390" t="str">
        <f>IFERROR(__xludf.DUMMYFUNCTION("""COMPUTED_VALUE"""),"Formação Pedagógica em Matemática - Formação Pedagógica em Matemática - Sergio Ricardo Ferreira - Educação, História, Cultura e Práticas Indígenas/a - Nota Máxima: 9")</f>
        <v>Formação Pedagógica em Matemática - Formação Pedagógica em Matemática - Sergio Ricardo Ferreira - Educação, História, Cultura e Práticas Indígenas/a - Nota Máxima: 9</v>
      </c>
    </row>
    <row r="5728">
      <c r="A5728" s="390" t="str">
        <f>IFERROR(__xludf.DUMMYFUNCTION("""COMPUTED_VALUE"""),"Formação Pedagógica em Matemática - Formação Pedagógica em Matemática - Sergio Ricardo Ferreira - Geometria Analítica - Nota Máxima: 7")</f>
        <v>Formação Pedagógica em Matemática - Formação Pedagógica em Matemática - Sergio Ricardo Ferreira - Geometria Analítica - Nota Máxima: 7</v>
      </c>
    </row>
    <row r="5729">
      <c r="A5729" s="390" t="str">
        <f>IFERROR(__xludf.DUMMYFUNCTION("""COMPUTED_VALUE"""),"Formação Pedagógica em Matemática - Formação Pedagógica em Matemática - Sergio Ricardo Ferreira - Legislação Educacional/a - Nota Máxima: 8")</f>
        <v>Formação Pedagógica em Matemática - Formação Pedagógica em Matemática - Sergio Ricardo Ferreira - Legislação Educacional/a - Nota Máxima: 8</v>
      </c>
    </row>
    <row r="5730">
      <c r="A5730" s="390" t="str">
        <f>IFERROR(__xludf.DUMMYFUNCTION("""COMPUTED_VALUE"""),"Formação Pedagógica em Matemática - Formação Pedagógica em Matemática - Sergio Ricardo Ferreira - Lógica e Fundamentos da Matemática - Nota Máxima: 10")</f>
        <v>Formação Pedagógica em Matemática - Formação Pedagógica em Matemática - Sergio Ricardo Ferreira - Lógica e Fundamentos da Matemática - Nota Máxima: 10</v>
      </c>
    </row>
    <row r="5731">
      <c r="A5731" s="390" t="str">
        <f>IFERROR(__xludf.DUMMYFUNCTION("""COMPUTED_VALUE"""),"Formação Pedagógica em Matemática - Formação Pedagógica em Matemática - Sergio Ricardo Ferreira - Matemática e Raciocínio Lógico - Nota Máxima: 10")</f>
        <v>Formação Pedagógica em Matemática - Formação Pedagógica em Matemática - Sergio Ricardo Ferreira - Matemática e Raciocínio Lógico - Nota Máxima: 10</v>
      </c>
    </row>
    <row r="5732">
      <c r="A5732" s="390" t="str">
        <f>IFERROR(__xludf.DUMMYFUNCTION("""COMPUTED_VALUE"""),"Formação Pedagógica em Matemática - Formação Pedagógica em Matemática - Sergio Ricardo Ferreira - Metodologia do Ensino da Matemática - Nota Máxima: 9")</f>
        <v>Formação Pedagógica em Matemática - Formação Pedagógica em Matemática - Sergio Ricardo Ferreira - Metodologia do Ensino da Matemática - Nota Máxima: 9</v>
      </c>
    </row>
    <row r="5733">
      <c r="A5733" s="390" t="str">
        <f>IFERROR(__xludf.DUMMYFUNCTION("""COMPUTED_VALUE"""),"Formação Pedagógica em Matemática - Formação Pedagógica em Matemática - Sergio Ricardo Ferreira - Planejamento, Gestão Educacional e Currículo/a - Nota Máxima: 10")</f>
        <v>Formação Pedagógica em Matemática - Formação Pedagógica em Matemática - Sergio Ricardo Ferreira - Planejamento, Gestão Educacional e Currículo/a - Nota Máxima: 10</v>
      </c>
    </row>
    <row r="5734">
      <c r="A5734" s="390" t="str">
        <f>IFERROR(__xludf.DUMMYFUNCTION("""COMPUTED_VALUE"""),"Formação Pedagógica em Matemática - Formação Pedagógica em Matemática - Sergio Ricardo Ferreira - Planejamento, Gestão Educacional e Currículo/a - Nota Máxima: 10")</f>
        <v>Formação Pedagógica em Matemática - Formação Pedagógica em Matemática - Sergio Ricardo Ferreira - Planejamento, Gestão Educacional e Currículo/a - Nota Máxima: 10</v>
      </c>
    </row>
    <row r="5735">
      <c r="A5735" s="390" t="str">
        <f>IFERROR(__xludf.DUMMYFUNCTION("""COMPUTED_VALUE"""),"Formação Pedagógica em Matemática - Formação Pedagógica em Matemática - Sergio Ricardo Ferreira - Práticas Pedagógicas - 400 Horas - Nota Máxima: 10")</f>
        <v>Formação Pedagógica em Matemática - Formação Pedagógica em Matemática - Sergio Ricardo Ferreira - Práticas Pedagógicas - 400 Horas - Nota Máxima: 10</v>
      </c>
    </row>
    <row r="5736">
      <c r="A5736" s="390" t="str">
        <f>IFERROR(__xludf.DUMMYFUNCTION("""COMPUTED_VALUE"""),"Formação Pedagógica em Matemática - Formação Pedagógica em Matemática - Sergio Ricardo Ferreira - Probabilidade e Estatística - Nota Máxima: 10")</f>
        <v>Formação Pedagógica em Matemática - Formação Pedagógica em Matemática - Sergio Ricardo Ferreira - Probabilidade e Estatística - Nota Máxima: 10</v>
      </c>
    </row>
    <row r="5737">
      <c r="A5737" s="390" t="str">
        <f>IFERROR(__xludf.DUMMYFUNCTION("""COMPUTED_VALUE"""),"Formação Pedagógica em Matemática - Formação Pedagógica em Matemática - Sergio Ricardo Ferreira - Psicologia da Educação/a - Nota Máxima: 8")</f>
        <v>Formação Pedagógica em Matemática - Formação Pedagógica em Matemática - Sergio Ricardo Ferreira - Psicologia da Educação/a - Nota Máxima: 8</v>
      </c>
    </row>
    <row r="5738">
      <c r="A5738" s="390" t="str">
        <f>IFERROR(__xludf.DUMMYFUNCTION("""COMPUTED_VALUE"""),"Formação Pedagógica em Matemática - Formação Pedagógica em Matemática - Hailton Brito da silva - Algebra - Nota Máxima: 10")</f>
        <v>Formação Pedagógica em Matemática - Formação Pedagógica em Matemática - Hailton Brito da silva - Algebra - Nota Máxima: 10</v>
      </c>
    </row>
    <row r="5739">
      <c r="A5739" s="390" t="str">
        <f>IFERROR(__xludf.DUMMYFUNCTION("""COMPUTED_VALUE"""),"Formação Pedagógica em Matemática - Formação Pedagógica em Matemática - Hailton Brito da silva - Algebra - Nota Máxima: 10")</f>
        <v>Formação Pedagógica em Matemática - Formação Pedagógica em Matemática - Hailton Brito da silva - Algebra - Nota Máxima: 10</v>
      </c>
    </row>
    <row r="5740">
      <c r="A5740" s="390" t="str">
        <f>IFERROR(__xludf.DUMMYFUNCTION("""COMPUTED_VALUE"""),"Formação Pedagógica em Matemática - Formação Pedagógica em Matemática - Hailton Brito da silva - Cálculo - Nota Máxima: 10")</f>
        <v>Formação Pedagógica em Matemática - Formação Pedagógica em Matemática - Hailton Brito da silva - Cálculo - Nota Máxima: 10</v>
      </c>
    </row>
    <row r="5741">
      <c r="A5741" s="390" t="str">
        <f>IFERROR(__xludf.DUMMYFUNCTION("""COMPUTED_VALUE"""),"Formação Pedagógica em Matemática - Formação Pedagógica em Matemática - Hailton Brito da silva - Cálculo - Nota Máxima: 10")</f>
        <v>Formação Pedagógica em Matemática - Formação Pedagógica em Matemática - Hailton Brito da silva - Cálculo - Nota Máxima: 10</v>
      </c>
    </row>
    <row r="5742">
      <c r="A5742" s="390" t="str">
        <f>IFERROR(__xludf.DUMMYFUNCTION("""COMPUTED_VALUE"""),"Formação Pedagógica em Matemática - Formação Pedagógica em Matemática - Hailton Brito da silva - Deficiência Auditiva e Libras/a - Nota Máxima: 9")</f>
        <v>Formação Pedagógica em Matemática - Formação Pedagógica em Matemática - Hailton Brito da silva - Deficiência Auditiva e Libras/a - Nota Máxima: 9</v>
      </c>
    </row>
    <row r="5743">
      <c r="A5743" s="390" t="str">
        <f>IFERROR(__xludf.DUMMYFUNCTION("""COMPUTED_VALUE"""),"Formação Pedagógica em Matemática - Formação Pedagógica em Matemática - Hailton Brito da silva - Deficiência Auditiva e Libras/a - Nota Máxima: 9")</f>
        <v>Formação Pedagógica em Matemática - Formação Pedagógica em Matemática - Hailton Brito da silva - Deficiência Auditiva e Libras/a - Nota Máxima: 9</v>
      </c>
    </row>
    <row r="5744">
      <c r="A5744" s="390" t="str">
        <f>IFERROR(__xludf.DUMMYFUNCTION("""COMPUTED_VALUE"""),"Formação Pedagógica em Matemática - Formação Pedagógica em Matemática - Hailton Brito da silva - Educação Especial, Inclusão Escolar e Adaptações Curriculares - Nota Máxima: 10")</f>
        <v>Formação Pedagógica em Matemática - Formação Pedagógica em Matemática - Hailton Brito da silva - Educação Especial, Inclusão Escolar e Adaptações Curriculares - Nota Máxima: 10</v>
      </c>
    </row>
    <row r="5745">
      <c r="A5745" s="390" t="str">
        <f>IFERROR(__xludf.DUMMYFUNCTION("""COMPUTED_VALUE"""),"Formação Pedagógica em Matemática - Formação Pedagógica em Matemática - Hailton Brito da silva - Educação Especial, Inclusão Escolar e Adaptações Curriculares - Nota Máxima: 10")</f>
        <v>Formação Pedagógica em Matemática - Formação Pedagógica em Matemática - Hailton Brito da silva - Educação Especial, Inclusão Escolar e Adaptações Curriculares - Nota Máxima: 10</v>
      </c>
    </row>
    <row r="5746">
      <c r="A5746" s="390" t="str">
        <f>IFERROR(__xludf.DUMMYFUNCTION("""COMPUTED_VALUE"""),"Formação Pedagógica em Matemática - Formação Pedagógica em Matemática - Hailton Brito da silva - Educação, História, Cultura e Práticas Indígenas/a - Nota Máxima: 10")</f>
        <v>Formação Pedagógica em Matemática - Formação Pedagógica em Matemática - Hailton Brito da silva - Educação, História, Cultura e Práticas Indígenas/a - Nota Máxima: 10</v>
      </c>
    </row>
    <row r="5747">
      <c r="A5747" s="390" t="str">
        <f>IFERROR(__xludf.DUMMYFUNCTION("""COMPUTED_VALUE"""),"Formação Pedagógica em Matemática - Formação Pedagógica em Matemática - Hailton Brito da silva - Educação, História, Cultura e Práticas Indígenas/a - Nota Máxima: 10")</f>
        <v>Formação Pedagógica em Matemática - Formação Pedagógica em Matemática - Hailton Brito da silva - Educação, História, Cultura e Práticas Indígenas/a - Nota Máxima: 10</v>
      </c>
    </row>
    <row r="5748">
      <c r="A5748" s="390" t="str">
        <f>IFERROR(__xludf.DUMMYFUNCTION("""COMPUTED_VALUE"""),"Formação Pedagógica em Matemática - Formação Pedagógica em Matemática - Hailton Brito da silva - Geometria Analítica - Nota Máxima: 10")</f>
        <v>Formação Pedagógica em Matemática - Formação Pedagógica em Matemática - Hailton Brito da silva - Geometria Analítica - Nota Máxima: 10</v>
      </c>
    </row>
    <row r="5749">
      <c r="A5749" s="390" t="str">
        <f>IFERROR(__xludf.DUMMYFUNCTION("""COMPUTED_VALUE"""),"Formação Pedagógica em Matemática - Formação Pedagógica em Matemática - Hailton Brito da silva - Geometria Analítica - Nota Máxima: 10")</f>
        <v>Formação Pedagógica em Matemática - Formação Pedagógica em Matemática - Hailton Brito da silva - Geometria Analítica - Nota Máxima: 10</v>
      </c>
    </row>
    <row r="5750">
      <c r="A5750" s="390" t="str">
        <f>IFERROR(__xludf.DUMMYFUNCTION("""COMPUTED_VALUE"""),"Formação Pedagógica em Matemática - Formação Pedagógica em Matemática - Hailton Brito da silva - Legislação Educacional/a - Nota Máxima: 8")</f>
        <v>Formação Pedagógica em Matemática - Formação Pedagógica em Matemática - Hailton Brito da silva - Legislação Educacional/a - Nota Máxima: 8</v>
      </c>
    </row>
    <row r="5751">
      <c r="A5751" s="390" t="str">
        <f>IFERROR(__xludf.DUMMYFUNCTION("""COMPUTED_VALUE"""),"Formação Pedagógica em Matemática - Formação Pedagógica em Matemática - Hailton Brito da silva - Legislação Educacional/a - Nota Máxima: 10")</f>
        <v>Formação Pedagógica em Matemática - Formação Pedagógica em Matemática - Hailton Brito da silva - Legislação Educacional/a - Nota Máxima: 10</v>
      </c>
    </row>
    <row r="5752">
      <c r="A5752" s="390" t="str">
        <f>IFERROR(__xludf.DUMMYFUNCTION("""COMPUTED_VALUE"""),"Formação Pedagógica em Matemática - Formação Pedagógica em Matemática - Hailton Brito da silva - Lógica e Fundamentos da Matemática - Nota Máxima: 10")</f>
        <v>Formação Pedagógica em Matemática - Formação Pedagógica em Matemática - Hailton Brito da silva - Lógica e Fundamentos da Matemática - Nota Máxima: 10</v>
      </c>
    </row>
    <row r="5753">
      <c r="A5753" s="390" t="str">
        <f>IFERROR(__xludf.DUMMYFUNCTION("""COMPUTED_VALUE"""),"Formação Pedagógica em Matemática - Formação Pedagógica em Matemática - Hailton Brito da silva - Lógica e Fundamentos da Matemática - Nota Máxima: 9")</f>
        <v>Formação Pedagógica em Matemática - Formação Pedagógica em Matemática - Hailton Brito da silva - Lógica e Fundamentos da Matemática - Nota Máxima: 9</v>
      </c>
    </row>
    <row r="5754">
      <c r="A5754" s="390" t="str">
        <f>IFERROR(__xludf.DUMMYFUNCTION("""COMPUTED_VALUE"""),"Formação Pedagógica em Matemática - Formação Pedagógica em Matemática - Hailton Brito da silva - Matemática e Raciocínio Lógico - Nota Máxima: 9")</f>
        <v>Formação Pedagógica em Matemática - Formação Pedagógica em Matemática - Hailton Brito da silva - Matemática e Raciocínio Lógico - Nota Máxima: 9</v>
      </c>
    </row>
    <row r="5755">
      <c r="A5755" s="390" t="str">
        <f>IFERROR(__xludf.DUMMYFUNCTION("""COMPUTED_VALUE"""),"Formação Pedagógica em Matemática - Formação Pedagógica em Matemática - Hailton Brito da silva - Matemática e Raciocínio Lógico - Nota Máxima: 3")</f>
        <v>Formação Pedagógica em Matemática - Formação Pedagógica em Matemática - Hailton Brito da silva - Matemática e Raciocínio Lógico - Nota Máxima: 3</v>
      </c>
    </row>
    <row r="5756">
      <c r="A5756" s="390" t="str">
        <f>IFERROR(__xludf.DUMMYFUNCTION("""COMPUTED_VALUE"""),"Formação Pedagógica em Matemática - Formação Pedagógica em Matemática - Hailton Brito da silva - Metodologia do Ensino da Matemática - Nota Máxima: 10")</f>
        <v>Formação Pedagógica em Matemática - Formação Pedagógica em Matemática - Hailton Brito da silva - Metodologia do Ensino da Matemática - Nota Máxima: 10</v>
      </c>
    </row>
    <row r="5757">
      <c r="A5757" s="390" t="str">
        <f>IFERROR(__xludf.DUMMYFUNCTION("""COMPUTED_VALUE"""),"Formação Pedagógica em Matemática - Formação Pedagógica em Matemática - Hailton Brito da silva - Metodologia do Ensino da Matemática - Nota Máxima: 10")</f>
        <v>Formação Pedagógica em Matemática - Formação Pedagógica em Matemática - Hailton Brito da silva - Metodologia do Ensino da Matemática - Nota Máxima: 10</v>
      </c>
    </row>
    <row r="5758">
      <c r="A5758" s="390" t="str">
        <f>IFERROR(__xludf.DUMMYFUNCTION("""COMPUTED_VALUE"""),"Formação Pedagógica em Matemática - Formação Pedagógica em Matemática - Hailton Brito da silva - Planejamento, Gestão Educacional e Currículo/a - Nota Máxima: 10")</f>
        <v>Formação Pedagógica em Matemática - Formação Pedagógica em Matemática - Hailton Brito da silva - Planejamento, Gestão Educacional e Currículo/a - Nota Máxima: 10</v>
      </c>
    </row>
    <row r="5759">
      <c r="A5759" s="390" t="str">
        <f>IFERROR(__xludf.DUMMYFUNCTION("""COMPUTED_VALUE"""),"Formação Pedagógica em Matemática - Formação Pedagógica em Matemática - Hailton Brito da silva - Planejamento, Gestão Educacional e Currículo/a - Nota Máxima: 10")</f>
        <v>Formação Pedagógica em Matemática - Formação Pedagógica em Matemática - Hailton Brito da silva - Planejamento, Gestão Educacional e Currículo/a - Nota Máxima: 10</v>
      </c>
    </row>
    <row r="5760">
      <c r="A5760" s="390" t="str">
        <f>IFERROR(__xludf.DUMMYFUNCTION("""COMPUTED_VALUE"""),"Formação Pedagógica em Matemática - Formação Pedagógica em Matemática - Hailton Brito da silva - Práticas Pedagógicas - 400 Horas - Nota Máxima: 4")</f>
        <v>Formação Pedagógica em Matemática - Formação Pedagógica em Matemática - Hailton Brito da silva - Práticas Pedagógicas - 400 Horas - Nota Máxima: 4</v>
      </c>
    </row>
    <row r="5761">
      <c r="A5761" s="390" t="str">
        <f>IFERROR(__xludf.DUMMYFUNCTION("""COMPUTED_VALUE"""),"Formação Pedagógica em Matemática - Formação Pedagógica em Matemática - Hailton Brito da silva - Práticas Pedagógicas - 400 Horas - Nota Máxima: 4")</f>
        <v>Formação Pedagógica em Matemática - Formação Pedagógica em Matemática - Hailton Brito da silva - Práticas Pedagógicas - 400 Horas - Nota Máxima: 4</v>
      </c>
    </row>
    <row r="5762">
      <c r="A5762" s="390" t="str">
        <f>IFERROR(__xludf.DUMMYFUNCTION("""COMPUTED_VALUE"""),"Formação Pedagógica em Matemática - Formação Pedagógica em Matemática - Hailton Brito da silva - Probabilidade e Estatística - Nota Máxima: 9")</f>
        <v>Formação Pedagógica em Matemática - Formação Pedagógica em Matemática - Hailton Brito da silva - Probabilidade e Estatística - Nota Máxima: 9</v>
      </c>
    </row>
    <row r="5763">
      <c r="A5763" s="390" t="str">
        <f>IFERROR(__xludf.DUMMYFUNCTION("""COMPUTED_VALUE"""),"Formação Pedagógica em Matemática - Formação Pedagógica em Matemática - Hailton Brito da silva - Probabilidade e Estatística - Nota Máxima: 10")</f>
        <v>Formação Pedagógica em Matemática - Formação Pedagógica em Matemática - Hailton Brito da silva - Probabilidade e Estatística - Nota Máxima: 10</v>
      </c>
    </row>
    <row r="5764">
      <c r="A5764" s="390" t="str">
        <f>IFERROR(__xludf.DUMMYFUNCTION("""COMPUTED_VALUE"""),"Formação Pedagógica em Matemática - Formação Pedagógica em Matemática - Hailton Brito da silva - Psicologia da Educação/a - Nota Máxima: 10")</f>
        <v>Formação Pedagógica em Matemática - Formação Pedagógica em Matemática - Hailton Brito da silva - Psicologia da Educação/a - Nota Máxima: 10</v>
      </c>
    </row>
    <row r="5765">
      <c r="A5765" s="390" t="str">
        <f>IFERROR(__xludf.DUMMYFUNCTION("""COMPUTED_VALUE"""),"Formação Pedagógica em Matemática - Formação Pedagógica em Matemática - Hailton Brito da silva - Psicologia da Educação/a - Nota Máxima: 6")</f>
        <v>Formação Pedagógica em Matemática - Formação Pedagógica em Matemática - Hailton Brito da silva - Psicologia da Educação/a - Nota Máxima: 6</v>
      </c>
    </row>
    <row r="5766">
      <c r="A5766" s="390" t="str">
        <f>IFERROR(__xludf.DUMMYFUNCTION("""COMPUTED_VALUE"""),"Formação Pedagógica em Matemática - Formação Pedagógica em Matemática - Ronny Menezes Marques - Cálculo - Nota Máxima: 7")</f>
        <v>Formação Pedagógica em Matemática - Formação Pedagógica em Matemática - Ronny Menezes Marques - Cálculo - Nota Máxima: 7</v>
      </c>
    </row>
    <row r="5767">
      <c r="A5767" s="390" t="str">
        <f>IFERROR(__xludf.DUMMYFUNCTION("""COMPUTED_VALUE"""),"Formação Pedagógica em Matemática - Formação Pedagógica em Matemática - Ronny Menezes Marques - Deficiência Auditiva e Libras/a - Nota Máxima: 10")</f>
        <v>Formação Pedagógica em Matemática - Formação Pedagógica em Matemática - Ronny Menezes Marques - Deficiência Auditiva e Libras/a - Nota Máxima: 10</v>
      </c>
    </row>
    <row r="5768">
      <c r="A5768" s="390" t="str">
        <f>IFERROR(__xludf.DUMMYFUNCTION("""COMPUTED_VALUE"""),"Formação Pedagógica em Matemática - Formação Pedagógica em Matemática - Ronny Menezes Marques - Deficiência Auditiva e Libras/a - Nota Máxima: 8")</f>
        <v>Formação Pedagógica em Matemática - Formação Pedagógica em Matemática - Ronny Menezes Marques - Deficiência Auditiva e Libras/a - Nota Máxima: 8</v>
      </c>
    </row>
    <row r="5769">
      <c r="A5769" s="390" t="str">
        <f>IFERROR(__xludf.DUMMYFUNCTION("""COMPUTED_VALUE"""),"Formação Pedagógica em Matemática - Formação Pedagógica em Matemática - Ronny Menezes Marques - Educação Especial, Inclusão Escolar e Adaptações Curriculares - Nota Máxima: 10")</f>
        <v>Formação Pedagógica em Matemática - Formação Pedagógica em Matemática - Ronny Menezes Marques - Educação Especial, Inclusão Escolar e Adaptações Curriculares - Nota Máxima: 10</v>
      </c>
    </row>
    <row r="5770">
      <c r="A5770" s="390" t="str">
        <f>IFERROR(__xludf.DUMMYFUNCTION("""COMPUTED_VALUE"""),"Formação Pedagógica em Matemática - Formação Pedagógica em Matemática - Ronny Menezes Marques - Educação Especial, Inclusão Escolar e Adaptações Curriculares - Nota Máxima: 9")</f>
        <v>Formação Pedagógica em Matemática - Formação Pedagógica em Matemática - Ronny Menezes Marques - Educação Especial, Inclusão Escolar e Adaptações Curriculares - Nota Máxima: 9</v>
      </c>
    </row>
    <row r="5771">
      <c r="A5771" s="390" t="str">
        <f>IFERROR(__xludf.DUMMYFUNCTION("""COMPUTED_VALUE"""),"Formação Pedagógica em Matemática - Formação Pedagógica em Matemática - Ronny Menezes Marques - Educação, História, Cultura e Práticas Indígenas/a - Nota Máxima: 9")</f>
        <v>Formação Pedagógica em Matemática - Formação Pedagógica em Matemática - Ronny Menezes Marques - Educação, História, Cultura e Práticas Indígenas/a - Nota Máxima: 9</v>
      </c>
    </row>
    <row r="5772">
      <c r="A5772" s="390" t="str">
        <f>IFERROR(__xludf.DUMMYFUNCTION("""COMPUTED_VALUE"""),"Formação Pedagógica em Matemática - Formação Pedagógica em Matemática - Ronny Menezes Marques - Educação, História, Cultura e Práticas Indígenas/a - Nota Máxima: 10")</f>
        <v>Formação Pedagógica em Matemática - Formação Pedagógica em Matemática - Ronny Menezes Marques - Educação, História, Cultura e Práticas Indígenas/a - Nota Máxima: 10</v>
      </c>
    </row>
    <row r="5773">
      <c r="A5773" s="390" t="str">
        <f>IFERROR(__xludf.DUMMYFUNCTION("""COMPUTED_VALUE"""),"Formação Pedagógica em Matemática - Formação Pedagógica em Matemática - Ronny Menezes Marques - Legislação Educacional/a - Nota Máxima: 10")</f>
        <v>Formação Pedagógica em Matemática - Formação Pedagógica em Matemática - Ronny Menezes Marques - Legislação Educacional/a - Nota Máxima: 10</v>
      </c>
    </row>
    <row r="5774">
      <c r="A5774" s="390" t="str">
        <f>IFERROR(__xludf.DUMMYFUNCTION("""COMPUTED_VALUE"""),"Formação Pedagógica em Matemática - Formação Pedagógica em Matemática - Ronny Menezes Marques - Legislação Educacional/a - Nota Máxima: 7")</f>
        <v>Formação Pedagógica em Matemática - Formação Pedagógica em Matemática - Ronny Menezes Marques - Legislação Educacional/a - Nota Máxima: 7</v>
      </c>
    </row>
    <row r="5775">
      <c r="A5775" s="390" t="str">
        <f>IFERROR(__xludf.DUMMYFUNCTION("""COMPUTED_VALUE"""),"Formação Pedagógica em Matemática - Formação Pedagógica em Matemática - Ronny Menezes Marques - Metodologia do Ensino da Matemática - Nota Máxima: 10")</f>
        <v>Formação Pedagógica em Matemática - Formação Pedagógica em Matemática - Ronny Menezes Marques - Metodologia do Ensino da Matemática - Nota Máxima: 10</v>
      </c>
    </row>
    <row r="5776">
      <c r="A5776" s="390" t="str">
        <f>IFERROR(__xludf.DUMMYFUNCTION("""COMPUTED_VALUE"""),"Formação Pedagógica em Matemática - Formação Pedagógica em Matemática - Ronny Menezes Marques - Metodologia do Ensino da Matemática - Nota Máxima: 10")</f>
        <v>Formação Pedagógica em Matemática - Formação Pedagógica em Matemática - Ronny Menezes Marques - Metodologia do Ensino da Matemática - Nota Máxima: 10</v>
      </c>
    </row>
    <row r="5777">
      <c r="A5777" s="390" t="str">
        <f>IFERROR(__xludf.DUMMYFUNCTION("""COMPUTED_VALUE"""),"Formação Pedagógica em Matemática - Formação Pedagógica em Matemática - Ronny Menezes Marques - Planejamento, Gestão Educacional e Currículo/a - Nota Máxima: 10")</f>
        <v>Formação Pedagógica em Matemática - Formação Pedagógica em Matemática - Ronny Menezes Marques - Planejamento, Gestão Educacional e Currículo/a - Nota Máxima: 10</v>
      </c>
    </row>
    <row r="5778">
      <c r="A5778" s="390" t="str">
        <f>IFERROR(__xludf.DUMMYFUNCTION("""COMPUTED_VALUE"""),"Formação Pedagógica em Matemática - Formação Pedagógica em Matemática - Ronny Menezes Marques - Planejamento, Gestão Educacional e Currículo/a - Nota Máxima: 9")</f>
        <v>Formação Pedagógica em Matemática - Formação Pedagógica em Matemática - Ronny Menezes Marques - Planejamento, Gestão Educacional e Currículo/a - Nota Máxima: 9</v>
      </c>
    </row>
    <row r="5779">
      <c r="A5779" s="390" t="str">
        <f>IFERROR(__xludf.DUMMYFUNCTION("""COMPUTED_VALUE"""),"Formação Pedagógica em Matemática - Formação Pedagógica em Matemática - Ronny Menezes Marques - Práticas Pedagógicas - 400 Horas - Nota Máxima: 10")</f>
        <v>Formação Pedagógica em Matemática - Formação Pedagógica em Matemática - Ronny Menezes Marques - Práticas Pedagógicas - 400 Horas - Nota Máxima: 10</v>
      </c>
    </row>
    <row r="5780">
      <c r="A5780" s="390" t="str">
        <f>IFERROR(__xludf.DUMMYFUNCTION("""COMPUTED_VALUE"""),"Formação Pedagógica em Matemática - Formação Pedagógica em Matemática - Ronny Menezes Marques - Práticas Pedagógicas - 400 Horas - Nota Máxima: 45784")</f>
        <v>Formação Pedagógica em Matemática - Formação Pedagógica em Matemática - Ronny Menezes Marques - Práticas Pedagógicas - 400 Horas - Nota Máxima: 45784</v>
      </c>
    </row>
    <row r="5781">
      <c r="A5781" s="390" t="str">
        <f>IFERROR(__xludf.DUMMYFUNCTION("""COMPUTED_VALUE"""),"Formação Pedagógica em Matemática - Formação Pedagógica em Matemática - Ronny Menezes Marques - Psicologia da Educação/a - Nota Máxima: 10")</f>
        <v>Formação Pedagógica em Matemática - Formação Pedagógica em Matemática - Ronny Menezes Marques - Psicologia da Educação/a - Nota Máxima: 10</v>
      </c>
    </row>
    <row r="5782">
      <c r="A5782" s="390" t="str">
        <f>IFERROR(__xludf.DUMMYFUNCTION("""COMPUTED_VALUE"""),"Formação Pedagógica em Matemática - Formação Pedagógica em Matemática - Ronny Menezes Marques - Psicologia da Educação/a - Nota Máxima: 6")</f>
        <v>Formação Pedagógica em Matemática - Formação Pedagógica em Matemática - Ronny Menezes Marques - Psicologia da Educação/a - Nota Máxima: 6</v>
      </c>
    </row>
    <row r="5783">
      <c r="A5783" s="390" t="str">
        <f>IFERROR(__xludf.DUMMYFUNCTION("""COMPUTED_VALUE"""),"Formação Pedagógica em Matemática - Formação Pedagógica em Matemática - Camila Nascimento Neri - Algebra - Nota Máxima: 10")</f>
        <v>Formação Pedagógica em Matemática - Formação Pedagógica em Matemática - Camila Nascimento Neri - Algebra - Nota Máxima: 10</v>
      </c>
    </row>
    <row r="5784">
      <c r="A5784" s="390" t="str">
        <f>IFERROR(__xludf.DUMMYFUNCTION("""COMPUTED_VALUE"""),"Formação Pedagógica em Matemática - Formação Pedagógica em Matemática - Camila Nascimento Neri - Algebra - Nota Máxima: 4")</f>
        <v>Formação Pedagógica em Matemática - Formação Pedagógica em Matemática - Camila Nascimento Neri - Algebra - Nota Máxima: 4</v>
      </c>
    </row>
    <row r="5785">
      <c r="A5785" s="390" t="str">
        <f>IFERROR(__xludf.DUMMYFUNCTION("""COMPUTED_VALUE"""),"Formação Pedagógica em Matemática - Formação Pedagógica em Matemática - Camila Nascimento Neri - Cálculo - Nota Máxima: 10")</f>
        <v>Formação Pedagógica em Matemática - Formação Pedagógica em Matemática - Camila Nascimento Neri - Cálculo - Nota Máxima: 10</v>
      </c>
    </row>
    <row r="5786">
      <c r="A5786" s="390" t="str">
        <f>IFERROR(__xludf.DUMMYFUNCTION("""COMPUTED_VALUE"""),"Formação Pedagógica em Matemática - Formação Pedagógica em Matemática - Camila Nascimento Neri - Cálculo - Nota Máxima: 3")</f>
        <v>Formação Pedagógica em Matemática - Formação Pedagógica em Matemática - Camila Nascimento Neri - Cálculo - Nota Máxima: 3</v>
      </c>
    </row>
    <row r="5787">
      <c r="A5787" s="390" t="str">
        <f>IFERROR(__xludf.DUMMYFUNCTION("""COMPUTED_VALUE"""),"Formação Pedagógica em Matemática - Formação Pedagógica em Matemática - Camila Nascimento Neri - Deficiência Auditiva e Libras/a - Nota Máxima: 10")</f>
        <v>Formação Pedagógica em Matemática - Formação Pedagógica em Matemática - Camila Nascimento Neri - Deficiência Auditiva e Libras/a - Nota Máxima: 10</v>
      </c>
    </row>
    <row r="5788">
      <c r="A5788" s="390" t="str">
        <f>IFERROR(__xludf.DUMMYFUNCTION("""COMPUTED_VALUE"""),"Formação Pedagógica em Matemática - Formação Pedagógica em Matemática - Camila Nascimento Neri - Deficiência Auditiva e Libras/a - Nota Máxima: 10")</f>
        <v>Formação Pedagógica em Matemática - Formação Pedagógica em Matemática - Camila Nascimento Neri - Deficiência Auditiva e Libras/a - Nota Máxima: 10</v>
      </c>
    </row>
    <row r="5789">
      <c r="A5789" s="390" t="str">
        <f>IFERROR(__xludf.DUMMYFUNCTION("""COMPUTED_VALUE"""),"Formação Pedagógica em Matemática - Formação Pedagógica em Matemática - Camila Nascimento Neri - Educação Especial, Inclusão Escolar e Adaptações Curriculares - Nota Máxima: 10")</f>
        <v>Formação Pedagógica em Matemática - Formação Pedagógica em Matemática - Camila Nascimento Neri - Educação Especial, Inclusão Escolar e Adaptações Curriculares - Nota Máxima: 10</v>
      </c>
    </row>
    <row r="5790">
      <c r="A5790" s="390" t="str">
        <f>IFERROR(__xludf.DUMMYFUNCTION("""COMPUTED_VALUE"""),"Formação Pedagógica em Matemática - Formação Pedagógica em Matemática - Camila Nascimento Neri - Educação Especial, Inclusão Escolar e Adaptações Curriculares - Nota Máxima: 9")</f>
        <v>Formação Pedagógica em Matemática - Formação Pedagógica em Matemática - Camila Nascimento Neri - Educação Especial, Inclusão Escolar e Adaptações Curriculares - Nota Máxima: 9</v>
      </c>
    </row>
    <row r="5791">
      <c r="A5791" s="390" t="str">
        <f>IFERROR(__xludf.DUMMYFUNCTION("""COMPUTED_VALUE"""),"Formação Pedagógica em Matemática - Formação Pedagógica em Matemática - Camila Nascimento Neri - Educação, História, Cultura e Práticas Indígenas/a - Nota Máxima: 10")</f>
        <v>Formação Pedagógica em Matemática - Formação Pedagógica em Matemática - Camila Nascimento Neri - Educação, História, Cultura e Práticas Indígenas/a - Nota Máxima: 10</v>
      </c>
    </row>
    <row r="5792">
      <c r="A5792" s="390" t="str">
        <f>IFERROR(__xludf.DUMMYFUNCTION("""COMPUTED_VALUE"""),"Formação Pedagógica em Matemática - Formação Pedagógica em Matemática - Camila Nascimento Neri - Educação, História, Cultura e Práticas Indígenas/a - Nota Máxima: 7")</f>
        <v>Formação Pedagógica em Matemática - Formação Pedagógica em Matemática - Camila Nascimento Neri - Educação, História, Cultura e Práticas Indígenas/a - Nota Máxima: 7</v>
      </c>
    </row>
    <row r="5793">
      <c r="A5793" s="390" t="str">
        <f>IFERROR(__xludf.DUMMYFUNCTION("""COMPUTED_VALUE"""),"Formação Pedagógica em Matemática - Formação Pedagógica em Matemática - Camila Nascimento Neri - Geometria Analítica - Nota Máxima: 9")</f>
        <v>Formação Pedagógica em Matemática - Formação Pedagógica em Matemática - Camila Nascimento Neri - Geometria Analítica - Nota Máxima: 9</v>
      </c>
    </row>
    <row r="5794">
      <c r="A5794" s="390" t="str">
        <f>IFERROR(__xludf.DUMMYFUNCTION("""COMPUTED_VALUE"""),"Formação Pedagógica em Matemática - Formação Pedagógica em Matemática - Camila Nascimento Neri - Geometria Analítica - Nota Máxima: 5")</f>
        <v>Formação Pedagógica em Matemática - Formação Pedagógica em Matemática - Camila Nascimento Neri - Geometria Analítica - Nota Máxima: 5</v>
      </c>
    </row>
    <row r="5795">
      <c r="A5795" s="390" t="str">
        <f>IFERROR(__xludf.DUMMYFUNCTION("""COMPUTED_VALUE"""),"Formação Pedagógica em Matemática - Formação Pedagógica em Matemática - Camila Nascimento Neri - Legislação Educacional/a - Nota Máxima: 10")</f>
        <v>Formação Pedagógica em Matemática - Formação Pedagógica em Matemática - Camila Nascimento Neri - Legislação Educacional/a - Nota Máxima: 10</v>
      </c>
    </row>
    <row r="5796">
      <c r="A5796" s="390" t="str">
        <f>IFERROR(__xludf.DUMMYFUNCTION("""COMPUTED_VALUE"""),"Formação Pedagógica em Matemática - Formação Pedagógica em Matemática - Camila Nascimento Neri - Legislação Educacional/a - Nota Máxima: 8")</f>
        <v>Formação Pedagógica em Matemática - Formação Pedagógica em Matemática - Camila Nascimento Neri - Legislação Educacional/a - Nota Máxima: 8</v>
      </c>
    </row>
    <row r="5797">
      <c r="A5797" s="390" t="str">
        <f>IFERROR(__xludf.DUMMYFUNCTION("""COMPUTED_VALUE"""),"Formação Pedagógica em Matemática - Formação Pedagógica em Matemática - Camila Nascimento Neri - Lógica e Fundamentos da Matemática - Nota Máxima: 9")</f>
        <v>Formação Pedagógica em Matemática - Formação Pedagógica em Matemática - Camila Nascimento Neri - Lógica e Fundamentos da Matemática - Nota Máxima: 9</v>
      </c>
    </row>
    <row r="5798">
      <c r="A5798" s="390" t="str">
        <f>IFERROR(__xludf.DUMMYFUNCTION("""COMPUTED_VALUE"""),"Formação Pedagógica em Matemática - Formação Pedagógica em Matemática - Camila Nascimento Neri - Lógica e Fundamentos da Matemática - Nota Máxima: 6")</f>
        <v>Formação Pedagógica em Matemática - Formação Pedagógica em Matemática - Camila Nascimento Neri - Lógica e Fundamentos da Matemática - Nota Máxima: 6</v>
      </c>
    </row>
    <row r="5799">
      <c r="A5799" s="390" t="str">
        <f>IFERROR(__xludf.DUMMYFUNCTION("""COMPUTED_VALUE"""),"Formação Pedagógica em Matemática - Formação Pedagógica em Matemática - Camila Nascimento Neri - Matemática e Raciocínio Lógico - Nota Máxima: 8")</f>
        <v>Formação Pedagógica em Matemática - Formação Pedagógica em Matemática - Camila Nascimento Neri - Matemática e Raciocínio Lógico - Nota Máxima: 8</v>
      </c>
    </row>
    <row r="5800">
      <c r="A5800" s="390" t="str">
        <f>IFERROR(__xludf.DUMMYFUNCTION("""COMPUTED_VALUE"""),"Formação Pedagógica em Matemática - Formação Pedagógica em Matemática - Camila Nascimento Neri - Matemática e Raciocínio Lógico - Nota Máxima: 4")</f>
        <v>Formação Pedagógica em Matemática - Formação Pedagógica em Matemática - Camila Nascimento Neri - Matemática e Raciocínio Lógico - Nota Máxima: 4</v>
      </c>
    </row>
    <row r="5801">
      <c r="A5801" s="390" t="str">
        <f>IFERROR(__xludf.DUMMYFUNCTION("""COMPUTED_VALUE"""),"Formação Pedagógica em Matemática - Formação Pedagógica em Matemática - Camila Nascimento Neri - Metodologia do Ensino da Matemática - Nota Máxima: 10")</f>
        <v>Formação Pedagógica em Matemática - Formação Pedagógica em Matemática - Camila Nascimento Neri - Metodologia do Ensino da Matemática - Nota Máxima: 10</v>
      </c>
    </row>
    <row r="5802">
      <c r="A5802" s="390" t="str">
        <f>IFERROR(__xludf.DUMMYFUNCTION("""COMPUTED_VALUE"""),"Formação Pedagógica em Matemática - Formação Pedagógica em Matemática - Camila Nascimento Neri - Metodologia do Ensino da Matemática - Nota Máxima: 10")</f>
        <v>Formação Pedagógica em Matemática - Formação Pedagógica em Matemática - Camila Nascimento Neri - Metodologia do Ensino da Matemática - Nota Máxima: 10</v>
      </c>
    </row>
    <row r="5803">
      <c r="A5803" s="390" t="str">
        <f>IFERROR(__xludf.DUMMYFUNCTION("""COMPUTED_VALUE"""),"Formação Pedagógica em Matemática - Formação Pedagógica em Matemática - Camila Nascimento Neri - Planejamento, Gestão Educacional e Currículo/a - Nota Máxima: 10")</f>
        <v>Formação Pedagógica em Matemática - Formação Pedagógica em Matemática - Camila Nascimento Neri - Planejamento, Gestão Educacional e Currículo/a - Nota Máxima: 10</v>
      </c>
    </row>
    <row r="5804">
      <c r="A5804" s="390" t="str">
        <f>IFERROR(__xludf.DUMMYFUNCTION("""COMPUTED_VALUE"""),"Formação Pedagógica em Matemática - Formação Pedagógica em Matemática - Camila Nascimento Neri - Planejamento, Gestão Educacional e Currículo/a - Nota Máxima: 10")</f>
        <v>Formação Pedagógica em Matemática - Formação Pedagógica em Matemática - Camila Nascimento Neri - Planejamento, Gestão Educacional e Currículo/a - Nota Máxima: 10</v>
      </c>
    </row>
    <row r="5805">
      <c r="A5805" s="390" t="str">
        <f>IFERROR(__xludf.DUMMYFUNCTION("""COMPUTED_VALUE"""),"Formação Pedagógica em Matemática - Formação Pedagógica em Matemática - Camila Nascimento Neri - Práticas Pedagógicas - 400 Horas - Nota Máxima: 4")</f>
        <v>Formação Pedagógica em Matemática - Formação Pedagógica em Matemática - Camila Nascimento Neri - Práticas Pedagógicas - 400 Horas - Nota Máxima: 4</v>
      </c>
    </row>
    <row r="5806">
      <c r="A5806" s="390" t="str">
        <f>IFERROR(__xludf.DUMMYFUNCTION("""COMPUTED_VALUE"""),"Formação Pedagógica em Matemática - Formação Pedagógica em Matemática - Camila Nascimento Neri - Probabilidade e Estatística - Nota Máxima: 10")</f>
        <v>Formação Pedagógica em Matemática - Formação Pedagógica em Matemática - Camila Nascimento Neri - Probabilidade e Estatística - Nota Máxima: 10</v>
      </c>
    </row>
    <row r="5807">
      <c r="A5807" s="390" t="str">
        <f>IFERROR(__xludf.DUMMYFUNCTION("""COMPUTED_VALUE"""),"Formação Pedagógica em Matemática - Formação Pedagógica em Matemática - Camila Nascimento Neri - Probabilidade e Estatística - Nota Máxima: 6")</f>
        <v>Formação Pedagógica em Matemática - Formação Pedagógica em Matemática - Camila Nascimento Neri - Probabilidade e Estatística - Nota Máxima: 6</v>
      </c>
    </row>
    <row r="5808">
      <c r="A5808" s="390" t="str">
        <f>IFERROR(__xludf.DUMMYFUNCTION("""COMPUTED_VALUE"""),"Formação Pedagógica em Matemática - Formação Pedagógica em Matemática - Camila Nascimento Neri - Psicologia da Educação/a - Nota Máxima: 9")</f>
        <v>Formação Pedagógica em Matemática - Formação Pedagógica em Matemática - Camila Nascimento Neri - Psicologia da Educação/a - Nota Máxima: 9</v>
      </c>
    </row>
    <row r="5809">
      <c r="A5809" s="390" t="str">
        <f>IFERROR(__xludf.DUMMYFUNCTION("""COMPUTED_VALUE"""),"Formação Pedagógica em Matemática - Formação Pedagógica em Matemática - Camila Nascimento Neri - Psicologia da Educação/a - Nota Máxima: 6")</f>
        <v>Formação Pedagógica em Matemática - Formação Pedagógica em Matemática - Camila Nascimento Neri - Psicologia da Educação/a - Nota Máxima: 6</v>
      </c>
    </row>
    <row r="5810">
      <c r="A5810" s="390" t="str">
        <f>IFERROR(__xludf.DUMMYFUNCTION("""COMPUTED_VALUE"""),"Formação Pedagógica em Matemática - Formação Pedagógica em Matemática - Arlindo da Cunha Pereira Neto - Algebra - Nota Máxima: 10")</f>
        <v>Formação Pedagógica em Matemática - Formação Pedagógica em Matemática - Arlindo da Cunha Pereira Neto - Algebra - Nota Máxima: 10</v>
      </c>
    </row>
    <row r="5811">
      <c r="A5811" s="390" t="str">
        <f>IFERROR(__xludf.DUMMYFUNCTION("""COMPUTED_VALUE"""),"Formação Pedagógica em Matemática - Formação Pedagógica em Matemática - Arlindo da Cunha Pereira Neto - Algebra - Nota Máxima: 4")</f>
        <v>Formação Pedagógica em Matemática - Formação Pedagógica em Matemática - Arlindo da Cunha Pereira Neto - Algebra - Nota Máxima: 4</v>
      </c>
    </row>
    <row r="5812">
      <c r="A5812" s="390" t="str">
        <f>IFERROR(__xludf.DUMMYFUNCTION("""COMPUTED_VALUE"""),"Formação Pedagógica em Matemática - Formação Pedagógica em Matemática - Arlindo da Cunha Pereira Neto - Cálculo - Nota Máxima: 10")</f>
        <v>Formação Pedagógica em Matemática - Formação Pedagógica em Matemática - Arlindo da Cunha Pereira Neto - Cálculo - Nota Máxima: 10</v>
      </c>
    </row>
    <row r="5813">
      <c r="A5813" s="390" t="str">
        <f>IFERROR(__xludf.DUMMYFUNCTION("""COMPUTED_VALUE"""),"Formação Pedagógica em Matemática - Formação Pedagógica em Matemática - Arlindo da Cunha Pereira Neto - Cálculo - Nota Máxima: 4")</f>
        <v>Formação Pedagógica em Matemática - Formação Pedagógica em Matemática - Arlindo da Cunha Pereira Neto - Cálculo - Nota Máxima: 4</v>
      </c>
    </row>
    <row r="5814">
      <c r="A5814" s="390" t="str">
        <f>IFERROR(__xludf.DUMMYFUNCTION("""COMPUTED_VALUE"""),"Formação Pedagógica em Matemática - Formação Pedagógica em Matemática - Arlindo da Cunha Pereira Neto - Deficiência Auditiva e Libras/a - Nota Máxima: 10")</f>
        <v>Formação Pedagógica em Matemática - Formação Pedagógica em Matemática - Arlindo da Cunha Pereira Neto - Deficiência Auditiva e Libras/a - Nota Máxima: 10</v>
      </c>
    </row>
    <row r="5815">
      <c r="A5815" s="390" t="str">
        <f>IFERROR(__xludf.DUMMYFUNCTION("""COMPUTED_VALUE"""),"Formação Pedagógica em Matemática - Formação Pedagógica em Matemática - Arlindo da Cunha Pereira Neto - Deficiência Auditiva e Libras/a - Nota Máxima: 9")</f>
        <v>Formação Pedagógica em Matemática - Formação Pedagógica em Matemática - Arlindo da Cunha Pereira Neto - Deficiência Auditiva e Libras/a - Nota Máxima: 9</v>
      </c>
    </row>
    <row r="5816">
      <c r="A5816" s="390" t="str">
        <f>IFERROR(__xludf.DUMMYFUNCTION("""COMPUTED_VALUE"""),"Formação Pedagógica em Matemática - Formação Pedagógica em Matemática - Arlindo da Cunha Pereira Neto - Educação Especial, Inclusão Escolar e Adaptações Curriculares - Nota Máxima: 10")</f>
        <v>Formação Pedagógica em Matemática - Formação Pedagógica em Matemática - Arlindo da Cunha Pereira Neto - Educação Especial, Inclusão Escolar e Adaptações Curriculares - Nota Máxima: 10</v>
      </c>
    </row>
    <row r="5817">
      <c r="A5817" s="390" t="str">
        <f>IFERROR(__xludf.DUMMYFUNCTION("""COMPUTED_VALUE"""),"Formação Pedagógica em Matemática - Formação Pedagógica em Matemática - Arlindo da Cunha Pereira Neto - Educação Especial, Inclusão Escolar e Adaptações Curriculares - Nota Máxima: 3")</f>
        <v>Formação Pedagógica em Matemática - Formação Pedagógica em Matemática - Arlindo da Cunha Pereira Neto - Educação Especial, Inclusão Escolar e Adaptações Curriculares - Nota Máxima: 3</v>
      </c>
    </row>
    <row r="5818">
      <c r="A5818" s="390" t="str">
        <f>IFERROR(__xludf.DUMMYFUNCTION("""COMPUTED_VALUE"""),"Formação Pedagógica em Matemática - Formação Pedagógica em Matemática - Arlindo da Cunha Pereira Neto - Educação, História, Cultura e Práticas Indígenas/a - Nota Máxima: 10")</f>
        <v>Formação Pedagógica em Matemática - Formação Pedagógica em Matemática - Arlindo da Cunha Pereira Neto - Educação, História, Cultura e Práticas Indígenas/a - Nota Máxima: 10</v>
      </c>
    </row>
    <row r="5819">
      <c r="A5819" s="390" t="str">
        <f>IFERROR(__xludf.DUMMYFUNCTION("""COMPUTED_VALUE"""),"Formação Pedagógica em Matemática - Formação Pedagógica em Matemática - Arlindo da Cunha Pereira Neto - Educação, História, Cultura e Práticas Indígenas/a - Nota Máxima: 4")</f>
        <v>Formação Pedagógica em Matemática - Formação Pedagógica em Matemática - Arlindo da Cunha Pereira Neto - Educação, História, Cultura e Práticas Indígenas/a - Nota Máxima: 4</v>
      </c>
    </row>
    <row r="5820">
      <c r="A5820" s="390" t="str">
        <f>IFERROR(__xludf.DUMMYFUNCTION("""COMPUTED_VALUE"""),"Formação Pedagógica em Matemática - Formação Pedagógica em Matemática - Arlindo da Cunha Pereira Neto - Geometria Analítica - Nota Máxima: 9")</f>
        <v>Formação Pedagógica em Matemática - Formação Pedagógica em Matemática - Arlindo da Cunha Pereira Neto - Geometria Analítica - Nota Máxima: 9</v>
      </c>
    </row>
    <row r="5821">
      <c r="A5821" s="390" t="str">
        <f>IFERROR(__xludf.DUMMYFUNCTION("""COMPUTED_VALUE"""),"Formação Pedagógica em Matemática - Formação Pedagógica em Matemática - Arlindo da Cunha Pereira Neto - Geometria Analítica - Nota Máxima: 9")</f>
        <v>Formação Pedagógica em Matemática - Formação Pedagógica em Matemática - Arlindo da Cunha Pereira Neto - Geometria Analítica - Nota Máxima: 9</v>
      </c>
    </row>
    <row r="5822">
      <c r="A5822" s="390" t="str">
        <f>IFERROR(__xludf.DUMMYFUNCTION("""COMPUTED_VALUE"""),"Formação Pedagógica em Matemática - Formação Pedagógica em Matemática - Arlindo da Cunha Pereira Neto - Legislação Educacional/a - Nota Máxima: 10")</f>
        <v>Formação Pedagógica em Matemática - Formação Pedagógica em Matemática - Arlindo da Cunha Pereira Neto - Legislação Educacional/a - Nota Máxima: 10</v>
      </c>
    </row>
    <row r="5823">
      <c r="A5823" s="390" t="str">
        <f>IFERROR(__xludf.DUMMYFUNCTION("""COMPUTED_VALUE"""),"Formação Pedagógica em Matemática - Formação Pedagógica em Matemática - Arlindo da Cunha Pereira Neto - Legislação Educacional/a - Nota Máxima: 3")</f>
        <v>Formação Pedagógica em Matemática - Formação Pedagógica em Matemática - Arlindo da Cunha Pereira Neto - Legislação Educacional/a - Nota Máxima: 3</v>
      </c>
    </row>
    <row r="5824">
      <c r="A5824" s="390" t="str">
        <f>IFERROR(__xludf.DUMMYFUNCTION("""COMPUTED_VALUE"""),"Formação Pedagógica em Matemática - Formação Pedagógica em Matemática - Arlindo da Cunha Pereira Neto - Lógica e Fundamentos da Matemática - Nota Máxima: 10")</f>
        <v>Formação Pedagógica em Matemática - Formação Pedagógica em Matemática - Arlindo da Cunha Pereira Neto - Lógica e Fundamentos da Matemática - Nota Máxima: 10</v>
      </c>
    </row>
    <row r="5825">
      <c r="A5825" s="390" t="str">
        <f>IFERROR(__xludf.DUMMYFUNCTION("""COMPUTED_VALUE"""),"Formação Pedagógica em Matemática - Formação Pedagógica em Matemática - Arlindo da Cunha Pereira Neto - Lógica e Fundamentos da Matemática - Nota Máxima: 7")</f>
        <v>Formação Pedagógica em Matemática - Formação Pedagógica em Matemática - Arlindo da Cunha Pereira Neto - Lógica e Fundamentos da Matemática - Nota Máxima: 7</v>
      </c>
    </row>
    <row r="5826">
      <c r="A5826" s="390" t="str">
        <f>IFERROR(__xludf.DUMMYFUNCTION("""COMPUTED_VALUE"""),"Formação Pedagógica em Matemática - Formação Pedagógica em Matemática - Arlindo da Cunha Pereira Neto - Matemática e Raciocínio Lógico - Nota Máxima: 10")</f>
        <v>Formação Pedagógica em Matemática - Formação Pedagógica em Matemática - Arlindo da Cunha Pereira Neto - Matemática e Raciocínio Lógico - Nota Máxima: 10</v>
      </c>
    </row>
    <row r="5827">
      <c r="A5827" s="390" t="str">
        <f>IFERROR(__xludf.DUMMYFUNCTION("""COMPUTED_VALUE"""),"Formação Pedagógica em Matemática - Formação Pedagógica em Matemática - Arlindo da Cunha Pereira Neto - Matemática e Raciocínio Lógico - Nota Máxima: 4")</f>
        <v>Formação Pedagógica em Matemática - Formação Pedagógica em Matemática - Arlindo da Cunha Pereira Neto - Matemática e Raciocínio Lógico - Nota Máxima: 4</v>
      </c>
    </row>
    <row r="5828">
      <c r="A5828" s="390" t="str">
        <f>IFERROR(__xludf.DUMMYFUNCTION("""COMPUTED_VALUE"""),"Formação Pedagógica em Matemática - Formação Pedagógica em Matemática - Arlindo da Cunha Pereira Neto - Metodologia do Ensino da Matemática - Nota Máxima: 10")</f>
        <v>Formação Pedagógica em Matemática - Formação Pedagógica em Matemática - Arlindo da Cunha Pereira Neto - Metodologia do Ensino da Matemática - Nota Máxima: 10</v>
      </c>
    </row>
    <row r="5829">
      <c r="A5829" s="390" t="str">
        <f>IFERROR(__xludf.DUMMYFUNCTION("""COMPUTED_VALUE"""),"Formação Pedagógica em Matemática - Formação Pedagógica em Matemática - Arlindo da Cunha Pereira Neto - Metodologia do Ensino da Matemática - Nota Máxima: 9")</f>
        <v>Formação Pedagógica em Matemática - Formação Pedagógica em Matemática - Arlindo da Cunha Pereira Neto - Metodologia do Ensino da Matemática - Nota Máxima: 9</v>
      </c>
    </row>
    <row r="5830">
      <c r="A5830" s="390" t="str">
        <f>IFERROR(__xludf.DUMMYFUNCTION("""COMPUTED_VALUE"""),"Formação Pedagógica em Matemática - Formação Pedagógica em Matemática - Arlindo da Cunha Pereira Neto - Planejamento, Gestão Educacional e Currículo/a - Nota Máxima: 10")</f>
        <v>Formação Pedagógica em Matemática - Formação Pedagógica em Matemática - Arlindo da Cunha Pereira Neto - Planejamento, Gestão Educacional e Currículo/a - Nota Máxima: 10</v>
      </c>
    </row>
    <row r="5831">
      <c r="A5831" s="390" t="str">
        <f>IFERROR(__xludf.DUMMYFUNCTION("""COMPUTED_VALUE"""),"Formação Pedagógica em Matemática - Formação Pedagógica em Matemática - Arlindo da Cunha Pereira Neto - Planejamento, Gestão Educacional e Currículo/a - Nota Máxima: 0")</f>
        <v>Formação Pedagógica em Matemática - Formação Pedagógica em Matemática - Arlindo da Cunha Pereira Neto - Planejamento, Gestão Educacional e Currículo/a - Nota Máxima: 0</v>
      </c>
    </row>
    <row r="5832">
      <c r="A5832" s="390" t="str">
        <f>IFERROR(__xludf.DUMMYFUNCTION("""COMPUTED_VALUE"""),"Formação Pedagógica em Matemática - Formação Pedagógica em Matemática - Arlindo da Cunha Pereira Neto - Práticas Pedagógicas - 400 Horas - Nota Máxima: 4")</f>
        <v>Formação Pedagógica em Matemática - Formação Pedagógica em Matemática - Arlindo da Cunha Pereira Neto - Práticas Pedagógicas - 400 Horas - Nota Máxima: 4</v>
      </c>
    </row>
    <row r="5833">
      <c r="A5833" s="390" t="str">
        <f>IFERROR(__xludf.DUMMYFUNCTION("""COMPUTED_VALUE"""),"Formação Pedagógica em Matemática - Formação Pedagógica em Matemática - Arlindo da Cunha Pereira Neto - Práticas Pedagógicas - 400 Horas - Nota Máxima: 1")</f>
        <v>Formação Pedagógica em Matemática - Formação Pedagógica em Matemática - Arlindo da Cunha Pereira Neto - Práticas Pedagógicas - 400 Horas - Nota Máxima: 1</v>
      </c>
    </row>
    <row r="5834">
      <c r="A5834" s="390" t="str">
        <f>IFERROR(__xludf.DUMMYFUNCTION("""COMPUTED_VALUE"""),"Formação Pedagógica em Matemática - Formação Pedagógica em Matemática - Arlindo da Cunha Pereira Neto - Probabilidade e Estatística - Nota Máxima: 10")</f>
        <v>Formação Pedagógica em Matemática - Formação Pedagógica em Matemática - Arlindo da Cunha Pereira Neto - Probabilidade e Estatística - Nota Máxima: 10</v>
      </c>
    </row>
    <row r="5835">
      <c r="A5835" s="390" t="str">
        <f>IFERROR(__xludf.DUMMYFUNCTION("""COMPUTED_VALUE"""),"Formação Pedagógica em Matemática - Formação Pedagógica em Matemática - Arlindo da Cunha Pereira Neto - Probabilidade e Estatística - Nota Máxima: 3")</f>
        <v>Formação Pedagógica em Matemática - Formação Pedagógica em Matemática - Arlindo da Cunha Pereira Neto - Probabilidade e Estatística - Nota Máxima: 3</v>
      </c>
    </row>
    <row r="5836">
      <c r="A5836" s="390" t="str">
        <f>IFERROR(__xludf.DUMMYFUNCTION("""COMPUTED_VALUE"""),"Formação Pedagógica em Matemática - Formação Pedagógica em Matemática - Arlindo da Cunha Pereira Neto - Psicologia da Educação/a - Nota Máxima: 10")</f>
        <v>Formação Pedagógica em Matemática - Formação Pedagógica em Matemática - Arlindo da Cunha Pereira Neto - Psicologia da Educação/a - Nota Máxima: 10</v>
      </c>
    </row>
    <row r="5837">
      <c r="A5837" s="390" t="str">
        <f>IFERROR(__xludf.DUMMYFUNCTION("""COMPUTED_VALUE"""),"Formação Pedagógica em Matemática - Formação Pedagógica em Matemática - Arlindo da Cunha Pereira Neto - Psicologia da Educação/a - Nota Máxima: 5")</f>
        <v>Formação Pedagógica em Matemática - Formação Pedagógica em Matemática - Arlindo da Cunha Pereira Neto - Psicologia da Educação/a - Nota Máxima: 5</v>
      </c>
    </row>
    <row r="5838">
      <c r="A5838" s="390" t="str">
        <f>IFERROR(__xludf.DUMMYFUNCTION("""COMPUTED_VALUE"""),"Formação Pedagógica em Matemática - Formação Pedagógica em Matemática - Sthefany Silva - Algebra - Nota Máxima: 10")</f>
        <v>Formação Pedagógica em Matemática - Formação Pedagógica em Matemática - Sthefany Silva - Algebra - Nota Máxima: 10</v>
      </c>
    </row>
    <row r="5839">
      <c r="A5839" s="390" t="str">
        <f>IFERROR(__xludf.DUMMYFUNCTION("""COMPUTED_VALUE"""),"Formação Pedagógica em Matemática - Formação Pedagógica em Matemática - Sthefany Silva - Cálculo - Nota Máxima: 10")</f>
        <v>Formação Pedagógica em Matemática - Formação Pedagógica em Matemática - Sthefany Silva - Cálculo - Nota Máxima: 10</v>
      </c>
    </row>
    <row r="5840">
      <c r="A5840" s="390" t="str">
        <f>IFERROR(__xludf.DUMMYFUNCTION("""COMPUTED_VALUE"""),"Formação Pedagógica em Matemática - Formação Pedagógica em Matemática - Sthefany Silva - Deficiência Auditiva e Libras/a - Nota Máxima: 7")</f>
        <v>Formação Pedagógica em Matemática - Formação Pedagógica em Matemática - Sthefany Silva - Deficiência Auditiva e Libras/a - Nota Máxima: 7</v>
      </c>
    </row>
    <row r="5841">
      <c r="A5841" s="390" t="str">
        <f>IFERROR(__xludf.DUMMYFUNCTION("""COMPUTED_VALUE"""),"Formação Pedagógica em Matemática - Formação Pedagógica em Matemática - Sthefany Silva - Educação Especial, Inclusão Escolar e Adaptações Curriculares - Nota Máxima: 9")</f>
        <v>Formação Pedagógica em Matemática - Formação Pedagógica em Matemática - Sthefany Silva - Educação Especial, Inclusão Escolar e Adaptações Curriculares - Nota Máxima: 9</v>
      </c>
    </row>
    <row r="5842">
      <c r="A5842" s="390" t="str">
        <f>IFERROR(__xludf.DUMMYFUNCTION("""COMPUTED_VALUE"""),"Formação Pedagógica em Matemática - Formação Pedagógica em Matemática - Sthefany Silva - Educação, História, Cultura e Práticas Indígenas/a - Nota Máxima: 10")</f>
        <v>Formação Pedagógica em Matemática - Formação Pedagógica em Matemática - Sthefany Silva - Educação, História, Cultura e Práticas Indígenas/a - Nota Máxima: 10</v>
      </c>
    </row>
    <row r="5843">
      <c r="A5843" s="390" t="str">
        <f>IFERROR(__xludf.DUMMYFUNCTION("""COMPUTED_VALUE"""),"Formação Pedagógica em Matemática - Formação Pedagógica em Matemática - Sthefany Silva - Geometria Analítica - Nota Máxima: 10")</f>
        <v>Formação Pedagógica em Matemática - Formação Pedagógica em Matemática - Sthefany Silva - Geometria Analítica - Nota Máxima: 10</v>
      </c>
    </row>
    <row r="5844">
      <c r="A5844" s="390" t="str">
        <f>IFERROR(__xludf.DUMMYFUNCTION("""COMPUTED_VALUE"""),"Formação Pedagógica em Matemática - Formação Pedagógica em Matemática - Sthefany Silva - Legislação Educacional/a - Nota Máxima: 8")</f>
        <v>Formação Pedagógica em Matemática - Formação Pedagógica em Matemática - Sthefany Silva - Legislação Educacional/a - Nota Máxima: 8</v>
      </c>
    </row>
    <row r="5845">
      <c r="A5845" s="390" t="str">
        <f>IFERROR(__xludf.DUMMYFUNCTION("""COMPUTED_VALUE"""),"Formação Pedagógica em Matemática - Formação Pedagógica em Matemática - Sthefany Silva - Lógica e Fundamentos da Matemática - Nota Máxima: 10")</f>
        <v>Formação Pedagógica em Matemática - Formação Pedagógica em Matemática - Sthefany Silva - Lógica e Fundamentos da Matemática - Nota Máxima: 10</v>
      </c>
    </row>
    <row r="5846">
      <c r="A5846" s="390" t="str">
        <f>IFERROR(__xludf.DUMMYFUNCTION("""COMPUTED_VALUE"""),"Formação Pedagógica em Matemática - Formação Pedagógica em Matemática - Sthefany Silva - Matemática e Raciocínio Lógico - Nota Máxima: 10")</f>
        <v>Formação Pedagógica em Matemática - Formação Pedagógica em Matemática - Sthefany Silva - Matemática e Raciocínio Lógico - Nota Máxima: 10</v>
      </c>
    </row>
    <row r="5847">
      <c r="A5847" s="390" t="str">
        <f>IFERROR(__xludf.DUMMYFUNCTION("""COMPUTED_VALUE"""),"Formação Pedagógica em Matemática - Formação Pedagógica em Matemática - Sthefany Silva - Metodologia do Ensino da Matemática - Nota Máxima: 9")</f>
        <v>Formação Pedagógica em Matemática - Formação Pedagógica em Matemática - Sthefany Silva - Metodologia do Ensino da Matemática - Nota Máxima: 9</v>
      </c>
    </row>
    <row r="5848">
      <c r="A5848" s="390" t="str">
        <f>IFERROR(__xludf.DUMMYFUNCTION("""COMPUTED_VALUE"""),"Formação Pedagógica em Matemática - Formação Pedagógica em Matemática - Sthefany Silva - Planejamento, Gestão Educacional e Currículo/a - Nota Máxima: 10")</f>
        <v>Formação Pedagógica em Matemática - Formação Pedagógica em Matemática - Sthefany Silva - Planejamento, Gestão Educacional e Currículo/a - Nota Máxima: 10</v>
      </c>
    </row>
    <row r="5849">
      <c r="A5849" s="390" t="str">
        <f>IFERROR(__xludf.DUMMYFUNCTION("""COMPUTED_VALUE"""),"Formação Pedagógica em Matemática - Formação Pedagógica em Matemática - Sthefany Silva - Práticas Pedagógicas - 400 Horas - Nota Máxima: 4")</f>
        <v>Formação Pedagógica em Matemática - Formação Pedagógica em Matemática - Sthefany Silva - Práticas Pedagógicas - 400 Horas - Nota Máxima: 4</v>
      </c>
    </row>
    <row r="5850">
      <c r="A5850" s="390" t="str">
        <f>IFERROR(__xludf.DUMMYFUNCTION("""COMPUTED_VALUE"""),"Formação Pedagógica em Matemática - Formação Pedagógica em Matemática - Sthefany Silva - Probabilidade e Estatística - Nota Máxima: 9")</f>
        <v>Formação Pedagógica em Matemática - Formação Pedagógica em Matemática - Sthefany Silva - Probabilidade e Estatística - Nota Máxima: 9</v>
      </c>
    </row>
    <row r="5851">
      <c r="A5851" s="390" t="str">
        <f>IFERROR(__xludf.DUMMYFUNCTION("""COMPUTED_VALUE"""),"Formação Pedagógica em Matemática - Formação Pedagógica em Matemática - Sthefany Silva - Psicologia da Educação/a - Nota Máxima: 8")</f>
        <v>Formação Pedagógica em Matemática - Formação Pedagógica em Matemática - Sthefany Silva - Psicologia da Educação/a - Nota Máxima: 8</v>
      </c>
    </row>
    <row r="5852">
      <c r="A5852" s="390" t="str">
        <f>IFERROR(__xludf.DUMMYFUNCTION("""COMPUTED_VALUE"""),"Formação Pedagógica em Matemática - Formação Pedagógica em Matemática - Alexandre Silva Nogueira - Algebra - Nota Máxima: 8")</f>
        <v>Formação Pedagógica em Matemática - Formação Pedagógica em Matemática - Alexandre Silva Nogueira - Algebra - Nota Máxima: 8</v>
      </c>
    </row>
    <row r="5853">
      <c r="A5853" s="390" t="str">
        <f>IFERROR(__xludf.DUMMYFUNCTION("""COMPUTED_VALUE"""),"Formação Pedagógica em Matemática - Formação Pedagógica em Matemática - Alexandre Silva Nogueira - Algebra - Nota Máxima: 5")</f>
        <v>Formação Pedagógica em Matemática - Formação Pedagógica em Matemática - Alexandre Silva Nogueira - Algebra - Nota Máxima: 5</v>
      </c>
    </row>
    <row r="5854">
      <c r="A5854" s="390" t="str">
        <f>IFERROR(__xludf.DUMMYFUNCTION("""COMPUTED_VALUE"""),"Formação Pedagógica em Matemática - Formação Pedagógica em Matemática - Alexandre Silva Nogueira - Cálculo - Nota Máxima: 10")</f>
        <v>Formação Pedagógica em Matemática - Formação Pedagógica em Matemática - Alexandre Silva Nogueira - Cálculo - Nota Máxima: 10</v>
      </c>
    </row>
    <row r="5855">
      <c r="A5855" s="390" t="str">
        <f>IFERROR(__xludf.DUMMYFUNCTION("""COMPUTED_VALUE"""),"Formação Pedagógica em Matemática - Formação Pedagógica em Matemática - Alexandre Silva Nogueira - Cálculo - Nota Máxima: 10")</f>
        <v>Formação Pedagógica em Matemática - Formação Pedagógica em Matemática - Alexandre Silva Nogueira - Cálculo - Nota Máxima: 10</v>
      </c>
    </row>
    <row r="5856">
      <c r="A5856" s="390" t="str">
        <f>IFERROR(__xludf.DUMMYFUNCTION("""COMPUTED_VALUE"""),"Formação Pedagógica em Matemática - Formação Pedagógica em Matemática - Alexandre Silva Nogueira - Deficiência Auditiva e Libras/a - Nota Máxima: 10")</f>
        <v>Formação Pedagógica em Matemática - Formação Pedagógica em Matemática - Alexandre Silva Nogueira - Deficiência Auditiva e Libras/a - Nota Máxima: 10</v>
      </c>
    </row>
    <row r="5857">
      <c r="A5857" s="390" t="str">
        <f>IFERROR(__xludf.DUMMYFUNCTION("""COMPUTED_VALUE"""),"Formação Pedagógica em Matemática - Formação Pedagógica em Matemática - Alexandre Silva Nogueira - Deficiência Auditiva e Libras/a - Nota Máxima: 7")</f>
        <v>Formação Pedagógica em Matemática - Formação Pedagógica em Matemática - Alexandre Silva Nogueira - Deficiência Auditiva e Libras/a - Nota Máxima: 7</v>
      </c>
    </row>
    <row r="5858">
      <c r="A5858" s="390" t="str">
        <f>IFERROR(__xludf.DUMMYFUNCTION("""COMPUTED_VALUE"""),"Formação Pedagógica em Matemática - Formação Pedagógica em Matemática - Alexandre Silva Nogueira - Educação Especial, Inclusão Escolar e Adaptações Curriculares - Nota Máxima: 9")</f>
        <v>Formação Pedagógica em Matemática - Formação Pedagógica em Matemática - Alexandre Silva Nogueira - Educação Especial, Inclusão Escolar e Adaptações Curriculares - Nota Máxima: 9</v>
      </c>
    </row>
    <row r="5859">
      <c r="A5859" s="390" t="str">
        <f>IFERROR(__xludf.DUMMYFUNCTION("""COMPUTED_VALUE"""),"Formação Pedagógica em Matemática - Formação Pedagógica em Matemática - Alexandre Silva Nogueira - Educação Especial, Inclusão Escolar e Adaptações Curriculares - Nota Máxima: 8")</f>
        <v>Formação Pedagógica em Matemática - Formação Pedagógica em Matemática - Alexandre Silva Nogueira - Educação Especial, Inclusão Escolar e Adaptações Curriculares - Nota Máxima: 8</v>
      </c>
    </row>
    <row r="5860">
      <c r="A5860" s="390" t="str">
        <f>IFERROR(__xludf.DUMMYFUNCTION("""COMPUTED_VALUE"""),"Formação Pedagógica em Matemática - Formação Pedagógica em Matemática - Alexandre Silva Nogueira - Educação, História, Cultura e Práticas Indígenas/a - Nota Máxima: 9")</f>
        <v>Formação Pedagógica em Matemática - Formação Pedagógica em Matemática - Alexandre Silva Nogueira - Educação, História, Cultura e Práticas Indígenas/a - Nota Máxima: 9</v>
      </c>
    </row>
    <row r="5861">
      <c r="A5861" s="390" t="str">
        <f>IFERROR(__xludf.DUMMYFUNCTION("""COMPUTED_VALUE"""),"Formação Pedagógica em Matemática - Formação Pedagógica em Matemática - Alexandre Silva Nogueira - Educação, História, Cultura e Práticas Indígenas/a - Nota Máxima: 9")</f>
        <v>Formação Pedagógica em Matemática - Formação Pedagógica em Matemática - Alexandre Silva Nogueira - Educação, História, Cultura e Práticas Indígenas/a - Nota Máxima: 9</v>
      </c>
    </row>
    <row r="5862">
      <c r="A5862" s="390" t="str">
        <f>IFERROR(__xludf.DUMMYFUNCTION("""COMPUTED_VALUE"""),"Formação Pedagógica em Matemática - Formação Pedagógica em Matemática - Alexandre Silva Nogueira - Geometria Analítica - Nota Máxima: 8")</f>
        <v>Formação Pedagógica em Matemática - Formação Pedagógica em Matemática - Alexandre Silva Nogueira - Geometria Analítica - Nota Máxima: 8</v>
      </c>
    </row>
    <row r="5863">
      <c r="A5863" s="390" t="str">
        <f>IFERROR(__xludf.DUMMYFUNCTION("""COMPUTED_VALUE"""),"Formação Pedagógica em Matemática - Formação Pedagógica em Matemática - Alexandre Silva Nogueira - Geometria Analítica - Nota Máxima: 7")</f>
        <v>Formação Pedagógica em Matemática - Formação Pedagógica em Matemática - Alexandre Silva Nogueira - Geometria Analítica - Nota Máxima: 7</v>
      </c>
    </row>
    <row r="5864">
      <c r="A5864" s="390" t="str">
        <f>IFERROR(__xludf.DUMMYFUNCTION("""COMPUTED_VALUE"""),"Formação Pedagógica em Matemática - Formação Pedagógica em Matemática - Alexandre Silva Nogueira - Legislação Educacional/a - Nota Máxima: 10")</f>
        <v>Formação Pedagógica em Matemática - Formação Pedagógica em Matemática - Alexandre Silva Nogueira - Legislação Educacional/a - Nota Máxima: 10</v>
      </c>
    </row>
    <row r="5865">
      <c r="A5865" s="390" t="str">
        <f>IFERROR(__xludf.DUMMYFUNCTION("""COMPUTED_VALUE"""),"Formação Pedagógica em Matemática - Formação Pedagógica em Matemática - Alexandre Silva Nogueira - Legislação Educacional/a - Nota Máxima: 7")</f>
        <v>Formação Pedagógica em Matemática - Formação Pedagógica em Matemática - Alexandre Silva Nogueira - Legislação Educacional/a - Nota Máxima: 7</v>
      </c>
    </row>
    <row r="5866">
      <c r="A5866" s="390" t="str">
        <f>IFERROR(__xludf.DUMMYFUNCTION("""COMPUTED_VALUE"""),"Formação Pedagógica em Matemática - Formação Pedagógica em Matemática - Alexandre Silva Nogueira - Lógica e Fundamentos da Matemática - Nota Máxima: 10")</f>
        <v>Formação Pedagógica em Matemática - Formação Pedagógica em Matemática - Alexandre Silva Nogueira - Lógica e Fundamentos da Matemática - Nota Máxima: 10</v>
      </c>
    </row>
    <row r="5867">
      <c r="A5867" s="390" t="str">
        <f>IFERROR(__xludf.DUMMYFUNCTION("""COMPUTED_VALUE"""),"Formação Pedagógica em Matemática - Formação Pedagógica em Matemática - Alexandre Silva Nogueira - Lógica e Fundamentos da Matemática - Nota Máxima: 8")</f>
        <v>Formação Pedagógica em Matemática - Formação Pedagógica em Matemática - Alexandre Silva Nogueira - Lógica e Fundamentos da Matemática - Nota Máxima: 8</v>
      </c>
    </row>
    <row r="5868">
      <c r="A5868" s="390" t="str">
        <f>IFERROR(__xludf.DUMMYFUNCTION("""COMPUTED_VALUE"""),"Formação Pedagógica em Matemática - Formação Pedagógica em Matemática - Alexandre Silva Nogueira - Matemática e Raciocínio Lógico - Nota Máxima: 7")</f>
        <v>Formação Pedagógica em Matemática - Formação Pedagógica em Matemática - Alexandre Silva Nogueira - Matemática e Raciocínio Lógico - Nota Máxima: 7</v>
      </c>
    </row>
    <row r="5869">
      <c r="A5869" s="390" t="str">
        <f>IFERROR(__xludf.DUMMYFUNCTION("""COMPUTED_VALUE"""),"Formação Pedagógica em Matemática - Formação Pedagógica em Matemática - Alexandre Silva Nogueira - Matemática e Raciocínio Lógico - Nota Máxima: 8")</f>
        <v>Formação Pedagógica em Matemática - Formação Pedagógica em Matemática - Alexandre Silva Nogueira - Matemática e Raciocínio Lógico - Nota Máxima: 8</v>
      </c>
    </row>
    <row r="5870">
      <c r="A5870" s="390" t="str">
        <f>IFERROR(__xludf.DUMMYFUNCTION("""COMPUTED_VALUE"""),"Formação Pedagógica em Matemática - Formação Pedagógica em Matemática - Alexandre Silva Nogueira - Metodologia do Ensino da Matemática - Nota Máxima: 10")</f>
        <v>Formação Pedagógica em Matemática - Formação Pedagógica em Matemática - Alexandre Silva Nogueira - Metodologia do Ensino da Matemática - Nota Máxima: 10</v>
      </c>
    </row>
    <row r="5871">
      <c r="A5871" s="390" t="str">
        <f>IFERROR(__xludf.DUMMYFUNCTION("""COMPUTED_VALUE"""),"Formação Pedagógica em Matemática - Formação Pedagógica em Matemática - Alexandre Silva Nogueira - Metodologia do Ensino da Matemática - Nota Máxima: 10")</f>
        <v>Formação Pedagógica em Matemática - Formação Pedagógica em Matemática - Alexandre Silva Nogueira - Metodologia do Ensino da Matemática - Nota Máxima: 10</v>
      </c>
    </row>
    <row r="5872">
      <c r="A5872" s="390" t="str">
        <f>IFERROR(__xludf.DUMMYFUNCTION("""COMPUTED_VALUE"""),"Formação Pedagógica em Matemática - Formação Pedagógica em Matemática - Alexandre Silva Nogueira - Planejamento, Gestão Educacional e Currículo/a - Nota Máxima: 10")</f>
        <v>Formação Pedagógica em Matemática - Formação Pedagógica em Matemática - Alexandre Silva Nogueira - Planejamento, Gestão Educacional e Currículo/a - Nota Máxima: 10</v>
      </c>
    </row>
    <row r="5873">
      <c r="A5873" s="390" t="str">
        <f>IFERROR(__xludf.DUMMYFUNCTION("""COMPUTED_VALUE"""),"Formação Pedagógica em Matemática - Formação Pedagógica em Matemática - Alexandre Silva Nogueira - Planejamento, Gestão Educacional e Currículo/a - Nota Máxima: 10")</f>
        <v>Formação Pedagógica em Matemática - Formação Pedagógica em Matemática - Alexandre Silva Nogueira - Planejamento, Gestão Educacional e Currículo/a - Nota Máxima: 10</v>
      </c>
    </row>
    <row r="5874">
      <c r="A5874" s="390" t="str">
        <f>IFERROR(__xludf.DUMMYFUNCTION("""COMPUTED_VALUE"""),"Formação Pedagógica em Matemática - Formação Pedagógica em Matemática - Alexandre Silva Nogueira - Práticas Pedagógicas - 400 Horas - Nota Máxima: 45784")</f>
        <v>Formação Pedagógica em Matemática - Formação Pedagógica em Matemática - Alexandre Silva Nogueira - Práticas Pedagógicas - 400 Horas - Nota Máxima: 45784</v>
      </c>
    </row>
    <row r="5875">
      <c r="A5875" s="390" t="str">
        <f>IFERROR(__xludf.DUMMYFUNCTION("""COMPUTED_VALUE"""),"Formação Pedagógica em Matemática - Formação Pedagógica em Matemática - Alexandre Silva Nogueira - Práticas Pedagógicas - 400 Horas - Nota Máxima: 10")</f>
        <v>Formação Pedagógica em Matemática - Formação Pedagógica em Matemática - Alexandre Silva Nogueira - Práticas Pedagógicas - 400 Horas - Nota Máxima: 10</v>
      </c>
    </row>
    <row r="5876">
      <c r="A5876" s="390" t="str">
        <f>IFERROR(__xludf.DUMMYFUNCTION("""COMPUTED_VALUE"""),"Formação Pedagógica em Matemática - Formação Pedagógica em Matemática - Alexandre Silva Nogueira - Probabilidade e Estatística - Nota Máxima: 10")</f>
        <v>Formação Pedagógica em Matemática - Formação Pedagógica em Matemática - Alexandre Silva Nogueira - Probabilidade e Estatística - Nota Máxima: 10</v>
      </c>
    </row>
    <row r="5877">
      <c r="A5877" s="390" t="str">
        <f>IFERROR(__xludf.DUMMYFUNCTION("""COMPUTED_VALUE"""),"Formação Pedagógica em Matemática - Formação Pedagógica em Matemática - Alexandre Silva Nogueira - Probabilidade e Estatística - Nota Máxima: 3")</f>
        <v>Formação Pedagógica em Matemática - Formação Pedagógica em Matemática - Alexandre Silva Nogueira - Probabilidade e Estatística - Nota Máxima: 3</v>
      </c>
    </row>
    <row r="5878">
      <c r="A5878" s="390" t="str">
        <f>IFERROR(__xludf.DUMMYFUNCTION("""COMPUTED_VALUE"""),"Formação Pedagógica em Matemática - Formação Pedagógica em Matemática - Alexandre Silva Nogueira - Psicologia da Educação/a - Nota Máxima: 10")</f>
        <v>Formação Pedagógica em Matemática - Formação Pedagógica em Matemática - Alexandre Silva Nogueira - Psicologia da Educação/a - Nota Máxima: 10</v>
      </c>
    </row>
    <row r="5879">
      <c r="A5879" s="390" t="str">
        <f>IFERROR(__xludf.DUMMYFUNCTION("""COMPUTED_VALUE"""),"Formação Pedagógica em Matemática - Formação Pedagógica em Matemática - Alexandre Silva Nogueira - Psicologia da Educação/a - Nota Máxima: 10")</f>
        <v>Formação Pedagógica em Matemática - Formação Pedagógica em Matemática - Alexandre Silva Nogueira - Psicologia da Educação/a - Nota Máxima: 10</v>
      </c>
    </row>
    <row r="5880">
      <c r="A5880" s="390" t="str">
        <f>IFERROR(__xludf.DUMMYFUNCTION("""COMPUTED_VALUE"""),"Formação Pedagógica em Matemática - Formação Pedagógica em Matemática - Marcio Pedro da Silva - Algebra - Nota Máxima: 9")</f>
        <v>Formação Pedagógica em Matemática - Formação Pedagógica em Matemática - Marcio Pedro da Silva - Algebra - Nota Máxima: 9</v>
      </c>
    </row>
    <row r="5881">
      <c r="A5881" s="390" t="str">
        <f>IFERROR(__xludf.DUMMYFUNCTION("""COMPUTED_VALUE"""),"Formação Pedagógica em Matemática - Formação Pedagógica em Matemática - Marcio Pedro da Silva - Cálculo - Nota Máxima: 8")</f>
        <v>Formação Pedagógica em Matemática - Formação Pedagógica em Matemática - Marcio Pedro da Silva - Cálculo - Nota Máxima: 8</v>
      </c>
    </row>
    <row r="5882">
      <c r="A5882" s="390" t="str">
        <f>IFERROR(__xludf.DUMMYFUNCTION("""COMPUTED_VALUE"""),"Formação Pedagógica em Matemática - Formação Pedagógica em Matemática - Marcio Pedro da Silva - Deficiência Auditiva e Libras/a - Nota Máxima: 8")</f>
        <v>Formação Pedagógica em Matemática - Formação Pedagógica em Matemática - Marcio Pedro da Silva - Deficiência Auditiva e Libras/a - Nota Máxima: 8</v>
      </c>
    </row>
    <row r="5883">
      <c r="A5883" s="390" t="str">
        <f>IFERROR(__xludf.DUMMYFUNCTION("""COMPUTED_VALUE"""),"Formação Pedagógica em Matemática - Formação Pedagógica em Matemática - Marcio Pedro da Silva - Educação Especial, Inclusão Escolar e Adaptações Curriculares - Nota Máxima: 9")</f>
        <v>Formação Pedagógica em Matemática - Formação Pedagógica em Matemática - Marcio Pedro da Silva - Educação Especial, Inclusão Escolar e Adaptações Curriculares - Nota Máxima: 9</v>
      </c>
    </row>
    <row r="5884">
      <c r="A5884" s="390" t="str">
        <f>IFERROR(__xludf.DUMMYFUNCTION("""COMPUTED_VALUE"""),"Formação Pedagógica em Matemática - Formação Pedagógica em Matemática - Marcio Pedro da Silva - Geometria Analítica - Nota Máxima: 9")</f>
        <v>Formação Pedagógica em Matemática - Formação Pedagógica em Matemática - Marcio Pedro da Silva - Geometria Analítica - Nota Máxima: 9</v>
      </c>
    </row>
    <row r="5885">
      <c r="A5885" s="390" t="str">
        <f>IFERROR(__xludf.DUMMYFUNCTION("""COMPUTED_VALUE"""),"Formação Pedagógica em Matemática - Formação Pedagógica em Matemática - Marcio Pedro da Silva - Lógica e Fundamentos da Matemática - Nota Máxima: 6")</f>
        <v>Formação Pedagógica em Matemática - Formação Pedagógica em Matemática - Marcio Pedro da Silva - Lógica e Fundamentos da Matemática - Nota Máxima: 6</v>
      </c>
    </row>
    <row r="5886">
      <c r="A5886" s="390" t="str">
        <f>IFERROR(__xludf.DUMMYFUNCTION("""COMPUTED_VALUE"""),"Formação Pedagógica em Matemática - Formação Pedagógica em Matemática - Marcio Pedro da Silva - Matemática e Raciocínio Lógico - Nota Máxima: 8")</f>
        <v>Formação Pedagógica em Matemática - Formação Pedagógica em Matemática - Marcio Pedro da Silva - Matemática e Raciocínio Lógico - Nota Máxima: 8</v>
      </c>
    </row>
    <row r="5887">
      <c r="A5887" s="390" t="str">
        <f>IFERROR(__xludf.DUMMYFUNCTION("""COMPUTED_VALUE"""),"Formação Pedagógica em Matemática - Formação Pedagógica em Matemática - Marcio Pedro da Silva - Planejamento, Gestão Educacional e Currículo/a - Nota Máxima: 10")</f>
        <v>Formação Pedagógica em Matemática - Formação Pedagógica em Matemática - Marcio Pedro da Silva - Planejamento, Gestão Educacional e Currículo/a - Nota Máxima: 10</v>
      </c>
    </row>
    <row r="5888">
      <c r="A5888" s="390" t="str">
        <f>IFERROR(__xludf.DUMMYFUNCTION("""COMPUTED_VALUE"""),"Formação Pedagógica em Matemática - Formação Pedagógica em Matemática - Marcio Pedro da Silva - Probabilidade e Estatística - Nota Máxima: 7")</f>
        <v>Formação Pedagógica em Matemática - Formação Pedagógica em Matemática - Marcio Pedro da Silva - Probabilidade e Estatística - Nota Máxima: 7</v>
      </c>
    </row>
    <row r="5889">
      <c r="A5889" s="390" t="str">
        <f>IFERROR(__xludf.DUMMYFUNCTION("""COMPUTED_VALUE"""),"Formação Pedagógica em Matemática - Formação Pedagógica em Matemática - Marcel Ribeiro Risso - Algebra - Nota Máxima: 9")</f>
        <v>Formação Pedagógica em Matemática - Formação Pedagógica em Matemática - Marcel Ribeiro Risso - Algebra - Nota Máxima: 9</v>
      </c>
    </row>
    <row r="5890">
      <c r="A5890" s="390" t="str">
        <f>IFERROR(__xludf.DUMMYFUNCTION("""COMPUTED_VALUE"""),"Formação Pedagógica em Matemática - Formação Pedagógica em Matemática - Marcel Ribeiro Risso - Cálculo - Nota Máxima: 8")</f>
        <v>Formação Pedagógica em Matemática - Formação Pedagógica em Matemática - Marcel Ribeiro Risso - Cálculo - Nota Máxima: 8</v>
      </c>
    </row>
    <row r="5891">
      <c r="A5891" s="390" t="str">
        <f>IFERROR(__xludf.DUMMYFUNCTION("""COMPUTED_VALUE"""),"Formação Pedagógica em Matemática - Formação Pedagógica em Matemática - Marcel Ribeiro Risso - Deficiência Auditiva e Libras/a - Nota Máxima: 8")</f>
        <v>Formação Pedagógica em Matemática - Formação Pedagógica em Matemática - Marcel Ribeiro Risso - Deficiência Auditiva e Libras/a - Nota Máxima: 8</v>
      </c>
    </row>
    <row r="5892">
      <c r="A5892" s="390" t="str">
        <f>IFERROR(__xludf.DUMMYFUNCTION("""COMPUTED_VALUE"""),"Formação Pedagógica em Matemática - Formação Pedagógica em Matemática - Marcel Ribeiro Risso - Educação Especial, Inclusão Escolar e Adaptações Curriculares - Nota Máxima: 8")</f>
        <v>Formação Pedagógica em Matemática - Formação Pedagógica em Matemática - Marcel Ribeiro Risso - Educação Especial, Inclusão Escolar e Adaptações Curriculares - Nota Máxima: 8</v>
      </c>
    </row>
    <row r="5893">
      <c r="A5893" s="390" t="str">
        <f>IFERROR(__xludf.DUMMYFUNCTION("""COMPUTED_VALUE"""),"Formação Pedagógica em Matemática - Formação Pedagógica em Matemática - Marcel Ribeiro Risso - Educação, História, Cultura e Práticas Indígenas/a - Nota Máxima: 7")</f>
        <v>Formação Pedagógica em Matemática - Formação Pedagógica em Matemática - Marcel Ribeiro Risso - Educação, História, Cultura e Práticas Indígenas/a - Nota Máxima: 7</v>
      </c>
    </row>
    <row r="5894">
      <c r="A5894" s="390" t="str">
        <f>IFERROR(__xludf.DUMMYFUNCTION("""COMPUTED_VALUE"""),"Formação Pedagógica em Matemática - Formação Pedagógica em Matemática - Marcel Ribeiro Risso - Geometria Analítica - Nota Máxima: 9")</f>
        <v>Formação Pedagógica em Matemática - Formação Pedagógica em Matemática - Marcel Ribeiro Risso - Geometria Analítica - Nota Máxima: 9</v>
      </c>
    </row>
    <row r="5895">
      <c r="A5895" s="390" t="str">
        <f>IFERROR(__xludf.DUMMYFUNCTION("""COMPUTED_VALUE"""),"Formação Pedagógica em Matemática - Formação Pedagógica em Matemática - Marcel Ribeiro Risso - Legislação Educacional/a - Nota Máxima: 9")</f>
        <v>Formação Pedagógica em Matemática - Formação Pedagógica em Matemática - Marcel Ribeiro Risso - Legislação Educacional/a - Nota Máxima: 9</v>
      </c>
    </row>
    <row r="5896">
      <c r="A5896" s="390" t="str">
        <f>IFERROR(__xludf.DUMMYFUNCTION("""COMPUTED_VALUE"""),"Formação Pedagógica em Matemática - Formação Pedagógica em Matemática - Marcel Ribeiro Risso - Lógica e Fundamentos da Matemática - Nota Máxima: 9")</f>
        <v>Formação Pedagógica em Matemática - Formação Pedagógica em Matemática - Marcel Ribeiro Risso - Lógica e Fundamentos da Matemática - Nota Máxima: 9</v>
      </c>
    </row>
    <row r="5897">
      <c r="A5897" s="390" t="str">
        <f>IFERROR(__xludf.DUMMYFUNCTION("""COMPUTED_VALUE"""),"Formação Pedagógica em Matemática - Formação Pedagógica em Matemática - Marcel Ribeiro Risso - Matemática e Raciocínio Lógico - Nota Máxima: 8")</f>
        <v>Formação Pedagógica em Matemática - Formação Pedagógica em Matemática - Marcel Ribeiro Risso - Matemática e Raciocínio Lógico - Nota Máxima: 8</v>
      </c>
    </row>
    <row r="5898">
      <c r="A5898" s="390" t="str">
        <f>IFERROR(__xludf.DUMMYFUNCTION("""COMPUTED_VALUE"""),"Formação Pedagógica em Matemática - Formação Pedagógica em Matemática - Marcel Ribeiro Risso - Metodologia do Ensino da Matemática - Nota Máxima: 8")</f>
        <v>Formação Pedagógica em Matemática - Formação Pedagógica em Matemática - Marcel Ribeiro Risso - Metodologia do Ensino da Matemática - Nota Máxima: 8</v>
      </c>
    </row>
    <row r="5899">
      <c r="A5899" s="390" t="str">
        <f>IFERROR(__xludf.DUMMYFUNCTION("""COMPUTED_VALUE"""),"Formação Pedagógica em Matemática - Formação Pedagógica em Matemática - Marcel Ribeiro Risso - Planejamento, Gestão Educacional e Currículo/a - Nota Máxima: 10")</f>
        <v>Formação Pedagógica em Matemática - Formação Pedagógica em Matemática - Marcel Ribeiro Risso - Planejamento, Gestão Educacional e Currículo/a - Nota Máxima: 10</v>
      </c>
    </row>
    <row r="5900">
      <c r="A5900" s="390" t="str">
        <f>IFERROR(__xludf.DUMMYFUNCTION("""COMPUTED_VALUE"""),"Formação Pedagógica em Matemática - Formação Pedagógica em Matemática - Marcel Ribeiro Risso - Práticas Pedagógicas - 400 Horas - Nota Máxima: 10")</f>
        <v>Formação Pedagógica em Matemática - Formação Pedagógica em Matemática - Marcel Ribeiro Risso - Práticas Pedagógicas - 400 Horas - Nota Máxima: 10</v>
      </c>
    </row>
    <row r="5901">
      <c r="A5901" s="390" t="str">
        <f>IFERROR(__xludf.DUMMYFUNCTION("""COMPUTED_VALUE"""),"Formação Pedagógica em Matemática - Formação Pedagógica em Matemática - Marcel Ribeiro Risso - Probabilidade e Estatística - Nota Máxima: 9")</f>
        <v>Formação Pedagógica em Matemática - Formação Pedagógica em Matemática - Marcel Ribeiro Risso - Probabilidade e Estatística - Nota Máxima: 9</v>
      </c>
    </row>
    <row r="5902">
      <c r="A5902" s="390" t="str">
        <f>IFERROR(__xludf.DUMMYFUNCTION("""COMPUTED_VALUE"""),"Formação Pedagógica em Matemática - Formação Pedagógica em Matemática - Marcel Ribeiro Risso - Psicologia da Educação/a - Nota Máxima: 9")</f>
        <v>Formação Pedagógica em Matemática - Formação Pedagógica em Matemática - Marcel Ribeiro Risso - Psicologia da Educação/a - Nota Máxima: 9</v>
      </c>
    </row>
    <row r="5903">
      <c r="A5903" s="390" t="str">
        <f>IFERROR(__xludf.DUMMYFUNCTION("""COMPUTED_VALUE"""),"Formação Pedagógica em Matemática - Formação Pedagógica em Matemática - Danilo Roteski - Algebra - Nota Máxima: 10")</f>
        <v>Formação Pedagógica em Matemática - Formação Pedagógica em Matemática - Danilo Roteski - Algebra - Nota Máxima: 10</v>
      </c>
    </row>
    <row r="5904">
      <c r="A5904" s="390" t="str">
        <f>IFERROR(__xludf.DUMMYFUNCTION("""COMPUTED_VALUE"""),"Formação Pedagógica em Matemática - Formação Pedagógica em Matemática - Danilo Roteski - Cálculo - Nota Máxima: 10")</f>
        <v>Formação Pedagógica em Matemática - Formação Pedagógica em Matemática - Danilo Roteski - Cálculo - Nota Máxima: 10</v>
      </c>
    </row>
    <row r="5905">
      <c r="A5905" s="390" t="str">
        <f>IFERROR(__xludf.DUMMYFUNCTION("""COMPUTED_VALUE"""),"Formação Pedagógica em Matemática - Formação Pedagógica em Matemática - Danilo Roteski - Deficiência Auditiva e Libras/a - Nota Máxima: 10")</f>
        <v>Formação Pedagógica em Matemática - Formação Pedagógica em Matemática - Danilo Roteski - Deficiência Auditiva e Libras/a - Nota Máxima: 10</v>
      </c>
    </row>
    <row r="5906">
      <c r="A5906" s="390" t="str">
        <f>IFERROR(__xludf.DUMMYFUNCTION("""COMPUTED_VALUE"""),"Formação Pedagógica em Matemática - Formação Pedagógica em Matemática - Danilo Roteski - Educação Especial, Inclusão Escolar e Adaptações Curriculares - Nota Máxima: 10")</f>
        <v>Formação Pedagógica em Matemática - Formação Pedagógica em Matemática - Danilo Roteski - Educação Especial, Inclusão Escolar e Adaptações Curriculares - Nota Máxima: 10</v>
      </c>
    </row>
    <row r="5907">
      <c r="A5907" s="390" t="str">
        <f>IFERROR(__xludf.DUMMYFUNCTION("""COMPUTED_VALUE"""),"Formação Pedagógica em Matemática - Formação Pedagógica em Matemática - Danilo Roteski - Educação, História, Cultura e Práticas Indígenas/a - Nota Máxima: 8")</f>
        <v>Formação Pedagógica em Matemática - Formação Pedagógica em Matemática - Danilo Roteski - Educação, História, Cultura e Práticas Indígenas/a - Nota Máxima: 8</v>
      </c>
    </row>
    <row r="5908">
      <c r="A5908" s="390" t="str">
        <f>IFERROR(__xludf.DUMMYFUNCTION("""COMPUTED_VALUE"""),"Formação Pedagógica em Matemática - Formação Pedagógica em Matemática - Danilo Roteski - Geometria Analítica - Nota Máxima: 10")</f>
        <v>Formação Pedagógica em Matemática - Formação Pedagógica em Matemática - Danilo Roteski - Geometria Analítica - Nota Máxima: 10</v>
      </c>
    </row>
    <row r="5909">
      <c r="A5909" s="390" t="str">
        <f>IFERROR(__xludf.DUMMYFUNCTION("""COMPUTED_VALUE"""),"Formação Pedagógica em Matemática - Formação Pedagógica em Matemática - Danilo Roteski - Legislação Educacional/a - Nota Máxima: 9")</f>
        <v>Formação Pedagógica em Matemática - Formação Pedagógica em Matemática - Danilo Roteski - Legislação Educacional/a - Nota Máxima: 9</v>
      </c>
    </row>
    <row r="5910">
      <c r="A5910" s="390" t="str">
        <f>IFERROR(__xludf.DUMMYFUNCTION("""COMPUTED_VALUE"""),"Formação Pedagógica em Matemática - Formação Pedagógica em Matemática - Danilo Roteski - Lógica e Fundamentos da Matemática - Nota Máxima: 7")</f>
        <v>Formação Pedagógica em Matemática - Formação Pedagógica em Matemática - Danilo Roteski - Lógica e Fundamentos da Matemática - Nota Máxima: 7</v>
      </c>
    </row>
    <row r="5911">
      <c r="A5911" s="390" t="str">
        <f>IFERROR(__xludf.DUMMYFUNCTION("""COMPUTED_VALUE"""),"Formação Pedagógica em Matemática - Formação Pedagógica em Matemática - Danilo Roteski - Matemática e Raciocínio Lógico - Nota Máxima: 10")</f>
        <v>Formação Pedagógica em Matemática - Formação Pedagógica em Matemática - Danilo Roteski - Matemática e Raciocínio Lógico - Nota Máxima: 10</v>
      </c>
    </row>
    <row r="5912">
      <c r="A5912" s="390" t="str">
        <f>IFERROR(__xludf.DUMMYFUNCTION("""COMPUTED_VALUE"""),"Formação Pedagógica em Matemática - Formação Pedagógica em Matemática - Danilo Roteski - Metodologia do Ensino da Matemática - Nota Máxima: 9")</f>
        <v>Formação Pedagógica em Matemática - Formação Pedagógica em Matemática - Danilo Roteski - Metodologia do Ensino da Matemática - Nota Máxima: 9</v>
      </c>
    </row>
    <row r="5913">
      <c r="A5913" s="390" t="str">
        <f>IFERROR(__xludf.DUMMYFUNCTION("""COMPUTED_VALUE"""),"Formação Pedagógica em Matemática - Formação Pedagógica em Matemática - Danilo Roteski - Planejamento, Gestão Educacional e Currículo/a - Nota Máxima: 10")</f>
        <v>Formação Pedagógica em Matemática - Formação Pedagógica em Matemática - Danilo Roteski - Planejamento, Gestão Educacional e Currículo/a - Nota Máxima: 10</v>
      </c>
    </row>
    <row r="5914">
      <c r="A5914" s="390" t="str">
        <f>IFERROR(__xludf.DUMMYFUNCTION("""COMPUTED_VALUE"""),"Formação Pedagógica em Matemática - Formação Pedagógica em Matemática - Danilo Roteski - Práticas Pedagógicas - 400 Horas - Nota Máxima: 10")</f>
        <v>Formação Pedagógica em Matemática - Formação Pedagógica em Matemática - Danilo Roteski - Práticas Pedagógicas - 400 Horas - Nota Máxima: 10</v>
      </c>
    </row>
    <row r="5915">
      <c r="A5915" s="390" t="str">
        <f>IFERROR(__xludf.DUMMYFUNCTION("""COMPUTED_VALUE"""),"Formação Pedagógica em Matemática - Formação Pedagógica em Matemática - Danilo Roteski - Probabilidade e Estatística - Nota Máxima: 9")</f>
        <v>Formação Pedagógica em Matemática - Formação Pedagógica em Matemática - Danilo Roteski - Probabilidade e Estatística - Nota Máxima: 9</v>
      </c>
    </row>
    <row r="5916">
      <c r="A5916" s="390" t="str">
        <f>IFERROR(__xludf.DUMMYFUNCTION("""COMPUTED_VALUE"""),"Formação Pedagógica em Matemática - Formação Pedagógica em Matemática - Danilo Roteski - Psicologia da Educação/a - Nota Máxima: 10")</f>
        <v>Formação Pedagógica em Matemática - Formação Pedagógica em Matemática - Danilo Roteski - Psicologia da Educação/a - Nota Máxima: 10</v>
      </c>
    </row>
    <row r="5917">
      <c r="A5917" s="390" t="str">
        <f>IFERROR(__xludf.DUMMYFUNCTION("""COMPUTED_VALUE"""),"Formação Pedagógica em Matemática - Formação Pedagógica em Matemática - Tiago Neves Junqueira - Algebra - Nota Máxima: 10")</f>
        <v>Formação Pedagógica em Matemática - Formação Pedagógica em Matemática - Tiago Neves Junqueira - Algebra - Nota Máxima: 10</v>
      </c>
    </row>
    <row r="5918">
      <c r="A5918" s="390" t="str">
        <f>IFERROR(__xludf.DUMMYFUNCTION("""COMPUTED_VALUE"""),"Formação Pedagógica em Matemática - Formação Pedagógica em Matemática - Tiago Neves Junqueira - Algebra - Nota Máxima: 4")</f>
        <v>Formação Pedagógica em Matemática - Formação Pedagógica em Matemática - Tiago Neves Junqueira - Algebra - Nota Máxima: 4</v>
      </c>
    </row>
    <row r="5919">
      <c r="A5919" s="390" t="str">
        <f>IFERROR(__xludf.DUMMYFUNCTION("""COMPUTED_VALUE"""),"Formação Pedagógica em Matemática - Formação Pedagógica em Matemática - Tiago Neves Junqueira - Cálculo - Nota Máxima: 8")</f>
        <v>Formação Pedagógica em Matemática - Formação Pedagógica em Matemática - Tiago Neves Junqueira - Cálculo - Nota Máxima: 8</v>
      </c>
    </row>
    <row r="5920">
      <c r="A5920" s="390" t="str">
        <f>IFERROR(__xludf.DUMMYFUNCTION("""COMPUTED_VALUE"""),"Formação Pedagógica em Matemática - Formação Pedagógica em Matemática - Tiago Neves Junqueira - Cálculo - Nota Máxima: 5")</f>
        <v>Formação Pedagógica em Matemática - Formação Pedagógica em Matemática - Tiago Neves Junqueira - Cálculo - Nota Máxima: 5</v>
      </c>
    </row>
    <row r="5921">
      <c r="A5921" s="390" t="str">
        <f>IFERROR(__xludf.DUMMYFUNCTION("""COMPUTED_VALUE"""),"Formação Pedagógica em Matemática - Formação Pedagógica em Matemática - Tiago Neves Junqueira - Deficiência Auditiva e Libras/a - Nota Máxima: 10")</f>
        <v>Formação Pedagógica em Matemática - Formação Pedagógica em Matemática - Tiago Neves Junqueira - Deficiência Auditiva e Libras/a - Nota Máxima: 10</v>
      </c>
    </row>
    <row r="5922">
      <c r="A5922" s="390" t="str">
        <f>IFERROR(__xludf.DUMMYFUNCTION("""COMPUTED_VALUE"""),"Formação Pedagógica em Matemática - Formação Pedagógica em Matemática - Tiago Neves Junqueira - Deficiência Auditiva e Libras/a - Nota Máxima: 7")</f>
        <v>Formação Pedagógica em Matemática - Formação Pedagógica em Matemática - Tiago Neves Junqueira - Deficiência Auditiva e Libras/a - Nota Máxima: 7</v>
      </c>
    </row>
    <row r="5923">
      <c r="A5923" s="390" t="str">
        <f>IFERROR(__xludf.DUMMYFUNCTION("""COMPUTED_VALUE"""),"Formação Pedagógica em Matemática - Formação Pedagógica em Matemática - Tiago Neves Junqueira - Educação Especial, Inclusão Escolar e Adaptações Curriculares - Nota Máxima: 9")</f>
        <v>Formação Pedagógica em Matemática - Formação Pedagógica em Matemática - Tiago Neves Junqueira - Educação Especial, Inclusão Escolar e Adaptações Curriculares - Nota Máxima: 9</v>
      </c>
    </row>
    <row r="5924">
      <c r="A5924" s="390" t="str">
        <f>IFERROR(__xludf.DUMMYFUNCTION("""COMPUTED_VALUE"""),"Formação Pedagógica em Matemática - Formação Pedagógica em Matemática - Tiago Neves Junqueira - Educação Especial, Inclusão Escolar e Adaptações Curriculares - Nota Máxima: 9")</f>
        <v>Formação Pedagógica em Matemática - Formação Pedagógica em Matemática - Tiago Neves Junqueira - Educação Especial, Inclusão Escolar e Adaptações Curriculares - Nota Máxima: 9</v>
      </c>
    </row>
    <row r="5925">
      <c r="A5925" s="390" t="str">
        <f>IFERROR(__xludf.DUMMYFUNCTION("""COMPUTED_VALUE"""),"Formação Pedagógica em Matemática - Formação Pedagógica em Matemática - Tiago Neves Junqueira - Educação, História, Cultura e Práticas Indígenas/a - Nota Máxima: 10")</f>
        <v>Formação Pedagógica em Matemática - Formação Pedagógica em Matemática - Tiago Neves Junqueira - Educação, História, Cultura e Práticas Indígenas/a - Nota Máxima: 10</v>
      </c>
    </row>
    <row r="5926">
      <c r="A5926" s="390" t="str">
        <f>IFERROR(__xludf.DUMMYFUNCTION("""COMPUTED_VALUE"""),"Formação Pedagógica em Matemática - Formação Pedagógica em Matemática - Tiago Neves Junqueira - Educação, História, Cultura e Práticas Indígenas/a - Nota Máxima: 6")</f>
        <v>Formação Pedagógica em Matemática - Formação Pedagógica em Matemática - Tiago Neves Junqueira - Educação, História, Cultura e Práticas Indígenas/a - Nota Máxima: 6</v>
      </c>
    </row>
    <row r="5927">
      <c r="A5927" s="390" t="str">
        <f>IFERROR(__xludf.DUMMYFUNCTION("""COMPUTED_VALUE"""),"Formação Pedagógica em Matemática - Formação Pedagógica em Matemática - Tiago Neves Junqueira - Geometria Analítica - Nota Máxima: 9")</f>
        <v>Formação Pedagógica em Matemática - Formação Pedagógica em Matemática - Tiago Neves Junqueira - Geometria Analítica - Nota Máxima: 9</v>
      </c>
    </row>
    <row r="5928">
      <c r="A5928" s="390" t="str">
        <f>IFERROR(__xludf.DUMMYFUNCTION("""COMPUTED_VALUE"""),"Formação Pedagógica em Matemática - Formação Pedagógica em Matemática - Tiago Neves Junqueira - Geometria Analítica - Nota Máxima: 8")</f>
        <v>Formação Pedagógica em Matemática - Formação Pedagógica em Matemática - Tiago Neves Junqueira - Geometria Analítica - Nota Máxima: 8</v>
      </c>
    </row>
    <row r="5929">
      <c r="A5929" s="390" t="str">
        <f>IFERROR(__xludf.DUMMYFUNCTION("""COMPUTED_VALUE"""),"Formação Pedagógica em Matemática - Formação Pedagógica em Matemática - Tiago Neves Junqueira - Legislação Educacional/a - Nota Máxima: 8")</f>
        <v>Formação Pedagógica em Matemática - Formação Pedagógica em Matemática - Tiago Neves Junqueira - Legislação Educacional/a - Nota Máxima: 8</v>
      </c>
    </row>
    <row r="5930">
      <c r="A5930" s="390" t="str">
        <f>IFERROR(__xludf.DUMMYFUNCTION("""COMPUTED_VALUE"""),"Formação Pedagógica em Matemática - Formação Pedagógica em Matemática - Tiago Neves Junqueira - Legislação Educacional/a - Nota Máxima: 8")</f>
        <v>Formação Pedagógica em Matemática - Formação Pedagógica em Matemática - Tiago Neves Junqueira - Legislação Educacional/a - Nota Máxima: 8</v>
      </c>
    </row>
    <row r="5931">
      <c r="A5931" s="390" t="str">
        <f>IFERROR(__xludf.DUMMYFUNCTION("""COMPUTED_VALUE"""),"Formação Pedagógica em Matemática - Formação Pedagógica em Matemática - Tiago Neves Junqueira - Lógica e Fundamentos da Matemática - Nota Máxima: 10")</f>
        <v>Formação Pedagógica em Matemática - Formação Pedagógica em Matemática - Tiago Neves Junqueira - Lógica e Fundamentos da Matemática - Nota Máxima: 10</v>
      </c>
    </row>
    <row r="5932">
      <c r="A5932" s="390" t="str">
        <f>IFERROR(__xludf.DUMMYFUNCTION("""COMPUTED_VALUE"""),"Formação Pedagógica em Matemática - Formação Pedagógica em Matemática - Tiago Neves Junqueira - Lógica e Fundamentos da Matemática - Nota Máxima: 4")</f>
        <v>Formação Pedagógica em Matemática - Formação Pedagógica em Matemática - Tiago Neves Junqueira - Lógica e Fundamentos da Matemática - Nota Máxima: 4</v>
      </c>
    </row>
    <row r="5933">
      <c r="A5933" s="390" t="str">
        <f>IFERROR(__xludf.DUMMYFUNCTION("""COMPUTED_VALUE"""),"Formação Pedagógica em Matemática - Formação Pedagógica em Matemática - Tiago Neves Junqueira - Matemática e Raciocínio Lógico - Nota Máxima: 10")</f>
        <v>Formação Pedagógica em Matemática - Formação Pedagógica em Matemática - Tiago Neves Junqueira - Matemática e Raciocínio Lógico - Nota Máxima: 10</v>
      </c>
    </row>
    <row r="5934">
      <c r="A5934" s="390" t="str">
        <f>IFERROR(__xludf.DUMMYFUNCTION("""COMPUTED_VALUE"""),"Formação Pedagógica em Matemática - Formação Pedagógica em Matemática - Tiago Neves Junqueira - Matemática e Raciocínio Lógico - Nota Máxima: 4")</f>
        <v>Formação Pedagógica em Matemática - Formação Pedagógica em Matemática - Tiago Neves Junqueira - Matemática e Raciocínio Lógico - Nota Máxima: 4</v>
      </c>
    </row>
    <row r="5935">
      <c r="A5935" s="390" t="str">
        <f>IFERROR(__xludf.DUMMYFUNCTION("""COMPUTED_VALUE"""),"Formação Pedagógica em Matemática - Formação Pedagógica em Matemática - Tiago Neves Junqueira - Metodologia do Ensino da Matemática - Nota Máxima: 10")</f>
        <v>Formação Pedagógica em Matemática - Formação Pedagógica em Matemática - Tiago Neves Junqueira - Metodologia do Ensino da Matemática - Nota Máxima: 10</v>
      </c>
    </row>
    <row r="5936">
      <c r="A5936" s="390" t="str">
        <f>IFERROR(__xludf.DUMMYFUNCTION("""COMPUTED_VALUE"""),"Formação Pedagógica em Matemática - Formação Pedagógica em Matemática - Tiago Neves Junqueira - Metodologia do Ensino da Matemática - Nota Máxima: 10")</f>
        <v>Formação Pedagógica em Matemática - Formação Pedagógica em Matemática - Tiago Neves Junqueira - Metodologia do Ensino da Matemática - Nota Máxima: 10</v>
      </c>
    </row>
    <row r="5937">
      <c r="A5937" s="390" t="str">
        <f>IFERROR(__xludf.DUMMYFUNCTION("""COMPUTED_VALUE"""),"Formação Pedagógica em Matemática - Formação Pedagógica em Matemática - Tiago Neves Junqueira - Planejamento, Gestão Educacional e Currículo/a - Nota Máxima: 10")</f>
        <v>Formação Pedagógica em Matemática - Formação Pedagógica em Matemática - Tiago Neves Junqueira - Planejamento, Gestão Educacional e Currículo/a - Nota Máxima: 10</v>
      </c>
    </row>
    <row r="5938">
      <c r="A5938" s="390" t="str">
        <f>IFERROR(__xludf.DUMMYFUNCTION("""COMPUTED_VALUE"""),"Formação Pedagógica em Matemática - Formação Pedagógica em Matemática - Tiago Neves Junqueira - Planejamento, Gestão Educacional e Currículo/a - Nota Máxima: 10")</f>
        <v>Formação Pedagógica em Matemática - Formação Pedagógica em Matemática - Tiago Neves Junqueira - Planejamento, Gestão Educacional e Currículo/a - Nota Máxima: 10</v>
      </c>
    </row>
    <row r="5939">
      <c r="A5939" s="390" t="str">
        <f>IFERROR(__xludf.DUMMYFUNCTION("""COMPUTED_VALUE"""),"Formação Pedagógica em Matemática - Formação Pedagógica em Matemática - Tiago Neves Junqueira - Práticas Pedagógicas - 400 Horas - Nota Máxima: 4")</f>
        <v>Formação Pedagógica em Matemática - Formação Pedagógica em Matemática - Tiago Neves Junqueira - Práticas Pedagógicas - 400 Horas - Nota Máxima: 4</v>
      </c>
    </row>
    <row r="5940">
      <c r="A5940" s="390" t="str">
        <f>IFERROR(__xludf.DUMMYFUNCTION("""COMPUTED_VALUE"""),"Formação Pedagógica em Matemática - Formação Pedagógica em Matemática - Tiago Neves Junqueira - Práticas Pedagógicas - 400 Horas - Nota Máxima: 4")</f>
        <v>Formação Pedagógica em Matemática - Formação Pedagógica em Matemática - Tiago Neves Junqueira - Práticas Pedagógicas - 400 Horas - Nota Máxima: 4</v>
      </c>
    </row>
    <row r="5941">
      <c r="A5941" s="390" t="str">
        <f>IFERROR(__xludf.DUMMYFUNCTION("""COMPUTED_VALUE"""),"Formação Pedagógica em Matemática - Formação Pedagógica em Matemática - Tiago Neves Junqueira - Probabilidade e Estatística - Nota Máxima: 10")</f>
        <v>Formação Pedagógica em Matemática - Formação Pedagógica em Matemática - Tiago Neves Junqueira - Probabilidade e Estatística - Nota Máxima: 10</v>
      </c>
    </row>
    <row r="5942">
      <c r="A5942" s="390" t="str">
        <f>IFERROR(__xludf.DUMMYFUNCTION("""COMPUTED_VALUE"""),"Formação Pedagógica em Matemática - Formação Pedagógica em Matemática - Tiago Neves Junqueira - Probabilidade e Estatística - Nota Máxima: 9")</f>
        <v>Formação Pedagógica em Matemática - Formação Pedagógica em Matemática - Tiago Neves Junqueira - Probabilidade e Estatística - Nota Máxima: 9</v>
      </c>
    </row>
    <row r="5943">
      <c r="A5943" s="390" t="str">
        <f>IFERROR(__xludf.DUMMYFUNCTION("""COMPUTED_VALUE"""),"Formação Pedagógica em Matemática - Formação Pedagógica em Matemática - Tiago Neves Junqueira - Psicologia da Educação/a - Nota Máxima: 10")</f>
        <v>Formação Pedagógica em Matemática - Formação Pedagógica em Matemática - Tiago Neves Junqueira - Psicologia da Educação/a - Nota Máxima: 10</v>
      </c>
    </row>
    <row r="5944">
      <c r="A5944" s="390" t="str">
        <f>IFERROR(__xludf.DUMMYFUNCTION("""COMPUTED_VALUE"""),"Formação Pedagógica em Matemática - Formação Pedagógica em Matemática - Tiago Neves Junqueira - Psicologia da Educação/a - Nota Máxima: 6")</f>
        <v>Formação Pedagógica em Matemática - Formação Pedagógica em Matemática - Tiago Neves Junqueira - Psicologia da Educação/a - Nota Máxima: 6</v>
      </c>
    </row>
    <row r="5945">
      <c r="A5945" s="390" t="str">
        <f>IFERROR(__xludf.DUMMYFUNCTION("""COMPUTED_VALUE"""),"Formação Pedagógica em Matemática - Formação Pedagógica em Matemática - Robert Felipe de Oliveira Lima - Algebra - Nota Máxima: 5")</f>
        <v>Formação Pedagógica em Matemática - Formação Pedagógica em Matemática - Robert Felipe de Oliveira Lima - Algebra - Nota Máxima: 5</v>
      </c>
    </row>
    <row r="5946">
      <c r="A5946" s="390" t="str">
        <f>IFERROR(__xludf.DUMMYFUNCTION("""COMPUTED_VALUE"""),"Formação Pedagógica em Matemática - Formação Pedagógica em Matemática - Robert Felipe de Oliveira Lima - Cálculo - Nota Máxima: 10")</f>
        <v>Formação Pedagógica em Matemática - Formação Pedagógica em Matemática - Robert Felipe de Oliveira Lima - Cálculo - Nota Máxima: 10</v>
      </c>
    </row>
    <row r="5947">
      <c r="A5947" s="390" t="str">
        <f>IFERROR(__xludf.DUMMYFUNCTION("""COMPUTED_VALUE"""),"Formação Pedagógica em Matemática - Formação Pedagógica em Matemática - Robert Felipe de Oliveira Lima - Deficiência Auditiva e Libras/a - Nota Máxima: 10")</f>
        <v>Formação Pedagógica em Matemática - Formação Pedagógica em Matemática - Robert Felipe de Oliveira Lima - Deficiência Auditiva e Libras/a - Nota Máxima: 10</v>
      </c>
    </row>
    <row r="5948">
      <c r="A5948" s="390" t="str">
        <f>IFERROR(__xludf.DUMMYFUNCTION("""COMPUTED_VALUE"""),"Formação Pedagógica em Matemática - Formação Pedagógica em Matemática - Robert Felipe de Oliveira Lima - Educação Especial, Inclusão Escolar e Adaptações Curriculares - Nota Máxima: 10")</f>
        <v>Formação Pedagógica em Matemática - Formação Pedagógica em Matemática - Robert Felipe de Oliveira Lima - Educação Especial, Inclusão Escolar e Adaptações Curriculares - Nota Máxima: 10</v>
      </c>
    </row>
    <row r="5949">
      <c r="A5949" s="390" t="str">
        <f>IFERROR(__xludf.DUMMYFUNCTION("""COMPUTED_VALUE"""),"Formação Pedagógica em Matemática - Formação Pedagógica em Matemática - Robert Felipe de Oliveira Lima - Educação, História, Cultura e Práticas Indígenas/a - Nota Máxima: 10")</f>
        <v>Formação Pedagógica em Matemática - Formação Pedagógica em Matemática - Robert Felipe de Oliveira Lima - Educação, História, Cultura e Práticas Indígenas/a - Nota Máxima: 10</v>
      </c>
    </row>
    <row r="5950">
      <c r="A5950" s="390" t="str">
        <f>IFERROR(__xludf.DUMMYFUNCTION("""COMPUTED_VALUE"""),"Formação Pedagógica em Matemática - Formação Pedagógica em Matemática - Robert Felipe de Oliveira Lima - Geometria Analítica - Nota Máxima: 10")</f>
        <v>Formação Pedagógica em Matemática - Formação Pedagógica em Matemática - Robert Felipe de Oliveira Lima - Geometria Analítica - Nota Máxima: 10</v>
      </c>
    </row>
    <row r="5951">
      <c r="A5951" s="390" t="str">
        <f>IFERROR(__xludf.DUMMYFUNCTION("""COMPUTED_VALUE"""),"Formação Pedagógica em Matemática - Formação Pedagógica em Matemática - Robert Felipe de Oliveira Lima - Legislação Educacional/a - Nota Máxima: 10")</f>
        <v>Formação Pedagógica em Matemática - Formação Pedagógica em Matemática - Robert Felipe de Oliveira Lima - Legislação Educacional/a - Nota Máxima: 10</v>
      </c>
    </row>
    <row r="5952">
      <c r="A5952" s="390" t="str">
        <f>IFERROR(__xludf.DUMMYFUNCTION("""COMPUTED_VALUE"""),"Formação Pedagógica em Matemática - Formação Pedagógica em Matemática - Robert Felipe de Oliveira Lima - Lógica e Fundamentos da Matemática - Nota Máxima: 8")</f>
        <v>Formação Pedagógica em Matemática - Formação Pedagógica em Matemática - Robert Felipe de Oliveira Lima - Lógica e Fundamentos da Matemática - Nota Máxima: 8</v>
      </c>
    </row>
    <row r="5953">
      <c r="A5953" s="390" t="str">
        <f>IFERROR(__xludf.DUMMYFUNCTION("""COMPUTED_VALUE"""),"Formação Pedagógica em Matemática - Formação Pedagógica em Matemática - Robert Felipe de Oliveira Lima - Metodologia do Ensino da Matemática - Nota Máxima: 9")</f>
        <v>Formação Pedagógica em Matemática - Formação Pedagógica em Matemática - Robert Felipe de Oliveira Lima - Metodologia do Ensino da Matemática - Nota Máxima: 9</v>
      </c>
    </row>
    <row r="5954">
      <c r="A5954" s="390" t="str">
        <f>IFERROR(__xludf.DUMMYFUNCTION("""COMPUTED_VALUE"""),"Formação Pedagógica em Matemática - Formação Pedagógica em Matemática - Robert Felipe de Oliveira Lima - Planejamento, Gestão Educacional e Currículo/a - Nota Máxima: 10")</f>
        <v>Formação Pedagógica em Matemática - Formação Pedagógica em Matemática - Robert Felipe de Oliveira Lima - Planejamento, Gestão Educacional e Currículo/a - Nota Máxima: 10</v>
      </c>
    </row>
    <row r="5955">
      <c r="A5955" s="390" t="str">
        <f>IFERROR(__xludf.DUMMYFUNCTION("""COMPUTED_VALUE"""),"Formação Pedagógica em Matemática - Formação Pedagógica em Matemática - Robert Felipe de Oliveira Lima - Práticas Pedagógicas - 400 Horas - Nota Máxima: 45784")</f>
        <v>Formação Pedagógica em Matemática - Formação Pedagógica em Matemática - Robert Felipe de Oliveira Lima - Práticas Pedagógicas - 400 Horas - Nota Máxima: 45784</v>
      </c>
    </row>
    <row r="5956">
      <c r="A5956" s="390" t="str">
        <f>IFERROR(__xludf.DUMMYFUNCTION("""COMPUTED_VALUE"""),"Formação Pedagógica em Matemática - Formação Pedagógica em Matemática - Robert Felipe de Oliveira Lima - Probabilidade e Estatística - Nota Máxima: 10")</f>
        <v>Formação Pedagógica em Matemática - Formação Pedagógica em Matemática - Robert Felipe de Oliveira Lima - Probabilidade e Estatística - Nota Máxima: 10</v>
      </c>
    </row>
    <row r="5957">
      <c r="A5957" s="390" t="str">
        <f>IFERROR(__xludf.DUMMYFUNCTION("""COMPUTED_VALUE"""),"Formação Pedagógica em Matemática - Formação Pedagógica em Matemática - Thaís Yoshie Gonçalves Fukuda - Algebra - Nota Máxima: 10")</f>
        <v>Formação Pedagógica em Matemática - Formação Pedagógica em Matemática - Thaís Yoshie Gonçalves Fukuda - Algebra - Nota Máxima: 10</v>
      </c>
    </row>
    <row r="5958">
      <c r="A5958" s="390" t="str">
        <f>IFERROR(__xludf.DUMMYFUNCTION("""COMPUTED_VALUE"""),"Formação Pedagógica em Matemática - Formação Pedagógica em Matemática - Thaís Yoshie Gonçalves Fukuda - Algebra - Nota Máxima: 5")</f>
        <v>Formação Pedagógica em Matemática - Formação Pedagógica em Matemática - Thaís Yoshie Gonçalves Fukuda - Algebra - Nota Máxima: 5</v>
      </c>
    </row>
    <row r="5959">
      <c r="A5959" s="390" t="str">
        <f>IFERROR(__xludf.DUMMYFUNCTION("""COMPUTED_VALUE"""),"Formação Pedagógica em Matemática - Formação Pedagógica em Matemática - Thaís Yoshie Gonçalves Fukuda - Cálculo - Nota Máxima: 10")</f>
        <v>Formação Pedagógica em Matemática - Formação Pedagógica em Matemática - Thaís Yoshie Gonçalves Fukuda - Cálculo - Nota Máxima: 10</v>
      </c>
    </row>
    <row r="5960">
      <c r="A5960" s="390" t="str">
        <f>IFERROR(__xludf.DUMMYFUNCTION("""COMPUTED_VALUE"""),"Formação Pedagógica em Matemática - Formação Pedagógica em Matemática - Thaís Yoshie Gonçalves Fukuda - Cálculo - Nota Máxima: 5")</f>
        <v>Formação Pedagógica em Matemática - Formação Pedagógica em Matemática - Thaís Yoshie Gonçalves Fukuda - Cálculo - Nota Máxima: 5</v>
      </c>
    </row>
    <row r="5961">
      <c r="A5961" s="390" t="str">
        <f>IFERROR(__xludf.DUMMYFUNCTION("""COMPUTED_VALUE"""),"Formação Pedagógica em Matemática - Formação Pedagógica em Matemática - Thaís Yoshie Gonçalves Fukuda - Deficiência Auditiva e Libras/a - Nota Máxima: 10")</f>
        <v>Formação Pedagógica em Matemática - Formação Pedagógica em Matemática - Thaís Yoshie Gonçalves Fukuda - Deficiência Auditiva e Libras/a - Nota Máxima: 10</v>
      </c>
    </row>
    <row r="5962">
      <c r="A5962" s="390" t="str">
        <f>IFERROR(__xludf.DUMMYFUNCTION("""COMPUTED_VALUE"""),"Formação Pedagógica em Matemática - Formação Pedagógica em Matemática - Thaís Yoshie Gonçalves Fukuda - Deficiência Auditiva e Libras/a - Nota Máxima: 10")</f>
        <v>Formação Pedagógica em Matemática - Formação Pedagógica em Matemática - Thaís Yoshie Gonçalves Fukuda - Deficiência Auditiva e Libras/a - Nota Máxima: 10</v>
      </c>
    </row>
    <row r="5963">
      <c r="A5963" s="390" t="str">
        <f>IFERROR(__xludf.DUMMYFUNCTION("""COMPUTED_VALUE"""),"Formação Pedagógica em Matemática - Formação Pedagógica em Matemática - Thaís Yoshie Gonçalves Fukuda - Educação Especial, Inclusão Escolar e Adaptações Curriculares - Nota Máxima: 10")</f>
        <v>Formação Pedagógica em Matemática - Formação Pedagógica em Matemática - Thaís Yoshie Gonçalves Fukuda - Educação Especial, Inclusão Escolar e Adaptações Curriculares - Nota Máxima: 10</v>
      </c>
    </row>
    <row r="5964">
      <c r="A5964" s="390" t="str">
        <f>IFERROR(__xludf.DUMMYFUNCTION("""COMPUTED_VALUE"""),"Formação Pedagógica em Matemática - Formação Pedagógica em Matemática - Thaís Yoshie Gonçalves Fukuda - Educação Especial, Inclusão Escolar e Adaptações Curriculares - Nota Máxima: 10")</f>
        <v>Formação Pedagógica em Matemática - Formação Pedagógica em Matemática - Thaís Yoshie Gonçalves Fukuda - Educação Especial, Inclusão Escolar e Adaptações Curriculares - Nota Máxima: 10</v>
      </c>
    </row>
    <row r="5965">
      <c r="A5965" s="390" t="str">
        <f>IFERROR(__xludf.DUMMYFUNCTION("""COMPUTED_VALUE"""),"Formação Pedagógica em Matemática - Formação Pedagógica em Matemática - Thaís Yoshie Gonçalves Fukuda - Educação, História, Cultura e Práticas Indígenas/a - Nota Máxima: 10")</f>
        <v>Formação Pedagógica em Matemática - Formação Pedagógica em Matemática - Thaís Yoshie Gonçalves Fukuda - Educação, História, Cultura e Práticas Indígenas/a - Nota Máxima: 10</v>
      </c>
    </row>
    <row r="5966">
      <c r="A5966" s="390" t="str">
        <f>IFERROR(__xludf.DUMMYFUNCTION("""COMPUTED_VALUE"""),"Formação Pedagógica em Matemática - Formação Pedagógica em Matemática - Thaís Yoshie Gonçalves Fukuda - Educação, História, Cultura e Práticas Indígenas/a - Nota Máxima: 8")</f>
        <v>Formação Pedagógica em Matemática - Formação Pedagógica em Matemática - Thaís Yoshie Gonçalves Fukuda - Educação, História, Cultura e Práticas Indígenas/a - Nota Máxima: 8</v>
      </c>
    </row>
    <row r="5967">
      <c r="A5967" s="390" t="str">
        <f>IFERROR(__xludf.DUMMYFUNCTION("""COMPUTED_VALUE"""),"Formação Pedagógica em Matemática - Formação Pedagógica em Matemática - Thaís Yoshie Gonçalves Fukuda - Geometria Analítica - Nota Máxima: 10")</f>
        <v>Formação Pedagógica em Matemática - Formação Pedagógica em Matemática - Thaís Yoshie Gonçalves Fukuda - Geometria Analítica - Nota Máxima: 10</v>
      </c>
    </row>
    <row r="5968">
      <c r="A5968" s="390" t="str">
        <f>IFERROR(__xludf.DUMMYFUNCTION("""COMPUTED_VALUE"""),"Formação Pedagógica em Matemática - Formação Pedagógica em Matemática - Thaís Yoshie Gonçalves Fukuda - Geometria Analítica - Nota Máxima: 8")</f>
        <v>Formação Pedagógica em Matemática - Formação Pedagógica em Matemática - Thaís Yoshie Gonçalves Fukuda - Geometria Analítica - Nota Máxima: 8</v>
      </c>
    </row>
    <row r="5969">
      <c r="A5969" s="390" t="str">
        <f>IFERROR(__xludf.DUMMYFUNCTION("""COMPUTED_VALUE"""),"Formação Pedagógica em Matemática - Formação Pedagógica em Matemática - Thaís Yoshie Gonçalves Fukuda - Legislação Educacional/a - Nota Máxima: 9")</f>
        <v>Formação Pedagógica em Matemática - Formação Pedagógica em Matemática - Thaís Yoshie Gonçalves Fukuda - Legislação Educacional/a - Nota Máxima: 9</v>
      </c>
    </row>
    <row r="5970">
      <c r="A5970" s="390" t="str">
        <f>IFERROR(__xludf.DUMMYFUNCTION("""COMPUTED_VALUE"""),"Formação Pedagógica em Matemática - Formação Pedagógica em Matemática - Thaís Yoshie Gonçalves Fukuda - Legislação Educacional/a - Nota Máxima: 8")</f>
        <v>Formação Pedagógica em Matemática - Formação Pedagógica em Matemática - Thaís Yoshie Gonçalves Fukuda - Legislação Educacional/a - Nota Máxima: 8</v>
      </c>
    </row>
    <row r="5971">
      <c r="A5971" s="390" t="str">
        <f>IFERROR(__xludf.DUMMYFUNCTION("""COMPUTED_VALUE"""),"Formação Pedagógica em Matemática - Formação Pedagógica em Matemática - Thaís Yoshie Gonçalves Fukuda - Lógica e Fundamentos da Matemática - Nota Máxima: 10")</f>
        <v>Formação Pedagógica em Matemática - Formação Pedagógica em Matemática - Thaís Yoshie Gonçalves Fukuda - Lógica e Fundamentos da Matemática - Nota Máxima: 10</v>
      </c>
    </row>
    <row r="5972">
      <c r="A5972" s="390" t="str">
        <f>IFERROR(__xludf.DUMMYFUNCTION("""COMPUTED_VALUE"""),"Formação Pedagógica em Matemática - Formação Pedagógica em Matemática - Thaís Yoshie Gonçalves Fukuda - Lógica e Fundamentos da Matemática - Nota Máxima: 6")</f>
        <v>Formação Pedagógica em Matemática - Formação Pedagógica em Matemática - Thaís Yoshie Gonçalves Fukuda - Lógica e Fundamentos da Matemática - Nota Máxima: 6</v>
      </c>
    </row>
    <row r="5973">
      <c r="A5973" s="390" t="str">
        <f>IFERROR(__xludf.DUMMYFUNCTION("""COMPUTED_VALUE"""),"Formação Pedagógica em Matemática - Formação Pedagógica em Matemática - Thaís Yoshie Gonçalves Fukuda - Matemática e Raciocínio Lógico - Nota Máxima: 10")</f>
        <v>Formação Pedagógica em Matemática - Formação Pedagógica em Matemática - Thaís Yoshie Gonçalves Fukuda - Matemática e Raciocínio Lógico - Nota Máxima: 10</v>
      </c>
    </row>
    <row r="5974">
      <c r="A5974" s="390" t="str">
        <f>IFERROR(__xludf.DUMMYFUNCTION("""COMPUTED_VALUE"""),"Formação Pedagógica em Matemática - Formação Pedagógica em Matemática - Thaís Yoshie Gonçalves Fukuda - Matemática e Raciocínio Lógico - Nota Máxima: 5")</f>
        <v>Formação Pedagógica em Matemática - Formação Pedagógica em Matemática - Thaís Yoshie Gonçalves Fukuda - Matemática e Raciocínio Lógico - Nota Máxima: 5</v>
      </c>
    </row>
    <row r="5975">
      <c r="A5975" s="390" t="str">
        <f>IFERROR(__xludf.DUMMYFUNCTION("""COMPUTED_VALUE"""),"Formação Pedagógica em Matemática - Formação Pedagógica em Matemática - Thaís Yoshie Gonçalves Fukuda - Metodologia do Ensino da Matemática - Nota Máxima: 10")</f>
        <v>Formação Pedagógica em Matemática - Formação Pedagógica em Matemática - Thaís Yoshie Gonçalves Fukuda - Metodologia do Ensino da Matemática - Nota Máxima: 10</v>
      </c>
    </row>
    <row r="5976">
      <c r="A5976" s="390" t="str">
        <f>IFERROR(__xludf.DUMMYFUNCTION("""COMPUTED_VALUE"""),"Formação Pedagógica em Matemática - Formação Pedagógica em Matemática - Thaís Yoshie Gonçalves Fukuda - Metodologia do Ensino da Matemática - Nota Máxima: 10")</f>
        <v>Formação Pedagógica em Matemática - Formação Pedagógica em Matemática - Thaís Yoshie Gonçalves Fukuda - Metodologia do Ensino da Matemática - Nota Máxima: 10</v>
      </c>
    </row>
    <row r="5977">
      <c r="A5977" s="390" t="str">
        <f>IFERROR(__xludf.DUMMYFUNCTION("""COMPUTED_VALUE"""),"Formação Pedagógica em Matemática - Formação Pedagógica em Matemática - Thaís Yoshie Gonçalves Fukuda - Planejamento, Gestão Educacional e Currículo/a - Nota Máxima: 10")</f>
        <v>Formação Pedagógica em Matemática - Formação Pedagógica em Matemática - Thaís Yoshie Gonçalves Fukuda - Planejamento, Gestão Educacional e Currículo/a - Nota Máxima: 10</v>
      </c>
    </row>
    <row r="5978">
      <c r="A5978" s="390" t="str">
        <f>IFERROR(__xludf.DUMMYFUNCTION("""COMPUTED_VALUE"""),"Formação Pedagógica em Matemática - Formação Pedagógica em Matemática - Thaís Yoshie Gonçalves Fukuda - Planejamento, Gestão Educacional e Currículo/a - Nota Máxima: 10")</f>
        <v>Formação Pedagógica em Matemática - Formação Pedagógica em Matemática - Thaís Yoshie Gonçalves Fukuda - Planejamento, Gestão Educacional e Currículo/a - Nota Máxima: 10</v>
      </c>
    </row>
    <row r="5979">
      <c r="A5979" s="390" t="str">
        <f>IFERROR(__xludf.DUMMYFUNCTION("""COMPUTED_VALUE"""),"Formação Pedagógica em Matemática - Formação Pedagógica em Matemática - Thaís Yoshie Gonçalves Fukuda - Práticas Pedagógicas - 400 Horas - Nota Máxima: 10")</f>
        <v>Formação Pedagógica em Matemática - Formação Pedagógica em Matemática - Thaís Yoshie Gonçalves Fukuda - Práticas Pedagógicas - 400 Horas - Nota Máxima: 10</v>
      </c>
    </row>
    <row r="5980">
      <c r="A5980" s="390" t="str">
        <f>IFERROR(__xludf.DUMMYFUNCTION("""COMPUTED_VALUE"""),"Formação Pedagógica em Matemática - Formação Pedagógica em Matemática - Thaís Yoshie Gonçalves Fukuda - Práticas Pedagógicas - 400 Horas - Nota Máxima: 10")</f>
        <v>Formação Pedagógica em Matemática - Formação Pedagógica em Matemática - Thaís Yoshie Gonçalves Fukuda - Práticas Pedagógicas - 400 Horas - Nota Máxima: 10</v>
      </c>
    </row>
    <row r="5981">
      <c r="A5981" s="390" t="str">
        <f>IFERROR(__xludf.DUMMYFUNCTION("""COMPUTED_VALUE"""),"Formação Pedagógica em Matemática - Formação Pedagógica em Matemática - Thaís Yoshie Gonçalves Fukuda - Probabilidade e Estatística - Nota Máxima: 10")</f>
        <v>Formação Pedagógica em Matemática - Formação Pedagógica em Matemática - Thaís Yoshie Gonçalves Fukuda - Probabilidade e Estatística - Nota Máxima: 10</v>
      </c>
    </row>
    <row r="5982">
      <c r="A5982" s="390" t="str">
        <f>IFERROR(__xludf.DUMMYFUNCTION("""COMPUTED_VALUE"""),"Formação Pedagógica em Matemática - Formação Pedagógica em Matemática - Thaís Yoshie Gonçalves Fukuda - Probabilidade e Estatística - Nota Máxima: 9")</f>
        <v>Formação Pedagógica em Matemática - Formação Pedagógica em Matemática - Thaís Yoshie Gonçalves Fukuda - Probabilidade e Estatística - Nota Máxima: 9</v>
      </c>
    </row>
    <row r="5983">
      <c r="A5983" s="390" t="str">
        <f>IFERROR(__xludf.DUMMYFUNCTION("""COMPUTED_VALUE"""),"Formação Pedagógica em Matemática - Formação Pedagógica em Matemática - Thaís Yoshie Gonçalves Fukuda - Psicologia da Educação/a - Nota Máxima: 10")</f>
        <v>Formação Pedagógica em Matemática - Formação Pedagógica em Matemática - Thaís Yoshie Gonçalves Fukuda - Psicologia da Educação/a - Nota Máxima: 10</v>
      </c>
    </row>
    <row r="5984">
      <c r="A5984" s="390" t="str">
        <f>IFERROR(__xludf.DUMMYFUNCTION("""COMPUTED_VALUE"""),"Formação Pedagógica em Matemática - Formação Pedagógica em Matemática - Thaís Yoshie Gonçalves Fukuda - Psicologia da Educação/a - Nota Máxima: 10")</f>
        <v>Formação Pedagógica em Matemática - Formação Pedagógica em Matemática - Thaís Yoshie Gonçalves Fukuda - Psicologia da Educação/a - Nota Máxima: 10</v>
      </c>
    </row>
    <row r="5985">
      <c r="A5985" s="390" t="str">
        <f>IFERROR(__xludf.DUMMYFUNCTION("""COMPUTED_VALUE"""),"#SLMA - Segunda Licenciatura Matemática - Segunda Licenciatura Matemática - Aloisio João Scandolara - Cálculo - Nota Máxima: 10")</f>
        <v>#SLMA - Segunda Licenciatura Matemática - Segunda Licenciatura Matemática - Aloisio João Scandolara - Cálculo - Nota Máxima: 10</v>
      </c>
    </row>
    <row r="5986">
      <c r="A5986" s="390" t="str">
        <f>IFERROR(__xludf.DUMMYFUNCTION("""COMPUTED_VALUE"""),"#SLMA - Segunda Licenciatura Matemática - Segunda Licenciatura Matemática - Aloisio João Scandolara - Cálculo - Nota Máxima: 2")</f>
        <v>#SLMA - Segunda Licenciatura Matemática - Segunda Licenciatura Matemática - Aloisio João Scandolara - Cálculo - Nota Máxima: 2</v>
      </c>
    </row>
    <row r="5987">
      <c r="A5987" s="390" t="str">
        <f>IFERROR(__xludf.DUMMYFUNCTION("""COMPUTED_VALUE"""),"#SLMA - Segunda Licenciatura Matemática - Segunda Licenciatura Matemática - Aloisio João Scandolara - Matemática e Raciocínio Lógico - Nota Máxima: 9")</f>
        <v>#SLMA - Segunda Licenciatura Matemática - Segunda Licenciatura Matemática - Aloisio João Scandolara - Matemática e Raciocínio Lógico - Nota Máxima: 9</v>
      </c>
    </row>
    <row r="5988">
      <c r="A5988" s="390" t="str">
        <f>IFERROR(__xludf.DUMMYFUNCTION("""COMPUTED_VALUE"""),"#SLMA - Segunda Licenciatura Matemática - Segunda Licenciatura Matemática - Aloisio João Scandolara - Matemática e Raciocínio Lógico - Nota Máxima: 3")</f>
        <v>#SLMA - Segunda Licenciatura Matemática - Segunda Licenciatura Matemática - Aloisio João Scandolara - Matemática e Raciocínio Lógico - Nota Máxima: 3</v>
      </c>
    </row>
    <row r="5989">
      <c r="A5989" s="390" t="str">
        <f>IFERROR(__xludf.DUMMYFUNCTION("""COMPUTED_VALUE"""),"#SLMA - Segunda Licenciatura Matemática - Segunda Licenciatura Matemática - Joaquim Dantas de Sousa - Deficiência Auditiva e Libras/a - Nota Máxima: 8")</f>
        <v>#SLMA - Segunda Licenciatura Matemática - Segunda Licenciatura Matemática - Joaquim Dantas de Sousa - Deficiência Auditiva e Libras/a - Nota Máxima: 8</v>
      </c>
    </row>
    <row r="5990">
      <c r="A5990" s="390" t="str">
        <f>IFERROR(__xludf.DUMMYFUNCTION("""COMPUTED_VALUE"""),"#SLMA - Segunda Licenciatura Matemática - Segunda Licenciatura Matemática - Joaquim Dantas de Sousa - Deficiência Auditiva e Libras/a - Nota Máxima: 8")</f>
        <v>#SLMA - Segunda Licenciatura Matemática - Segunda Licenciatura Matemática - Joaquim Dantas de Sousa - Deficiência Auditiva e Libras/a - Nota Máxima: 8</v>
      </c>
    </row>
    <row r="5991">
      <c r="A5991" s="390" t="str">
        <f>IFERROR(__xludf.DUMMYFUNCTION("""COMPUTED_VALUE"""),"#SLMA - Segunda Licenciatura Matemática - Segunda Licenciatura Matemática - Joaquim Dantas de Sousa - Educação Especial, Inclusão Escolar e Adaptações Curriculares - Nota Máxima: 9")</f>
        <v>#SLMA - Segunda Licenciatura Matemática - Segunda Licenciatura Matemática - Joaquim Dantas de Sousa - Educação Especial, Inclusão Escolar e Adaptações Curriculares - Nota Máxima: 9</v>
      </c>
    </row>
    <row r="5992">
      <c r="A5992" s="390" t="str">
        <f>IFERROR(__xludf.DUMMYFUNCTION("""COMPUTED_VALUE"""),"#SLMA - Segunda Licenciatura Matemática - Segunda Licenciatura Matemática - Joaquim Dantas de Sousa - Educação Especial, Inclusão Escolar e Adaptações Curriculares - Nota Máxima: 9")</f>
        <v>#SLMA - Segunda Licenciatura Matemática - Segunda Licenciatura Matemática - Joaquim Dantas de Sousa - Educação Especial, Inclusão Escolar e Adaptações Curriculares - Nota Máxima: 9</v>
      </c>
    </row>
    <row r="5993">
      <c r="A5993" s="390" t="str">
        <f>IFERROR(__xludf.DUMMYFUNCTION("""COMPUTED_VALUE"""),"#SLMA - Segunda Licenciatura Matemática - Segunda Licenciatura Matemática - Loraine Ferreira da Silva - Cálculo - Nota Máxima: 8")</f>
        <v>#SLMA - Segunda Licenciatura Matemática - Segunda Licenciatura Matemática - Loraine Ferreira da Silva - Cálculo - Nota Máxima: 8</v>
      </c>
    </row>
    <row r="5994">
      <c r="A5994" s="390" t="str">
        <f>IFERROR(__xludf.DUMMYFUNCTION("""COMPUTED_VALUE"""),"#SLMA - Segunda Licenciatura Matemática - Segunda Licenciatura Matemática - Loraine Ferreira da Silva - Deficiência Auditiva e Libras/a - Nota Máxima: 9")</f>
        <v>#SLMA - Segunda Licenciatura Matemática - Segunda Licenciatura Matemática - Loraine Ferreira da Silva - Deficiência Auditiva e Libras/a - Nota Máxima: 9</v>
      </c>
    </row>
    <row r="5995">
      <c r="A5995" s="390" t="str">
        <f>IFERROR(__xludf.DUMMYFUNCTION("""COMPUTED_VALUE"""),"#SLMA - Segunda Licenciatura Matemática - Segunda Licenciatura Matemática - Loraine Ferreira da Silva - Deficiência Auditiva e Libras/a - Nota Máxima: 8")</f>
        <v>#SLMA - Segunda Licenciatura Matemática - Segunda Licenciatura Matemática - Loraine Ferreira da Silva - Deficiência Auditiva e Libras/a - Nota Máxima: 8</v>
      </c>
    </row>
    <row r="5996">
      <c r="A5996" s="390" t="str">
        <f>IFERROR(__xludf.DUMMYFUNCTION("""COMPUTED_VALUE"""),"#SLMA - Segunda Licenciatura Matemática - Segunda Licenciatura Matemática - Loraine Ferreira da Silva - Educação Especial, Inclusão Escolar e Adaptações Curriculares - Nota Máxima: 10")</f>
        <v>#SLMA - Segunda Licenciatura Matemática - Segunda Licenciatura Matemática - Loraine Ferreira da Silva - Educação Especial, Inclusão Escolar e Adaptações Curriculares - Nota Máxima: 10</v>
      </c>
    </row>
    <row r="5997">
      <c r="A5997" s="390" t="str">
        <f>IFERROR(__xludf.DUMMYFUNCTION("""COMPUTED_VALUE"""),"#SLMA - Segunda Licenciatura Matemática - Segunda Licenciatura Matemática - Loraine Ferreira da Silva - Educação Especial, Inclusão Escolar e Adaptações Curriculares - Nota Máxima: 9")</f>
        <v>#SLMA - Segunda Licenciatura Matemática - Segunda Licenciatura Matemática - Loraine Ferreira da Silva - Educação Especial, Inclusão Escolar e Adaptações Curriculares - Nota Máxima: 9</v>
      </c>
    </row>
    <row r="5998">
      <c r="A5998" s="390" t="str">
        <f>IFERROR(__xludf.DUMMYFUNCTION("""COMPUTED_VALUE"""),"#SLMA - Segunda Licenciatura Matemática - Segunda Licenciatura Matemática - Loraine Ferreira da Silva - Educação, História, Cultura e Práticas Indígenas/a - Nota Máxima: 8")</f>
        <v>#SLMA - Segunda Licenciatura Matemática - Segunda Licenciatura Matemática - Loraine Ferreira da Silva - Educação, História, Cultura e Práticas Indígenas/a - Nota Máxima: 8</v>
      </c>
    </row>
    <row r="5999">
      <c r="A5999" s="390" t="str">
        <f>IFERROR(__xludf.DUMMYFUNCTION("""COMPUTED_VALUE"""),"#SLMA - Segunda Licenciatura Matemática - Segunda Licenciatura Matemática - Loraine Ferreira da Silva - Geometria Analítica - Nota Máxima: 7")</f>
        <v>#SLMA - Segunda Licenciatura Matemática - Segunda Licenciatura Matemática - Loraine Ferreira da Silva - Geometria Analítica - Nota Máxima: 7</v>
      </c>
    </row>
    <row r="6000">
      <c r="A6000" s="390" t="str">
        <f>IFERROR(__xludf.DUMMYFUNCTION("""COMPUTED_VALUE"""),"#SLMA - Segunda Licenciatura Matemática - Segunda Licenciatura Matemática - Loraine Ferreira da Silva - Geometria Analítica - Nota Máxima: 0")</f>
        <v>#SLMA - Segunda Licenciatura Matemática - Segunda Licenciatura Matemática - Loraine Ferreira da Silva - Geometria Analítica - Nota Máxima: 0</v>
      </c>
    </row>
    <row r="6001">
      <c r="A6001" s="390" t="str">
        <f>IFERROR(__xludf.DUMMYFUNCTION("""COMPUTED_VALUE"""),"#SLMA - Segunda Licenciatura Matemática - Segunda Licenciatura Matemática - Loraine Ferreira da Silva - Legislação Educacional/a - Nota Máxima: 8")</f>
        <v>#SLMA - Segunda Licenciatura Matemática - Segunda Licenciatura Matemática - Loraine Ferreira da Silva - Legislação Educacional/a - Nota Máxima: 8</v>
      </c>
    </row>
    <row r="6002">
      <c r="A6002" s="390" t="str">
        <f>IFERROR(__xludf.DUMMYFUNCTION("""COMPUTED_VALUE"""),"#SLMA - Segunda Licenciatura Matemática - Segunda Licenciatura Matemática - Loraine Ferreira da Silva - Legislação Educacional/a - Nota Máxima: 7")</f>
        <v>#SLMA - Segunda Licenciatura Matemática - Segunda Licenciatura Matemática - Loraine Ferreira da Silva - Legislação Educacional/a - Nota Máxima: 7</v>
      </c>
    </row>
    <row r="6003">
      <c r="A6003" s="390" t="str">
        <f>IFERROR(__xludf.DUMMYFUNCTION("""COMPUTED_VALUE"""),"#SLMA - Segunda Licenciatura Matemática - Segunda Licenciatura Matemática - Loraine Ferreira da Silva - Planejamento, Gestão Educacional e Currículo/a - Nota Máxima: 9")</f>
        <v>#SLMA - Segunda Licenciatura Matemática - Segunda Licenciatura Matemática - Loraine Ferreira da Silva - Planejamento, Gestão Educacional e Currículo/a - Nota Máxima: 9</v>
      </c>
    </row>
    <row r="6004">
      <c r="A6004" s="390" t="str">
        <f>IFERROR(__xludf.DUMMYFUNCTION("""COMPUTED_VALUE"""),"#SLMA - Segunda Licenciatura Matemática - Segunda Licenciatura Matemática - Loraine Ferreira da Silva - Planejamento, Gestão Educacional e Currículo/a - Nota Máxima: 8")</f>
        <v>#SLMA - Segunda Licenciatura Matemática - Segunda Licenciatura Matemática - Loraine Ferreira da Silva - Planejamento, Gestão Educacional e Currículo/a - Nota Máxima: 8</v>
      </c>
    </row>
    <row r="6005">
      <c r="A6005" s="390" t="str">
        <f>IFERROR(__xludf.DUMMYFUNCTION("""COMPUTED_VALUE"""),"#SLMA - Segunda Licenciatura Matemática - Segunda Licenciatura Matemática - Loraine Ferreira da Silva - Práticas Pedagógicas - 400 Horas - Nota Máxima: 45784")</f>
        <v>#SLMA - Segunda Licenciatura Matemática - Segunda Licenciatura Matemática - Loraine Ferreira da Silva - Práticas Pedagógicas - 400 Horas - Nota Máxima: 45784</v>
      </c>
    </row>
    <row r="6006">
      <c r="A6006" s="390" t="str">
        <f>IFERROR(__xludf.DUMMYFUNCTION("""COMPUTED_VALUE"""),"#SLMA - Segunda Licenciatura Matemática - Segunda Licenciatura Matemática - Loraine Ferreira da Silva - Práticas Pedagógicas - 400 Horas - Nota Máxima: 5")</f>
        <v>#SLMA - Segunda Licenciatura Matemática - Segunda Licenciatura Matemática - Loraine Ferreira da Silva - Práticas Pedagógicas - 400 Horas - Nota Máxima: 5</v>
      </c>
    </row>
    <row r="6007">
      <c r="A6007" s="390" t="str">
        <f>IFERROR(__xludf.DUMMYFUNCTION("""COMPUTED_VALUE"""),"#SLMA - Segunda Licenciatura Matemática - Segunda Licenciatura Matemática - Loraine Ferreira da Silva - Probabilidade e Estatística - Nota Máxima: 8")</f>
        <v>#SLMA - Segunda Licenciatura Matemática - Segunda Licenciatura Matemática - Loraine Ferreira da Silva - Probabilidade e Estatística - Nota Máxima: 8</v>
      </c>
    </row>
    <row r="6008">
      <c r="A6008" s="390" t="str">
        <f>IFERROR(__xludf.DUMMYFUNCTION("""COMPUTED_VALUE"""),"#SLMA - Segunda Licenciatura Matemática - Segunda Licenciatura Matemática - Loraine Ferreira da Silva - Probabilidade e Estatística - Nota Máxima: 3")</f>
        <v>#SLMA - Segunda Licenciatura Matemática - Segunda Licenciatura Matemática - Loraine Ferreira da Silva - Probabilidade e Estatística - Nota Máxima: 3</v>
      </c>
    </row>
    <row r="6009">
      <c r="A6009" s="390" t="str">
        <f>IFERROR(__xludf.DUMMYFUNCTION("""COMPUTED_VALUE"""),"#SLMA - Segunda Licenciatura Matemática - Segunda Licenciatura Matemática - Loraine Ferreira da Silva - Psicologia da Educação/a - Nota Máxima: 8")</f>
        <v>#SLMA - Segunda Licenciatura Matemática - Segunda Licenciatura Matemática - Loraine Ferreira da Silva - Psicologia da Educação/a - Nota Máxima: 8</v>
      </c>
    </row>
    <row r="6010">
      <c r="A6010" s="390" t="str">
        <f>IFERROR(__xludf.DUMMYFUNCTION("""COMPUTED_VALUE"""),"#SLMA - Segunda Licenciatura Matemática - Segunda Licenciatura Matemática - Igor Costa Jaconi - Deficiência Auditiva e Libras/a - Nota Máxima: 9")</f>
        <v>#SLMA - Segunda Licenciatura Matemática - Segunda Licenciatura Matemática - Igor Costa Jaconi - Deficiência Auditiva e Libras/a - Nota Máxima: 9</v>
      </c>
    </row>
    <row r="6011">
      <c r="A6011" s="390" t="str">
        <f>IFERROR(__xludf.DUMMYFUNCTION("""COMPUTED_VALUE"""),"#SLMA - Segunda Licenciatura Matemática - Segunda Licenciatura Matemática - Igor Costa Jaconi - Deficiência Auditiva e Libras/a - Nota Máxima: 9")</f>
        <v>#SLMA - Segunda Licenciatura Matemática - Segunda Licenciatura Matemática - Igor Costa Jaconi - Deficiência Auditiva e Libras/a - Nota Máxima: 9</v>
      </c>
    </row>
    <row r="6012">
      <c r="A6012" s="390" t="str">
        <f>IFERROR(__xludf.DUMMYFUNCTION("""COMPUTED_VALUE"""),"#SLMA - Segunda Licenciatura Matemática - Segunda Licenciatura Matemática - Igor Costa Jaconi - Educação Especial, Inclusão Escolar e Adaptações Curriculares - Nota Máxima: 10")</f>
        <v>#SLMA - Segunda Licenciatura Matemática - Segunda Licenciatura Matemática - Igor Costa Jaconi - Educação Especial, Inclusão Escolar e Adaptações Curriculares - Nota Máxima: 10</v>
      </c>
    </row>
    <row r="6013">
      <c r="A6013" s="390" t="str">
        <f>IFERROR(__xludf.DUMMYFUNCTION("""COMPUTED_VALUE"""),"#SLMA - Segunda Licenciatura Matemática - Segunda Licenciatura Matemática - Igor Costa Jaconi - Educação Especial, Inclusão Escolar e Adaptações Curriculares - Nota Máxima: 7")</f>
        <v>#SLMA - Segunda Licenciatura Matemática - Segunda Licenciatura Matemática - Igor Costa Jaconi - Educação Especial, Inclusão Escolar e Adaptações Curriculares - Nota Máxima: 7</v>
      </c>
    </row>
    <row r="6014">
      <c r="A6014" s="390" t="str">
        <f>IFERROR(__xludf.DUMMYFUNCTION("""COMPUTED_VALUE"""),"#SLMA - Segunda Licenciatura Matemática - Segunda Licenciatura Matemática - Igor Costa Jaconi - Educação, História, Cultura e Práticas Indígenas/a - Nota Máxima: 10")</f>
        <v>#SLMA - Segunda Licenciatura Matemática - Segunda Licenciatura Matemática - Igor Costa Jaconi - Educação, História, Cultura e Práticas Indígenas/a - Nota Máxima: 10</v>
      </c>
    </row>
    <row r="6015">
      <c r="A6015" s="390" t="str">
        <f>IFERROR(__xludf.DUMMYFUNCTION("""COMPUTED_VALUE"""),"#SLMA - Segunda Licenciatura Matemática - Segunda Licenciatura Matemática - Igor Costa Jaconi - Educação, História, Cultura e Práticas Indígenas/a - Nota Máxima: 7")</f>
        <v>#SLMA - Segunda Licenciatura Matemática - Segunda Licenciatura Matemática - Igor Costa Jaconi - Educação, História, Cultura e Práticas Indígenas/a - Nota Máxima: 7</v>
      </c>
    </row>
    <row r="6016">
      <c r="A6016" s="390" t="str">
        <f>IFERROR(__xludf.DUMMYFUNCTION("""COMPUTED_VALUE"""),"#SLMA - Segunda Licenciatura Matemática - Segunda Licenciatura Matemática - Igor Costa Jaconi - Legislação Educacional/a - Nota Máxima: 8")</f>
        <v>#SLMA - Segunda Licenciatura Matemática - Segunda Licenciatura Matemática - Igor Costa Jaconi - Legislação Educacional/a - Nota Máxima: 8</v>
      </c>
    </row>
    <row r="6017">
      <c r="A6017" s="390" t="str">
        <f>IFERROR(__xludf.DUMMYFUNCTION("""COMPUTED_VALUE"""),"#SLMA - Segunda Licenciatura Matemática - Segunda Licenciatura Matemática - Igor Costa Jaconi - Legislação Educacional/a - Nota Máxima: 7")</f>
        <v>#SLMA - Segunda Licenciatura Matemática - Segunda Licenciatura Matemática - Igor Costa Jaconi - Legislação Educacional/a - Nota Máxima: 7</v>
      </c>
    </row>
    <row r="6018">
      <c r="A6018" s="390" t="str">
        <f>IFERROR(__xludf.DUMMYFUNCTION("""COMPUTED_VALUE"""),"#SLMA - Segunda Licenciatura Matemática - Segunda Licenciatura Matemática - Igor Costa Jaconi - Lógica e Fundamentos da Matemática - Nota Máxima: 10")</f>
        <v>#SLMA - Segunda Licenciatura Matemática - Segunda Licenciatura Matemática - Igor Costa Jaconi - Lógica e Fundamentos da Matemática - Nota Máxima: 10</v>
      </c>
    </row>
    <row r="6019">
      <c r="A6019" s="390" t="str">
        <f>IFERROR(__xludf.DUMMYFUNCTION("""COMPUTED_VALUE"""),"#SLMA - Segunda Licenciatura Matemática - Segunda Licenciatura Matemática - Igor Costa Jaconi - Lógica e Fundamentos da Matemática - Nota Máxima: 6")</f>
        <v>#SLMA - Segunda Licenciatura Matemática - Segunda Licenciatura Matemática - Igor Costa Jaconi - Lógica e Fundamentos da Matemática - Nota Máxima: 6</v>
      </c>
    </row>
    <row r="6020">
      <c r="A6020" s="390" t="str">
        <f>IFERROR(__xludf.DUMMYFUNCTION("""COMPUTED_VALUE"""),"#SLMA - Segunda Licenciatura Matemática - Segunda Licenciatura Matemática - Igor Costa Jaconi - Matemática e Raciocínio Lógico - Nota Máxima: 9")</f>
        <v>#SLMA - Segunda Licenciatura Matemática - Segunda Licenciatura Matemática - Igor Costa Jaconi - Matemática e Raciocínio Lógico - Nota Máxima: 9</v>
      </c>
    </row>
    <row r="6021">
      <c r="A6021" s="390" t="str">
        <f>IFERROR(__xludf.DUMMYFUNCTION("""COMPUTED_VALUE"""),"#SLMA - Segunda Licenciatura Matemática - Segunda Licenciatura Matemática - Igor Costa Jaconi - Matemática e Raciocínio Lógico - Nota Máxima: 5")</f>
        <v>#SLMA - Segunda Licenciatura Matemática - Segunda Licenciatura Matemática - Igor Costa Jaconi - Matemática e Raciocínio Lógico - Nota Máxima: 5</v>
      </c>
    </row>
    <row r="6022">
      <c r="A6022" s="390" t="str">
        <f>IFERROR(__xludf.DUMMYFUNCTION("""COMPUTED_VALUE"""),"#SLMA - Segunda Licenciatura Matemática - Segunda Licenciatura Matemática - Igor Costa Jaconi - Metodologia do Ensino da Matemática - Nota Máxima: 9")</f>
        <v>#SLMA - Segunda Licenciatura Matemática - Segunda Licenciatura Matemática - Igor Costa Jaconi - Metodologia do Ensino da Matemática - Nota Máxima: 9</v>
      </c>
    </row>
    <row r="6023">
      <c r="A6023" s="390" t="str">
        <f>IFERROR(__xludf.DUMMYFUNCTION("""COMPUTED_VALUE"""),"#SLMA - Segunda Licenciatura Matemática - Segunda Licenciatura Matemática - Igor Costa Jaconi - Metodologia do Ensino da Matemática - Nota Máxima: 9")</f>
        <v>#SLMA - Segunda Licenciatura Matemática - Segunda Licenciatura Matemática - Igor Costa Jaconi - Metodologia do Ensino da Matemática - Nota Máxima: 9</v>
      </c>
    </row>
    <row r="6024">
      <c r="A6024" s="390" t="str">
        <f>IFERROR(__xludf.DUMMYFUNCTION("""COMPUTED_VALUE"""),"#SLMA - Segunda Licenciatura Matemática - Segunda Licenciatura Matemática - Igor Costa Jaconi - Planejamento, Gestão Educacional e Currículo/a - Nota Máxima: 10")</f>
        <v>#SLMA - Segunda Licenciatura Matemática - Segunda Licenciatura Matemática - Igor Costa Jaconi - Planejamento, Gestão Educacional e Currículo/a - Nota Máxima: 10</v>
      </c>
    </row>
    <row r="6025">
      <c r="A6025" s="390" t="str">
        <f>IFERROR(__xludf.DUMMYFUNCTION("""COMPUTED_VALUE"""),"#SLMA - Segunda Licenciatura Matemática - Segunda Licenciatura Matemática - Igor Costa Jaconi - Planejamento, Gestão Educacional e Currículo/a - Nota Máxima: 9")</f>
        <v>#SLMA - Segunda Licenciatura Matemática - Segunda Licenciatura Matemática - Igor Costa Jaconi - Planejamento, Gestão Educacional e Currículo/a - Nota Máxima: 9</v>
      </c>
    </row>
    <row r="6026">
      <c r="A6026" s="390" t="str">
        <f>IFERROR(__xludf.DUMMYFUNCTION("""COMPUTED_VALUE"""),"#SLMA - Segunda Licenciatura Matemática - Segunda Licenciatura Matemática - Igor Costa Jaconi - Probabilidade e Estatística - Nota Máxima: 9")</f>
        <v>#SLMA - Segunda Licenciatura Matemática - Segunda Licenciatura Matemática - Igor Costa Jaconi - Probabilidade e Estatística - Nota Máxima: 9</v>
      </c>
    </row>
    <row r="6027">
      <c r="A6027" s="390" t="str">
        <f>IFERROR(__xludf.DUMMYFUNCTION("""COMPUTED_VALUE"""),"#SLMA - Segunda Licenciatura Matemática - Segunda Licenciatura Matemática - Igor Costa Jaconi - Probabilidade e Estatística - Nota Máxima: 4")</f>
        <v>#SLMA - Segunda Licenciatura Matemática - Segunda Licenciatura Matemática - Igor Costa Jaconi - Probabilidade e Estatística - Nota Máxima: 4</v>
      </c>
    </row>
    <row r="6028">
      <c r="A6028" s="390" t="str">
        <f>IFERROR(__xludf.DUMMYFUNCTION("""COMPUTED_VALUE"""),"#SLMA - Segunda Licenciatura Matemática - Segunda Licenciatura Matemática - Igor Costa Jaconi - Psicologia da Educação/a - Nota Máxima: 6")</f>
        <v>#SLMA - Segunda Licenciatura Matemática - Segunda Licenciatura Matemática - Igor Costa Jaconi - Psicologia da Educação/a - Nota Máxima: 6</v>
      </c>
    </row>
    <row r="6029">
      <c r="A6029" s="390" t="str">
        <f>IFERROR(__xludf.DUMMYFUNCTION("""COMPUTED_VALUE"""),"#SLMA - Segunda Licenciatura Matemática - Segunda Licenciatura Matemática - JOSE DIVINO DE FREITAS JUNIOR - Algebra - Nota Máxima: 8")</f>
        <v>#SLMA - Segunda Licenciatura Matemática - Segunda Licenciatura Matemática - JOSE DIVINO DE FREITAS JUNIOR - Algebra - Nota Máxima: 8</v>
      </c>
    </row>
    <row r="6030">
      <c r="A6030" s="390" t="str">
        <f>IFERROR(__xludf.DUMMYFUNCTION("""COMPUTED_VALUE"""),"#SLMA - Segunda Licenciatura Matemática - Segunda Licenciatura Matemática - JOSE DIVINO DE FREITAS JUNIOR - Cálculo - Nota Máxima: 7")</f>
        <v>#SLMA - Segunda Licenciatura Matemática - Segunda Licenciatura Matemática - JOSE DIVINO DE FREITAS JUNIOR - Cálculo - Nota Máxima: 7</v>
      </c>
    </row>
    <row r="6031">
      <c r="A6031" s="390" t="str">
        <f>IFERROR(__xludf.DUMMYFUNCTION("""COMPUTED_VALUE"""),"#SLMA - Segunda Licenciatura Matemática - Segunda Licenciatura Matemática - JOSE DIVINO DE FREITAS JUNIOR - Deficiência Auditiva e Libras/a - Nota Máxima: 9")</f>
        <v>#SLMA - Segunda Licenciatura Matemática - Segunda Licenciatura Matemática - JOSE DIVINO DE FREITAS JUNIOR - Deficiência Auditiva e Libras/a - Nota Máxima: 9</v>
      </c>
    </row>
    <row r="6032">
      <c r="A6032" s="390" t="str">
        <f>IFERROR(__xludf.DUMMYFUNCTION("""COMPUTED_VALUE"""),"#SLMA - Segunda Licenciatura Matemática - Segunda Licenciatura Matemática - JOSE DIVINO DE FREITAS JUNIOR - Deficiência Auditiva e Libras/a - Nota Máxima: 7")</f>
        <v>#SLMA - Segunda Licenciatura Matemática - Segunda Licenciatura Matemática - JOSE DIVINO DE FREITAS JUNIOR - Deficiência Auditiva e Libras/a - Nota Máxima: 7</v>
      </c>
    </row>
    <row r="6033">
      <c r="A6033" s="390" t="str">
        <f>IFERROR(__xludf.DUMMYFUNCTION("""COMPUTED_VALUE"""),"#SLMA - Segunda Licenciatura Matemática - Segunda Licenciatura Matemática - JOSE DIVINO DE FREITAS JUNIOR - Educação Especial, Inclusão Escolar e Adaptações Curriculares - Nota Máxima: 8")</f>
        <v>#SLMA - Segunda Licenciatura Matemática - Segunda Licenciatura Matemática - JOSE DIVINO DE FREITAS JUNIOR - Educação Especial, Inclusão Escolar e Adaptações Curriculares - Nota Máxima: 8</v>
      </c>
    </row>
    <row r="6034">
      <c r="A6034" s="390" t="str">
        <f>IFERROR(__xludf.DUMMYFUNCTION("""COMPUTED_VALUE"""),"#SLMA - Segunda Licenciatura Matemática - Segunda Licenciatura Matemática - JOSE DIVINO DE FREITAS JUNIOR - Educação Especial, Inclusão Escolar e Adaptações Curriculares - Nota Máxima: 8")</f>
        <v>#SLMA - Segunda Licenciatura Matemática - Segunda Licenciatura Matemática - JOSE DIVINO DE FREITAS JUNIOR - Educação Especial, Inclusão Escolar e Adaptações Curriculares - Nota Máxima: 8</v>
      </c>
    </row>
    <row r="6035">
      <c r="A6035" s="390" t="str">
        <f>IFERROR(__xludf.DUMMYFUNCTION("""COMPUTED_VALUE"""),"#SLMA - Segunda Licenciatura Matemática - Segunda Licenciatura Matemática - JOSE DIVINO DE FREITAS JUNIOR - Educação, História, Cultura e Práticas Indígenas/a - Nota Máxima: 9")</f>
        <v>#SLMA - Segunda Licenciatura Matemática - Segunda Licenciatura Matemática - JOSE DIVINO DE FREITAS JUNIOR - Educação, História, Cultura e Práticas Indígenas/a - Nota Máxima: 9</v>
      </c>
    </row>
    <row r="6036">
      <c r="A6036" s="390" t="str">
        <f>IFERROR(__xludf.DUMMYFUNCTION("""COMPUTED_VALUE"""),"#SLMA - Segunda Licenciatura Matemática - Segunda Licenciatura Matemática - JOSE DIVINO DE FREITAS JUNIOR - Geometria Analítica - Nota Máxima: 7")</f>
        <v>#SLMA - Segunda Licenciatura Matemática - Segunda Licenciatura Matemática - JOSE DIVINO DE FREITAS JUNIOR - Geometria Analítica - Nota Máxima: 7</v>
      </c>
    </row>
    <row r="6037">
      <c r="A6037" s="390" t="str">
        <f>IFERROR(__xludf.DUMMYFUNCTION("""COMPUTED_VALUE"""),"#SLMA - Segunda Licenciatura Matemática - Segunda Licenciatura Matemática - JOSE DIVINO DE FREITAS JUNIOR - Legislação Educacional/a - Nota Máxima: 8")</f>
        <v>#SLMA - Segunda Licenciatura Matemática - Segunda Licenciatura Matemática - JOSE DIVINO DE FREITAS JUNIOR - Legislação Educacional/a - Nota Máxima: 8</v>
      </c>
    </row>
    <row r="6038">
      <c r="A6038" s="390" t="str">
        <f>IFERROR(__xludf.DUMMYFUNCTION("""COMPUTED_VALUE"""),"#SLMA - Segunda Licenciatura Matemática - Segunda Licenciatura Matemática - JOSE DIVINO DE FREITAS JUNIOR - Legislação Educacional/a - Nota Máxima: 6")</f>
        <v>#SLMA - Segunda Licenciatura Matemática - Segunda Licenciatura Matemática - JOSE DIVINO DE FREITAS JUNIOR - Legislação Educacional/a - Nota Máxima: 6</v>
      </c>
    </row>
    <row r="6039">
      <c r="A6039" s="390" t="str">
        <f>IFERROR(__xludf.DUMMYFUNCTION("""COMPUTED_VALUE"""),"#SLMA - Segunda Licenciatura Matemática - Segunda Licenciatura Matemática - JOSE DIVINO DE FREITAS JUNIOR - Lógica e Fundamentos da Matemática - Nota Máxima: 9")</f>
        <v>#SLMA - Segunda Licenciatura Matemática - Segunda Licenciatura Matemática - JOSE DIVINO DE FREITAS JUNIOR - Lógica e Fundamentos da Matemática - Nota Máxima: 9</v>
      </c>
    </row>
    <row r="6040">
      <c r="A6040" s="390" t="str">
        <f>IFERROR(__xludf.DUMMYFUNCTION("""COMPUTED_VALUE"""),"#SLMA - Segunda Licenciatura Matemática - Segunda Licenciatura Matemática - JOSE DIVINO DE FREITAS JUNIOR - Matemática e Raciocínio Lógico - Nota Máxima: 7")</f>
        <v>#SLMA - Segunda Licenciatura Matemática - Segunda Licenciatura Matemática - JOSE DIVINO DE FREITAS JUNIOR - Matemática e Raciocínio Lógico - Nota Máxima: 7</v>
      </c>
    </row>
    <row r="6041">
      <c r="A6041" s="390" t="str">
        <f>IFERROR(__xludf.DUMMYFUNCTION("""COMPUTED_VALUE"""),"#SLMA - Segunda Licenciatura Matemática - Segunda Licenciatura Matemática - JOSE DIVINO DE FREITAS JUNIOR - Metodologia do Ensino da Matemática - Nota Máxima: 9")</f>
        <v>#SLMA - Segunda Licenciatura Matemática - Segunda Licenciatura Matemática - JOSE DIVINO DE FREITAS JUNIOR - Metodologia do Ensino da Matemática - Nota Máxima: 9</v>
      </c>
    </row>
    <row r="6042">
      <c r="A6042" s="390" t="str">
        <f>IFERROR(__xludf.DUMMYFUNCTION("""COMPUTED_VALUE"""),"#SLMA - Segunda Licenciatura Matemática - Segunda Licenciatura Matemática - JOSE DIVINO DE FREITAS JUNIOR - Planejamento, Gestão Educacional e Currículo/a - Nota Máxima: 8")</f>
        <v>#SLMA - Segunda Licenciatura Matemática - Segunda Licenciatura Matemática - JOSE DIVINO DE FREITAS JUNIOR - Planejamento, Gestão Educacional e Currículo/a - Nota Máxima: 8</v>
      </c>
    </row>
    <row r="6043">
      <c r="A6043" s="390" t="str">
        <f>IFERROR(__xludf.DUMMYFUNCTION("""COMPUTED_VALUE"""),"#SLMA - Segunda Licenciatura Matemática - Segunda Licenciatura Matemática - JOSE DIVINO DE FREITAS JUNIOR - Planejamento, Gestão Educacional e Currículo/a - Nota Máxima: 9")</f>
        <v>#SLMA - Segunda Licenciatura Matemática - Segunda Licenciatura Matemática - JOSE DIVINO DE FREITAS JUNIOR - Planejamento, Gestão Educacional e Currículo/a - Nota Máxima: 9</v>
      </c>
    </row>
    <row r="6044">
      <c r="A6044" s="390" t="str">
        <f>IFERROR(__xludf.DUMMYFUNCTION("""COMPUTED_VALUE"""),"#SLMA - Segunda Licenciatura Matemática - Segunda Licenciatura Matemática - JOSE DIVINO DE FREITAS JUNIOR - Práticas Pedagógicas - 400 Horas - Nota Máxima: 3")</f>
        <v>#SLMA - Segunda Licenciatura Matemática - Segunda Licenciatura Matemática - JOSE DIVINO DE FREITAS JUNIOR - Práticas Pedagógicas - 400 Horas - Nota Máxima: 3</v>
      </c>
    </row>
    <row r="6045">
      <c r="A6045" s="390" t="str">
        <f>IFERROR(__xludf.DUMMYFUNCTION("""COMPUTED_VALUE"""),"#SLMA - Segunda Licenciatura Matemática - Segunda Licenciatura Matemática - JOSE DIVINO DE FREITAS JUNIOR - Probabilidade e Estatística - Nota Máxima: 8")</f>
        <v>#SLMA - Segunda Licenciatura Matemática - Segunda Licenciatura Matemática - JOSE DIVINO DE FREITAS JUNIOR - Probabilidade e Estatística - Nota Máxima: 8</v>
      </c>
    </row>
    <row r="6046">
      <c r="A6046" s="390" t="str">
        <f>IFERROR(__xludf.DUMMYFUNCTION("""COMPUTED_VALUE"""),"#SLMA - Segunda Licenciatura Matemática - Segunda Licenciatura Matemática - JOSE DIVINO DE FREITAS JUNIOR - Psicologia da Educação/a - Nota Máxima: 7")</f>
        <v>#SLMA - Segunda Licenciatura Matemática - Segunda Licenciatura Matemática - JOSE DIVINO DE FREITAS JUNIOR - Psicologia da Educação/a - Nota Máxima: 7</v>
      </c>
    </row>
    <row r="6047">
      <c r="A6047" s="390" t="str">
        <f>IFERROR(__xludf.DUMMYFUNCTION("""COMPUTED_VALUE"""),"#SLMA - Segunda Licenciatura Matemática - Segunda Licenciatura Matemática - Fabrício Bonfim de Carvalho - Cálculo - Nota Máxima: 7")</f>
        <v>#SLMA - Segunda Licenciatura Matemática - Segunda Licenciatura Matemática - Fabrício Bonfim de Carvalho - Cálculo - Nota Máxima: 7</v>
      </c>
    </row>
    <row r="6048">
      <c r="A6048" s="390" t="str">
        <f>IFERROR(__xludf.DUMMYFUNCTION("""COMPUTED_VALUE"""),"#SLMA - Segunda Licenciatura Matemática - Segunda Licenciatura Matemática - Fabrício Bonfim de Carvalho - Deficiência Auditiva e Libras/a - Nota Máxima: 9")</f>
        <v>#SLMA - Segunda Licenciatura Matemática - Segunda Licenciatura Matemática - Fabrício Bonfim de Carvalho - Deficiência Auditiva e Libras/a - Nota Máxima: 9</v>
      </c>
    </row>
    <row r="6049">
      <c r="A6049" s="390" t="str">
        <f>IFERROR(__xludf.DUMMYFUNCTION("""COMPUTED_VALUE"""),"#SLMA - Segunda Licenciatura Matemática - Segunda Licenciatura Matemática - Fabrício Bonfim de Carvalho - Educação Especial, Inclusão Escolar e Adaptações Curriculares - Nota Máxima: 8")</f>
        <v>#SLMA - Segunda Licenciatura Matemática - Segunda Licenciatura Matemática - Fabrício Bonfim de Carvalho - Educação Especial, Inclusão Escolar e Adaptações Curriculares - Nota Máxima: 8</v>
      </c>
    </row>
    <row r="6050">
      <c r="A6050" s="390" t="str">
        <f>IFERROR(__xludf.DUMMYFUNCTION("""COMPUTED_VALUE"""),"#SLMA - Segunda Licenciatura Matemática - Segunda Licenciatura Matemática - Fabrício Bonfim de Carvalho - Educação, História, Cultura e Práticas Indígenas/a - Nota Máxima: 8")</f>
        <v>#SLMA - Segunda Licenciatura Matemática - Segunda Licenciatura Matemática - Fabrício Bonfim de Carvalho - Educação, História, Cultura e Práticas Indígenas/a - Nota Máxima: 8</v>
      </c>
    </row>
    <row r="6051">
      <c r="A6051" s="390" t="str">
        <f>IFERROR(__xludf.DUMMYFUNCTION("""COMPUTED_VALUE"""),"#SLMA - Segunda Licenciatura Matemática - Segunda Licenciatura Matemática - Fabrício Bonfim de Carvalho - Lógica e Fundamentos da Matemática - Nota Máxima: 7")</f>
        <v>#SLMA - Segunda Licenciatura Matemática - Segunda Licenciatura Matemática - Fabrício Bonfim de Carvalho - Lógica e Fundamentos da Matemática - Nota Máxima: 7</v>
      </c>
    </row>
    <row r="6052">
      <c r="A6052" s="390" t="str">
        <f>IFERROR(__xludf.DUMMYFUNCTION("""COMPUTED_VALUE"""),"#SLMA - Segunda Licenciatura Matemática - Segunda Licenciatura Matemática - Fabrício Bonfim de Carvalho - Matemática e Raciocínio Lógico - Nota Máxima: 8")</f>
        <v>#SLMA - Segunda Licenciatura Matemática - Segunda Licenciatura Matemática - Fabrício Bonfim de Carvalho - Matemática e Raciocínio Lógico - Nota Máxima: 8</v>
      </c>
    </row>
    <row r="6053">
      <c r="A6053" s="390" t="str">
        <f>IFERROR(__xludf.DUMMYFUNCTION("""COMPUTED_VALUE"""),"#SLMA - Segunda Licenciatura Matemática - Segunda Licenciatura Matemática - Fabrício Bonfim de Carvalho - Metodologia do Ensino da Matemática - Nota Máxima: 9")</f>
        <v>#SLMA - Segunda Licenciatura Matemática - Segunda Licenciatura Matemática - Fabrício Bonfim de Carvalho - Metodologia do Ensino da Matemática - Nota Máxima: 9</v>
      </c>
    </row>
    <row r="6054">
      <c r="A6054" s="390" t="str">
        <f>IFERROR(__xludf.DUMMYFUNCTION("""COMPUTED_VALUE"""),"#SLMA - Segunda Licenciatura Matemática - Segunda Licenciatura Matemática - Maria Vanessa dos santos - Algebra - Nota Máxima: 10")</f>
        <v>#SLMA - Segunda Licenciatura Matemática - Segunda Licenciatura Matemática - Maria Vanessa dos santos - Algebra - Nota Máxima: 10</v>
      </c>
    </row>
    <row r="6055">
      <c r="A6055" s="390" t="str">
        <f>IFERROR(__xludf.DUMMYFUNCTION("""COMPUTED_VALUE"""),"#SLMA - Segunda Licenciatura Matemática - Segunda Licenciatura Matemática - Maria Vanessa dos santos - Algebra - Nota Máxima: 4")</f>
        <v>#SLMA - Segunda Licenciatura Matemática - Segunda Licenciatura Matemática - Maria Vanessa dos santos - Algebra - Nota Máxima: 4</v>
      </c>
    </row>
    <row r="6056">
      <c r="A6056" s="390" t="str">
        <f>IFERROR(__xludf.DUMMYFUNCTION("""COMPUTED_VALUE"""),"#SLMA - Segunda Licenciatura Matemática - Segunda Licenciatura Matemática - Maria Vanessa dos santos - Cálculo - Nota Máxima: 1")</f>
        <v>#SLMA - Segunda Licenciatura Matemática - Segunda Licenciatura Matemática - Maria Vanessa dos santos - Cálculo - Nota Máxima: 1</v>
      </c>
    </row>
    <row r="6057">
      <c r="A6057" s="390" t="str">
        <f>IFERROR(__xludf.DUMMYFUNCTION("""COMPUTED_VALUE"""),"#SLMA - Segunda Licenciatura Matemática - Segunda Licenciatura Matemática - Maria Vanessa dos santos - Deficiência Auditiva e Libras/a - Nota Máxima: 4")</f>
        <v>#SLMA - Segunda Licenciatura Matemática - Segunda Licenciatura Matemática - Maria Vanessa dos santos - Deficiência Auditiva e Libras/a - Nota Máxima: 4</v>
      </c>
    </row>
    <row r="6058">
      <c r="A6058" s="390" t="str">
        <f>IFERROR(__xludf.DUMMYFUNCTION("""COMPUTED_VALUE"""),"#SLMA - Segunda Licenciatura Matemática - Segunda Licenciatura Matemática - Maria Vanessa dos santos - Educação Especial, Inclusão Escolar e Adaptações Curriculares - Nota Máxima: 9")</f>
        <v>#SLMA - Segunda Licenciatura Matemática - Segunda Licenciatura Matemática - Maria Vanessa dos santos - Educação Especial, Inclusão Escolar e Adaptações Curriculares - Nota Máxima: 9</v>
      </c>
    </row>
    <row r="6059">
      <c r="A6059" s="390" t="str">
        <f>IFERROR(__xludf.DUMMYFUNCTION("""COMPUTED_VALUE"""),"#SLMA - Segunda Licenciatura Matemática - Segunda Licenciatura Matemática - Maria Vanessa dos santos - Educação Especial, Inclusão Escolar e Adaptações Curriculares - Nota Máxima: 8")</f>
        <v>#SLMA - Segunda Licenciatura Matemática - Segunda Licenciatura Matemática - Maria Vanessa dos santos - Educação Especial, Inclusão Escolar e Adaptações Curriculares - Nota Máxima: 8</v>
      </c>
    </row>
    <row r="6060">
      <c r="A6060" s="390" t="str">
        <f>IFERROR(__xludf.DUMMYFUNCTION("""COMPUTED_VALUE"""),"#SLMA - Segunda Licenciatura Matemática - Segunda Licenciatura Matemática - Maria Vanessa dos santos - Educação, História, Cultura e Práticas Indígenas/a - Nota Máxima: 10")</f>
        <v>#SLMA - Segunda Licenciatura Matemática - Segunda Licenciatura Matemática - Maria Vanessa dos santos - Educação, História, Cultura e Práticas Indígenas/a - Nota Máxima: 10</v>
      </c>
    </row>
    <row r="6061">
      <c r="A6061" s="390" t="str">
        <f>IFERROR(__xludf.DUMMYFUNCTION("""COMPUTED_VALUE"""),"#SLMA - Segunda Licenciatura Matemática - Segunda Licenciatura Matemática - Maria Vanessa dos santos - Educação, História, Cultura e Práticas Indígenas/a - Nota Máxima: 7")</f>
        <v>#SLMA - Segunda Licenciatura Matemática - Segunda Licenciatura Matemática - Maria Vanessa dos santos - Educação, História, Cultura e Práticas Indígenas/a - Nota Máxima: 7</v>
      </c>
    </row>
    <row r="6062">
      <c r="A6062" s="390" t="str">
        <f>IFERROR(__xludf.DUMMYFUNCTION("""COMPUTED_VALUE"""),"#SLMA - Segunda Licenciatura Matemática - Segunda Licenciatura Matemática - Maria Vanessa dos santos - Geometria Analítica - Nota Máxima: 9")</f>
        <v>#SLMA - Segunda Licenciatura Matemática - Segunda Licenciatura Matemática - Maria Vanessa dos santos - Geometria Analítica - Nota Máxima: 9</v>
      </c>
    </row>
    <row r="6063">
      <c r="A6063" s="390" t="str">
        <f>IFERROR(__xludf.DUMMYFUNCTION("""COMPUTED_VALUE"""),"#SLMA - Segunda Licenciatura Matemática - Segunda Licenciatura Matemática - Maria Vanessa dos santos - Geometria Analítica - Nota Máxima: 4")</f>
        <v>#SLMA - Segunda Licenciatura Matemática - Segunda Licenciatura Matemática - Maria Vanessa dos santos - Geometria Analítica - Nota Máxima: 4</v>
      </c>
    </row>
    <row r="6064">
      <c r="A6064" s="390" t="str">
        <f>IFERROR(__xludf.DUMMYFUNCTION("""COMPUTED_VALUE"""),"#SLMA - Segunda Licenciatura Matemática - Segunda Licenciatura Matemática - Maria Vanessa dos santos - Legislação Educacional/a - Nota Máxima: 7")</f>
        <v>#SLMA - Segunda Licenciatura Matemática - Segunda Licenciatura Matemática - Maria Vanessa dos santos - Legislação Educacional/a - Nota Máxima: 7</v>
      </c>
    </row>
    <row r="6065">
      <c r="A6065" s="390" t="str">
        <f>IFERROR(__xludf.DUMMYFUNCTION("""COMPUTED_VALUE"""),"#SLMA - Segunda Licenciatura Matemática - Segunda Licenciatura Matemática - Maria Vanessa dos santos - Lógica e Fundamentos da Matemática - Nota Máxima: 9")</f>
        <v>#SLMA - Segunda Licenciatura Matemática - Segunda Licenciatura Matemática - Maria Vanessa dos santos - Lógica e Fundamentos da Matemática - Nota Máxima: 9</v>
      </c>
    </row>
    <row r="6066">
      <c r="A6066" s="390" t="str">
        <f>IFERROR(__xludf.DUMMYFUNCTION("""COMPUTED_VALUE"""),"#SLMA - Segunda Licenciatura Matemática - Segunda Licenciatura Matemática - Maria Vanessa dos santos - Lógica e Fundamentos da Matemática - Nota Máxima: 8")</f>
        <v>#SLMA - Segunda Licenciatura Matemática - Segunda Licenciatura Matemática - Maria Vanessa dos santos - Lógica e Fundamentos da Matemática - Nota Máxima: 8</v>
      </c>
    </row>
    <row r="6067">
      <c r="A6067" s="390" t="str">
        <f>IFERROR(__xludf.DUMMYFUNCTION("""COMPUTED_VALUE"""),"#SLMA - Segunda Licenciatura Matemática - Segunda Licenciatura Matemática - Maria Vanessa dos santos - Matemática e Raciocínio Lógico - Nota Máxima: 6")</f>
        <v>#SLMA - Segunda Licenciatura Matemática - Segunda Licenciatura Matemática - Maria Vanessa dos santos - Matemática e Raciocínio Lógico - Nota Máxima: 6</v>
      </c>
    </row>
    <row r="6068">
      <c r="A6068" s="390" t="str">
        <f>IFERROR(__xludf.DUMMYFUNCTION("""COMPUTED_VALUE"""),"#SLMA - Segunda Licenciatura Matemática - Segunda Licenciatura Matemática - Maria Vanessa dos santos - Metodologia do Ensino da Matemática - Nota Máxima: 10")</f>
        <v>#SLMA - Segunda Licenciatura Matemática - Segunda Licenciatura Matemática - Maria Vanessa dos santos - Metodologia do Ensino da Matemática - Nota Máxima: 10</v>
      </c>
    </row>
    <row r="6069">
      <c r="A6069" s="390" t="str">
        <f>IFERROR(__xludf.DUMMYFUNCTION("""COMPUTED_VALUE"""),"#SLMA - Segunda Licenciatura Matemática - Segunda Licenciatura Matemática - Maria Vanessa dos santos - Planejamento, Gestão Educacional e Currículo/a - Nota Máxima: 10")</f>
        <v>#SLMA - Segunda Licenciatura Matemática - Segunda Licenciatura Matemática - Maria Vanessa dos santos - Planejamento, Gestão Educacional e Currículo/a - Nota Máxima: 10</v>
      </c>
    </row>
    <row r="6070">
      <c r="A6070" s="390" t="str">
        <f>IFERROR(__xludf.DUMMYFUNCTION("""COMPUTED_VALUE"""),"#SLMA - Segunda Licenciatura Matemática - Segunda Licenciatura Matemática - Maria Vanessa dos santos - Práticas Pedagógicas - 400 Horas - Nota Máxima: 10")</f>
        <v>#SLMA - Segunda Licenciatura Matemática - Segunda Licenciatura Matemática - Maria Vanessa dos santos - Práticas Pedagógicas - 400 Horas - Nota Máxima: 10</v>
      </c>
    </row>
    <row r="6071">
      <c r="A6071" s="390" t="str">
        <f>IFERROR(__xludf.DUMMYFUNCTION("""COMPUTED_VALUE"""),"#SLMA - Segunda Licenciatura Matemática - Segunda Licenciatura Matemática - Maria Vanessa dos santos - Práticas Pedagógicas - 400 Horas - Nota Máxima: 45784")</f>
        <v>#SLMA - Segunda Licenciatura Matemática - Segunda Licenciatura Matemática - Maria Vanessa dos santos - Práticas Pedagógicas - 400 Horas - Nota Máxima: 45784</v>
      </c>
    </row>
    <row r="6072">
      <c r="A6072" s="390" t="str">
        <f>IFERROR(__xludf.DUMMYFUNCTION("""COMPUTED_VALUE"""),"#SLMA - Segunda Licenciatura Matemática - Segunda Licenciatura Matemática - Maria Vanessa dos santos - Probabilidade e Estatística - Nota Máxima: 9")</f>
        <v>#SLMA - Segunda Licenciatura Matemática - Segunda Licenciatura Matemática - Maria Vanessa dos santos - Probabilidade e Estatística - Nota Máxima: 9</v>
      </c>
    </row>
    <row r="6073">
      <c r="A6073" s="390" t="str">
        <f>IFERROR(__xludf.DUMMYFUNCTION("""COMPUTED_VALUE"""),"#SLMA - Segunda Licenciatura Matemática - Segunda Licenciatura Matemática - Maria Vanessa dos santos - Probabilidade e Estatística - Nota Máxima: 3")</f>
        <v>#SLMA - Segunda Licenciatura Matemática - Segunda Licenciatura Matemática - Maria Vanessa dos santos - Probabilidade e Estatística - Nota Máxima: 3</v>
      </c>
    </row>
    <row r="6074">
      <c r="A6074" s="390" t="str">
        <f>IFERROR(__xludf.DUMMYFUNCTION("""COMPUTED_VALUE"""),"#SLMA - Segunda Licenciatura Matemática - Segunda Licenciatura Matemática - Maria Vanessa dos santos - Psicologia da Educação/a - Nota Máxima: 4")</f>
        <v>#SLMA - Segunda Licenciatura Matemática - Segunda Licenciatura Matemática - Maria Vanessa dos santos - Psicologia da Educação/a - Nota Máxima: 4</v>
      </c>
    </row>
    <row r="6075">
      <c r="A6075" s="390" t="str">
        <f>IFERROR(__xludf.DUMMYFUNCTION("""COMPUTED_VALUE"""),"#SLAA - Segunda Licenciatura em Artes Visuais - Segunda Licenciatura em Artes Visuais - Leticy Araújo Andrade - Práticas Pedagógicas - 400 Horas - Nota Máxima: 3")</f>
        <v>#SLAA - Segunda Licenciatura em Artes Visuais - Segunda Licenciatura em Artes Visuais - Leticy Araújo Andrade - Práticas Pedagógicas - 400 Horas - Nota Máxima: 3</v>
      </c>
    </row>
    <row r="6076">
      <c r="A6076" s="390" t="str">
        <f>IFERROR(__xludf.DUMMYFUNCTION("""COMPUTED_VALUE"""),"#SLAA - Segunda Licenciatura em Artes Visuais - Segunda Licenciatura em Artes Visuais - Viviane Souza Gama de Andrade - Práticas Pedagógicas - 400 Horas - Nota Máxima: 45784")</f>
        <v>#SLAA - Segunda Licenciatura em Artes Visuais - Segunda Licenciatura em Artes Visuais - Viviane Souza Gama de Andrade - Práticas Pedagógicas - 400 Horas - Nota Máxima: 45784</v>
      </c>
    </row>
    <row r="6077">
      <c r="A6077" s="390" t="str">
        <f>IFERROR(__xludf.DUMMYFUNCTION("""COMPUTED_VALUE"""),"#SLAA - Segunda Licenciatura em Artes Visuais - Segunda Licenciatura em Artes Visuais - Nedyr Venus de Souza Assumpção - Arte Brasileira na Formação da Identidade Nacional - Nota Máxima: 5")</f>
        <v>#SLAA - Segunda Licenciatura em Artes Visuais - Segunda Licenciatura em Artes Visuais - Nedyr Venus de Souza Assumpção - Arte Brasileira na Formação da Identidade Nacional - Nota Máxima: 5</v>
      </c>
    </row>
    <row r="6078">
      <c r="A6078" s="390" t="str">
        <f>IFERROR(__xludf.DUMMYFUNCTION("""COMPUTED_VALUE"""),"#SLAA - Segunda Licenciatura em Artes Visuais - Segunda Licenciatura em Artes Visuais - Nedyr Venus de Souza Assumpção - Arte Conceitual, Instalações e Arte Urbana - Nota Máxima: 10")</f>
        <v>#SLAA - Segunda Licenciatura em Artes Visuais - Segunda Licenciatura em Artes Visuais - Nedyr Venus de Souza Assumpção - Arte Conceitual, Instalações e Arte Urbana - Nota Máxima: 10</v>
      </c>
    </row>
    <row r="6079">
      <c r="A6079" s="390" t="str">
        <f>IFERROR(__xludf.DUMMYFUNCTION("""COMPUTED_VALUE"""),"#SLAA - Segunda Licenciatura em Artes Visuais - Segunda Licenciatura em Artes Visuais - Nedyr Venus de Souza Assumpção - Arte Conceitual, Instalações e Arte Urbana - Nota Máxima: 2")</f>
        <v>#SLAA - Segunda Licenciatura em Artes Visuais - Segunda Licenciatura em Artes Visuais - Nedyr Venus de Souza Assumpção - Arte Conceitual, Instalações e Arte Urbana - Nota Máxima: 2</v>
      </c>
    </row>
    <row r="6080">
      <c r="A6080" s="390" t="str">
        <f>IFERROR(__xludf.DUMMYFUNCTION("""COMPUTED_VALUE"""),"#SLAA - Segunda Licenciatura em Artes Visuais - Segunda Licenciatura em Artes Visuais - Nedyr Venus de Souza Assumpção - Arte em Educação - Nota Máxima: 6")</f>
        <v>#SLAA - Segunda Licenciatura em Artes Visuais - Segunda Licenciatura em Artes Visuais - Nedyr Venus de Souza Assumpção - Arte em Educação - Nota Máxima: 6</v>
      </c>
    </row>
    <row r="6081">
      <c r="A6081" s="390" t="str">
        <f>IFERROR(__xludf.DUMMYFUNCTION("""COMPUTED_VALUE"""),"#SLAA - Segunda Licenciatura em Artes Visuais - Segunda Licenciatura em Artes Visuais - Nedyr Venus de Souza Assumpção - Deficiência Auditiva e Libras/a - Nota Máxima: 6")</f>
        <v>#SLAA - Segunda Licenciatura em Artes Visuais - Segunda Licenciatura em Artes Visuais - Nedyr Venus de Souza Assumpção - Deficiência Auditiva e Libras/a - Nota Máxima: 6</v>
      </c>
    </row>
    <row r="6082">
      <c r="A6082" s="390" t="str">
        <f>IFERROR(__xludf.DUMMYFUNCTION("""COMPUTED_VALUE"""),"#SLAA - Segunda Licenciatura em Artes Visuais - Segunda Licenciatura em Artes Visuais - Nedyr Venus de Souza Assumpção - Desenho e Observação - Nota Máxima: 10")</f>
        <v>#SLAA - Segunda Licenciatura em Artes Visuais - Segunda Licenciatura em Artes Visuais - Nedyr Venus de Souza Assumpção - Desenho e Observação - Nota Máxima: 10</v>
      </c>
    </row>
    <row r="6083">
      <c r="A6083" s="390" t="str">
        <f>IFERROR(__xludf.DUMMYFUNCTION("""COMPUTED_VALUE"""),"#SLAA - Segunda Licenciatura em Artes Visuais - Segunda Licenciatura em Artes Visuais - Nedyr Venus de Souza Assumpção - Desenho e Observação - Nota Máxima: 7")</f>
        <v>#SLAA - Segunda Licenciatura em Artes Visuais - Segunda Licenciatura em Artes Visuais - Nedyr Venus de Souza Assumpção - Desenho e Observação - Nota Máxima: 7</v>
      </c>
    </row>
    <row r="6084">
      <c r="A6084" s="390" t="str">
        <f>IFERROR(__xludf.DUMMYFUNCTION("""COMPUTED_VALUE"""),"#SLAA - Segunda Licenciatura em Artes Visuais - Segunda Licenciatura em Artes Visuais - Nedyr Venus de Souza Assumpção - Educação Especial, Inclusão Escolar e Adaptações Curriculares - Nota Máxima: 5")</f>
        <v>#SLAA - Segunda Licenciatura em Artes Visuais - Segunda Licenciatura em Artes Visuais - Nedyr Venus de Souza Assumpção - Educação Especial, Inclusão Escolar e Adaptações Curriculares - Nota Máxima: 5</v>
      </c>
    </row>
    <row r="6085">
      <c r="A6085" s="390" t="str">
        <f>IFERROR(__xludf.DUMMYFUNCTION("""COMPUTED_VALUE"""),"#SLAA - Segunda Licenciatura em Artes Visuais - Segunda Licenciatura em Artes Visuais - Nedyr Venus de Souza Assumpção - Educação, História, Cultura e Práticas Indígenas/a - Nota Máxima: 8")</f>
        <v>#SLAA - Segunda Licenciatura em Artes Visuais - Segunda Licenciatura em Artes Visuais - Nedyr Venus de Souza Assumpção - Educação, História, Cultura e Práticas Indígenas/a - Nota Máxima: 8</v>
      </c>
    </row>
    <row r="6086">
      <c r="A6086" s="390" t="str">
        <f>IFERROR(__xludf.DUMMYFUNCTION("""COMPUTED_VALUE"""),"#SLAA - Segunda Licenciatura em Artes Visuais - Segunda Licenciatura em Artes Visuais - Nedyr Venus de Souza Assumpção - Educação, História, Cultura e Práticas Indígenas/a - Nota Máxima: 5")</f>
        <v>#SLAA - Segunda Licenciatura em Artes Visuais - Segunda Licenciatura em Artes Visuais - Nedyr Venus de Souza Assumpção - Educação, História, Cultura e Práticas Indígenas/a - Nota Máxima: 5</v>
      </c>
    </row>
    <row r="6087">
      <c r="A6087" s="390" t="str">
        <f>IFERROR(__xludf.DUMMYFUNCTION("""COMPUTED_VALUE"""),"#SLAA - Segunda Licenciatura em Artes Visuais - Segunda Licenciatura em Artes Visuais - Nedyr Venus de Souza Assumpção - Expressão Gráfica - Nota Máxima: 10")</f>
        <v>#SLAA - Segunda Licenciatura em Artes Visuais - Segunda Licenciatura em Artes Visuais - Nedyr Venus de Souza Assumpção - Expressão Gráfica - Nota Máxima: 10</v>
      </c>
    </row>
    <row r="6088">
      <c r="A6088" s="390" t="str">
        <f>IFERROR(__xludf.DUMMYFUNCTION("""COMPUTED_VALUE"""),"#SLAA - Segunda Licenciatura em Artes Visuais - Segunda Licenciatura em Artes Visuais - Nedyr Venus de Souza Assumpção - Expressão Gráfica - Nota Máxima: 6")</f>
        <v>#SLAA - Segunda Licenciatura em Artes Visuais - Segunda Licenciatura em Artes Visuais - Nedyr Venus de Souza Assumpção - Expressão Gráfica - Nota Máxima: 6</v>
      </c>
    </row>
    <row r="6089">
      <c r="A6089" s="390" t="str">
        <f>IFERROR(__xludf.DUMMYFUNCTION("""COMPUTED_VALUE"""),"#SLAA - Segunda Licenciatura em Artes Visuais - Segunda Licenciatura em Artes Visuais - Nedyr Venus de Souza Assumpção - Filosofia das Artes à Estética - Nota Máxima: 8")</f>
        <v>#SLAA - Segunda Licenciatura em Artes Visuais - Segunda Licenciatura em Artes Visuais - Nedyr Venus de Souza Assumpção - Filosofia das Artes à Estética - Nota Máxima: 8</v>
      </c>
    </row>
    <row r="6090">
      <c r="A6090" s="390" t="str">
        <f>IFERROR(__xludf.DUMMYFUNCTION("""COMPUTED_VALUE"""),"#SLAA - Segunda Licenciatura em Artes Visuais - Segunda Licenciatura em Artes Visuais - Nedyr Venus de Souza Assumpção - Filosofia das Artes à Estética - Nota Máxima: 4")</f>
        <v>#SLAA - Segunda Licenciatura em Artes Visuais - Segunda Licenciatura em Artes Visuais - Nedyr Venus de Souza Assumpção - Filosofia das Artes à Estética - Nota Máxima: 4</v>
      </c>
    </row>
    <row r="6091">
      <c r="A6091" s="390" t="str">
        <f>IFERROR(__xludf.DUMMYFUNCTION("""COMPUTED_VALUE"""),"#SLAA - Segunda Licenciatura em Artes Visuais - Segunda Licenciatura em Artes Visuais - Nedyr Venus de Souza Assumpção - Legislação Educacional/a - Nota Máxima: 8")</f>
        <v>#SLAA - Segunda Licenciatura em Artes Visuais - Segunda Licenciatura em Artes Visuais - Nedyr Venus de Souza Assumpção - Legislação Educacional/a - Nota Máxima: 8</v>
      </c>
    </row>
    <row r="6092">
      <c r="A6092" s="390" t="str">
        <f>IFERROR(__xludf.DUMMYFUNCTION("""COMPUTED_VALUE"""),"#SLAA - Segunda Licenciatura em Artes Visuais - Segunda Licenciatura em Artes Visuais - Nedyr Venus de Souza Assumpção - Linguagem das Artes Plásticas - Nota Máxima: 3")</f>
        <v>#SLAA - Segunda Licenciatura em Artes Visuais - Segunda Licenciatura em Artes Visuais - Nedyr Venus de Souza Assumpção - Linguagem das Artes Plásticas - Nota Máxima: 3</v>
      </c>
    </row>
    <row r="6093">
      <c r="A6093" s="390" t="str">
        <f>IFERROR(__xludf.DUMMYFUNCTION("""COMPUTED_VALUE"""),"#SLAA - Segunda Licenciatura em Artes Visuais - Segunda Licenciatura em Artes Visuais - Nedyr Venus de Souza Assumpção - Planejamento, Gestão Educacional e Currículo/a - Nota Máxima: 8")</f>
        <v>#SLAA - Segunda Licenciatura em Artes Visuais - Segunda Licenciatura em Artes Visuais - Nedyr Venus de Souza Assumpção - Planejamento, Gestão Educacional e Currículo/a - Nota Máxima: 8</v>
      </c>
    </row>
    <row r="6094">
      <c r="A6094" s="390" t="str">
        <f>IFERROR(__xludf.DUMMYFUNCTION("""COMPUTED_VALUE"""),"#SLAA - Segunda Licenciatura em Artes Visuais - Segunda Licenciatura em Artes Visuais - Nedyr Venus de Souza Assumpção - Práticas Pedagógicas - 400 Horas - Nota Máxima: 10")</f>
        <v>#SLAA - Segunda Licenciatura em Artes Visuais - Segunda Licenciatura em Artes Visuais - Nedyr Venus de Souza Assumpção - Práticas Pedagógicas - 400 Horas - Nota Máxima: 10</v>
      </c>
    </row>
    <row r="6095">
      <c r="A6095" s="390" t="str">
        <f>IFERROR(__xludf.DUMMYFUNCTION("""COMPUTED_VALUE"""),"#SLAA - Segunda Licenciatura em Artes Visuais - Segunda Licenciatura em Artes Visuais - Nedyr Venus de Souza Assumpção - Práticas Pedagógicas - 400 Horas - Nota Máxima: 45784")</f>
        <v>#SLAA - Segunda Licenciatura em Artes Visuais - Segunda Licenciatura em Artes Visuais - Nedyr Venus de Souza Assumpção - Práticas Pedagógicas - 400 Horas - Nota Máxima: 45784</v>
      </c>
    </row>
    <row r="6096">
      <c r="A6096" s="390" t="str">
        <f>IFERROR(__xludf.DUMMYFUNCTION("""COMPUTED_VALUE"""),"#SLAA - Segunda Licenciatura em Artes Visuais - Segunda Licenciatura em Artes Visuais - Nedyr Venus de Souza Assumpção - Psicologia da Educação/a - Nota Máxima: 5")</f>
        <v>#SLAA - Segunda Licenciatura em Artes Visuais - Segunda Licenciatura em Artes Visuais - Nedyr Venus de Souza Assumpção - Psicologia da Educação/a - Nota Máxima: 5</v>
      </c>
    </row>
    <row r="6097">
      <c r="A6097" s="390" t="str">
        <f>IFERROR(__xludf.DUMMYFUNCTION("""COMPUTED_VALUE"""),"#SLAA - Segunda Licenciatura em Artes Visuais - Segunda Licenciatura em Artes Visuais - Nedyr Venus de Souza Assumpção - Psicomotricidade e Ludopedagogia - Nota Máxima: 8")</f>
        <v>#SLAA - Segunda Licenciatura em Artes Visuais - Segunda Licenciatura em Artes Visuais - Nedyr Venus de Souza Assumpção - Psicomotricidade e Ludopedagogia - Nota Máxima: 8</v>
      </c>
    </row>
    <row r="6098">
      <c r="A6098" s="390" t="str">
        <f>IFERROR(__xludf.DUMMYFUNCTION("""COMPUTED_VALUE"""),"#SLAA - Segunda Licenciatura em Artes Visuais - Segunda Licenciatura em Artes Visuais - Nedyr Venus de Souza Assumpção - Psicomotricidade e Ludopedagogia - Nota Máxima: 3")</f>
        <v>#SLAA - Segunda Licenciatura em Artes Visuais - Segunda Licenciatura em Artes Visuais - Nedyr Venus de Souza Assumpção - Psicomotricidade e Ludopedagogia - Nota Máxima: 3</v>
      </c>
    </row>
    <row r="6099">
      <c r="A6099" s="390" t="str">
        <f>IFERROR(__xludf.DUMMYFUNCTION("""COMPUTED_VALUE"""),"#SLAA - Segunda Licenciatura em Artes Visuais - Segunda Licenciatura em Artes Visuais - Nedyr Venus de Souza Assumpção - Tecnologia nas Artes Visuais - Nota Máxima: 9")</f>
        <v>#SLAA - Segunda Licenciatura em Artes Visuais - Segunda Licenciatura em Artes Visuais - Nedyr Venus de Souza Assumpção - Tecnologia nas Artes Visuais - Nota Máxima: 9</v>
      </c>
    </row>
    <row r="6100">
      <c r="A6100" s="390" t="str">
        <f>IFERROR(__xludf.DUMMYFUNCTION("""COMPUTED_VALUE"""),"#SLAA - Segunda Licenciatura em Artes Visuais - Segunda Licenciatura em Artes Visuais - Nedyr Venus de Souza Assumpção - Tecnologia nas Artes Visuais - Nota Máxima: 4")</f>
        <v>#SLAA - Segunda Licenciatura em Artes Visuais - Segunda Licenciatura em Artes Visuais - Nedyr Venus de Souza Assumpção - Tecnologia nas Artes Visuais - Nota Máxima: 4</v>
      </c>
    </row>
    <row r="6101">
      <c r="A6101" s="390" t="str">
        <f>IFERROR(__xludf.DUMMYFUNCTION("""COMPUTED_VALUE"""),"#SLAA - Segunda Licenciatura em Artes Visuais - Segunda Licenciatura em Artes Visuais - Mara Gonçalves Marchesin. - Arte Brasileira na Formação da Identidade Nacional - Nota Máxima: 10")</f>
        <v>#SLAA - Segunda Licenciatura em Artes Visuais - Segunda Licenciatura em Artes Visuais - Mara Gonçalves Marchesin. - Arte Brasileira na Formação da Identidade Nacional - Nota Máxima: 10</v>
      </c>
    </row>
    <row r="6102">
      <c r="A6102" s="390" t="str">
        <f>IFERROR(__xludf.DUMMYFUNCTION("""COMPUTED_VALUE"""),"#SLAA - Segunda Licenciatura em Artes Visuais - Segunda Licenciatura em Artes Visuais - Mara Gonçalves Marchesin. - Arte Brasileira na Formação da Identidade Nacional - Nota Máxima: 10")</f>
        <v>#SLAA - Segunda Licenciatura em Artes Visuais - Segunda Licenciatura em Artes Visuais - Mara Gonçalves Marchesin. - Arte Brasileira na Formação da Identidade Nacional - Nota Máxima: 10</v>
      </c>
    </row>
    <row r="6103">
      <c r="A6103" s="390" t="str">
        <f>IFERROR(__xludf.DUMMYFUNCTION("""COMPUTED_VALUE"""),"#SLAA - Segunda Licenciatura em Artes Visuais - Segunda Licenciatura em Artes Visuais - Mara Gonçalves Marchesin. - Arte Conceitual, Instalações e Arte Urbana - Nota Máxima: 10")</f>
        <v>#SLAA - Segunda Licenciatura em Artes Visuais - Segunda Licenciatura em Artes Visuais - Mara Gonçalves Marchesin. - Arte Conceitual, Instalações e Arte Urbana - Nota Máxima: 10</v>
      </c>
    </row>
    <row r="6104">
      <c r="A6104" s="390" t="str">
        <f>IFERROR(__xludf.DUMMYFUNCTION("""COMPUTED_VALUE"""),"#SLAA - Segunda Licenciatura em Artes Visuais - Segunda Licenciatura em Artes Visuais - Mara Gonçalves Marchesin. - Arte Conceitual, Instalações e Arte Urbana - Nota Máxima: 8")</f>
        <v>#SLAA - Segunda Licenciatura em Artes Visuais - Segunda Licenciatura em Artes Visuais - Mara Gonçalves Marchesin. - Arte Conceitual, Instalações e Arte Urbana - Nota Máxima: 8</v>
      </c>
    </row>
    <row r="6105">
      <c r="A6105" s="390" t="str">
        <f>IFERROR(__xludf.DUMMYFUNCTION("""COMPUTED_VALUE"""),"#SLAA - Segunda Licenciatura em Artes Visuais - Segunda Licenciatura em Artes Visuais - Mara Gonçalves Marchesin. - Arte em Educação - Nota Máxima: 10")</f>
        <v>#SLAA - Segunda Licenciatura em Artes Visuais - Segunda Licenciatura em Artes Visuais - Mara Gonçalves Marchesin. - Arte em Educação - Nota Máxima: 10</v>
      </c>
    </row>
    <row r="6106">
      <c r="A6106" s="390" t="str">
        <f>IFERROR(__xludf.DUMMYFUNCTION("""COMPUTED_VALUE"""),"#SLAA - Segunda Licenciatura em Artes Visuais - Segunda Licenciatura em Artes Visuais - Mara Gonçalves Marchesin. - Arte em Educação - Nota Máxima: 10")</f>
        <v>#SLAA - Segunda Licenciatura em Artes Visuais - Segunda Licenciatura em Artes Visuais - Mara Gonçalves Marchesin. - Arte em Educação - Nota Máxima: 10</v>
      </c>
    </row>
    <row r="6107">
      <c r="A6107" s="390" t="str">
        <f>IFERROR(__xludf.DUMMYFUNCTION("""COMPUTED_VALUE"""),"#SLAA - Segunda Licenciatura em Artes Visuais - Segunda Licenciatura em Artes Visuais - Mara Gonçalves Marchesin. - Deficiência Auditiva e Libras/a - Nota Máxima: 10")</f>
        <v>#SLAA - Segunda Licenciatura em Artes Visuais - Segunda Licenciatura em Artes Visuais - Mara Gonçalves Marchesin. - Deficiência Auditiva e Libras/a - Nota Máxima: 10</v>
      </c>
    </row>
    <row r="6108">
      <c r="A6108" s="390" t="str">
        <f>IFERROR(__xludf.DUMMYFUNCTION("""COMPUTED_VALUE"""),"#SLAA - Segunda Licenciatura em Artes Visuais - Segunda Licenciatura em Artes Visuais - Mara Gonçalves Marchesin. - Deficiência Auditiva e Libras/a - Nota Máxima: 9")</f>
        <v>#SLAA - Segunda Licenciatura em Artes Visuais - Segunda Licenciatura em Artes Visuais - Mara Gonçalves Marchesin. - Deficiência Auditiva e Libras/a - Nota Máxima: 9</v>
      </c>
    </row>
    <row r="6109">
      <c r="A6109" s="390" t="str">
        <f>IFERROR(__xludf.DUMMYFUNCTION("""COMPUTED_VALUE"""),"#SLAA - Segunda Licenciatura em Artes Visuais - Segunda Licenciatura em Artes Visuais - Mara Gonçalves Marchesin. - Desenho e Observação - Nota Máxima: 8")</f>
        <v>#SLAA - Segunda Licenciatura em Artes Visuais - Segunda Licenciatura em Artes Visuais - Mara Gonçalves Marchesin. - Desenho e Observação - Nota Máxima: 8</v>
      </c>
    </row>
    <row r="6110">
      <c r="A6110" s="390" t="str">
        <f>IFERROR(__xludf.DUMMYFUNCTION("""COMPUTED_VALUE"""),"#SLAA - Segunda Licenciatura em Artes Visuais - Segunda Licenciatura em Artes Visuais - Mara Gonçalves Marchesin. - Desenho e Observação - Nota Máxima: 9")</f>
        <v>#SLAA - Segunda Licenciatura em Artes Visuais - Segunda Licenciatura em Artes Visuais - Mara Gonçalves Marchesin. - Desenho e Observação - Nota Máxima: 9</v>
      </c>
    </row>
    <row r="6111">
      <c r="A6111" s="390" t="str">
        <f>IFERROR(__xludf.DUMMYFUNCTION("""COMPUTED_VALUE"""),"#SLAA - Segunda Licenciatura em Artes Visuais - Segunda Licenciatura em Artes Visuais - Mara Gonçalves Marchesin. - Educação Especial, Inclusão Escolar e Adaptações Curriculares - Nota Máxima: 10")</f>
        <v>#SLAA - Segunda Licenciatura em Artes Visuais - Segunda Licenciatura em Artes Visuais - Mara Gonçalves Marchesin. - Educação Especial, Inclusão Escolar e Adaptações Curriculares - Nota Máxima: 10</v>
      </c>
    </row>
    <row r="6112">
      <c r="A6112" s="390" t="str">
        <f>IFERROR(__xludf.DUMMYFUNCTION("""COMPUTED_VALUE"""),"#SLAA - Segunda Licenciatura em Artes Visuais - Segunda Licenciatura em Artes Visuais - Mara Gonçalves Marchesin. - Educação Especial, Inclusão Escolar e Adaptações Curriculares - Nota Máxima: 9")</f>
        <v>#SLAA - Segunda Licenciatura em Artes Visuais - Segunda Licenciatura em Artes Visuais - Mara Gonçalves Marchesin. - Educação Especial, Inclusão Escolar e Adaptações Curriculares - Nota Máxima: 9</v>
      </c>
    </row>
    <row r="6113">
      <c r="A6113" s="390" t="str">
        <f>IFERROR(__xludf.DUMMYFUNCTION("""COMPUTED_VALUE"""),"#SLAA - Segunda Licenciatura em Artes Visuais - Segunda Licenciatura em Artes Visuais - Mara Gonçalves Marchesin. - Educação, História, Cultura e Práticas Indígenas/a - Nota Máxima: 10")</f>
        <v>#SLAA - Segunda Licenciatura em Artes Visuais - Segunda Licenciatura em Artes Visuais - Mara Gonçalves Marchesin. - Educação, História, Cultura e Práticas Indígenas/a - Nota Máxima: 10</v>
      </c>
    </row>
    <row r="6114">
      <c r="A6114" s="390" t="str">
        <f>IFERROR(__xludf.DUMMYFUNCTION("""COMPUTED_VALUE"""),"#SLAA - Segunda Licenciatura em Artes Visuais - Segunda Licenciatura em Artes Visuais - Mara Gonçalves Marchesin. - Educação, História, Cultura e Práticas Indígenas/a - Nota Máxima: 6")</f>
        <v>#SLAA - Segunda Licenciatura em Artes Visuais - Segunda Licenciatura em Artes Visuais - Mara Gonçalves Marchesin. - Educação, História, Cultura e Práticas Indígenas/a - Nota Máxima: 6</v>
      </c>
    </row>
    <row r="6115">
      <c r="A6115" s="390" t="str">
        <f>IFERROR(__xludf.DUMMYFUNCTION("""COMPUTED_VALUE"""),"#SLAA - Segunda Licenciatura em Artes Visuais - Segunda Licenciatura em Artes Visuais - Mara Gonçalves Marchesin. - Expressão Gráfica - Nota Máxima: 10")</f>
        <v>#SLAA - Segunda Licenciatura em Artes Visuais - Segunda Licenciatura em Artes Visuais - Mara Gonçalves Marchesin. - Expressão Gráfica - Nota Máxima: 10</v>
      </c>
    </row>
    <row r="6116">
      <c r="A6116" s="390" t="str">
        <f>IFERROR(__xludf.DUMMYFUNCTION("""COMPUTED_VALUE"""),"#SLAA - Segunda Licenciatura em Artes Visuais - Segunda Licenciatura em Artes Visuais - Mara Gonçalves Marchesin. - Expressão Gráfica - Nota Máxima: 10")</f>
        <v>#SLAA - Segunda Licenciatura em Artes Visuais - Segunda Licenciatura em Artes Visuais - Mara Gonçalves Marchesin. - Expressão Gráfica - Nota Máxima: 10</v>
      </c>
    </row>
    <row r="6117">
      <c r="A6117" s="390" t="str">
        <f>IFERROR(__xludf.DUMMYFUNCTION("""COMPUTED_VALUE"""),"#SLAA - Segunda Licenciatura em Artes Visuais - Segunda Licenciatura em Artes Visuais - Mara Gonçalves Marchesin. - Filosofia das Artes à Estética - Nota Máxima: 10")</f>
        <v>#SLAA - Segunda Licenciatura em Artes Visuais - Segunda Licenciatura em Artes Visuais - Mara Gonçalves Marchesin. - Filosofia das Artes à Estética - Nota Máxima: 10</v>
      </c>
    </row>
    <row r="6118">
      <c r="A6118" s="390" t="str">
        <f>IFERROR(__xludf.DUMMYFUNCTION("""COMPUTED_VALUE"""),"#SLAA - Segunda Licenciatura em Artes Visuais - Segunda Licenciatura em Artes Visuais - Mara Gonçalves Marchesin. - Filosofia das Artes à Estética - Nota Máxima: 4")</f>
        <v>#SLAA - Segunda Licenciatura em Artes Visuais - Segunda Licenciatura em Artes Visuais - Mara Gonçalves Marchesin. - Filosofia das Artes à Estética - Nota Máxima: 4</v>
      </c>
    </row>
    <row r="6119">
      <c r="A6119" s="390" t="str">
        <f>IFERROR(__xludf.DUMMYFUNCTION("""COMPUTED_VALUE"""),"#SLAA - Segunda Licenciatura em Artes Visuais - Segunda Licenciatura em Artes Visuais - Mara Gonçalves Marchesin. - Legislação Educacional/a - Nota Máxima: 9")</f>
        <v>#SLAA - Segunda Licenciatura em Artes Visuais - Segunda Licenciatura em Artes Visuais - Mara Gonçalves Marchesin. - Legislação Educacional/a - Nota Máxima: 9</v>
      </c>
    </row>
    <row r="6120">
      <c r="A6120" s="390" t="str">
        <f>IFERROR(__xludf.DUMMYFUNCTION("""COMPUTED_VALUE"""),"#SLAA - Segunda Licenciatura em Artes Visuais - Segunda Licenciatura em Artes Visuais - Mara Gonçalves Marchesin. - Legislação Educacional/a - Nota Máxima: 9")</f>
        <v>#SLAA - Segunda Licenciatura em Artes Visuais - Segunda Licenciatura em Artes Visuais - Mara Gonçalves Marchesin. - Legislação Educacional/a - Nota Máxima: 9</v>
      </c>
    </row>
    <row r="6121">
      <c r="A6121" s="390" t="str">
        <f>IFERROR(__xludf.DUMMYFUNCTION("""COMPUTED_VALUE"""),"#SLAA - Segunda Licenciatura em Artes Visuais - Segunda Licenciatura em Artes Visuais - Mara Gonçalves Marchesin. - Linguagem das Artes Plásticas - Nota Máxima: 10")</f>
        <v>#SLAA - Segunda Licenciatura em Artes Visuais - Segunda Licenciatura em Artes Visuais - Mara Gonçalves Marchesin. - Linguagem das Artes Plásticas - Nota Máxima: 10</v>
      </c>
    </row>
    <row r="6122">
      <c r="A6122" s="390" t="str">
        <f>IFERROR(__xludf.DUMMYFUNCTION("""COMPUTED_VALUE"""),"#SLAA - Segunda Licenciatura em Artes Visuais - Segunda Licenciatura em Artes Visuais - Mara Gonçalves Marchesin. - Linguagem das Artes Plásticas - Nota Máxima: 10")</f>
        <v>#SLAA - Segunda Licenciatura em Artes Visuais - Segunda Licenciatura em Artes Visuais - Mara Gonçalves Marchesin. - Linguagem das Artes Plásticas - Nota Máxima: 10</v>
      </c>
    </row>
    <row r="6123">
      <c r="A6123" s="390" t="str">
        <f>IFERROR(__xludf.DUMMYFUNCTION("""COMPUTED_VALUE"""),"#SLAA - Segunda Licenciatura em Artes Visuais - Segunda Licenciatura em Artes Visuais - Mara Gonçalves Marchesin. - Planejamento, Gestão Educacional e Currículo/a - Nota Máxima: 10")</f>
        <v>#SLAA - Segunda Licenciatura em Artes Visuais - Segunda Licenciatura em Artes Visuais - Mara Gonçalves Marchesin. - Planejamento, Gestão Educacional e Currículo/a - Nota Máxima: 10</v>
      </c>
    </row>
    <row r="6124">
      <c r="A6124" s="390" t="str">
        <f>IFERROR(__xludf.DUMMYFUNCTION("""COMPUTED_VALUE"""),"#SLAA - Segunda Licenciatura em Artes Visuais - Segunda Licenciatura em Artes Visuais - Mara Gonçalves Marchesin. - Planejamento, Gestão Educacional e Currículo/a - Nota Máxima: 10")</f>
        <v>#SLAA - Segunda Licenciatura em Artes Visuais - Segunda Licenciatura em Artes Visuais - Mara Gonçalves Marchesin. - Planejamento, Gestão Educacional e Currículo/a - Nota Máxima: 10</v>
      </c>
    </row>
    <row r="6125">
      <c r="A6125" s="390" t="str">
        <f>IFERROR(__xludf.DUMMYFUNCTION("""COMPUTED_VALUE"""),"#SLAA - Segunda Licenciatura em Artes Visuais - Segunda Licenciatura em Artes Visuais - Mara Gonçalves Marchesin. - Práticas Pedagógicas - 400 Horas - Nota Máxima: 10")</f>
        <v>#SLAA - Segunda Licenciatura em Artes Visuais - Segunda Licenciatura em Artes Visuais - Mara Gonçalves Marchesin. - Práticas Pedagógicas - 400 Horas - Nota Máxima: 10</v>
      </c>
    </row>
    <row r="6126">
      <c r="A6126" s="390" t="str">
        <f>IFERROR(__xludf.DUMMYFUNCTION("""COMPUTED_VALUE"""),"#SLAA - Segunda Licenciatura em Artes Visuais - Segunda Licenciatura em Artes Visuais - Mara Gonçalves Marchesin. - Práticas Pedagógicas - 400 Horas - Nota Máxima: 4")</f>
        <v>#SLAA - Segunda Licenciatura em Artes Visuais - Segunda Licenciatura em Artes Visuais - Mara Gonçalves Marchesin. - Práticas Pedagógicas - 400 Horas - Nota Máxima: 4</v>
      </c>
    </row>
    <row r="6127">
      <c r="A6127" s="390" t="str">
        <f>IFERROR(__xludf.DUMMYFUNCTION("""COMPUTED_VALUE"""),"#SLAA - Segunda Licenciatura em Artes Visuais - Segunda Licenciatura em Artes Visuais - Mara Gonçalves Marchesin. - Psicologia da Educação/a - Nota Máxima: 10")</f>
        <v>#SLAA - Segunda Licenciatura em Artes Visuais - Segunda Licenciatura em Artes Visuais - Mara Gonçalves Marchesin. - Psicologia da Educação/a - Nota Máxima: 10</v>
      </c>
    </row>
    <row r="6128">
      <c r="A6128" s="390" t="str">
        <f>IFERROR(__xludf.DUMMYFUNCTION("""COMPUTED_VALUE"""),"#SLAA - Segunda Licenciatura em Artes Visuais - Segunda Licenciatura em Artes Visuais - Mara Gonçalves Marchesin. - Psicologia da Educação/a - Nota Máxima: 8")</f>
        <v>#SLAA - Segunda Licenciatura em Artes Visuais - Segunda Licenciatura em Artes Visuais - Mara Gonçalves Marchesin. - Psicologia da Educação/a - Nota Máxima: 8</v>
      </c>
    </row>
    <row r="6129">
      <c r="A6129" s="390" t="str">
        <f>IFERROR(__xludf.DUMMYFUNCTION("""COMPUTED_VALUE"""),"#SLAA - Segunda Licenciatura em Artes Visuais - Segunda Licenciatura em Artes Visuais - Mara Gonçalves Marchesin. - Psicomotricidade e Ludopedagogia - Nota Máxima: 10")</f>
        <v>#SLAA - Segunda Licenciatura em Artes Visuais - Segunda Licenciatura em Artes Visuais - Mara Gonçalves Marchesin. - Psicomotricidade e Ludopedagogia - Nota Máxima: 10</v>
      </c>
    </row>
    <row r="6130">
      <c r="A6130" s="390" t="str">
        <f>IFERROR(__xludf.DUMMYFUNCTION("""COMPUTED_VALUE"""),"#SLAA - Segunda Licenciatura em Artes Visuais - Segunda Licenciatura em Artes Visuais - Mara Gonçalves Marchesin. - Psicomotricidade e Ludopedagogia - Nota Máxima: 8")</f>
        <v>#SLAA - Segunda Licenciatura em Artes Visuais - Segunda Licenciatura em Artes Visuais - Mara Gonçalves Marchesin. - Psicomotricidade e Ludopedagogia - Nota Máxima: 8</v>
      </c>
    </row>
    <row r="6131">
      <c r="A6131" s="390" t="str">
        <f>IFERROR(__xludf.DUMMYFUNCTION("""COMPUTED_VALUE"""),"#SLAA - Segunda Licenciatura em Artes Visuais - Segunda Licenciatura em Artes Visuais - Mara Gonçalves Marchesin. - Tecnologia nas Artes Visuais - Nota Máxima: 10")</f>
        <v>#SLAA - Segunda Licenciatura em Artes Visuais - Segunda Licenciatura em Artes Visuais - Mara Gonçalves Marchesin. - Tecnologia nas Artes Visuais - Nota Máxima: 10</v>
      </c>
    </row>
    <row r="6132">
      <c r="A6132" s="390" t="str">
        <f>IFERROR(__xludf.DUMMYFUNCTION("""COMPUTED_VALUE"""),"#SLAA - Segunda Licenciatura em Artes Visuais - Segunda Licenciatura em Artes Visuais - Mara Gonçalves Marchesin. - Tecnologia nas Artes Visuais - Nota Máxima: 6")</f>
        <v>#SLAA - Segunda Licenciatura em Artes Visuais - Segunda Licenciatura em Artes Visuais - Mara Gonçalves Marchesin. - Tecnologia nas Artes Visuais - Nota Máxima: 6</v>
      </c>
    </row>
    <row r="6133">
      <c r="A6133" s="390" t="str">
        <f>IFERROR(__xludf.DUMMYFUNCTION("""COMPUTED_VALUE"""),"#SLAA - Segunda Licenciatura em Artes Visuais - Segunda Licenciatura em Artes Visuais - Iris de Azevedo Pereira - Arte Brasileira na Formação da Identidade Nacional - Nota Máxima: 10")</f>
        <v>#SLAA - Segunda Licenciatura em Artes Visuais - Segunda Licenciatura em Artes Visuais - Iris de Azevedo Pereira - Arte Brasileira na Formação da Identidade Nacional - Nota Máxima: 10</v>
      </c>
    </row>
    <row r="6134">
      <c r="A6134" s="390" t="str">
        <f>IFERROR(__xludf.DUMMYFUNCTION("""COMPUTED_VALUE"""),"#SLAA - Segunda Licenciatura em Artes Visuais - Segunda Licenciatura em Artes Visuais - Iris de Azevedo Pereira - Arte Brasileira na Formação da Identidade Nacional - Nota Máxima: 10")</f>
        <v>#SLAA - Segunda Licenciatura em Artes Visuais - Segunda Licenciatura em Artes Visuais - Iris de Azevedo Pereira - Arte Brasileira na Formação da Identidade Nacional - Nota Máxima: 10</v>
      </c>
    </row>
    <row r="6135">
      <c r="A6135" s="390" t="str">
        <f>IFERROR(__xludf.DUMMYFUNCTION("""COMPUTED_VALUE"""),"#SLAA - Segunda Licenciatura em Artes Visuais - Segunda Licenciatura em Artes Visuais - Iris de Azevedo Pereira - Arte Conceitual, Instalações e Arte Urbana - Nota Máxima: 10")</f>
        <v>#SLAA - Segunda Licenciatura em Artes Visuais - Segunda Licenciatura em Artes Visuais - Iris de Azevedo Pereira - Arte Conceitual, Instalações e Arte Urbana - Nota Máxima: 10</v>
      </c>
    </row>
    <row r="6136">
      <c r="A6136" s="390" t="str">
        <f>IFERROR(__xludf.DUMMYFUNCTION("""COMPUTED_VALUE"""),"#SLAA - Segunda Licenciatura em Artes Visuais - Segunda Licenciatura em Artes Visuais - Iris de Azevedo Pereira - Arte Conceitual, Instalações e Arte Urbana - Nota Máxima: 9")</f>
        <v>#SLAA - Segunda Licenciatura em Artes Visuais - Segunda Licenciatura em Artes Visuais - Iris de Azevedo Pereira - Arte Conceitual, Instalações e Arte Urbana - Nota Máxima: 9</v>
      </c>
    </row>
    <row r="6137">
      <c r="A6137" s="390" t="str">
        <f>IFERROR(__xludf.DUMMYFUNCTION("""COMPUTED_VALUE"""),"#SLAA - Segunda Licenciatura em Artes Visuais - Segunda Licenciatura em Artes Visuais - Iris de Azevedo Pereira - Arte em Educação - Nota Máxima: 10")</f>
        <v>#SLAA - Segunda Licenciatura em Artes Visuais - Segunda Licenciatura em Artes Visuais - Iris de Azevedo Pereira - Arte em Educação - Nota Máxima: 10</v>
      </c>
    </row>
    <row r="6138">
      <c r="A6138" s="390" t="str">
        <f>IFERROR(__xludf.DUMMYFUNCTION("""COMPUTED_VALUE"""),"#SLAA - Segunda Licenciatura em Artes Visuais - Segunda Licenciatura em Artes Visuais - Iris de Azevedo Pereira - Arte em Educação - Nota Máxima: 10")</f>
        <v>#SLAA - Segunda Licenciatura em Artes Visuais - Segunda Licenciatura em Artes Visuais - Iris de Azevedo Pereira - Arte em Educação - Nota Máxima: 10</v>
      </c>
    </row>
    <row r="6139">
      <c r="A6139" s="390" t="str">
        <f>IFERROR(__xludf.DUMMYFUNCTION("""COMPUTED_VALUE"""),"#SLAA - Segunda Licenciatura em Artes Visuais - Segunda Licenciatura em Artes Visuais - Iris de Azevedo Pereira - Deficiência Auditiva e Libras/a - Nota Máxima: 10")</f>
        <v>#SLAA - Segunda Licenciatura em Artes Visuais - Segunda Licenciatura em Artes Visuais - Iris de Azevedo Pereira - Deficiência Auditiva e Libras/a - Nota Máxima: 10</v>
      </c>
    </row>
    <row r="6140">
      <c r="A6140" s="390" t="str">
        <f>IFERROR(__xludf.DUMMYFUNCTION("""COMPUTED_VALUE"""),"#SLAA - Segunda Licenciatura em Artes Visuais - Segunda Licenciatura em Artes Visuais - Iris de Azevedo Pereira - Deficiência Auditiva e Libras/a - Nota Máxima: 8")</f>
        <v>#SLAA - Segunda Licenciatura em Artes Visuais - Segunda Licenciatura em Artes Visuais - Iris de Azevedo Pereira - Deficiência Auditiva e Libras/a - Nota Máxima: 8</v>
      </c>
    </row>
    <row r="6141">
      <c r="A6141" s="390" t="str">
        <f>IFERROR(__xludf.DUMMYFUNCTION("""COMPUTED_VALUE"""),"#SLAA - Segunda Licenciatura em Artes Visuais - Segunda Licenciatura em Artes Visuais - Iris de Azevedo Pereira - Desenho e Observação - Nota Máxima: 10")</f>
        <v>#SLAA - Segunda Licenciatura em Artes Visuais - Segunda Licenciatura em Artes Visuais - Iris de Azevedo Pereira - Desenho e Observação - Nota Máxima: 10</v>
      </c>
    </row>
    <row r="6142">
      <c r="A6142" s="390" t="str">
        <f>IFERROR(__xludf.DUMMYFUNCTION("""COMPUTED_VALUE"""),"#SLAA - Segunda Licenciatura em Artes Visuais - Segunda Licenciatura em Artes Visuais - Iris de Azevedo Pereira - Desenho e Observação - Nota Máxima: 10")</f>
        <v>#SLAA - Segunda Licenciatura em Artes Visuais - Segunda Licenciatura em Artes Visuais - Iris de Azevedo Pereira - Desenho e Observação - Nota Máxima: 10</v>
      </c>
    </row>
    <row r="6143">
      <c r="A6143" s="390" t="str">
        <f>IFERROR(__xludf.DUMMYFUNCTION("""COMPUTED_VALUE"""),"#SLAA - Segunda Licenciatura em Artes Visuais - Segunda Licenciatura em Artes Visuais - Iris de Azevedo Pereira - Educação Especial, Inclusão Escolar e Adaptações Curriculares - Nota Máxima: 10")</f>
        <v>#SLAA - Segunda Licenciatura em Artes Visuais - Segunda Licenciatura em Artes Visuais - Iris de Azevedo Pereira - Educação Especial, Inclusão Escolar e Adaptações Curriculares - Nota Máxima: 10</v>
      </c>
    </row>
    <row r="6144">
      <c r="A6144" s="390" t="str">
        <f>IFERROR(__xludf.DUMMYFUNCTION("""COMPUTED_VALUE"""),"#SLAA - Segunda Licenciatura em Artes Visuais - Segunda Licenciatura em Artes Visuais - Iris de Azevedo Pereira - Educação Especial, Inclusão Escolar e Adaptações Curriculares - Nota Máxima: 10")</f>
        <v>#SLAA - Segunda Licenciatura em Artes Visuais - Segunda Licenciatura em Artes Visuais - Iris de Azevedo Pereira - Educação Especial, Inclusão Escolar e Adaptações Curriculares - Nota Máxima: 10</v>
      </c>
    </row>
    <row r="6145">
      <c r="A6145" s="390" t="str">
        <f>IFERROR(__xludf.DUMMYFUNCTION("""COMPUTED_VALUE"""),"#SLAA - Segunda Licenciatura em Artes Visuais - Segunda Licenciatura em Artes Visuais - Iris de Azevedo Pereira - Educação, História, Cultura e Práticas Indígenas/a - Nota Máxima: 10")</f>
        <v>#SLAA - Segunda Licenciatura em Artes Visuais - Segunda Licenciatura em Artes Visuais - Iris de Azevedo Pereira - Educação, História, Cultura e Práticas Indígenas/a - Nota Máxima: 10</v>
      </c>
    </row>
    <row r="6146">
      <c r="A6146" s="390" t="str">
        <f>IFERROR(__xludf.DUMMYFUNCTION("""COMPUTED_VALUE"""),"#SLAA - Segunda Licenciatura em Artes Visuais - Segunda Licenciatura em Artes Visuais - Iris de Azevedo Pereira - Educação, História, Cultura e Práticas Indígenas/a - Nota Máxima: 8")</f>
        <v>#SLAA - Segunda Licenciatura em Artes Visuais - Segunda Licenciatura em Artes Visuais - Iris de Azevedo Pereira - Educação, História, Cultura e Práticas Indígenas/a - Nota Máxima: 8</v>
      </c>
    </row>
    <row r="6147">
      <c r="A6147" s="390" t="str">
        <f>IFERROR(__xludf.DUMMYFUNCTION("""COMPUTED_VALUE"""),"#SLAA - Segunda Licenciatura em Artes Visuais - Segunda Licenciatura em Artes Visuais - Iris de Azevedo Pereira - Expressão Gráfica - Nota Máxima: 10")</f>
        <v>#SLAA - Segunda Licenciatura em Artes Visuais - Segunda Licenciatura em Artes Visuais - Iris de Azevedo Pereira - Expressão Gráfica - Nota Máxima: 10</v>
      </c>
    </row>
    <row r="6148">
      <c r="A6148" s="390" t="str">
        <f>IFERROR(__xludf.DUMMYFUNCTION("""COMPUTED_VALUE"""),"#SLAA - Segunda Licenciatura em Artes Visuais - Segunda Licenciatura em Artes Visuais - Iris de Azevedo Pereira - Expressão Gráfica - Nota Máxima: 10")</f>
        <v>#SLAA - Segunda Licenciatura em Artes Visuais - Segunda Licenciatura em Artes Visuais - Iris de Azevedo Pereira - Expressão Gráfica - Nota Máxima: 10</v>
      </c>
    </row>
    <row r="6149">
      <c r="A6149" s="390" t="str">
        <f>IFERROR(__xludf.DUMMYFUNCTION("""COMPUTED_VALUE"""),"#SLAA - Segunda Licenciatura em Artes Visuais - Segunda Licenciatura em Artes Visuais - Iris de Azevedo Pereira - Filosofia das Artes à Estética - Nota Máxima: 9")</f>
        <v>#SLAA - Segunda Licenciatura em Artes Visuais - Segunda Licenciatura em Artes Visuais - Iris de Azevedo Pereira - Filosofia das Artes à Estética - Nota Máxima: 9</v>
      </c>
    </row>
    <row r="6150">
      <c r="A6150" s="390" t="str">
        <f>IFERROR(__xludf.DUMMYFUNCTION("""COMPUTED_VALUE"""),"#SLAA - Segunda Licenciatura em Artes Visuais - Segunda Licenciatura em Artes Visuais - Iris de Azevedo Pereira - Filosofia das Artes à Estética - Nota Máxima: 5")</f>
        <v>#SLAA - Segunda Licenciatura em Artes Visuais - Segunda Licenciatura em Artes Visuais - Iris de Azevedo Pereira - Filosofia das Artes à Estética - Nota Máxima: 5</v>
      </c>
    </row>
    <row r="6151">
      <c r="A6151" s="390" t="str">
        <f>IFERROR(__xludf.DUMMYFUNCTION("""COMPUTED_VALUE"""),"#SLAA - Segunda Licenciatura em Artes Visuais - Segunda Licenciatura em Artes Visuais - Iris de Azevedo Pereira - Legislação Educacional/a - Nota Máxima: 10")</f>
        <v>#SLAA - Segunda Licenciatura em Artes Visuais - Segunda Licenciatura em Artes Visuais - Iris de Azevedo Pereira - Legislação Educacional/a - Nota Máxima: 10</v>
      </c>
    </row>
    <row r="6152">
      <c r="A6152" s="390" t="str">
        <f>IFERROR(__xludf.DUMMYFUNCTION("""COMPUTED_VALUE"""),"#SLAA - Segunda Licenciatura em Artes Visuais - Segunda Licenciatura em Artes Visuais - Iris de Azevedo Pereira - Legislação Educacional/a - Nota Máxima: 9")</f>
        <v>#SLAA - Segunda Licenciatura em Artes Visuais - Segunda Licenciatura em Artes Visuais - Iris de Azevedo Pereira - Legislação Educacional/a - Nota Máxima: 9</v>
      </c>
    </row>
    <row r="6153">
      <c r="A6153" s="390" t="str">
        <f>IFERROR(__xludf.DUMMYFUNCTION("""COMPUTED_VALUE"""),"#SLAA - Segunda Licenciatura em Artes Visuais - Segunda Licenciatura em Artes Visuais - Iris de Azevedo Pereira - Linguagem das Artes Plásticas - Nota Máxima: 10")</f>
        <v>#SLAA - Segunda Licenciatura em Artes Visuais - Segunda Licenciatura em Artes Visuais - Iris de Azevedo Pereira - Linguagem das Artes Plásticas - Nota Máxima: 10</v>
      </c>
    </row>
    <row r="6154">
      <c r="A6154" s="390" t="str">
        <f>IFERROR(__xludf.DUMMYFUNCTION("""COMPUTED_VALUE"""),"#SLAA - Segunda Licenciatura em Artes Visuais - Segunda Licenciatura em Artes Visuais - Iris de Azevedo Pereira - Linguagem das Artes Plásticas - Nota Máxima: 8")</f>
        <v>#SLAA - Segunda Licenciatura em Artes Visuais - Segunda Licenciatura em Artes Visuais - Iris de Azevedo Pereira - Linguagem das Artes Plásticas - Nota Máxima: 8</v>
      </c>
    </row>
    <row r="6155">
      <c r="A6155" s="390" t="str">
        <f>IFERROR(__xludf.DUMMYFUNCTION("""COMPUTED_VALUE"""),"#SLAA - Segunda Licenciatura em Artes Visuais - Segunda Licenciatura em Artes Visuais - Iris de Azevedo Pereira - Planejamento, Gestão Educacional e Currículo/a - Nota Máxima: 10")</f>
        <v>#SLAA - Segunda Licenciatura em Artes Visuais - Segunda Licenciatura em Artes Visuais - Iris de Azevedo Pereira - Planejamento, Gestão Educacional e Currículo/a - Nota Máxima: 10</v>
      </c>
    </row>
    <row r="6156">
      <c r="A6156" s="390" t="str">
        <f>IFERROR(__xludf.DUMMYFUNCTION("""COMPUTED_VALUE"""),"#SLAA - Segunda Licenciatura em Artes Visuais - Segunda Licenciatura em Artes Visuais - Iris de Azevedo Pereira - Planejamento, Gestão Educacional e Currículo/a - Nota Máxima: 10")</f>
        <v>#SLAA - Segunda Licenciatura em Artes Visuais - Segunda Licenciatura em Artes Visuais - Iris de Azevedo Pereira - Planejamento, Gestão Educacional e Currículo/a - Nota Máxima: 10</v>
      </c>
    </row>
    <row r="6157">
      <c r="A6157" s="390" t="str">
        <f>IFERROR(__xludf.DUMMYFUNCTION("""COMPUTED_VALUE"""),"#SLAA - Segunda Licenciatura em Artes Visuais - Segunda Licenciatura em Artes Visuais - Iris de Azevedo Pereira - Práticas Pedagógicas - 400 Horas - Nota Máxima: 10")</f>
        <v>#SLAA - Segunda Licenciatura em Artes Visuais - Segunda Licenciatura em Artes Visuais - Iris de Azevedo Pereira - Práticas Pedagógicas - 400 Horas - Nota Máxima: 10</v>
      </c>
    </row>
    <row r="6158">
      <c r="A6158" s="390" t="str">
        <f>IFERROR(__xludf.DUMMYFUNCTION("""COMPUTED_VALUE"""),"#SLAA - Segunda Licenciatura em Artes Visuais - Segunda Licenciatura em Artes Visuais - Iris de Azevedo Pereira - Práticas Pedagógicas - 400 Horas - Nota Máxima: 10")</f>
        <v>#SLAA - Segunda Licenciatura em Artes Visuais - Segunda Licenciatura em Artes Visuais - Iris de Azevedo Pereira - Práticas Pedagógicas - 400 Horas - Nota Máxima: 10</v>
      </c>
    </row>
    <row r="6159">
      <c r="A6159" s="390" t="str">
        <f>IFERROR(__xludf.DUMMYFUNCTION("""COMPUTED_VALUE"""),"#SLAA - Segunda Licenciatura em Artes Visuais - Segunda Licenciatura em Artes Visuais - Iris de Azevedo Pereira - Psicologia da Educação/a - Nota Máxima: 10")</f>
        <v>#SLAA - Segunda Licenciatura em Artes Visuais - Segunda Licenciatura em Artes Visuais - Iris de Azevedo Pereira - Psicologia da Educação/a - Nota Máxima: 10</v>
      </c>
    </row>
    <row r="6160">
      <c r="A6160" s="390" t="str">
        <f>IFERROR(__xludf.DUMMYFUNCTION("""COMPUTED_VALUE"""),"#SLAA - Segunda Licenciatura em Artes Visuais - Segunda Licenciatura em Artes Visuais - Iris de Azevedo Pereira - Psicologia da Educação/a - Nota Máxima: 9")</f>
        <v>#SLAA - Segunda Licenciatura em Artes Visuais - Segunda Licenciatura em Artes Visuais - Iris de Azevedo Pereira - Psicologia da Educação/a - Nota Máxima: 9</v>
      </c>
    </row>
    <row r="6161">
      <c r="A6161" s="390" t="str">
        <f>IFERROR(__xludf.DUMMYFUNCTION("""COMPUTED_VALUE"""),"#SLAA - Segunda Licenciatura em Artes Visuais - Segunda Licenciatura em Artes Visuais - Iris de Azevedo Pereira - Psicomotricidade e Ludopedagogia - Nota Máxima: 10")</f>
        <v>#SLAA - Segunda Licenciatura em Artes Visuais - Segunda Licenciatura em Artes Visuais - Iris de Azevedo Pereira - Psicomotricidade e Ludopedagogia - Nota Máxima: 10</v>
      </c>
    </row>
    <row r="6162">
      <c r="A6162" s="390" t="str">
        <f>IFERROR(__xludf.DUMMYFUNCTION("""COMPUTED_VALUE"""),"#SLAA - Segunda Licenciatura em Artes Visuais - Segunda Licenciatura em Artes Visuais - Iris de Azevedo Pereira - Psicomotricidade e Ludopedagogia - Nota Máxima: 8")</f>
        <v>#SLAA - Segunda Licenciatura em Artes Visuais - Segunda Licenciatura em Artes Visuais - Iris de Azevedo Pereira - Psicomotricidade e Ludopedagogia - Nota Máxima: 8</v>
      </c>
    </row>
    <row r="6163">
      <c r="A6163" s="390" t="str">
        <f>IFERROR(__xludf.DUMMYFUNCTION("""COMPUTED_VALUE"""),"#SLAA - Segunda Licenciatura em Artes Visuais - Segunda Licenciatura em Artes Visuais - Iris de Azevedo Pereira - Tecnologia nas Artes Visuais - Nota Máxima: 10")</f>
        <v>#SLAA - Segunda Licenciatura em Artes Visuais - Segunda Licenciatura em Artes Visuais - Iris de Azevedo Pereira - Tecnologia nas Artes Visuais - Nota Máxima: 10</v>
      </c>
    </row>
    <row r="6164">
      <c r="A6164" s="390" t="str">
        <f>IFERROR(__xludf.DUMMYFUNCTION("""COMPUTED_VALUE"""),"#SLAA - Segunda Licenciatura em Artes Visuais - Segunda Licenciatura em Artes Visuais - Iris de Azevedo Pereira - Tecnologia nas Artes Visuais - Nota Máxima: 7")</f>
        <v>#SLAA - Segunda Licenciatura em Artes Visuais - Segunda Licenciatura em Artes Visuais - Iris de Azevedo Pereira - Tecnologia nas Artes Visuais - Nota Máxima: 7</v>
      </c>
    </row>
    <row r="6165">
      <c r="A6165" s="390" t="str">
        <f>IFERROR(__xludf.DUMMYFUNCTION("""COMPUTED_VALUE"""),"#SLAA - Segunda Licenciatura em Artes Visuais - Segunda Licenciatura em Artes Visuais - Caio Reis de Araújo - Arte Brasileira na Formação da Identidade Nacional - Nota Máxima: 10")</f>
        <v>#SLAA - Segunda Licenciatura em Artes Visuais - Segunda Licenciatura em Artes Visuais - Caio Reis de Araújo - Arte Brasileira na Formação da Identidade Nacional - Nota Máxima: 10</v>
      </c>
    </row>
    <row r="6166">
      <c r="A6166" s="390" t="str">
        <f>IFERROR(__xludf.DUMMYFUNCTION("""COMPUTED_VALUE"""),"#SLAA - Segunda Licenciatura em Artes Visuais - Segunda Licenciatura em Artes Visuais - Caio Reis de Araújo - Arte Brasileira na Formação da Identidade Nacional - Nota Máxima: 6")</f>
        <v>#SLAA - Segunda Licenciatura em Artes Visuais - Segunda Licenciatura em Artes Visuais - Caio Reis de Araújo - Arte Brasileira na Formação da Identidade Nacional - Nota Máxima: 6</v>
      </c>
    </row>
    <row r="6167">
      <c r="A6167" s="390" t="str">
        <f>IFERROR(__xludf.DUMMYFUNCTION("""COMPUTED_VALUE"""),"#SLAA - Segunda Licenciatura em Artes Visuais - Segunda Licenciatura em Artes Visuais - Caio Reis de Araújo - Arte Conceitual, Instalações e Arte Urbana - Nota Máxima: 10")</f>
        <v>#SLAA - Segunda Licenciatura em Artes Visuais - Segunda Licenciatura em Artes Visuais - Caio Reis de Araújo - Arte Conceitual, Instalações e Arte Urbana - Nota Máxima: 10</v>
      </c>
    </row>
    <row r="6168">
      <c r="A6168" s="390" t="str">
        <f>IFERROR(__xludf.DUMMYFUNCTION("""COMPUTED_VALUE"""),"#SLAA - Segunda Licenciatura em Artes Visuais - Segunda Licenciatura em Artes Visuais - Caio Reis de Araújo - Arte Conceitual, Instalações e Arte Urbana - Nota Máxima: 7")</f>
        <v>#SLAA - Segunda Licenciatura em Artes Visuais - Segunda Licenciatura em Artes Visuais - Caio Reis de Araújo - Arte Conceitual, Instalações e Arte Urbana - Nota Máxima: 7</v>
      </c>
    </row>
    <row r="6169">
      <c r="A6169" s="390" t="str">
        <f>IFERROR(__xludf.DUMMYFUNCTION("""COMPUTED_VALUE"""),"#SLAA - Segunda Licenciatura em Artes Visuais - Segunda Licenciatura em Artes Visuais - Caio Reis de Araújo - Arte em Educação - Nota Máxima: 9")</f>
        <v>#SLAA - Segunda Licenciatura em Artes Visuais - Segunda Licenciatura em Artes Visuais - Caio Reis de Araújo - Arte em Educação - Nota Máxima: 9</v>
      </c>
    </row>
    <row r="6170">
      <c r="A6170" s="390" t="str">
        <f>IFERROR(__xludf.DUMMYFUNCTION("""COMPUTED_VALUE"""),"#SLAA - Segunda Licenciatura em Artes Visuais - Segunda Licenciatura em Artes Visuais - Caio Reis de Araújo - Arte em Educação - Nota Máxima: 7")</f>
        <v>#SLAA - Segunda Licenciatura em Artes Visuais - Segunda Licenciatura em Artes Visuais - Caio Reis de Araújo - Arte em Educação - Nota Máxima: 7</v>
      </c>
    </row>
    <row r="6171">
      <c r="A6171" s="390" t="str">
        <f>IFERROR(__xludf.DUMMYFUNCTION("""COMPUTED_VALUE"""),"#SLAA - Segunda Licenciatura em Artes Visuais - Segunda Licenciatura em Artes Visuais - Caio Reis de Araújo - Deficiência Auditiva e Libras/a - Nota Máxima: 10")</f>
        <v>#SLAA - Segunda Licenciatura em Artes Visuais - Segunda Licenciatura em Artes Visuais - Caio Reis de Araújo - Deficiência Auditiva e Libras/a - Nota Máxima: 10</v>
      </c>
    </row>
    <row r="6172">
      <c r="A6172" s="390" t="str">
        <f>IFERROR(__xludf.DUMMYFUNCTION("""COMPUTED_VALUE"""),"#SLAA - Segunda Licenciatura em Artes Visuais - Segunda Licenciatura em Artes Visuais - Caio Reis de Araújo - Deficiência Auditiva e Libras/a - Nota Máxima: 10")</f>
        <v>#SLAA - Segunda Licenciatura em Artes Visuais - Segunda Licenciatura em Artes Visuais - Caio Reis de Araújo - Deficiência Auditiva e Libras/a - Nota Máxima: 10</v>
      </c>
    </row>
    <row r="6173">
      <c r="A6173" s="390" t="str">
        <f>IFERROR(__xludf.DUMMYFUNCTION("""COMPUTED_VALUE"""),"#SLAA - Segunda Licenciatura em Artes Visuais - Segunda Licenciatura em Artes Visuais - Caio Reis de Araújo - Educação Especial, Inclusão Escolar e Adaptações Curriculares - Nota Máxima: 10")</f>
        <v>#SLAA - Segunda Licenciatura em Artes Visuais - Segunda Licenciatura em Artes Visuais - Caio Reis de Araújo - Educação Especial, Inclusão Escolar e Adaptações Curriculares - Nota Máxima: 10</v>
      </c>
    </row>
    <row r="6174">
      <c r="A6174" s="390" t="str">
        <f>IFERROR(__xludf.DUMMYFUNCTION("""COMPUTED_VALUE"""),"#SLAA - Segunda Licenciatura em Artes Visuais - Segunda Licenciatura em Artes Visuais - Caio Reis de Araújo - Educação Especial, Inclusão Escolar e Adaptações Curriculares - Nota Máxima: 7")</f>
        <v>#SLAA - Segunda Licenciatura em Artes Visuais - Segunda Licenciatura em Artes Visuais - Caio Reis de Araújo - Educação Especial, Inclusão Escolar e Adaptações Curriculares - Nota Máxima: 7</v>
      </c>
    </row>
    <row r="6175">
      <c r="A6175" s="390" t="str">
        <f>IFERROR(__xludf.DUMMYFUNCTION("""COMPUTED_VALUE"""),"#SLAA - Segunda Licenciatura em Artes Visuais - Segunda Licenciatura em Artes Visuais - Caio Reis de Araújo - Educação, História, Cultura e Práticas Indígenas/a - Nota Máxima: 10")</f>
        <v>#SLAA - Segunda Licenciatura em Artes Visuais - Segunda Licenciatura em Artes Visuais - Caio Reis de Araújo - Educação, História, Cultura e Práticas Indígenas/a - Nota Máxima: 10</v>
      </c>
    </row>
    <row r="6176">
      <c r="A6176" s="390" t="str">
        <f>IFERROR(__xludf.DUMMYFUNCTION("""COMPUTED_VALUE"""),"#SLAA - Segunda Licenciatura em Artes Visuais - Segunda Licenciatura em Artes Visuais - Caio Reis de Araújo - Educação, História, Cultura e Práticas Indígenas/a - Nota Máxima: 7")</f>
        <v>#SLAA - Segunda Licenciatura em Artes Visuais - Segunda Licenciatura em Artes Visuais - Caio Reis de Araújo - Educação, História, Cultura e Práticas Indígenas/a - Nota Máxima: 7</v>
      </c>
    </row>
    <row r="6177">
      <c r="A6177" s="390" t="str">
        <f>IFERROR(__xludf.DUMMYFUNCTION("""COMPUTED_VALUE"""),"#SLAA - Segunda Licenciatura em Artes Visuais - Segunda Licenciatura em Artes Visuais - Caio Reis de Araújo - Filosofia das Artes à Estética - Nota Máxima: 8")</f>
        <v>#SLAA - Segunda Licenciatura em Artes Visuais - Segunda Licenciatura em Artes Visuais - Caio Reis de Araújo - Filosofia das Artes à Estética - Nota Máxima: 8</v>
      </c>
    </row>
    <row r="6178">
      <c r="A6178" s="390" t="str">
        <f>IFERROR(__xludf.DUMMYFUNCTION("""COMPUTED_VALUE"""),"#SLAA - Segunda Licenciatura em Artes Visuais - Segunda Licenciatura em Artes Visuais - Caio Reis de Araújo - Filosofia das Artes à Estética - Nota Máxima: 3")</f>
        <v>#SLAA - Segunda Licenciatura em Artes Visuais - Segunda Licenciatura em Artes Visuais - Caio Reis de Araújo - Filosofia das Artes à Estética - Nota Máxima: 3</v>
      </c>
    </row>
    <row r="6179">
      <c r="A6179" s="390" t="str">
        <f>IFERROR(__xludf.DUMMYFUNCTION("""COMPUTED_VALUE"""),"#SLAA - Segunda Licenciatura em Artes Visuais - Segunda Licenciatura em Artes Visuais - Caio Reis de Araújo - Legislação Educacional/a - Nota Máxima: 9")</f>
        <v>#SLAA - Segunda Licenciatura em Artes Visuais - Segunda Licenciatura em Artes Visuais - Caio Reis de Araújo - Legislação Educacional/a - Nota Máxima: 9</v>
      </c>
    </row>
    <row r="6180">
      <c r="A6180" s="390" t="str">
        <f>IFERROR(__xludf.DUMMYFUNCTION("""COMPUTED_VALUE"""),"#SLAA - Segunda Licenciatura em Artes Visuais - Segunda Licenciatura em Artes Visuais - Caio Reis de Araújo - Legislação Educacional/a - Nota Máxima: 4")</f>
        <v>#SLAA - Segunda Licenciatura em Artes Visuais - Segunda Licenciatura em Artes Visuais - Caio Reis de Araújo - Legislação Educacional/a - Nota Máxima: 4</v>
      </c>
    </row>
    <row r="6181">
      <c r="A6181" s="390" t="str">
        <f>IFERROR(__xludf.DUMMYFUNCTION("""COMPUTED_VALUE"""),"#SLAA - Segunda Licenciatura em Artes Visuais - Segunda Licenciatura em Artes Visuais - Caio Reis de Araújo - Linguagem das Artes Plásticas - Nota Máxima: 10")</f>
        <v>#SLAA - Segunda Licenciatura em Artes Visuais - Segunda Licenciatura em Artes Visuais - Caio Reis de Araújo - Linguagem das Artes Plásticas - Nota Máxima: 10</v>
      </c>
    </row>
    <row r="6182">
      <c r="A6182" s="390" t="str">
        <f>IFERROR(__xludf.DUMMYFUNCTION("""COMPUTED_VALUE"""),"#SLAA - Segunda Licenciatura em Artes Visuais - Segunda Licenciatura em Artes Visuais - Caio Reis de Araújo - Linguagem das Artes Plásticas - Nota Máxima: 7")</f>
        <v>#SLAA - Segunda Licenciatura em Artes Visuais - Segunda Licenciatura em Artes Visuais - Caio Reis de Araújo - Linguagem das Artes Plásticas - Nota Máxima: 7</v>
      </c>
    </row>
    <row r="6183">
      <c r="A6183" s="390" t="str">
        <f>IFERROR(__xludf.DUMMYFUNCTION("""COMPUTED_VALUE"""),"#SLAA - Segunda Licenciatura em Artes Visuais - Segunda Licenciatura em Artes Visuais - Caio Reis de Araújo - Planejamento, Gestão Educacional e Currículo/a - Nota Máxima: 10")</f>
        <v>#SLAA - Segunda Licenciatura em Artes Visuais - Segunda Licenciatura em Artes Visuais - Caio Reis de Araújo - Planejamento, Gestão Educacional e Currículo/a - Nota Máxima: 10</v>
      </c>
    </row>
    <row r="6184">
      <c r="A6184" s="390" t="str">
        <f>IFERROR(__xludf.DUMMYFUNCTION("""COMPUTED_VALUE"""),"#SLAA - Segunda Licenciatura em Artes Visuais - Segunda Licenciatura em Artes Visuais - Caio Reis de Araújo - Planejamento, Gestão Educacional e Currículo/a - Nota Máxima: 10")</f>
        <v>#SLAA - Segunda Licenciatura em Artes Visuais - Segunda Licenciatura em Artes Visuais - Caio Reis de Araújo - Planejamento, Gestão Educacional e Currículo/a - Nota Máxima: 10</v>
      </c>
    </row>
    <row r="6185">
      <c r="A6185" s="390" t="str">
        <f>IFERROR(__xludf.DUMMYFUNCTION("""COMPUTED_VALUE"""),"#SLAA - Segunda Licenciatura em Artes Visuais - Segunda Licenciatura em Artes Visuais - Caio Reis de Araújo - Psicologia da Educação/a - Nota Máxima: 9")</f>
        <v>#SLAA - Segunda Licenciatura em Artes Visuais - Segunda Licenciatura em Artes Visuais - Caio Reis de Araújo - Psicologia da Educação/a - Nota Máxima: 9</v>
      </c>
    </row>
    <row r="6186">
      <c r="A6186" s="390" t="str">
        <f>IFERROR(__xludf.DUMMYFUNCTION("""COMPUTED_VALUE"""),"#SLAA - Segunda Licenciatura em Artes Visuais - Segunda Licenciatura em Artes Visuais - Caio Reis de Araújo - Psicologia da Educação/a - Nota Máxima: 3")</f>
        <v>#SLAA - Segunda Licenciatura em Artes Visuais - Segunda Licenciatura em Artes Visuais - Caio Reis de Araújo - Psicologia da Educação/a - Nota Máxima: 3</v>
      </c>
    </row>
    <row r="6187">
      <c r="A6187" s="390" t="str">
        <f>IFERROR(__xludf.DUMMYFUNCTION("""COMPUTED_VALUE"""),"#SLAA - Segunda Licenciatura em Artes Visuais - Segunda Licenciatura em Artes Visuais - Caio Reis de Araújo - Psicomotricidade e Ludopedagogia - Nota Máxima: 9")</f>
        <v>#SLAA - Segunda Licenciatura em Artes Visuais - Segunda Licenciatura em Artes Visuais - Caio Reis de Araújo - Psicomotricidade e Ludopedagogia - Nota Máxima: 9</v>
      </c>
    </row>
    <row r="6188">
      <c r="A6188" s="390" t="str">
        <f>IFERROR(__xludf.DUMMYFUNCTION("""COMPUTED_VALUE"""),"#SLAA - Segunda Licenciatura em Artes Visuais - Segunda Licenciatura em Artes Visuais - Caio Reis de Araújo - Psicomotricidade e Ludopedagogia - Nota Máxima: 3")</f>
        <v>#SLAA - Segunda Licenciatura em Artes Visuais - Segunda Licenciatura em Artes Visuais - Caio Reis de Araújo - Psicomotricidade e Ludopedagogia - Nota Máxima: 3</v>
      </c>
    </row>
    <row r="6189">
      <c r="A6189" s="390" t="str">
        <f>IFERROR(__xludf.DUMMYFUNCTION("""COMPUTED_VALUE"""),"#SLAA - Segunda Licenciatura em Artes Visuais - Segunda Licenciatura em Artes Visuais - Caio Reis de Araújo - Tecnologia nas Artes Visuais - Nota Máxima: 10")</f>
        <v>#SLAA - Segunda Licenciatura em Artes Visuais - Segunda Licenciatura em Artes Visuais - Caio Reis de Araújo - Tecnologia nas Artes Visuais - Nota Máxima: 10</v>
      </c>
    </row>
    <row r="6190">
      <c r="A6190" s="390" t="str">
        <f>IFERROR(__xludf.DUMMYFUNCTION("""COMPUTED_VALUE"""),"#SLAA - Segunda Licenciatura em Artes Visuais - Segunda Licenciatura em Artes Visuais - Caio Reis de Araújo - Tecnologia nas Artes Visuais - Nota Máxima: 2")</f>
        <v>#SLAA - Segunda Licenciatura em Artes Visuais - Segunda Licenciatura em Artes Visuais - Caio Reis de Araújo - Tecnologia nas Artes Visuais - Nota Máxima: 2</v>
      </c>
    </row>
    <row r="6191">
      <c r="A6191" s="390" t="str">
        <f>IFERROR(__xludf.DUMMYFUNCTION("""COMPUTED_VALUE"""),"#SLAA - Segunda Licenciatura em Artes Visuais - Segunda Licenciatura em Artes Visuais - Priscila Almeida da Cruz Brito - Arte Brasileira na Formação da Identidade Nacional - Nota Máxima: 7")</f>
        <v>#SLAA - Segunda Licenciatura em Artes Visuais - Segunda Licenciatura em Artes Visuais - Priscila Almeida da Cruz Brito - Arte Brasileira na Formação da Identidade Nacional - Nota Máxima: 7</v>
      </c>
    </row>
    <row r="6192">
      <c r="A6192" s="390" t="str">
        <f>IFERROR(__xludf.DUMMYFUNCTION("""COMPUTED_VALUE"""),"#SLAA - Segunda Licenciatura em Artes Visuais - Segunda Licenciatura em Artes Visuais - Priscila Almeida da Cruz Brito - Arte Brasileira na Formação da Identidade Nacional - Nota Máxima: 10")</f>
        <v>#SLAA - Segunda Licenciatura em Artes Visuais - Segunda Licenciatura em Artes Visuais - Priscila Almeida da Cruz Brito - Arte Brasileira na Formação da Identidade Nacional - Nota Máxima: 10</v>
      </c>
    </row>
    <row r="6193">
      <c r="A6193" s="390" t="str">
        <f>IFERROR(__xludf.DUMMYFUNCTION("""COMPUTED_VALUE"""),"#SLAA - Segunda Licenciatura em Artes Visuais - Segunda Licenciatura em Artes Visuais - Priscila Almeida da Cruz Brito - Arte Conceitual, Instalações e Arte Urbana - Nota Máxima: 10")</f>
        <v>#SLAA - Segunda Licenciatura em Artes Visuais - Segunda Licenciatura em Artes Visuais - Priscila Almeida da Cruz Brito - Arte Conceitual, Instalações e Arte Urbana - Nota Máxima: 10</v>
      </c>
    </row>
    <row r="6194">
      <c r="A6194" s="390" t="str">
        <f>IFERROR(__xludf.DUMMYFUNCTION("""COMPUTED_VALUE"""),"#SLAA - Segunda Licenciatura em Artes Visuais - Segunda Licenciatura em Artes Visuais - Priscila Almeida da Cruz Brito - Arte Conceitual, Instalações e Arte Urbana - Nota Máxima: 10")</f>
        <v>#SLAA - Segunda Licenciatura em Artes Visuais - Segunda Licenciatura em Artes Visuais - Priscila Almeida da Cruz Brito - Arte Conceitual, Instalações e Arte Urbana - Nota Máxima: 10</v>
      </c>
    </row>
    <row r="6195">
      <c r="A6195" s="390" t="str">
        <f>IFERROR(__xludf.DUMMYFUNCTION("""COMPUTED_VALUE"""),"#SLAA - Segunda Licenciatura em Artes Visuais - Segunda Licenciatura em Artes Visuais - Priscila Almeida da Cruz Brito - Deficiência Auditiva e Libras/a - Nota Máxima: 9")</f>
        <v>#SLAA - Segunda Licenciatura em Artes Visuais - Segunda Licenciatura em Artes Visuais - Priscila Almeida da Cruz Brito - Deficiência Auditiva e Libras/a - Nota Máxima: 9</v>
      </c>
    </row>
    <row r="6196">
      <c r="A6196" s="390" t="str">
        <f>IFERROR(__xludf.DUMMYFUNCTION("""COMPUTED_VALUE"""),"#SLAA - Segunda Licenciatura em Artes Visuais - Segunda Licenciatura em Artes Visuais - Priscila Almeida da Cruz Brito - Deficiência Auditiva e Libras/a - Nota Máxima: 8")</f>
        <v>#SLAA - Segunda Licenciatura em Artes Visuais - Segunda Licenciatura em Artes Visuais - Priscila Almeida da Cruz Brito - Deficiência Auditiva e Libras/a - Nota Máxima: 8</v>
      </c>
    </row>
    <row r="6197">
      <c r="A6197" s="390" t="str">
        <f>IFERROR(__xludf.DUMMYFUNCTION("""COMPUTED_VALUE"""),"#SLAA - Segunda Licenciatura em Artes Visuais - Segunda Licenciatura em Artes Visuais - Priscila Almeida da Cruz Brito - Desenho e Observação - Nota Máxima: 10")</f>
        <v>#SLAA - Segunda Licenciatura em Artes Visuais - Segunda Licenciatura em Artes Visuais - Priscila Almeida da Cruz Brito - Desenho e Observação - Nota Máxima: 10</v>
      </c>
    </row>
    <row r="6198">
      <c r="A6198" s="390" t="str">
        <f>IFERROR(__xludf.DUMMYFUNCTION("""COMPUTED_VALUE"""),"#SLAA - Segunda Licenciatura em Artes Visuais - Segunda Licenciatura em Artes Visuais - Priscila Almeida da Cruz Brito - Desenho e Observação - Nota Máxima: 10")</f>
        <v>#SLAA - Segunda Licenciatura em Artes Visuais - Segunda Licenciatura em Artes Visuais - Priscila Almeida da Cruz Brito - Desenho e Observação - Nota Máxima: 10</v>
      </c>
    </row>
    <row r="6199">
      <c r="A6199" s="390" t="str">
        <f>IFERROR(__xludf.DUMMYFUNCTION("""COMPUTED_VALUE"""),"#SLAA - Segunda Licenciatura em Artes Visuais - Segunda Licenciatura em Artes Visuais - Priscila Almeida da Cruz Brito - Educação Especial, Inclusão Escolar e Adaptações Curriculares - Nota Máxima: 8")</f>
        <v>#SLAA - Segunda Licenciatura em Artes Visuais - Segunda Licenciatura em Artes Visuais - Priscila Almeida da Cruz Brito - Educação Especial, Inclusão Escolar e Adaptações Curriculares - Nota Máxima: 8</v>
      </c>
    </row>
    <row r="6200">
      <c r="A6200" s="390" t="str">
        <f>IFERROR(__xludf.DUMMYFUNCTION("""COMPUTED_VALUE"""),"#SLAA - Segunda Licenciatura em Artes Visuais - Segunda Licenciatura em Artes Visuais - Priscila Almeida da Cruz Brito - Educação Especial, Inclusão Escolar e Adaptações Curriculares - Nota Máxima: 9")</f>
        <v>#SLAA - Segunda Licenciatura em Artes Visuais - Segunda Licenciatura em Artes Visuais - Priscila Almeida da Cruz Brito - Educação Especial, Inclusão Escolar e Adaptações Curriculares - Nota Máxima: 9</v>
      </c>
    </row>
    <row r="6201">
      <c r="A6201" s="390" t="str">
        <f>IFERROR(__xludf.DUMMYFUNCTION("""COMPUTED_VALUE"""),"#SLAA - Segunda Licenciatura em Artes Visuais - Segunda Licenciatura em Artes Visuais - Priscila Almeida da Cruz Brito - Educação, História, Cultura e Práticas Indígenas/a - Nota Máxima: 9")</f>
        <v>#SLAA - Segunda Licenciatura em Artes Visuais - Segunda Licenciatura em Artes Visuais - Priscila Almeida da Cruz Brito - Educação, História, Cultura e Práticas Indígenas/a - Nota Máxima: 9</v>
      </c>
    </row>
    <row r="6202">
      <c r="A6202" s="390" t="str">
        <f>IFERROR(__xludf.DUMMYFUNCTION("""COMPUTED_VALUE"""),"#SLAA - Segunda Licenciatura em Artes Visuais - Segunda Licenciatura em Artes Visuais - Priscila Almeida da Cruz Brito - Educação, História, Cultura e Práticas Indígenas/a - Nota Máxima: 9")</f>
        <v>#SLAA - Segunda Licenciatura em Artes Visuais - Segunda Licenciatura em Artes Visuais - Priscila Almeida da Cruz Brito - Educação, História, Cultura e Práticas Indígenas/a - Nota Máxima: 9</v>
      </c>
    </row>
    <row r="6203">
      <c r="A6203" s="390" t="str">
        <f>IFERROR(__xludf.DUMMYFUNCTION("""COMPUTED_VALUE"""),"#SLAA - Segunda Licenciatura em Artes Visuais - Segunda Licenciatura em Artes Visuais - Priscila Almeida da Cruz Brito - Expressão Gráfica - Nota Máxima: 10")</f>
        <v>#SLAA - Segunda Licenciatura em Artes Visuais - Segunda Licenciatura em Artes Visuais - Priscila Almeida da Cruz Brito - Expressão Gráfica - Nota Máxima: 10</v>
      </c>
    </row>
    <row r="6204">
      <c r="A6204" s="390" t="str">
        <f>IFERROR(__xludf.DUMMYFUNCTION("""COMPUTED_VALUE"""),"#SLAA - Segunda Licenciatura em Artes Visuais - Segunda Licenciatura em Artes Visuais - Priscila Almeida da Cruz Brito - Expressão Gráfica - Nota Máxima: 10")</f>
        <v>#SLAA - Segunda Licenciatura em Artes Visuais - Segunda Licenciatura em Artes Visuais - Priscila Almeida da Cruz Brito - Expressão Gráfica - Nota Máxima: 10</v>
      </c>
    </row>
    <row r="6205">
      <c r="A6205" s="390" t="str">
        <f>IFERROR(__xludf.DUMMYFUNCTION("""COMPUTED_VALUE"""),"#SLAA - Segunda Licenciatura em Artes Visuais - Segunda Licenciatura em Artes Visuais - Priscila Almeida da Cruz Brito - Filosofia das Artes à Estética - Nota Máxima: 9")</f>
        <v>#SLAA - Segunda Licenciatura em Artes Visuais - Segunda Licenciatura em Artes Visuais - Priscila Almeida da Cruz Brito - Filosofia das Artes à Estética - Nota Máxima: 9</v>
      </c>
    </row>
    <row r="6206">
      <c r="A6206" s="390" t="str">
        <f>IFERROR(__xludf.DUMMYFUNCTION("""COMPUTED_VALUE"""),"#SLAA - Segunda Licenciatura em Artes Visuais - Segunda Licenciatura em Artes Visuais - Priscila Almeida da Cruz Brito - Filosofia das Artes à Estética - Nota Máxima: 10")</f>
        <v>#SLAA - Segunda Licenciatura em Artes Visuais - Segunda Licenciatura em Artes Visuais - Priscila Almeida da Cruz Brito - Filosofia das Artes à Estética - Nota Máxima: 10</v>
      </c>
    </row>
    <row r="6207">
      <c r="A6207" s="390" t="str">
        <f>IFERROR(__xludf.DUMMYFUNCTION("""COMPUTED_VALUE"""),"#SLAA - Segunda Licenciatura em Artes Visuais - Segunda Licenciatura em Artes Visuais - Priscila Almeida da Cruz Brito - Legislação Educacional/a - Nota Máxima: 4")</f>
        <v>#SLAA - Segunda Licenciatura em Artes Visuais - Segunda Licenciatura em Artes Visuais - Priscila Almeida da Cruz Brito - Legislação Educacional/a - Nota Máxima: 4</v>
      </c>
    </row>
    <row r="6208">
      <c r="A6208" s="390" t="str">
        <f>IFERROR(__xludf.DUMMYFUNCTION("""COMPUTED_VALUE"""),"#SLAA - Segunda Licenciatura em Artes Visuais - Segunda Licenciatura em Artes Visuais - Priscila Almeida da Cruz Brito - Linguagem das Artes Plásticas - Nota Máxima: 9")</f>
        <v>#SLAA - Segunda Licenciatura em Artes Visuais - Segunda Licenciatura em Artes Visuais - Priscila Almeida da Cruz Brito - Linguagem das Artes Plásticas - Nota Máxima: 9</v>
      </c>
    </row>
    <row r="6209">
      <c r="A6209" s="390" t="str">
        <f>IFERROR(__xludf.DUMMYFUNCTION("""COMPUTED_VALUE"""),"#SLAA - Segunda Licenciatura em Artes Visuais - Segunda Licenciatura em Artes Visuais - Priscila Almeida da Cruz Brito - Linguagem das Artes Plásticas - Nota Máxima: 7")</f>
        <v>#SLAA - Segunda Licenciatura em Artes Visuais - Segunda Licenciatura em Artes Visuais - Priscila Almeida da Cruz Brito - Linguagem das Artes Plásticas - Nota Máxima: 7</v>
      </c>
    </row>
    <row r="6210">
      <c r="A6210" s="390" t="str">
        <f>IFERROR(__xludf.DUMMYFUNCTION("""COMPUTED_VALUE"""),"#SLAA - Segunda Licenciatura em Artes Visuais - Segunda Licenciatura em Artes Visuais - Priscila Almeida da Cruz Brito - Planejamento, Gestão Educacional e Currículo/a - Nota Máxima: 10")</f>
        <v>#SLAA - Segunda Licenciatura em Artes Visuais - Segunda Licenciatura em Artes Visuais - Priscila Almeida da Cruz Brito - Planejamento, Gestão Educacional e Currículo/a - Nota Máxima: 10</v>
      </c>
    </row>
    <row r="6211">
      <c r="A6211" s="390" t="str">
        <f>IFERROR(__xludf.DUMMYFUNCTION("""COMPUTED_VALUE"""),"#SLAA - Segunda Licenciatura em Artes Visuais - Segunda Licenciatura em Artes Visuais - Priscila Almeida da Cruz Brito - Planejamento, Gestão Educacional e Currículo/a - Nota Máxima: 10")</f>
        <v>#SLAA - Segunda Licenciatura em Artes Visuais - Segunda Licenciatura em Artes Visuais - Priscila Almeida da Cruz Brito - Planejamento, Gestão Educacional e Currículo/a - Nota Máxima: 10</v>
      </c>
    </row>
    <row r="6212">
      <c r="A6212" s="390" t="str">
        <f>IFERROR(__xludf.DUMMYFUNCTION("""COMPUTED_VALUE"""),"#SLAA - Segunda Licenciatura em Artes Visuais - Segunda Licenciatura em Artes Visuais - Priscila Almeida da Cruz Brito - Práticas Pedagógicas - 400 Horas - Nota Máxima: 10")</f>
        <v>#SLAA - Segunda Licenciatura em Artes Visuais - Segunda Licenciatura em Artes Visuais - Priscila Almeida da Cruz Brito - Práticas Pedagógicas - 400 Horas - Nota Máxima: 10</v>
      </c>
    </row>
    <row r="6213">
      <c r="A6213" s="390" t="str">
        <f>IFERROR(__xludf.DUMMYFUNCTION("""COMPUTED_VALUE"""),"#SLAA - Segunda Licenciatura em Artes Visuais - Segunda Licenciatura em Artes Visuais - Priscila Almeida da Cruz Brito - Práticas Pedagógicas - 400 Horas - Nota Máxima: 45784")</f>
        <v>#SLAA - Segunda Licenciatura em Artes Visuais - Segunda Licenciatura em Artes Visuais - Priscila Almeida da Cruz Brito - Práticas Pedagógicas - 400 Horas - Nota Máxima: 45784</v>
      </c>
    </row>
    <row r="6214">
      <c r="A6214" s="390" t="str">
        <f>IFERROR(__xludf.DUMMYFUNCTION("""COMPUTED_VALUE"""),"#SLAA - Segunda Licenciatura em Artes Visuais - Segunda Licenciatura em Artes Visuais - Priscila Almeida da Cruz Brito - Tecnologia nas Artes Visuais - Nota Máxima: 10")</f>
        <v>#SLAA - Segunda Licenciatura em Artes Visuais - Segunda Licenciatura em Artes Visuais - Priscila Almeida da Cruz Brito - Tecnologia nas Artes Visuais - Nota Máxima: 10</v>
      </c>
    </row>
    <row r="6215">
      <c r="A6215" s="390" t="str">
        <f>IFERROR(__xludf.DUMMYFUNCTION("""COMPUTED_VALUE"""),"#SLAA - Segunda Licenciatura em Artes Visuais - Segunda Licenciatura em Artes Visuais - Priscila Almeida da Cruz Brito - Tecnologia nas Artes Visuais - Nota Máxima: 10")</f>
        <v>#SLAA - Segunda Licenciatura em Artes Visuais - Segunda Licenciatura em Artes Visuais - Priscila Almeida da Cruz Brito - Tecnologia nas Artes Visuais - Nota Máxima: 10</v>
      </c>
    </row>
    <row r="6216">
      <c r="A6216" s="390" t="str">
        <f>IFERROR(__xludf.DUMMYFUNCTION("""COMPUTED_VALUE"""),"#SLAA - Segunda Licenciatura em Artes Visuais - Segunda Licenciatura em Artes Visuais - Arlete Maria dos Santos - Arte Brasileira na Formação da Identidade Nacional - Nota Máxima: 10")</f>
        <v>#SLAA - Segunda Licenciatura em Artes Visuais - Segunda Licenciatura em Artes Visuais - Arlete Maria dos Santos - Arte Brasileira na Formação da Identidade Nacional - Nota Máxima: 10</v>
      </c>
    </row>
    <row r="6217">
      <c r="A6217" s="390" t="str">
        <f>IFERROR(__xludf.DUMMYFUNCTION("""COMPUTED_VALUE"""),"#SLAA - Segunda Licenciatura em Artes Visuais - Segunda Licenciatura em Artes Visuais - Arlete Maria dos Santos - Arte Brasileira na Formação da Identidade Nacional - Nota Máxima: 7")</f>
        <v>#SLAA - Segunda Licenciatura em Artes Visuais - Segunda Licenciatura em Artes Visuais - Arlete Maria dos Santos - Arte Brasileira na Formação da Identidade Nacional - Nota Máxima: 7</v>
      </c>
    </row>
    <row r="6218">
      <c r="A6218" s="390" t="str">
        <f>IFERROR(__xludf.DUMMYFUNCTION("""COMPUTED_VALUE"""),"#SLAA - Segunda Licenciatura em Artes Visuais - Segunda Licenciatura em Artes Visuais - Arlete Maria dos Santos - Arte Conceitual, Instalações e Arte Urbana - Nota Máxima: 9")</f>
        <v>#SLAA - Segunda Licenciatura em Artes Visuais - Segunda Licenciatura em Artes Visuais - Arlete Maria dos Santos - Arte Conceitual, Instalações e Arte Urbana - Nota Máxima: 9</v>
      </c>
    </row>
    <row r="6219">
      <c r="A6219" s="390" t="str">
        <f>IFERROR(__xludf.DUMMYFUNCTION("""COMPUTED_VALUE"""),"#SLAA - Segunda Licenciatura em Artes Visuais - Segunda Licenciatura em Artes Visuais - Arlete Maria dos Santos - Arte Conceitual, Instalações e Arte Urbana - Nota Máxima: 4")</f>
        <v>#SLAA - Segunda Licenciatura em Artes Visuais - Segunda Licenciatura em Artes Visuais - Arlete Maria dos Santos - Arte Conceitual, Instalações e Arte Urbana - Nota Máxima: 4</v>
      </c>
    </row>
    <row r="6220">
      <c r="A6220" s="390" t="str">
        <f>IFERROR(__xludf.DUMMYFUNCTION("""COMPUTED_VALUE"""),"#SLAA - Segunda Licenciatura em Artes Visuais - Segunda Licenciatura em Artes Visuais - Arlete Maria dos Santos - Arte em Educação - Nota Máxima: 10")</f>
        <v>#SLAA - Segunda Licenciatura em Artes Visuais - Segunda Licenciatura em Artes Visuais - Arlete Maria dos Santos - Arte em Educação - Nota Máxima: 10</v>
      </c>
    </row>
    <row r="6221">
      <c r="A6221" s="390" t="str">
        <f>IFERROR(__xludf.DUMMYFUNCTION("""COMPUTED_VALUE"""),"#SLAA - Segunda Licenciatura em Artes Visuais - Segunda Licenciatura em Artes Visuais - Arlete Maria dos Santos - Arte em Educação - Nota Máxima: 9")</f>
        <v>#SLAA - Segunda Licenciatura em Artes Visuais - Segunda Licenciatura em Artes Visuais - Arlete Maria dos Santos - Arte em Educação - Nota Máxima: 9</v>
      </c>
    </row>
    <row r="6222">
      <c r="A6222" s="390" t="str">
        <f>IFERROR(__xludf.DUMMYFUNCTION("""COMPUTED_VALUE"""),"#SLAA - Segunda Licenciatura em Artes Visuais - Segunda Licenciatura em Artes Visuais - Arlete Maria dos Santos - Deficiência Auditiva e Libras/a - Nota Máxima: 10")</f>
        <v>#SLAA - Segunda Licenciatura em Artes Visuais - Segunda Licenciatura em Artes Visuais - Arlete Maria dos Santos - Deficiência Auditiva e Libras/a - Nota Máxima: 10</v>
      </c>
    </row>
    <row r="6223">
      <c r="A6223" s="390" t="str">
        <f>IFERROR(__xludf.DUMMYFUNCTION("""COMPUTED_VALUE"""),"#SLAA - Segunda Licenciatura em Artes Visuais - Segunda Licenciatura em Artes Visuais - Arlete Maria dos Santos - Deficiência Auditiva e Libras/a - Nota Máxima: 7")</f>
        <v>#SLAA - Segunda Licenciatura em Artes Visuais - Segunda Licenciatura em Artes Visuais - Arlete Maria dos Santos - Deficiência Auditiva e Libras/a - Nota Máxima: 7</v>
      </c>
    </row>
    <row r="6224">
      <c r="A6224" s="390" t="str">
        <f>IFERROR(__xludf.DUMMYFUNCTION("""COMPUTED_VALUE"""),"#SLAA - Segunda Licenciatura em Artes Visuais - Segunda Licenciatura em Artes Visuais - Arlete Maria dos Santos - Desenho e Observação - Nota Máxima: 10")</f>
        <v>#SLAA - Segunda Licenciatura em Artes Visuais - Segunda Licenciatura em Artes Visuais - Arlete Maria dos Santos - Desenho e Observação - Nota Máxima: 10</v>
      </c>
    </row>
    <row r="6225">
      <c r="A6225" s="390" t="str">
        <f>IFERROR(__xludf.DUMMYFUNCTION("""COMPUTED_VALUE"""),"#SLAA - Segunda Licenciatura em Artes Visuais - Segunda Licenciatura em Artes Visuais - Arlete Maria dos Santos - Desenho e Observação - Nota Máxima: 10")</f>
        <v>#SLAA - Segunda Licenciatura em Artes Visuais - Segunda Licenciatura em Artes Visuais - Arlete Maria dos Santos - Desenho e Observação - Nota Máxima: 10</v>
      </c>
    </row>
    <row r="6226">
      <c r="A6226" s="390" t="str">
        <f>IFERROR(__xludf.DUMMYFUNCTION("""COMPUTED_VALUE"""),"#SLAA - Segunda Licenciatura em Artes Visuais - Segunda Licenciatura em Artes Visuais - Arlete Maria dos Santos - Educação Especial, Inclusão Escolar e Adaptações Curriculares - Nota Máxima: 8")</f>
        <v>#SLAA - Segunda Licenciatura em Artes Visuais - Segunda Licenciatura em Artes Visuais - Arlete Maria dos Santos - Educação Especial, Inclusão Escolar e Adaptações Curriculares - Nota Máxima: 8</v>
      </c>
    </row>
    <row r="6227">
      <c r="A6227" s="390" t="str">
        <f>IFERROR(__xludf.DUMMYFUNCTION("""COMPUTED_VALUE"""),"#SLAA - Segunda Licenciatura em Artes Visuais - Segunda Licenciatura em Artes Visuais - Arlete Maria dos Santos - Educação Especial, Inclusão Escolar e Adaptações Curriculares - Nota Máxima: 7")</f>
        <v>#SLAA - Segunda Licenciatura em Artes Visuais - Segunda Licenciatura em Artes Visuais - Arlete Maria dos Santos - Educação Especial, Inclusão Escolar e Adaptações Curriculares - Nota Máxima: 7</v>
      </c>
    </row>
    <row r="6228">
      <c r="A6228" s="390" t="str">
        <f>IFERROR(__xludf.DUMMYFUNCTION("""COMPUTED_VALUE"""),"#SLAA - Segunda Licenciatura em Artes Visuais - Segunda Licenciatura em Artes Visuais - Arlete Maria dos Santos - Educação, História, Cultura e Práticas Indígenas/a - Nota Máxima: 10")</f>
        <v>#SLAA - Segunda Licenciatura em Artes Visuais - Segunda Licenciatura em Artes Visuais - Arlete Maria dos Santos - Educação, História, Cultura e Práticas Indígenas/a - Nota Máxima: 10</v>
      </c>
    </row>
    <row r="6229">
      <c r="A6229" s="390" t="str">
        <f>IFERROR(__xludf.DUMMYFUNCTION("""COMPUTED_VALUE"""),"#SLAA - Segunda Licenciatura em Artes Visuais - Segunda Licenciatura em Artes Visuais - Arlete Maria dos Santos - Educação, História, Cultura e Práticas Indígenas/a - Nota Máxima: 8")</f>
        <v>#SLAA - Segunda Licenciatura em Artes Visuais - Segunda Licenciatura em Artes Visuais - Arlete Maria dos Santos - Educação, História, Cultura e Práticas Indígenas/a - Nota Máxima: 8</v>
      </c>
    </row>
    <row r="6230">
      <c r="A6230" s="390" t="str">
        <f>IFERROR(__xludf.DUMMYFUNCTION("""COMPUTED_VALUE"""),"#SLAA - Segunda Licenciatura em Artes Visuais - Segunda Licenciatura em Artes Visuais - Arlete Maria dos Santos - Expressão Gráfica - Nota Máxima: 10")</f>
        <v>#SLAA - Segunda Licenciatura em Artes Visuais - Segunda Licenciatura em Artes Visuais - Arlete Maria dos Santos - Expressão Gráfica - Nota Máxima: 10</v>
      </c>
    </row>
    <row r="6231">
      <c r="A6231" s="390" t="str">
        <f>IFERROR(__xludf.DUMMYFUNCTION("""COMPUTED_VALUE"""),"#SLAA - Segunda Licenciatura em Artes Visuais - Segunda Licenciatura em Artes Visuais - Arlete Maria dos Santos - Expressão Gráfica - Nota Máxima: 10")</f>
        <v>#SLAA - Segunda Licenciatura em Artes Visuais - Segunda Licenciatura em Artes Visuais - Arlete Maria dos Santos - Expressão Gráfica - Nota Máxima: 10</v>
      </c>
    </row>
    <row r="6232">
      <c r="A6232" s="390" t="str">
        <f>IFERROR(__xludf.DUMMYFUNCTION("""COMPUTED_VALUE"""),"#SLAA - Segunda Licenciatura em Artes Visuais - Segunda Licenciatura em Artes Visuais - Arlete Maria dos Santos - Filosofia das Artes à Estética - Nota Máxima: 10")</f>
        <v>#SLAA - Segunda Licenciatura em Artes Visuais - Segunda Licenciatura em Artes Visuais - Arlete Maria dos Santos - Filosofia das Artes à Estética - Nota Máxima: 10</v>
      </c>
    </row>
    <row r="6233">
      <c r="A6233" s="390" t="str">
        <f>IFERROR(__xludf.DUMMYFUNCTION("""COMPUTED_VALUE"""),"#SLAA - Segunda Licenciatura em Artes Visuais - Segunda Licenciatura em Artes Visuais - Arlete Maria dos Santos - Filosofia das Artes à Estética - Nota Máxima: 5")</f>
        <v>#SLAA - Segunda Licenciatura em Artes Visuais - Segunda Licenciatura em Artes Visuais - Arlete Maria dos Santos - Filosofia das Artes à Estética - Nota Máxima: 5</v>
      </c>
    </row>
    <row r="6234">
      <c r="A6234" s="390" t="str">
        <f>IFERROR(__xludf.DUMMYFUNCTION("""COMPUTED_VALUE"""),"#SLAA - Segunda Licenciatura em Artes Visuais - Segunda Licenciatura em Artes Visuais - Arlete Maria dos Santos - Legislação Educacional/a - Nota Máxima: 9")</f>
        <v>#SLAA - Segunda Licenciatura em Artes Visuais - Segunda Licenciatura em Artes Visuais - Arlete Maria dos Santos - Legislação Educacional/a - Nota Máxima: 9</v>
      </c>
    </row>
    <row r="6235">
      <c r="A6235" s="390" t="str">
        <f>IFERROR(__xludf.DUMMYFUNCTION("""COMPUTED_VALUE"""),"#SLAA - Segunda Licenciatura em Artes Visuais - Segunda Licenciatura em Artes Visuais - Arlete Maria dos Santos - Legislação Educacional/a - Nota Máxima: 5")</f>
        <v>#SLAA - Segunda Licenciatura em Artes Visuais - Segunda Licenciatura em Artes Visuais - Arlete Maria dos Santos - Legislação Educacional/a - Nota Máxima: 5</v>
      </c>
    </row>
    <row r="6236">
      <c r="A6236" s="390" t="str">
        <f>IFERROR(__xludf.DUMMYFUNCTION("""COMPUTED_VALUE"""),"#SLAA - Segunda Licenciatura em Artes Visuais - Segunda Licenciatura em Artes Visuais - Arlete Maria dos Santos - Linguagem das Artes Plásticas - Nota Máxima: 10")</f>
        <v>#SLAA - Segunda Licenciatura em Artes Visuais - Segunda Licenciatura em Artes Visuais - Arlete Maria dos Santos - Linguagem das Artes Plásticas - Nota Máxima: 10</v>
      </c>
    </row>
    <row r="6237">
      <c r="A6237" s="390" t="str">
        <f>IFERROR(__xludf.DUMMYFUNCTION("""COMPUTED_VALUE"""),"#SLAA - Segunda Licenciatura em Artes Visuais - Segunda Licenciatura em Artes Visuais - Arlete Maria dos Santos - Linguagem das Artes Plásticas - Nota Máxima: 5")</f>
        <v>#SLAA - Segunda Licenciatura em Artes Visuais - Segunda Licenciatura em Artes Visuais - Arlete Maria dos Santos - Linguagem das Artes Plásticas - Nota Máxima: 5</v>
      </c>
    </row>
    <row r="6238">
      <c r="A6238" s="390" t="str">
        <f>IFERROR(__xludf.DUMMYFUNCTION("""COMPUTED_VALUE"""),"#SLAA - Segunda Licenciatura em Artes Visuais - Segunda Licenciatura em Artes Visuais - Arlete Maria dos Santos - Planejamento, Gestão Educacional e Currículo/a - Nota Máxima: 10")</f>
        <v>#SLAA - Segunda Licenciatura em Artes Visuais - Segunda Licenciatura em Artes Visuais - Arlete Maria dos Santos - Planejamento, Gestão Educacional e Currículo/a - Nota Máxima: 10</v>
      </c>
    </row>
    <row r="6239">
      <c r="A6239" s="390" t="str">
        <f>IFERROR(__xludf.DUMMYFUNCTION("""COMPUTED_VALUE"""),"#SLAA - Segunda Licenciatura em Artes Visuais - Segunda Licenciatura em Artes Visuais - Arlete Maria dos Santos - Planejamento, Gestão Educacional e Currículo/a - Nota Máxima: 10")</f>
        <v>#SLAA - Segunda Licenciatura em Artes Visuais - Segunda Licenciatura em Artes Visuais - Arlete Maria dos Santos - Planejamento, Gestão Educacional e Currículo/a - Nota Máxima: 10</v>
      </c>
    </row>
    <row r="6240">
      <c r="A6240" s="390" t="str">
        <f>IFERROR(__xludf.DUMMYFUNCTION("""COMPUTED_VALUE"""),"#SLAA - Segunda Licenciatura em Artes Visuais - Segunda Licenciatura em Artes Visuais - Arlete Maria dos Santos - Práticas Pedagógicas - 400 Horas - Nota Máxima: 10")</f>
        <v>#SLAA - Segunda Licenciatura em Artes Visuais - Segunda Licenciatura em Artes Visuais - Arlete Maria dos Santos - Práticas Pedagógicas - 400 Horas - Nota Máxima: 10</v>
      </c>
    </row>
    <row r="6241">
      <c r="A6241" s="390" t="str">
        <f>IFERROR(__xludf.DUMMYFUNCTION("""COMPUTED_VALUE"""),"#SLAA - Segunda Licenciatura em Artes Visuais - Segunda Licenciatura em Artes Visuais - Arlete Maria dos Santos - Práticas Pedagógicas - 400 Horas - Nota Máxima: 45779")</f>
        <v>#SLAA - Segunda Licenciatura em Artes Visuais - Segunda Licenciatura em Artes Visuais - Arlete Maria dos Santos - Práticas Pedagógicas - 400 Horas - Nota Máxima: 45779</v>
      </c>
    </row>
    <row r="6242">
      <c r="A6242" s="390" t="str">
        <f>IFERROR(__xludf.DUMMYFUNCTION("""COMPUTED_VALUE"""),"#SLAA - Segunda Licenciatura em Artes Visuais - Segunda Licenciatura em Artes Visuais - Arlete Maria dos Santos - Psicologia da Educação/a - Nota Máxima: 10")</f>
        <v>#SLAA - Segunda Licenciatura em Artes Visuais - Segunda Licenciatura em Artes Visuais - Arlete Maria dos Santos - Psicologia da Educação/a - Nota Máxima: 10</v>
      </c>
    </row>
    <row r="6243">
      <c r="A6243" s="390" t="str">
        <f>IFERROR(__xludf.DUMMYFUNCTION("""COMPUTED_VALUE"""),"#SLAA - Segunda Licenciatura em Artes Visuais - Segunda Licenciatura em Artes Visuais - Arlete Maria dos Santos - Psicologia da Educação/a - Nota Máxima: 4")</f>
        <v>#SLAA - Segunda Licenciatura em Artes Visuais - Segunda Licenciatura em Artes Visuais - Arlete Maria dos Santos - Psicologia da Educação/a - Nota Máxima: 4</v>
      </c>
    </row>
    <row r="6244">
      <c r="A6244" s="390" t="str">
        <f>IFERROR(__xludf.DUMMYFUNCTION("""COMPUTED_VALUE"""),"#SLAA - Segunda Licenciatura em Artes Visuais - Segunda Licenciatura em Artes Visuais - Arlete Maria dos Santos - Psicomotricidade e Ludopedagogia - Nota Máxima: 10")</f>
        <v>#SLAA - Segunda Licenciatura em Artes Visuais - Segunda Licenciatura em Artes Visuais - Arlete Maria dos Santos - Psicomotricidade e Ludopedagogia - Nota Máxima: 10</v>
      </c>
    </row>
    <row r="6245">
      <c r="A6245" s="390" t="str">
        <f>IFERROR(__xludf.DUMMYFUNCTION("""COMPUTED_VALUE"""),"#SLAA - Segunda Licenciatura em Artes Visuais - Segunda Licenciatura em Artes Visuais - Arlete Maria dos Santos - Psicomotricidade e Ludopedagogia - Nota Máxima: 9")</f>
        <v>#SLAA - Segunda Licenciatura em Artes Visuais - Segunda Licenciatura em Artes Visuais - Arlete Maria dos Santos - Psicomotricidade e Ludopedagogia - Nota Máxima: 9</v>
      </c>
    </row>
    <row r="6246">
      <c r="A6246" s="390" t="str">
        <f>IFERROR(__xludf.DUMMYFUNCTION("""COMPUTED_VALUE"""),"#SLAA - Segunda Licenciatura em Artes Visuais - Segunda Licenciatura em Artes Visuais - Arlete Maria dos Santos - Tecnologia nas Artes Visuais - Nota Máxima: 9")</f>
        <v>#SLAA - Segunda Licenciatura em Artes Visuais - Segunda Licenciatura em Artes Visuais - Arlete Maria dos Santos - Tecnologia nas Artes Visuais - Nota Máxima: 9</v>
      </c>
    </row>
    <row r="6247">
      <c r="A6247" s="390" t="str">
        <f>IFERROR(__xludf.DUMMYFUNCTION("""COMPUTED_VALUE"""),"#SLAA - Segunda Licenciatura em Artes Visuais - Segunda Licenciatura em Artes Visuais - Arlete Maria dos Santos - Tecnologia nas Artes Visuais - Nota Máxima: 2")</f>
        <v>#SLAA - Segunda Licenciatura em Artes Visuais - Segunda Licenciatura em Artes Visuais - Arlete Maria dos Santos - Tecnologia nas Artes Visuais - Nota Máxima: 2</v>
      </c>
    </row>
    <row r="6248">
      <c r="A6248" s="390" t="str">
        <f>IFERROR(__xludf.DUMMYFUNCTION("""COMPUTED_VALUE"""),"#SLAA - Segunda Licenciatura em Artes Visuais - Segunda Licenciatura em Artes Visuais - Natalia Cristina Silva - Arte Brasileira na Formação da Identidade Nacional - Nota Máxima: 8")</f>
        <v>#SLAA - Segunda Licenciatura em Artes Visuais - Segunda Licenciatura em Artes Visuais - Natalia Cristina Silva - Arte Brasileira na Formação da Identidade Nacional - Nota Máxima: 8</v>
      </c>
    </row>
    <row r="6249">
      <c r="A6249" s="390" t="str">
        <f>IFERROR(__xludf.DUMMYFUNCTION("""COMPUTED_VALUE"""),"#SLAA - Segunda Licenciatura em Artes Visuais - Segunda Licenciatura em Artes Visuais - Natalia Cristina Silva - Arte Conceitual, Instalações e Arte Urbana - Nota Máxima: 10")</f>
        <v>#SLAA - Segunda Licenciatura em Artes Visuais - Segunda Licenciatura em Artes Visuais - Natalia Cristina Silva - Arte Conceitual, Instalações e Arte Urbana - Nota Máxima: 10</v>
      </c>
    </row>
    <row r="6250">
      <c r="A6250" s="390" t="str">
        <f>IFERROR(__xludf.DUMMYFUNCTION("""COMPUTED_VALUE"""),"#SLAA - Segunda Licenciatura em Artes Visuais - Segunda Licenciatura em Artes Visuais - Natalia Cristina Silva - Arte em Educação - Nota Máxima: 9")</f>
        <v>#SLAA - Segunda Licenciatura em Artes Visuais - Segunda Licenciatura em Artes Visuais - Natalia Cristina Silva - Arte em Educação - Nota Máxima: 9</v>
      </c>
    </row>
    <row r="6251">
      <c r="A6251" s="390" t="str">
        <f>IFERROR(__xludf.DUMMYFUNCTION("""COMPUTED_VALUE"""),"#SLAA - Segunda Licenciatura em Artes Visuais - Segunda Licenciatura em Artes Visuais - Natalia Cristina Silva - Deficiência Auditiva e Libras/a - Nota Máxima: 8")</f>
        <v>#SLAA - Segunda Licenciatura em Artes Visuais - Segunda Licenciatura em Artes Visuais - Natalia Cristina Silva - Deficiência Auditiva e Libras/a - Nota Máxima: 8</v>
      </c>
    </row>
    <row r="6252">
      <c r="A6252" s="390" t="str">
        <f>IFERROR(__xludf.DUMMYFUNCTION("""COMPUTED_VALUE"""),"#SLAA - Segunda Licenciatura em Artes Visuais - Segunda Licenciatura em Artes Visuais - Natalia Cristina Silva - Deficiência Auditiva e Libras/a - Nota Máxima: 10")</f>
        <v>#SLAA - Segunda Licenciatura em Artes Visuais - Segunda Licenciatura em Artes Visuais - Natalia Cristina Silva - Deficiência Auditiva e Libras/a - Nota Máxima: 10</v>
      </c>
    </row>
    <row r="6253">
      <c r="A6253" s="390" t="str">
        <f>IFERROR(__xludf.DUMMYFUNCTION("""COMPUTED_VALUE"""),"#SLAA - Segunda Licenciatura em Artes Visuais - Segunda Licenciatura em Artes Visuais - Natalia Cristina Silva - Desenho e Observação - Nota Máxima: 10")</f>
        <v>#SLAA - Segunda Licenciatura em Artes Visuais - Segunda Licenciatura em Artes Visuais - Natalia Cristina Silva - Desenho e Observação - Nota Máxima: 10</v>
      </c>
    </row>
    <row r="6254">
      <c r="A6254" s="390" t="str">
        <f>IFERROR(__xludf.DUMMYFUNCTION("""COMPUTED_VALUE"""),"#SLAA - Segunda Licenciatura em Artes Visuais - Segunda Licenciatura em Artes Visuais - Natalia Cristina Silva - Educação Especial, Inclusão Escolar e Adaptações Curriculares - Nota Máxima: 10")</f>
        <v>#SLAA - Segunda Licenciatura em Artes Visuais - Segunda Licenciatura em Artes Visuais - Natalia Cristina Silva - Educação Especial, Inclusão Escolar e Adaptações Curriculares - Nota Máxima: 10</v>
      </c>
    </row>
    <row r="6255">
      <c r="A6255" s="390" t="str">
        <f>IFERROR(__xludf.DUMMYFUNCTION("""COMPUTED_VALUE"""),"#SLAA - Segunda Licenciatura em Artes Visuais - Segunda Licenciatura em Artes Visuais - Natalia Cristina Silva - Educação, História, Cultura e Práticas Indígenas/a - Nota Máxima: 10")</f>
        <v>#SLAA - Segunda Licenciatura em Artes Visuais - Segunda Licenciatura em Artes Visuais - Natalia Cristina Silva - Educação, História, Cultura e Práticas Indígenas/a - Nota Máxima: 10</v>
      </c>
    </row>
    <row r="6256">
      <c r="A6256" s="390" t="str">
        <f>IFERROR(__xludf.DUMMYFUNCTION("""COMPUTED_VALUE"""),"#SLAA - Segunda Licenciatura em Artes Visuais - Segunda Licenciatura em Artes Visuais - Natalia Cristina Silva - Educação, História, Cultura e Práticas Indígenas/a - Nota Máxima: 10")</f>
        <v>#SLAA - Segunda Licenciatura em Artes Visuais - Segunda Licenciatura em Artes Visuais - Natalia Cristina Silva - Educação, História, Cultura e Práticas Indígenas/a - Nota Máxima: 10</v>
      </c>
    </row>
    <row r="6257">
      <c r="A6257" s="390" t="str">
        <f>IFERROR(__xludf.DUMMYFUNCTION("""COMPUTED_VALUE"""),"#SLAA - Segunda Licenciatura em Artes Visuais - Segunda Licenciatura em Artes Visuais - Natalia Cristina Silva - Expressão Gráfica - Nota Máxima: 10")</f>
        <v>#SLAA - Segunda Licenciatura em Artes Visuais - Segunda Licenciatura em Artes Visuais - Natalia Cristina Silva - Expressão Gráfica - Nota Máxima: 10</v>
      </c>
    </row>
    <row r="6258">
      <c r="A6258" s="390" t="str">
        <f>IFERROR(__xludf.DUMMYFUNCTION("""COMPUTED_VALUE"""),"#SLAA - Segunda Licenciatura em Artes Visuais - Segunda Licenciatura em Artes Visuais - Natalia Cristina Silva - Filosofia das Artes à Estética - Nota Máxima: 10")</f>
        <v>#SLAA - Segunda Licenciatura em Artes Visuais - Segunda Licenciatura em Artes Visuais - Natalia Cristina Silva - Filosofia das Artes à Estética - Nota Máxima: 10</v>
      </c>
    </row>
    <row r="6259">
      <c r="A6259" s="390" t="str">
        <f>IFERROR(__xludf.DUMMYFUNCTION("""COMPUTED_VALUE"""),"#SLAA - Segunda Licenciatura em Artes Visuais - Segunda Licenciatura em Artes Visuais - Natalia Cristina Silva - Filosofia das Artes à Estética - Nota Máxima: 10")</f>
        <v>#SLAA - Segunda Licenciatura em Artes Visuais - Segunda Licenciatura em Artes Visuais - Natalia Cristina Silva - Filosofia das Artes à Estética - Nota Máxima: 10</v>
      </c>
    </row>
    <row r="6260">
      <c r="A6260" s="390" t="str">
        <f>IFERROR(__xludf.DUMMYFUNCTION("""COMPUTED_VALUE"""),"#SLAA - Segunda Licenciatura em Artes Visuais - Segunda Licenciatura em Artes Visuais - Natalia Cristina Silva - Legislação Educacional/a - Nota Máxima: 10")</f>
        <v>#SLAA - Segunda Licenciatura em Artes Visuais - Segunda Licenciatura em Artes Visuais - Natalia Cristina Silva - Legislação Educacional/a - Nota Máxima: 10</v>
      </c>
    </row>
    <row r="6261">
      <c r="A6261" s="390" t="str">
        <f>IFERROR(__xludf.DUMMYFUNCTION("""COMPUTED_VALUE"""),"#SLAA - Segunda Licenciatura em Artes Visuais - Segunda Licenciatura em Artes Visuais - Natalia Cristina Silva - Legislação Educacional/a - Nota Máxima: 7")</f>
        <v>#SLAA - Segunda Licenciatura em Artes Visuais - Segunda Licenciatura em Artes Visuais - Natalia Cristina Silva - Legislação Educacional/a - Nota Máxima: 7</v>
      </c>
    </row>
    <row r="6262">
      <c r="A6262" s="390" t="str">
        <f>IFERROR(__xludf.DUMMYFUNCTION("""COMPUTED_VALUE"""),"#SLAA - Segunda Licenciatura em Artes Visuais - Segunda Licenciatura em Artes Visuais - Natalia Cristina Silva - Linguagem das Artes Plásticas - Nota Máxima: 10")</f>
        <v>#SLAA - Segunda Licenciatura em Artes Visuais - Segunda Licenciatura em Artes Visuais - Natalia Cristina Silva - Linguagem das Artes Plásticas - Nota Máxima: 10</v>
      </c>
    </row>
    <row r="6263">
      <c r="A6263" s="390" t="str">
        <f>IFERROR(__xludf.DUMMYFUNCTION("""COMPUTED_VALUE"""),"#SLAA - Segunda Licenciatura em Artes Visuais - Segunda Licenciatura em Artes Visuais - Natalia Cristina Silva - Planejamento, Gestão Educacional e Currículo/a - Nota Máxima: 10")</f>
        <v>#SLAA - Segunda Licenciatura em Artes Visuais - Segunda Licenciatura em Artes Visuais - Natalia Cristina Silva - Planejamento, Gestão Educacional e Currículo/a - Nota Máxima: 10</v>
      </c>
    </row>
    <row r="6264">
      <c r="A6264" s="390" t="str">
        <f>IFERROR(__xludf.DUMMYFUNCTION("""COMPUTED_VALUE"""),"#SLAA - Segunda Licenciatura em Artes Visuais - Segunda Licenciatura em Artes Visuais - Natalia Cristina Silva - Planejamento, Gestão Educacional e Currículo/a - Nota Máxima: 10")</f>
        <v>#SLAA - Segunda Licenciatura em Artes Visuais - Segunda Licenciatura em Artes Visuais - Natalia Cristina Silva - Planejamento, Gestão Educacional e Currículo/a - Nota Máxima: 10</v>
      </c>
    </row>
    <row r="6265">
      <c r="A6265" s="390" t="str">
        <f>IFERROR(__xludf.DUMMYFUNCTION("""COMPUTED_VALUE"""),"#SLAA - Segunda Licenciatura em Artes Visuais - Segunda Licenciatura em Artes Visuais - Natalia Cristina Silva - Práticas Pedagógicas - 400 Horas - Nota Máxima: 4")</f>
        <v>#SLAA - Segunda Licenciatura em Artes Visuais - Segunda Licenciatura em Artes Visuais - Natalia Cristina Silva - Práticas Pedagógicas - 400 Horas - Nota Máxima: 4</v>
      </c>
    </row>
    <row r="6266">
      <c r="A6266" s="390" t="str">
        <f>IFERROR(__xludf.DUMMYFUNCTION("""COMPUTED_VALUE"""),"#SLAA - Segunda Licenciatura em Artes Visuais - Segunda Licenciatura em Artes Visuais - Natalia Cristina Silva - Práticas Pedagógicas - 400 Horas - Nota Máxima: 2")</f>
        <v>#SLAA - Segunda Licenciatura em Artes Visuais - Segunda Licenciatura em Artes Visuais - Natalia Cristina Silva - Práticas Pedagógicas - 400 Horas - Nota Máxima: 2</v>
      </c>
    </row>
    <row r="6267">
      <c r="A6267" s="390" t="str">
        <f>IFERROR(__xludf.DUMMYFUNCTION("""COMPUTED_VALUE"""),"#SLAA - Segunda Licenciatura em Artes Visuais - Segunda Licenciatura em Artes Visuais - Natalia Cristina Silva - Psicologia da Educação/a - Nota Máxima: 10")</f>
        <v>#SLAA - Segunda Licenciatura em Artes Visuais - Segunda Licenciatura em Artes Visuais - Natalia Cristina Silva - Psicologia da Educação/a - Nota Máxima: 10</v>
      </c>
    </row>
    <row r="6268">
      <c r="A6268" s="390" t="str">
        <f>IFERROR(__xludf.DUMMYFUNCTION("""COMPUTED_VALUE"""),"#SLAA - Segunda Licenciatura em Artes Visuais - Segunda Licenciatura em Artes Visuais - Natalia Cristina Silva - Psicologia da Educação/a - Nota Máxima: 10")</f>
        <v>#SLAA - Segunda Licenciatura em Artes Visuais - Segunda Licenciatura em Artes Visuais - Natalia Cristina Silva - Psicologia da Educação/a - Nota Máxima: 10</v>
      </c>
    </row>
    <row r="6269">
      <c r="A6269" s="390" t="str">
        <f>IFERROR(__xludf.DUMMYFUNCTION("""COMPUTED_VALUE"""),"#SLAA - Segunda Licenciatura em Artes Visuais - Segunda Licenciatura em Artes Visuais - Natalia Cristina Silva - Psicomotricidade e Ludopedagogia - Nota Máxima: 10")</f>
        <v>#SLAA - Segunda Licenciatura em Artes Visuais - Segunda Licenciatura em Artes Visuais - Natalia Cristina Silva - Psicomotricidade e Ludopedagogia - Nota Máxima: 10</v>
      </c>
    </row>
    <row r="6270">
      <c r="A6270" s="390" t="str">
        <f>IFERROR(__xludf.DUMMYFUNCTION("""COMPUTED_VALUE"""),"#SLAA - Segunda Licenciatura em Artes Visuais - Segunda Licenciatura em Artes Visuais - Natalia Cristina Silva - Tecnologia nas Artes Visuais - Nota Máxima: 10")</f>
        <v>#SLAA - Segunda Licenciatura em Artes Visuais - Segunda Licenciatura em Artes Visuais - Natalia Cristina Silva - Tecnologia nas Artes Visuais - Nota Máxima: 10</v>
      </c>
    </row>
    <row r="6271">
      <c r="A6271" s="390" t="str">
        <f>IFERROR(__xludf.DUMMYFUNCTION("""COMPUTED_VALUE"""),"#SLAA - Segunda Licenciatura em Artes Visuais - Segunda Licenciatura em Artes Visuais - Vânia da Silva Moreira - Arte Brasileira na Formação da Identidade Nacional - Nota Máxima: 10")</f>
        <v>#SLAA - Segunda Licenciatura em Artes Visuais - Segunda Licenciatura em Artes Visuais - Vânia da Silva Moreira - Arte Brasileira na Formação da Identidade Nacional - Nota Máxima: 10</v>
      </c>
    </row>
    <row r="6272">
      <c r="A6272" s="390" t="str">
        <f>IFERROR(__xludf.DUMMYFUNCTION("""COMPUTED_VALUE"""),"#SLAA - Segunda Licenciatura em Artes Visuais - Segunda Licenciatura em Artes Visuais - Vânia da Silva Moreira - Arte Conceitual, Instalações e Arte Urbana - Nota Máxima: 10")</f>
        <v>#SLAA - Segunda Licenciatura em Artes Visuais - Segunda Licenciatura em Artes Visuais - Vânia da Silva Moreira - Arte Conceitual, Instalações e Arte Urbana - Nota Máxima: 10</v>
      </c>
    </row>
    <row r="6273">
      <c r="A6273" s="390" t="str">
        <f>IFERROR(__xludf.DUMMYFUNCTION("""COMPUTED_VALUE"""),"#SLAA - Segunda Licenciatura em Artes Visuais - Segunda Licenciatura em Artes Visuais - Vânia da Silva Moreira - Arte em Educação - Nota Máxima: 10")</f>
        <v>#SLAA - Segunda Licenciatura em Artes Visuais - Segunda Licenciatura em Artes Visuais - Vânia da Silva Moreira - Arte em Educação - Nota Máxima: 10</v>
      </c>
    </row>
    <row r="6274">
      <c r="A6274" s="390" t="str">
        <f>IFERROR(__xludf.DUMMYFUNCTION("""COMPUTED_VALUE"""),"#SLAA - Segunda Licenciatura em Artes Visuais - Segunda Licenciatura em Artes Visuais - Vânia da Silva Moreira - Deficiência Auditiva e Libras/a - Nota Máxima: 10")</f>
        <v>#SLAA - Segunda Licenciatura em Artes Visuais - Segunda Licenciatura em Artes Visuais - Vânia da Silva Moreira - Deficiência Auditiva e Libras/a - Nota Máxima: 10</v>
      </c>
    </row>
    <row r="6275">
      <c r="A6275" s="390" t="str">
        <f>IFERROR(__xludf.DUMMYFUNCTION("""COMPUTED_VALUE"""),"#SLAA - Segunda Licenciatura em Artes Visuais - Segunda Licenciatura em Artes Visuais - Vânia da Silva Moreira - Deficiência Auditiva e Libras/a - Nota Máxima: 10")</f>
        <v>#SLAA - Segunda Licenciatura em Artes Visuais - Segunda Licenciatura em Artes Visuais - Vânia da Silva Moreira - Deficiência Auditiva e Libras/a - Nota Máxima: 10</v>
      </c>
    </row>
    <row r="6276">
      <c r="A6276" s="390" t="str">
        <f>IFERROR(__xludf.DUMMYFUNCTION("""COMPUTED_VALUE"""),"#SLAA - Segunda Licenciatura em Artes Visuais - Segunda Licenciatura em Artes Visuais - Vânia da Silva Moreira - Educação Especial, Inclusão Escolar e Adaptações Curriculares - Nota Máxima: 10")</f>
        <v>#SLAA - Segunda Licenciatura em Artes Visuais - Segunda Licenciatura em Artes Visuais - Vânia da Silva Moreira - Educação Especial, Inclusão Escolar e Adaptações Curriculares - Nota Máxima: 10</v>
      </c>
    </row>
    <row r="6277">
      <c r="A6277" s="390" t="str">
        <f>IFERROR(__xludf.DUMMYFUNCTION("""COMPUTED_VALUE"""),"#SLAA - Segunda Licenciatura em Artes Visuais - Segunda Licenciatura em Artes Visuais - Vânia da Silva Moreira - Educação, História, Cultura e Práticas Indígenas/a - Nota Máxima: 10")</f>
        <v>#SLAA - Segunda Licenciatura em Artes Visuais - Segunda Licenciatura em Artes Visuais - Vânia da Silva Moreira - Educação, História, Cultura e Práticas Indígenas/a - Nota Máxima: 10</v>
      </c>
    </row>
    <row r="6278">
      <c r="A6278" s="390" t="str">
        <f>IFERROR(__xludf.DUMMYFUNCTION("""COMPUTED_VALUE"""),"#SLAA - Segunda Licenciatura em Artes Visuais - Segunda Licenciatura em Artes Visuais - Vânia da Silva Moreira - Educação, História, Cultura e Práticas Indígenas/a - Nota Máxima: 10")</f>
        <v>#SLAA - Segunda Licenciatura em Artes Visuais - Segunda Licenciatura em Artes Visuais - Vânia da Silva Moreira - Educação, História, Cultura e Práticas Indígenas/a - Nota Máxima: 10</v>
      </c>
    </row>
    <row r="6279">
      <c r="A6279" s="390" t="str">
        <f>IFERROR(__xludf.DUMMYFUNCTION("""COMPUTED_VALUE"""),"#SLAA - Segunda Licenciatura em Artes Visuais - Segunda Licenciatura em Artes Visuais - Vânia da Silva Moreira - Filosofia das Artes à Estética - Nota Máxima: 10")</f>
        <v>#SLAA - Segunda Licenciatura em Artes Visuais - Segunda Licenciatura em Artes Visuais - Vânia da Silva Moreira - Filosofia das Artes à Estética - Nota Máxima: 10</v>
      </c>
    </row>
    <row r="6280">
      <c r="A6280" s="390" t="str">
        <f>IFERROR(__xludf.DUMMYFUNCTION("""COMPUTED_VALUE"""),"#SLAA - Segunda Licenciatura em Artes Visuais - Segunda Licenciatura em Artes Visuais - Vânia da Silva Moreira - Legislação Educacional/a - Nota Máxima: 10")</f>
        <v>#SLAA - Segunda Licenciatura em Artes Visuais - Segunda Licenciatura em Artes Visuais - Vânia da Silva Moreira - Legislação Educacional/a - Nota Máxima: 10</v>
      </c>
    </row>
    <row r="6281">
      <c r="A6281" s="390" t="str">
        <f>IFERROR(__xludf.DUMMYFUNCTION("""COMPUTED_VALUE"""),"#SLAA - Segunda Licenciatura em Artes Visuais - Segunda Licenciatura em Artes Visuais - Vânia da Silva Moreira - Legislação Educacional/a - Nota Máxima: 10")</f>
        <v>#SLAA - Segunda Licenciatura em Artes Visuais - Segunda Licenciatura em Artes Visuais - Vânia da Silva Moreira - Legislação Educacional/a - Nota Máxima: 10</v>
      </c>
    </row>
    <row r="6282">
      <c r="A6282" s="390" t="str">
        <f>IFERROR(__xludf.DUMMYFUNCTION("""COMPUTED_VALUE"""),"#SLAA - Segunda Licenciatura em Artes Visuais - Segunda Licenciatura em Artes Visuais - Vânia da Silva Moreira - Linguagem das Artes Plásticas - Nota Máxima: 9")</f>
        <v>#SLAA - Segunda Licenciatura em Artes Visuais - Segunda Licenciatura em Artes Visuais - Vânia da Silva Moreira - Linguagem das Artes Plásticas - Nota Máxima: 9</v>
      </c>
    </row>
    <row r="6283">
      <c r="A6283" s="390" t="str">
        <f>IFERROR(__xludf.DUMMYFUNCTION("""COMPUTED_VALUE"""),"#SLAA - Segunda Licenciatura em Artes Visuais - Segunda Licenciatura em Artes Visuais - Vânia da Silva Moreira - Planejamento, Gestão Educacional e Currículo/a - Nota Máxima: 10")</f>
        <v>#SLAA - Segunda Licenciatura em Artes Visuais - Segunda Licenciatura em Artes Visuais - Vânia da Silva Moreira - Planejamento, Gestão Educacional e Currículo/a - Nota Máxima: 10</v>
      </c>
    </row>
    <row r="6284">
      <c r="A6284" s="390" t="str">
        <f>IFERROR(__xludf.DUMMYFUNCTION("""COMPUTED_VALUE"""),"#SLAA - Segunda Licenciatura em Artes Visuais - Segunda Licenciatura em Artes Visuais - Vânia da Silva Moreira - Planejamento, Gestão Educacional e Currículo/a - Nota Máxima: 10")</f>
        <v>#SLAA - Segunda Licenciatura em Artes Visuais - Segunda Licenciatura em Artes Visuais - Vânia da Silva Moreira - Planejamento, Gestão Educacional e Currículo/a - Nota Máxima: 10</v>
      </c>
    </row>
    <row r="6285">
      <c r="A6285" s="390" t="str">
        <f>IFERROR(__xludf.DUMMYFUNCTION("""COMPUTED_VALUE"""),"#SLAA - Segunda Licenciatura em Artes Visuais - Segunda Licenciatura em Artes Visuais - Vânia da Silva Moreira - Práticas Pedagógicas - 400 Horas - Nota Máxima: 45784")</f>
        <v>#SLAA - Segunda Licenciatura em Artes Visuais - Segunda Licenciatura em Artes Visuais - Vânia da Silva Moreira - Práticas Pedagógicas - 400 Horas - Nota Máxima: 45784</v>
      </c>
    </row>
    <row r="6286">
      <c r="A6286" s="390" t="str">
        <f>IFERROR(__xludf.DUMMYFUNCTION("""COMPUTED_VALUE"""),"#SLAA - Segunda Licenciatura em Artes Visuais - Segunda Licenciatura em Artes Visuais - Vânia da Silva Moreira - Psicologia da Educação/a - Nota Máxima: 10")</f>
        <v>#SLAA - Segunda Licenciatura em Artes Visuais - Segunda Licenciatura em Artes Visuais - Vânia da Silva Moreira - Psicologia da Educação/a - Nota Máxima: 10</v>
      </c>
    </row>
    <row r="6287">
      <c r="A6287" s="390" t="str">
        <f>IFERROR(__xludf.DUMMYFUNCTION("""COMPUTED_VALUE"""),"#SLAA - Segunda Licenciatura em Artes Visuais - Segunda Licenciatura em Artes Visuais - Vânia da Silva Moreira - Psicologia da Educação/a - Nota Máxima: 10")</f>
        <v>#SLAA - Segunda Licenciatura em Artes Visuais - Segunda Licenciatura em Artes Visuais - Vânia da Silva Moreira - Psicologia da Educação/a - Nota Máxima: 10</v>
      </c>
    </row>
    <row r="6288">
      <c r="A6288" s="390" t="str">
        <f>IFERROR(__xludf.DUMMYFUNCTION("""COMPUTED_VALUE"""),"#SLAA - Segunda Licenciatura em Artes Visuais - Segunda Licenciatura em Artes Visuais - Vânia da Silva Moreira - Psicomotricidade e Ludopedagogia - Nota Máxima: 10")</f>
        <v>#SLAA - Segunda Licenciatura em Artes Visuais - Segunda Licenciatura em Artes Visuais - Vânia da Silva Moreira - Psicomotricidade e Ludopedagogia - Nota Máxima: 10</v>
      </c>
    </row>
    <row r="6289">
      <c r="A6289" s="390" t="str">
        <f>IFERROR(__xludf.DUMMYFUNCTION("""COMPUTED_VALUE"""),"#SLAA - Segunda Licenciatura em Artes Visuais - Segunda Licenciatura em Artes Visuais - Vânia da Silva Moreira - Tecnologia nas Artes Visuais - Nota Máxima: 9")</f>
        <v>#SLAA - Segunda Licenciatura em Artes Visuais - Segunda Licenciatura em Artes Visuais - Vânia da Silva Moreira - Tecnologia nas Artes Visuais - Nota Máxima: 9</v>
      </c>
    </row>
    <row r="6290">
      <c r="A6290" s="390" t="str">
        <f>IFERROR(__xludf.DUMMYFUNCTION("""COMPUTED_VALUE"""),"#SLAA - Segunda Licenciatura em Artes Visuais - Segunda Licenciatura em Artes Visuais - Edaildes Brandão de Sousa - Deficiência Auditiva e Libras/a - Nota Máxima: 10")</f>
        <v>#SLAA - Segunda Licenciatura em Artes Visuais - Segunda Licenciatura em Artes Visuais - Edaildes Brandão de Sousa - Deficiência Auditiva e Libras/a - Nota Máxima: 10</v>
      </c>
    </row>
    <row r="6291">
      <c r="A6291" s="390" t="str">
        <f>IFERROR(__xludf.DUMMYFUNCTION("""COMPUTED_VALUE"""),"#SLAA - Segunda Licenciatura em Artes Visuais - Segunda Licenciatura em Artes Visuais - Edaildes Brandão de Sousa - Educação Especial, Inclusão Escolar e Adaptações Curriculares - Nota Máxima: 9")</f>
        <v>#SLAA - Segunda Licenciatura em Artes Visuais - Segunda Licenciatura em Artes Visuais - Edaildes Brandão de Sousa - Educação Especial, Inclusão Escolar e Adaptações Curriculares - Nota Máxima: 9</v>
      </c>
    </row>
    <row r="6292">
      <c r="A6292" s="390" t="str">
        <f>IFERROR(__xludf.DUMMYFUNCTION("""COMPUTED_VALUE"""),"#SLAA - Segunda Licenciatura em Artes Visuais - Segunda Licenciatura em Artes Visuais - Edaildes Brandão de Sousa - Educação, História, Cultura e Práticas Indígenas/a - Nota Máxima: 9")</f>
        <v>#SLAA - Segunda Licenciatura em Artes Visuais - Segunda Licenciatura em Artes Visuais - Edaildes Brandão de Sousa - Educação, História, Cultura e Práticas Indígenas/a - Nota Máxima: 9</v>
      </c>
    </row>
    <row r="6293">
      <c r="A6293" s="390" t="str">
        <f>IFERROR(__xludf.DUMMYFUNCTION("""COMPUTED_VALUE"""),"#SLAA - Segunda Licenciatura em Artes Visuais - Segunda Licenciatura em Artes Visuais - Edaildes Brandão de Sousa - Filosofia das Artes à Estética - Nota Máxima: 9")</f>
        <v>#SLAA - Segunda Licenciatura em Artes Visuais - Segunda Licenciatura em Artes Visuais - Edaildes Brandão de Sousa - Filosofia das Artes à Estética - Nota Máxima: 9</v>
      </c>
    </row>
    <row r="6294">
      <c r="A6294" s="390" t="str">
        <f>IFERROR(__xludf.DUMMYFUNCTION("""COMPUTED_VALUE"""),"#SLAA - Segunda Licenciatura em Artes Visuais - Segunda Licenciatura em Artes Visuais - Edaildes Brandão de Sousa - Legislação Educacional/a - Nota Máxima: 9")</f>
        <v>#SLAA - Segunda Licenciatura em Artes Visuais - Segunda Licenciatura em Artes Visuais - Edaildes Brandão de Sousa - Legislação Educacional/a - Nota Máxima: 9</v>
      </c>
    </row>
    <row r="6295">
      <c r="A6295" s="390" t="str">
        <f>IFERROR(__xludf.DUMMYFUNCTION("""COMPUTED_VALUE"""),"#SLAA - Segunda Licenciatura em Artes Visuais - Segunda Licenciatura em Artes Visuais - Edaildes Brandão de Sousa - Linguagem das Artes Plásticas - Nota Máxima: 9")</f>
        <v>#SLAA - Segunda Licenciatura em Artes Visuais - Segunda Licenciatura em Artes Visuais - Edaildes Brandão de Sousa - Linguagem das Artes Plásticas - Nota Máxima: 9</v>
      </c>
    </row>
    <row r="6296">
      <c r="A6296" s="390" t="str">
        <f>IFERROR(__xludf.DUMMYFUNCTION("""COMPUTED_VALUE"""),"#SLAA - Segunda Licenciatura em Artes Visuais - Segunda Licenciatura em Artes Visuais - Edaildes Brandão de Sousa - Planejamento, Gestão Educacional e Currículo/a - Nota Máxima: 9")</f>
        <v>#SLAA - Segunda Licenciatura em Artes Visuais - Segunda Licenciatura em Artes Visuais - Edaildes Brandão de Sousa - Planejamento, Gestão Educacional e Currículo/a - Nota Máxima: 9</v>
      </c>
    </row>
    <row r="6297">
      <c r="A6297" s="390" t="str">
        <f>IFERROR(__xludf.DUMMYFUNCTION("""COMPUTED_VALUE"""),"#SLAA - Segunda Licenciatura em Artes Visuais - Segunda Licenciatura em Artes Visuais - Edaildes Brandão de Sousa - Psicologia da Educação/a - Nota Máxima: 9")</f>
        <v>#SLAA - Segunda Licenciatura em Artes Visuais - Segunda Licenciatura em Artes Visuais - Edaildes Brandão de Sousa - Psicologia da Educação/a - Nota Máxima: 9</v>
      </c>
    </row>
    <row r="6298">
      <c r="A6298" s="390" t="str">
        <f>IFERROR(__xludf.DUMMYFUNCTION("""COMPUTED_VALUE"""),"#SLAA - Segunda Licenciatura em Artes Visuais - Segunda Licenciatura em Artes Visuais - Edaildes Brandão de Sousa - Tecnologia nas Artes Visuais - Nota Máxima: 9")</f>
        <v>#SLAA - Segunda Licenciatura em Artes Visuais - Segunda Licenciatura em Artes Visuais - Edaildes Brandão de Sousa - Tecnologia nas Artes Visuais - Nota Máxima: 9</v>
      </c>
    </row>
    <row r="6299">
      <c r="A6299" s="390" t="str">
        <f>IFERROR(__xludf.DUMMYFUNCTION("""COMPUTED_VALUE"""),"#SLAA - Segunda Licenciatura em Artes Visuais - Segunda Licenciatura em Artes Visuais - Euride Gonçalves - Arte Brasileira na Formação da Identidade Nacional - Nota Máxima: 10")</f>
        <v>#SLAA - Segunda Licenciatura em Artes Visuais - Segunda Licenciatura em Artes Visuais - Euride Gonçalves - Arte Brasileira na Formação da Identidade Nacional - Nota Máxima: 10</v>
      </c>
    </row>
    <row r="6300">
      <c r="A6300" s="390" t="str">
        <f>IFERROR(__xludf.DUMMYFUNCTION("""COMPUTED_VALUE"""),"#SLAA - Segunda Licenciatura em Artes Visuais - Segunda Licenciatura em Artes Visuais - Euride Gonçalves - Arte Brasileira na Formação da Identidade Nacional - Nota Máxima: 10")</f>
        <v>#SLAA - Segunda Licenciatura em Artes Visuais - Segunda Licenciatura em Artes Visuais - Euride Gonçalves - Arte Brasileira na Formação da Identidade Nacional - Nota Máxima: 10</v>
      </c>
    </row>
    <row r="6301">
      <c r="A6301" s="390" t="str">
        <f>IFERROR(__xludf.DUMMYFUNCTION("""COMPUTED_VALUE"""),"#SLAA - Segunda Licenciatura em Artes Visuais - Segunda Licenciatura em Artes Visuais - Euride Gonçalves - Arte Conceitual, Instalações e Arte Urbana - Nota Máxima: 10")</f>
        <v>#SLAA - Segunda Licenciatura em Artes Visuais - Segunda Licenciatura em Artes Visuais - Euride Gonçalves - Arte Conceitual, Instalações e Arte Urbana - Nota Máxima: 10</v>
      </c>
    </row>
    <row r="6302">
      <c r="A6302" s="390" t="str">
        <f>IFERROR(__xludf.DUMMYFUNCTION("""COMPUTED_VALUE"""),"#SLAA - Segunda Licenciatura em Artes Visuais - Segunda Licenciatura em Artes Visuais - Euride Gonçalves - Arte Conceitual, Instalações e Arte Urbana - Nota Máxima: 10")</f>
        <v>#SLAA - Segunda Licenciatura em Artes Visuais - Segunda Licenciatura em Artes Visuais - Euride Gonçalves - Arte Conceitual, Instalações e Arte Urbana - Nota Máxima: 10</v>
      </c>
    </row>
    <row r="6303">
      <c r="A6303" s="390" t="str">
        <f>IFERROR(__xludf.DUMMYFUNCTION("""COMPUTED_VALUE"""),"#SLAA - Segunda Licenciatura em Artes Visuais - Segunda Licenciatura em Artes Visuais - Euride Gonçalves - Arte em Educação - Nota Máxima: 10")</f>
        <v>#SLAA - Segunda Licenciatura em Artes Visuais - Segunda Licenciatura em Artes Visuais - Euride Gonçalves - Arte em Educação - Nota Máxima: 10</v>
      </c>
    </row>
    <row r="6304">
      <c r="A6304" s="390" t="str">
        <f>IFERROR(__xludf.DUMMYFUNCTION("""COMPUTED_VALUE"""),"#SLAA - Segunda Licenciatura em Artes Visuais - Segunda Licenciatura em Artes Visuais - Euride Gonçalves - Arte em Educação - Nota Máxima: 10")</f>
        <v>#SLAA - Segunda Licenciatura em Artes Visuais - Segunda Licenciatura em Artes Visuais - Euride Gonçalves - Arte em Educação - Nota Máxima: 10</v>
      </c>
    </row>
    <row r="6305">
      <c r="A6305" s="390" t="str">
        <f>IFERROR(__xludf.DUMMYFUNCTION("""COMPUTED_VALUE"""),"#SLAA - Segunda Licenciatura em Artes Visuais - Segunda Licenciatura em Artes Visuais - Euride Gonçalves - Deficiência Auditiva e Libras/a - Nota Máxima: 10")</f>
        <v>#SLAA - Segunda Licenciatura em Artes Visuais - Segunda Licenciatura em Artes Visuais - Euride Gonçalves - Deficiência Auditiva e Libras/a - Nota Máxima: 10</v>
      </c>
    </row>
    <row r="6306">
      <c r="A6306" s="390" t="str">
        <f>IFERROR(__xludf.DUMMYFUNCTION("""COMPUTED_VALUE"""),"#SLAA - Segunda Licenciatura em Artes Visuais - Segunda Licenciatura em Artes Visuais - Euride Gonçalves - Deficiência Auditiva e Libras/a - Nota Máxima: 10")</f>
        <v>#SLAA - Segunda Licenciatura em Artes Visuais - Segunda Licenciatura em Artes Visuais - Euride Gonçalves - Deficiência Auditiva e Libras/a - Nota Máxima: 10</v>
      </c>
    </row>
    <row r="6307">
      <c r="A6307" s="390" t="str">
        <f>IFERROR(__xludf.DUMMYFUNCTION("""COMPUTED_VALUE"""),"#SLAA - Segunda Licenciatura em Artes Visuais - Segunda Licenciatura em Artes Visuais - Euride Gonçalves - Educação Especial, Inclusão Escolar e Adaptações Curriculares - Nota Máxima: 10")</f>
        <v>#SLAA - Segunda Licenciatura em Artes Visuais - Segunda Licenciatura em Artes Visuais - Euride Gonçalves - Educação Especial, Inclusão Escolar e Adaptações Curriculares - Nota Máxima: 10</v>
      </c>
    </row>
    <row r="6308">
      <c r="A6308" s="390" t="str">
        <f>IFERROR(__xludf.DUMMYFUNCTION("""COMPUTED_VALUE"""),"#SLAA - Segunda Licenciatura em Artes Visuais - Segunda Licenciatura em Artes Visuais - Euride Gonçalves - Educação Especial, Inclusão Escolar e Adaptações Curriculares - Nota Máxima: 10")</f>
        <v>#SLAA - Segunda Licenciatura em Artes Visuais - Segunda Licenciatura em Artes Visuais - Euride Gonçalves - Educação Especial, Inclusão Escolar e Adaptações Curriculares - Nota Máxima: 10</v>
      </c>
    </row>
    <row r="6309">
      <c r="A6309" s="390" t="str">
        <f>IFERROR(__xludf.DUMMYFUNCTION("""COMPUTED_VALUE"""),"#SLAA - Segunda Licenciatura em Artes Visuais - Segunda Licenciatura em Artes Visuais - Euride Gonçalves - Educação, História, Cultura e Práticas Indígenas/a - Nota Máxima: 10")</f>
        <v>#SLAA - Segunda Licenciatura em Artes Visuais - Segunda Licenciatura em Artes Visuais - Euride Gonçalves - Educação, História, Cultura e Práticas Indígenas/a - Nota Máxima: 10</v>
      </c>
    </row>
    <row r="6310">
      <c r="A6310" s="390" t="str">
        <f>IFERROR(__xludf.DUMMYFUNCTION("""COMPUTED_VALUE"""),"#SLAA - Segunda Licenciatura em Artes Visuais - Segunda Licenciatura em Artes Visuais - Euride Gonçalves - Educação, História, Cultura e Práticas Indígenas/a - Nota Máxima: 10")</f>
        <v>#SLAA - Segunda Licenciatura em Artes Visuais - Segunda Licenciatura em Artes Visuais - Euride Gonçalves - Educação, História, Cultura e Práticas Indígenas/a - Nota Máxima: 10</v>
      </c>
    </row>
    <row r="6311">
      <c r="A6311" s="390" t="str">
        <f>IFERROR(__xludf.DUMMYFUNCTION("""COMPUTED_VALUE"""),"#SLAA - Segunda Licenciatura em Artes Visuais - Segunda Licenciatura em Artes Visuais - Euride Gonçalves - Filosofia das Artes à Estética - Nota Máxima: 10")</f>
        <v>#SLAA - Segunda Licenciatura em Artes Visuais - Segunda Licenciatura em Artes Visuais - Euride Gonçalves - Filosofia das Artes à Estética - Nota Máxima: 10</v>
      </c>
    </row>
    <row r="6312">
      <c r="A6312" s="390" t="str">
        <f>IFERROR(__xludf.DUMMYFUNCTION("""COMPUTED_VALUE"""),"#SLAA - Segunda Licenciatura em Artes Visuais - Segunda Licenciatura em Artes Visuais - Euride Gonçalves - Filosofia das Artes à Estética - Nota Máxima: 10")</f>
        <v>#SLAA - Segunda Licenciatura em Artes Visuais - Segunda Licenciatura em Artes Visuais - Euride Gonçalves - Filosofia das Artes à Estética - Nota Máxima: 10</v>
      </c>
    </row>
    <row r="6313">
      <c r="A6313" s="390" t="str">
        <f>IFERROR(__xludf.DUMMYFUNCTION("""COMPUTED_VALUE"""),"#SLAA - Segunda Licenciatura em Artes Visuais - Segunda Licenciatura em Artes Visuais - Euride Gonçalves - Legislação Educacional/a - Nota Máxima: 10")</f>
        <v>#SLAA - Segunda Licenciatura em Artes Visuais - Segunda Licenciatura em Artes Visuais - Euride Gonçalves - Legislação Educacional/a - Nota Máxima: 10</v>
      </c>
    </row>
    <row r="6314">
      <c r="A6314" s="390" t="str">
        <f>IFERROR(__xludf.DUMMYFUNCTION("""COMPUTED_VALUE"""),"#SLAA - Segunda Licenciatura em Artes Visuais - Segunda Licenciatura em Artes Visuais - Euride Gonçalves - Legislação Educacional/a - Nota Máxima: 10")</f>
        <v>#SLAA - Segunda Licenciatura em Artes Visuais - Segunda Licenciatura em Artes Visuais - Euride Gonçalves - Legislação Educacional/a - Nota Máxima: 10</v>
      </c>
    </row>
    <row r="6315">
      <c r="A6315" s="390" t="str">
        <f>IFERROR(__xludf.DUMMYFUNCTION("""COMPUTED_VALUE"""),"#SLAA - Segunda Licenciatura em Artes Visuais - Segunda Licenciatura em Artes Visuais - Euride Gonçalves - Linguagem das Artes Plásticas - Nota Máxima: 10")</f>
        <v>#SLAA - Segunda Licenciatura em Artes Visuais - Segunda Licenciatura em Artes Visuais - Euride Gonçalves - Linguagem das Artes Plásticas - Nota Máxima: 10</v>
      </c>
    </row>
    <row r="6316">
      <c r="A6316" s="390" t="str">
        <f>IFERROR(__xludf.DUMMYFUNCTION("""COMPUTED_VALUE"""),"#SLAA - Segunda Licenciatura em Artes Visuais - Segunda Licenciatura em Artes Visuais - Euride Gonçalves - Linguagem das Artes Plásticas - Nota Máxima: 10")</f>
        <v>#SLAA - Segunda Licenciatura em Artes Visuais - Segunda Licenciatura em Artes Visuais - Euride Gonçalves - Linguagem das Artes Plásticas - Nota Máxima: 10</v>
      </c>
    </row>
    <row r="6317">
      <c r="A6317" s="390" t="str">
        <f>IFERROR(__xludf.DUMMYFUNCTION("""COMPUTED_VALUE"""),"#SLAA - Segunda Licenciatura em Artes Visuais - Segunda Licenciatura em Artes Visuais - Euride Gonçalves - Planejamento, Gestão Educacional e Currículo/a - Nota Máxima: 10")</f>
        <v>#SLAA - Segunda Licenciatura em Artes Visuais - Segunda Licenciatura em Artes Visuais - Euride Gonçalves - Planejamento, Gestão Educacional e Currículo/a - Nota Máxima: 10</v>
      </c>
    </row>
    <row r="6318">
      <c r="A6318" s="390" t="str">
        <f>IFERROR(__xludf.DUMMYFUNCTION("""COMPUTED_VALUE"""),"#SLAA - Segunda Licenciatura em Artes Visuais - Segunda Licenciatura em Artes Visuais - Euride Gonçalves - Planejamento, Gestão Educacional e Currículo/a - Nota Máxima: 10")</f>
        <v>#SLAA - Segunda Licenciatura em Artes Visuais - Segunda Licenciatura em Artes Visuais - Euride Gonçalves - Planejamento, Gestão Educacional e Currículo/a - Nota Máxima: 10</v>
      </c>
    </row>
    <row r="6319">
      <c r="A6319" s="390" t="str">
        <f>IFERROR(__xludf.DUMMYFUNCTION("""COMPUTED_VALUE"""),"#SLAA - Segunda Licenciatura em Artes Visuais - Segunda Licenciatura em Artes Visuais - Euride Gonçalves - Psicologia da Educação/a - Nota Máxima: 10")</f>
        <v>#SLAA - Segunda Licenciatura em Artes Visuais - Segunda Licenciatura em Artes Visuais - Euride Gonçalves - Psicologia da Educação/a - Nota Máxima: 10</v>
      </c>
    </row>
    <row r="6320">
      <c r="A6320" s="390" t="str">
        <f>IFERROR(__xludf.DUMMYFUNCTION("""COMPUTED_VALUE"""),"#SLAA - Segunda Licenciatura em Artes Visuais - Segunda Licenciatura em Artes Visuais - Euride Gonçalves - Psicologia da Educação/a - Nota Máxima: 10")</f>
        <v>#SLAA - Segunda Licenciatura em Artes Visuais - Segunda Licenciatura em Artes Visuais - Euride Gonçalves - Psicologia da Educação/a - Nota Máxima: 10</v>
      </c>
    </row>
    <row r="6321">
      <c r="A6321" s="390" t="str">
        <f>IFERROR(__xludf.DUMMYFUNCTION("""COMPUTED_VALUE"""),"#SLAA - Segunda Licenciatura em Artes Visuais - Segunda Licenciatura em Artes Visuais - Euride Gonçalves - Psicomotricidade e Ludopedagogia - Nota Máxima: 10")</f>
        <v>#SLAA - Segunda Licenciatura em Artes Visuais - Segunda Licenciatura em Artes Visuais - Euride Gonçalves - Psicomotricidade e Ludopedagogia - Nota Máxima: 10</v>
      </c>
    </row>
    <row r="6322">
      <c r="A6322" s="390" t="str">
        <f>IFERROR(__xludf.DUMMYFUNCTION("""COMPUTED_VALUE"""),"#SLAA - Segunda Licenciatura em Artes Visuais - Segunda Licenciatura em Artes Visuais - Euride Gonçalves - Psicomotricidade e Ludopedagogia - Nota Máxima: 10")</f>
        <v>#SLAA - Segunda Licenciatura em Artes Visuais - Segunda Licenciatura em Artes Visuais - Euride Gonçalves - Psicomotricidade e Ludopedagogia - Nota Máxima: 10</v>
      </c>
    </row>
    <row r="6323">
      <c r="A6323" s="390" t="str">
        <f>IFERROR(__xludf.DUMMYFUNCTION("""COMPUTED_VALUE"""),"#SLAA - Segunda Licenciatura em Artes Visuais - Segunda Licenciatura em Artes Visuais - Euride Gonçalves - Tecnologia nas Artes Visuais - Nota Máxima: 10")</f>
        <v>#SLAA - Segunda Licenciatura em Artes Visuais - Segunda Licenciatura em Artes Visuais - Euride Gonçalves - Tecnologia nas Artes Visuais - Nota Máxima: 10</v>
      </c>
    </row>
    <row r="6324">
      <c r="A6324" s="390" t="str">
        <f>IFERROR(__xludf.DUMMYFUNCTION("""COMPUTED_VALUE"""),"#SLAA - Segunda Licenciatura em Artes Visuais - Segunda Licenciatura em Artes Visuais - Euride Gonçalves - Tecnologia nas Artes Visuais - Nota Máxima: 10")</f>
        <v>#SLAA - Segunda Licenciatura em Artes Visuais - Segunda Licenciatura em Artes Visuais - Euride Gonçalves - Tecnologia nas Artes Visuais - Nota Máxima: 10</v>
      </c>
    </row>
    <row r="6325">
      <c r="A6325" s="390" t="str">
        <f>IFERROR(__xludf.DUMMYFUNCTION("""COMPUTED_VALUE"""),"#SLAA - Segunda Licenciatura em Artes Visuais - Segunda Licenciatura em Artes Visuais - Tatiane Aparecida Maria dos Santos Marques - Arte Brasileira na Formação da Identidade Nacional - Nota Máxima: 10")</f>
        <v>#SLAA - Segunda Licenciatura em Artes Visuais - Segunda Licenciatura em Artes Visuais - Tatiane Aparecida Maria dos Santos Marques - Arte Brasileira na Formação da Identidade Nacional - Nota Máxima: 10</v>
      </c>
    </row>
    <row r="6326">
      <c r="A6326" s="390" t="str">
        <f>IFERROR(__xludf.DUMMYFUNCTION("""COMPUTED_VALUE"""),"#SLAA - Segunda Licenciatura em Artes Visuais - Segunda Licenciatura em Artes Visuais - Tatiane Aparecida Maria dos Santos Marques - Arte Brasileira na Formação da Identidade Nacional - Nota Máxima: 10")</f>
        <v>#SLAA - Segunda Licenciatura em Artes Visuais - Segunda Licenciatura em Artes Visuais - Tatiane Aparecida Maria dos Santos Marques - Arte Brasileira na Formação da Identidade Nacional - Nota Máxima: 10</v>
      </c>
    </row>
    <row r="6327">
      <c r="A6327" s="390" t="str">
        <f>IFERROR(__xludf.DUMMYFUNCTION("""COMPUTED_VALUE"""),"#SLAA - Segunda Licenciatura em Artes Visuais - Segunda Licenciatura em Artes Visuais - Tatiane Aparecida Maria dos Santos Marques - Arte Conceitual, Instalações e Arte Urbana - Nota Máxima: 10")</f>
        <v>#SLAA - Segunda Licenciatura em Artes Visuais - Segunda Licenciatura em Artes Visuais - Tatiane Aparecida Maria dos Santos Marques - Arte Conceitual, Instalações e Arte Urbana - Nota Máxima: 10</v>
      </c>
    </row>
    <row r="6328">
      <c r="A6328" s="390" t="str">
        <f>IFERROR(__xludf.DUMMYFUNCTION("""COMPUTED_VALUE"""),"#SLAA - Segunda Licenciatura em Artes Visuais - Segunda Licenciatura em Artes Visuais - Tatiane Aparecida Maria dos Santos Marques - Arte Conceitual, Instalações e Arte Urbana - Nota Máxima: 10")</f>
        <v>#SLAA - Segunda Licenciatura em Artes Visuais - Segunda Licenciatura em Artes Visuais - Tatiane Aparecida Maria dos Santos Marques - Arte Conceitual, Instalações e Arte Urbana - Nota Máxima: 10</v>
      </c>
    </row>
    <row r="6329">
      <c r="A6329" s="390" t="str">
        <f>IFERROR(__xludf.DUMMYFUNCTION("""COMPUTED_VALUE"""),"#SLAA - Segunda Licenciatura em Artes Visuais - Segunda Licenciatura em Artes Visuais - Tatiane Aparecida Maria dos Santos Marques - Arte em Educação - Nota Máxima: 10")</f>
        <v>#SLAA - Segunda Licenciatura em Artes Visuais - Segunda Licenciatura em Artes Visuais - Tatiane Aparecida Maria dos Santos Marques - Arte em Educação - Nota Máxima: 10</v>
      </c>
    </row>
    <row r="6330">
      <c r="A6330" s="390" t="str">
        <f>IFERROR(__xludf.DUMMYFUNCTION("""COMPUTED_VALUE"""),"#SLAA - Segunda Licenciatura em Artes Visuais - Segunda Licenciatura em Artes Visuais - Tatiane Aparecida Maria dos Santos Marques - Arte em Educação - Nota Máxima: 10")</f>
        <v>#SLAA - Segunda Licenciatura em Artes Visuais - Segunda Licenciatura em Artes Visuais - Tatiane Aparecida Maria dos Santos Marques - Arte em Educação - Nota Máxima: 10</v>
      </c>
    </row>
    <row r="6331">
      <c r="A6331" s="390" t="str">
        <f>IFERROR(__xludf.DUMMYFUNCTION("""COMPUTED_VALUE"""),"#SLAA - Segunda Licenciatura em Artes Visuais - Segunda Licenciatura em Artes Visuais - Tatiane Aparecida Maria dos Santos Marques - Deficiência Auditiva e Libras/a - Nota Máxima: 10")</f>
        <v>#SLAA - Segunda Licenciatura em Artes Visuais - Segunda Licenciatura em Artes Visuais - Tatiane Aparecida Maria dos Santos Marques - Deficiência Auditiva e Libras/a - Nota Máxima: 10</v>
      </c>
    </row>
    <row r="6332">
      <c r="A6332" s="390" t="str">
        <f>IFERROR(__xludf.DUMMYFUNCTION("""COMPUTED_VALUE"""),"#SLAA - Segunda Licenciatura em Artes Visuais - Segunda Licenciatura em Artes Visuais - Tatiane Aparecida Maria dos Santos Marques - Deficiência Auditiva e Libras/a - Nota Máxima: 10")</f>
        <v>#SLAA - Segunda Licenciatura em Artes Visuais - Segunda Licenciatura em Artes Visuais - Tatiane Aparecida Maria dos Santos Marques - Deficiência Auditiva e Libras/a - Nota Máxima: 10</v>
      </c>
    </row>
    <row r="6333">
      <c r="A6333" s="390" t="str">
        <f>IFERROR(__xludf.DUMMYFUNCTION("""COMPUTED_VALUE"""),"#SLAA - Segunda Licenciatura em Artes Visuais - Segunda Licenciatura em Artes Visuais - Tatiane Aparecida Maria dos Santos Marques - Educação Especial, Inclusão Escolar e Adaptações Curriculares - Nota Máxima: 10")</f>
        <v>#SLAA - Segunda Licenciatura em Artes Visuais - Segunda Licenciatura em Artes Visuais - Tatiane Aparecida Maria dos Santos Marques - Educação Especial, Inclusão Escolar e Adaptações Curriculares - Nota Máxima: 10</v>
      </c>
    </row>
    <row r="6334">
      <c r="A6334" s="390" t="str">
        <f>IFERROR(__xludf.DUMMYFUNCTION("""COMPUTED_VALUE"""),"#SLAA - Segunda Licenciatura em Artes Visuais - Segunda Licenciatura em Artes Visuais - Tatiane Aparecida Maria dos Santos Marques - Educação Especial, Inclusão Escolar e Adaptações Curriculares - Nota Máxima: 9")</f>
        <v>#SLAA - Segunda Licenciatura em Artes Visuais - Segunda Licenciatura em Artes Visuais - Tatiane Aparecida Maria dos Santos Marques - Educação Especial, Inclusão Escolar e Adaptações Curriculares - Nota Máxima: 9</v>
      </c>
    </row>
    <row r="6335">
      <c r="A6335" s="390" t="str">
        <f>IFERROR(__xludf.DUMMYFUNCTION("""COMPUTED_VALUE"""),"#SLAA - Segunda Licenciatura em Artes Visuais - Segunda Licenciatura em Artes Visuais - Tatiane Aparecida Maria dos Santos Marques - Educação, História, Cultura e Práticas Indígenas/a - Nota Máxima: 10")</f>
        <v>#SLAA - Segunda Licenciatura em Artes Visuais - Segunda Licenciatura em Artes Visuais - Tatiane Aparecida Maria dos Santos Marques - Educação, História, Cultura e Práticas Indígenas/a - Nota Máxima: 10</v>
      </c>
    </row>
    <row r="6336">
      <c r="A6336" s="390" t="str">
        <f>IFERROR(__xludf.DUMMYFUNCTION("""COMPUTED_VALUE"""),"#SLAA - Segunda Licenciatura em Artes Visuais - Segunda Licenciatura em Artes Visuais - Tatiane Aparecida Maria dos Santos Marques - Educação, História, Cultura e Práticas Indígenas/a - Nota Máxima: 9")</f>
        <v>#SLAA - Segunda Licenciatura em Artes Visuais - Segunda Licenciatura em Artes Visuais - Tatiane Aparecida Maria dos Santos Marques - Educação, História, Cultura e Práticas Indígenas/a - Nota Máxima: 9</v>
      </c>
    </row>
    <row r="6337">
      <c r="A6337" s="390" t="str">
        <f>IFERROR(__xludf.DUMMYFUNCTION("""COMPUTED_VALUE"""),"#SLAA - Segunda Licenciatura em Artes Visuais - Segunda Licenciatura em Artes Visuais - Tatiane Aparecida Maria dos Santos Marques - Filosofia das Artes à Estética - Nota Máxima: 10")</f>
        <v>#SLAA - Segunda Licenciatura em Artes Visuais - Segunda Licenciatura em Artes Visuais - Tatiane Aparecida Maria dos Santos Marques - Filosofia das Artes à Estética - Nota Máxima: 10</v>
      </c>
    </row>
    <row r="6338">
      <c r="A6338" s="390" t="str">
        <f>IFERROR(__xludf.DUMMYFUNCTION("""COMPUTED_VALUE"""),"#SLAA - Segunda Licenciatura em Artes Visuais - Segunda Licenciatura em Artes Visuais - Tatiane Aparecida Maria dos Santos Marques - Filosofia das Artes à Estética - Nota Máxima: 3")</f>
        <v>#SLAA - Segunda Licenciatura em Artes Visuais - Segunda Licenciatura em Artes Visuais - Tatiane Aparecida Maria dos Santos Marques - Filosofia das Artes à Estética - Nota Máxima: 3</v>
      </c>
    </row>
    <row r="6339">
      <c r="A6339" s="390" t="str">
        <f>IFERROR(__xludf.DUMMYFUNCTION("""COMPUTED_VALUE"""),"#SLAA - Segunda Licenciatura em Artes Visuais - Segunda Licenciatura em Artes Visuais - Tatiane Aparecida Maria dos Santos Marques - Legislação Educacional/a - Nota Máxima: 10")</f>
        <v>#SLAA - Segunda Licenciatura em Artes Visuais - Segunda Licenciatura em Artes Visuais - Tatiane Aparecida Maria dos Santos Marques - Legislação Educacional/a - Nota Máxima: 10</v>
      </c>
    </row>
    <row r="6340">
      <c r="A6340" s="390" t="str">
        <f>IFERROR(__xludf.DUMMYFUNCTION("""COMPUTED_VALUE"""),"#SLAA - Segunda Licenciatura em Artes Visuais - Segunda Licenciatura em Artes Visuais - Tatiane Aparecida Maria dos Santos Marques - Legislação Educacional/a - Nota Máxima: 8")</f>
        <v>#SLAA - Segunda Licenciatura em Artes Visuais - Segunda Licenciatura em Artes Visuais - Tatiane Aparecida Maria dos Santos Marques - Legislação Educacional/a - Nota Máxima: 8</v>
      </c>
    </row>
    <row r="6341">
      <c r="A6341" s="390" t="str">
        <f>IFERROR(__xludf.DUMMYFUNCTION("""COMPUTED_VALUE"""),"#SLAA - Segunda Licenciatura em Artes Visuais - Segunda Licenciatura em Artes Visuais - Tatiane Aparecida Maria dos Santos Marques - Linguagem das Artes Plásticas - Nota Máxima: 10")</f>
        <v>#SLAA - Segunda Licenciatura em Artes Visuais - Segunda Licenciatura em Artes Visuais - Tatiane Aparecida Maria dos Santos Marques - Linguagem das Artes Plásticas - Nota Máxima: 10</v>
      </c>
    </row>
    <row r="6342">
      <c r="A6342" s="390" t="str">
        <f>IFERROR(__xludf.DUMMYFUNCTION("""COMPUTED_VALUE"""),"#SLAA - Segunda Licenciatura em Artes Visuais - Segunda Licenciatura em Artes Visuais - Tatiane Aparecida Maria dos Santos Marques - Linguagem das Artes Plásticas - Nota Máxima: 10")</f>
        <v>#SLAA - Segunda Licenciatura em Artes Visuais - Segunda Licenciatura em Artes Visuais - Tatiane Aparecida Maria dos Santos Marques - Linguagem das Artes Plásticas - Nota Máxima: 10</v>
      </c>
    </row>
    <row r="6343">
      <c r="A6343" s="390" t="str">
        <f>IFERROR(__xludf.DUMMYFUNCTION("""COMPUTED_VALUE"""),"#SLAA - Segunda Licenciatura em Artes Visuais - Segunda Licenciatura em Artes Visuais - Tatiane Aparecida Maria dos Santos Marques - Planejamento, Gestão Educacional e Currículo/a - Nota Máxima: 10")</f>
        <v>#SLAA - Segunda Licenciatura em Artes Visuais - Segunda Licenciatura em Artes Visuais - Tatiane Aparecida Maria dos Santos Marques - Planejamento, Gestão Educacional e Currículo/a - Nota Máxima: 10</v>
      </c>
    </row>
    <row r="6344">
      <c r="A6344" s="390" t="str">
        <f>IFERROR(__xludf.DUMMYFUNCTION("""COMPUTED_VALUE"""),"#SLAA - Segunda Licenciatura em Artes Visuais - Segunda Licenciatura em Artes Visuais - Tatiane Aparecida Maria dos Santos Marques - Planejamento, Gestão Educacional e Currículo/a - Nota Máxima: 10")</f>
        <v>#SLAA - Segunda Licenciatura em Artes Visuais - Segunda Licenciatura em Artes Visuais - Tatiane Aparecida Maria dos Santos Marques - Planejamento, Gestão Educacional e Currículo/a - Nota Máxima: 10</v>
      </c>
    </row>
    <row r="6345">
      <c r="A6345" s="390" t="str">
        <f>IFERROR(__xludf.DUMMYFUNCTION("""COMPUTED_VALUE"""),"#SLAA - Segunda Licenciatura em Artes Visuais - Segunda Licenciatura em Artes Visuais - Tatiane Aparecida Maria dos Santos Marques - Psicologia da Educação/a - Nota Máxima: 10")</f>
        <v>#SLAA - Segunda Licenciatura em Artes Visuais - Segunda Licenciatura em Artes Visuais - Tatiane Aparecida Maria dos Santos Marques - Psicologia da Educação/a - Nota Máxima: 10</v>
      </c>
    </row>
    <row r="6346">
      <c r="A6346" s="390" t="str">
        <f>IFERROR(__xludf.DUMMYFUNCTION("""COMPUTED_VALUE"""),"#SLAA - Segunda Licenciatura em Artes Visuais - Segunda Licenciatura em Artes Visuais - Tatiane Aparecida Maria dos Santos Marques - Psicologia da Educação/a - Nota Máxima: 8")</f>
        <v>#SLAA - Segunda Licenciatura em Artes Visuais - Segunda Licenciatura em Artes Visuais - Tatiane Aparecida Maria dos Santos Marques - Psicologia da Educação/a - Nota Máxima: 8</v>
      </c>
    </row>
    <row r="6347">
      <c r="A6347" s="390" t="str">
        <f>IFERROR(__xludf.DUMMYFUNCTION("""COMPUTED_VALUE"""),"#SLAA - Segunda Licenciatura em Artes Visuais - Segunda Licenciatura em Artes Visuais - Tatiane Aparecida Maria dos Santos Marques - Psicomotricidade e Ludopedagogia - Nota Máxima: 10")</f>
        <v>#SLAA - Segunda Licenciatura em Artes Visuais - Segunda Licenciatura em Artes Visuais - Tatiane Aparecida Maria dos Santos Marques - Psicomotricidade e Ludopedagogia - Nota Máxima: 10</v>
      </c>
    </row>
    <row r="6348">
      <c r="A6348" s="390" t="str">
        <f>IFERROR(__xludf.DUMMYFUNCTION("""COMPUTED_VALUE"""),"#SLAA - Segunda Licenciatura em Artes Visuais - Segunda Licenciatura em Artes Visuais - Tatiane Aparecida Maria dos Santos Marques - Psicomotricidade e Ludopedagogia - Nota Máxima: 10")</f>
        <v>#SLAA - Segunda Licenciatura em Artes Visuais - Segunda Licenciatura em Artes Visuais - Tatiane Aparecida Maria dos Santos Marques - Psicomotricidade e Ludopedagogia - Nota Máxima: 10</v>
      </c>
    </row>
    <row r="6349">
      <c r="A6349" s="390" t="str">
        <f>IFERROR(__xludf.DUMMYFUNCTION("""COMPUTED_VALUE"""),"#SLAA - Segunda Licenciatura em Artes Visuais - Segunda Licenciatura em Artes Visuais - Tatiane Aparecida Maria dos Santos Marques - Tecnologia nas Artes Visuais - Nota Máxima: 10")</f>
        <v>#SLAA - Segunda Licenciatura em Artes Visuais - Segunda Licenciatura em Artes Visuais - Tatiane Aparecida Maria dos Santos Marques - Tecnologia nas Artes Visuais - Nota Máxima: 10</v>
      </c>
    </row>
    <row r="6350">
      <c r="A6350" s="390" t="str">
        <f>IFERROR(__xludf.DUMMYFUNCTION("""COMPUTED_VALUE"""),"#SLAA - Segunda Licenciatura em Artes Visuais - Segunda Licenciatura em Artes Visuais - Tatiane Aparecida Maria dos Santos Marques - Tecnologia nas Artes Visuais - Nota Máxima: 10")</f>
        <v>#SLAA - Segunda Licenciatura em Artes Visuais - Segunda Licenciatura em Artes Visuais - Tatiane Aparecida Maria dos Santos Marques - Tecnologia nas Artes Visuais - Nota Máxima: 10</v>
      </c>
    </row>
    <row r="6351">
      <c r="A6351" s="390" t="str">
        <f>IFERROR(__xludf.DUMMYFUNCTION("""COMPUTED_VALUE"""),"#SLAA - Segunda Licenciatura em Artes Visuais - Segunda Licenciatura em Artes Visuais - Rosângela Menezes de Souza - Arte Brasileira na Formação da Identidade Nacional - Nota Máxima: 7")</f>
        <v>#SLAA - Segunda Licenciatura em Artes Visuais - Segunda Licenciatura em Artes Visuais - Rosângela Menezes de Souza - Arte Brasileira na Formação da Identidade Nacional - Nota Máxima: 7</v>
      </c>
    </row>
    <row r="6352">
      <c r="A6352" s="390" t="str">
        <f>IFERROR(__xludf.DUMMYFUNCTION("""COMPUTED_VALUE"""),"#SLAA - Segunda Licenciatura em Artes Visuais - Segunda Licenciatura em Artes Visuais - Rosângela Menezes de Souza - Arte Conceitual, Instalações e Arte Urbana - Nota Máxima: 7")</f>
        <v>#SLAA - Segunda Licenciatura em Artes Visuais - Segunda Licenciatura em Artes Visuais - Rosângela Menezes de Souza - Arte Conceitual, Instalações e Arte Urbana - Nota Máxima: 7</v>
      </c>
    </row>
    <row r="6353">
      <c r="A6353" s="390" t="str">
        <f>IFERROR(__xludf.DUMMYFUNCTION("""COMPUTED_VALUE"""),"#SLAA - Segunda Licenciatura em Artes Visuais - Segunda Licenciatura em Artes Visuais - Rosângela Menezes de Souza - Arte em Educação - Nota Máxima: 9")</f>
        <v>#SLAA - Segunda Licenciatura em Artes Visuais - Segunda Licenciatura em Artes Visuais - Rosângela Menezes de Souza - Arte em Educação - Nota Máxima: 9</v>
      </c>
    </row>
    <row r="6354">
      <c r="A6354" s="390" t="str">
        <f>IFERROR(__xludf.DUMMYFUNCTION("""COMPUTED_VALUE"""),"#SLAA - Segunda Licenciatura em Artes Visuais - Segunda Licenciatura em Artes Visuais - Rosângela Menezes de Souza - Deficiência Auditiva e Libras/a - Nota Máxima: 10")</f>
        <v>#SLAA - Segunda Licenciatura em Artes Visuais - Segunda Licenciatura em Artes Visuais - Rosângela Menezes de Souza - Deficiência Auditiva e Libras/a - Nota Máxima: 10</v>
      </c>
    </row>
    <row r="6355">
      <c r="A6355" s="390" t="str">
        <f>IFERROR(__xludf.DUMMYFUNCTION("""COMPUTED_VALUE"""),"#SLAA - Segunda Licenciatura em Artes Visuais - Segunda Licenciatura em Artes Visuais - Rosângela Menezes de Souza - Educação Especial, Inclusão Escolar e Adaptações Curriculares - Nota Máxima: 8")</f>
        <v>#SLAA - Segunda Licenciatura em Artes Visuais - Segunda Licenciatura em Artes Visuais - Rosângela Menezes de Souza - Educação Especial, Inclusão Escolar e Adaptações Curriculares - Nota Máxima: 8</v>
      </c>
    </row>
    <row r="6356">
      <c r="A6356" s="390" t="str">
        <f>IFERROR(__xludf.DUMMYFUNCTION("""COMPUTED_VALUE"""),"#SLAA - Segunda Licenciatura em Artes Visuais - Segunda Licenciatura em Artes Visuais - Rosângela Menezes de Souza - Educação, História, Cultura e Práticas Indígenas/a - Nota Máxima: 8")</f>
        <v>#SLAA - Segunda Licenciatura em Artes Visuais - Segunda Licenciatura em Artes Visuais - Rosângela Menezes de Souza - Educação, História, Cultura e Práticas Indígenas/a - Nota Máxima: 8</v>
      </c>
    </row>
    <row r="6357">
      <c r="A6357" s="390" t="str">
        <f>IFERROR(__xludf.DUMMYFUNCTION("""COMPUTED_VALUE"""),"#SLAA - Segunda Licenciatura em Artes Visuais - Segunda Licenciatura em Artes Visuais - Rosângela Menezes de Souza - Filosofia das Artes à Estética - Nota Máxima: 7")</f>
        <v>#SLAA - Segunda Licenciatura em Artes Visuais - Segunda Licenciatura em Artes Visuais - Rosângela Menezes de Souza - Filosofia das Artes à Estética - Nota Máxima: 7</v>
      </c>
    </row>
    <row r="6358">
      <c r="A6358" s="390" t="str">
        <f>IFERROR(__xludf.DUMMYFUNCTION("""COMPUTED_VALUE"""),"#SLAA - Segunda Licenciatura em Artes Visuais - Segunda Licenciatura em Artes Visuais - Rosângela Menezes de Souza - Legislação Educacional/a - Nota Máxima: 8")</f>
        <v>#SLAA - Segunda Licenciatura em Artes Visuais - Segunda Licenciatura em Artes Visuais - Rosângela Menezes de Souza - Legislação Educacional/a - Nota Máxima: 8</v>
      </c>
    </row>
    <row r="6359">
      <c r="A6359" s="390" t="str">
        <f>IFERROR(__xludf.DUMMYFUNCTION("""COMPUTED_VALUE"""),"#SLAA - Segunda Licenciatura em Artes Visuais - Segunda Licenciatura em Artes Visuais - Rosângela Menezes de Souza - Linguagem das Artes Plásticas - Nota Máxima: 7")</f>
        <v>#SLAA - Segunda Licenciatura em Artes Visuais - Segunda Licenciatura em Artes Visuais - Rosângela Menezes de Souza - Linguagem das Artes Plásticas - Nota Máxima: 7</v>
      </c>
    </row>
    <row r="6360">
      <c r="A6360" s="390" t="str">
        <f>IFERROR(__xludf.DUMMYFUNCTION("""COMPUTED_VALUE"""),"#SLAA - Segunda Licenciatura em Artes Visuais - Segunda Licenciatura em Artes Visuais - Rosângela Menezes de Souza - Planejamento, Gestão Educacional e Currículo/a - Nota Máxima: 10")</f>
        <v>#SLAA - Segunda Licenciatura em Artes Visuais - Segunda Licenciatura em Artes Visuais - Rosângela Menezes de Souza - Planejamento, Gestão Educacional e Currículo/a - Nota Máxima: 10</v>
      </c>
    </row>
    <row r="6361">
      <c r="A6361" s="390" t="str">
        <f>IFERROR(__xludf.DUMMYFUNCTION("""COMPUTED_VALUE"""),"#SLAA - Segunda Licenciatura em Artes Visuais - Segunda Licenciatura em Artes Visuais - Rosângela Menezes de Souza - Práticas Pedagógicas - 400 Horas - Nota Máxima: 4")</f>
        <v>#SLAA - Segunda Licenciatura em Artes Visuais - Segunda Licenciatura em Artes Visuais - Rosângela Menezes de Souza - Práticas Pedagógicas - 400 Horas - Nota Máxima: 4</v>
      </c>
    </row>
    <row r="6362">
      <c r="A6362" s="390" t="str">
        <f>IFERROR(__xludf.DUMMYFUNCTION("""COMPUTED_VALUE"""),"#SLAA - Segunda Licenciatura em Artes Visuais - Segunda Licenciatura em Artes Visuais - Rosângela Menezes de Souza - Psicologia da Educação/a - Nota Máxima: 8")</f>
        <v>#SLAA - Segunda Licenciatura em Artes Visuais - Segunda Licenciatura em Artes Visuais - Rosângela Menezes de Souza - Psicologia da Educação/a - Nota Máxima: 8</v>
      </c>
    </row>
    <row r="6363">
      <c r="A6363" s="390" t="str">
        <f>IFERROR(__xludf.DUMMYFUNCTION("""COMPUTED_VALUE"""),"#SLAA - Segunda Licenciatura em Artes Visuais - Segunda Licenciatura em Artes Visuais - Rosângela Menezes de Souza - Psicomotricidade e Ludopedagogia - Nota Máxima: 8")</f>
        <v>#SLAA - Segunda Licenciatura em Artes Visuais - Segunda Licenciatura em Artes Visuais - Rosângela Menezes de Souza - Psicomotricidade e Ludopedagogia - Nota Máxima: 8</v>
      </c>
    </row>
    <row r="6364">
      <c r="A6364" s="390" t="str">
        <f>IFERROR(__xludf.DUMMYFUNCTION("""COMPUTED_VALUE"""),"#SLAA - Segunda Licenciatura em Artes Visuais - Segunda Licenciatura em Artes Visuais - Rosângela Menezes de Souza - Tecnologia nas Artes Visuais - Nota Máxima: 8")</f>
        <v>#SLAA - Segunda Licenciatura em Artes Visuais - Segunda Licenciatura em Artes Visuais - Rosângela Menezes de Souza - Tecnologia nas Artes Visuais - Nota Máxima: 8</v>
      </c>
    </row>
    <row r="6365">
      <c r="A6365" s="390" t="str">
        <f>IFERROR(__xludf.DUMMYFUNCTION("""COMPUTED_VALUE"""),"#SLAA - Segunda Licenciatura em Artes Visuais - Segunda Licenciatura em Artes Visuais - Felipe Rodrigues Borges - Arte Brasileira na Formação da Identidade Nacional - Nota Máxima: 10")</f>
        <v>#SLAA - Segunda Licenciatura em Artes Visuais - Segunda Licenciatura em Artes Visuais - Felipe Rodrigues Borges - Arte Brasileira na Formação da Identidade Nacional - Nota Máxima: 10</v>
      </c>
    </row>
    <row r="6366">
      <c r="A6366" s="390" t="str">
        <f>IFERROR(__xludf.DUMMYFUNCTION("""COMPUTED_VALUE"""),"#SLAA - Segunda Licenciatura em Artes Visuais - Segunda Licenciatura em Artes Visuais - Felipe Rodrigues Borges - Arte Brasileira na Formação da Identidade Nacional - Nota Máxima: 3")</f>
        <v>#SLAA - Segunda Licenciatura em Artes Visuais - Segunda Licenciatura em Artes Visuais - Felipe Rodrigues Borges - Arte Brasileira na Formação da Identidade Nacional - Nota Máxima: 3</v>
      </c>
    </row>
    <row r="6367">
      <c r="A6367" s="390" t="str">
        <f>IFERROR(__xludf.DUMMYFUNCTION("""COMPUTED_VALUE"""),"#SLAA - Segunda Licenciatura em Artes Visuais - Segunda Licenciatura em Artes Visuais - Felipe Rodrigues Borges - Arte Conceitual, Instalações e Arte Urbana - Nota Máxima: 10")</f>
        <v>#SLAA - Segunda Licenciatura em Artes Visuais - Segunda Licenciatura em Artes Visuais - Felipe Rodrigues Borges - Arte Conceitual, Instalações e Arte Urbana - Nota Máxima: 10</v>
      </c>
    </row>
    <row r="6368">
      <c r="A6368" s="390" t="str">
        <f>IFERROR(__xludf.DUMMYFUNCTION("""COMPUTED_VALUE"""),"#SLAA - Segunda Licenciatura em Artes Visuais - Segunda Licenciatura em Artes Visuais - Felipe Rodrigues Borges - Arte Conceitual, Instalações e Arte Urbana - Nota Máxima: 3")</f>
        <v>#SLAA - Segunda Licenciatura em Artes Visuais - Segunda Licenciatura em Artes Visuais - Felipe Rodrigues Borges - Arte Conceitual, Instalações e Arte Urbana - Nota Máxima: 3</v>
      </c>
    </row>
    <row r="6369">
      <c r="A6369" s="390" t="str">
        <f>IFERROR(__xludf.DUMMYFUNCTION("""COMPUTED_VALUE"""),"#SLAA - Segunda Licenciatura em Artes Visuais - Segunda Licenciatura em Artes Visuais - Felipe Rodrigues Borges - Arte em Educação - Nota Máxima: 10")</f>
        <v>#SLAA - Segunda Licenciatura em Artes Visuais - Segunda Licenciatura em Artes Visuais - Felipe Rodrigues Borges - Arte em Educação - Nota Máxima: 10</v>
      </c>
    </row>
    <row r="6370">
      <c r="A6370" s="390" t="str">
        <f>IFERROR(__xludf.DUMMYFUNCTION("""COMPUTED_VALUE"""),"#SLAA - Segunda Licenciatura em Artes Visuais - Segunda Licenciatura em Artes Visuais - Felipe Rodrigues Borges - Arte em Educação - Nota Máxima: 8")</f>
        <v>#SLAA - Segunda Licenciatura em Artes Visuais - Segunda Licenciatura em Artes Visuais - Felipe Rodrigues Borges - Arte em Educação - Nota Máxima: 8</v>
      </c>
    </row>
    <row r="6371">
      <c r="A6371" s="390" t="str">
        <f>IFERROR(__xludf.DUMMYFUNCTION("""COMPUTED_VALUE"""),"#SLAA - Segunda Licenciatura em Artes Visuais - Segunda Licenciatura em Artes Visuais - Felipe Rodrigues Borges - Deficiência Auditiva e Libras/a - Nota Máxima: 7")</f>
        <v>#SLAA - Segunda Licenciatura em Artes Visuais - Segunda Licenciatura em Artes Visuais - Felipe Rodrigues Borges - Deficiência Auditiva e Libras/a - Nota Máxima: 7</v>
      </c>
    </row>
    <row r="6372">
      <c r="A6372" s="390" t="str">
        <f>IFERROR(__xludf.DUMMYFUNCTION("""COMPUTED_VALUE"""),"#SLAA - Segunda Licenciatura em Artes Visuais - Segunda Licenciatura em Artes Visuais - Felipe Rodrigues Borges - Deficiência Auditiva e Libras/a - Nota Máxima: 8")</f>
        <v>#SLAA - Segunda Licenciatura em Artes Visuais - Segunda Licenciatura em Artes Visuais - Felipe Rodrigues Borges - Deficiência Auditiva e Libras/a - Nota Máxima: 8</v>
      </c>
    </row>
    <row r="6373">
      <c r="A6373" s="390" t="str">
        <f>IFERROR(__xludf.DUMMYFUNCTION("""COMPUTED_VALUE"""),"#SLAA - Segunda Licenciatura em Artes Visuais - Segunda Licenciatura em Artes Visuais - Felipe Rodrigues Borges - Desenho e Observação - Nota Máxima: 10")</f>
        <v>#SLAA - Segunda Licenciatura em Artes Visuais - Segunda Licenciatura em Artes Visuais - Felipe Rodrigues Borges - Desenho e Observação - Nota Máxima: 10</v>
      </c>
    </row>
    <row r="6374">
      <c r="A6374" s="390" t="str">
        <f>IFERROR(__xludf.DUMMYFUNCTION("""COMPUTED_VALUE"""),"#SLAA - Segunda Licenciatura em Artes Visuais - Segunda Licenciatura em Artes Visuais - Felipe Rodrigues Borges - Desenho e Observação - Nota Máxima: 10")</f>
        <v>#SLAA - Segunda Licenciatura em Artes Visuais - Segunda Licenciatura em Artes Visuais - Felipe Rodrigues Borges - Desenho e Observação - Nota Máxima: 10</v>
      </c>
    </row>
    <row r="6375">
      <c r="A6375" s="390" t="str">
        <f>IFERROR(__xludf.DUMMYFUNCTION("""COMPUTED_VALUE"""),"#SLAA - Segunda Licenciatura em Artes Visuais - Segunda Licenciatura em Artes Visuais - Felipe Rodrigues Borges - Educação Especial, Inclusão Escolar e Adaptações Curriculares - Nota Máxima: 10")</f>
        <v>#SLAA - Segunda Licenciatura em Artes Visuais - Segunda Licenciatura em Artes Visuais - Felipe Rodrigues Borges - Educação Especial, Inclusão Escolar e Adaptações Curriculares - Nota Máxima: 10</v>
      </c>
    </row>
    <row r="6376">
      <c r="A6376" s="390" t="str">
        <f>IFERROR(__xludf.DUMMYFUNCTION("""COMPUTED_VALUE"""),"#SLAA - Segunda Licenciatura em Artes Visuais - Segunda Licenciatura em Artes Visuais - Felipe Rodrigues Borges - Educação Especial, Inclusão Escolar e Adaptações Curriculares - Nota Máxima: 6")</f>
        <v>#SLAA - Segunda Licenciatura em Artes Visuais - Segunda Licenciatura em Artes Visuais - Felipe Rodrigues Borges - Educação Especial, Inclusão Escolar e Adaptações Curriculares - Nota Máxima: 6</v>
      </c>
    </row>
    <row r="6377">
      <c r="A6377" s="390" t="str">
        <f>IFERROR(__xludf.DUMMYFUNCTION("""COMPUTED_VALUE"""),"#SLAA - Segunda Licenciatura em Artes Visuais - Segunda Licenciatura em Artes Visuais - Felipe Rodrigues Borges - Educação, História, Cultura e Práticas Indígenas/a - Nota Máxima: 10")</f>
        <v>#SLAA - Segunda Licenciatura em Artes Visuais - Segunda Licenciatura em Artes Visuais - Felipe Rodrigues Borges - Educação, História, Cultura e Práticas Indígenas/a - Nota Máxima: 10</v>
      </c>
    </row>
    <row r="6378">
      <c r="A6378" s="390" t="str">
        <f>IFERROR(__xludf.DUMMYFUNCTION("""COMPUTED_VALUE"""),"#SLAA - Segunda Licenciatura em Artes Visuais - Segunda Licenciatura em Artes Visuais - Felipe Rodrigues Borges - Educação, História, Cultura e Práticas Indígenas/a - Nota Máxima: 7")</f>
        <v>#SLAA - Segunda Licenciatura em Artes Visuais - Segunda Licenciatura em Artes Visuais - Felipe Rodrigues Borges - Educação, História, Cultura e Práticas Indígenas/a - Nota Máxima: 7</v>
      </c>
    </row>
    <row r="6379">
      <c r="A6379" s="390" t="str">
        <f>IFERROR(__xludf.DUMMYFUNCTION("""COMPUTED_VALUE"""),"#SLAA - Segunda Licenciatura em Artes Visuais - Segunda Licenciatura em Artes Visuais - Felipe Rodrigues Borges - Expressão Gráfica - Nota Máxima: 10")</f>
        <v>#SLAA - Segunda Licenciatura em Artes Visuais - Segunda Licenciatura em Artes Visuais - Felipe Rodrigues Borges - Expressão Gráfica - Nota Máxima: 10</v>
      </c>
    </row>
    <row r="6380">
      <c r="A6380" s="390" t="str">
        <f>IFERROR(__xludf.DUMMYFUNCTION("""COMPUTED_VALUE"""),"#SLAA - Segunda Licenciatura em Artes Visuais - Segunda Licenciatura em Artes Visuais - Felipe Rodrigues Borges - Expressão Gráfica - Nota Máxima: 10")</f>
        <v>#SLAA - Segunda Licenciatura em Artes Visuais - Segunda Licenciatura em Artes Visuais - Felipe Rodrigues Borges - Expressão Gráfica - Nota Máxima: 10</v>
      </c>
    </row>
    <row r="6381">
      <c r="A6381" s="390" t="str">
        <f>IFERROR(__xludf.DUMMYFUNCTION("""COMPUTED_VALUE"""),"#SLAA - Segunda Licenciatura em Artes Visuais - Segunda Licenciatura em Artes Visuais - Felipe Rodrigues Borges - Filosofia das Artes à Estética - Nota Máxima: 8")</f>
        <v>#SLAA - Segunda Licenciatura em Artes Visuais - Segunda Licenciatura em Artes Visuais - Felipe Rodrigues Borges - Filosofia das Artes à Estética - Nota Máxima: 8</v>
      </c>
    </row>
    <row r="6382">
      <c r="A6382" s="390" t="str">
        <f>IFERROR(__xludf.DUMMYFUNCTION("""COMPUTED_VALUE"""),"#SLAA - Segunda Licenciatura em Artes Visuais - Segunda Licenciatura em Artes Visuais - Felipe Rodrigues Borges - Filosofia das Artes à Estética - Nota Máxima: 1")</f>
        <v>#SLAA - Segunda Licenciatura em Artes Visuais - Segunda Licenciatura em Artes Visuais - Felipe Rodrigues Borges - Filosofia das Artes à Estética - Nota Máxima: 1</v>
      </c>
    </row>
    <row r="6383">
      <c r="A6383" s="390" t="str">
        <f>IFERROR(__xludf.DUMMYFUNCTION("""COMPUTED_VALUE"""),"#SLAA - Segunda Licenciatura em Artes Visuais - Segunda Licenciatura em Artes Visuais - Felipe Rodrigues Borges - Legislação Educacional/a - Nota Máxima: 9")</f>
        <v>#SLAA - Segunda Licenciatura em Artes Visuais - Segunda Licenciatura em Artes Visuais - Felipe Rodrigues Borges - Legislação Educacional/a - Nota Máxima: 9</v>
      </c>
    </row>
    <row r="6384">
      <c r="A6384" s="390" t="str">
        <f>IFERROR(__xludf.DUMMYFUNCTION("""COMPUTED_VALUE"""),"#SLAA - Segunda Licenciatura em Artes Visuais - Segunda Licenciatura em Artes Visuais - Felipe Rodrigues Borges - Legislação Educacional/a - Nota Máxima: 6")</f>
        <v>#SLAA - Segunda Licenciatura em Artes Visuais - Segunda Licenciatura em Artes Visuais - Felipe Rodrigues Borges - Legislação Educacional/a - Nota Máxima: 6</v>
      </c>
    </row>
    <row r="6385">
      <c r="A6385" s="390" t="str">
        <f>IFERROR(__xludf.DUMMYFUNCTION("""COMPUTED_VALUE"""),"#SLAA - Segunda Licenciatura em Artes Visuais - Segunda Licenciatura em Artes Visuais - Felipe Rodrigues Borges - Linguagem das Artes Plásticas - Nota Máxima: 9")</f>
        <v>#SLAA - Segunda Licenciatura em Artes Visuais - Segunda Licenciatura em Artes Visuais - Felipe Rodrigues Borges - Linguagem das Artes Plásticas - Nota Máxima: 9</v>
      </c>
    </row>
    <row r="6386">
      <c r="A6386" s="390" t="str">
        <f>IFERROR(__xludf.DUMMYFUNCTION("""COMPUTED_VALUE"""),"#SLAA - Segunda Licenciatura em Artes Visuais - Segunda Licenciatura em Artes Visuais - Felipe Rodrigues Borges - Linguagem das Artes Plásticas - Nota Máxima: 5")</f>
        <v>#SLAA - Segunda Licenciatura em Artes Visuais - Segunda Licenciatura em Artes Visuais - Felipe Rodrigues Borges - Linguagem das Artes Plásticas - Nota Máxima: 5</v>
      </c>
    </row>
    <row r="6387">
      <c r="A6387" s="390" t="str">
        <f>IFERROR(__xludf.DUMMYFUNCTION("""COMPUTED_VALUE"""),"#SLAA - Segunda Licenciatura em Artes Visuais - Segunda Licenciatura em Artes Visuais - Felipe Rodrigues Borges - Planejamento, Gestão Educacional e Currículo/a - Nota Máxima: 10")</f>
        <v>#SLAA - Segunda Licenciatura em Artes Visuais - Segunda Licenciatura em Artes Visuais - Felipe Rodrigues Borges - Planejamento, Gestão Educacional e Currículo/a - Nota Máxima: 10</v>
      </c>
    </row>
    <row r="6388">
      <c r="A6388" s="390" t="str">
        <f>IFERROR(__xludf.DUMMYFUNCTION("""COMPUTED_VALUE"""),"#SLAA - Segunda Licenciatura em Artes Visuais - Segunda Licenciatura em Artes Visuais - Felipe Rodrigues Borges - Planejamento, Gestão Educacional e Currículo/a - Nota Máxima: 10")</f>
        <v>#SLAA - Segunda Licenciatura em Artes Visuais - Segunda Licenciatura em Artes Visuais - Felipe Rodrigues Borges - Planejamento, Gestão Educacional e Currículo/a - Nota Máxima: 10</v>
      </c>
    </row>
    <row r="6389">
      <c r="A6389" s="390" t="str">
        <f>IFERROR(__xludf.DUMMYFUNCTION("""COMPUTED_VALUE"""),"#SLAA - Segunda Licenciatura em Artes Visuais - Segunda Licenciatura em Artes Visuais - Felipe Rodrigues Borges - Práticas Pedagógicas - 400 Horas - Nota Máxima: 10")</f>
        <v>#SLAA - Segunda Licenciatura em Artes Visuais - Segunda Licenciatura em Artes Visuais - Felipe Rodrigues Borges - Práticas Pedagógicas - 400 Horas - Nota Máxima: 10</v>
      </c>
    </row>
    <row r="6390">
      <c r="A6390" s="390" t="str">
        <f>IFERROR(__xludf.DUMMYFUNCTION("""COMPUTED_VALUE"""),"#SLAA - Segunda Licenciatura em Artes Visuais - Segunda Licenciatura em Artes Visuais - Felipe Rodrigues Borges - Práticas Pedagógicas - 400 Horas - Nota Máxima: 45784")</f>
        <v>#SLAA - Segunda Licenciatura em Artes Visuais - Segunda Licenciatura em Artes Visuais - Felipe Rodrigues Borges - Práticas Pedagógicas - 400 Horas - Nota Máxima: 45784</v>
      </c>
    </row>
    <row r="6391">
      <c r="A6391" s="390" t="str">
        <f>IFERROR(__xludf.DUMMYFUNCTION("""COMPUTED_VALUE"""),"#SLAA - Segunda Licenciatura em Artes Visuais - Segunda Licenciatura em Artes Visuais - Felipe Rodrigues Borges - Psicologia da Educação/a - Nota Máxima: 9")</f>
        <v>#SLAA - Segunda Licenciatura em Artes Visuais - Segunda Licenciatura em Artes Visuais - Felipe Rodrigues Borges - Psicologia da Educação/a - Nota Máxima: 9</v>
      </c>
    </row>
    <row r="6392">
      <c r="A6392" s="390" t="str">
        <f>IFERROR(__xludf.DUMMYFUNCTION("""COMPUTED_VALUE"""),"#SLAA - Segunda Licenciatura em Artes Visuais - Segunda Licenciatura em Artes Visuais - Felipe Rodrigues Borges - Psicologia da Educação/a - Nota Máxima: 4")</f>
        <v>#SLAA - Segunda Licenciatura em Artes Visuais - Segunda Licenciatura em Artes Visuais - Felipe Rodrigues Borges - Psicologia da Educação/a - Nota Máxima: 4</v>
      </c>
    </row>
    <row r="6393">
      <c r="A6393" s="390" t="str">
        <f>IFERROR(__xludf.DUMMYFUNCTION("""COMPUTED_VALUE"""),"#SLAA - Segunda Licenciatura em Artes Visuais - Segunda Licenciatura em Artes Visuais - Felipe Rodrigues Borges - Psicomotricidade e Ludopedagogia - Nota Máxima: 10")</f>
        <v>#SLAA - Segunda Licenciatura em Artes Visuais - Segunda Licenciatura em Artes Visuais - Felipe Rodrigues Borges - Psicomotricidade e Ludopedagogia - Nota Máxima: 10</v>
      </c>
    </row>
    <row r="6394">
      <c r="A6394" s="390" t="str">
        <f>IFERROR(__xludf.DUMMYFUNCTION("""COMPUTED_VALUE"""),"#SLAA - Segunda Licenciatura em Artes Visuais - Segunda Licenciatura em Artes Visuais - Felipe Rodrigues Borges - Psicomotricidade e Ludopedagogia - Nota Máxima: 8")</f>
        <v>#SLAA - Segunda Licenciatura em Artes Visuais - Segunda Licenciatura em Artes Visuais - Felipe Rodrigues Borges - Psicomotricidade e Ludopedagogia - Nota Máxima: 8</v>
      </c>
    </row>
    <row r="6395">
      <c r="A6395" s="390" t="str">
        <f>IFERROR(__xludf.DUMMYFUNCTION("""COMPUTED_VALUE"""),"#SLAA - Segunda Licenciatura em Artes Visuais - Segunda Licenciatura em Artes Visuais - Felipe Rodrigues Borges - Tecnologia nas Artes Visuais - Nota Máxima: 9")</f>
        <v>#SLAA - Segunda Licenciatura em Artes Visuais - Segunda Licenciatura em Artes Visuais - Felipe Rodrigues Borges - Tecnologia nas Artes Visuais - Nota Máxima: 9</v>
      </c>
    </row>
    <row r="6396">
      <c r="A6396" s="390" t="str">
        <f>IFERROR(__xludf.DUMMYFUNCTION("""COMPUTED_VALUE"""),"#SLAA - Segunda Licenciatura em Artes Visuais - Segunda Licenciatura em Artes Visuais - Felipe Rodrigues Borges - Tecnologia nas Artes Visuais - Nota Máxima: 3")</f>
        <v>#SLAA - Segunda Licenciatura em Artes Visuais - Segunda Licenciatura em Artes Visuais - Felipe Rodrigues Borges - Tecnologia nas Artes Visuais - Nota Máxima: 3</v>
      </c>
    </row>
    <row r="6397">
      <c r="A6397" s="390" t="str">
        <f>IFERROR(__xludf.DUMMYFUNCTION("""COMPUTED_VALUE"""),"#SLAA - Segunda Licenciatura em Artes Visuais - Segunda Licenciatura em Artes Visuais - Karen Macedo Firmo - Arte Brasileira na Formação da Identidade Nacional - Nota Máxima: 10")</f>
        <v>#SLAA - Segunda Licenciatura em Artes Visuais - Segunda Licenciatura em Artes Visuais - Karen Macedo Firmo - Arte Brasileira na Formação da Identidade Nacional - Nota Máxima: 10</v>
      </c>
    </row>
    <row r="6398">
      <c r="A6398" s="390" t="str">
        <f>IFERROR(__xludf.DUMMYFUNCTION("""COMPUTED_VALUE"""),"#SLAA - Segunda Licenciatura em Artes Visuais - Segunda Licenciatura em Artes Visuais - Karen Macedo Firmo - Arte Conceitual, Instalações e Arte Urbana - Nota Máxima: 10")</f>
        <v>#SLAA - Segunda Licenciatura em Artes Visuais - Segunda Licenciatura em Artes Visuais - Karen Macedo Firmo - Arte Conceitual, Instalações e Arte Urbana - Nota Máxima: 10</v>
      </c>
    </row>
    <row r="6399">
      <c r="A6399" s="390" t="str">
        <f>IFERROR(__xludf.DUMMYFUNCTION("""COMPUTED_VALUE"""),"#SLAA - Segunda Licenciatura em Artes Visuais - Segunda Licenciatura em Artes Visuais - Karen Macedo Firmo - Arte em Educação - Nota Máxima: 10")</f>
        <v>#SLAA - Segunda Licenciatura em Artes Visuais - Segunda Licenciatura em Artes Visuais - Karen Macedo Firmo - Arte em Educação - Nota Máxima: 10</v>
      </c>
    </row>
    <row r="6400">
      <c r="A6400" s="390" t="str">
        <f>IFERROR(__xludf.DUMMYFUNCTION("""COMPUTED_VALUE"""),"#SLAA - Segunda Licenciatura em Artes Visuais - Segunda Licenciatura em Artes Visuais - Karen Macedo Firmo - Educação, História, Cultura e Práticas Indígenas/a - Nota Máxima: 10")</f>
        <v>#SLAA - Segunda Licenciatura em Artes Visuais - Segunda Licenciatura em Artes Visuais - Karen Macedo Firmo - Educação, História, Cultura e Práticas Indígenas/a - Nota Máxima: 10</v>
      </c>
    </row>
    <row r="6401">
      <c r="A6401" s="390" t="str">
        <f>IFERROR(__xludf.DUMMYFUNCTION("""COMPUTED_VALUE"""),"#SLAA - Segunda Licenciatura em Artes Visuais - Segunda Licenciatura em Artes Visuais - Karen Macedo Firmo - Educação, História, Cultura e Práticas Indígenas/a - Nota Máxima: 3")</f>
        <v>#SLAA - Segunda Licenciatura em Artes Visuais - Segunda Licenciatura em Artes Visuais - Karen Macedo Firmo - Educação, História, Cultura e Práticas Indígenas/a - Nota Máxima: 3</v>
      </c>
    </row>
    <row r="6402">
      <c r="A6402" s="390" t="str">
        <f>IFERROR(__xludf.DUMMYFUNCTION("""COMPUTED_VALUE"""),"#SLAA - Segunda Licenciatura em Artes Visuais - Segunda Licenciatura em Artes Visuais - Karen Macedo Firmo - Filosofia das Artes à Estética - Nota Máxima: 10")</f>
        <v>#SLAA - Segunda Licenciatura em Artes Visuais - Segunda Licenciatura em Artes Visuais - Karen Macedo Firmo - Filosofia das Artes à Estética - Nota Máxima: 10</v>
      </c>
    </row>
    <row r="6403">
      <c r="A6403" s="390" t="str">
        <f>IFERROR(__xludf.DUMMYFUNCTION("""COMPUTED_VALUE"""),"#SLAA - Segunda Licenciatura em Artes Visuais - Segunda Licenciatura em Artes Visuais - Karen Macedo Firmo - Filosofia das Artes à Estética - Nota Máxima: 3")</f>
        <v>#SLAA - Segunda Licenciatura em Artes Visuais - Segunda Licenciatura em Artes Visuais - Karen Macedo Firmo - Filosofia das Artes à Estética - Nota Máxima: 3</v>
      </c>
    </row>
    <row r="6404">
      <c r="A6404" s="390" t="str">
        <f>IFERROR(__xludf.DUMMYFUNCTION("""COMPUTED_VALUE"""),"#SLAA - Segunda Licenciatura em Artes Visuais - Segunda Licenciatura em Artes Visuais - Karen Macedo Firmo - Legislação Educacional/a - Nota Máxima: 10")</f>
        <v>#SLAA - Segunda Licenciatura em Artes Visuais - Segunda Licenciatura em Artes Visuais - Karen Macedo Firmo - Legislação Educacional/a - Nota Máxima: 10</v>
      </c>
    </row>
    <row r="6405">
      <c r="A6405" s="390" t="str">
        <f>IFERROR(__xludf.DUMMYFUNCTION("""COMPUTED_VALUE"""),"#SLAA - Segunda Licenciatura em Artes Visuais - Segunda Licenciatura em Artes Visuais - Karen Macedo Firmo - Linguagem das Artes Plásticas - Nota Máxima: 10")</f>
        <v>#SLAA - Segunda Licenciatura em Artes Visuais - Segunda Licenciatura em Artes Visuais - Karen Macedo Firmo - Linguagem das Artes Plásticas - Nota Máxima: 10</v>
      </c>
    </row>
    <row r="6406">
      <c r="A6406" s="390" t="str">
        <f>IFERROR(__xludf.DUMMYFUNCTION("""COMPUTED_VALUE"""),"#SLAA - Segunda Licenciatura em Artes Visuais - Segunda Licenciatura em Artes Visuais - Karen Macedo Firmo - Linguagem das Artes Plásticas - Nota Máxima: 5")</f>
        <v>#SLAA - Segunda Licenciatura em Artes Visuais - Segunda Licenciatura em Artes Visuais - Karen Macedo Firmo - Linguagem das Artes Plásticas - Nota Máxima: 5</v>
      </c>
    </row>
    <row r="6407">
      <c r="A6407" s="390" t="str">
        <f>IFERROR(__xludf.DUMMYFUNCTION("""COMPUTED_VALUE"""),"#SLAA - Segunda Licenciatura em Artes Visuais - Segunda Licenciatura em Artes Visuais - Karen Macedo Firmo - Psicologia da Educação/a - Nota Máxima: 10")</f>
        <v>#SLAA - Segunda Licenciatura em Artes Visuais - Segunda Licenciatura em Artes Visuais - Karen Macedo Firmo - Psicologia da Educação/a - Nota Máxima: 10</v>
      </c>
    </row>
    <row r="6408">
      <c r="A6408" s="390" t="str">
        <f>IFERROR(__xludf.DUMMYFUNCTION("""COMPUTED_VALUE"""),"#SLAA - Segunda Licenciatura em Artes Visuais - Segunda Licenciatura em Artes Visuais - Karen Macedo Firmo - Psicologia da Educação/a - Nota Máxima: 3")</f>
        <v>#SLAA - Segunda Licenciatura em Artes Visuais - Segunda Licenciatura em Artes Visuais - Karen Macedo Firmo - Psicologia da Educação/a - Nota Máxima: 3</v>
      </c>
    </row>
    <row r="6409">
      <c r="A6409" s="390" t="str">
        <f>IFERROR(__xludf.DUMMYFUNCTION("""COMPUTED_VALUE"""),"#SLAA - Segunda Licenciatura em Artes Visuais - Segunda Licenciatura em Artes Visuais - Karen Macedo Firmo - Psicomotricidade e Ludopedagogia - Nota Máxima: 10")</f>
        <v>#SLAA - Segunda Licenciatura em Artes Visuais - Segunda Licenciatura em Artes Visuais - Karen Macedo Firmo - Psicomotricidade e Ludopedagogia - Nota Máxima: 10</v>
      </c>
    </row>
    <row r="6410">
      <c r="A6410" s="390" t="str">
        <f>IFERROR(__xludf.DUMMYFUNCTION("""COMPUTED_VALUE"""),"#SLAA - Segunda Licenciatura em Artes Visuais - Segunda Licenciatura em Artes Visuais - Karen Macedo Firmo - Tecnologia nas Artes Visuais - Nota Máxima: 10")</f>
        <v>#SLAA - Segunda Licenciatura em Artes Visuais - Segunda Licenciatura em Artes Visuais - Karen Macedo Firmo - Tecnologia nas Artes Visuais - Nota Máxima: 10</v>
      </c>
    </row>
    <row r="6411">
      <c r="A6411" s="390" t="str">
        <f>IFERROR(__xludf.DUMMYFUNCTION("""COMPUTED_VALUE"""),"#SLAA - Segunda Licenciatura em Artes Visuais - Segunda Licenciatura em Artes Visuais - Rozilda Almeida Neves Magalhães - Arte Brasileira na Formação da Identidade Nacional - Nota Máxima: 10")</f>
        <v>#SLAA - Segunda Licenciatura em Artes Visuais - Segunda Licenciatura em Artes Visuais - Rozilda Almeida Neves Magalhães - Arte Brasileira na Formação da Identidade Nacional - Nota Máxima: 10</v>
      </c>
    </row>
    <row r="6412">
      <c r="A6412" s="390" t="str">
        <f>IFERROR(__xludf.DUMMYFUNCTION("""COMPUTED_VALUE"""),"#SLAA - Segunda Licenciatura em Artes Visuais - Segunda Licenciatura em Artes Visuais - Rozilda Almeida Neves Magalhães - Arte Brasileira na Formação da Identidade Nacional - Nota Máxima: 9")</f>
        <v>#SLAA - Segunda Licenciatura em Artes Visuais - Segunda Licenciatura em Artes Visuais - Rozilda Almeida Neves Magalhães - Arte Brasileira na Formação da Identidade Nacional - Nota Máxima: 9</v>
      </c>
    </row>
    <row r="6413">
      <c r="A6413" s="390" t="str">
        <f>IFERROR(__xludf.DUMMYFUNCTION("""COMPUTED_VALUE"""),"#SLAA - Segunda Licenciatura em Artes Visuais - Segunda Licenciatura em Artes Visuais - Rozilda Almeida Neves Magalhães - Arte Conceitual, Instalações e Arte Urbana - Nota Máxima: 10")</f>
        <v>#SLAA - Segunda Licenciatura em Artes Visuais - Segunda Licenciatura em Artes Visuais - Rozilda Almeida Neves Magalhães - Arte Conceitual, Instalações e Arte Urbana - Nota Máxima: 10</v>
      </c>
    </row>
    <row r="6414">
      <c r="A6414" s="390" t="str">
        <f>IFERROR(__xludf.DUMMYFUNCTION("""COMPUTED_VALUE"""),"#SLAA - Segunda Licenciatura em Artes Visuais - Segunda Licenciatura em Artes Visuais - Rozilda Almeida Neves Magalhães - Arte Conceitual, Instalações e Arte Urbana - Nota Máxima: 9")</f>
        <v>#SLAA - Segunda Licenciatura em Artes Visuais - Segunda Licenciatura em Artes Visuais - Rozilda Almeida Neves Magalhães - Arte Conceitual, Instalações e Arte Urbana - Nota Máxima: 9</v>
      </c>
    </row>
    <row r="6415">
      <c r="A6415" s="390" t="str">
        <f>IFERROR(__xludf.DUMMYFUNCTION("""COMPUTED_VALUE"""),"#SLAA - Segunda Licenciatura em Artes Visuais - Segunda Licenciatura em Artes Visuais - Rozilda Almeida Neves Magalhães - Arte em Educação - Nota Máxima: 9")</f>
        <v>#SLAA - Segunda Licenciatura em Artes Visuais - Segunda Licenciatura em Artes Visuais - Rozilda Almeida Neves Magalhães - Arte em Educação - Nota Máxima: 9</v>
      </c>
    </row>
    <row r="6416">
      <c r="A6416" s="390" t="str">
        <f>IFERROR(__xludf.DUMMYFUNCTION("""COMPUTED_VALUE"""),"#SLAA - Segunda Licenciatura em Artes Visuais - Segunda Licenciatura em Artes Visuais - Rozilda Almeida Neves Magalhães - Arte em Educação - Nota Máxima: 8")</f>
        <v>#SLAA - Segunda Licenciatura em Artes Visuais - Segunda Licenciatura em Artes Visuais - Rozilda Almeida Neves Magalhães - Arte em Educação - Nota Máxima: 8</v>
      </c>
    </row>
    <row r="6417">
      <c r="A6417" s="390" t="str">
        <f>IFERROR(__xludf.DUMMYFUNCTION("""COMPUTED_VALUE"""),"#SLAA - Segunda Licenciatura em Artes Visuais - Segunda Licenciatura em Artes Visuais - Rozilda Almeida Neves Magalhães - Deficiência Auditiva e Libras/a - Nota Máxima: 10")</f>
        <v>#SLAA - Segunda Licenciatura em Artes Visuais - Segunda Licenciatura em Artes Visuais - Rozilda Almeida Neves Magalhães - Deficiência Auditiva e Libras/a - Nota Máxima: 10</v>
      </c>
    </row>
    <row r="6418">
      <c r="A6418" s="390" t="str">
        <f>IFERROR(__xludf.DUMMYFUNCTION("""COMPUTED_VALUE"""),"#SLAA - Segunda Licenciatura em Artes Visuais - Segunda Licenciatura em Artes Visuais - Rozilda Almeida Neves Magalhães - Deficiência Auditiva e Libras/a - Nota Máxima: 9")</f>
        <v>#SLAA - Segunda Licenciatura em Artes Visuais - Segunda Licenciatura em Artes Visuais - Rozilda Almeida Neves Magalhães - Deficiência Auditiva e Libras/a - Nota Máxima: 9</v>
      </c>
    </row>
    <row r="6419">
      <c r="A6419" s="390" t="str">
        <f>IFERROR(__xludf.DUMMYFUNCTION("""COMPUTED_VALUE"""),"#SLAA - Segunda Licenciatura em Artes Visuais - Segunda Licenciatura em Artes Visuais - Rozilda Almeida Neves Magalhães - Desenho e Observação - Nota Máxima: 10")</f>
        <v>#SLAA - Segunda Licenciatura em Artes Visuais - Segunda Licenciatura em Artes Visuais - Rozilda Almeida Neves Magalhães - Desenho e Observação - Nota Máxima: 10</v>
      </c>
    </row>
    <row r="6420">
      <c r="A6420" s="390" t="str">
        <f>IFERROR(__xludf.DUMMYFUNCTION("""COMPUTED_VALUE"""),"#SLAA - Segunda Licenciatura em Artes Visuais - Segunda Licenciatura em Artes Visuais - Rozilda Almeida Neves Magalhães - Educação Especial, Inclusão Escolar e Adaptações Curriculares - Nota Máxima: 9")</f>
        <v>#SLAA - Segunda Licenciatura em Artes Visuais - Segunda Licenciatura em Artes Visuais - Rozilda Almeida Neves Magalhães - Educação Especial, Inclusão Escolar e Adaptações Curriculares - Nota Máxima: 9</v>
      </c>
    </row>
    <row r="6421">
      <c r="A6421" s="390" t="str">
        <f>IFERROR(__xludf.DUMMYFUNCTION("""COMPUTED_VALUE"""),"#SLAA - Segunda Licenciatura em Artes Visuais - Segunda Licenciatura em Artes Visuais - Rozilda Almeida Neves Magalhães - Educação Especial, Inclusão Escolar e Adaptações Curriculares - Nota Máxima: 9")</f>
        <v>#SLAA - Segunda Licenciatura em Artes Visuais - Segunda Licenciatura em Artes Visuais - Rozilda Almeida Neves Magalhães - Educação Especial, Inclusão Escolar e Adaptações Curriculares - Nota Máxima: 9</v>
      </c>
    </row>
    <row r="6422">
      <c r="A6422" s="390" t="str">
        <f>IFERROR(__xludf.DUMMYFUNCTION("""COMPUTED_VALUE"""),"#SLAA - Segunda Licenciatura em Artes Visuais - Segunda Licenciatura em Artes Visuais - Rozilda Almeida Neves Magalhães - Educação, História, Cultura e Práticas Indígenas/a - Nota Máxima: 10")</f>
        <v>#SLAA - Segunda Licenciatura em Artes Visuais - Segunda Licenciatura em Artes Visuais - Rozilda Almeida Neves Magalhães - Educação, História, Cultura e Práticas Indígenas/a - Nota Máxima: 10</v>
      </c>
    </row>
    <row r="6423">
      <c r="A6423" s="390" t="str">
        <f>IFERROR(__xludf.DUMMYFUNCTION("""COMPUTED_VALUE"""),"#SLAA - Segunda Licenciatura em Artes Visuais - Segunda Licenciatura em Artes Visuais - Rozilda Almeida Neves Magalhães - Educação, História, Cultura e Práticas Indígenas/a - Nota Máxima: 9")</f>
        <v>#SLAA - Segunda Licenciatura em Artes Visuais - Segunda Licenciatura em Artes Visuais - Rozilda Almeida Neves Magalhães - Educação, História, Cultura e Práticas Indígenas/a - Nota Máxima: 9</v>
      </c>
    </row>
    <row r="6424">
      <c r="A6424" s="390" t="str">
        <f>IFERROR(__xludf.DUMMYFUNCTION("""COMPUTED_VALUE"""),"#SLAA - Segunda Licenciatura em Artes Visuais - Segunda Licenciatura em Artes Visuais - Rozilda Almeida Neves Magalhães - Expressão Gráfica - Nota Máxima: 10")</f>
        <v>#SLAA - Segunda Licenciatura em Artes Visuais - Segunda Licenciatura em Artes Visuais - Rozilda Almeida Neves Magalhães - Expressão Gráfica - Nota Máxima: 10</v>
      </c>
    </row>
    <row r="6425">
      <c r="A6425" s="390" t="str">
        <f>IFERROR(__xludf.DUMMYFUNCTION("""COMPUTED_VALUE"""),"#SLAA - Segunda Licenciatura em Artes Visuais - Segunda Licenciatura em Artes Visuais - Rozilda Almeida Neves Magalhães - Filosofia das Artes à Estética - Nota Máxima: 10")</f>
        <v>#SLAA - Segunda Licenciatura em Artes Visuais - Segunda Licenciatura em Artes Visuais - Rozilda Almeida Neves Magalhães - Filosofia das Artes à Estética - Nota Máxima: 10</v>
      </c>
    </row>
    <row r="6426">
      <c r="A6426" s="390" t="str">
        <f>IFERROR(__xludf.DUMMYFUNCTION("""COMPUTED_VALUE"""),"#SLAA - Segunda Licenciatura em Artes Visuais - Segunda Licenciatura em Artes Visuais - Rozilda Almeida Neves Magalhães - Filosofia das Artes à Estética - Nota Máxima: 10")</f>
        <v>#SLAA - Segunda Licenciatura em Artes Visuais - Segunda Licenciatura em Artes Visuais - Rozilda Almeida Neves Magalhães - Filosofia das Artes à Estética - Nota Máxima: 10</v>
      </c>
    </row>
    <row r="6427">
      <c r="A6427" s="390" t="str">
        <f>IFERROR(__xludf.DUMMYFUNCTION("""COMPUTED_VALUE"""),"#SLAA - Segunda Licenciatura em Artes Visuais - Segunda Licenciatura em Artes Visuais - Rozilda Almeida Neves Magalhães - Legislação Educacional/a - Nota Máxima: 9")</f>
        <v>#SLAA - Segunda Licenciatura em Artes Visuais - Segunda Licenciatura em Artes Visuais - Rozilda Almeida Neves Magalhães - Legislação Educacional/a - Nota Máxima: 9</v>
      </c>
    </row>
    <row r="6428">
      <c r="A6428" s="390" t="str">
        <f>IFERROR(__xludf.DUMMYFUNCTION("""COMPUTED_VALUE"""),"#SLAA - Segunda Licenciatura em Artes Visuais - Segunda Licenciatura em Artes Visuais - Rozilda Almeida Neves Magalhães - Legislação Educacional/a - Nota Máxima: 9")</f>
        <v>#SLAA - Segunda Licenciatura em Artes Visuais - Segunda Licenciatura em Artes Visuais - Rozilda Almeida Neves Magalhães - Legislação Educacional/a - Nota Máxima: 9</v>
      </c>
    </row>
    <row r="6429">
      <c r="A6429" s="390" t="str">
        <f>IFERROR(__xludf.DUMMYFUNCTION("""COMPUTED_VALUE"""),"#SLAA - Segunda Licenciatura em Artes Visuais - Segunda Licenciatura em Artes Visuais - Rozilda Almeida Neves Magalhães - Linguagem das Artes Plásticas - Nota Máxima: 9")</f>
        <v>#SLAA - Segunda Licenciatura em Artes Visuais - Segunda Licenciatura em Artes Visuais - Rozilda Almeida Neves Magalhães - Linguagem das Artes Plásticas - Nota Máxima: 9</v>
      </c>
    </row>
    <row r="6430">
      <c r="A6430" s="390" t="str">
        <f>IFERROR(__xludf.DUMMYFUNCTION("""COMPUTED_VALUE"""),"#SLAA - Segunda Licenciatura em Artes Visuais - Segunda Licenciatura em Artes Visuais - Rozilda Almeida Neves Magalhães - Linguagem das Artes Plásticas - Nota Máxima: 10")</f>
        <v>#SLAA - Segunda Licenciatura em Artes Visuais - Segunda Licenciatura em Artes Visuais - Rozilda Almeida Neves Magalhães - Linguagem das Artes Plásticas - Nota Máxima: 10</v>
      </c>
    </row>
    <row r="6431">
      <c r="A6431" s="390" t="str">
        <f>IFERROR(__xludf.DUMMYFUNCTION("""COMPUTED_VALUE"""),"#SLAA - Segunda Licenciatura em Artes Visuais - Segunda Licenciatura em Artes Visuais - Rozilda Almeida Neves Magalhães - Planejamento, Gestão Educacional e Currículo/a - Nota Máxima: 9")</f>
        <v>#SLAA - Segunda Licenciatura em Artes Visuais - Segunda Licenciatura em Artes Visuais - Rozilda Almeida Neves Magalhães - Planejamento, Gestão Educacional e Currículo/a - Nota Máxima: 9</v>
      </c>
    </row>
    <row r="6432">
      <c r="A6432" s="390" t="str">
        <f>IFERROR(__xludf.DUMMYFUNCTION("""COMPUTED_VALUE"""),"#SLAA - Segunda Licenciatura em Artes Visuais - Segunda Licenciatura em Artes Visuais - Rozilda Almeida Neves Magalhães - Planejamento, Gestão Educacional e Currículo/a - Nota Máxima: 10")</f>
        <v>#SLAA - Segunda Licenciatura em Artes Visuais - Segunda Licenciatura em Artes Visuais - Rozilda Almeida Neves Magalhães - Planejamento, Gestão Educacional e Currículo/a - Nota Máxima: 10</v>
      </c>
    </row>
    <row r="6433">
      <c r="A6433" s="390" t="str">
        <f>IFERROR(__xludf.DUMMYFUNCTION("""COMPUTED_VALUE"""),"#SLAA - Segunda Licenciatura em Artes Visuais - Segunda Licenciatura em Artes Visuais - Rozilda Almeida Neves Magalhães - Práticas Pedagógicas - 400 Horas - Nota Máxima: 4")</f>
        <v>#SLAA - Segunda Licenciatura em Artes Visuais - Segunda Licenciatura em Artes Visuais - Rozilda Almeida Neves Magalhães - Práticas Pedagógicas - 400 Horas - Nota Máxima: 4</v>
      </c>
    </row>
    <row r="6434">
      <c r="A6434" s="390" t="str">
        <f>IFERROR(__xludf.DUMMYFUNCTION("""COMPUTED_VALUE"""),"#SLAA - Segunda Licenciatura em Artes Visuais - Segunda Licenciatura em Artes Visuais - Rozilda Almeida Neves Magalhães - Práticas Pedagógicas - 400 Horas - Nota Máxima: 4")</f>
        <v>#SLAA - Segunda Licenciatura em Artes Visuais - Segunda Licenciatura em Artes Visuais - Rozilda Almeida Neves Magalhães - Práticas Pedagógicas - 400 Horas - Nota Máxima: 4</v>
      </c>
    </row>
    <row r="6435">
      <c r="A6435" s="390" t="str">
        <f>IFERROR(__xludf.DUMMYFUNCTION("""COMPUTED_VALUE"""),"#SLAA - Segunda Licenciatura em Artes Visuais - Segunda Licenciatura em Artes Visuais - Rozilda Almeida Neves Magalhães - Psicologia da Educação/a - Nota Máxima: 8")</f>
        <v>#SLAA - Segunda Licenciatura em Artes Visuais - Segunda Licenciatura em Artes Visuais - Rozilda Almeida Neves Magalhães - Psicologia da Educação/a - Nota Máxima: 8</v>
      </c>
    </row>
    <row r="6436">
      <c r="A6436" s="390" t="str">
        <f>IFERROR(__xludf.DUMMYFUNCTION("""COMPUTED_VALUE"""),"#SLAA - Segunda Licenciatura em Artes Visuais - Segunda Licenciatura em Artes Visuais - Rozilda Almeida Neves Magalhães - Psicologia da Educação/a - Nota Máxima: 9")</f>
        <v>#SLAA - Segunda Licenciatura em Artes Visuais - Segunda Licenciatura em Artes Visuais - Rozilda Almeida Neves Magalhães - Psicologia da Educação/a - Nota Máxima: 9</v>
      </c>
    </row>
    <row r="6437">
      <c r="A6437" s="390" t="str">
        <f>IFERROR(__xludf.DUMMYFUNCTION("""COMPUTED_VALUE"""),"#SLAA - Segunda Licenciatura em Artes Visuais - Segunda Licenciatura em Artes Visuais - Rozilda Almeida Neves Magalhães - Psicomotricidade e Ludopedagogia - Nota Máxima: 9")</f>
        <v>#SLAA - Segunda Licenciatura em Artes Visuais - Segunda Licenciatura em Artes Visuais - Rozilda Almeida Neves Magalhães - Psicomotricidade e Ludopedagogia - Nota Máxima: 9</v>
      </c>
    </row>
    <row r="6438">
      <c r="A6438" s="390" t="str">
        <f>IFERROR(__xludf.DUMMYFUNCTION("""COMPUTED_VALUE"""),"#SLAA - Segunda Licenciatura em Artes Visuais - Segunda Licenciatura em Artes Visuais - Rozilda Almeida Neves Magalhães - Psicomotricidade e Ludopedagogia - Nota Máxima: 9")</f>
        <v>#SLAA - Segunda Licenciatura em Artes Visuais - Segunda Licenciatura em Artes Visuais - Rozilda Almeida Neves Magalhães - Psicomotricidade e Ludopedagogia - Nota Máxima: 9</v>
      </c>
    </row>
    <row r="6439">
      <c r="A6439" s="390" t="str">
        <f>IFERROR(__xludf.DUMMYFUNCTION("""COMPUTED_VALUE"""),"#SLAA - Segunda Licenciatura em Artes Visuais - Segunda Licenciatura em Artes Visuais - Rozilda Almeida Neves Magalhães - Tecnologia nas Artes Visuais - Nota Máxima: 10")</f>
        <v>#SLAA - Segunda Licenciatura em Artes Visuais - Segunda Licenciatura em Artes Visuais - Rozilda Almeida Neves Magalhães - Tecnologia nas Artes Visuais - Nota Máxima: 10</v>
      </c>
    </row>
    <row r="6440">
      <c r="A6440" s="390" t="str">
        <f>IFERROR(__xludf.DUMMYFUNCTION("""COMPUTED_VALUE"""),"#SLAA - Segunda Licenciatura em Artes Visuais - Segunda Licenciatura em Artes Visuais - Rozilda Almeida Neves Magalhães - Tecnologia nas Artes Visuais - Nota Máxima: 5")</f>
        <v>#SLAA - Segunda Licenciatura em Artes Visuais - Segunda Licenciatura em Artes Visuais - Rozilda Almeida Neves Magalhães - Tecnologia nas Artes Visuais - Nota Máxima: 5</v>
      </c>
    </row>
    <row r="6441">
      <c r="A6441" s="390" t="str">
        <f>IFERROR(__xludf.DUMMYFUNCTION("""COMPUTED_VALUE"""),"#SLAA - Segunda Licenciatura em Artes Visuais - Segunda Licenciatura em Artes Visuais - Vitória Rodrigues Montalvao - Arte Brasileira na Formação da Identidade Nacional - Nota Máxima: 10")</f>
        <v>#SLAA - Segunda Licenciatura em Artes Visuais - Segunda Licenciatura em Artes Visuais - Vitória Rodrigues Montalvao - Arte Brasileira na Formação da Identidade Nacional - Nota Máxima: 10</v>
      </c>
    </row>
    <row r="6442">
      <c r="A6442" s="390" t="str">
        <f>IFERROR(__xludf.DUMMYFUNCTION("""COMPUTED_VALUE"""),"#SLAA - Segunda Licenciatura em Artes Visuais - Segunda Licenciatura em Artes Visuais - Vitória Rodrigues Montalvao - Arte Brasileira na Formação da Identidade Nacional - Nota Máxima: 8")</f>
        <v>#SLAA - Segunda Licenciatura em Artes Visuais - Segunda Licenciatura em Artes Visuais - Vitória Rodrigues Montalvao - Arte Brasileira na Formação da Identidade Nacional - Nota Máxima: 8</v>
      </c>
    </row>
    <row r="6443">
      <c r="A6443" s="390" t="str">
        <f>IFERROR(__xludf.DUMMYFUNCTION("""COMPUTED_VALUE"""),"#SLAA - Segunda Licenciatura em Artes Visuais - Segunda Licenciatura em Artes Visuais - Vitória Rodrigues Montalvao - Arte Conceitual, Instalações e Arte Urbana - Nota Máxima: 10")</f>
        <v>#SLAA - Segunda Licenciatura em Artes Visuais - Segunda Licenciatura em Artes Visuais - Vitória Rodrigues Montalvao - Arte Conceitual, Instalações e Arte Urbana - Nota Máxima: 10</v>
      </c>
    </row>
    <row r="6444">
      <c r="A6444" s="390" t="str">
        <f>IFERROR(__xludf.DUMMYFUNCTION("""COMPUTED_VALUE"""),"#SLAA - Segunda Licenciatura em Artes Visuais - Segunda Licenciatura em Artes Visuais - Vitória Rodrigues Montalvao - Arte Conceitual, Instalações e Arte Urbana - Nota Máxima: 6")</f>
        <v>#SLAA - Segunda Licenciatura em Artes Visuais - Segunda Licenciatura em Artes Visuais - Vitória Rodrigues Montalvao - Arte Conceitual, Instalações e Arte Urbana - Nota Máxima: 6</v>
      </c>
    </row>
    <row r="6445">
      <c r="A6445" s="390" t="str">
        <f>IFERROR(__xludf.DUMMYFUNCTION("""COMPUTED_VALUE"""),"#SLAA - Segunda Licenciatura em Artes Visuais - Segunda Licenciatura em Artes Visuais - Vitória Rodrigues Montalvao - Arte em Educação - Nota Máxima: 9")</f>
        <v>#SLAA - Segunda Licenciatura em Artes Visuais - Segunda Licenciatura em Artes Visuais - Vitória Rodrigues Montalvao - Arte em Educação - Nota Máxima: 9</v>
      </c>
    </row>
    <row r="6446">
      <c r="A6446" s="390" t="str">
        <f>IFERROR(__xludf.DUMMYFUNCTION("""COMPUTED_VALUE"""),"#SLAA - Segunda Licenciatura em Artes Visuais - Segunda Licenciatura em Artes Visuais - Vitória Rodrigues Montalvao - Arte em Educação - Nota Máxima: 8")</f>
        <v>#SLAA - Segunda Licenciatura em Artes Visuais - Segunda Licenciatura em Artes Visuais - Vitória Rodrigues Montalvao - Arte em Educação - Nota Máxima: 8</v>
      </c>
    </row>
    <row r="6447">
      <c r="A6447" s="390" t="str">
        <f>IFERROR(__xludf.DUMMYFUNCTION("""COMPUTED_VALUE"""),"#SLAA - Segunda Licenciatura em Artes Visuais - Segunda Licenciatura em Artes Visuais - Vitória Rodrigues Montalvao - Deficiência Auditiva e Libras/a - Nota Máxima: 10")</f>
        <v>#SLAA - Segunda Licenciatura em Artes Visuais - Segunda Licenciatura em Artes Visuais - Vitória Rodrigues Montalvao - Deficiência Auditiva e Libras/a - Nota Máxima: 10</v>
      </c>
    </row>
    <row r="6448">
      <c r="A6448" s="390" t="str">
        <f>IFERROR(__xludf.DUMMYFUNCTION("""COMPUTED_VALUE"""),"#SLAA - Segunda Licenciatura em Artes Visuais - Segunda Licenciatura em Artes Visuais - Vitória Rodrigues Montalvao - Deficiência Auditiva e Libras/a - Nota Máxima: 9")</f>
        <v>#SLAA - Segunda Licenciatura em Artes Visuais - Segunda Licenciatura em Artes Visuais - Vitória Rodrigues Montalvao - Deficiência Auditiva e Libras/a - Nota Máxima: 9</v>
      </c>
    </row>
    <row r="6449">
      <c r="A6449" s="390" t="str">
        <f>IFERROR(__xludf.DUMMYFUNCTION("""COMPUTED_VALUE"""),"#SLAA - Segunda Licenciatura em Artes Visuais - Segunda Licenciatura em Artes Visuais - Vitória Rodrigues Montalvao - Desenho e Observação - Nota Máxima: 10")</f>
        <v>#SLAA - Segunda Licenciatura em Artes Visuais - Segunda Licenciatura em Artes Visuais - Vitória Rodrigues Montalvao - Desenho e Observação - Nota Máxima: 10</v>
      </c>
    </row>
    <row r="6450">
      <c r="A6450" s="390" t="str">
        <f>IFERROR(__xludf.DUMMYFUNCTION("""COMPUTED_VALUE"""),"#SLAA - Segunda Licenciatura em Artes Visuais - Segunda Licenciatura em Artes Visuais - Vitória Rodrigues Montalvao - Desenho e Observação - Nota Máxima: 10")</f>
        <v>#SLAA - Segunda Licenciatura em Artes Visuais - Segunda Licenciatura em Artes Visuais - Vitória Rodrigues Montalvao - Desenho e Observação - Nota Máxima: 10</v>
      </c>
    </row>
    <row r="6451">
      <c r="A6451" s="390" t="str">
        <f>IFERROR(__xludf.DUMMYFUNCTION("""COMPUTED_VALUE"""),"#SLAA - Segunda Licenciatura em Artes Visuais - Segunda Licenciatura em Artes Visuais - Vitória Rodrigues Montalvao - Educação Especial, Inclusão Escolar e Adaptações Curriculares - Nota Máxima: 10")</f>
        <v>#SLAA - Segunda Licenciatura em Artes Visuais - Segunda Licenciatura em Artes Visuais - Vitória Rodrigues Montalvao - Educação Especial, Inclusão Escolar e Adaptações Curriculares - Nota Máxima: 10</v>
      </c>
    </row>
    <row r="6452">
      <c r="A6452" s="390" t="str">
        <f>IFERROR(__xludf.DUMMYFUNCTION("""COMPUTED_VALUE"""),"#SLAA - Segunda Licenciatura em Artes Visuais - Segunda Licenciatura em Artes Visuais - Vitória Rodrigues Montalvao - Educação Especial, Inclusão Escolar e Adaptações Curriculares - Nota Máxima: 9")</f>
        <v>#SLAA - Segunda Licenciatura em Artes Visuais - Segunda Licenciatura em Artes Visuais - Vitória Rodrigues Montalvao - Educação Especial, Inclusão Escolar e Adaptações Curriculares - Nota Máxima: 9</v>
      </c>
    </row>
    <row r="6453">
      <c r="A6453" s="390" t="str">
        <f>IFERROR(__xludf.DUMMYFUNCTION("""COMPUTED_VALUE"""),"#SLAA - Segunda Licenciatura em Artes Visuais - Segunda Licenciatura em Artes Visuais - Vitória Rodrigues Montalvao - Educação, História, Cultura e Práticas Indígenas/a - Nota Máxima: 10")</f>
        <v>#SLAA - Segunda Licenciatura em Artes Visuais - Segunda Licenciatura em Artes Visuais - Vitória Rodrigues Montalvao - Educação, História, Cultura e Práticas Indígenas/a - Nota Máxima: 10</v>
      </c>
    </row>
    <row r="6454">
      <c r="A6454" s="390" t="str">
        <f>IFERROR(__xludf.DUMMYFUNCTION("""COMPUTED_VALUE"""),"#SLAA - Segunda Licenciatura em Artes Visuais - Segunda Licenciatura em Artes Visuais - Vitória Rodrigues Montalvao - Educação, História, Cultura e Práticas Indígenas/a - Nota Máxima: 8")</f>
        <v>#SLAA - Segunda Licenciatura em Artes Visuais - Segunda Licenciatura em Artes Visuais - Vitória Rodrigues Montalvao - Educação, História, Cultura e Práticas Indígenas/a - Nota Máxima: 8</v>
      </c>
    </row>
    <row r="6455">
      <c r="A6455" s="390" t="str">
        <f>IFERROR(__xludf.DUMMYFUNCTION("""COMPUTED_VALUE"""),"#SLAA - Segunda Licenciatura em Artes Visuais - Segunda Licenciatura em Artes Visuais - Vitória Rodrigues Montalvao - Expressão Gráfica - Nota Máxima: 10")</f>
        <v>#SLAA - Segunda Licenciatura em Artes Visuais - Segunda Licenciatura em Artes Visuais - Vitória Rodrigues Montalvao - Expressão Gráfica - Nota Máxima: 10</v>
      </c>
    </row>
    <row r="6456">
      <c r="A6456" s="390" t="str">
        <f>IFERROR(__xludf.DUMMYFUNCTION("""COMPUTED_VALUE"""),"#SLAA - Segunda Licenciatura em Artes Visuais - Segunda Licenciatura em Artes Visuais - Vitória Rodrigues Montalvao - Expressão Gráfica - Nota Máxima: 10")</f>
        <v>#SLAA - Segunda Licenciatura em Artes Visuais - Segunda Licenciatura em Artes Visuais - Vitória Rodrigues Montalvao - Expressão Gráfica - Nota Máxima: 10</v>
      </c>
    </row>
    <row r="6457">
      <c r="A6457" s="390" t="str">
        <f>IFERROR(__xludf.DUMMYFUNCTION("""COMPUTED_VALUE"""),"#SLAA - Segunda Licenciatura em Artes Visuais - Segunda Licenciatura em Artes Visuais - Vitória Rodrigues Montalvao - Filosofia das Artes à Estética - Nota Máxima: 8")</f>
        <v>#SLAA - Segunda Licenciatura em Artes Visuais - Segunda Licenciatura em Artes Visuais - Vitória Rodrigues Montalvao - Filosofia das Artes à Estética - Nota Máxima: 8</v>
      </c>
    </row>
    <row r="6458">
      <c r="A6458" s="390" t="str">
        <f>IFERROR(__xludf.DUMMYFUNCTION("""COMPUTED_VALUE"""),"#SLAA - Segunda Licenciatura em Artes Visuais - Segunda Licenciatura em Artes Visuais - Vitória Rodrigues Montalvao - Filosofia das Artes à Estética - Nota Máxima: 3")</f>
        <v>#SLAA - Segunda Licenciatura em Artes Visuais - Segunda Licenciatura em Artes Visuais - Vitória Rodrigues Montalvao - Filosofia das Artes à Estética - Nota Máxima: 3</v>
      </c>
    </row>
    <row r="6459">
      <c r="A6459" s="390" t="str">
        <f>IFERROR(__xludf.DUMMYFUNCTION("""COMPUTED_VALUE"""),"#SLAA - Segunda Licenciatura em Artes Visuais - Segunda Licenciatura em Artes Visuais - Vitória Rodrigues Montalvao - Legislação Educacional/a - Nota Máxima: 9")</f>
        <v>#SLAA - Segunda Licenciatura em Artes Visuais - Segunda Licenciatura em Artes Visuais - Vitória Rodrigues Montalvao - Legislação Educacional/a - Nota Máxima: 9</v>
      </c>
    </row>
    <row r="6460">
      <c r="A6460" s="390" t="str">
        <f>IFERROR(__xludf.DUMMYFUNCTION("""COMPUTED_VALUE"""),"#SLAA - Segunda Licenciatura em Artes Visuais - Segunda Licenciatura em Artes Visuais - Vitória Rodrigues Montalvao - Legislação Educacional/a - Nota Máxima: 9")</f>
        <v>#SLAA - Segunda Licenciatura em Artes Visuais - Segunda Licenciatura em Artes Visuais - Vitória Rodrigues Montalvao - Legislação Educacional/a - Nota Máxima: 9</v>
      </c>
    </row>
    <row r="6461">
      <c r="A6461" s="390" t="str">
        <f>IFERROR(__xludf.DUMMYFUNCTION("""COMPUTED_VALUE"""),"#SLAA - Segunda Licenciatura em Artes Visuais - Segunda Licenciatura em Artes Visuais - Vitória Rodrigues Montalvao - Linguagem das Artes Plásticas - Nota Máxima: 10")</f>
        <v>#SLAA - Segunda Licenciatura em Artes Visuais - Segunda Licenciatura em Artes Visuais - Vitória Rodrigues Montalvao - Linguagem das Artes Plásticas - Nota Máxima: 10</v>
      </c>
    </row>
    <row r="6462">
      <c r="A6462" s="390" t="str">
        <f>IFERROR(__xludf.DUMMYFUNCTION("""COMPUTED_VALUE"""),"#SLAA - Segunda Licenciatura em Artes Visuais - Segunda Licenciatura em Artes Visuais - Vitória Rodrigues Montalvao - Linguagem das Artes Plásticas - Nota Máxima: 6")</f>
        <v>#SLAA - Segunda Licenciatura em Artes Visuais - Segunda Licenciatura em Artes Visuais - Vitória Rodrigues Montalvao - Linguagem das Artes Plásticas - Nota Máxima: 6</v>
      </c>
    </row>
    <row r="6463">
      <c r="A6463" s="390" t="str">
        <f>IFERROR(__xludf.DUMMYFUNCTION("""COMPUTED_VALUE"""),"#SLAA - Segunda Licenciatura em Artes Visuais - Segunda Licenciatura em Artes Visuais - Vitória Rodrigues Montalvao - Planejamento, Gestão Educacional e Currículo/a - Nota Máxima: 10")</f>
        <v>#SLAA - Segunda Licenciatura em Artes Visuais - Segunda Licenciatura em Artes Visuais - Vitória Rodrigues Montalvao - Planejamento, Gestão Educacional e Currículo/a - Nota Máxima: 10</v>
      </c>
    </row>
    <row r="6464">
      <c r="A6464" s="390" t="str">
        <f>IFERROR(__xludf.DUMMYFUNCTION("""COMPUTED_VALUE"""),"#SLAA - Segunda Licenciatura em Artes Visuais - Segunda Licenciatura em Artes Visuais - Vitória Rodrigues Montalvao - Planejamento, Gestão Educacional e Currículo/a - Nota Máxima: 9")</f>
        <v>#SLAA - Segunda Licenciatura em Artes Visuais - Segunda Licenciatura em Artes Visuais - Vitória Rodrigues Montalvao - Planejamento, Gestão Educacional e Currículo/a - Nota Máxima: 9</v>
      </c>
    </row>
    <row r="6465">
      <c r="A6465" s="390" t="str">
        <f>IFERROR(__xludf.DUMMYFUNCTION("""COMPUTED_VALUE"""),"#SLAA - Segunda Licenciatura em Artes Visuais - Segunda Licenciatura em Artes Visuais - Vitória Rodrigues Montalvao - Práticas Pedagógicas - 400 Horas - Nota Máxima: 10")</f>
        <v>#SLAA - Segunda Licenciatura em Artes Visuais - Segunda Licenciatura em Artes Visuais - Vitória Rodrigues Montalvao - Práticas Pedagógicas - 400 Horas - Nota Máxima: 10</v>
      </c>
    </row>
    <row r="6466">
      <c r="A6466" s="390" t="str">
        <f>IFERROR(__xludf.DUMMYFUNCTION("""COMPUTED_VALUE"""),"#SLAA - Segunda Licenciatura em Artes Visuais - Segunda Licenciatura em Artes Visuais - Vitória Rodrigues Montalvao - Práticas Pedagógicas - 400 Horas - Nota Máxima: 4")</f>
        <v>#SLAA - Segunda Licenciatura em Artes Visuais - Segunda Licenciatura em Artes Visuais - Vitória Rodrigues Montalvao - Práticas Pedagógicas - 400 Horas - Nota Máxima: 4</v>
      </c>
    </row>
    <row r="6467">
      <c r="A6467" s="390" t="str">
        <f>IFERROR(__xludf.DUMMYFUNCTION("""COMPUTED_VALUE"""),"#SLAA - Segunda Licenciatura em Artes Visuais - Segunda Licenciatura em Artes Visuais - Vitória Rodrigues Montalvao - Psicologia da Educação/a - Nota Máxima: 10")</f>
        <v>#SLAA - Segunda Licenciatura em Artes Visuais - Segunda Licenciatura em Artes Visuais - Vitória Rodrigues Montalvao - Psicologia da Educação/a - Nota Máxima: 10</v>
      </c>
    </row>
    <row r="6468">
      <c r="A6468" s="390" t="str">
        <f>IFERROR(__xludf.DUMMYFUNCTION("""COMPUTED_VALUE"""),"#SLAA - Segunda Licenciatura em Artes Visuais - Segunda Licenciatura em Artes Visuais - Vitória Rodrigues Montalvao - Psicologia da Educação/a - Nota Máxima: 7")</f>
        <v>#SLAA - Segunda Licenciatura em Artes Visuais - Segunda Licenciatura em Artes Visuais - Vitória Rodrigues Montalvao - Psicologia da Educação/a - Nota Máxima: 7</v>
      </c>
    </row>
    <row r="6469">
      <c r="A6469" s="390" t="str">
        <f>IFERROR(__xludf.DUMMYFUNCTION("""COMPUTED_VALUE"""),"#SLAA - Segunda Licenciatura em Artes Visuais - Segunda Licenciatura em Artes Visuais - Vitória Rodrigues Montalvao - Psicomotricidade e Ludopedagogia - Nota Máxima: 10")</f>
        <v>#SLAA - Segunda Licenciatura em Artes Visuais - Segunda Licenciatura em Artes Visuais - Vitória Rodrigues Montalvao - Psicomotricidade e Ludopedagogia - Nota Máxima: 10</v>
      </c>
    </row>
    <row r="6470">
      <c r="A6470" s="390" t="str">
        <f>IFERROR(__xludf.DUMMYFUNCTION("""COMPUTED_VALUE"""),"#SLAA - Segunda Licenciatura em Artes Visuais - Segunda Licenciatura em Artes Visuais - Vitória Rodrigues Montalvao - Psicomotricidade e Ludopedagogia - Nota Máxima: 8")</f>
        <v>#SLAA - Segunda Licenciatura em Artes Visuais - Segunda Licenciatura em Artes Visuais - Vitória Rodrigues Montalvao - Psicomotricidade e Ludopedagogia - Nota Máxima: 8</v>
      </c>
    </row>
    <row r="6471">
      <c r="A6471" s="390" t="str">
        <f>IFERROR(__xludf.DUMMYFUNCTION("""COMPUTED_VALUE"""),"#SLAA - Segunda Licenciatura em Artes Visuais - Segunda Licenciatura em Artes Visuais - Vitória Rodrigues Montalvao - Tecnologia nas Artes Visuais - Nota Máxima: 10")</f>
        <v>#SLAA - Segunda Licenciatura em Artes Visuais - Segunda Licenciatura em Artes Visuais - Vitória Rodrigues Montalvao - Tecnologia nas Artes Visuais - Nota Máxima: 10</v>
      </c>
    </row>
    <row r="6472">
      <c r="A6472" s="390" t="str">
        <f>IFERROR(__xludf.DUMMYFUNCTION("""COMPUTED_VALUE"""),"#SLAA - Segunda Licenciatura em Artes Visuais - Segunda Licenciatura em Artes Visuais - Vitória Rodrigues Montalvao - Tecnologia nas Artes Visuais - Nota Máxima: 6")</f>
        <v>#SLAA - Segunda Licenciatura em Artes Visuais - Segunda Licenciatura em Artes Visuais - Vitória Rodrigues Montalvao - Tecnologia nas Artes Visuais - Nota Máxima: 6</v>
      </c>
    </row>
    <row r="6473">
      <c r="A6473" s="390" t="str">
        <f>IFERROR(__xludf.DUMMYFUNCTION("""COMPUTED_VALUE"""),"#SLAA - Segunda Licenciatura em Artes Visuais - Segunda Licenciatura em Artes Visuais - Nairiza Dias - Arte Brasileira na Formação da Identidade Nacional - Nota Máxima: 10")</f>
        <v>#SLAA - Segunda Licenciatura em Artes Visuais - Segunda Licenciatura em Artes Visuais - Nairiza Dias - Arte Brasileira na Formação da Identidade Nacional - Nota Máxima: 10</v>
      </c>
    </row>
    <row r="6474">
      <c r="A6474" s="390" t="str">
        <f>IFERROR(__xludf.DUMMYFUNCTION("""COMPUTED_VALUE"""),"#SLAA - Segunda Licenciatura em Artes Visuais - Segunda Licenciatura em Artes Visuais - Nairiza Dias - Arte Brasileira na Formação da Identidade Nacional - Nota Máxima: 10")</f>
        <v>#SLAA - Segunda Licenciatura em Artes Visuais - Segunda Licenciatura em Artes Visuais - Nairiza Dias - Arte Brasileira na Formação da Identidade Nacional - Nota Máxima: 10</v>
      </c>
    </row>
    <row r="6475">
      <c r="A6475" s="390" t="str">
        <f>IFERROR(__xludf.DUMMYFUNCTION("""COMPUTED_VALUE"""),"#SLAA - Segunda Licenciatura em Artes Visuais - Segunda Licenciatura em Artes Visuais - Nairiza Dias - Arte Conceitual, Instalações e Arte Urbana - Nota Máxima: 10")</f>
        <v>#SLAA - Segunda Licenciatura em Artes Visuais - Segunda Licenciatura em Artes Visuais - Nairiza Dias - Arte Conceitual, Instalações e Arte Urbana - Nota Máxima: 10</v>
      </c>
    </row>
    <row r="6476">
      <c r="A6476" s="390" t="str">
        <f>IFERROR(__xludf.DUMMYFUNCTION("""COMPUTED_VALUE"""),"#SLAA - Segunda Licenciatura em Artes Visuais - Segunda Licenciatura em Artes Visuais - Nairiza Dias - Arte Conceitual, Instalações e Arte Urbana - Nota Máxima: 9")</f>
        <v>#SLAA - Segunda Licenciatura em Artes Visuais - Segunda Licenciatura em Artes Visuais - Nairiza Dias - Arte Conceitual, Instalações e Arte Urbana - Nota Máxima: 9</v>
      </c>
    </row>
    <row r="6477">
      <c r="A6477" s="390" t="str">
        <f>IFERROR(__xludf.DUMMYFUNCTION("""COMPUTED_VALUE"""),"#SLAA - Segunda Licenciatura em Artes Visuais - Segunda Licenciatura em Artes Visuais - Nairiza Dias - Arte em Educação - Nota Máxima: 10")</f>
        <v>#SLAA - Segunda Licenciatura em Artes Visuais - Segunda Licenciatura em Artes Visuais - Nairiza Dias - Arte em Educação - Nota Máxima: 10</v>
      </c>
    </row>
    <row r="6478">
      <c r="A6478" s="390" t="str">
        <f>IFERROR(__xludf.DUMMYFUNCTION("""COMPUTED_VALUE"""),"#SLAA - Segunda Licenciatura em Artes Visuais - Segunda Licenciatura em Artes Visuais - Nairiza Dias - Arte em Educação - Nota Máxima: 9")</f>
        <v>#SLAA - Segunda Licenciatura em Artes Visuais - Segunda Licenciatura em Artes Visuais - Nairiza Dias - Arte em Educação - Nota Máxima: 9</v>
      </c>
    </row>
    <row r="6479">
      <c r="A6479" s="390" t="str">
        <f>IFERROR(__xludf.DUMMYFUNCTION("""COMPUTED_VALUE"""),"#SLAA - Segunda Licenciatura em Artes Visuais - Segunda Licenciatura em Artes Visuais - Nairiza Dias - Deficiência Auditiva e Libras/a - Nota Máxima: 9")</f>
        <v>#SLAA - Segunda Licenciatura em Artes Visuais - Segunda Licenciatura em Artes Visuais - Nairiza Dias - Deficiência Auditiva e Libras/a - Nota Máxima: 9</v>
      </c>
    </row>
    <row r="6480">
      <c r="A6480" s="390" t="str">
        <f>IFERROR(__xludf.DUMMYFUNCTION("""COMPUTED_VALUE"""),"#SLAA - Segunda Licenciatura em Artes Visuais - Segunda Licenciatura em Artes Visuais - Nairiza Dias - Deficiência Auditiva e Libras/a - Nota Máxima: 8")</f>
        <v>#SLAA - Segunda Licenciatura em Artes Visuais - Segunda Licenciatura em Artes Visuais - Nairiza Dias - Deficiência Auditiva e Libras/a - Nota Máxima: 8</v>
      </c>
    </row>
    <row r="6481">
      <c r="A6481" s="390" t="str">
        <f>IFERROR(__xludf.DUMMYFUNCTION("""COMPUTED_VALUE"""),"#SLAA - Segunda Licenciatura em Artes Visuais - Segunda Licenciatura em Artes Visuais - Nairiza Dias - Desenho e Observação - Nota Máxima: 10")</f>
        <v>#SLAA - Segunda Licenciatura em Artes Visuais - Segunda Licenciatura em Artes Visuais - Nairiza Dias - Desenho e Observação - Nota Máxima: 10</v>
      </c>
    </row>
    <row r="6482">
      <c r="A6482" s="390" t="str">
        <f>IFERROR(__xludf.DUMMYFUNCTION("""COMPUTED_VALUE"""),"#SLAA - Segunda Licenciatura em Artes Visuais - Segunda Licenciatura em Artes Visuais - Nairiza Dias - Educação Especial, Inclusão Escolar e Adaptações Curriculares - Nota Máxima: 10")</f>
        <v>#SLAA - Segunda Licenciatura em Artes Visuais - Segunda Licenciatura em Artes Visuais - Nairiza Dias - Educação Especial, Inclusão Escolar e Adaptações Curriculares - Nota Máxima: 10</v>
      </c>
    </row>
    <row r="6483">
      <c r="A6483" s="390" t="str">
        <f>IFERROR(__xludf.DUMMYFUNCTION("""COMPUTED_VALUE"""),"#SLAA - Segunda Licenciatura em Artes Visuais - Segunda Licenciatura em Artes Visuais - Nairiza Dias - Educação Especial, Inclusão Escolar e Adaptações Curriculares - Nota Máxima: 9")</f>
        <v>#SLAA - Segunda Licenciatura em Artes Visuais - Segunda Licenciatura em Artes Visuais - Nairiza Dias - Educação Especial, Inclusão Escolar e Adaptações Curriculares - Nota Máxima: 9</v>
      </c>
    </row>
    <row r="6484">
      <c r="A6484" s="390" t="str">
        <f>IFERROR(__xludf.DUMMYFUNCTION("""COMPUTED_VALUE"""),"#SLAA - Segunda Licenciatura em Artes Visuais - Segunda Licenciatura em Artes Visuais - Nairiza Dias - Educação, História, Cultura e Práticas Indígenas/a - Nota Máxima: 10")</f>
        <v>#SLAA - Segunda Licenciatura em Artes Visuais - Segunda Licenciatura em Artes Visuais - Nairiza Dias - Educação, História, Cultura e Práticas Indígenas/a - Nota Máxima: 10</v>
      </c>
    </row>
    <row r="6485">
      <c r="A6485" s="390" t="str">
        <f>IFERROR(__xludf.DUMMYFUNCTION("""COMPUTED_VALUE"""),"#SLAA - Segunda Licenciatura em Artes Visuais - Segunda Licenciatura em Artes Visuais - Nairiza Dias - Educação, História, Cultura e Práticas Indígenas/a - Nota Máxima: 9")</f>
        <v>#SLAA - Segunda Licenciatura em Artes Visuais - Segunda Licenciatura em Artes Visuais - Nairiza Dias - Educação, História, Cultura e Práticas Indígenas/a - Nota Máxima: 9</v>
      </c>
    </row>
    <row r="6486">
      <c r="A6486" s="390" t="str">
        <f>IFERROR(__xludf.DUMMYFUNCTION("""COMPUTED_VALUE"""),"#SLAA - Segunda Licenciatura em Artes Visuais - Segunda Licenciatura em Artes Visuais - Nairiza Dias - Expressão Gráfica - Nota Máxima: 10")</f>
        <v>#SLAA - Segunda Licenciatura em Artes Visuais - Segunda Licenciatura em Artes Visuais - Nairiza Dias - Expressão Gráfica - Nota Máxima: 10</v>
      </c>
    </row>
    <row r="6487">
      <c r="A6487" s="390" t="str">
        <f>IFERROR(__xludf.DUMMYFUNCTION("""COMPUTED_VALUE"""),"#SLAA - Segunda Licenciatura em Artes Visuais - Segunda Licenciatura em Artes Visuais - Nairiza Dias - Filosofia das Artes à Estética - Nota Máxima: 9")</f>
        <v>#SLAA - Segunda Licenciatura em Artes Visuais - Segunda Licenciatura em Artes Visuais - Nairiza Dias - Filosofia das Artes à Estética - Nota Máxima: 9</v>
      </c>
    </row>
    <row r="6488">
      <c r="A6488" s="390" t="str">
        <f>IFERROR(__xludf.DUMMYFUNCTION("""COMPUTED_VALUE"""),"#SLAA - Segunda Licenciatura em Artes Visuais - Segunda Licenciatura em Artes Visuais - Nairiza Dias - Filosofia das Artes à Estética - Nota Máxima: 4")</f>
        <v>#SLAA - Segunda Licenciatura em Artes Visuais - Segunda Licenciatura em Artes Visuais - Nairiza Dias - Filosofia das Artes à Estética - Nota Máxima: 4</v>
      </c>
    </row>
    <row r="6489">
      <c r="A6489" s="390" t="str">
        <f>IFERROR(__xludf.DUMMYFUNCTION("""COMPUTED_VALUE"""),"#SLAA - Segunda Licenciatura em Artes Visuais - Segunda Licenciatura em Artes Visuais - Nairiza Dias - Legislação Educacional/a - Nota Máxima: 10")</f>
        <v>#SLAA - Segunda Licenciatura em Artes Visuais - Segunda Licenciatura em Artes Visuais - Nairiza Dias - Legislação Educacional/a - Nota Máxima: 10</v>
      </c>
    </row>
    <row r="6490">
      <c r="A6490" s="390" t="str">
        <f>IFERROR(__xludf.DUMMYFUNCTION("""COMPUTED_VALUE"""),"#SLAA - Segunda Licenciatura em Artes Visuais - Segunda Licenciatura em Artes Visuais - Nairiza Dias - Legislação Educacional/a - Nota Máxima: 6")</f>
        <v>#SLAA - Segunda Licenciatura em Artes Visuais - Segunda Licenciatura em Artes Visuais - Nairiza Dias - Legislação Educacional/a - Nota Máxima: 6</v>
      </c>
    </row>
    <row r="6491">
      <c r="A6491" s="390" t="str">
        <f>IFERROR(__xludf.DUMMYFUNCTION("""COMPUTED_VALUE"""),"#SLAA - Segunda Licenciatura em Artes Visuais - Segunda Licenciatura em Artes Visuais - Nairiza Dias - Linguagem das Artes Plásticas - Nota Máxima: 10")</f>
        <v>#SLAA - Segunda Licenciatura em Artes Visuais - Segunda Licenciatura em Artes Visuais - Nairiza Dias - Linguagem das Artes Plásticas - Nota Máxima: 10</v>
      </c>
    </row>
    <row r="6492">
      <c r="A6492" s="390" t="str">
        <f>IFERROR(__xludf.DUMMYFUNCTION("""COMPUTED_VALUE"""),"#SLAA - Segunda Licenciatura em Artes Visuais - Segunda Licenciatura em Artes Visuais - Nairiza Dias - Linguagem das Artes Plásticas - Nota Máxima: 6")</f>
        <v>#SLAA - Segunda Licenciatura em Artes Visuais - Segunda Licenciatura em Artes Visuais - Nairiza Dias - Linguagem das Artes Plásticas - Nota Máxima: 6</v>
      </c>
    </row>
    <row r="6493">
      <c r="A6493" s="390" t="str">
        <f>IFERROR(__xludf.DUMMYFUNCTION("""COMPUTED_VALUE"""),"#SLAA - Segunda Licenciatura em Artes Visuais - Segunda Licenciatura em Artes Visuais - Nairiza Dias - Planejamento, Gestão Educacional e Currículo/a - Nota Máxima: 10")</f>
        <v>#SLAA - Segunda Licenciatura em Artes Visuais - Segunda Licenciatura em Artes Visuais - Nairiza Dias - Planejamento, Gestão Educacional e Currículo/a - Nota Máxima: 10</v>
      </c>
    </row>
    <row r="6494">
      <c r="A6494" s="390" t="str">
        <f>IFERROR(__xludf.DUMMYFUNCTION("""COMPUTED_VALUE"""),"#SLAA - Segunda Licenciatura em Artes Visuais - Segunda Licenciatura em Artes Visuais - Nairiza Dias - Planejamento, Gestão Educacional e Currículo/a - Nota Máxima: 10")</f>
        <v>#SLAA - Segunda Licenciatura em Artes Visuais - Segunda Licenciatura em Artes Visuais - Nairiza Dias - Planejamento, Gestão Educacional e Currículo/a - Nota Máxima: 10</v>
      </c>
    </row>
    <row r="6495">
      <c r="A6495" s="390" t="str">
        <f>IFERROR(__xludf.DUMMYFUNCTION("""COMPUTED_VALUE"""),"#SLAA - Segunda Licenciatura em Artes Visuais - Segunda Licenciatura em Artes Visuais - Nairiza Dias - Práticas Pedagógicas - 400 Horas - Nota Máxima: 10")</f>
        <v>#SLAA - Segunda Licenciatura em Artes Visuais - Segunda Licenciatura em Artes Visuais - Nairiza Dias - Práticas Pedagógicas - 400 Horas - Nota Máxima: 10</v>
      </c>
    </row>
    <row r="6496">
      <c r="A6496" s="390" t="str">
        <f>IFERROR(__xludf.DUMMYFUNCTION("""COMPUTED_VALUE"""),"#SLAA - Segunda Licenciatura em Artes Visuais - Segunda Licenciatura em Artes Visuais - Nairiza Dias - Práticas Pedagógicas - 400 Horas - Nota Máxima: 4")</f>
        <v>#SLAA - Segunda Licenciatura em Artes Visuais - Segunda Licenciatura em Artes Visuais - Nairiza Dias - Práticas Pedagógicas - 400 Horas - Nota Máxima: 4</v>
      </c>
    </row>
    <row r="6497">
      <c r="A6497" s="390" t="str">
        <f>IFERROR(__xludf.DUMMYFUNCTION("""COMPUTED_VALUE"""),"#SLAA - Segunda Licenciatura em Artes Visuais - Segunda Licenciatura em Artes Visuais - Nairiza Dias - Psicologia da Educação/a - Nota Máxima: 10")</f>
        <v>#SLAA - Segunda Licenciatura em Artes Visuais - Segunda Licenciatura em Artes Visuais - Nairiza Dias - Psicologia da Educação/a - Nota Máxima: 10</v>
      </c>
    </row>
    <row r="6498">
      <c r="A6498" s="390" t="str">
        <f>IFERROR(__xludf.DUMMYFUNCTION("""COMPUTED_VALUE"""),"#SLAA - Segunda Licenciatura em Artes Visuais - Segunda Licenciatura em Artes Visuais - Nairiza Dias - Psicologia da Educação/a - Nota Máxima: 10")</f>
        <v>#SLAA - Segunda Licenciatura em Artes Visuais - Segunda Licenciatura em Artes Visuais - Nairiza Dias - Psicologia da Educação/a - Nota Máxima: 10</v>
      </c>
    </row>
    <row r="6499">
      <c r="A6499" s="390" t="str">
        <f>IFERROR(__xludf.DUMMYFUNCTION("""COMPUTED_VALUE"""),"#SLAA - Segunda Licenciatura em Artes Visuais - Segunda Licenciatura em Artes Visuais - Nairiza Dias - Psicomotricidade e Ludopedagogia - Nota Máxima: 10")</f>
        <v>#SLAA - Segunda Licenciatura em Artes Visuais - Segunda Licenciatura em Artes Visuais - Nairiza Dias - Psicomotricidade e Ludopedagogia - Nota Máxima: 10</v>
      </c>
    </row>
    <row r="6500">
      <c r="A6500" s="390" t="str">
        <f>IFERROR(__xludf.DUMMYFUNCTION("""COMPUTED_VALUE"""),"#SLAA - Segunda Licenciatura em Artes Visuais - Segunda Licenciatura em Artes Visuais - Nairiza Dias - Psicomotricidade e Ludopedagogia - Nota Máxima: 10")</f>
        <v>#SLAA - Segunda Licenciatura em Artes Visuais - Segunda Licenciatura em Artes Visuais - Nairiza Dias - Psicomotricidade e Ludopedagogia - Nota Máxima: 10</v>
      </c>
    </row>
    <row r="6501">
      <c r="A6501" s="390" t="str">
        <f>IFERROR(__xludf.DUMMYFUNCTION("""COMPUTED_VALUE"""),"#SLAA - Segunda Licenciatura em Artes Visuais - Segunda Licenciatura em Artes Visuais - Nairiza Dias - Tecnologia nas Artes Visuais - Nota Máxima: 10")</f>
        <v>#SLAA - Segunda Licenciatura em Artes Visuais - Segunda Licenciatura em Artes Visuais - Nairiza Dias - Tecnologia nas Artes Visuais - Nota Máxima: 10</v>
      </c>
    </row>
    <row r="6502">
      <c r="A6502" s="390" t="str">
        <f>IFERROR(__xludf.DUMMYFUNCTION("""COMPUTED_VALUE"""),"#SLAA - Segunda Licenciatura em Artes Visuais - Segunda Licenciatura em Artes Visuais - Nairiza Dias - Tecnologia nas Artes Visuais - Nota Máxima: 6")</f>
        <v>#SLAA - Segunda Licenciatura em Artes Visuais - Segunda Licenciatura em Artes Visuais - Nairiza Dias - Tecnologia nas Artes Visuais - Nota Máxima: 6</v>
      </c>
    </row>
    <row r="6503">
      <c r="A6503" s="390" t="str">
        <f>IFERROR(__xludf.DUMMYFUNCTION("""COMPUTED_VALUE"""),"#SLAA - Segunda Licenciatura em Artes Visuais - Segunda Licenciatura em Artes Visuais - José Silva Ribeiro - Arte Brasileira na Formação da Identidade Nacional - Nota Máxima: 10")</f>
        <v>#SLAA - Segunda Licenciatura em Artes Visuais - Segunda Licenciatura em Artes Visuais - José Silva Ribeiro - Arte Brasileira na Formação da Identidade Nacional - Nota Máxima: 10</v>
      </c>
    </row>
    <row r="6504">
      <c r="A6504" s="390" t="str">
        <f>IFERROR(__xludf.DUMMYFUNCTION("""COMPUTED_VALUE"""),"#SLAA - Segunda Licenciatura em Artes Visuais - Segunda Licenciatura em Artes Visuais - José Silva Ribeiro - Arte Brasileira na Formação da Identidade Nacional - Nota Máxima: 5")</f>
        <v>#SLAA - Segunda Licenciatura em Artes Visuais - Segunda Licenciatura em Artes Visuais - José Silva Ribeiro - Arte Brasileira na Formação da Identidade Nacional - Nota Máxima: 5</v>
      </c>
    </row>
    <row r="6505">
      <c r="A6505" s="390" t="str">
        <f>IFERROR(__xludf.DUMMYFUNCTION("""COMPUTED_VALUE"""),"#SLAA - Segunda Licenciatura em Artes Visuais - Segunda Licenciatura em Artes Visuais - José Silva Ribeiro - Arte Conceitual, Instalações e Arte Urbana - Nota Máxima: 10")</f>
        <v>#SLAA - Segunda Licenciatura em Artes Visuais - Segunda Licenciatura em Artes Visuais - José Silva Ribeiro - Arte Conceitual, Instalações e Arte Urbana - Nota Máxima: 10</v>
      </c>
    </row>
    <row r="6506">
      <c r="A6506" s="390" t="str">
        <f>IFERROR(__xludf.DUMMYFUNCTION("""COMPUTED_VALUE"""),"#SLAA - Segunda Licenciatura em Artes Visuais - Segunda Licenciatura em Artes Visuais - José Silva Ribeiro - Arte Conceitual, Instalações e Arte Urbana - Nota Máxima: 3")</f>
        <v>#SLAA - Segunda Licenciatura em Artes Visuais - Segunda Licenciatura em Artes Visuais - José Silva Ribeiro - Arte Conceitual, Instalações e Arte Urbana - Nota Máxima: 3</v>
      </c>
    </row>
    <row r="6507">
      <c r="A6507" s="390" t="str">
        <f>IFERROR(__xludf.DUMMYFUNCTION("""COMPUTED_VALUE"""),"#SLAA - Segunda Licenciatura em Artes Visuais - Segunda Licenciatura em Artes Visuais - José Silva Ribeiro - Arte em Educação - Nota Máxima: 10")</f>
        <v>#SLAA - Segunda Licenciatura em Artes Visuais - Segunda Licenciatura em Artes Visuais - José Silva Ribeiro - Arte em Educação - Nota Máxima: 10</v>
      </c>
    </row>
    <row r="6508">
      <c r="A6508" s="390" t="str">
        <f>IFERROR(__xludf.DUMMYFUNCTION("""COMPUTED_VALUE"""),"#SLAA - Segunda Licenciatura em Artes Visuais - Segunda Licenciatura em Artes Visuais - José Silva Ribeiro - Arte em Educação - Nota Máxima: 9")</f>
        <v>#SLAA - Segunda Licenciatura em Artes Visuais - Segunda Licenciatura em Artes Visuais - José Silva Ribeiro - Arte em Educação - Nota Máxima: 9</v>
      </c>
    </row>
    <row r="6509">
      <c r="A6509" s="390" t="str">
        <f>IFERROR(__xludf.DUMMYFUNCTION("""COMPUTED_VALUE"""),"#SLAA - Segunda Licenciatura em Artes Visuais - Segunda Licenciatura em Artes Visuais - José Silva Ribeiro - Deficiência Auditiva e Libras/a - Nota Máxima: 10")</f>
        <v>#SLAA - Segunda Licenciatura em Artes Visuais - Segunda Licenciatura em Artes Visuais - José Silva Ribeiro - Deficiência Auditiva e Libras/a - Nota Máxima: 10</v>
      </c>
    </row>
    <row r="6510">
      <c r="A6510" s="390" t="str">
        <f>IFERROR(__xludf.DUMMYFUNCTION("""COMPUTED_VALUE"""),"#SLAA - Segunda Licenciatura em Artes Visuais - Segunda Licenciatura em Artes Visuais - José Silva Ribeiro - Deficiência Auditiva e Libras/a - Nota Máxima: 8")</f>
        <v>#SLAA - Segunda Licenciatura em Artes Visuais - Segunda Licenciatura em Artes Visuais - José Silva Ribeiro - Deficiência Auditiva e Libras/a - Nota Máxima: 8</v>
      </c>
    </row>
    <row r="6511">
      <c r="A6511" s="390" t="str">
        <f>IFERROR(__xludf.DUMMYFUNCTION("""COMPUTED_VALUE"""),"#SLAA - Segunda Licenciatura em Artes Visuais - Segunda Licenciatura em Artes Visuais - José Silva Ribeiro - Desenho e Observação - Nota Máxima: 10")</f>
        <v>#SLAA - Segunda Licenciatura em Artes Visuais - Segunda Licenciatura em Artes Visuais - José Silva Ribeiro - Desenho e Observação - Nota Máxima: 10</v>
      </c>
    </row>
    <row r="6512">
      <c r="A6512" s="390" t="str">
        <f>IFERROR(__xludf.DUMMYFUNCTION("""COMPUTED_VALUE"""),"#SLAA - Segunda Licenciatura em Artes Visuais - Segunda Licenciatura em Artes Visuais - José Silva Ribeiro - Desenho e Observação - Nota Máxima: 10")</f>
        <v>#SLAA - Segunda Licenciatura em Artes Visuais - Segunda Licenciatura em Artes Visuais - José Silva Ribeiro - Desenho e Observação - Nota Máxima: 10</v>
      </c>
    </row>
    <row r="6513">
      <c r="A6513" s="390" t="str">
        <f>IFERROR(__xludf.DUMMYFUNCTION("""COMPUTED_VALUE"""),"#SLAA - Segunda Licenciatura em Artes Visuais - Segunda Licenciatura em Artes Visuais - José Silva Ribeiro - Educação Especial, Inclusão Escolar e Adaptações Curriculares - Nota Máxima: 10")</f>
        <v>#SLAA - Segunda Licenciatura em Artes Visuais - Segunda Licenciatura em Artes Visuais - José Silva Ribeiro - Educação Especial, Inclusão Escolar e Adaptações Curriculares - Nota Máxima: 10</v>
      </c>
    </row>
    <row r="6514">
      <c r="A6514" s="390" t="str">
        <f>IFERROR(__xludf.DUMMYFUNCTION("""COMPUTED_VALUE"""),"#SLAA - Segunda Licenciatura em Artes Visuais - Segunda Licenciatura em Artes Visuais - José Silva Ribeiro - Educação Especial, Inclusão Escolar e Adaptações Curriculares - Nota Máxima: 10")</f>
        <v>#SLAA - Segunda Licenciatura em Artes Visuais - Segunda Licenciatura em Artes Visuais - José Silva Ribeiro - Educação Especial, Inclusão Escolar e Adaptações Curriculares - Nota Máxima: 10</v>
      </c>
    </row>
    <row r="6515">
      <c r="A6515" s="390" t="str">
        <f>IFERROR(__xludf.DUMMYFUNCTION("""COMPUTED_VALUE"""),"#SLAA - Segunda Licenciatura em Artes Visuais - Segunda Licenciatura em Artes Visuais - José Silva Ribeiro - Educação, História, Cultura e Práticas Indígenas/a - Nota Máxima: 10")</f>
        <v>#SLAA - Segunda Licenciatura em Artes Visuais - Segunda Licenciatura em Artes Visuais - José Silva Ribeiro - Educação, História, Cultura e Práticas Indígenas/a - Nota Máxima: 10</v>
      </c>
    </row>
    <row r="6516">
      <c r="A6516" s="390" t="str">
        <f>IFERROR(__xludf.DUMMYFUNCTION("""COMPUTED_VALUE"""),"#SLAA - Segunda Licenciatura em Artes Visuais - Segunda Licenciatura em Artes Visuais - José Silva Ribeiro - Educação, História, Cultura e Práticas Indígenas/a - Nota Máxima: 6")</f>
        <v>#SLAA - Segunda Licenciatura em Artes Visuais - Segunda Licenciatura em Artes Visuais - José Silva Ribeiro - Educação, História, Cultura e Práticas Indígenas/a - Nota Máxima: 6</v>
      </c>
    </row>
    <row r="6517">
      <c r="A6517" s="390" t="str">
        <f>IFERROR(__xludf.DUMMYFUNCTION("""COMPUTED_VALUE"""),"#SLAA - Segunda Licenciatura em Artes Visuais - Segunda Licenciatura em Artes Visuais - José Silva Ribeiro - Expressão Gráfica - Nota Máxima: 10")</f>
        <v>#SLAA - Segunda Licenciatura em Artes Visuais - Segunda Licenciatura em Artes Visuais - José Silva Ribeiro - Expressão Gráfica - Nota Máxima: 10</v>
      </c>
    </row>
    <row r="6518">
      <c r="A6518" s="390" t="str">
        <f>IFERROR(__xludf.DUMMYFUNCTION("""COMPUTED_VALUE"""),"#SLAA - Segunda Licenciatura em Artes Visuais - Segunda Licenciatura em Artes Visuais - José Silva Ribeiro - Expressão Gráfica - Nota Máxima: 10")</f>
        <v>#SLAA - Segunda Licenciatura em Artes Visuais - Segunda Licenciatura em Artes Visuais - José Silva Ribeiro - Expressão Gráfica - Nota Máxima: 10</v>
      </c>
    </row>
    <row r="6519">
      <c r="A6519" s="390" t="str">
        <f>IFERROR(__xludf.DUMMYFUNCTION("""COMPUTED_VALUE"""),"#SLAA - Segunda Licenciatura em Artes Visuais - Segunda Licenciatura em Artes Visuais - José Silva Ribeiro - Filosofia das Artes à Estética - Nota Máxima: 10")</f>
        <v>#SLAA - Segunda Licenciatura em Artes Visuais - Segunda Licenciatura em Artes Visuais - José Silva Ribeiro - Filosofia das Artes à Estética - Nota Máxima: 10</v>
      </c>
    </row>
    <row r="6520">
      <c r="A6520" s="390" t="str">
        <f>IFERROR(__xludf.DUMMYFUNCTION("""COMPUTED_VALUE"""),"#SLAA - Segunda Licenciatura em Artes Visuais - Segunda Licenciatura em Artes Visuais - José Silva Ribeiro - Filosofia das Artes à Estética - Nota Máxima: 3")</f>
        <v>#SLAA - Segunda Licenciatura em Artes Visuais - Segunda Licenciatura em Artes Visuais - José Silva Ribeiro - Filosofia das Artes à Estética - Nota Máxima: 3</v>
      </c>
    </row>
    <row r="6521">
      <c r="A6521" s="390" t="str">
        <f>IFERROR(__xludf.DUMMYFUNCTION("""COMPUTED_VALUE"""),"#SLAA - Segunda Licenciatura em Artes Visuais - Segunda Licenciatura em Artes Visuais - José Silva Ribeiro - Legislação Educacional/a - Nota Máxima: 10")</f>
        <v>#SLAA - Segunda Licenciatura em Artes Visuais - Segunda Licenciatura em Artes Visuais - José Silva Ribeiro - Legislação Educacional/a - Nota Máxima: 10</v>
      </c>
    </row>
    <row r="6522">
      <c r="A6522" s="390" t="str">
        <f>IFERROR(__xludf.DUMMYFUNCTION("""COMPUTED_VALUE"""),"#SLAA - Segunda Licenciatura em Artes Visuais - Segunda Licenciatura em Artes Visuais - José Silva Ribeiro - Legislação Educacional/a - Nota Máxima: 7")</f>
        <v>#SLAA - Segunda Licenciatura em Artes Visuais - Segunda Licenciatura em Artes Visuais - José Silva Ribeiro - Legislação Educacional/a - Nota Máxima: 7</v>
      </c>
    </row>
    <row r="6523">
      <c r="A6523" s="390" t="str">
        <f>IFERROR(__xludf.DUMMYFUNCTION("""COMPUTED_VALUE"""),"#SLAA - Segunda Licenciatura em Artes Visuais - Segunda Licenciatura em Artes Visuais - José Silva Ribeiro - Linguagem das Artes Plásticas - Nota Máxima: 10")</f>
        <v>#SLAA - Segunda Licenciatura em Artes Visuais - Segunda Licenciatura em Artes Visuais - José Silva Ribeiro - Linguagem das Artes Plásticas - Nota Máxima: 10</v>
      </c>
    </row>
    <row r="6524">
      <c r="A6524" s="390" t="str">
        <f>IFERROR(__xludf.DUMMYFUNCTION("""COMPUTED_VALUE"""),"#SLAA - Segunda Licenciatura em Artes Visuais - Segunda Licenciatura em Artes Visuais - José Silva Ribeiro - Linguagem das Artes Plásticas - Nota Máxima: 2")</f>
        <v>#SLAA - Segunda Licenciatura em Artes Visuais - Segunda Licenciatura em Artes Visuais - José Silva Ribeiro - Linguagem das Artes Plásticas - Nota Máxima: 2</v>
      </c>
    </row>
    <row r="6525">
      <c r="A6525" s="390" t="str">
        <f>IFERROR(__xludf.DUMMYFUNCTION("""COMPUTED_VALUE"""),"#SLAA - Segunda Licenciatura em Artes Visuais - Segunda Licenciatura em Artes Visuais - José Silva Ribeiro - Planejamento, Gestão Educacional e Currículo/a - Nota Máxima: 10")</f>
        <v>#SLAA - Segunda Licenciatura em Artes Visuais - Segunda Licenciatura em Artes Visuais - José Silva Ribeiro - Planejamento, Gestão Educacional e Currículo/a - Nota Máxima: 10</v>
      </c>
    </row>
    <row r="6526">
      <c r="A6526" s="390" t="str">
        <f>IFERROR(__xludf.DUMMYFUNCTION("""COMPUTED_VALUE"""),"#SLAA - Segunda Licenciatura em Artes Visuais - Segunda Licenciatura em Artes Visuais - José Silva Ribeiro - Planejamento, Gestão Educacional e Currículo/a - Nota Máxima: 10")</f>
        <v>#SLAA - Segunda Licenciatura em Artes Visuais - Segunda Licenciatura em Artes Visuais - José Silva Ribeiro - Planejamento, Gestão Educacional e Currículo/a - Nota Máxima: 10</v>
      </c>
    </row>
    <row r="6527">
      <c r="A6527" s="390" t="str">
        <f>IFERROR(__xludf.DUMMYFUNCTION("""COMPUTED_VALUE"""),"#SLAA - Segunda Licenciatura em Artes Visuais - Segunda Licenciatura em Artes Visuais - José Silva Ribeiro - Práticas Pedagógicas - 400 Horas - Nota Máxima: 10")</f>
        <v>#SLAA - Segunda Licenciatura em Artes Visuais - Segunda Licenciatura em Artes Visuais - José Silva Ribeiro - Práticas Pedagógicas - 400 Horas - Nota Máxima: 10</v>
      </c>
    </row>
    <row r="6528">
      <c r="A6528" s="390" t="str">
        <f>IFERROR(__xludf.DUMMYFUNCTION("""COMPUTED_VALUE"""),"#SLAA - Segunda Licenciatura em Artes Visuais - Segunda Licenciatura em Artes Visuais - José Silva Ribeiro - Práticas Pedagógicas - 400 Horas - Nota Máxima: 45784")</f>
        <v>#SLAA - Segunda Licenciatura em Artes Visuais - Segunda Licenciatura em Artes Visuais - José Silva Ribeiro - Práticas Pedagógicas - 400 Horas - Nota Máxima: 45784</v>
      </c>
    </row>
    <row r="6529">
      <c r="A6529" s="390" t="str">
        <f>IFERROR(__xludf.DUMMYFUNCTION("""COMPUTED_VALUE"""),"#SLAA - Segunda Licenciatura em Artes Visuais - Segunda Licenciatura em Artes Visuais - José Silva Ribeiro - Psicologia da Educação/a - Nota Máxima: 10")</f>
        <v>#SLAA - Segunda Licenciatura em Artes Visuais - Segunda Licenciatura em Artes Visuais - José Silva Ribeiro - Psicologia da Educação/a - Nota Máxima: 10</v>
      </c>
    </row>
    <row r="6530">
      <c r="A6530" s="390" t="str">
        <f>IFERROR(__xludf.DUMMYFUNCTION("""COMPUTED_VALUE"""),"#SLAA - Segunda Licenciatura em Artes Visuais - Segunda Licenciatura em Artes Visuais - José Silva Ribeiro - Psicologia da Educação/a - Nota Máxima: 6")</f>
        <v>#SLAA - Segunda Licenciatura em Artes Visuais - Segunda Licenciatura em Artes Visuais - José Silva Ribeiro - Psicologia da Educação/a - Nota Máxima: 6</v>
      </c>
    </row>
    <row r="6531">
      <c r="A6531" s="390" t="str">
        <f>IFERROR(__xludf.DUMMYFUNCTION("""COMPUTED_VALUE"""),"#SLAA - Segunda Licenciatura em Artes Visuais - Segunda Licenciatura em Artes Visuais - José Silva Ribeiro - Psicomotricidade e Ludopedagogia - Nota Máxima: 9")</f>
        <v>#SLAA - Segunda Licenciatura em Artes Visuais - Segunda Licenciatura em Artes Visuais - José Silva Ribeiro - Psicomotricidade e Ludopedagogia - Nota Máxima: 9</v>
      </c>
    </row>
    <row r="6532">
      <c r="A6532" s="390" t="str">
        <f>IFERROR(__xludf.DUMMYFUNCTION("""COMPUTED_VALUE"""),"#SLAA - Segunda Licenciatura em Artes Visuais - Segunda Licenciatura em Artes Visuais - José Silva Ribeiro - Psicomotricidade e Ludopedagogia - Nota Máxima: 9")</f>
        <v>#SLAA - Segunda Licenciatura em Artes Visuais - Segunda Licenciatura em Artes Visuais - José Silva Ribeiro - Psicomotricidade e Ludopedagogia - Nota Máxima: 9</v>
      </c>
    </row>
    <row r="6533">
      <c r="A6533" s="390" t="str">
        <f>IFERROR(__xludf.DUMMYFUNCTION("""COMPUTED_VALUE"""),"#SLAA - Segunda Licenciatura em Artes Visuais - Segunda Licenciatura em Artes Visuais - José Silva Ribeiro - Tecnologia nas Artes Visuais - Nota Máxima: 10")</f>
        <v>#SLAA - Segunda Licenciatura em Artes Visuais - Segunda Licenciatura em Artes Visuais - José Silva Ribeiro - Tecnologia nas Artes Visuais - Nota Máxima: 10</v>
      </c>
    </row>
    <row r="6534">
      <c r="A6534" s="390" t="str">
        <f>IFERROR(__xludf.DUMMYFUNCTION("""COMPUTED_VALUE"""),"#SLAA - Segunda Licenciatura em Artes Visuais - Segunda Licenciatura em Artes Visuais - José Silva Ribeiro - Tecnologia nas Artes Visuais - Nota Máxima: 6")</f>
        <v>#SLAA - Segunda Licenciatura em Artes Visuais - Segunda Licenciatura em Artes Visuais - José Silva Ribeiro - Tecnologia nas Artes Visuais - Nota Máxima: 6</v>
      </c>
    </row>
    <row r="6535">
      <c r="A6535" s="390" t="str">
        <f>IFERROR(__xludf.DUMMYFUNCTION("""COMPUTED_VALUE"""),"#SLAA - Segunda Licenciatura em Artes Visuais - Segunda Licenciatura em Artes Visuais - Nilton Aparecido da Silva - Arte Brasileira na Formação da Identidade Nacional - Nota Máxima: 10")</f>
        <v>#SLAA - Segunda Licenciatura em Artes Visuais - Segunda Licenciatura em Artes Visuais - Nilton Aparecido da Silva - Arte Brasileira na Formação da Identidade Nacional - Nota Máxima: 10</v>
      </c>
    </row>
    <row r="6536">
      <c r="A6536" s="390" t="str">
        <f>IFERROR(__xludf.DUMMYFUNCTION("""COMPUTED_VALUE"""),"#SLAA - Segunda Licenciatura em Artes Visuais - Segunda Licenciatura em Artes Visuais - Nilton Aparecido da Silva - Arte Brasileira na Formação da Identidade Nacional - Nota Máxima: 7")</f>
        <v>#SLAA - Segunda Licenciatura em Artes Visuais - Segunda Licenciatura em Artes Visuais - Nilton Aparecido da Silva - Arte Brasileira na Formação da Identidade Nacional - Nota Máxima: 7</v>
      </c>
    </row>
    <row r="6537">
      <c r="A6537" s="390" t="str">
        <f>IFERROR(__xludf.DUMMYFUNCTION("""COMPUTED_VALUE"""),"#SLAA - Segunda Licenciatura em Artes Visuais - Segunda Licenciatura em Artes Visuais - Nilton Aparecido da Silva - Arte Conceitual, Instalações e Arte Urbana - Nota Máxima: 10")</f>
        <v>#SLAA - Segunda Licenciatura em Artes Visuais - Segunda Licenciatura em Artes Visuais - Nilton Aparecido da Silva - Arte Conceitual, Instalações e Arte Urbana - Nota Máxima: 10</v>
      </c>
    </row>
    <row r="6538">
      <c r="A6538" s="390" t="str">
        <f>IFERROR(__xludf.DUMMYFUNCTION("""COMPUTED_VALUE"""),"#SLAA - Segunda Licenciatura em Artes Visuais - Segunda Licenciatura em Artes Visuais - Nilton Aparecido da Silva - Arte Conceitual, Instalações e Arte Urbana - Nota Máxima: 7")</f>
        <v>#SLAA - Segunda Licenciatura em Artes Visuais - Segunda Licenciatura em Artes Visuais - Nilton Aparecido da Silva - Arte Conceitual, Instalações e Arte Urbana - Nota Máxima: 7</v>
      </c>
    </row>
    <row r="6539">
      <c r="A6539" s="390" t="str">
        <f>IFERROR(__xludf.DUMMYFUNCTION("""COMPUTED_VALUE"""),"#SLAA - Segunda Licenciatura em Artes Visuais - Segunda Licenciatura em Artes Visuais - Nilton Aparecido da Silva - Arte em Educação - Nota Máxima: 10")</f>
        <v>#SLAA - Segunda Licenciatura em Artes Visuais - Segunda Licenciatura em Artes Visuais - Nilton Aparecido da Silva - Arte em Educação - Nota Máxima: 10</v>
      </c>
    </row>
    <row r="6540">
      <c r="A6540" s="390" t="str">
        <f>IFERROR(__xludf.DUMMYFUNCTION("""COMPUTED_VALUE"""),"#SLAA - Segunda Licenciatura em Artes Visuais - Segunda Licenciatura em Artes Visuais - Nilton Aparecido da Silva - Arte em Educação - Nota Máxima: 8")</f>
        <v>#SLAA - Segunda Licenciatura em Artes Visuais - Segunda Licenciatura em Artes Visuais - Nilton Aparecido da Silva - Arte em Educação - Nota Máxima: 8</v>
      </c>
    </row>
    <row r="6541">
      <c r="A6541" s="390" t="str">
        <f>IFERROR(__xludf.DUMMYFUNCTION("""COMPUTED_VALUE"""),"#SLAA - Segunda Licenciatura em Artes Visuais - Segunda Licenciatura em Artes Visuais - Nilton Aparecido da Silva - Deficiência Auditiva e Libras/a - Nota Máxima: 10")</f>
        <v>#SLAA - Segunda Licenciatura em Artes Visuais - Segunda Licenciatura em Artes Visuais - Nilton Aparecido da Silva - Deficiência Auditiva e Libras/a - Nota Máxima: 10</v>
      </c>
    </row>
    <row r="6542">
      <c r="A6542" s="390" t="str">
        <f>IFERROR(__xludf.DUMMYFUNCTION("""COMPUTED_VALUE"""),"#SLAA - Segunda Licenciatura em Artes Visuais - Segunda Licenciatura em Artes Visuais - Nilton Aparecido da Silva - Deficiência Auditiva e Libras/a - Nota Máxima: 10")</f>
        <v>#SLAA - Segunda Licenciatura em Artes Visuais - Segunda Licenciatura em Artes Visuais - Nilton Aparecido da Silva - Deficiência Auditiva e Libras/a - Nota Máxima: 10</v>
      </c>
    </row>
    <row r="6543">
      <c r="A6543" s="390" t="str">
        <f>IFERROR(__xludf.DUMMYFUNCTION("""COMPUTED_VALUE"""),"#SLAA - Segunda Licenciatura em Artes Visuais - Segunda Licenciatura em Artes Visuais - Nilton Aparecido da Silva - Desenho e Observação - Nota Máxima: 10")</f>
        <v>#SLAA - Segunda Licenciatura em Artes Visuais - Segunda Licenciatura em Artes Visuais - Nilton Aparecido da Silva - Desenho e Observação - Nota Máxima: 10</v>
      </c>
    </row>
    <row r="6544">
      <c r="A6544" s="390" t="str">
        <f>IFERROR(__xludf.DUMMYFUNCTION("""COMPUTED_VALUE"""),"#SLAA - Segunda Licenciatura em Artes Visuais - Segunda Licenciatura em Artes Visuais - Nilton Aparecido da Silva - Educação Especial, Inclusão Escolar e Adaptações Curriculares - Nota Máxima: 10")</f>
        <v>#SLAA - Segunda Licenciatura em Artes Visuais - Segunda Licenciatura em Artes Visuais - Nilton Aparecido da Silva - Educação Especial, Inclusão Escolar e Adaptações Curriculares - Nota Máxima: 10</v>
      </c>
    </row>
    <row r="6545">
      <c r="A6545" s="390" t="str">
        <f>IFERROR(__xludf.DUMMYFUNCTION("""COMPUTED_VALUE"""),"#SLAA - Segunda Licenciatura em Artes Visuais - Segunda Licenciatura em Artes Visuais - Nilton Aparecido da Silva - Educação Especial, Inclusão Escolar e Adaptações Curriculares - Nota Máxima: 9")</f>
        <v>#SLAA - Segunda Licenciatura em Artes Visuais - Segunda Licenciatura em Artes Visuais - Nilton Aparecido da Silva - Educação Especial, Inclusão Escolar e Adaptações Curriculares - Nota Máxima: 9</v>
      </c>
    </row>
    <row r="6546">
      <c r="A6546" s="390" t="str">
        <f>IFERROR(__xludf.DUMMYFUNCTION("""COMPUTED_VALUE"""),"#SLAA - Segunda Licenciatura em Artes Visuais - Segunda Licenciatura em Artes Visuais - Nilton Aparecido da Silva - Educação, História, Cultura e Práticas Indígenas/a - Nota Máxima: 10")</f>
        <v>#SLAA - Segunda Licenciatura em Artes Visuais - Segunda Licenciatura em Artes Visuais - Nilton Aparecido da Silva - Educação, História, Cultura e Práticas Indígenas/a - Nota Máxima: 10</v>
      </c>
    </row>
    <row r="6547">
      <c r="A6547" s="390" t="str">
        <f>IFERROR(__xludf.DUMMYFUNCTION("""COMPUTED_VALUE"""),"#SLAA - Segunda Licenciatura em Artes Visuais - Segunda Licenciatura em Artes Visuais - Nilton Aparecido da Silva - Educação, História, Cultura e Práticas Indígenas/a - Nota Máxima: 8")</f>
        <v>#SLAA - Segunda Licenciatura em Artes Visuais - Segunda Licenciatura em Artes Visuais - Nilton Aparecido da Silva - Educação, História, Cultura e Práticas Indígenas/a - Nota Máxima: 8</v>
      </c>
    </row>
    <row r="6548">
      <c r="A6548" s="390" t="str">
        <f>IFERROR(__xludf.DUMMYFUNCTION("""COMPUTED_VALUE"""),"#SLAA - Segunda Licenciatura em Artes Visuais - Segunda Licenciatura em Artes Visuais - Nilton Aparecido da Silva - Expressão Gráfica - Nota Máxima: 10")</f>
        <v>#SLAA - Segunda Licenciatura em Artes Visuais - Segunda Licenciatura em Artes Visuais - Nilton Aparecido da Silva - Expressão Gráfica - Nota Máxima: 10</v>
      </c>
    </row>
    <row r="6549">
      <c r="A6549" s="390" t="str">
        <f>IFERROR(__xludf.DUMMYFUNCTION("""COMPUTED_VALUE"""),"#SLAA - Segunda Licenciatura em Artes Visuais - Segunda Licenciatura em Artes Visuais - Nilton Aparecido da Silva - Filosofia das Artes à Estética - Nota Máxima: 10")</f>
        <v>#SLAA - Segunda Licenciatura em Artes Visuais - Segunda Licenciatura em Artes Visuais - Nilton Aparecido da Silva - Filosofia das Artes à Estética - Nota Máxima: 10</v>
      </c>
    </row>
    <row r="6550">
      <c r="A6550" s="390" t="str">
        <f>IFERROR(__xludf.DUMMYFUNCTION("""COMPUTED_VALUE"""),"#SLAA - Segunda Licenciatura em Artes Visuais - Segunda Licenciatura em Artes Visuais - Nilton Aparecido da Silva - Filosofia das Artes à Estética - Nota Máxima: 4")</f>
        <v>#SLAA - Segunda Licenciatura em Artes Visuais - Segunda Licenciatura em Artes Visuais - Nilton Aparecido da Silva - Filosofia das Artes à Estética - Nota Máxima: 4</v>
      </c>
    </row>
    <row r="6551">
      <c r="A6551" s="390" t="str">
        <f>IFERROR(__xludf.DUMMYFUNCTION("""COMPUTED_VALUE"""),"#SLAA - Segunda Licenciatura em Artes Visuais - Segunda Licenciatura em Artes Visuais - Nilton Aparecido da Silva - Legislação Educacional/a - Nota Máxima: 10")</f>
        <v>#SLAA - Segunda Licenciatura em Artes Visuais - Segunda Licenciatura em Artes Visuais - Nilton Aparecido da Silva - Legislação Educacional/a - Nota Máxima: 10</v>
      </c>
    </row>
    <row r="6552">
      <c r="A6552" s="390" t="str">
        <f>IFERROR(__xludf.DUMMYFUNCTION("""COMPUTED_VALUE"""),"#SLAA - Segunda Licenciatura em Artes Visuais - Segunda Licenciatura em Artes Visuais - Nilton Aparecido da Silva - Legislação Educacional/a - Nota Máxima: 9")</f>
        <v>#SLAA - Segunda Licenciatura em Artes Visuais - Segunda Licenciatura em Artes Visuais - Nilton Aparecido da Silva - Legislação Educacional/a - Nota Máxima: 9</v>
      </c>
    </row>
    <row r="6553">
      <c r="A6553" s="390" t="str">
        <f>IFERROR(__xludf.DUMMYFUNCTION("""COMPUTED_VALUE"""),"#SLAA - Segunda Licenciatura em Artes Visuais - Segunda Licenciatura em Artes Visuais - Nilton Aparecido da Silva - Linguagem das Artes Plásticas - Nota Máxima: 10")</f>
        <v>#SLAA - Segunda Licenciatura em Artes Visuais - Segunda Licenciatura em Artes Visuais - Nilton Aparecido da Silva - Linguagem das Artes Plásticas - Nota Máxima: 10</v>
      </c>
    </row>
    <row r="6554">
      <c r="A6554" s="390" t="str">
        <f>IFERROR(__xludf.DUMMYFUNCTION("""COMPUTED_VALUE"""),"#SLAA - Segunda Licenciatura em Artes Visuais - Segunda Licenciatura em Artes Visuais - Nilton Aparecido da Silva - Linguagem das Artes Plásticas - Nota Máxima: 6")</f>
        <v>#SLAA - Segunda Licenciatura em Artes Visuais - Segunda Licenciatura em Artes Visuais - Nilton Aparecido da Silva - Linguagem das Artes Plásticas - Nota Máxima: 6</v>
      </c>
    </row>
    <row r="6555">
      <c r="A6555" s="390" t="str">
        <f>IFERROR(__xludf.DUMMYFUNCTION("""COMPUTED_VALUE"""),"#SLAA - Segunda Licenciatura em Artes Visuais - Segunda Licenciatura em Artes Visuais - Nilton Aparecido da Silva - Planejamento, Gestão Educacional e Currículo/a - Nota Máxima: 10")</f>
        <v>#SLAA - Segunda Licenciatura em Artes Visuais - Segunda Licenciatura em Artes Visuais - Nilton Aparecido da Silva - Planejamento, Gestão Educacional e Currículo/a - Nota Máxima: 10</v>
      </c>
    </row>
    <row r="6556">
      <c r="A6556" s="390" t="str">
        <f>IFERROR(__xludf.DUMMYFUNCTION("""COMPUTED_VALUE"""),"#SLAA - Segunda Licenciatura em Artes Visuais - Segunda Licenciatura em Artes Visuais - Nilton Aparecido da Silva - Planejamento, Gestão Educacional e Currículo/a - Nota Máxima: 10")</f>
        <v>#SLAA - Segunda Licenciatura em Artes Visuais - Segunda Licenciatura em Artes Visuais - Nilton Aparecido da Silva - Planejamento, Gestão Educacional e Currículo/a - Nota Máxima: 10</v>
      </c>
    </row>
    <row r="6557">
      <c r="A6557" s="390" t="str">
        <f>IFERROR(__xludf.DUMMYFUNCTION("""COMPUTED_VALUE"""),"#SLAA - Segunda Licenciatura em Artes Visuais - Segunda Licenciatura em Artes Visuais - Nilton Aparecido da Silva - Práticas Pedagógicas - 400 Horas - Nota Máxima: 10")</f>
        <v>#SLAA - Segunda Licenciatura em Artes Visuais - Segunda Licenciatura em Artes Visuais - Nilton Aparecido da Silva - Práticas Pedagógicas - 400 Horas - Nota Máxima: 10</v>
      </c>
    </row>
    <row r="6558">
      <c r="A6558" s="390" t="str">
        <f>IFERROR(__xludf.DUMMYFUNCTION("""COMPUTED_VALUE"""),"#SLAA - Segunda Licenciatura em Artes Visuais - Segunda Licenciatura em Artes Visuais - Nilton Aparecido da Silva - Práticas Pedagógicas - 400 Horas - Nota Máxima: 4")</f>
        <v>#SLAA - Segunda Licenciatura em Artes Visuais - Segunda Licenciatura em Artes Visuais - Nilton Aparecido da Silva - Práticas Pedagógicas - 400 Horas - Nota Máxima: 4</v>
      </c>
    </row>
    <row r="6559">
      <c r="A6559" s="390" t="str">
        <f>IFERROR(__xludf.DUMMYFUNCTION("""COMPUTED_VALUE"""),"#SLAA - Segunda Licenciatura em Artes Visuais - Segunda Licenciatura em Artes Visuais - Nilton Aparecido da Silva - Psicologia da Educação/a - Nota Máxima: 10")</f>
        <v>#SLAA - Segunda Licenciatura em Artes Visuais - Segunda Licenciatura em Artes Visuais - Nilton Aparecido da Silva - Psicologia da Educação/a - Nota Máxima: 10</v>
      </c>
    </row>
    <row r="6560">
      <c r="A6560" s="390" t="str">
        <f>IFERROR(__xludf.DUMMYFUNCTION("""COMPUTED_VALUE"""),"#SLAA - Segunda Licenciatura em Artes Visuais - Segunda Licenciatura em Artes Visuais - Nilton Aparecido da Silva - Psicologia da Educação/a - Nota Máxima: 8")</f>
        <v>#SLAA - Segunda Licenciatura em Artes Visuais - Segunda Licenciatura em Artes Visuais - Nilton Aparecido da Silva - Psicologia da Educação/a - Nota Máxima: 8</v>
      </c>
    </row>
    <row r="6561">
      <c r="A6561" s="390" t="str">
        <f>IFERROR(__xludf.DUMMYFUNCTION("""COMPUTED_VALUE"""),"#SLAA - Segunda Licenciatura em Artes Visuais - Segunda Licenciatura em Artes Visuais - Nilton Aparecido da Silva - Psicomotricidade e Ludopedagogia - Nota Máxima: 10")</f>
        <v>#SLAA - Segunda Licenciatura em Artes Visuais - Segunda Licenciatura em Artes Visuais - Nilton Aparecido da Silva - Psicomotricidade e Ludopedagogia - Nota Máxima: 10</v>
      </c>
    </row>
    <row r="6562">
      <c r="A6562" s="390" t="str">
        <f>IFERROR(__xludf.DUMMYFUNCTION("""COMPUTED_VALUE"""),"#SLAA - Segunda Licenciatura em Artes Visuais - Segunda Licenciatura em Artes Visuais - Nilton Aparecido da Silva - Psicomotricidade e Ludopedagogia - Nota Máxima: 6")</f>
        <v>#SLAA - Segunda Licenciatura em Artes Visuais - Segunda Licenciatura em Artes Visuais - Nilton Aparecido da Silva - Psicomotricidade e Ludopedagogia - Nota Máxima: 6</v>
      </c>
    </row>
    <row r="6563">
      <c r="A6563" s="390" t="str">
        <f>IFERROR(__xludf.DUMMYFUNCTION("""COMPUTED_VALUE"""),"#SLAA - Segunda Licenciatura em Artes Visuais - Segunda Licenciatura em Artes Visuais - Nilton Aparecido da Silva - Tecnologia nas Artes Visuais - Nota Máxima: 10")</f>
        <v>#SLAA - Segunda Licenciatura em Artes Visuais - Segunda Licenciatura em Artes Visuais - Nilton Aparecido da Silva - Tecnologia nas Artes Visuais - Nota Máxima: 10</v>
      </c>
    </row>
    <row r="6564">
      <c r="A6564" s="390" t="str">
        <f>IFERROR(__xludf.DUMMYFUNCTION("""COMPUTED_VALUE"""),"#SLAA - Segunda Licenciatura em Artes Visuais - Segunda Licenciatura em Artes Visuais - Nilton Aparecido da Silva - Tecnologia nas Artes Visuais - Nota Máxima: 7")</f>
        <v>#SLAA - Segunda Licenciatura em Artes Visuais - Segunda Licenciatura em Artes Visuais - Nilton Aparecido da Silva - Tecnologia nas Artes Visuais - Nota Máxima: 7</v>
      </c>
    </row>
    <row r="6565">
      <c r="A6565" s="390" t="str">
        <f>IFERROR(__xludf.DUMMYFUNCTION("""COMPUTED_VALUE"""),"#SLAA - Segunda Licenciatura em Artes Visuais - Segunda Licenciatura em Artes Visuais - Emanuelle Reis de Melo - Arte Brasileira na Formação da Identidade Nacional - Nota Máxima: 10")</f>
        <v>#SLAA - Segunda Licenciatura em Artes Visuais - Segunda Licenciatura em Artes Visuais - Emanuelle Reis de Melo - Arte Brasileira na Formação da Identidade Nacional - Nota Máxima: 10</v>
      </c>
    </row>
    <row r="6566">
      <c r="A6566" s="390" t="str">
        <f>IFERROR(__xludf.DUMMYFUNCTION("""COMPUTED_VALUE"""),"#SLAA - Segunda Licenciatura em Artes Visuais - Segunda Licenciatura em Artes Visuais - Emanuelle Reis de Melo - Arte Brasileira na Formação da Identidade Nacional - Nota Máxima: 2")</f>
        <v>#SLAA - Segunda Licenciatura em Artes Visuais - Segunda Licenciatura em Artes Visuais - Emanuelle Reis de Melo - Arte Brasileira na Formação da Identidade Nacional - Nota Máxima: 2</v>
      </c>
    </row>
    <row r="6567">
      <c r="A6567" s="390" t="str">
        <f>IFERROR(__xludf.DUMMYFUNCTION("""COMPUTED_VALUE"""),"#SLAA - Segunda Licenciatura em Artes Visuais - Segunda Licenciatura em Artes Visuais - Emanuelle Reis de Melo - Arte Conceitual, Instalações e Arte Urbana - Nota Máxima: 10")</f>
        <v>#SLAA - Segunda Licenciatura em Artes Visuais - Segunda Licenciatura em Artes Visuais - Emanuelle Reis de Melo - Arte Conceitual, Instalações e Arte Urbana - Nota Máxima: 10</v>
      </c>
    </row>
    <row r="6568">
      <c r="A6568" s="390" t="str">
        <f>IFERROR(__xludf.DUMMYFUNCTION("""COMPUTED_VALUE"""),"#SLAA - Segunda Licenciatura em Artes Visuais - Segunda Licenciatura em Artes Visuais - Emanuelle Reis de Melo - Arte Conceitual, Instalações e Arte Urbana - Nota Máxima: 5")</f>
        <v>#SLAA - Segunda Licenciatura em Artes Visuais - Segunda Licenciatura em Artes Visuais - Emanuelle Reis de Melo - Arte Conceitual, Instalações e Arte Urbana - Nota Máxima: 5</v>
      </c>
    </row>
    <row r="6569">
      <c r="A6569" s="390" t="str">
        <f>IFERROR(__xludf.DUMMYFUNCTION("""COMPUTED_VALUE"""),"#SLAA - Segunda Licenciatura em Artes Visuais - Segunda Licenciatura em Artes Visuais - Emanuelle Reis de Melo - Arte em Educação - Nota Máxima: 9")</f>
        <v>#SLAA - Segunda Licenciatura em Artes Visuais - Segunda Licenciatura em Artes Visuais - Emanuelle Reis de Melo - Arte em Educação - Nota Máxima: 9</v>
      </c>
    </row>
    <row r="6570">
      <c r="A6570" s="390" t="str">
        <f>IFERROR(__xludf.DUMMYFUNCTION("""COMPUTED_VALUE"""),"#SLAA - Segunda Licenciatura em Artes Visuais - Segunda Licenciatura em Artes Visuais - Emanuelle Reis de Melo - Arte em Educação - Nota Máxima: 7")</f>
        <v>#SLAA - Segunda Licenciatura em Artes Visuais - Segunda Licenciatura em Artes Visuais - Emanuelle Reis de Melo - Arte em Educação - Nota Máxima: 7</v>
      </c>
    </row>
    <row r="6571">
      <c r="A6571" s="390" t="str">
        <f>IFERROR(__xludf.DUMMYFUNCTION("""COMPUTED_VALUE"""),"#SLAA - Segunda Licenciatura em Artes Visuais - Segunda Licenciatura em Artes Visuais - Emanuelle Reis de Melo - Deficiência Auditiva e Libras/a - Nota Máxima: 10")</f>
        <v>#SLAA - Segunda Licenciatura em Artes Visuais - Segunda Licenciatura em Artes Visuais - Emanuelle Reis de Melo - Deficiência Auditiva e Libras/a - Nota Máxima: 10</v>
      </c>
    </row>
    <row r="6572">
      <c r="A6572" s="390" t="str">
        <f>IFERROR(__xludf.DUMMYFUNCTION("""COMPUTED_VALUE"""),"#SLAA - Segunda Licenciatura em Artes Visuais - Segunda Licenciatura em Artes Visuais - Emanuelle Reis de Melo - Deficiência Auditiva e Libras/a - Nota Máxima: 8")</f>
        <v>#SLAA - Segunda Licenciatura em Artes Visuais - Segunda Licenciatura em Artes Visuais - Emanuelle Reis de Melo - Deficiência Auditiva e Libras/a - Nota Máxima: 8</v>
      </c>
    </row>
    <row r="6573">
      <c r="A6573" s="390" t="str">
        <f>IFERROR(__xludf.DUMMYFUNCTION("""COMPUTED_VALUE"""),"#SLAA - Segunda Licenciatura em Artes Visuais - Segunda Licenciatura em Artes Visuais - Emanuelle Reis de Melo - Desenho e Observação - Nota Máxima: 10")</f>
        <v>#SLAA - Segunda Licenciatura em Artes Visuais - Segunda Licenciatura em Artes Visuais - Emanuelle Reis de Melo - Desenho e Observação - Nota Máxima: 10</v>
      </c>
    </row>
    <row r="6574">
      <c r="A6574" s="390" t="str">
        <f>IFERROR(__xludf.DUMMYFUNCTION("""COMPUTED_VALUE"""),"#SLAA - Segunda Licenciatura em Artes Visuais - Segunda Licenciatura em Artes Visuais - Emanuelle Reis de Melo - Desenho e Observação - Nota Máxima: 1")</f>
        <v>#SLAA - Segunda Licenciatura em Artes Visuais - Segunda Licenciatura em Artes Visuais - Emanuelle Reis de Melo - Desenho e Observação - Nota Máxima: 1</v>
      </c>
    </row>
    <row r="6575">
      <c r="A6575" s="390" t="str">
        <f>IFERROR(__xludf.DUMMYFUNCTION("""COMPUTED_VALUE"""),"#SLAA - Segunda Licenciatura em Artes Visuais - Segunda Licenciatura em Artes Visuais - Emanuelle Reis de Melo - Educação Especial, Inclusão Escolar e Adaptações Curriculares - Nota Máxima: 10")</f>
        <v>#SLAA - Segunda Licenciatura em Artes Visuais - Segunda Licenciatura em Artes Visuais - Emanuelle Reis de Melo - Educação Especial, Inclusão Escolar e Adaptações Curriculares - Nota Máxima: 10</v>
      </c>
    </row>
    <row r="6576">
      <c r="A6576" s="390" t="str">
        <f>IFERROR(__xludf.DUMMYFUNCTION("""COMPUTED_VALUE"""),"#SLAA - Segunda Licenciatura em Artes Visuais - Segunda Licenciatura em Artes Visuais - Emanuelle Reis de Melo - Educação Especial, Inclusão Escolar e Adaptações Curriculares - Nota Máxima: 7")</f>
        <v>#SLAA - Segunda Licenciatura em Artes Visuais - Segunda Licenciatura em Artes Visuais - Emanuelle Reis de Melo - Educação Especial, Inclusão Escolar e Adaptações Curriculares - Nota Máxima: 7</v>
      </c>
    </row>
    <row r="6577">
      <c r="A6577" s="390" t="str">
        <f>IFERROR(__xludf.DUMMYFUNCTION("""COMPUTED_VALUE"""),"#SLAA - Segunda Licenciatura em Artes Visuais - Segunda Licenciatura em Artes Visuais - Emanuelle Reis de Melo - Educação, História, Cultura e Práticas Indígenas/a - Nota Máxima: 10")</f>
        <v>#SLAA - Segunda Licenciatura em Artes Visuais - Segunda Licenciatura em Artes Visuais - Emanuelle Reis de Melo - Educação, História, Cultura e Práticas Indígenas/a - Nota Máxima: 10</v>
      </c>
    </row>
    <row r="6578">
      <c r="A6578" s="390" t="str">
        <f>IFERROR(__xludf.DUMMYFUNCTION("""COMPUTED_VALUE"""),"#SLAA - Segunda Licenciatura em Artes Visuais - Segunda Licenciatura em Artes Visuais - Emanuelle Reis de Melo - Educação, História, Cultura e Práticas Indígenas/a - Nota Máxima: 7")</f>
        <v>#SLAA - Segunda Licenciatura em Artes Visuais - Segunda Licenciatura em Artes Visuais - Emanuelle Reis de Melo - Educação, História, Cultura e Práticas Indígenas/a - Nota Máxima: 7</v>
      </c>
    </row>
    <row r="6579">
      <c r="A6579" s="390" t="str">
        <f>IFERROR(__xludf.DUMMYFUNCTION("""COMPUTED_VALUE"""),"#SLAA - Segunda Licenciatura em Artes Visuais - Segunda Licenciatura em Artes Visuais - Emanuelle Reis de Melo - Expressão Gráfica - Nota Máxima: 10")</f>
        <v>#SLAA - Segunda Licenciatura em Artes Visuais - Segunda Licenciatura em Artes Visuais - Emanuelle Reis de Melo - Expressão Gráfica - Nota Máxima: 10</v>
      </c>
    </row>
    <row r="6580">
      <c r="A6580" s="390" t="str">
        <f>IFERROR(__xludf.DUMMYFUNCTION("""COMPUTED_VALUE"""),"#SLAA - Segunda Licenciatura em Artes Visuais - Segunda Licenciatura em Artes Visuais - Emanuelle Reis de Melo - Expressão Gráfica - Nota Máxima: 2")</f>
        <v>#SLAA - Segunda Licenciatura em Artes Visuais - Segunda Licenciatura em Artes Visuais - Emanuelle Reis de Melo - Expressão Gráfica - Nota Máxima: 2</v>
      </c>
    </row>
    <row r="6581">
      <c r="A6581" s="390" t="str">
        <f>IFERROR(__xludf.DUMMYFUNCTION("""COMPUTED_VALUE"""),"#SLAA - Segunda Licenciatura em Artes Visuais - Segunda Licenciatura em Artes Visuais - Emanuelle Reis de Melo - Filosofia das Artes à Estética - Nota Máxima: 10")</f>
        <v>#SLAA - Segunda Licenciatura em Artes Visuais - Segunda Licenciatura em Artes Visuais - Emanuelle Reis de Melo - Filosofia das Artes à Estética - Nota Máxima: 10</v>
      </c>
    </row>
    <row r="6582">
      <c r="A6582" s="390" t="str">
        <f>IFERROR(__xludf.DUMMYFUNCTION("""COMPUTED_VALUE"""),"#SLAA - Segunda Licenciatura em Artes Visuais - Segunda Licenciatura em Artes Visuais - Emanuelle Reis de Melo - Filosofia das Artes à Estética - Nota Máxima: 4")</f>
        <v>#SLAA - Segunda Licenciatura em Artes Visuais - Segunda Licenciatura em Artes Visuais - Emanuelle Reis de Melo - Filosofia das Artes à Estética - Nota Máxima: 4</v>
      </c>
    </row>
    <row r="6583">
      <c r="A6583" s="390" t="str">
        <f>IFERROR(__xludf.DUMMYFUNCTION("""COMPUTED_VALUE"""),"#SLAA - Segunda Licenciatura em Artes Visuais - Segunda Licenciatura em Artes Visuais - Emanuelle Reis de Melo - Legislação Educacional/a - Nota Máxima: 10")</f>
        <v>#SLAA - Segunda Licenciatura em Artes Visuais - Segunda Licenciatura em Artes Visuais - Emanuelle Reis de Melo - Legislação Educacional/a - Nota Máxima: 10</v>
      </c>
    </row>
    <row r="6584">
      <c r="A6584" s="390" t="str">
        <f>IFERROR(__xludf.DUMMYFUNCTION("""COMPUTED_VALUE"""),"#SLAA - Segunda Licenciatura em Artes Visuais - Segunda Licenciatura em Artes Visuais - Emanuelle Reis de Melo - Legislação Educacional/a - Nota Máxima: 8")</f>
        <v>#SLAA - Segunda Licenciatura em Artes Visuais - Segunda Licenciatura em Artes Visuais - Emanuelle Reis de Melo - Legislação Educacional/a - Nota Máxima: 8</v>
      </c>
    </row>
    <row r="6585">
      <c r="A6585" s="390" t="str">
        <f>IFERROR(__xludf.DUMMYFUNCTION("""COMPUTED_VALUE"""),"#SLAA - Segunda Licenciatura em Artes Visuais - Segunda Licenciatura em Artes Visuais - Emanuelle Reis de Melo - Linguagem das Artes Plásticas - Nota Máxima: 10")</f>
        <v>#SLAA - Segunda Licenciatura em Artes Visuais - Segunda Licenciatura em Artes Visuais - Emanuelle Reis de Melo - Linguagem das Artes Plásticas - Nota Máxima: 10</v>
      </c>
    </row>
    <row r="6586">
      <c r="A6586" s="390" t="str">
        <f>IFERROR(__xludf.DUMMYFUNCTION("""COMPUTED_VALUE"""),"#SLAA - Segunda Licenciatura em Artes Visuais - Segunda Licenciatura em Artes Visuais - Emanuelle Reis de Melo - Linguagem das Artes Plásticas - Nota Máxima: 5")</f>
        <v>#SLAA - Segunda Licenciatura em Artes Visuais - Segunda Licenciatura em Artes Visuais - Emanuelle Reis de Melo - Linguagem das Artes Plásticas - Nota Máxima: 5</v>
      </c>
    </row>
    <row r="6587">
      <c r="A6587" s="390" t="str">
        <f>IFERROR(__xludf.DUMMYFUNCTION("""COMPUTED_VALUE"""),"#SLAA - Segunda Licenciatura em Artes Visuais - Segunda Licenciatura em Artes Visuais - Emanuelle Reis de Melo - Planejamento, Gestão Educacional e Currículo/a - Nota Máxima: 10")</f>
        <v>#SLAA - Segunda Licenciatura em Artes Visuais - Segunda Licenciatura em Artes Visuais - Emanuelle Reis de Melo - Planejamento, Gestão Educacional e Currículo/a - Nota Máxima: 10</v>
      </c>
    </row>
    <row r="6588">
      <c r="A6588" s="390" t="str">
        <f>IFERROR(__xludf.DUMMYFUNCTION("""COMPUTED_VALUE"""),"#SLAA - Segunda Licenciatura em Artes Visuais - Segunda Licenciatura em Artes Visuais - Emanuelle Reis de Melo - Planejamento, Gestão Educacional e Currículo/a - Nota Máxima: 9")</f>
        <v>#SLAA - Segunda Licenciatura em Artes Visuais - Segunda Licenciatura em Artes Visuais - Emanuelle Reis de Melo - Planejamento, Gestão Educacional e Currículo/a - Nota Máxima: 9</v>
      </c>
    </row>
    <row r="6589">
      <c r="A6589" s="390" t="str">
        <f>IFERROR(__xludf.DUMMYFUNCTION("""COMPUTED_VALUE"""),"#SLAA - Segunda Licenciatura em Artes Visuais - Segunda Licenciatura em Artes Visuais - Emanuelle Reis de Melo - Práticas Pedagógicas - 400 Horas - Nota Máxima: 10")</f>
        <v>#SLAA - Segunda Licenciatura em Artes Visuais - Segunda Licenciatura em Artes Visuais - Emanuelle Reis de Melo - Práticas Pedagógicas - 400 Horas - Nota Máxima: 10</v>
      </c>
    </row>
    <row r="6590">
      <c r="A6590" s="390" t="str">
        <f>IFERROR(__xludf.DUMMYFUNCTION("""COMPUTED_VALUE"""),"#SLAA - Segunda Licenciatura em Artes Visuais - Segunda Licenciatura em Artes Visuais - Emanuelle Reis de Melo - Práticas Pedagógicas - 400 Horas - Nota Máxima: 45784")</f>
        <v>#SLAA - Segunda Licenciatura em Artes Visuais - Segunda Licenciatura em Artes Visuais - Emanuelle Reis de Melo - Práticas Pedagógicas - 400 Horas - Nota Máxima: 45784</v>
      </c>
    </row>
    <row r="6591">
      <c r="A6591" s="390" t="str">
        <f>IFERROR(__xludf.DUMMYFUNCTION("""COMPUTED_VALUE"""),"#SLAA - Segunda Licenciatura em Artes Visuais - Segunda Licenciatura em Artes Visuais - Emanuelle Reis de Melo - Psicologia da Educação/a - Nota Máxima: 10")</f>
        <v>#SLAA - Segunda Licenciatura em Artes Visuais - Segunda Licenciatura em Artes Visuais - Emanuelle Reis de Melo - Psicologia da Educação/a - Nota Máxima: 10</v>
      </c>
    </row>
    <row r="6592">
      <c r="A6592" s="390" t="str">
        <f>IFERROR(__xludf.DUMMYFUNCTION("""COMPUTED_VALUE"""),"#SLAA - Segunda Licenciatura em Artes Visuais - Segunda Licenciatura em Artes Visuais - Emanuelle Reis de Melo - Psicologia da Educação/a - Nota Máxima: 5")</f>
        <v>#SLAA - Segunda Licenciatura em Artes Visuais - Segunda Licenciatura em Artes Visuais - Emanuelle Reis de Melo - Psicologia da Educação/a - Nota Máxima: 5</v>
      </c>
    </row>
    <row r="6593">
      <c r="A6593" s="390" t="str">
        <f>IFERROR(__xludf.DUMMYFUNCTION("""COMPUTED_VALUE"""),"#SLAA - Segunda Licenciatura em Artes Visuais - Segunda Licenciatura em Artes Visuais - Emanuelle Reis de Melo - Psicomotricidade e Ludopedagogia - Nota Máxima: 10")</f>
        <v>#SLAA - Segunda Licenciatura em Artes Visuais - Segunda Licenciatura em Artes Visuais - Emanuelle Reis de Melo - Psicomotricidade e Ludopedagogia - Nota Máxima: 10</v>
      </c>
    </row>
    <row r="6594">
      <c r="A6594" s="390" t="str">
        <f>IFERROR(__xludf.DUMMYFUNCTION("""COMPUTED_VALUE"""),"#SLAA - Segunda Licenciatura em Artes Visuais - Segunda Licenciatura em Artes Visuais - Emanuelle Reis de Melo - Psicomotricidade e Ludopedagogia - Nota Máxima: 3")</f>
        <v>#SLAA - Segunda Licenciatura em Artes Visuais - Segunda Licenciatura em Artes Visuais - Emanuelle Reis de Melo - Psicomotricidade e Ludopedagogia - Nota Máxima: 3</v>
      </c>
    </row>
    <row r="6595">
      <c r="A6595" s="390" t="str">
        <f>IFERROR(__xludf.DUMMYFUNCTION("""COMPUTED_VALUE"""),"#SLAA - Segunda Licenciatura em Artes Visuais - Segunda Licenciatura em Artes Visuais - Emanuelle Reis de Melo - Tecnologia nas Artes Visuais - Nota Máxima: 10")</f>
        <v>#SLAA - Segunda Licenciatura em Artes Visuais - Segunda Licenciatura em Artes Visuais - Emanuelle Reis de Melo - Tecnologia nas Artes Visuais - Nota Máxima: 10</v>
      </c>
    </row>
    <row r="6596">
      <c r="A6596" s="390" t="str">
        <f>IFERROR(__xludf.DUMMYFUNCTION("""COMPUTED_VALUE"""),"#SLAA - Segunda Licenciatura em Artes Visuais - Segunda Licenciatura em Artes Visuais - Emanuelle Reis de Melo - Tecnologia nas Artes Visuais - Nota Máxima: 3")</f>
        <v>#SLAA - Segunda Licenciatura em Artes Visuais - Segunda Licenciatura em Artes Visuais - Emanuelle Reis de Melo - Tecnologia nas Artes Visuais - Nota Máxima: 3</v>
      </c>
    </row>
    <row r="6597">
      <c r="A6597" s="390" t="str">
        <f>IFERROR(__xludf.DUMMYFUNCTION("""COMPUTED_VALUE"""),"#SLAA - Segunda Licenciatura em Artes Visuais - Segunda Licenciatura em Artes Visuais - Patrícia Vieira Mendes - Arte Brasileira na Formação da Identidade Nacional - Nota Máxima: 10")</f>
        <v>#SLAA - Segunda Licenciatura em Artes Visuais - Segunda Licenciatura em Artes Visuais - Patrícia Vieira Mendes - Arte Brasileira na Formação da Identidade Nacional - Nota Máxima: 10</v>
      </c>
    </row>
    <row r="6598">
      <c r="A6598" s="390" t="str">
        <f>IFERROR(__xludf.DUMMYFUNCTION("""COMPUTED_VALUE"""),"#SLAA - Segunda Licenciatura em Artes Visuais - Segunda Licenciatura em Artes Visuais - Patrícia Vieira Mendes - Arte Conceitual, Instalações e Arte Urbana - Nota Máxima: 10")</f>
        <v>#SLAA - Segunda Licenciatura em Artes Visuais - Segunda Licenciatura em Artes Visuais - Patrícia Vieira Mendes - Arte Conceitual, Instalações e Arte Urbana - Nota Máxima: 10</v>
      </c>
    </row>
    <row r="6599">
      <c r="A6599" s="390" t="str">
        <f>IFERROR(__xludf.DUMMYFUNCTION("""COMPUTED_VALUE"""),"#SLAA - Segunda Licenciatura em Artes Visuais - Segunda Licenciatura em Artes Visuais - Patrícia Vieira Mendes - Arte em Educação - Nota Máxima: 10")</f>
        <v>#SLAA - Segunda Licenciatura em Artes Visuais - Segunda Licenciatura em Artes Visuais - Patrícia Vieira Mendes - Arte em Educação - Nota Máxima: 10</v>
      </c>
    </row>
    <row r="6600">
      <c r="A6600" s="390" t="str">
        <f>IFERROR(__xludf.DUMMYFUNCTION("""COMPUTED_VALUE"""),"#SLAA - Segunda Licenciatura em Artes Visuais - Segunda Licenciatura em Artes Visuais - Patrícia Vieira Mendes - Deficiência Auditiva e Libras/a - Nota Máxima: 10")</f>
        <v>#SLAA - Segunda Licenciatura em Artes Visuais - Segunda Licenciatura em Artes Visuais - Patrícia Vieira Mendes - Deficiência Auditiva e Libras/a - Nota Máxima: 10</v>
      </c>
    </row>
    <row r="6601">
      <c r="A6601" s="390" t="str">
        <f>IFERROR(__xludf.DUMMYFUNCTION("""COMPUTED_VALUE"""),"#SLAA - Segunda Licenciatura em Artes Visuais - Segunda Licenciatura em Artes Visuais - Patrícia Vieira Mendes - Desenho e Observação - Nota Máxima: 10")</f>
        <v>#SLAA - Segunda Licenciatura em Artes Visuais - Segunda Licenciatura em Artes Visuais - Patrícia Vieira Mendes - Desenho e Observação - Nota Máxima: 10</v>
      </c>
    </row>
    <row r="6602">
      <c r="A6602" s="390" t="str">
        <f>IFERROR(__xludf.DUMMYFUNCTION("""COMPUTED_VALUE"""),"#SLAA - Segunda Licenciatura em Artes Visuais - Segunda Licenciatura em Artes Visuais - Patrícia Vieira Mendes - Educação Especial, Inclusão Escolar e Adaptações Curriculares - Nota Máxima: 10")</f>
        <v>#SLAA - Segunda Licenciatura em Artes Visuais - Segunda Licenciatura em Artes Visuais - Patrícia Vieira Mendes - Educação Especial, Inclusão Escolar e Adaptações Curriculares - Nota Máxima: 10</v>
      </c>
    </row>
    <row r="6603">
      <c r="A6603" s="390" t="str">
        <f>IFERROR(__xludf.DUMMYFUNCTION("""COMPUTED_VALUE"""),"#SLAA - Segunda Licenciatura em Artes Visuais - Segunda Licenciatura em Artes Visuais - Patrícia Vieira Mendes - Educação, História, Cultura e Práticas Indígenas/a - Nota Máxima: 10")</f>
        <v>#SLAA - Segunda Licenciatura em Artes Visuais - Segunda Licenciatura em Artes Visuais - Patrícia Vieira Mendes - Educação, História, Cultura e Práticas Indígenas/a - Nota Máxima: 10</v>
      </c>
    </row>
    <row r="6604">
      <c r="A6604" s="390" t="str">
        <f>IFERROR(__xludf.DUMMYFUNCTION("""COMPUTED_VALUE"""),"#SLAA - Segunda Licenciatura em Artes Visuais - Segunda Licenciatura em Artes Visuais - Patrícia Vieira Mendes - Expressão Gráfica - Nota Máxima: 10")</f>
        <v>#SLAA - Segunda Licenciatura em Artes Visuais - Segunda Licenciatura em Artes Visuais - Patrícia Vieira Mendes - Expressão Gráfica - Nota Máxima: 10</v>
      </c>
    </row>
    <row r="6605">
      <c r="A6605" s="390" t="str">
        <f>IFERROR(__xludf.DUMMYFUNCTION("""COMPUTED_VALUE"""),"#SLAA - Segunda Licenciatura em Artes Visuais - Segunda Licenciatura em Artes Visuais - Patrícia Vieira Mendes - Filosofia das Artes à Estética - Nota Máxima: 10")</f>
        <v>#SLAA - Segunda Licenciatura em Artes Visuais - Segunda Licenciatura em Artes Visuais - Patrícia Vieira Mendes - Filosofia das Artes à Estética - Nota Máxima: 10</v>
      </c>
    </row>
    <row r="6606">
      <c r="A6606" s="390" t="str">
        <f>IFERROR(__xludf.DUMMYFUNCTION("""COMPUTED_VALUE"""),"#SLAA - Segunda Licenciatura em Artes Visuais - Segunda Licenciatura em Artes Visuais - Patrícia Vieira Mendes - Legislação Educacional/a - Nota Máxima: 10")</f>
        <v>#SLAA - Segunda Licenciatura em Artes Visuais - Segunda Licenciatura em Artes Visuais - Patrícia Vieira Mendes - Legislação Educacional/a - Nota Máxima: 10</v>
      </c>
    </row>
    <row r="6607">
      <c r="A6607" s="390" t="str">
        <f>IFERROR(__xludf.DUMMYFUNCTION("""COMPUTED_VALUE"""),"#SLAA - Segunda Licenciatura em Artes Visuais - Segunda Licenciatura em Artes Visuais - Patrícia Vieira Mendes - Linguagem das Artes Plásticas - Nota Máxima: 10")</f>
        <v>#SLAA - Segunda Licenciatura em Artes Visuais - Segunda Licenciatura em Artes Visuais - Patrícia Vieira Mendes - Linguagem das Artes Plásticas - Nota Máxima: 10</v>
      </c>
    </row>
    <row r="6608">
      <c r="A6608" s="390" t="str">
        <f>IFERROR(__xludf.DUMMYFUNCTION("""COMPUTED_VALUE"""),"#SLAA - Segunda Licenciatura em Artes Visuais - Segunda Licenciatura em Artes Visuais - Patrícia Vieira Mendes - Planejamento, Gestão Educacional e Currículo/a - Nota Máxima: 10")</f>
        <v>#SLAA - Segunda Licenciatura em Artes Visuais - Segunda Licenciatura em Artes Visuais - Patrícia Vieira Mendes - Planejamento, Gestão Educacional e Currículo/a - Nota Máxima: 10</v>
      </c>
    </row>
    <row r="6609">
      <c r="A6609" s="390" t="str">
        <f>IFERROR(__xludf.DUMMYFUNCTION("""COMPUTED_VALUE"""),"#SLAA - Segunda Licenciatura em Artes Visuais - Segunda Licenciatura em Artes Visuais - Patrícia Vieira Mendes - Práticas Pedagógicas - 400 Horas - Nota Máxima: 4")</f>
        <v>#SLAA - Segunda Licenciatura em Artes Visuais - Segunda Licenciatura em Artes Visuais - Patrícia Vieira Mendes - Práticas Pedagógicas - 400 Horas - Nota Máxima: 4</v>
      </c>
    </row>
    <row r="6610">
      <c r="A6610" s="390" t="str">
        <f>IFERROR(__xludf.DUMMYFUNCTION("""COMPUTED_VALUE"""),"#SLAA - Segunda Licenciatura em Artes Visuais - Segunda Licenciatura em Artes Visuais - Patrícia Vieira Mendes - Psicologia da Educação/a - Nota Máxima: 10")</f>
        <v>#SLAA - Segunda Licenciatura em Artes Visuais - Segunda Licenciatura em Artes Visuais - Patrícia Vieira Mendes - Psicologia da Educação/a - Nota Máxima: 10</v>
      </c>
    </row>
    <row r="6611">
      <c r="A6611" s="390" t="str">
        <f>IFERROR(__xludf.DUMMYFUNCTION("""COMPUTED_VALUE"""),"#SLAA - Segunda Licenciatura em Artes Visuais - Segunda Licenciatura em Artes Visuais - Patrícia Vieira Mendes - Psicomotricidade e Ludopedagogia - Nota Máxima: 10")</f>
        <v>#SLAA - Segunda Licenciatura em Artes Visuais - Segunda Licenciatura em Artes Visuais - Patrícia Vieira Mendes - Psicomotricidade e Ludopedagogia - Nota Máxima: 10</v>
      </c>
    </row>
    <row r="6612">
      <c r="A6612" s="390" t="str">
        <f>IFERROR(__xludf.DUMMYFUNCTION("""COMPUTED_VALUE"""),"#SLAA - Segunda Licenciatura em Artes Visuais - Segunda Licenciatura em Artes Visuais - Patrícia Vieira Mendes - Tecnologia nas Artes Visuais - Nota Máxima: 10")</f>
        <v>#SLAA - Segunda Licenciatura em Artes Visuais - Segunda Licenciatura em Artes Visuais - Patrícia Vieira Mendes - Tecnologia nas Artes Visuais - Nota Máxima: 10</v>
      </c>
    </row>
    <row r="6613">
      <c r="A6613" s="390" t="str">
        <f>IFERROR(__xludf.DUMMYFUNCTION("""COMPUTED_VALUE"""),"#SLAA - Segunda Licenciatura em Artes Visuais - Segunda Licenciatura em Artes Visuais - Marcia Jordana Rodrigues silva - Arte Brasileira na Formação da Identidade Nacional - Nota Máxima: 7")</f>
        <v>#SLAA - Segunda Licenciatura em Artes Visuais - Segunda Licenciatura em Artes Visuais - Marcia Jordana Rodrigues silva - Arte Brasileira na Formação da Identidade Nacional - Nota Máxima: 7</v>
      </c>
    </row>
    <row r="6614">
      <c r="A6614" s="390" t="str">
        <f>IFERROR(__xludf.DUMMYFUNCTION("""COMPUTED_VALUE"""),"#SLAA - Segunda Licenciatura em Artes Visuais - Segunda Licenciatura em Artes Visuais - Marcia Jordana Rodrigues silva - Arte Brasileira na Formação da Identidade Nacional - Nota Máxima: 3")</f>
        <v>#SLAA - Segunda Licenciatura em Artes Visuais - Segunda Licenciatura em Artes Visuais - Marcia Jordana Rodrigues silva - Arte Brasileira na Formação da Identidade Nacional - Nota Máxima: 3</v>
      </c>
    </row>
    <row r="6615">
      <c r="A6615" s="390" t="str">
        <f>IFERROR(__xludf.DUMMYFUNCTION("""COMPUTED_VALUE"""),"#SLAA - Segunda Licenciatura em Artes Visuais - Segunda Licenciatura em Artes Visuais - Marcia Jordana Rodrigues silva - Arte Conceitual, Instalações e Arte Urbana - Nota Máxima: 8")</f>
        <v>#SLAA - Segunda Licenciatura em Artes Visuais - Segunda Licenciatura em Artes Visuais - Marcia Jordana Rodrigues silva - Arte Conceitual, Instalações e Arte Urbana - Nota Máxima: 8</v>
      </c>
    </row>
    <row r="6616">
      <c r="A6616" s="390" t="str">
        <f>IFERROR(__xludf.DUMMYFUNCTION("""COMPUTED_VALUE"""),"#SLAA - Segunda Licenciatura em Artes Visuais - Segunda Licenciatura em Artes Visuais - Marcia Jordana Rodrigues silva - Arte Conceitual, Instalações e Arte Urbana - Nota Máxima: 6")</f>
        <v>#SLAA - Segunda Licenciatura em Artes Visuais - Segunda Licenciatura em Artes Visuais - Marcia Jordana Rodrigues silva - Arte Conceitual, Instalações e Arte Urbana - Nota Máxima: 6</v>
      </c>
    </row>
    <row r="6617">
      <c r="A6617" s="390" t="str">
        <f>IFERROR(__xludf.DUMMYFUNCTION("""COMPUTED_VALUE"""),"#SLAA - Segunda Licenciatura em Artes Visuais - Segunda Licenciatura em Artes Visuais - Marcia Jordana Rodrigues silva - Arte em Educação - Nota Máxima: 9")</f>
        <v>#SLAA - Segunda Licenciatura em Artes Visuais - Segunda Licenciatura em Artes Visuais - Marcia Jordana Rodrigues silva - Arte em Educação - Nota Máxima: 9</v>
      </c>
    </row>
    <row r="6618">
      <c r="A6618" s="390" t="str">
        <f>IFERROR(__xludf.DUMMYFUNCTION("""COMPUTED_VALUE"""),"#SLAA - Segunda Licenciatura em Artes Visuais - Segunda Licenciatura em Artes Visuais - Marcia Jordana Rodrigues silva - Arte em Educação - Nota Máxima: 8")</f>
        <v>#SLAA - Segunda Licenciatura em Artes Visuais - Segunda Licenciatura em Artes Visuais - Marcia Jordana Rodrigues silva - Arte em Educação - Nota Máxima: 8</v>
      </c>
    </row>
    <row r="6619">
      <c r="A6619" s="390" t="str">
        <f>IFERROR(__xludf.DUMMYFUNCTION("""COMPUTED_VALUE"""),"#SLAA - Segunda Licenciatura em Artes Visuais - Segunda Licenciatura em Artes Visuais - Marcia Jordana Rodrigues silva - Deficiência Auditiva e Libras/a - Nota Máxima: 10")</f>
        <v>#SLAA - Segunda Licenciatura em Artes Visuais - Segunda Licenciatura em Artes Visuais - Marcia Jordana Rodrigues silva - Deficiência Auditiva e Libras/a - Nota Máxima: 10</v>
      </c>
    </row>
    <row r="6620">
      <c r="A6620" s="390" t="str">
        <f>IFERROR(__xludf.DUMMYFUNCTION("""COMPUTED_VALUE"""),"#SLAA - Segunda Licenciatura em Artes Visuais - Segunda Licenciatura em Artes Visuais - Marcia Jordana Rodrigues silva - Deficiência Auditiva e Libras/a - Nota Máxima: 9")</f>
        <v>#SLAA - Segunda Licenciatura em Artes Visuais - Segunda Licenciatura em Artes Visuais - Marcia Jordana Rodrigues silva - Deficiência Auditiva e Libras/a - Nota Máxima: 9</v>
      </c>
    </row>
    <row r="6621">
      <c r="A6621" s="390" t="str">
        <f>IFERROR(__xludf.DUMMYFUNCTION("""COMPUTED_VALUE"""),"#SLAA - Segunda Licenciatura em Artes Visuais - Segunda Licenciatura em Artes Visuais - Marcia Jordana Rodrigues silva - Educação Especial, Inclusão Escolar e Adaptações Curriculares - Nota Máxima: 8")</f>
        <v>#SLAA - Segunda Licenciatura em Artes Visuais - Segunda Licenciatura em Artes Visuais - Marcia Jordana Rodrigues silva - Educação Especial, Inclusão Escolar e Adaptações Curriculares - Nota Máxima: 8</v>
      </c>
    </row>
    <row r="6622">
      <c r="A6622" s="390" t="str">
        <f>IFERROR(__xludf.DUMMYFUNCTION("""COMPUTED_VALUE"""),"#SLAA - Segunda Licenciatura em Artes Visuais - Segunda Licenciatura em Artes Visuais - Marcia Jordana Rodrigues silva - Educação Especial, Inclusão Escolar e Adaptações Curriculares - Nota Máxima: 10")</f>
        <v>#SLAA - Segunda Licenciatura em Artes Visuais - Segunda Licenciatura em Artes Visuais - Marcia Jordana Rodrigues silva - Educação Especial, Inclusão Escolar e Adaptações Curriculares - Nota Máxima: 10</v>
      </c>
    </row>
    <row r="6623">
      <c r="A6623" s="390" t="str">
        <f>IFERROR(__xludf.DUMMYFUNCTION("""COMPUTED_VALUE"""),"#SLAA - Segunda Licenciatura em Artes Visuais - Segunda Licenciatura em Artes Visuais - Marcia Jordana Rodrigues silva - Educação, História, Cultura e Práticas Indígenas/a - Nota Máxima: 9")</f>
        <v>#SLAA - Segunda Licenciatura em Artes Visuais - Segunda Licenciatura em Artes Visuais - Marcia Jordana Rodrigues silva - Educação, História, Cultura e Práticas Indígenas/a - Nota Máxima: 9</v>
      </c>
    </row>
    <row r="6624">
      <c r="A6624" s="390" t="str">
        <f>IFERROR(__xludf.DUMMYFUNCTION("""COMPUTED_VALUE"""),"#SLAA - Segunda Licenciatura em Artes Visuais - Segunda Licenciatura em Artes Visuais - Marcia Jordana Rodrigues silva - Educação, História, Cultura e Práticas Indígenas/a - Nota Máxima: 6")</f>
        <v>#SLAA - Segunda Licenciatura em Artes Visuais - Segunda Licenciatura em Artes Visuais - Marcia Jordana Rodrigues silva - Educação, História, Cultura e Práticas Indígenas/a - Nota Máxima: 6</v>
      </c>
    </row>
    <row r="6625">
      <c r="A6625" s="390" t="str">
        <f>IFERROR(__xludf.DUMMYFUNCTION("""COMPUTED_VALUE"""),"#SLAA - Segunda Licenciatura em Artes Visuais - Segunda Licenciatura em Artes Visuais - Marcia Jordana Rodrigues silva - Filosofia das Artes à Estética - Nota Máxima: 9")</f>
        <v>#SLAA - Segunda Licenciatura em Artes Visuais - Segunda Licenciatura em Artes Visuais - Marcia Jordana Rodrigues silva - Filosofia das Artes à Estética - Nota Máxima: 9</v>
      </c>
    </row>
    <row r="6626">
      <c r="A6626" s="390" t="str">
        <f>IFERROR(__xludf.DUMMYFUNCTION("""COMPUTED_VALUE"""),"#SLAA - Segunda Licenciatura em Artes Visuais - Segunda Licenciatura em Artes Visuais - Marcia Jordana Rodrigues silva - Filosofia das Artes à Estética - Nota Máxima: 9")</f>
        <v>#SLAA - Segunda Licenciatura em Artes Visuais - Segunda Licenciatura em Artes Visuais - Marcia Jordana Rodrigues silva - Filosofia das Artes à Estética - Nota Máxima: 9</v>
      </c>
    </row>
    <row r="6627">
      <c r="A6627" s="390" t="str">
        <f>IFERROR(__xludf.DUMMYFUNCTION("""COMPUTED_VALUE"""),"#SLAA - Segunda Licenciatura em Artes Visuais - Segunda Licenciatura em Artes Visuais - Marcia Jordana Rodrigues silva - Legislação Educacional/a - Nota Máxima: 9")</f>
        <v>#SLAA - Segunda Licenciatura em Artes Visuais - Segunda Licenciatura em Artes Visuais - Marcia Jordana Rodrigues silva - Legislação Educacional/a - Nota Máxima: 9</v>
      </c>
    </row>
    <row r="6628">
      <c r="A6628" s="390" t="str">
        <f>IFERROR(__xludf.DUMMYFUNCTION("""COMPUTED_VALUE"""),"#SLAA - Segunda Licenciatura em Artes Visuais - Segunda Licenciatura em Artes Visuais - Marcia Jordana Rodrigues silva - Legislação Educacional/a - Nota Máxima: 7")</f>
        <v>#SLAA - Segunda Licenciatura em Artes Visuais - Segunda Licenciatura em Artes Visuais - Marcia Jordana Rodrigues silva - Legislação Educacional/a - Nota Máxima: 7</v>
      </c>
    </row>
    <row r="6629">
      <c r="A6629" s="390" t="str">
        <f>IFERROR(__xludf.DUMMYFUNCTION("""COMPUTED_VALUE"""),"#SLAA - Segunda Licenciatura em Artes Visuais - Segunda Licenciatura em Artes Visuais - Marcia Jordana Rodrigues silva - Linguagem das Artes Plásticas - Nota Máxima: 10")</f>
        <v>#SLAA - Segunda Licenciatura em Artes Visuais - Segunda Licenciatura em Artes Visuais - Marcia Jordana Rodrigues silva - Linguagem das Artes Plásticas - Nota Máxima: 10</v>
      </c>
    </row>
    <row r="6630">
      <c r="A6630" s="390" t="str">
        <f>IFERROR(__xludf.DUMMYFUNCTION("""COMPUTED_VALUE"""),"#SLAA - Segunda Licenciatura em Artes Visuais - Segunda Licenciatura em Artes Visuais - Marcia Jordana Rodrigues silva - Linguagem das Artes Plásticas - Nota Máxima: 6")</f>
        <v>#SLAA - Segunda Licenciatura em Artes Visuais - Segunda Licenciatura em Artes Visuais - Marcia Jordana Rodrigues silva - Linguagem das Artes Plásticas - Nota Máxima: 6</v>
      </c>
    </row>
    <row r="6631">
      <c r="A6631" s="390" t="str">
        <f>IFERROR(__xludf.DUMMYFUNCTION("""COMPUTED_VALUE"""),"#SLAA - Segunda Licenciatura em Artes Visuais - Segunda Licenciatura em Artes Visuais - Marcia Jordana Rodrigues silva - Planejamento, Gestão Educacional e Currículo/a - Nota Máxima: 8")</f>
        <v>#SLAA - Segunda Licenciatura em Artes Visuais - Segunda Licenciatura em Artes Visuais - Marcia Jordana Rodrigues silva - Planejamento, Gestão Educacional e Currículo/a - Nota Máxima: 8</v>
      </c>
    </row>
    <row r="6632">
      <c r="A6632" s="390" t="str">
        <f>IFERROR(__xludf.DUMMYFUNCTION("""COMPUTED_VALUE"""),"#SLAA - Segunda Licenciatura em Artes Visuais - Segunda Licenciatura em Artes Visuais - Marcia Jordana Rodrigues silva - Planejamento, Gestão Educacional e Currículo/a - Nota Máxima: 10")</f>
        <v>#SLAA - Segunda Licenciatura em Artes Visuais - Segunda Licenciatura em Artes Visuais - Marcia Jordana Rodrigues silva - Planejamento, Gestão Educacional e Currículo/a - Nota Máxima: 10</v>
      </c>
    </row>
    <row r="6633">
      <c r="A6633" s="390" t="str">
        <f>IFERROR(__xludf.DUMMYFUNCTION("""COMPUTED_VALUE"""),"#SLAA - Segunda Licenciatura em Artes Visuais - Segunda Licenciatura em Artes Visuais - Marcia Jordana Rodrigues silva - Práticas Pedagógicas - 400 Horas - Nota Máxima: 45784")</f>
        <v>#SLAA - Segunda Licenciatura em Artes Visuais - Segunda Licenciatura em Artes Visuais - Marcia Jordana Rodrigues silva - Práticas Pedagógicas - 400 Horas - Nota Máxima: 45784</v>
      </c>
    </row>
    <row r="6634">
      <c r="A6634" s="390" t="str">
        <f>IFERROR(__xludf.DUMMYFUNCTION("""COMPUTED_VALUE"""),"#SLAA - Segunda Licenciatura em Artes Visuais - Segunda Licenciatura em Artes Visuais - Marcia Jordana Rodrigues silva - Práticas Pedagógicas - 400 Horas - Nota Máxima: 45784")</f>
        <v>#SLAA - Segunda Licenciatura em Artes Visuais - Segunda Licenciatura em Artes Visuais - Marcia Jordana Rodrigues silva - Práticas Pedagógicas - 400 Horas - Nota Máxima: 45784</v>
      </c>
    </row>
    <row r="6635">
      <c r="A6635" s="390" t="str">
        <f>IFERROR(__xludf.DUMMYFUNCTION("""COMPUTED_VALUE"""),"#SLAA - Segunda Licenciatura em Artes Visuais - Segunda Licenciatura em Artes Visuais - Marcia Jordana Rodrigues silva - Psicologia da Educação/a - Nota Máxima: 8")</f>
        <v>#SLAA - Segunda Licenciatura em Artes Visuais - Segunda Licenciatura em Artes Visuais - Marcia Jordana Rodrigues silva - Psicologia da Educação/a - Nota Máxima: 8</v>
      </c>
    </row>
    <row r="6636">
      <c r="A6636" s="390" t="str">
        <f>IFERROR(__xludf.DUMMYFUNCTION("""COMPUTED_VALUE"""),"#SLAA - Segunda Licenciatura em Artes Visuais - Segunda Licenciatura em Artes Visuais - Marcia Jordana Rodrigues silva - Psicologia da Educação/a - Nota Máxima: 6")</f>
        <v>#SLAA - Segunda Licenciatura em Artes Visuais - Segunda Licenciatura em Artes Visuais - Marcia Jordana Rodrigues silva - Psicologia da Educação/a - Nota Máxima: 6</v>
      </c>
    </row>
    <row r="6637">
      <c r="A6637" s="390" t="str">
        <f>IFERROR(__xludf.DUMMYFUNCTION("""COMPUTED_VALUE"""),"#SLAA - Segunda Licenciatura em Artes Visuais - Segunda Licenciatura em Artes Visuais - Marcia Jordana Rodrigues silva - Psicomotricidade e Ludopedagogia - Nota Máxima: 9")</f>
        <v>#SLAA - Segunda Licenciatura em Artes Visuais - Segunda Licenciatura em Artes Visuais - Marcia Jordana Rodrigues silva - Psicomotricidade e Ludopedagogia - Nota Máxima: 9</v>
      </c>
    </row>
    <row r="6638">
      <c r="A6638" s="390" t="str">
        <f>IFERROR(__xludf.DUMMYFUNCTION("""COMPUTED_VALUE"""),"#SLAA - Segunda Licenciatura em Artes Visuais - Segunda Licenciatura em Artes Visuais - Marcia Jordana Rodrigues silva - Psicomotricidade e Ludopedagogia - Nota Máxima: 7")</f>
        <v>#SLAA - Segunda Licenciatura em Artes Visuais - Segunda Licenciatura em Artes Visuais - Marcia Jordana Rodrigues silva - Psicomotricidade e Ludopedagogia - Nota Máxima: 7</v>
      </c>
    </row>
    <row r="6639">
      <c r="A6639" s="390" t="str">
        <f>IFERROR(__xludf.DUMMYFUNCTION("""COMPUTED_VALUE"""),"#SLAA - Segunda Licenciatura em Artes Visuais - Segunda Licenciatura em Artes Visuais - Marcia Jordana Rodrigues silva - Tecnologia nas Artes Visuais - Nota Máxima: 10")</f>
        <v>#SLAA - Segunda Licenciatura em Artes Visuais - Segunda Licenciatura em Artes Visuais - Marcia Jordana Rodrigues silva - Tecnologia nas Artes Visuais - Nota Máxima: 10</v>
      </c>
    </row>
    <row r="6640">
      <c r="A6640" s="390" t="str">
        <f>IFERROR(__xludf.DUMMYFUNCTION("""COMPUTED_VALUE"""),"#SLAA - Segunda Licenciatura em Artes Visuais - Segunda Licenciatura em Artes Visuais - Marcia Jordana Rodrigues silva - Tecnologia nas Artes Visuais - Nota Máxima: 4")</f>
        <v>#SLAA - Segunda Licenciatura em Artes Visuais - Segunda Licenciatura em Artes Visuais - Marcia Jordana Rodrigues silva - Tecnologia nas Artes Visuais - Nota Máxima: 4</v>
      </c>
    </row>
    <row r="6641">
      <c r="A6641" s="390" t="str">
        <f>IFERROR(__xludf.DUMMYFUNCTION("""COMPUTED_VALUE"""),"#SLAA - Segunda Licenciatura em Artes Visuais - Segunda Licenciatura em Artes Visuais - Lidia Maria Borges da Silva - Arte Brasileira na Formação da Identidade Nacional - Nota Máxima: 10")</f>
        <v>#SLAA - Segunda Licenciatura em Artes Visuais - Segunda Licenciatura em Artes Visuais - Lidia Maria Borges da Silva - Arte Brasileira na Formação da Identidade Nacional - Nota Máxima: 10</v>
      </c>
    </row>
    <row r="6642">
      <c r="A6642" s="390" t="str">
        <f>IFERROR(__xludf.DUMMYFUNCTION("""COMPUTED_VALUE"""),"#SLAA - Segunda Licenciatura em Artes Visuais - Segunda Licenciatura em Artes Visuais - Lidia Maria Borges da Silva - Arte Conceitual, Instalações e Arte Urbana - Nota Máxima: 9")</f>
        <v>#SLAA - Segunda Licenciatura em Artes Visuais - Segunda Licenciatura em Artes Visuais - Lidia Maria Borges da Silva - Arte Conceitual, Instalações e Arte Urbana - Nota Máxima: 9</v>
      </c>
    </row>
    <row r="6643">
      <c r="A6643" s="390" t="str">
        <f>IFERROR(__xludf.DUMMYFUNCTION("""COMPUTED_VALUE"""),"#SLAA - Segunda Licenciatura em Artes Visuais - Segunda Licenciatura em Artes Visuais - Lidia Maria Borges da Silva - Arte em Educação - Nota Máxima: 9")</f>
        <v>#SLAA - Segunda Licenciatura em Artes Visuais - Segunda Licenciatura em Artes Visuais - Lidia Maria Borges da Silva - Arte em Educação - Nota Máxima: 9</v>
      </c>
    </row>
    <row r="6644">
      <c r="A6644" s="390" t="str">
        <f>IFERROR(__xludf.DUMMYFUNCTION("""COMPUTED_VALUE"""),"#SLAA - Segunda Licenciatura em Artes Visuais - Segunda Licenciatura em Artes Visuais - Lidia Maria Borges da Silva - Deficiência Auditiva e Libras/a - Nota Máxima: 10")</f>
        <v>#SLAA - Segunda Licenciatura em Artes Visuais - Segunda Licenciatura em Artes Visuais - Lidia Maria Borges da Silva - Deficiência Auditiva e Libras/a - Nota Máxima: 10</v>
      </c>
    </row>
    <row r="6645">
      <c r="A6645" s="390" t="str">
        <f>IFERROR(__xludf.DUMMYFUNCTION("""COMPUTED_VALUE"""),"#SLAA - Segunda Licenciatura em Artes Visuais - Segunda Licenciatura em Artes Visuais - Lidia Maria Borges da Silva - Desenho e Observação - Nota Máxima: 10")</f>
        <v>#SLAA - Segunda Licenciatura em Artes Visuais - Segunda Licenciatura em Artes Visuais - Lidia Maria Borges da Silva - Desenho e Observação - Nota Máxima: 10</v>
      </c>
    </row>
    <row r="6646">
      <c r="A6646" s="390" t="str">
        <f>IFERROR(__xludf.DUMMYFUNCTION("""COMPUTED_VALUE"""),"#SLAA - Segunda Licenciatura em Artes Visuais - Segunda Licenciatura em Artes Visuais - Lidia Maria Borges da Silva - Educação Especial, Inclusão Escolar e Adaptações Curriculares - Nota Máxima: 9")</f>
        <v>#SLAA - Segunda Licenciatura em Artes Visuais - Segunda Licenciatura em Artes Visuais - Lidia Maria Borges da Silva - Educação Especial, Inclusão Escolar e Adaptações Curriculares - Nota Máxima: 9</v>
      </c>
    </row>
    <row r="6647">
      <c r="A6647" s="390" t="str">
        <f>IFERROR(__xludf.DUMMYFUNCTION("""COMPUTED_VALUE"""),"#SLAA - Segunda Licenciatura em Artes Visuais - Segunda Licenciatura em Artes Visuais - Lidia Maria Borges da Silva - Educação, História, Cultura e Práticas Indígenas/a - Nota Máxima: 9")</f>
        <v>#SLAA - Segunda Licenciatura em Artes Visuais - Segunda Licenciatura em Artes Visuais - Lidia Maria Borges da Silva - Educação, História, Cultura e Práticas Indígenas/a - Nota Máxima: 9</v>
      </c>
    </row>
    <row r="6648">
      <c r="A6648" s="390" t="str">
        <f>IFERROR(__xludf.DUMMYFUNCTION("""COMPUTED_VALUE"""),"#SLAA - Segunda Licenciatura em Artes Visuais - Segunda Licenciatura em Artes Visuais - Lidia Maria Borges da Silva - Expressão Gráfica - Nota Máxima: 10")</f>
        <v>#SLAA - Segunda Licenciatura em Artes Visuais - Segunda Licenciatura em Artes Visuais - Lidia Maria Borges da Silva - Expressão Gráfica - Nota Máxima: 10</v>
      </c>
    </row>
    <row r="6649">
      <c r="A6649" s="390" t="str">
        <f>IFERROR(__xludf.DUMMYFUNCTION("""COMPUTED_VALUE"""),"#SLAA - Segunda Licenciatura em Artes Visuais - Segunda Licenciatura em Artes Visuais - Lidia Maria Borges da Silva - Filosofia das Artes à Estética - Nota Máxima: 10")</f>
        <v>#SLAA - Segunda Licenciatura em Artes Visuais - Segunda Licenciatura em Artes Visuais - Lidia Maria Borges da Silva - Filosofia das Artes à Estética - Nota Máxima: 10</v>
      </c>
    </row>
    <row r="6650">
      <c r="A6650" s="390" t="str">
        <f>IFERROR(__xludf.DUMMYFUNCTION("""COMPUTED_VALUE"""),"#SLAA - Segunda Licenciatura em Artes Visuais - Segunda Licenciatura em Artes Visuais - Lidia Maria Borges da Silva - Legislação Educacional/a - Nota Máxima: 10")</f>
        <v>#SLAA - Segunda Licenciatura em Artes Visuais - Segunda Licenciatura em Artes Visuais - Lidia Maria Borges da Silva - Legislação Educacional/a - Nota Máxima: 10</v>
      </c>
    </row>
    <row r="6651">
      <c r="A6651" s="390" t="str">
        <f>IFERROR(__xludf.DUMMYFUNCTION("""COMPUTED_VALUE"""),"#SLAA - Segunda Licenciatura em Artes Visuais - Segunda Licenciatura em Artes Visuais - Lidia Maria Borges da Silva - Linguagem das Artes Plásticas - Nota Máxima: 10")</f>
        <v>#SLAA - Segunda Licenciatura em Artes Visuais - Segunda Licenciatura em Artes Visuais - Lidia Maria Borges da Silva - Linguagem das Artes Plásticas - Nota Máxima: 10</v>
      </c>
    </row>
    <row r="6652">
      <c r="A6652" s="390" t="str">
        <f>IFERROR(__xludf.DUMMYFUNCTION("""COMPUTED_VALUE"""),"#SLAA - Segunda Licenciatura em Artes Visuais - Segunda Licenciatura em Artes Visuais - Lidia Maria Borges da Silva - Planejamento, Gestão Educacional e Currículo/a - Nota Máxima: 9")</f>
        <v>#SLAA - Segunda Licenciatura em Artes Visuais - Segunda Licenciatura em Artes Visuais - Lidia Maria Borges da Silva - Planejamento, Gestão Educacional e Currículo/a - Nota Máxima: 9</v>
      </c>
    </row>
    <row r="6653">
      <c r="A6653" s="390" t="str">
        <f>IFERROR(__xludf.DUMMYFUNCTION("""COMPUTED_VALUE"""),"#SLAA - Segunda Licenciatura em Artes Visuais - Segunda Licenciatura em Artes Visuais - Lidia Maria Borges da Silva - Práticas Pedagógicas - 400 Horas - Nota Máxima: 10")</f>
        <v>#SLAA - Segunda Licenciatura em Artes Visuais - Segunda Licenciatura em Artes Visuais - Lidia Maria Borges da Silva - Práticas Pedagógicas - 400 Horas - Nota Máxima: 10</v>
      </c>
    </row>
    <row r="6654">
      <c r="A6654" s="390" t="str">
        <f>IFERROR(__xludf.DUMMYFUNCTION("""COMPUTED_VALUE"""),"#SLAA - Segunda Licenciatura em Artes Visuais - Segunda Licenciatura em Artes Visuais - Lidia Maria Borges da Silva - Psicologia da Educação/a - Nota Máxima: 9")</f>
        <v>#SLAA - Segunda Licenciatura em Artes Visuais - Segunda Licenciatura em Artes Visuais - Lidia Maria Borges da Silva - Psicologia da Educação/a - Nota Máxima: 9</v>
      </c>
    </row>
    <row r="6655">
      <c r="A6655" s="390" t="str">
        <f>IFERROR(__xludf.DUMMYFUNCTION("""COMPUTED_VALUE"""),"#SLAA - Segunda Licenciatura em Artes Visuais - Segunda Licenciatura em Artes Visuais - Lidia Maria Borges da Silva - Psicomotricidade e Ludopedagogia - Nota Máxima: 9")</f>
        <v>#SLAA - Segunda Licenciatura em Artes Visuais - Segunda Licenciatura em Artes Visuais - Lidia Maria Borges da Silva - Psicomotricidade e Ludopedagogia - Nota Máxima: 9</v>
      </c>
    </row>
    <row r="6656">
      <c r="A6656" s="390" t="str">
        <f>IFERROR(__xludf.DUMMYFUNCTION("""COMPUTED_VALUE"""),"#SLAA - Segunda Licenciatura em Artes Visuais - Segunda Licenciatura em Artes Visuais - Lidia Maria Borges da Silva - Tecnologia nas Artes Visuais - Nota Máxima: 8")</f>
        <v>#SLAA - Segunda Licenciatura em Artes Visuais - Segunda Licenciatura em Artes Visuais - Lidia Maria Borges da Silva - Tecnologia nas Artes Visuais - Nota Máxima: 8</v>
      </c>
    </row>
    <row r="6657">
      <c r="A6657" s="390" t="str">
        <f>IFERROR(__xludf.DUMMYFUNCTION("""COMPUTED_VALUE"""),"#SLAA - Segunda Licenciatura em Artes Visuais - Segunda Licenciatura em Artes Visuais - Lucia de Fátima Meirelles - Arte Brasileira na Formação da Identidade Nacional - Nota Máxima: 9")</f>
        <v>#SLAA - Segunda Licenciatura em Artes Visuais - Segunda Licenciatura em Artes Visuais - Lucia de Fátima Meirelles - Arte Brasileira na Formação da Identidade Nacional - Nota Máxima: 9</v>
      </c>
    </row>
    <row r="6658">
      <c r="A6658" s="390" t="str">
        <f>IFERROR(__xludf.DUMMYFUNCTION("""COMPUTED_VALUE"""),"#SLAA - Segunda Licenciatura em Artes Visuais - Segunda Licenciatura em Artes Visuais - Lucia de Fátima Meirelles - Arte Brasileira na Formação da Identidade Nacional - Nota Máxima: 9")</f>
        <v>#SLAA - Segunda Licenciatura em Artes Visuais - Segunda Licenciatura em Artes Visuais - Lucia de Fátima Meirelles - Arte Brasileira na Formação da Identidade Nacional - Nota Máxima: 9</v>
      </c>
    </row>
    <row r="6659">
      <c r="A6659" s="390" t="str">
        <f>IFERROR(__xludf.DUMMYFUNCTION("""COMPUTED_VALUE"""),"#SLAA - Segunda Licenciatura em Artes Visuais - Segunda Licenciatura em Artes Visuais - Lucia de Fátima Meirelles - Arte Conceitual, Instalações e Arte Urbana - Nota Máxima: 7")</f>
        <v>#SLAA - Segunda Licenciatura em Artes Visuais - Segunda Licenciatura em Artes Visuais - Lucia de Fátima Meirelles - Arte Conceitual, Instalações e Arte Urbana - Nota Máxima: 7</v>
      </c>
    </row>
    <row r="6660">
      <c r="A6660" s="390" t="str">
        <f>IFERROR(__xludf.DUMMYFUNCTION("""COMPUTED_VALUE"""),"#SLAA - Segunda Licenciatura em Artes Visuais - Segunda Licenciatura em Artes Visuais - Lucia de Fátima Meirelles - Arte Conceitual, Instalações e Arte Urbana - Nota Máxima: 8")</f>
        <v>#SLAA - Segunda Licenciatura em Artes Visuais - Segunda Licenciatura em Artes Visuais - Lucia de Fátima Meirelles - Arte Conceitual, Instalações e Arte Urbana - Nota Máxima: 8</v>
      </c>
    </row>
    <row r="6661">
      <c r="A6661" s="390" t="str">
        <f>IFERROR(__xludf.DUMMYFUNCTION("""COMPUTED_VALUE"""),"#SLAA - Segunda Licenciatura em Artes Visuais - Segunda Licenciatura em Artes Visuais - Lucia de Fátima Meirelles - Arte em Educação - Nota Máxima: 8")</f>
        <v>#SLAA - Segunda Licenciatura em Artes Visuais - Segunda Licenciatura em Artes Visuais - Lucia de Fátima Meirelles - Arte em Educação - Nota Máxima: 8</v>
      </c>
    </row>
    <row r="6662">
      <c r="A6662" s="390" t="str">
        <f>IFERROR(__xludf.DUMMYFUNCTION("""COMPUTED_VALUE"""),"#SLAA - Segunda Licenciatura em Artes Visuais - Segunda Licenciatura em Artes Visuais - Lucia de Fátima Meirelles - Arte em Educação - Nota Máxima: 10")</f>
        <v>#SLAA - Segunda Licenciatura em Artes Visuais - Segunda Licenciatura em Artes Visuais - Lucia de Fátima Meirelles - Arte em Educação - Nota Máxima: 10</v>
      </c>
    </row>
    <row r="6663">
      <c r="A6663" s="390" t="str">
        <f>IFERROR(__xludf.DUMMYFUNCTION("""COMPUTED_VALUE"""),"#SLAA - Segunda Licenciatura em Artes Visuais - Segunda Licenciatura em Artes Visuais - Lucia de Fátima Meirelles - Deficiência Auditiva e Libras/a - Nota Máxima: 8")</f>
        <v>#SLAA - Segunda Licenciatura em Artes Visuais - Segunda Licenciatura em Artes Visuais - Lucia de Fátima Meirelles - Deficiência Auditiva e Libras/a - Nota Máxima: 8</v>
      </c>
    </row>
    <row r="6664">
      <c r="A6664" s="390" t="str">
        <f>IFERROR(__xludf.DUMMYFUNCTION("""COMPUTED_VALUE"""),"#SLAA - Segunda Licenciatura em Artes Visuais - Segunda Licenciatura em Artes Visuais - Lucia de Fátima Meirelles - Deficiência Auditiva e Libras/a - Nota Máxima: 7")</f>
        <v>#SLAA - Segunda Licenciatura em Artes Visuais - Segunda Licenciatura em Artes Visuais - Lucia de Fátima Meirelles - Deficiência Auditiva e Libras/a - Nota Máxima: 7</v>
      </c>
    </row>
    <row r="6665">
      <c r="A6665" s="390" t="str">
        <f>IFERROR(__xludf.DUMMYFUNCTION("""COMPUTED_VALUE"""),"#SLAA - Segunda Licenciatura em Artes Visuais - Segunda Licenciatura em Artes Visuais - Lucia de Fátima Meirelles - Desenho e Observação - Nota Máxima: 10")</f>
        <v>#SLAA - Segunda Licenciatura em Artes Visuais - Segunda Licenciatura em Artes Visuais - Lucia de Fátima Meirelles - Desenho e Observação - Nota Máxima: 10</v>
      </c>
    </row>
    <row r="6666">
      <c r="A6666" s="390" t="str">
        <f>IFERROR(__xludf.DUMMYFUNCTION("""COMPUTED_VALUE"""),"#SLAA - Segunda Licenciatura em Artes Visuais - Segunda Licenciatura em Artes Visuais - Lucia de Fátima Meirelles - Desenho e Observação - Nota Máxima: 10")</f>
        <v>#SLAA - Segunda Licenciatura em Artes Visuais - Segunda Licenciatura em Artes Visuais - Lucia de Fátima Meirelles - Desenho e Observação - Nota Máxima: 10</v>
      </c>
    </row>
    <row r="6667">
      <c r="A6667" s="390" t="str">
        <f>IFERROR(__xludf.DUMMYFUNCTION("""COMPUTED_VALUE"""),"#SLAA - Segunda Licenciatura em Artes Visuais - Segunda Licenciatura em Artes Visuais - Lucia de Fátima Meirelles - Educação Especial, Inclusão Escolar e Adaptações Curriculares - Nota Máxima: 9")</f>
        <v>#SLAA - Segunda Licenciatura em Artes Visuais - Segunda Licenciatura em Artes Visuais - Lucia de Fátima Meirelles - Educação Especial, Inclusão Escolar e Adaptações Curriculares - Nota Máxima: 9</v>
      </c>
    </row>
    <row r="6668">
      <c r="A6668" s="390" t="str">
        <f>IFERROR(__xludf.DUMMYFUNCTION("""COMPUTED_VALUE"""),"#SLAA - Segunda Licenciatura em Artes Visuais - Segunda Licenciatura em Artes Visuais - Lucia de Fátima Meirelles - Educação Especial, Inclusão Escolar e Adaptações Curriculares - Nota Máxima: 9")</f>
        <v>#SLAA - Segunda Licenciatura em Artes Visuais - Segunda Licenciatura em Artes Visuais - Lucia de Fátima Meirelles - Educação Especial, Inclusão Escolar e Adaptações Curriculares - Nota Máxima: 9</v>
      </c>
    </row>
    <row r="6669">
      <c r="A6669" s="390" t="str">
        <f>IFERROR(__xludf.DUMMYFUNCTION("""COMPUTED_VALUE"""),"#SLAA - Segunda Licenciatura em Artes Visuais - Segunda Licenciatura em Artes Visuais - Lucia de Fátima Meirelles - Educação, História, Cultura e Práticas Indígenas/a - Nota Máxima: 9")</f>
        <v>#SLAA - Segunda Licenciatura em Artes Visuais - Segunda Licenciatura em Artes Visuais - Lucia de Fátima Meirelles - Educação, História, Cultura e Práticas Indígenas/a - Nota Máxima: 9</v>
      </c>
    </row>
    <row r="6670">
      <c r="A6670" s="390" t="str">
        <f>IFERROR(__xludf.DUMMYFUNCTION("""COMPUTED_VALUE"""),"#SLAA - Segunda Licenciatura em Artes Visuais - Segunda Licenciatura em Artes Visuais - Lucia de Fátima Meirelles - Educação, História, Cultura e Práticas Indígenas/a - Nota Máxima: 5")</f>
        <v>#SLAA - Segunda Licenciatura em Artes Visuais - Segunda Licenciatura em Artes Visuais - Lucia de Fátima Meirelles - Educação, História, Cultura e Práticas Indígenas/a - Nota Máxima: 5</v>
      </c>
    </row>
    <row r="6671">
      <c r="A6671" s="390" t="str">
        <f>IFERROR(__xludf.DUMMYFUNCTION("""COMPUTED_VALUE"""),"#SLAA - Segunda Licenciatura em Artes Visuais - Segunda Licenciatura em Artes Visuais - Lucia de Fátima Meirelles - Expressão Gráfica - Nota Máxima: 10")</f>
        <v>#SLAA - Segunda Licenciatura em Artes Visuais - Segunda Licenciatura em Artes Visuais - Lucia de Fátima Meirelles - Expressão Gráfica - Nota Máxima: 10</v>
      </c>
    </row>
    <row r="6672">
      <c r="A6672" s="390" t="str">
        <f>IFERROR(__xludf.DUMMYFUNCTION("""COMPUTED_VALUE"""),"#SLAA - Segunda Licenciatura em Artes Visuais - Segunda Licenciatura em Artes Visuais - Lucia de Fátima Meirelles - Expressão Gráfica - Nota Máxima: 10")</f>
        <v>#SLAA - Segunda Licenciatura em Artes Visuais - Segunda Licenciatura em Artes Visuais - Lucia de Fátima Meirelles - Expressão Gráfica - Nota Máxima: 10</v>
      </c>
    </row>
    <row r="6673">
      <c r="A6673" s="390" t="str">
        <f>IFERROR(__xludf.DUMMYFUNCTION("""COMPUTED_VALUE"""),"#SLAA - Segunda Licenciatura em Artes Visuais - Segunda Licenciatura em Artes Visuais - Lucia de Fátima Meirelles - Filosofia das Artes à Estética - Nota Máxima: 8")</f>
        <v>#SLAA - Segunda Licenciatura em Artes Visuais - Segunda Licenciatura em Artes Visuais - Lucia de Fátima Meirelles - Filosofia das Artes à Estética - Nota Máxima: 8</v>
      </c>
    </row>
    <row r="6674">
      <c r="A6674" s="390" t="str">
        <f>IFERROR(__xludf.DUMMYFUNCTION("""COMPUTED_VALUE"""),"#SLAA - Segunda Licenciatura em Artes Visuais - Segunda Licenciatura em Artes Visuais - Lucia de Fátima Meirelles - Filosofia das Artes à Estética - Nota Máxima: 5")</f>
        <v>#SLAA - Segunda Licenciatura em Artes Visuais - Segunda Licenciatura em Artes Visuais - Lucia de Fátima Meirelles - Filosofia das Artes à Estética - Nota Máxima: 5</v>
      </c>
    </row>
    <row r="6675">
      <c r="A6675" s="390" t="str">
        <f>IFERROR(__xludf.DUMMYFUNCTION("""COMPUTED_VALUE"""),"#SLAA - Segunda Licenciatura em Artes Visuais - Segunda Licenciatura em Artes Visuais - Lucia de Fátima Meirelles - Legislação Educacional/a - Nota Máxima: 8")</f>
        <v>#SLAA - Segunda Licenciatura em Artes Visuais - Segunda Licenciatura em Artes Visuais - Lucia de Fátima Meirelles - Legislação Educacional/a - Nota Máxima: 8</v>
      </c>
    </row>
    <row r="6676">
      <c r="A6676" s="390" t="str">
        <f>IFERROR(__xludf.DUMMYFUNCTION("""COMPUTED_VALUE"""),"#SLAA - Segunda Licenciatura em Artes Visuais - Segunda Licenciatura em Artes Visuais - Lucia de Fátima Meirelles - Legislação Educacional/a - Nota Máxima: 7")</f>
        <v>#SLAA - Segunda Licenciatura em Artes Visuais - Segunda Licenciatura em Artes Visuais - Lucia de Fátima Meirelles - Legislação Educacional/a - Nota Máxima: 7</v>
      </c>
    </row>
    <row r="6677">
      <c r="A6677" s="390" t="str">
        <f>IFERROR(__xludf.DUMMYFUNCTION("""COMPUTED_VALUE"""),"#SLAA - Segunda Licenciatura em Artes Visuais - Segunda Licenciatura em Artes Visuais - Lucia de Fátima Meirelles - Linguagem das Artes Plásticas - Nota Máxima: 9")</f>
        <v>#SLAA - Segunda Licenciatura em Artes Visuais - Segunda Licenciatura em Artes Visuais - Lucia de Fátima Meirelles - Linguagem das Artes Plásticas - Nota Máxima: 9</v>
      </c>
    </row>
    <row r="6678">
      <c r="A6678" s="390" t="str">
        <f>IFERROR(__xludf.DUMMYFUNCTION("""COMPUTED_VALUE"""),"#SLAA - Segunda Licenciatura em Artes Visuais - Segunda Licenciatura em Artes Visuais - Lucia de Fátima Meirelles - Linguagem das Artes Plásticas - Nota Máxima: 9")</f>
        <v>#SLAA - Segunda Licenciatura em Artes Visuais - Segunda Licenciatura em Artes Visuais - Lucia de Fátima Meirelles - Linguagem das Artes Plásticas - Nota Máxima: 9</v>
      </c>
    </row>
    <row r="6679">
      <c r="A6679" s="390" t="str">
        <f>IFERROR(__xludf.DUMMYFUNCTION("""COMPUTED_VALUE"""),"#SLAA - Segunda Licenciatura em Artes Visuais - Segunda Licenciatura em Artes Visuais - Lucia de Fátima Meirelles - Planejamento, Gestão Educacional e Currículo/a - Nota Máxima: 10")</f>
        <v>#SLAA - Segunda Licenciatura em Artes Visuais - Segunda Licenciatura em Artes Visuais - Lucia de Fátima Meirelles - Planejamento, Gestão Educacional e Currículo/a - Nota Máxima: 10</v>
      </c>
    </row>
    <row r="6680">
      <c r="A6680" s="390" t="str">
        <f>IFERROR(__xludf.DUMMYFUNCTION("""COMPUTED_VALUE"""),"#SLAA - Segunda Licenciatura em Artes Visuais - Segunda Licenciatura em Artes Visuais - Lucia de Fátima Meirelles - Planejamento, Gestão Educacional e Currículo/a - Nota Máxima: 10")</f>
        <v>#SLAA - Segunda Licenciatura em Artes Visuais - Segunda Licenciatura em Artes Visuais - Lucia de Fátima Meirelles - Planejamento, Gestão Educacional e Currículo/a - Nota Máxima: 10</v>
      </c>
    </row>
    <row r="6681">
      <c r="A6681" s="390" t="str">
        <f>IFERROR(__xludf.DUMMYFUNCTION("""COMPUTED_VALUE"""),"#SLAA - Segunda Licenciatura em Artes Visuais - Segunda Licenciatura em Artes Visuais - Lucia de Fátima Meirelles - Práticas Pedagógicas - 400 Horas - Nota Máxima: 10")</f>
        <v>#SLAA - Segunda Licenciatura em Artes Visuais - Segunda Licenciatura em Artes Visuais - Lucia de Fátima Meirelles - Práticas Pedagógicas - 400 Horas - Nota Máxima: 10</v>
      </c>
    </row>
    <row r="6682">
      <c r="A6682" s="390" t="str">
        <f>IFERROR(__xludf.DUMMYFUNCTION("""COMPUTED_VALUE"""),"#SLAA - Segunda Licenciatura em Artes Visuais - Segunda Licenciatura em Artes Visuais - Lucia de Fátima Meirelles - Práticas Pedagógicas - 400 Horas - Nota Máxima: 45784")</f>
        <v>#SLAA - Segunda Licenciatura em Artes Visuais - Segunda Licenciatura em Artes Visuais - Lucia de Fátima Meirelles - Práticas Pedagógicas - 400 Horas - Nota Máxima: 45784</v>
      </c>
    </row>
    <row r="6683">
      <c r="A6683" s="390" t="str">
        <f>IFERROR(__xludf.DUMMYFUNCTION("""COMPUTED_VALUE"""),"#SLAA - Segunda Licenciatura em Artes Visuais - Segunda Licenciatura em Artes Visuais - Lucia de Fátima Meirelles - Psicologia da Educação/a - Nota Máxima: 9")</f>
        <v>#SLAA - Segunda Licenciatura em Artes Visuais - Segunda Licenciatura em Artes Visuais - Lucia de Fátima Meirelles - Psicologia da Educação/a - Nota Máxima: 9</v>
      </c>
    </row>
    <row r="6684">
      <c r="A6684" s="390" t="str">
        <f>IFERROR(__xludf.DUMMYFUNCTION("""COMPUTED_VALUE"""),"#SLAA - Segunda Licenciatura em Artes Visuais - Segunda Licenciatura em Artes Visuais - Lucia de Fátima Meirelles - Psicologia da Educação/a - Nota Máxima: 6")</f>
        <v>#SLAA - Segunda Licenciatura em Artes Visuais - Segunda Licenciatura em Artes Visuais - Lucia de Fátima Meirelles - Psicologia da Educação/a - Nota Máxima: 6</v>
      </c>
    </row>
    <row r="6685">
      <c r="A6685" s="390" t="str">
        <f>IFERROR(__xludf.DUMMYFUNCTION("""COMPUTED_VALUE"""),"#SLAA - Segunda Licenciatura em Artes Visuais - Segunda Licenciatura em Artes Visuais - Lucia de Fátima Meirelles - Psicomotricidade e Ludopedagogia - Nota Máxima: 8")</f>
        <v>#SLAA - Segunda Licenciatura em Artes Visuais - Segunda Licenciatura em Artes Visuais - Lucia de Fátima Meirelles - Psicomotricidade e Ludopedagogia - Nota Máxima: 8</v>
      </c>
    </row>
    <row r="6686">
      <c r="A6686" s="390" t="str">
        <f>IFERROR(__xludf.DUMMYFUNCTION("""COMPUTED_VALUE"""),"#SLAA - Segunda Licenciatura em Artes Visuais - Segunda Licenciatura em Artes Visuais - Lucia de Fátima Meirelles - Psicomotricidade e Ludopedagogia - Nota Máxima: 9")</f>
        <v>#SLAA - Segunda Licenciatura em Artes Visuais - Segunda Licenciatura em Artes Visuais - Lucia de Fátima Meirelles - Psicomotricidade e Ludopedagogia - Nota Máxima: 9</v>
      </c>
    </row>
    <row r="6687">
      <c r="A6687" s="390" t="str">
        <f>IFERROR(__xludf.DUMMYFUNCTION("""COMPUTED_VALUE"""),"#SLAA - Segunda Licenciatura em Artes Visuais - Segunda Licenciatura em Artes Visuais - Lucia de Fátima Meirelles - Tecnologia nas Artes Visuais - Nota Máxima: 10")</f>
        <v>#SLAA - Segunda Licenciatura em Artes Visuais - Segunda Licenciatura em Artes Visuais - Lucia de Fátima Meirelles - Tecnologia nas Artes Visuais - Nota Máxima: 10</v>
      </c>
    </row>
    <row r="6688">
      <c r="A6688" s="390" t="str">
        <f>IFERROR(__xludf.DUMMYFUNCTION("""COMPUTED_VALUE"""),"#SLAA - Segunda Licenciatura em Artes Visuais - Segunda Licenciatura em Artes Visuais - Lucia de Fátima Meirelles - Tecnologia nas Artes Visuais - Nota Máxima: 9")</f>
        <v>#SLAA - Segunda Licenciatura em Artes Visuais - Segunda Licenciatura em Artes Visuais - Lucia de Fátima Meirelles - Tecnologia nas Artes Visuais - Nota Máxima: 9</v>
      </c>
    </row>
    <row r="6689">
      <c r="A6689" s="390" t="str">
        <f>IFERROR(__xludf.DUMMYFUNCTION("""COMPUTED_VALUE"""),"#SLAA - Segunda Licenciatura em Artes Visuais - Segunda Licenciatura em Artes Visuais - Fabricio Da Silva Miccichelli - Arte Brasileira na Formação da Identidade Nacional - Nota Máxima: 9")</f>
        <v>#SLAA - Segunda Licenciatura em Artes Visuais - Segunda Licenciatura em Artes Visuais - Fabricio Da Silva Miccichelli - Arte Brasileira na Formação da Identidade Nacional - Nota Máxima: 9</v>
      </c>
    </row>
    <row r="6690">
      <c r="A6690" s="390" t="str">
        <f>IFERROR(__xludf.DUMMYFUNCTION("""COMPUTED_VALUE"""),"#SLAA - Segunda Licenciatura em Artes Visuais - Segunda Licenciatura em Artes Visuais - Fabricio Da Silva Miccichelli - Arte Conceitual, Instalações e Arte Urbana - Nota Máxima: 10")</f>
        <v>#SLAA - Segunda Licenciatura em Artes Visuais - Segunda Licenciatura em Artes Visuais - Fabricio Da Silva Miccichelli - Arte Conceitual, Instalações e Arte Urbana - Nota Máxima: 10</v>
      </c>
    </row>
    <row r="6691">
      <c r="A6691" s="390" t="str">
        <f>IFERROR(__xludf.DUMMYFUNCTION("""COMPUTED_VALUE"""),"#SLAA - Segunda Licenciatura em Artes Visuais - Segunda Licenciatura em Artes Visuais - Fabricio Da Silva Miccichelli - Arte em Educação - Nota Máxima: 10")</f>
        <v>#SLAA - Segunda Licenciatura em Artes Visuais - Segunda Licenciatura em Artes Visuais - Fabricio Da Silva Miccichelli - Arte em Educação - Nota Máxima: 10</v>
      </c>
    </row>
    <row r="6692">
      <c r="A6692" s="390" t="str">
        <f>IFERROR(__xludf.DUMMYFUNCTION("""COMPUTED_VALUE"""),"#SLAA - Segunda Licenciatura em Artes Visuais - Segunda Licenciatura em Artes Visuais - Fabricio Da Silva Miccichelli - Deficiência Auditiva e Libras/a - Nota Máxima: 9")</f>
        <v>#SLAA - Segunda Licenciatura em Artes Visuais - Segunda Licenciatura em Artes Visuais - Fabricio Da Silva Miccichelli - Deficiência Auditiva e Libras/a - Nota Máxima: 9</v>
      </c>
    </row>
    <row r="6693">
      <c r="A6693" s="390" t="str">
        <f>IFERROR(__xludf.DUMMYFUNCTION("""COMPUTED_VALUE"""),"#SLAA - Segunda Licenciatura em Artes Visuais - Segunda Licenciatura em Artes Visuais - Fabricio Da Silva Miccichelli - Desenho e Observação - Nota Máxima: 10")</f>
        <v>#SLAA - Segunda Licenciatura em Artes Visuais - Segunda Licenciatura em Artes Visuais - Fabricio Da Silva Miccichelli - Desenho e Observação - Nota Máxima: 10</v>
      </c>
    </row>
    <row r="6694">
      <c r="A6694" s="390" t="str">
        <f>IFERROR(__xludf.DUMMYFUNCTION("""COMPUTED_VALUE"""),"#SLAA - Segunda Licenciatura em Artes Visuais - Segunda Licenciatura em Artes Visuais - Fabricio Da Silva Miccichelli - Educação Especial, Inclusão Escolar e Adaptações Curriculares - Nota Máxima: 10")</f>
        <v>#SLAA - Segunda Licenciatura em Artes Visuais - Segunda Licenciatura em Artes Visuais - Fabricio Da Silva Miccichelli - Educação Especial, Inclusão Escolar e Adaptações Curriculares - Nota Máxima: 10</v>
      </c>
    </row>
    <row r="6695">
      <c r="A6695" s="390" t="str">
        <f>IFERROR(__xludf.DUMMYFUNCTION("""COMPUTED_VALUE"""),"#SLAA - Segunda Licenciatura em Artes Visuais - Segunda Licenciatura em Artes Visuais - Fabricio Da Silva Miccichelli - Educação, História, Cultura e Práticas Indígenas/a - Nota Máxima: 10")</f>
        <v>#SLAA - Segunda Licenciatura em Artes Visuais - Segunda Licenciatura em Artes Visuais - Fabricio Da Silva Miccichelli - Educação, História, Cultura e Práticas Indígenas/a - Nota Máxima: 10</v>
      </c>
    </row>
    <row r="6696">
      <c r="A6696" s="390" t="str">
        <f>IFERROR(__xludf.DUMMYFUNCTION("""COMPUTED_VALUE"""),"#SLAA - Segunda Licenciatura em Artes Visuais - Segunda Licenciatura em Artes Visuais - Fabricio Da Silva Miccichelli - Expressão Gráfica - Nota Máxima: 9")</f>
        <v>#SLAA - Segunda Licenciatura em Artes Visuais - Segunda Licenciatura em Artes Visuais - Fabricio Da Silva Miccichelli - Expressão Gráfica - Nota Máxima: 9</v>
      </c>
    </row>
    <row r="6697">
      <c r="A6697" s="390" t="str">
        <f>IFERROR(__xludf.DUMMYFUNCTION("""COMPUTED_VALUE"""),"#SLAA - Segunda Licenciatura em Artes Visuais - Segunda Licenciatura em Artes Visuais - Fabricio Da Silva Miccichelli - Filosofia das Artes à Estética - Nota Máxima: 9")</f>
        <v>#SLAA - Segunda Licenciatura em Artes Visuais - Segunda Licenciatura em Artes Visuais - Fabricio Da Silva Miccichelli - Filosofia das Artes à Estética - Nota Máxima: 9</v>
      </c>
    </row>
    <row r="6698">
      <c r="A6698" s="390" t="str">
        <f>IFERROR(__xludf.DUMMYFUNCTION("""COMPUTED_VALUE"""),"#SLAA - Segunda Licenciatura em Artes Visuais - Segunda Licenciatura em Artes Visuais - Fabricio Da Silva Miccichelli - Legislação Educacional/a - Nota Máxima: 10")</f>
        <v>#SLAA - Segunda Licenciatura em Artes Visuais - Segunda Licenciatura em Artes Visuais - Fabricio Da Silva Miccichelli - Legislação Educacional/a - Nota Máxima: 10</v>
      </c>
    </row>
    <row r="6699">
      <c r="A6699" s="390" t="str">
        <f>IFERROR(__xludf.DUMMYFUNCTION("""COMPUTED_VALUE"""),"#SLAA - Segunda Licenciatura em Artes Visuais - Segunda Licenciatura em Artes Visuais - Fabricio Da Silva Miccichelli - Linguagem das Artes Plásticas - Nota Máxima: 10")</f>
        <v>#SLAA - Segunda Licenciatura em Artes Visuais - Segunda Licenciatura em Artes Visuais - Fabricio Da Silva Miccichelli - Linguagem das Artes Plásticas - Nota Máxima: 10</v>
      </c>
    </row>
    <row r="6700">
      <c r="A6700" s="390" t="str">
        <f>IFERROR(__xludf.DUMMYFUNCTION("""COMPUTED_VALUE"""),"#SLAA - Segunda Licenciatura em Artes Visuais - Segunda Licenciatura em Artes Visuais - Fabricio Da Silva Miccichelli - Planejamento, Gestão Educacional e Currículo/a - Nota Máxima: 10")</f>
        <v>#SLAA - Segunda Licenciatura em Artes Visuais - Segunda Licenciatura em Artes Visuais - Fabricio Da Silva Miccichelli - Planejamento, Gestão Educacional e Currículo/a - Nota Máxima: 10</v>
      </c>
    </row>
    <row r="6701">
      <c r="A6701" s="390" t="str">
        <f>IFERROR(__xludf.DUMMYFUNCTION("""COMPUTED_VALUE"""),"#SLAA - Segunda Licenciatura em Artes Visuais - Segunda Licenciatura em Artes Visuais - Fabricio Da Silva Miccichelli - Práticas Pedagógicas - 400 Horas - Nota Máxima: 45784")</f>
        <v>#SLAA - Segunda Licenciatura em Artes Visuais - Segunda Licenciatura em Artes Visuais - Fabricio Da Silva Miccichelli - Práticas Pedagógicas - 400 Horas - Nota Máxima: 45784</v>
      </c>
    </row>
    <row r="6702">
      <c r="A6702" s="390" t="str">
        <f>IFERROR(__xludf.DUMMYFUNCTION("""COMPUTED_VALUE"""),"#SLAA - Segunda Licenciatura em Artes Visuais - Segunda Licenciatura em Artes Visuais - Fabricio Da Silva Miccichelli - Práticas Pedagógicas - 400 Horas - Nota Máxima: 2")</f>
        <v>#SLAA - Segunda Licenciatura em Artes Visuais - Segunda Licenciatura em Artes Visuais - Fabricio Da Silva Miccichelli - Práticas Pedagógicas - 400 Horas - Nota Máxima: 2</v>
      </c>
    </row>
    <row r="6703">
      <c r="A6703" s="390" t="str">
        <f>IFERROR(__xludf.DUMMYFUNCTION("""COMPUTED_VALUE"""),"#SLAA - Segunda Licenciatura em Artes Visuais - Segunda Licenciatura em Artes Visuais - Fabricio Da Silva Miccichelli - Psicologia da Educação/a - Nota Máxima: 10")</f>
        <v>#SLAA - Segunda Licenciatura em Artes Visuais - Segunda Licenciatura em Artes Visuais - Fabricio Da Silva Miccichelli - Psicologia da Educação/a - Nota Máxima: 10</v>
      </c>
    </row>
    <row r="6704">
      <c r="A6704" s="390" t="str">
        <f>IFERROR(__xludf.DUMMYFUNCTION("""COMPUTED_VALUE"""),"#SLAA - Segunda Licenciatura em Artes Visuais - Segunda Licenciatura em Artes Visuais - Fabricio Da Silva Miccichelli - Psicomotricidade e Ludopedagogia - Nota Máxima: 10")</f>
        <v>#SLAA - Segunda Licenciatura em Artes Visuais - Segunda Licenciatura em Artes Visuais - Fabricio Da Silva Miccichelli - Psicomotricidade e Ludopedagogia - Nota Máxima: 10</v>
      </c>
    </row>
    <row r="6705">
      <c r="A6705" s="390" t="str">
        <f>IFERROR(__xludf.DUMMYFUNCTION("""COMPUTED_VALUE"""),"#SLAA - Segunda Licenciatura em Artes Visuais - Segunda Licenciatura em Artes Visuais - Fabricio Da Silva Miccichelli - Tecnologia nas Artes Visuais - Nota Máxima: 9")</f>
        <v>#SLAA - Segunda Licenciatura em Artes Visuais - Segunda Licenciatura em Artes Visuais - Fabricio Da Silva Miccichelli - Tecnologia nas Artes Visuais - Nota Máxima: 9</v>
      </c>
    </row>
    <row r="6706">
      <c r="A6706" s="390" t="str">
        <f>IFERROR(__xludf.DUMMYFUNCTION("""COMPUTED_VALUE"""),"#SLAA - Segunda Licenciatura em Artes Visuais - Segunda Licenciatura em Artes Visuais - Valquiria Rodrigues dos Santos - Arte Brasileira na Formação da Identidade Nacional - Nota Máxima: 9")</f>
        <v>#SLAA - Segunda Licenciatura em Artes Visuais - Segunda Licenciatura em Artes Visuais - Valquiria Rodrigues dos Santos - Arte Brasileira na Formação da Identidade Nacional - Nota Máxima: 9</v>
      </c>
    </row>
    <row r="6707">
      <c r="A6707" s="390" t="str">
        <f>IFERROR(__xludf.DUMMYFUNCTION("""COMPUTED_VALUE"""),"#SLAA - Segunda Licenciatura em Artes Visuais - Segunda Licenciatura em Artes Visuais - Valquiria Rodrigues dos Santos - Arte Brasileira na Formação da Identidade Nacional - Nota Máxima: 5")</f>
        <v>#SLAA - Segunda Licenciatura em Artes Visuais - Segunda Licenciatura em Artes Visuais - Valquiria Rodrigues dos Santos - Arte Brasileira na Formação da Identidade Nacional - Nota Máxima: 5</v>
      </c>
    </row>
    <row r="6708">
      <c r="A6708" s="390" t="str">
        <f>IFERROR(__xludf.DUMMYFUNCTION("""COMPUTED_VALUE"""),"#SLAA - Segunda Licenciatura em Artes Visuais - Segunda Licenciatura em Artes Visuais - Valquiria Rodrigues dos Santos - Arte Conceitual, Instalações e Arte Urbana - Nota Máxima: 9")</f>
        <v>#SLAA - Segunda Licenciatura em Artes Visuais - Segunda Licenciatura em Artes Visuais - Valquiria Rodrigues dos Santos - Arte Conceitual, Instalações e Arte Urbana - Nota Máxima: 9</v>
      </c>
    </row>
    <row r="6709">
      <c r="A6709" s="390" t="str">
        <f>IFERROR(__xludf.DUMMYFUNCTION("""COMPUTED_VALUE"""),"#SLAA - Segunda Licenciatura em Artes Visuais - Segunda Licenciatura em Artes Visuais - Valquiria Rodrigues dos Santos - Arte em Educação - Nota Máxima: 10")</f>
        <v>#SLAA - Segunda Licenciatura em Artes Visuais - Segunda Licenciatura em Artes Visuais - Valquiria Rodrigues dos Santos - Arte em Educação - Nota Máxima: 10</v>
      </c>
    </row>
    <row r="6710">
      <c r="A6710" s="390" t="str">
        <f>IFERROR(__xludf.DUMMYFUNCTION("""COMPUTED_VALUE"""),"#SLAA - Segunda Licenciatura em Artes Visuais - Segunda Licenciatura em Artes Visuais - Valquiria Rodrigues dos Santos - Arte em Educação - Nota Máxima: 7")</f>
        <v>#SLAA - Segunda Licenciatura em Artes Visuais - Segunda Licenciatura em Artes Visuais - Valquiria Rodrigues dos Santos - Arte em Educação - Nota Máxima: 7</v>
      </c>
    </row>
    <row r="6711">
      <c r="A6711" s="390" t="str">
        <f>IFERROR(__xludf.DUMMYFUNCTION("""COMPUTED_VALUE"""),"#SLAA - Segunda Licenciatura em Artes Visuais - Segunda Licenciatura em Artes Visuais - Valquiria Rodrigues dos Santos - Deficiência Auditiva e Libras/a - Nota Máxima: 10")</f>
        <v>#SLAA - Segunda Licenciatura em Artes Visuais - Segunda Licenciatura em Artes Visuais - Valquiria Rodrigues dos Santos - Deficiência Auditiva e Libras/a - Nota Máxima: 10</v>
      </c>
    </row>
    <row r="6712">
      <c r="A6712" s="390" t="str">
        <f>IFERROR(__xludf.DUMMYFUNCTION("""COMPUTED_VALUE"""),"#SLAA - Segunda Licenciatura em Artes Visuais - Segunda Licenciatura em Artes Visuais - Valquiria Rodrigues dos Santos - Deficiência Auditiva e Libras/a - Nota Máxima: 10")</f>
        <v>#SLAA - Segunda Licenciatura em Artes Visuais - Segunda Licenciatura em Artes Visuais - Valquiria Rodrigues dos Santos - Deficiência Auditiva e Libras/a - Nota Máxima: 10</v>
      </c>
    </row>
    <row r="6713">
      <c r="A6713" s="390" t="str">
        <f>IFERROR(__xludf.DUMMYFUNCTION("""COMPUTED_VALUE"""),"#SLAA - Segunda Licenciatura em Artes Visuais - Segunda Licenciatura em Artes Visuais - Valquiria Rodrigues dos Santos - Desenho e Observação - Nota Máxima: 10")</f>
        <v>#SLAA - Segunda Licenciatura em Artes Visuais - Segunda Licenciatura em Artes Visuais - Valquiria Rodrigues dos Santos - Desenho e Observação - Nota Máxima: 10</v>
      </c>
    </row>
    <row r="6714">
      <c r="A6714" s="390" t="str">
        <f>IFERROR(__xludf.DUMMYFUNCTION("""COMPUTED_VALUE"""),"#SLAA - Segunda Licenciatura em Artes Visuais - Segunda Licenciatura em Artes Visuais - Valquiria Rodrigues dos Santos - Desenho e Observação - Nota Máxima: 10")</f>
        <v>#SLAA - Segunda Licenciatura em Artes Visuais - Segunda Licenciatura em Artes Visuais - Valquiria Rodrigues dos Santos - Desenho e Observação - Nota Máxima: 10</v>
      </c>
    </row>
    <row r="6715">
      <c r="A6715" s="390" t="str">
        <f>IFERROR(__xludf.DUMMYFUNCTION("""COMPUTED_VALUE"""),"#SLAA - Segunda Licenciatura em Artes Visuais - Segunda Licenciatura em Artes Visuais - Valquiria Rodrigues dos Santos - Educação Especial, Inclusão Escolar e Adaptações Curriculares - Nota Máxima: 10")</f>
        <v>#SLAA - Segunda Licenciatura em Artes Visuais - Segunda Licenciatura em Artes Visuais - Valquiria Rodrigues dos Santos - Educação Especial, Inclusão Escolar e Adaptações Curriculares - Nota Máxima: 10</v>
      </c>
    </row>
    <row r="6716">
      <c r="A6716" s="390" t="str">
        <f>IFERROR(__xludf.DUMMYFUNCTION("""COMPUTED_VALUE"""),"#SLAA - Segunda Licenciatura em Artes Visuais - Segunda Licenciatura em Artes Visuais - Valquiria Rodrigues dos Santos - Educação Especial, Inclusão Escolar e Adaptações Curriculares - Nota Máxima: 10")</f>
        <v>#SLAA - Segunda Licenciatura em Artes Visuais - Segunda Licenciatura em Artes Visuais - Valquiria Rodrigues dos Santos - Educação Especial, Inclusão Escolar e Adaptações Curriculares - Nota Máxima: 10</v>
      </c>
    </row>
    <row r="6717">
      <c r="A6717" s="390" t="str">
        <f>IFERROR(__xludf.DUMMYFUNCTION("""COMPUTED_VALUE"""),"#SLAA - Segunda Licenciatura em Artes Visuais - Segunda Licenciatura em Artes Visuais - Valquiria Rodrigues dos Santos - Educação, História, Cultura e Práticas Indígenas/a - Nota Máxima: 10")</f>
        <v>#SLAA - Segunda Licenciatura em Artes Visuais - Segunda Licenciatura em Artes Visuais - Valquiria Rodrigues dos Santos - Educação, História, Cultura e Práticas Indígenas/a - Nota Máxima: 10</v>
      </c>
    </row>
    <row r="6718">
      <c r="A6718" s="390" t="str">
        <f>IFERROR(__xludf.DUMMYFUNCTION("""COMPUTED_VALUE"""),"#SLAA - Segunda Licenciatura em Artes Visuais - Segunda Licenciatura em Artes Visuais - Valquiria Rodrigues dos Santos - Educação, História, Cultura e Práticas Indígenas/a - Nota Máxima: 6")</f>
        <v>#SLAA - Segunda Licenciatura em Artes Visuais - Segunda Licenciatura em Artes Visuais - Valquiria Rodrigues dos Santos - Educação, História, Cultura e Práticas Indígenas/a - Nota Máxima: 6</v>
      </c>
    </row>
    <row r="6719">
      <c r="A6719" s="390" t="str">
        <f>IFERROR(__xludf.DUMMYFUNCTION("""COMPUTED_VALUE"""),"#SLAA - Segunda Licenciatura em Artes Visuais - Segunda Licenciatura em Artes Visuais - Valquiria Rodrigues dos Santos - Expressão Gráfica - Nota Máxima: 10")</f>
        <v>#SLAA - Segunda Licenciatura em Artes Visuais - Segunda Licenciatura em Artes Visuais - Valquiria Rodrigues dos Santos - Expressão Gráfica - Nota Máxima: 10</v>
      </c>
    </row>
    <row r="6720">
      <c r="A6720" s="390" t="str">
        <f>IFERROR(__xludf.DUMMYFUNCTION("""COMPUTED_VALUE"""),"#SLAA - Segunda Licenciatura em Artes Visuais - Segunda Licenciatura em Artes Visuais - Valquiria Rodrigues dos Santos - Expressão Gráfica - Nota Máxima: 10")</f>
        <v>#SLAA - Segunda Licenciatura em Artes Visuais - Segunda Licenciatura em Artes Visuais - Valquiria Rodrigues dos Santos - Expressão Gráfica - Nota Máxima: 10</v>
      </c>
    </row>
    <row r="6721">
      <c r="A6721" s="390" t="str">
        <f>IFERROR(__xludf.DUMMYFUNCTION("""COMPUTED_VALUE"""),"#SLAA - Segunda Licenciatura em Artes Visuais - Segunda Licenciatura em Artes Visuais - Valquiria Rodrigues dos Santos - Filosofia das Artes à Estética - Nota Máxima: 10")</f>
        <v>#SLAA - Segunda Licenciatura em Artes Visuais - Segunda Licenciatura em Artes Visuais - Valquiria Rodrigues dos Santos - Filosofia das Artes à Estética - Nota Máxima: 10</v>
      </c>
    </row>
    <row r="6722">
      <c r="A6722" s="390" t="str">
        <f>IFERROR(__xludf.DUMMYFUNCTION("""COMPUTED_VALUE"""),"#SLAA - Segunda Licenciatura em Artes Visuais - Segunda Licenciatura em Artes Visuais - Valquiria Rodrigues dos Santos - Filosofia das Artes à Estética - Nota Máxima: 5")</f>
        <v>#SLAA - Segunda Licenciatura em Artes Visuais - Segunda Licenciatura em Artes Visuais - Valquiria Rodrigues dos Santos - Filosofia das Artes à Estética - Nota Máxima: 5</v>
      </c>
    </row>
    <row r="6723">
      <c r="A6723" s="390" t="str">
        <f>IFERROR(__xludf.DUMMYFUNCTION("""COMPUTED_VALUE"""),"#SLAA - Segunda Licenciatura em Artes Visuais - Segunda Licenciatura em Artes Visuais - Valquiria Rodrigues dos Santos - Legislação Educacional/a - Nota Máxima: 10")</f>
        <v>#SLAA - Segunda Licenciatura em Artes Visuais - Segunda Licenciatura em Artes Visuais - Valquiria Rodrigues dos Santos - Legislação Educacional/a - Nota Máxima: 10</v>
      </c>
    </row>
    <row r="6724">
      <c r="A6724" s="390" t="str">
        <f>IFERROR(__xludf.DUMMYFUNCTION("""COMPUTED_VALUE"""),"#SLAA - Segunda Licenciatura em Artes Visuais - Segunda Licenciatura em Artes Visuais - Valquiria Rodrigues dos Santos - Legislação Educacional/a - Nota Máxima: 8")</f>
        <v>#SLAA - Segunda Licenciatura em Artes Visuais - Segunda Licenciatura em Artes Visuais - Valquiria Rodrigues dos Santos - Legislação Educacional/a - Nota Máxima: 8</v>
      </c>
    </row>
    <row r="6725">
      <c r="A6725" s="390" t="str">
        <f>IFERROR(__xludf.DUMMYFUNCTION("""COMPUTED_VALUE"""),"#SLAA - Segunda Licenciatura em Artes Visuais - Segunda Licenciatura em Artes Visuais - Valquiria Rodrigues dos Santos - Linguagem das Artes Plásticas - Nota Máxima: 10")</f>
        <v>#SLAA - Segunda Licenciatura em Artes Visuais - Segunda Licenciatura em Artes Visuais - Valquiria Rodrigues dos Santos - Linguagem das Artes Plásticas - Nota Máxima: 10</v>
      </c>
    </row>
    <row r="6726">
      <c r="A6726" s="390" t="str">
        <f>IFERROR(__xludf.DUMMYFUNCTION("""COMPUTED_VALUE"""),"#SLAA - Segunda Licenciatura em Artes Visuais - Segunda Licenciatura em Artes Visuais - Valquiria Rodrigues dos Santos - Linguagem das Artes Plásticas - Nota Máxima: 5")</f>
        <v>#SLAA - Segunda Licenciatura em Artes Visuais - Segunda Licenciatura em Artes Visuais - Valquiria Rodrigues dos Santos - Linguagem das Artes Plásticas - Nota Máxima: 5</v>
      </c>
    </row>
    <row r="6727">
      <c r="A6727" s="390" t="str">
        <f>IFERROR(__xludf.DUMMYFUNCTION("""COMPUTED_VALUE"""),"#SLAA - Segunda Licenciatura em Artes Visuais - Segunda Licenciatura em Artes Visuais - Valquiria Rodrigues dos Santos - Planejamento, Gestão Educacional e Currículo/a - Nota Máxima: 10")</f>
        <v>#SLAA - Segunda Licenciatura em Artes Visuais - Segunda Licenciatura em Artes Visuais - Valquiria Rodrigues dos Santos - Planejamento, Gestão Educacional e Currículo/a - Nota Máxima: 10</v>
      </c>
    </row>
    <row r="6728">
      <c r="A6728" s="390" t="str">
        <f>IFERROR(__xludf.DUMMYFUNCTION("""COMPUTED_VALUE"""),"#SLAA - Segunda Licenciatura em Artes Visuais - Segunda Licenciatura em Artes Visuais - Valquiria Rodrigues dos Santos - Planejamento, Gestão Educacional e Currículo/a - Nota Máxima: 8")</f>
        <v>#SLAA - Segunda Licenciatura em Artes Visuais - Segunda Licenciatura em Artes Visuais - Valquiria Rodrigues dos Santos - Planejamento, Gestão Educacional e Currículo/a - Nota Máxima: 8</v>
      </c>
    </row>
    <row r="6729">
      <c r="A6729" s="390" t="str">
        <f>IFERROR(__xludf.DUMMYFUNCTION("""COMPUTED_VALUE"""),"#SLAA - Segunda Licenciatura em Artes Visuais - Segunda Licenciatura em Artes Visuais - Valquiria Rodrigues dos Santos - Práticas Pedagógicas - 400 Horas - Nota Máxima: 10")</f>
        <v>#SLAA - Segunda Licenciatura em Artes Visuais - Segunda Licenciatura em Artes Visuais - Valquiria Rodrigues dos Santos - Práticas Pedagógicas - 400 Horas - Nota Máxima: 10</v>
      </c>
    </row>
    <row r="6730">
      <c r="A6730" s="390" t="str">
        <f>IFERROR(__xludf.DUMMYFUNCTION("""COMPUTED_VALUE"""),"#SLAA - Segunda Licenciatura em Artes Visuais - Segunda Licenciatura em Artes Visuais - Valquiria Rodrigues dos Santos - Práticas Pedagógicas - 400 Horas - Nota Máxima: 10")</f>
        <v>#SLAA - Segunda Licenciatura em Artes Visuais - Segunda Licenciatura em Artes Visuais - Valquiria Rodrigues dos Santos - Práticas Pedagógicas - 400 Horas - Nota Máxima: 10</v>
      </c>
    </row>
    <row r="6731">
      <c r="A6731" s="390" t="str">
        <f>IFERROR(__xludf.DUMMYFUNCTION("""COMPUTED_VALUE"""),"#SLAA - Segunda Licenciatura em Artes Visuais - Segunda Licenciatura em Artes Visuais - Valquiria Rodrigues dos Santos - Psicologia da Educação/a - Nota Máxima: 10")</f>
        <v>#SLAA - Segunda Licenciatura em Artes Visuais - Segunda Licenciatura em Artes Visuais - Valquiria Rodrigues dos Santos - Psicologia da Educação/a - Nota Máxima: 10</v>
      </c>
    </row>
    <row r="6732">
      <c r="A6732" s="390" t="str">
        <f>IFERROR(__xludf.DUMMYFUNCTION("""COMPUTED_VALUE"""),"#SLAA - Segunda Licenciatura em Artes Visuais - Segunda Licenciatura em Artes Visuais - Valquiria Rodrigues dos Santos - Psicologia da Educação/a - Nota Máxima: 8")</f>
        <v>#SLAA - Segunda Licenciatura em Artes Visuais - Segunda Licenciatura em Artes Visuais - Valquiria Rodrigues dos Santos - Psicologia da Educação/a - Nota Máxima: 8</v>
      </c>
    </row>
    <row r="6733">
      <c r="A6733" s="390" t="str">
        <f>IFERROR(__xludf.DUMMYFUNCTION("""COMPUTED_VALUE"""),"#SLAA - Segunda Licenciatura em Artes Visuais - Segunda Licenciatura em Artes Visuais - Valquiria Rodrigues dos Santos - Psicomotricidade e Ludopedagogia - Nota Máxima: 8")</f>
        <v>#SLAA - Segunda Licenciatura em Artes Visuais - Segunda Licenciatura em Artes Visuais - Valquiria Rodrigues dos Santos - Psicomotricidade e Ludopedagogia - Nota Máxima: 8</v>
      </c>
    </row>
    <row r="6734">
      <c r="A6734" s="390" t="str">
        <f>IFERROR(__xludf.DUMMYFUNCTION("""COMPUTED_VALUE"""),"#SLAA - Segunda Licenciatura em Artes Visuais - Segunda Licenciatura em Artes Visuais - Valquiria Rodrigues dos Santos - Psicomotricidade e Ludopedagogia - Nota Máxima: 7")</f>
        <v>#SLAA - Segunda Licenciatura em Artes Visuais - Segunda Licenciatura em Artes Visuais - Valquiria Rodrigues dos Santos - Psicomotricidade e Ludopedagogia - Nota Máxima: 7</v>
      </c>
    </row>
    <row r="6735">
      <c r="A6735" s="390" t="str">
        <f>IFERROR(__xludf.DUMMYFUNCTION("""COMPUTED_VALUE"""),"#SLAA - Segunda Licenciatura em Artes Visuais - Segunda Licenciatura em Artes Visuais - Valquiria Rodrigues dos Santos - Tecnologia nas Artes Visuais - Nota Máxima: 10")</f>
        <v>#SLAA - Segunda Licenciatura em Artes Visuais - Segunda Licenciatura em Artes Visuais - Valquiria Rodrigues dos Santos - Tecnologia nas Artes Visuais - Nota Máxima: 10</v>
      </c>
    </row>
    <row r="6736">
      <c r="A6736" s="390" t="str">
        <f>IFERROR(__xludf.DUMMYFUNCTION("""COMPUTED_VALUE"""),"#SLAA - Segunda Licenciatura em Artes Visuais - Segunda Licenciatura em Artes Visuais - Valquiria Rodrigues dos Santos - Tecnologia nas Artes Visuais - Nota Máxima: 6")</f>
        <v>#SLAA - Segunda Licenciatura em Artes Visuais - Segunda Licenciatura em Artes Visuais - Valquiria Rodrigues dos Santos - Tecnologia nas Artes Visuais - Nota Máxima: 6</v>
      </c>
    </row>
    <row r="6737">
      <c r="A6737" s="390" t="str">
        <f>IFERROR(__xludf.DUMMYFUNCTION("""COMPUTED_VALUE"""),"#SLAA - Segunda Licenciatura em Artes Visuais - Segunda Licenciatura em Artes Visuais - Karla Daniele Leite Matos Ribeiro - Arte Brasileira na Formação da Identidade Nacional - Nota Máxima: 10")</f>
        <v>#SLAA - Segunda Licenciatura em Artes Visuais - Segunda Licenciatura em Artes Visuais - Karla Daniele Leite Matos Ribeiro - Arte Brasileira na Formação da Identidade Nacional - Nota Máxima: 10</v>
      </c>
    </row>
    <row r="6738">
      <c r="A6738" s="390" t="str">
        <f>IFERROR(__xludf.DUMMYFUNCTION("""COMPUTED_VALUE"""),"#SLAA - Segunda Licenciatura em Artes Visuais - Segunda Licenciatura em Artes Visuais - Karla Daniele Leite Matos Ribeiro - Arte Brasileira na Formação da Identidade Nacional - Nota Máxima: 7")</f>
        <v>#SLAA - Segunda Licenciatura em Artes Visuais - Segunda Licenciatura em Artes Visuais - Karla Daniele Leite Matos Ribeiro - Arte Brasileira na Formação da Identidade Nacional - Nota Máxima: 7</v>
      </c>
    </row>
    <row r="6739">
      <c r="A6739" s="390" t="str">
        <f>IFERROR(__xludf.DUMMYFUNCTION("""COMPUTED_VALUE"""),"#SLAA - Segunda Licenciatura em Artes Visuais - Segunda Licenciatura em Artes Visuais - Karla Daniele Leite Matos Ribeiro - Arte Conceitual, Instalações e Arte Urbana - Nota Máxima: 10")</f>
        <v>#SLAA - Segunda Licenciatura em Artes Visuais - Segunda Licenciatura em Artes Visuais - Karla Daniele Leite Matos Ribeiro - Arte Conceitual, Instalações e Arte Urbana - Nota Máxima: 10</v>
      </c>
    </row>
    <row r="6740">
      <c r="A6740" s="390" t="str">
        <f>IFERROR(__xludf.DUMMYFUNCTION("""COMPUTED_VALUE"""),"#SLAA - Segunda Licenciatura em Artes Visuais - Segunda Licenciatura em Artes Visuais - Karla Daniele Leite Matos Ribeiro - Arte Conceitual, Instalações e Arte Urbana - Nota Máxima: 7")</f>
        <v>#SLAA - Segunda Licenciatura em Artes Visuais - Segunda Licenciatura em Artes Visuais - Karla Daniele Leite Matos Ribeiro - Arte Conceitual, Instalações e Arte Urbana - Nota Máxima: 7</v>
      </c>
    </row>
    <row r="6741">
      <c r="A6741" s="390" t="str">
        <f>IFERROR(__xludf.DUMMYFUNCTION("""COMPUTED_VALUE"""),"#SLAA - Segunda Licenciatura em Artes Visuais - Segunda Licenciatura em Artes Visuais - Karla Daniele Leite Matos Ribeiro - Arte em Educação - Nota Máxima: 9")</f>
        <v>#SLAA - Segunda Licenciatura em Artes Visuais - Segunda Licenciatura em Artes Visuais - Karla Daniele Leite Matos Ribeiro - Arte em Educação - Nota Máxima: 9</v>
      </c>
    </row>
    <row r="6742">
      <c r="A6742" s="390" t="str">
        <f>IFERROR(__xludf.DUMMYFUNCTION("""COMPUTED_VALUE"""),"#SLAA - Segunda Licenciatura em Artes Visuais - Segunda Licenciatura em Artes Visuais - Karla Daniele Leite Matos Ribeiro - Arte em Educação - Nota Máxima: 8")</f>
        <v>#SLAA - Segunda Licenciatura em Artes Visuais - Segunda Licenciatura em Artes Visuais - Karla Daniele Leite Matos Ribeiro - Arte em Educação - Nota Máxima: 8</v>
      </c>
    </row>
    <row r="6743">
      <c r="A6743" s="390" t="str">
        <f>IFERROR(__xludf.DUMMYFUNCTION("""COMPUTED_VALUE"""),"#SLAA - Segunda Licenciatura em Artes Visuais - Segunda Licenciatura em Artes Visuais - Karla Daniele Leite Matos Ribeiro - Deficiência Auditiva e Libras/a - Nota Máxima: 10")</f>
        <v>#SLAA - Segunda Licenciatura em Artes Visuais - Segunda Licenciatura em Artes Visuais - Karla Daniele Leite Matos Ribeiro - Deficiência Auditiva e Libras/a - Nota Máxima: 10</v>
      </c>
    </row>
    <row r="6744">
      <c r="A6744" s="390" t="str">
        <f>IFERROR(__xludf.DUMMYFUNCTION("""COMPUTED_VALUE"""),"#SLAA - Segunda Licenciatura em Artes Visuais - Segunda Licenciatura em Artes Visuais - Karla Daniele Leite Matos Ribeiro - Deficiência Auditiva e Libras/a - Nota Máxima: 7")</f>
        <v>#SLAA - Segunda Licenciatura em Artes Visuais - Segunda Licenciatura em Artes Visuais - Karla Daniele Leite Matos Ribeiro - Deficiência Auditiva e Libras/a - Nota Máxima: 7</v>
      </c>
    </row>
    <row r="6745">
      <c r="A6745" s="390" t="str">
        <f>IFERROR(__xludf.DUMMYFUNCTION("""COMPUTED_VALUE"""),"#SLAA - Segunda Licenciatura em Artes Visuais - Segunda Licenciatura em Artes Visuais - Karla Daniele Leite Matos Ribeiro - Desenho e Observação - Nota Máxima: 10")</f>
        <v>#SLAA - Segunda Licenciatura em Artes Visuais - Segunda Licenciatura em Artes Visuais - Karla Daniele Leite Matos Ribeiro - Desenho e Observação - Nota Máxima: 10</v>
      </c>
    </row>
    <row r="6746">
      <c r="A6746" s="390" t="str">
        <f>IFERROR(__xludf.DUMMYFUNCTION("""COMPUTED_VALUE"""),"#SLAA - Segunda Licenciatura em Artes Visuais - Segunda Licenciatura em Artes Visuais - Karla Daniele Leite Matos Ribeiro - Desenho e Observação - Nota Máxima: 10")</f>
        <v>#SLAA - Segunda Licenciatura em Artes Visuais - Segunda Licenciatura em Artes Visuais - Karla Daniele Leite Matos Ribeiro - Desenho e Observação - Nota Máxima: 10</v>
      </c>
    </row>
    <row r="6747">
      <c r="A6747" s="390" t="str">
        <f>IFERROR(__xludf.DUMMYFUNCTION("""COMPUTED_VALUE"""),"#SLAA - Segunda Licenciatura em Artes Visuais - Segunda Licenciatura em Artes Visuais - Karla Daniele Leite Matos Ribeiro - Educação Especial, Inclusão Escolar e Adaptações Curriculares - Nota Máxima: 10")</f>
        <v>#SLAA - Segunda Licenciatura em Artes Visuais - Segunda Licenciatura em Artes Visuais - Karla Daniele Leite Matos Ribeiro - Educação Especial, Inclusão Escolar e Adaptações Curriculares - Nota Máxima: 10</v>
      </c>
    </row>
    <row r="6748">
      <c r="A6748" s="390" t="str">
        <f>IFERROR(__xludf.DUMMYFUNCTION("""COMPUTED_VALUE"""),"#SLAA - Segunda Licenciatura em Artes Visuais - Segunda Licenciatura em Artes Visuais - Karla Daniele Leite Matos Ribeiro - Educação Especial, Inclusão Escolar e Adaptações Curriculares - Nota Máxima: 8")</f>
        <v>#SLAA - Segunda Licenciatura em Artes Visuais - Segunda Licenciatura em Artes Visuais - Karla Daniele Leite Matos Ribeiro - Educação Especial, Inclusão Escolar e Adaptações Curriculares - Nota Máxima: 8</v>
      </c>
    </row>
    <row r="6749">
      <c r="A6749" s="390" t="str">
        <f>IFERROR(__xludf.DUMMYFUNCTION("""COMPUTED_VALUE"""),"#SLAA - Segunda Licenciatura em Artes Visuais - Segunda Licenciatura em Artes Visuais - Karla Daniele Leite Matos Ribeiro - Educação, História, Cultura e Práticas Indígenas/a - Nota Máxima: 10")</f>
        <v>#SLAA - Segunda Licenciatura em Artes Visuais - Segunda Licenciatura em Artes Visuais - Karla Daniele Leite Matos Ribeiro - Educação, História, Cultura e Práticas Indígenas/a - Nota Máxima: 10</v>
      </c>
    </row>
    <row r="6750">
      <c r="A6750" s="390" t="str">
        <f>IFERROR(__xludf.DUMMYFUNCTION("""COMPUTED_VALUE"""),"#SLAA - Segunda Licenciatura em Artes Visuais - Segunda Licenciatura em Artes Visuais - Karla Daniele Leite Matos Ribeiro - Educação, História, Cultura e Práticas Indígenas/a - Nota Máxima: 5")</f>
        <v>#SLAA - Segunda Licenciatura em Artes Visuais - Segunda Licenciatura em Artes Visuais - Karla Daniele Leite Matos Ribeiro - Educação, História, Cultura e Práticas Indígenas/a - Nota Máxima: 5</v>
      </c>
    </row>
    <row r="6751">
      <c r="A6751" s="390" t="str">
        <f>IFERROR(__xludf.DUMMYFUNCTION("""COMPUTED_VALUE"""),"#SLAA - Segunda Licenciatura em Artes Visuais - Segunda Licenciatura em Artes Visuais - Karla Daniele Leite Matos Ribeiro - Expressão Gráfica - Nota Máxima: 10")</f>
        <v>#SLAA - Segunda Licenciatura em Artes Visuais - Segunda Licenciatura em Artes Visuais - Karla Daniele Leite Matos Ribeiro - Expressão Gráfica - Nota Máxima: 10</v>
      </c>
    </row>
    <row r="6752">
      <c r="A6752" s="390" t="str">
        <f>IFERROR(__xludf.DUMMYFUNCTION("""COMPUTED_VALUE"""),"#SLAA - Segunda Licenciatura em Artes Visuais - Segunda Licenciatura em Artes Visuais - Karla Daniele Leite Matos Ribeiro - Expressão Gráfica - Nota Máxima: 10")</f>
        <v>#SLAA - Segunda Licenciatura em Artes Visuais - Segunda Licenciatura em Artes Visuais - Karla Daniele Leite Matos Ribeiro - Expressão Gráfica - Nota Máxima: 10</v>
      </c>
    </row>
    <row r="6753">
      <c r="A6753" s="390" t="str">
        <f>IFERROR(__xludf.DUMMYFUNCTION("""COMPUTED_VALUE"""),"#SLAA - Segunda Licenciatura em Artes Visuais - Segunda Licenciatura em Artes Visuais - Karla Daniele Leite Matos Ribeiro - Filosofia das Artes à Estética - Nota Máxima: 7")</f>
        <v>#SLAA - Segunda Licenciatura em Artes Visuais - Segunda Licenciatura em Artes Visuais - Karla Daniele Leite Matos Ribeiro - Filosofia das Artes à Estética - Nota Máxima: 7</v>
      </c>
    </row>
    <row r="6754">
      <c r="A6754" s="390" t="str">
        <f>IFERROR(__xludf.DUMMYFUNCTION("""COMPUTED_VALUE"""),"#SLAA - Segunda Licenciatura em Artes Visuais - Segunda Licenciatura em Artes Visuais - Karla Daniele Leite Matos Ribeiro - Filosofia das Artes à Estética - Nota Máxima: 3")</f>
        <v>#SLAA - Segunda Licenciatura em Artes Visuais - Segunda Licenciatura em Artes Visuais - Karla Daniele Leite Matos Ribeiro - Filosofia das Artes à Estética - Nota Máxima: 3</v>
      </c>
    </row>
    <row r="6755">
      <c r="A6755" s="390" t="str">
        <f>IFERROR(__xludf.DUMMYFUNCTION("""COMPUTED_VALUE"""),"#SLAA - Segunda Licenciatura em Artes Visuais - Segunda Licenciatura em Artes Visuais - Karla Daniele Leite Matos Ribeiro - Legislação Educacional/a - Nota Máxima: 9")</f>
        <v>#SLAA - Segunda Licenciatura em Artes Visuais - Segunda Licenciatura em Artes Visuais - Karla Daniele Leite Matos Ribeiro - Legislação Educacional/a - Nota Máxima: 9</v>
      </c>
    </row>
    <row r="6756">
      <c r="A6756" s="390" t="str">
        <f>IFERROR(__xludf.DUMMYFUNCTION("""COMPUTED_VALUE"""),"#SLAA - Segunda Licenciatura em Artes Visuais - Segunda Licenciatura em Artes Visuais - Karla Daniele Leite Matos Ribeiro - Legislação Educacional/a - Nota Máxima: 7")</f>
        <v>#SLAA - Segunda Licenciatura em Artes Visuais - Segunda Licenciatura em Artes Visuais - Karla Daniele Leite Matos Ribeiro - Legislação Educacional/a - Nota Máxima: 7</v>
      </c>
    </row>
    <row r="6757">
      <c r="A6757" s="390" t="str">
        <f>IFERROR(__xludf.DUMMYFUNCTION("""COMPUTED_VALUE"""),"#SLAA - Segunda Licenciatura em Artes Visuais - Segunda Licenciatura em Artes Visuais - Karla Daniele Leite Matos Ribeiro - Linguagem das Artes Plásticas - Nota Máxima: 10")</f>
        <v>#SLAA - Segunda Licenciatura em Artes Visuais - Segunda Licenciatura em Artes Visuais - Karla Daniele Leite Matos Ribeiro - Linguagem das Artes Plásticas - Nota Máxima: 10</v>
      </c>
    </row>
    <row r="6758">
      <c r="A6758" s="390" t="str">
        <f>IFERROR(__xludf.DUMMYFUNCTION("""COMPUTED_VALUE"""),"#SLAA - Segunda Licenciatura em Artes Visuais - Segunda Licenciatura em Artes Visuais - Karla Daniele Leite Matos Ribeiro - Linguagem das Artes Plásticas - Nota Máxima: 7")</f>
        <v>#SLAA - Segunda Licenciatura em Artes Visuais - Segunda Licenciatura em Artes Visuais - Karla Daniele Leite Matos Ribeiro - Linguagem das Artes Plásticas - Nota Máxima: 7</v>
      </c>
    </row>
    <row r="6759">
      <c r="A6759" s="390" t="str">
        <f>IFERROR(__xludf.DUMMYFUNCTION("""COMPUTED_VALUE"""),"#SLAA - Segunda Licenciatura em Artes Visuais - Segunda Licenciatura em Artes Visuais - Karla Daniele Leite Matos Ribeiro - Planejamento, Gestão Educacional e Currículo/a - Nota Máxima: 10")</f>
        <v>#SLAA - Segunda Licenciatura em Artes Visuais - Segunda Licenciatura em Artes Visuais - Karla Daniele Leite Matos Ribeiro - Planejamento, Gestão Educacional e Currículo/a - Nota Máxima: 10</v>
      </c>
    </row>
    <row r="6760">
      <c r="A6760" s="390" t="str">
        <f>IFERROR(__xludf.DUMMYFUNCTION("""COMPUTED_VALUE"""),"#SLAA - Segunda Licenciatura em Artes Visuais - Segunda Licenciatura em Artes Visuais - Karla Daniele Leite Matos Ribeiro - Planejamento, Gestão Educacional e Currículo/a - Nota Máxima: 9")</f>
        <v>#SLAA - Segunda Licenciatura em Artes Visuais - Segunda Licenciatura em Artes Visuais - Karla Daniele Leite Matos Ribeiro - Planejamento, Gestão Educacional e Currículo/a - Nota Máxima: 9</v>
      </c>
    </row>
    <row r="6761">
      <c r="A6761" s="390" t="str">
        <f>IFERROR(__xludf.DUMMYFUNCTION("""COMPUTED_VALUE"""),"#SLAA - Segunda Licenciatura em Artes Visuais - Segunda Licenciatura em Artes Visuais - Karla Daniele Leite Matos Ribeiro - Práticas Pedagógicas - 400 Horas - Nota Máxima: 10")</f>
        <v>#SLAA - Segunda Licenciatura em Artes Visuais - Segunda Licenciatura em Artes Visuais - Karla Daniele Leite Matos Ribeiro - Práticas Pedagógicas - 400 Horas - Nota Máxima: 10</v>
      </c>
    </row>
    <row r="6762">
      <c r="A6762" s="390" t="str">
        <f>IFERROR(__xludf.DUMMYFUNCTION("""COMPUTED_VALUE"""),"#SLAA - Segunda Licenciatura em Artes Visuais - Segunda Licenciatura em Artes Visuais - Karla Daniele Leite Matos Ribeiro - Práticas Pedagógicas - 400 Horas - Nota Máxima: 10")</f>
        <v>#SLAA - Segunda Licenciatura em Artes Visuais - Segunda Licenciatura em Artes Visuais - Karla Daniele Leite Matos Ribeiro - Práticas Pedagógicas - 400 Horas - Nota Máxima: 10</v>
      </c>
    </row>
    <row r="6763">
      <c r="A6763" s="390" t="str">
        <f>IFERROR(__xludf.DUMMYFUNCTION("""COMPUTED_VALUE"""),"#SLAA - Segunda Licenciatura em Artes Visuais - Segunda Licenciatura em Artes Visuais - Karla Daniele Leite Matos Ribeiro - Psicologia da Educação/a - Nota Máxima: 7")</f>
        <v>#SLAA - Segunda Licenciatura em Artes Visuais - Segunda Licenciatura em Artes Visuais - Karla Daniele Leite Matos Ribeiro - Psicologia da Educação/a - Nota Máxima: 7</v>
      </c>
    </row>
    <row r="6764">
      <c r="A6764" s="390" t="str">
        <f>IFERROR(__xludf.DUMMYFUNCTION("""COMPUTED_VALUE"""),"#SLAA - Segunda Licenciatura em Artes Visuais - Segunda Licenciatura em Artes Visuais - Karla Daniele Leite Matos Ribeiro - Psicologia da Educação/a - Nota Máxima: 6")</f>
        <v>#SLAA - Segunda Licenciatura em Artes Visuais - Segunda Licenciatura em Artes Visuais - Karla Daniele Leite Matos Ribeiro - Psicologia da Educação/a - Nota Máxima: 6</v>
      </c>
    </row>
    <row r="6765">
      <c r="A6765" s="390" t="str">
        <f>IFERROR(__xludf.DUMMYFUNCTION("""COMPUTED_VALUE"""),"#SLAA - Segunda Licenciatura em Artes Visuais - Segunda Licenciatura em Artes Visuais - Karla Daniele Leite Matos Ribeiro - Psicomotricidade e Ludopedagogia - Nota Máxima: 10")</f>
        <v>#SLAA - Segunda Licenciatura em Artes Visuais - Segunda Licenciatura em Artes Visuais - Karla Daniele Leite Matos Ribeiro - Psicomotricidade e Ludopedagogia - Nota Máxima: 10</v>
      </c>
    </row>
    <row r="6766">
      <c r="A6766" s="390" t="str">
        <f>IFERROR(__xludf.DUMMYFUNCTION("""COMPUTED_VALUE"""),"#SLAA - Segunda Licenciatura em Artes Visuais - Segunda Licenciatura em Artes Visuais - Karla Daniele Leite Matos Ribeiro - Psicomotricidade e Ludopedagogia - Nota Máxima: 8")</f>
        <v>#SLAA - Segunda Licenciatura em Artes Visuais - Segunda Licenciatura em Artes Visuais - Karla Daniele Leite Matos Ribeiro - Psicomotricidade e Ludopedagogia - Nota Máxima: 8</v>
      </c>
    </row>
    <row r="6767">
      <c r="A6767" s="390" t="str">
        <f>IFERROR(__xludf.DUMMYFUNCTION("""COMPUTED_VALUE"""),"#SLAA - Segunda Licenciatura em Artes Visuais - Segunda Licenciatura em Artes Visuais - Karla Daniele Leite Matos Ribeiro - Tecnologia nas Artes Visuais - Nota Máxima: 10")</f>
        <v>#SLAA - Segunda Licenciatura em Artes Visuais - Segunda Licenciatura em Artes Visuais - Karla Daniele Leite Matos Ribeiro - Tecnologia nas Artes Visuais - Nota Máxima: 10</v>
      </c>
    </row>
    <row r="6768">
      <c r="A6768" s="390" t="str">
        <f>IFERROR(__xludf.DUMMYFUNCTION("""COMPUTED_VALUE"""),"#SLAA - Segunda Licenciatura em Artes Visuais - Segunda Licenciatura em Artes Visuais - Karla Daniele Leite Matos Ribeiro - Tecnologia nas Artes Visuais - Nota Máxima: 7")</f>
        <v>#SLAA - Segunda Licenciatura em Artes Visuais - Segunda Licenciatura em Artes Visuais - Karla Daniele Leite Matos Ribeiro - Tecnologia nas Artes Visuais - Nota Máxima: 7</v>
      </c>
    </row>
    <row r="6769">
      <c r="A6769" s="390" t="str">
        <f>IFERROR(__xludf.DUMMYFUNCTION("""COMPUTED_VALUE"""),"#SLAA - Segunda Licenciatura em Artes Visuais - Segunda Licenciatura em Artes Visuais - Rodrigo Araquem Maia de Menezes - Arte Brasileira na Formação da Identidade Nacional - Nota Máxima: 9")</f>
        <v>#SLAA - Segunda Licenciatura em Artes Visuais - Segunda Licenciatura em Artes Visuais - Rodrigo Araquem Maia de Menezes - Arte Brasileira na Formação da Identidade Nacional - Nota Máxima: 9</v>
      </c>
    </row>
    <row r="6770">
      <c r="A6770" s="390" t="str">
        <f>IFERROR(__xludf.DUMMYFUNCTION("""COMPUTED_VALUE"""),"#SLAA - Segunda Licenciatura em Artes Visuais - Segunda Licenciatura em Artes Visuais - Rodrigo Araquem Maia de Menezes - Arte Brasileira na Formação da Identidade Nacional - Nota Máxima: 7")</f>
        <v>#SLAA - Segunda Licenciatura em Artes Visuais - Segunda Licenciatura em Artes Visuais - Rodrigo Araquem Maia de Menezes - Arte Brasileira na Formação da Identidade Nacional - Nota Máxima: 7</v>
      </c>
    </row>
    <row r="6771">
      <c r="A6771" s="390" t="str">
        <f>IFERROR(__xludf.DUMMYFUNCTION("""COMPUTED_VALUE"""),"#SLAA - Segunda Licenciatura em Artes Visuais - Segunda Licenciatura em Artes Visuais - Rodrigo Araquem Maia de Menezes - Arte Conceitual, Instalações e Arte Urbana - Nota Máxima: 10")</f>
        <v>#SLAA - Segunda Licenciatura em Artes Visuais - Segunda Licenciatura em Artes Visuais - Rodrigo Araquem Maia de Menezes - Arte Conceitual, Instalações e Arte Urbana - Nota Máxima: 10</v>
      </c>
    </row>
    <row r="6772">
      <c r="A6772" s="390" t="str">
        <f>IFERROR(__xludf.DUMMYFUNCTION("""COMPUTED_VALUE"""),"#SLAA - Segunda Licenciatura em Artes Visuais - Segunda Licenciatura em Artes Visuais - Rodrigo Araquem Maia de Menezes - Arte em Educação - Nota Máxima: 10")</f>
        <v>#SLAA - Segunda Licenciatura em Artes Visuais - Segunda Licenciatura em Artes Visuais - Rodrigo Araquem Maia de Menezes - Arte em Educação - Nota Máxima: 10</v>
      </c>
    </row>
    <row r="6773">
      <c r="A6773" s="390" t="str">
        <f>IFERROR(__xludf.DUMMYFUNCTION("""COMPUTED_VALUE"""),"#SLAA - Segunda Licenciatura em Artes Visuais - Segunda Licenciatura em Artes Visuais - Rodrigo Araquem Maia de Menezes - Arte em Educação - Nota Máxima: 10")</f>
        <v>#SLAA - Segunda Licenciatura em Artes Visuais - Segunda Licenciatura em Artes Visuais - Rodrigo Araquem Maia de Menezes - Arte em Educação - Nota Máxima: 10</v>
      </c>
    </row>
    <row r="6774">
      <c r="A6774" s="390" t="str">
        <f>IFERROR(__xludf.DUMMYFUNCTION("""COMPUTED_VALUE"""),"#SLAA - Segunda Licenciatura em Artes Visuais - Segunda Licenciatura em Artes Visuais - Rodrigo Araquem Maia de Menezes - Deficiência Auditiva e Libras/a - Nota Máxima: 10")</f>
        <v>#SLAA - Segunda Licenciatura em Artes Visuais - Segunda Licenciatura em Artes Visuais - Rodrigo Araquem Maia de Menezes - Deficiência Auditiva e Libras/a - Nota Máxima: 10</v>
      </c>
    </row>
    <row r="6775">
      <c r="A6775" s="390" t="str">
        <f>IFERROR(__xludf.DUMMYFUNCTION("""COMPUTED_VALUE"""),"#SLAA - Segunda Licenciatura em Artes Visuais - Segunda Licenciatura em Artes Visuais - Rodrigo Araquem Maia de Menezes - Desenho e Observação - Nota Máxima: 10")</f>
        <v>#SLAA - Segunda Licenciatura em Artes Visuais - Segunda Licenciatura em Artes Visuais - Rodrigo Araquem Maia de Menezes - Desenho e Observação - Nota Máxima: 10</v>
      </c>
    </row>
    <row r="6776">
      <c r="A6776" s="390" t="str">
        <f>IFERROR(__xludf.DUMMYFUNCTION("""COMPUTED_VALUE"""),"#SLAA - Segunda Licenciatura em Artes Visuais - Segunda Licenciatura em Artes Visuais - Rodrigo Araquem Maia de Menezes - Desenho e Observação - Nota Máxima: 10")</f>
        <v>#SLAA - Segunda Licenciatura em Artes Visuais - Segunda Licenciatura em Artes Visuais - Rodrigo Araquem Maia de Menezes - Desenho e Observação - Nota Máxima: 10</v>
      </c>
    </row>
    <row r="6777">
      <c r="A6777" s="390" t="str">
        <f>IFERROR(__xludf.DUMMYFUNCTION("""COMPUTED_VALUE"""),"#SLAA - Segunda Licenciatura em Artes Visuais - Segunda Licenciatura em Artes Visuais - Rodrigo Araquem Maia de Menezes - Educação Especial, Inclusão Escolar e Adaptações Curriculares - Nota Máxima: 10")</f>
        <v>#SLAA - Segunda Licenciatura em Artes Visuais - Segunda Licenciatura em Artes Visuais - Rodrigo Araquem Maia de Menezes - Educação Especial, Inclusão Escolar e Adaptações Curriculares - Nota Máxima: 10</v>
      </c>
    </row>
    <row r="6778">
      <c r="A6778" s="390" t="str">
        <f>IFERROR(__xludf.DUMMYFUNCTION("""COMPUTED_VALUE"""),"#SLAA - Segunda Licenciatura em Artes Visuais - Segunda Licenciatura em Artes Visuais - Rodrigo Araquem Maia de Menezes - Educação, História, Cultura e Práticas Indígenas/a - Nota Máxima: 10")</f>
        <v>#SLAA - Segunda Licenciatura em Artes Visuais - Segunda Licenciatura em Artes Visuais - Rodrigo Araquem Maia de Menezes - Educação, História, Cultura e Práticas Indígenas/a - Nota Máxima: 10</v>
      </c>
    </row>
    <row r="6779">
      <c r="A6779" s="390" t="str">
        <f>IFERROR(__xludf.DUMMYFUNCTION("""COMPUTED_VALUE"""),"#SLAA - Segunda Licenciatura em Artes Visuais - Segunda Licenciatura em Artes Visuais - Rodrigo Araquem Maia de Menezes - Expressão Gráfica - Nota Máxima: 10")</f>
        <v>#SLAA - Segunda Licenciatura em Artes Visuais - Segunda Licenciatura em Artes Visuais - Rodrigo Araquem Maia de Menezes - Expressão Gráfica - Nota Máxima: 10</v>
      </c>
    </row>
    <row r="6780">
      <c r="A6780" s="390" t="str">
        <f>IFERROR(__xludf.DUMMYFUNCTION("""COMPUTED_VALUE"""),"#SLAA - Segunda Licenciatura em Artes Visuais - Segunda Licenciatura em Artes Visuais - Rodrigo Araquem Maia de Menezes - Expressão Gráfica - Nota Máxima: 10")</f>
        <v>#SLAA - Segunda Licenciatura em Artes Visuais - Segunda Licenciatura em Artes Visuais - Rodrigo Araquem Maia de Menezes - Expressão Gráfica - Nota Máxima: 10</v>
      </c>
    </row>
    <row r="6781">
      <c r="A6781" s="390" t="str">
        <f>IFERROR(__xludf.DUMMYFUNCTION("""COMPUTED_VALUE"""),"#SLAA - Segunda Licenciatura em Artes Visuais - Segunda Licenciatura em Artes Visuais - Rodrigo Araquem Maia de Menezes - Filosofia das Artes à Estética - Nota Máxima: 10")</f>
        <v>#SLAA - Segunda Licenciatura em Artes Visuais - Segunda Licenciatura em Artes Visuais - Rodrigo Araquem Maia de Menezes - Filosofia das Artes à Estética - Nota Máxima: 10</v>
      </c>
    </row>
    <row r="6782">
      <c r="A6782" s="390" t="str">
        <f>IFERROR(__xludf.DUMMYFUNCTION("""COMPUTED_VALUE"""),"#SLAA - Segunda Licenciatura em Artes Visuais - Segunda Licenciatura em Artes Visuais - Rodrigo Araquem Maia de Menezes - Legislação Educacional/a - Nota Máxima: 10")</f>
        <v>#SLAA - Segunda Licenciatura em Artes Visuais - Segunda Licenciatura em Artes Visuais - Rodrigo Araquem Maia de Menezes - Legislação Educacional/a - Nota Máxima: 10</v>
      </c>
    </row>
    <row r="6783">
      <c r="A6783" s="390" t="str">
        <f>IFERROR(__xludf.DUMMYFUNCTION("""COMPUTED_VALUE"""),"#SLAA - Segunda Licenciatura em Artes Visuais - Segunda Licenciatura em Artes Visuais - Rodrigo Araquem Maia de Menezes - Linguagem das Artes Plásticas - Nota Máxima: 10")</f>
        <v>#SLAA - Segunda Licenciatura em Artes Visuais - Segunda Licenciatura em Artes Visuais - Rodrigo Araquem Maia de Menezes - Linguagem das Artes Plásticas - Nota Máxima: 10</v>
      </c>
    </row>
    <row r="6784">
      <c r="A6784" s="390" t="str">
        <f>IFERROR(__xludf.DUMMYFUNCTION("""COMPUTED_VALUE"""),"#SLAA - Segunda Licenciatura em Artes Visuais - Segunda Licenciatura em Artes Visuais - Rodrigo Araquem Maia de Menezes - Planejamento, Gestão Educacional e Currículo/a - Nota Máxima: 10")</f>
        <v>#SLAA - Segunda Licenciatura em Artes Visuais - Segunda Licenciatura em Artes Visuais - Rodrigo Araquem Maia de Menezes - Planejamento, Gestão Educacional e Currículo/a - Nota Máxima: 10</v>
      </c>
    </row>
    <row r="6785">
      <c r="A6785" s="390" t="str">
        <f>IFERROR(__xludf.DUMMYFUNCTION("""COMPUTED_VALUE"""),"#SLAA - Segunda Licenciatura em Artes Visuais - Segunda Licenciatura em Artes Visuais - Rodrigo Araquem Maia de Menezes - Práticas Pedagógicas - 400 Horas - Nota Máxima: 10")</f>
        <v>#SLAA - Segunda Licenciatura em Artes Visuais - Segunda Licenciatura em Artes Visuais - Rodrigo Araquem Maia de Menezes - Práticas Pedagógicas - 400 Horas - Nota Máxima: 10</v>
      </c>
    </row>
    <row r="6786">
      <c r="A6786" s="390" t="str">
        <f>IFERROR(__xludf.DUMMYFUNCTION("""COMPUTED_VALUE"""),"#SLAA - Segunda Licenciatura em Artes Visuais - Segunda Licenciatura em Artes Visuais - Rodrigo Araquem Maia de Menezes - Práticas Pedagógicas - 400 Horas - Nota Máxima: 10")</f>
        <v>#SLAA - Segunda Licenciatura em Artes Visuais - Segunda Licenciatura em Artes Visuais - Rodrigo Araquem Maia de Menezes - Práticas Pedagógicas - 400 Horas - Nota Máxima: 10</v>
      </c>
    </row>
    <row r="6787">
      <c r="A6787" s="390" t="str">
        <f>IFERROR(__xludf.DUMMYFUNCTION("""COMPUTED_VALUE"""),"#SLAA - Segunda Licenciatura em Artes Visuais - Segunda Licenciatura em Artes Visuais - Rodrigo Araquem Maia de Menezes - Psicologia da Educação/a - Nota Máxima: 10")</f>
        <v>#SLAA - Segunda Licenciatura em Artes Visuais - Segunda Licenciatura em Artes Visuais - Rodrigo Araquem Maia de Menezes - Psicologia da Educação/a - Nota Máxima: 10</v>
      </c>
    </row>
    <row r="6788">
      <c r="A6788" s="390" t="str">
        <f>IFERROR(__xludf.DUMMYFUNCTION("""COMPUTED_VALUE"""),"#SLAA - Segunda Licenciatura em Artes Visuais - Segunda Licenciatura em Artes Visuais - Rodrigo Araquem Maia de Menezes - Psicomotricidade e Ludopedagogia - Nota Máxima: 10")</f>
        <v>#SLAA - Segunda Licenciatura em Artes Visuais - Segunda Licenciatura em Artes Visuais - Rodrigo Araquem Maia de Menezes - Psicomotricidade e Ludopedagogia - Nota Máxima: 10</v>
      </c>
    </row>
    <row r="6789">
      <c r="A6789" s="390" t="str">
        <f>IFERROR(__xludf.DUMMYFUNCTION("""COMPUTED_VALUE"""),"#SLAA - Segunda Licenciatura em Artes Visuais - Segunda Licenciatura em Artes Visuais - Rodrigo Araquem Maia de Menezes - Psicomotricidade e Ludopedagogia - Nota Máxima: 7")</f>
        <v>#SLAA - Segunda Licenciatura em Artes Visuais - Segunda Licenciatura em Artes Visuais - Rodrigo Araquem Maia de Menezes - Psicomotricidade e Ludopedagogia - Nota Máxima: 7</v>
      </c>
    </row>
    <row r="6790">
      <c r="A6790" s="390" t="str">
        <f>IFERROR(__xludf.DUMMYFUNCTION("""COMPUTED_VALUE"""),"#SLAA - Segunda Licenciatura em Artes Visuais - Segunda Licenciatura em Artes Visuais - Rodrigo Araquem Maia de Menezes - Tecnologia nas Artes Visuais - Nota Máxima: 7")</f>
        <v>#SLAA - Segunda Licenciatura em Artes Visuais - Segunda Licenciatura em Artes Visuais - Rodrigo Araquem Maia de Menezes - Tecnologia nas Artes Visuais - Nota Máxima: 7</v>
      </c>
    </row>
    <row r="6791">
      <c r="A6791" s="390" t="str">
        <f>IFERROR(__xludf.DUMMYFUNCTION("""COMPUTED_VALUE"""),"#SLAA - Segunda Licenciatura em Artes Visuais - Segunda Licenciatura em Artes Visuais - Rodrigo Araquem Maia de Menezes - Tecnologia nas Artes Visuais - Nota Máxima: 5")</f>
        <v>#SLAA - Segunda Licenciatura em Artes Visuais - Segunda Licenciatura em Artes Visuais - Rodrigo Araquem Maia de Menezes - Tecnologia nas Artes Visuais - Nota Máxima: 5</v>
      </c>
    </row>
    <row r="6792">
      <c r="A6792" s="390" t="str">
        <f>IFERROR(__xludf.DUMMYFUNCTION("""COMPUTED_VALUE"""),"#SLAA - Segunda Licenciatura em Artes Visuais - Segunda Licenciatura em Artes Visuais - Suzana Gomes Gabriel da Cruz - Arte Brasileira na Formação da Identidade Nacional - Nota Máxima: 9")</f>
        <v>#SLAA - Segunda Licenciatura em Artes Visuais - Segunda Licenciatura em Artes Visuais - Suzana Gomes Gabriel da Cruz - Arte Brasileira na Formação da Identidade Nacional - Nota Máxima: 9</v>
      </c>
    </row>
    <row r="6793">
      <c r="A6793" s="390" t="str">
        <f>IFERROR(__xludf.DUMMYFUNCTION("""COMPUTED_VALUE"""),"#SLAA - Segunda Licenciatura em Artes Visuais - Segunda Licenciatura em Artes Visuais - Suzana Gomes Gabriel da Cruz - Arte Conceitual, Instalações e Arte Urbana - Nota Máxima: 9")</f>
        <v>#SLAA - Segunda Licenciatura em Artes Visuais - Segunda Licenciatura em Artes Visuais - Suzana Gomes Gabriel da Cruz - Arte Conceitual, Instalações e Arte Urbana - Nota Máxima: 9</v>
      </c>
    </row>
    <row r="6794">
      <c r="A6794" s="390" t="str">
        <f>IFERROR(__xludf.DUMMYFUNCTION("""COMPUTED_VALUE"""),"#SLAA - Segunda Licenciatura em Artes Visuais - Segunda Licenciatura em Artes Visuais - Suzana Gomes Gabriel da Cruz - Arte em Educação - Nota Máxima: 9")</f>
        <v>#SLAA - Segunda Licenciatura em Artes Visuais - Segunda Licenciatura em Artes Visuais - Suzana Gomes Gabriel da Cruz - Arte em Educação - Nota Máxima: 9</v>
      </c>
    </row>
    <row r="6795">
      <c r="A6795" s="390" t="str">
        <f>IFERROR(__xludf.DUMMYFUNCTION("""COMPUTED_VALUE"""),"#SLAA - Segunda Licenciatura em Artes Visuais - Segunda Licenciatura em Artes Visuais - Suzana Gomes Gabriel da Cruz - Deficiência Auditiva e Libras/a - Nota Máxima: 8")</f>
        <v>#SLAA - Segunda Licenciatura em Artes Visuais - Segunda Licenciatura em Artes Visuais - Suzana Gomes Gabriel da Cruz - Deficiência Auditiva e Libras/a - Nota Máxima: 8</v>
      </c>
    </row>
    <row r="6796">
      <c r="A6796" s="390" t="str">
        <f>IFERROR(__xludf.DUMMYFUNCTION("""COMPUTED_VALUE"""),"#SLAA - Segunda Licenciatura em Artes Visuais - Segunda Licenciatura em Artes Visuais - Suzana Gomes Gabriel da Cruz - Desenho e Observação - Nota Máxima: 10")</f>
        <v>#SLAA - Segunda Licenciatura em Artes Visuais - Segunda Licenciatura em Artes Visuais - Suzana Gomes Gabriel da Cruz - Desenho e Observação - Nota Máxima: 10</v>
      </c>
    </row>
    <row r="6797">
      <c r="A6797" s="390" t="str">
        <f>IFERROR(__xludf.DUMMYFUNCTION("""COMPUTED_VALUE"""),"#SLAA - Segunda Licenciatura em Artes Visuais - Segunda Licenciatura em Artes Visuais - Suzana Gomes Gabriel da Cruz - Educação Especial, Inclusão Escolar e Adaptações Curriculares - Nota Máxima: 9")</f>
        <v>#SLAA - Segunda Licenciatura em Artes Visuais - Segunda Licenciatura em Artes Visuais - Suzana Gomes Gabriel da Cruz - Educação Especial, Inclusão Escolar e Adaptações Curriculares - Nota Máxima: 9</v>
      </c>
    </row>
    <row r="6798">
      <c r="A6798" s="390" t="str">
        <f>IFERROR(__xludf.DUMMYFUNCTION("""COMPUTED_VALUE"""),"#SLAA - Segunda Licenciatura em Artes Visuais - Segunda Licenciatura em Artes Visuais - Suzana Gomes Gabriel da Cruz - Educação, História, Cultura e Práticas Indígenas/a - Nota Máxima: 8")</f>
        <v>#SLAA - Segunda Licenciatura em Artes Visuais - Segunda Licenciatura em Artes Visuais - Suzana Gomes Gabriel da Cruz - Educação, História, Cultura e Práticas Indígenas/a - Nota Máxima: 8</v>
      </c>
    </row>
    <row r="6799">
      <c r="A6799" s="390" t="str">
        <f>IFERROR(__xludf.DUMMYFUNCTION("""COMPUTED_VALUE"""),"#SLAA - Segunda Licenciatura em Artes Visuais - Segunda Licenciatura em Artes Visuais - Suzana Gomes Gabriel da Cruz - Expressão Gráfica - Nota Máxima: 9")</f>
        <v>#SLAA - Segunda Licenciatura em Artes Visuais - Segunda Licenciatura em Artes Visuais - Suzana Gomes Gabriel da Cruz - Expressão Gráfica - Nota Máxima: 9</v>
      </c>
    </row>
    <row r="6800">
      <c r="A6800" s="390" t="str">
        <f>IFERROR(__xludf.DUMMYFUNCTION("""COMPUTED_VALUE"""),"#SLAA - Segunda Licenciatura em Artes Visuais - Segunda Licenciatura em Artes Visuais - Suzana Gomes Gabriel da Cruz - Filosofia das Artes à Estética - Nota Máxima: 8")</f>
        <v>#SLAA - Segunda Licenciatura em Artes Visuais - Segunda Licenciatura em Artes Visuais - Suzana Gomes Gabriel da Cruz - Filosofia das Artes à Estética - Nota Máxima: 8</v>
      </c>
    </row>
    <row r="6801">
      <c r="A6801" s="390" t="str">
        <f>IFERROR(__xludf.DUMMYFUNCTION("""COMPUTED_VALUE"""),"#SLAA - Segunda Licenciatura em Artes Visuais - Segunda Licenciatura em Artes Visuais - Suzana Gomes Gabriel da Cruz - Legislação Educacional/a - Nota Máxima: 8")</f>
        <v>#SLAA - Segunda Licenciatura em Artes Visuais - Segunda Licenciatura em Artes Visuais - Suzana Gomes Gabriel da Cruz - Legislação Educacional/a - Nota Máxima: 8</v>
      </c>
    </row>
    <row r="6802">
      <c r="A6802" s="390" t="str">
        <f>IFERROR(__xludf.DUMMYFUNCTION("""COMPUTED_VALUE"""),"#SLAA - Segunda Licenciatura em Artes Visuais - Segunda Licenciatura em Artes Visuais - Suzana Gomes Gabriel da Cruz - Linguagem das Artes Plásticas - Nota Máxima: 9")</f>
        <v>#SLAA - Segunda Licenciatura em Artes Visuais - Segunda Licenciatura em Artes Visuais - Suzana Gomes Gabriel da Cruz - Linguagem das Artes Plásticas - Nota Máxima: 9</v>
      </c>
    </row>
    <row r="6803">
      <c r="A6803" s="390" t="str">
        <f>IFERROR(__xludf.DUMMYFUNCTION("""COMPUTED_VALUE"""),"#SLAA - Segunda Licenciatura em Artes Visuais - Segunda Licenciatura em Artes Visuais - Suzana Gomes Gabriel da Cruz - Planejamento, Gestão Educacional e Currículo/a - Nota Máxima: 9")</f>
        <v>#SLAA - Segunda Licenciatura em Artes Visuais - Segunda Licenciatura em Artes Visuais - Suzana Gomes Gabriel da Cruz - Planejamento, Gestão Educacional e Currículo/a - Nota Máxima: 9</v>
      </c>
    </row>
    <row r="6804">
      <c r="A6804" s="390" t="str">
        <f>IFERROR(__xludf.DUMMYFUNCTION("""COMPUTED_VALUE"""),"#SLAA - Segunda Licenciatura em Artes Visuais - Segunda Licenciatura em Artes Visuais - Suzana Gomes Gabriel da Cruz - Práticas Pedagógicas - 400 Horas - Nota Máxima: 3")</f>
        <v>#SLAA - Segunda Licenciatura em Artes Visuais - Segunda Licenciatura em Artes Visuais - Suzana Gomes Gabriel da Cruz - Práticas Pedagógicas - 400 Horas - Nota Máxima: 3</v>
      </c>
    </row>
    <row r="6805">
      <c r="A6805" s="390" t="str">
        <f>IFERROR(__xludf.DUMMYFUNCTION("""COMPUTED_VALUE"""),"#SLAA - Segunda Licenciatura em Artes Visuais - Segunda Licenciatura em Artes Visuais - Suzana Gomes Gabriel da Cruz - Psicologia da Educação/a - Nota Máxima: 9")</f>
        <v>#SLAA - Segunda Licenciatura em Artes Visuais - Segunda Licenciatura em Artes Visuais - Suzana Gomes Gabriel da Cruz - Psicologia da Educação/a - Nota Máxima: 9</v>
      </c>
    </row>
    <row r="6806">
      <c r="A6806" s="390" t="str">
        <f>IFERROR(__xludf.DUMMYFUNCTION("""COMPUTED_VALUE"""),"#SLAA - Segunda Licenciatura em Artes Visuais - Segunda Licenciatura em Artes Visuais - Suzana Gomes Gabriel da Cruz - Psicomotricidade e Ludopedagogia - Nota Máxima: 9")</f>
        <v>#SLAA - Segunda Licenciatura em Artes Visuais - Segunda Licenciatura em Artes Visuais - Suzana Gomes Gabriel da Cruz - Psicomotricidade e Ludopedagogia - Nota Máxima: 9</v>
      </c>
    </row>
    <row r="6807">
      <c r="A6807" s="390" t="str">
        <f>IFERROR(__xludf.DUMMYFUNCTION("""COMPUTED_VALUE"""),"#SLAA - Segunda Licenciatura em Artes Visuais - Segunda Licenciatura em Artes Visuais - Suzana Gomes Gabriel da Cruz - Tecnologia nas Artes Visuais - Nota Máxima: 9")</f>
        <v>#SLAA - Segunda Licenciatura em Artes Visuais - Segunda Licenciatura em Artes Visuais - Suzana Gomes Gabriel da Cruz - Tecnologia nas Artes Visuais - Nota Máxima: 9</v>
      </c>
    </row>
    <row r="6808">
      <c r="A6808" s="390" t="str">
        <f>IFERROR(__xludf.DUMMYFUNCTION("""COMPUTED_VALUE"""),"#SLAA - Segunda Licenciatura em Artes Visuais - Segunda Licenciatura em Artes Visuais - Selma Aparecida Gauna Acosta - Deficiência Auditiva e Libras/a - Nota Máxima: 9")</f>
        <v>#SLAA - Segunda Licenciatura em Artes Visuais - Segunda Licenciatura em Artes Visuais - Selma Aparecida Gauna Acosta - Deficiência Auditiva e Libras/a - Nota Máxima: 9</v>
      </c>
    </row>
    <row r="6809">
      <c r="A6809" s="390" t="str">
        <f>IFERROR(__xludf.DUMMYFUNCTION("""COMPUTED_VALUE"""),"#SLAA - Segunda Licenciatura em Artes Visuais - Segunda Licenciatura em Artes Visuais - Selma Aparecida Gauna Acosta - Deficiência Auditiva e Libras/a - Nota Máxima: 7")</f>
        <v>#SLAA - Segunda Licenciatura em Artes Visuais - Segunda Licenciatura em Artes Visuais - Selma Aparecida Gauna Acosta - Deficiência Auditiva e Libras/a - Nota Máxima: 7</v>
      </c>
    </row>
    <row r="6810">
      <c r="A6810" s="390" t="str">
        <f>IFERROR(__xludf.DUMMYFUNCTION("""COMPUTED_VALUE"""),"#SLAA - Segunda Licenciatura em Artes Visuais - Segunda Licenciatura em Artes Visuais - Keli Paim Correa - Arte Brasileira na Formação da Identidade Nacional - Nota Máxima: 10")</f>
        <v>#SLAA - Segunda Licenciatura em Artes Visuais - Segunda Licenciatura em Artes Visuais - Keli Paim Correa - Arte Brasileira na Formação da Identidade Nacional - Nota Máxima: 10</v>
      </c>
    </row>
    <row r="6811">
      <c r="A6811" s="390" t="str">
        <f>IFERROR(__xludf.DUMMYFUNCTION("""COMPUTED_VALUE"""),"#SLAA - Segunda Licenciatura em Artes Visuais - Segunda Licenciatura em Artes Visuais - Keli Paim Correa - Arte Conceitual, Instalações e Arte Urbana - Nota Máxima: 10")</f>
        <v>#SLAA - Segunda Licenciatura em Artes Visuais - Segunda Licenciatura em Artes Visuais - Keli Paim Correa - Arte Conceitual, Instalações e Arte Urbana - Nota Máxima: 10</v>
      </c>
    </row>
    <row r="6812">
      <c r="A6812" s="390" t="str">
        <f>IFERROR(__xludf.DUMMYFUNCTION("""COMPUTED_VALUE"""),"#SLAA - Segunda Licenciatura em Artes Visuais - Segunda Licenciatura em Artes Visuais - Keli Paim Correa - Arte em Educação - Nota Máxima: 10")</f>
        <v>#SLAA - Segunda Licenciatura em Artes Visuais - Segunda Licenciatura em Artes Visuais - Keli Paim Correa - Arte em Educação - Nota Máxima: 10</v>
      </c>
    </row>
    <row r="6813">
      <c r="A6813" s="390" t="str">
        <f>IFERROR(__xludf.DUMMYFUNCTION("""COMPUTED_VALUE"""),"#SLAA - Segunda Licenciatura em Artes Visuais - Segunda Licenciatura em Artes Visuais - Keli Paim Correa - Deficiência Auditiva e Libras/a - Nota Máxima: 10")</f>
        <v>#SLAA - Segunda Licenciatura em Artes Visuais - Segunda Licenciatura em Artes Visuais - Keli Paim Correa - Deficiência Auditiva e Libras/a - Nota Máxima: 10</v>
      </c>
    </row>
    <row r="6814">
      <c r="A6814" s="390" t="str">
        <f>IFERROR(__xludf.DUMMYFUNCTION("""COMPUTED_VALUE"""),"#SLAA - Segunda Licenciatura em Artes Visuais - Segunda Licenciatura em Artes Visuais - Keli Paim Correa - Educação Especial, Inclusão Escolar e Adaptações Curriculares - Nota Máxima: 10")</f>
        <v>#SLAA - Segunda Licenciatura em Artes Visuais - Segunda Licenciatura em Artes Visuais - Keli Paim Correa - Educação Especial, Inclusão Escolar e Adaptações Curriculares - Nota Máxima: 10</v>
      </c>
    </row>
    <row r="6815">
      <c r="A6815" s="390" t="str">
        <f>IFERROR(__xludf.DUMMYFUNCTION("""COMPUTED_VALUE"""),"#SLAA - Segunda Licenciatura em Artes Visuais - Segunda Licenciatura em Artes Visuais - Keli Paim Correa - Educação, História, Cultura e Práticas Indígenas/a - Nota Máxima: 10")</f>
        <v>#SLAA - Segunda Licenciatura em Artes Visuais - Segunda Licenciatura em Artes Visuais - Keli Paim Correa - Educação, História, Cultura e Práticas Indígenas/a - Nota Máxima: 10</v>
      </c>
    </row>
    <row r="6816">
      <c r="A6816" s="390" t="str">
        <f>IFERROR(__xludf.DUMMYFUNCTION("""COMPUTED_VALUE"""),"#SLAA - Segunda Licenciatura em Artes Visuais - Segunda Licenciatura em Artes Visuais - Keli Paim Correa - Filosofia das Artes à Estética - Nota Máxima: 10")</f>
        <v>#SLAA - Segunda Licenciatura em Artes Visuais - Segunda Licenciatura em Artes Visuais - Keli Paim Correa - Filosofia das Artes à Estética - Nota Máxima: 10</v>
      </c>
    </row>
    <row r="6817">
      <c r="A6817" s="390" t="str">
        <f>IFERROR(__xludf.DUMMYFUNCTION("""COMPUTED_VALUE"""),"#SLAA - Segunda Licenciatura em Artes Visuais - Segunda Licenciatura em Artes Visuais - Keli Paim Correa - Legislação Educacional/a - Nota Máxima: 10")</f>
        <v>#SLAA - Segunda Licenciatura em Artes Visuais - Segunda Licenciatura em Artes Visuais - Keli Paim Correa - Legislação Educacional/a - Nota Máxima: 10</v>
      </c>
    </row>
    <row r="6818">
      <c r="A6818" s="390" t="str">
        <f>IFERROR(__xludf.DUMMYFUNCTION("""COMPUTED_VALUE"""),"#SLAA - Segunda Licenciatura em Artes Visuais - Segunda Licenciatura em Artes Visuais - Keli Paim Correa - Linguagem das Artes Plásticas - Nota Máxima: 10")</f>
        <v>#SLAA - Segunda Licenciatura em Artes Visuais - Segunda Licenciatura em Artes Visuais - Keli Paim Correa - Linguagem das Artes Plásticas - Nota Máxima: 10</v>
      </c>
    </row>
    <row r="6819">
      <c r="A6819" s="390" t="str">
        <f>IFERROR(__xludf.DUMMYFUNCTION("""COMPUTED_VALUE"""),"#SLAA - Segunda Licenciatura em Artes Visuais - Segunda Licenciatura em Artes Visuais - Keli Paim Correa - Planejamento, Gestão Educacional e Currículo/a - Nota Máxima: 10")</f>
        <v>#SLAA - Segunda Licenciatura em Artes Visuais - Segunda Licenciatura em Artes Visuais - Keli Paim Correa - Planejamento, Gestão Educacional e Currículo/a - Nota Máxima: 10</v>
      </c>
    </row>
    <row r="6820">
      <c r="A6820" s="390" t="str">
        <f>IFERROR(__xludf.DUMMYFUNCTION("""COMPUTED_VALUE"""),"#SLAA - Segunda Licenciatura em Artes Visuais - Segunda Licenciatura em Artes Visuais - Keli Paim Correa - Psicologia da Educação/a - Nota Máxima: 10")</f>
        <v>#SLAA - Segunda Licenciatura em Artes Visuais - Segunda Licenciatura em Artes Visuais - Keli Paim Correa - Psicologia da Educação/a - Nota Máxima: 10</v>
      </c>
    </row>
    <row r="6821">
      <c r="A6821" s="390" t="str">
        <f>IFERROR(__xludf.DUMMYFUNCTION("""COMPUTED_VALUE"""),"#SLAA - Segunda Licenciatura em Artes Visuais - Segunda Licenciatura em Artes Visuais - Keli Paim Correa - Psicomotricidade e Ludopedagogia - Nota Máxima: 10")</f>
        <v>#SLAA - Segunda Licenciatura em Artes Visuais - Segunda Licenciatura em Artes Visuais - Keli Paim Correa - Psicomotricidade e Ludopedagogia - Nota Máxima: 10</v>
      </c>
    </row>
    <row r="6822">
      <c r="A6822" s="390" t="str">
        <f>IFERROR(__xludf.DUMMYFUNCTION("""COMPUTED_VALUE"""),"#SLAA - Segunda Licenciatura em Artes Visuais - Segunda Licenciatura em Artes Visuais - Keli Paim Correa - Tecnologia nas Artes Visuais - Nota Máxima: 10")</f>
        <v>#SLAA - Segunda Licenciatura em Artes Visuais - Segunda Licenciatura em Artes Visuais - Keli Paim Correa - Tecnologia nas Artes Visuais - Nota Máxima: 10</v>
      </c>
    </row>
    <row r="6823">
      <c r="A6823" s="390" t="str">
        <f>IFERROR(__xludf.DUMMYFUNCTION("""COMPUTED_VALUE"""),"#SLAA - Segunda Licenciatura em Artes Visuais - Segunda Licenciatura em Artes Visuais - Renata Santos Melo - Deficiência Auditiva e Libras/a - Nota Máxima: 10")</f>
        <v>#SLAA - Segunda Licenciatura em Artes Visuais - Segunda Licenciatura em Artes Visuais - Renata Santos Melo - Deficiência Auditiva e Libras/a - Nota Máxima: 10</v>
      </c>
    </row>
    <row r="6824">
      <c r="A6824" s="390" t="str">
        <f>IFERROR(__xludf.DUMMYFUNCTION("""COMPUTED_VALUE"""),"#SLAA - Segunda Licenciatura em Artes Visuais - Segunda Licenciatura em Artes Visuais - Renata Santos Melo - Deficiência Auditiva e Libras/a - Nota Máxima: 10")</f>
        <v>#SLAA - Segunda Licenciatura em Artes Visuais - Segunda Licenciatura em Artes Visuais - Renata Santos Melo - Deficiência Auditiva e Libras/a - Nota Máxima: 10</v>
      </c>
    </row>
    <row r="6825">
      <c r="A6825" s="390" t="str">
        <f>IFERROR(__xludf.DUMMYFUNCTION("""COMPUTED_VALUE"""),"#SLAA - Segunda Licenciatura em Artes Visuais - Segunda Licenciatura em Artes Visuais - Renata Santos Melo - Educação Especial, Inclusão Escolar e Adaptações Curriculares - Nota Máxima: 10")</f>
        <v>#SLAA - Segunda Licenciatura em Artes Visuais - Segunda Licenciatura em Artes Visuais - Renata Santos Melo - Educação Especial, Inclusão Escolar e Adaptações Curriculares - Nota Máxima: 10</v>
      </c>
    </row>
    <row r="6826">
      <c r="A6826" s="390" t="str">
        <f>IFERROR(__xludf.DUMMYFUNCTION("""COMPUTED_VALUE"""),"#SLAA - Segunda Licenciatura em Artes Visuais - Segunda Licenciatura em Artes Visuais - Bárbara da Fonseca Theobald - Arte Brasileira na Formação da Identidade Nacional - Nota Máxima: 10")</f>
        <v>#SLAA - Segunda Licenciatura em Artes Visuais - Segunda Licenciatura em Artes Visuais - Bárbara da Fonseca Theobald - Arte Brasileira na Formação da Identidade Nacional - Nota Máxima: 10</v>
      </c>
    </row>
    <row r="6827">
      <c r="A6827" s="390" t="str">
        <f>IFERROR(__xludf.DUMMYFUNCTION("""COMPUTED_VALUE"""),"#SLAA - Segunda Licenciatura em Artes Visuais - Segunda Licenciatura em Artes Visuais - Bárbara da Fonseca Theobald - Arte Conceitual, Instalações e Arte Urbana - Nota Máxima: 10")</f>
        <v>#SLAA - Segunda Licenciatura em Artes Visuais - Segunda Licenciatura em Artes Visuais - Bárbara da Fonseca Theobald - Arte Conceitual, Instalações e Arte Urbana - Nota Máxima: 10</v>
      </c>
    </row>
    <row r="6828">
      <c r="A6828" s="390" t="str">
        <f>IFERROR(__xludf.DUMMYFUNCTION("""COMPUTED_VALUE"""),"#SLAA - Segunda Licenciatura em Artes Visuais - Segunda Licenciatura em Artes Visuais - Bárbara da Fonseca Theobald - Arte em Educação - Nota Máxima: 10")</f>
        <v>#SLAA - Segunda Licenciatura em Artes Visuais - Segunda Licenciatura em Artes Visuais - Bárbara da Fonseca Theobald - Arte em Educação - Nota Máxima: 10</v>
      </c>
    </row>
    <row r="6829">
      <c r="A6829" s="390" t="str">
        <f>IFERROR(__xludf.DUMMYFUNCTION("""COMPUTED_VALUE"""),"#SLAA - Segunda Licenciatura em Artes Visuais - Segunda Licenciatura em Artes Visuais - Bárbara da Fonseca Theobald - Deficiência Auditiva e Libras/a - Nota Máxima: 10")</f>
        <v>#SLAA - Segunda Licenciatura em Artes Visuais - Segunda Licenciatura em Artes Visuais - Bárbara da Fonseca Theobald - Deficiência Auditiva e Libras/a - Nota Máxima: 10</v>
      </c>
    </row>
    <row r="6830">
      <c r="A6830" s="390" t="str">
        <f>IFERROR(__xludf.DUMMYFUNCTION("""COMPUTED_VALUE"""),"#SLAA - Segunda Licenciatura em Artes Visuais - Segunda Licenciatura em Artes Visuais - Bárbara da Fonseca Theobald - Deficiência Auditiva e Libras/a - Nota Máxima: 2")</f>
        <v>#SLAA - Segunda Licenciatura em Artes Visuais - Segunda Licenciatura em Artes Visuais - Bárbara da Fonseca Theobald - Deficiência Auditiva e Libras/a - Nota Máxima: 2</v>
      </c>
    </row>
    <row r="6831">
      <c r="A6831" s="390" t="str">
        <f>IFERROR(__xludf.DUMMYFUNCTION("""COMPUTED_VALUE"""),"#SLAA - Segunda Licenciatura em Artes Visuais - Segunda Licenciatura em Artes Visuais - Bárbara da Fonseca Theobald - Desenho e Observação - Nota Máxima: 10")</f>
        <v>#SLAA - Segunda Licenciatura em Artes Visuais - Segunda Licenciatura em Artes Visuais - Bárbara da Fonseca Theobald - Desenho e Observação - Nota Máxima: 10</v>
      </c>
    </row>
    <row r="6832">
      <c r="A6832" s="390" t="str">
        <f>IFERROR(__xludf.DUMMYFUNCTION("""COMPUTED_VALUE"""),"#SLAA - Segunda Licenciatura em Artes Visuais - Segunda Licenciatura em Artes Visuais - Bárbara da Fonseca Theobald - Educação Especial, Inclusão Escolar e Adaptações Curriculares - Nota Máxima: 10")</f>
        <v>#SLAA - Segunda Licenciatura em Artes Visuais - Segunda Licenciatura em Artes Visuais - Bárbara da Fonseca Theobald - Educação Especial, Inclusão Escolar e Adaptações Curriculares - Nota Máxima: 10</v>
      </c>
    </row>
    <row r="6833">
      <c r="A6833" s="390" t="str">
        <f>IFERROR(__xludf.DUMMYFUNCTION("""COMPUTED_VALUE"""),"#SLAA - Segunda Licenciatura em Artes Visuais - Segunda Licenciatura em Artes Visuais - Bárbara da Fonseca Theobald - Educação, História, Cultura e Práticas Indígenas/a - Nota Máxima: 10")</f>
        <v>#SLAA - Segunda Licenciatura em Artes Visuais - Segunda Licenciatura em Artes Visuais - Bárbara da Fonseca Theobald - Educação, História, Cultura e Práticas Indígenas/a - Nota Máxima: 10</v>
      </c>
    </row>
    <row r="6834">
      <c r="A6834" s="390" t="str">
        <f>IFERROR(__xludf.DUMMYFUNCTION("""COMPUTED_VALUE"""),"#SLAA - Segunda Licenciatura em Artes Visuais - Segunda Licenciatura em Artes Visuais - Bárbara da Fonseca Theobald - Expressão Gráfica - Nota Máxima: 10")</f>
        <v>#SLAA - Segunda Licenciatura em Artes Visuais - Segunda Licenciatura em Artes Visuais - Bárbara da Fonseca Theobald - Expressão Gráfica - Nota Máxima: 10</v>
      </c>
    </row>
    <row r="6835">
      <c r="A6835" s="390" t="str">
        <f>IFERROR(__xludf.DUMMYFUNCTION("""COMPUTED_VALUE"""),"#SLAA - Segunda Licenciatura em Artes Visuais - Segunda Licenciatura em Artes Visuais - Bárbara da Fonseca Theobald - Filosofia das Artes à Estética - Nota Máxima: 10")</f>
        <v>#SLAA - Segunda Licenciatura em Artes Visuais - Segunda Licenciatura em Artes Visuais - Bárbara da Fonseca Theobald - Filosofia das Artes à Estética - Nota Máxima: 10</v>
      </c>
    </row>
    <row r="6836">
      <c r="A6836" s="390" t="str">
        <f>IFERROR(__xludf.DUMMYFUNCTION("""COMPUTED_VALUE"""),"#SLAA - Segunda Licenciatura em Artes Visuais - Segunda Licenciatura em Artes Visuais - Bárbara da Fonseca Theobald - Legislação Educacional/a - Nota Máxima: 10")</f>
        <v>#SLAA - Segunda Licenciatura em Artes Visuais - Segunda Licenciatura em Artes Visuais - Bárbara da Fonseca Theobald - Legislação Educacional/a - Nota Máxima: 10</v>
      </c>
    </row>
    <row r="6837">
      <c r="A6837" s="390" t="str">
        <f>IFERROR(__xludf.DUMMYFUNCTION("""COMPUTED_VALUE"""),"#SLAA - Segunda Licenciatura em Artes Visuais - Segunda Licenciatura em Artes Visuais - Bárbara da Fonseca Theobald - Linguagem das Artes Plásticas - Nota Máxima: 10")</f>
        <v>#SLAA - Segunda Licenciatura em Artes Visuais - Segunda Licenciatura em Artes Visuais - Bárbara da Fonseca Theobald - Linguagem das Artes Plásticas - Nota Máxima: 10</v>
      </c>
    </row>
    <row r="6838">
      <c r="A6838" s="390" t="str">
        <f>IFERROR(__xludf.DUMMYFUNCTION("""COMPUTED_VALUE"""),"#SLAA - Segunda Licenciatura em Artes Visuais - Segunda Licenciatura em Artes Visuais - Bárbara da Fonseca Theobald - Planejamento, Gestão Educacional e Currículo/a - Nota Máxima: 10")</f>
        <v>#SLAA - Segunda Licenciatura em Artes Visuais - Segunda Licenciatura em Artes Visuais - Bárbara da Fonseca Theobald - Planejamento, Gestão Educacional e Currículo/a - Nota Máxima: 10</v>
      </c>
    </row>
    <row r="6839">
      <c r="A6839" s="390" t="str">
        <f>IFERROR(__xludf.DUMMYFUNCTION("""COMPUTED_VALUE"""),"#SLAA - Segunda Licenciatura em Artes Visuais - Segunda Licenciatura em Artes Visuais - Bárbara da Fonseca Theobald - Práticas Pedagógicas - 400 Horas - Nota Máxima: 4")</f>
        <v>#SLAA - Segunda Licenciatura em Artes Visuais - Segunda Licenciatura em Artes Visuais - Bárbara da Fonseca Theobald - Práticas Pedagógicas - 400 Horas - Nota Máxima: 4</v>
      </c>
    </row>
    <row r="6840">
      <c r="A6840" s="390" t="str">
        <f>IFERROR(__xludf.DUMMYFUNCTION("""COMPUTED_VALUE"""),"#SLAA - Segunda Licenciatura em Artes Visuais - Segunda Licenciatura em Artes Visuais - Bárbara da Fonseca Theobald - Psicologia da Educação/a - Nota Máxima: 10")</f>
        <v>#SLAA - Segunda Licenciatura em Artes Visuais - Segunda Licenciatura em Artes Visuais - Bárbara da Fonseca Theobald - Psicologia da Educação/a - Nota Máxima: 10</v>
      </c>
    </row>
    <row r="6841">
      <c r="A6841" s="390" t="str">
        <f>IFERROR(__xludf.DUMMYFUNCTION("""COMPUTED_VALUE"""),"#SLAA - Segunda Licenciatura em Artes Visuais - Segunda Licenciatura em Artes Visuais - Bárbara da Fonseca Theobald - Psicomotricidade e Ludopedagogia - Nota Máxima: 10")</f>
        <v>#SLAA - Segunda Licenciatura em Artes Visuais - Segunda Licenciatura em Artes Visuais - Bárbara da Fonseca Theobald - Psicomotricidade e Ludopedagogia - Nota Máxima: 10</v>
      </c>
    </row>
    <row r="6842">
      <c r="A6842" s="390" t="str">
        <f>IFERROR(__xludf.DUMMYFUNCTION("""COMPUTED_VALUE"""),"#SLAA - Segunda Licenciatura em Artes Visuais - Segunda Licenciatura em Artes Visuais - Bárbara da Fonseca Theobald - Tecnologia nas Artes Visuais - Nota Máxima: 10")</f>
        <v>#SLAA - Segunda Licenciatura em Artes Visuais - Segunda Licenciatura em Artes Visuais - Bárbara da Fonseca Theobald - Tecnologia nas Artes Visuais - Nota Máxima: 10</v>
      </c>
    </row>
    <row r="6843">
      <c r="A6843" s="390" t="str">
        <f>IFERROR(__xludf.DUMMYFUNCTION("""COMPUTED_VALUE"""),"#SLAA - Segunda Licenciatura em Artes Visuais - Segunda Licenciatura em Artes Visuais - Ana Alice de Rezende Fonseca Theobald - Arte Brasileira na Formação da Identidade Nacional - Nota Máxima: 10")</f>
        <v>#SLAA - Segunda Licenciatura em Artes Visuais - Segunda Licenciatura em Artes Visuais - Ana Alice de Rezende Fonseca Theobald - Arte Brasileira na Formação da Identidade Nacional - Nota Máxima: 10</v>
      </c>
    </row>
    <row r="6844">
      <c r="A6844" s="390" t="str">
        <f>IFERROR(__xludf.DUMMYFUNCTION("""COMPUTED_VALUE"""),"#SLAA - Segunda Licenciatura em Artes Visuais - Segunda Licenciatura em Artes Visuais - Ana Alice de Rezende Fonseca Theobald - Arte Brasileira na Formação da Identidade Nacional - Nota Máxima: 4")</f>
        <v>#SLAA - Segunda Licenciatura em Artes Visuais - Segunda Licenciatura em Artes Visuais - Ana Alice de Rezende Fonseca Theobald - Arte Brasileira na Formação da Identidade Nacional - Nota Máxima: 4</v>
      </c>
    </row>
    <row r="6845">
      <c r="A6845" s="390" t="str">
        <f>IFERROR(__xludf.DUMMYFUNCTION("""COMPUTED_VALUE"""),"#SLAA - Segunda Licenciatura em Artes Visuais - Segunda Licenciatura em Artes Visuais - Ana Alice de Rezende Fonseca Theobald - Arte Conceitual, Instalações e Arte Urbana - Nota Máxima: 10")</f>
        <v>#SLAA - Segunda Licenciatura em Artes Visuais - Segunda Licenciatura em Artes Visuais - Ana Alice de Rezende Fonseca Theobald - Arte Conceitual, Instalações e Arte Urbana - Nota Máxima: 10</v>
      </c>
    </row>
    <row r="6846">
      <c r="A6846" s="390" t="str">
        <f>IFERROR(__xludf.DUMMYFUNCTION("""COMPUTED_VALUE"""),"#SLAA - Segunda Licenciatura em Artes Visuais - Segunda Licenciatura em Artes Visuais - Ana Alice de Rezende Fonseca Theobald - Arte Conceitual, Instalações e Arte Urbana - Nota Máxima: 4")</f>
        <v>#SLAA - Segunda Licenciatura em Artes Visuais - Segunda Licenciatura em Artes Visuais - Ana Alice de Rezende Fonseca Theobald - Arte Conceitual, Instalações e Arte Urbana - Nota Máxima: 4</v>
      </c>
    </row>
    <row r="6847">
      <c r="A6847" s="390" t="str">
        <f>IFERROR(__xludf.DUMMYFUNCTION("""COMPUTED_VALUE"""),"#SLAA - Segunda Licenciatura em Artes Visuais - Segunda Licenciatura em Artes Visuais - Ana Alice de Rezende Fonseca Theobald - Arte em Educação - Nota Máxima: 10")</f>
        <v>#SLAA - Segunda Licenciatura em Artes Visuais - Segunda Licenciatura em Artes Visuais - Ana Alice de Rezende Fonseca Theobald - Arte em Educação - Nota Máxima: 10</v>
      </c>
    </row>
    <row r="6848">
      <c r="A6848" s="390" t="str">
        <f>IFERROR(__xludf.DUMMYFUNCTION("""COMPUTED_VALUE"""),"#SLAA - Segunda Licenciatura em Artes Visuais - Segunda Licenciatura em Artes Visuais - Ana Alice de Rezende Fonseca Theobald - Arte em Educação - Nota Máxima: 8")</f>
        <v>#SLAA - Segunda Licenciatura em Artes Visuais - Segunda Licenciatura em Artes Visuais - Ana Alice de Rezende Fonseca Theobald - Arte em Educação - Nota Máxima: 8</v>
      </c>
    </row>
    <row r="6849">
      <c r="A6849" s="390" t="str">
        <f>IFERROR(__xludf.DUMMYFUNCTION("""COMPUTED_VALUE"""),"#SLAA - Segunda Licenciatura em Artes Visuais - Segunda Licenciatura em Artes Visuais - Ana Alice de Rezende Fonseca Theobald - Deficiência Auditiva e Libras/a - Nota Máxima: 10")</f>
        <v>#SLAA - Segunda Licenciatura em Artes Visuais - Segunda Licenciatura em Artes Visuais - Ana Alice de Rezende Fonseca Theobald - Deficiência Auditiva e Libras/a - Nota Máxima: 10</v>
      </c>
    </row>
    <row r="6850">
      <c r="A6850" s="390" t="str">
        <f>IFERROR(__xludf.DUMMYFUNCTION("""COMPUTED_VALUE"""),"#SLAA - Segunda Licenciatura em Artes Visuais - Segunda Licenciatura em Artes Visuais - Ana Alice de Rezende Fonseca Theobald - Deficiência Auditiva e Libras/a - Nota Máxima: 2")</f>
        <v>#SLAA - Segunda Licenciatura em Artes Visuais - Segunda Licenciatura em Artes Visuais - Ana Alice de Rezende Fonseca Theobald - Deficiência Auditiva e Libras/a - Nota Máxima: 2</v>
      </c>
    </row>
    <row r="6851">
      <c r="A6851" s="390" t="str">
        <f>IFERROR(__xludf.DUMMYFUNCTION("""COMPUTED_VALUE"""),"#SLAA - Segunda Licenciatura em Artes Visuais - Segunda Licenciatura em Artes Visuais - Ana Alice de Rezende Fonseca Theobald - Desenho e Observação - Nota Máxima: 10")</f>
        <v>#SLAA - Segunda Licenciatura em Artes Visuais - Segunda Licenciatura em Artes Visuais - Ana Alice de Rezende Fonseca Theobald - Desenho e Observação - Nota Máxima: 10</v>
      </c>
    </row>
    <row r="6852">
      <c r="A6852" s="390" t="str">
        <f>IFERROR(__xludf.DUMMYFUNCTION("""COMPUTED_VALUE"""),"#SLAA - Segunda Licenciatura em Artes Visuais - Segunda Licenciatura em Artes Visuais - Ana Alice de Rezende Fonseca Theobald - Educação Especial, Inclusão Escolar e Adaptações Curriculares - Nota Máxima: 10")</f>
        <v>#SLAA - Segunda Licenciatura em Artes Visuais - Segunda Licenciatura em Artes Visuais - Ana Alice de Rezende Fonseca Theobald - Educação Especial, Inclusão Escolar e Adaptações Curriculares - Nota Máxima: 10</v>
      </c>
    </row>
    <row r="6853">
      <c r="A6853" s="390" t="str">
        <f>IFERROR(__xludf.DUMMYFUNCTION("""COMPUTED_VALUE"""),"#SLAA - Segunda Licenciatura em Artes Visuais - Segunda Licenciatura em Artes Visuais - Ana Alice de Rezende Fonseca Theobald - Educação Especial, Inclusão Escolar e Adaptações Curriculares - Nota Máxima: 8")</f>
        <v>#SLAA - Segunda Licenciatura em Artes Visuais - Segunda Licenciatura em Artes Visuais - Ana Alice de Rezende Fonseca Theobald - Educação Especial, Inclusão Escolar e Adaptações Curriculares - Nota Máxima: 8</v>
      </c>
    </row>
    <row r="6854">
      <c r="A6854" s="390" t="str">
        <f>IFERROR(__xludf.DUMMYFUNCTION("""COMPUTED_VALUE"""),"#SLAA - Segunda Licenciatura em Artes Visuais - Segunda Licenciatura em Artes Visuais - Ana Alice de Rezende Fonseca Theobald - Educação, História, Cultura e Práticas Indígenas/a - Nota Máxima: 10")</f>
        <v>#SLAA - Segunda Licenciatura em Artes Visuais - Segunda Licenciatura em Artes Visuais - Ana Alice de Rezende Fonseca Theobald - Educação, História, Cultura e Práticas Indígenas/a - Nota Máxima: 10</v>
      </c>
    </row>
    <row r="6855">
      <c r="A6855" s="390" t="str">
        <f>IFERROR(__xludf.DUMMYFUNCTION("""COMPUTED_VALUE"""),"#SLAA - Segunda Licenciatura em Artes Visuais - Segunda Licenciatura em Artes Visuais - Ana Alice de Rezende Fonseca Theobald - Educação, História, Cultura e Práticas Indígenas/a - Nota Máxima: 4")</f>
        <v>#SLAA - Segunda Licenciatura em Artes Visuais - Segunda Licenciatura em Artes Visuais - Ana Alice de Rezende Fonseca Theobald - Educação, História, Cultura e Práticas Indígenas/a - Nota Máxima: 4</v>
      </c>
    </row>
    <row r="6856">
      <c r="A6856" s="390" t="str">
        <f>IFERROR(__xludf.DUMMYFUNCTION("""COMPUTED_VALUE"""),"#SLAA - Segunda Licenciatura em Artes Visuais - Segunda Licenciatura em Artes Visuais - Ana Alice de Rezende Fonseca Theobald - Expressão Gráfica - Nota Máxima: 10")</f>
        <v>#SLAA - Segunda Licenciatura em Artes Visuais - Segunda Licenciatura em Artes Visuais - Ana Alice de Rezende Fonseca Theobald - Expressão Gráfica - Nota Máxima: 10</v>
      </c>
    </row>
    <row r="6857">
      <c r="A6857" s="390" t="str">
        <f>IFERROR(__xludf.DUMMYFUNCTION("""COMPUTED_VALUE"""),"#SLAA - Segunda Licenciatura em Artes Visuais - Segunda Licenciatura em Artes Visuais - Ana Alice de Rezende Fonseca Theobald - Filosofia das Artes à Estética - Nota Máxima: 10")</f>
        <v>#SLAA - Segunda Licenciatura em Artes Visuais - Segunda Licenciatura em Artes Visuais - Ana Alice de Rezende Fonseca Theobald - Filosofia das Artes à Estética - Nota Máxima: 10</v>
      </c>
    </row>
    <row r="6858">
      <c r="A6858" s="390" t="str">
        <f>IFERROR(__xludf.DUMMYFUNCTION("""COMPUTED_VALUE"""),"#SLAA - Segunda Licenciatura em Artes Visuais - Segunda Licenciatura em Artes Visuais - Ana Alice de Rezende Fonseca Theobald - Filosofia das Artes à Estética - Nota Máxima: 5")</f>
        <v>#SLAA - Segunda Licenciatura em Artes Visuais - Segunda Licenciatura em Artes Visuais - Ana Alice de Rezende Fonseca Theobald - Filosofia das Artes à Estética - Nota Máxima: 5</v>
      </c>
    </row>
    <row r="6859">
      <c r="A6859" s="390" t="str">
        <f>IFERROR(__xludf.DUMMYFUNCTION("""COMPUTED_VALUE"""),"#SLAA - Segunda Licenciatura em Artes Visuais - Segunda Licenciatura em Artes Visuais - Ana Alice de Rezende Fonseca Theobald - Legislação Educacional/a - Nota Máxima: 10")</f>
        <v>#SLAA - Segunda Licenciatura em Artes Visuais - Segunda Licenciatura em Artes Visuais - Ana Alice de Rezende Fonseca Theobald - Legislação Educacional/a - Nota Máxima: 10</v>
      </c>
    </row>
    <row r="6860">
      <c r="A6860" s="390" t="str">
        <f>IFERROR(__xludf.DUMMYFUNCTION("""COMPUTED_VALUE"""),"#SLAA - Segunda Licenciatura em Artes Visuais - Segunda Licenciatura em Artes Visuais - Ana Alice de Rezende Fonseca Theobald - Legislação Educacional/a - Nota Máxima: 7")</f>
        <v>#SLAA - Segunda Licenciatura em Artes Visuais - Segunda Licenciatura em Artes Visuais - Ana Alice de Rezende Fonseca Theobald - Legislação Educacional/a - Nota Máxima: 7</v>
      </c>
    </row>
    <row r="6861">
      <c r="A6861" s="390" t="str">
        <f>IFERROR(__xludf.DUMMYFUNCTION("""COMPUTED_VALUE"""),"#SLAA - Segunda Licenciatura em Artes Visuais - Segunda Licenciatura em Artes Visuais - Ana Alice de Rezende Fonseca Theobald - Linguagem das Artes Plásticas - Nota Máxima: 10")</f>
        <v>#SLAA - Segunda Licenciatura em Artes Visuais - Segunda Licenciatura em Artes Visuais - Ana Alice de Rezende Fonseca Theobald - Linguagem das Artes Plásticas - Nota Máxima: 10</v>
      </c>
    </row>
    <row r="6862">
      <c r="A6862" s="390" t="str">
        <f>IFERROR(__xludf.DUMMYFUNCTION("""COMPUTED_VALUE"""),"#SLAA - Segunda Licenciatura em Artes Visuais - Segunda Licenciatura em Artes Visuais - Ana Alice de Rezende Fonseca Theobald - Linguagem das Artes Plásticas - Nota Máxima: 5")</f>
        <v>#SLAA - Segunda Licenciatura em Artes Visuais - Segunda Licenciatura em Artes Visuais - Ana Alice de Rezende Fonseca Theobald - Linguagem das Artes Plásticas - Nota Máxima: 5</v>
      </c>
    </row>
    <row r="6863">
      <c r="A6863" s="390" t="str">
        <f>IFERROR(__xludf.DUMMYFUNCTION("""COMPUTED_VALUE"""),"#SLAA - Segunda Licenciatura em Artes Visuais - Segunda Licenciatura em Artes Visuais - Ana Alice de Rezende Fonseca Theobald - Planejamento, Gestão Educacional e Currículo/a - Nota Máxima: 10")</f>
        <v>#SLAA - Segunda Licenciatura em Artes Visuais - Segunda Licenciatura em Artes Visuais - Ana Alice de Rezende Fonseca Theobald - Planejamento, Gestão Educacional e Currículo/a - Nota Máxima: 10</v>
      </c>
    </row>
    <row r="6864">
      <c r="A6864" s="390" t="str">
        <f>IFERROR(__xludf.DUMMYFUNCTION("""COMPUTED_VALUE"""),"#SLAA - Segunda Licenciatura em Artes Visuais - Segunda Licenciatura em Artes Visuais - Ana Alice de Rezende Fonseca Theobald - Planejamento, Gestão Educacional e Currículo/a - Nota Máxima: 10")</f>
        <v>#SLAA - Segunda Licenciatura em Artes Visuais - Segunda Licenciatura em Artes Visuais - Ana Alice de Rezende Fonseca Theobald - Planejamento, Gestão Educacional e Currículo/a - Nota Máxima: 10</v>
      </c>
    </row>
    <row r="6865">
      <c r="A6865" s="390" t="str">
        <f>IFERROR(__xludf.DUMMYFUNCTION("""COMPUTED_VALUE"""),"#SLAA - Segunda Licenciatura em Artes Visuais - Segunda Licenciatura em Artes Visuais - Ana Alice de Rezende Fonseca Theobald - Práticas Pedagógicas - 400 Horas - Nota Máxima: 4")</f>
        <v>#SLAA - Segunda Licenciatura em Artes Visuais - Segunda Licenciatura em Artes Visuais - Ana Alice de Rezende Fonseca Theobald - Práticas Pedagógicas - 400 Horas - Nota Máxima: 4</v>
      </c>
    </row>
    <row r="6866">
      <c r="A6866" s="390" t="str">
        <f>IFERROR(__xludf.DUMMYFUNCTION("""COMPUTED_VALUE"""),"#SLAA - Segunda Licenciatura em Artes Visuais - Segunda Licenciatura em Artes Visuais - Ana Alice de Rezende Fonseca Theobald - Práticas Pedagógicas - 400 Horas - Nota Máxima: 2")</f>
        <v>#SLAA - Segunda Licenciatura em Artes Visuais - Segunda Licenciatura em Artes Visuais - Ana Alice de Rezende Fonseca Theobald - Práticas Pedagógicas - 400 Horas - Nota Máxima: 2</v>
      </c>
    </row>
    <row r="6867">
      <c r="A6867" s="390" t="str">
        <f>IFERROR(__xludf.DUMMYFUNCTION("""COMPUTED_VALUE"""),"#SLAA - Segunda Licenciatura em Artes Visuais - Segunda Licenciatura em Artes Visuais - Ana Alice de Rezende Fonseca Theobald - Psicologia da Educação/a - Nota Máxima: 10")</f>
        <v>#SLAA - Segunda Licenciatura em Artes Visuais - Segunda Licenciatura em Artes Visuais - Ana Alice de Rezende Fonseca Theobald - Psicologia da Educação/a - Nota Máxima: 10</v>
      </c>
    </row>
    <row r="6868">
      <c r="A6868" s="390" t="str">
        <f>IFERROR(__xludf.DUMMYFUNCTION("""COMPUTED_VALUE"""),"#SLAA - Segunda Licenciatura em Artes Visuais - Segunda Licenciatura em Artes Visuais - Ana Alice de Rezende Fonseca Theobald - Psicologia da Educação/a - Nota Máxima: 4")</f>
        <v>#SLAA - Segunda Licenciatura em Artes Visuais - Segunda Licenciatura em Artes Visuais - Ana Alice de Rezende Fonseca Theobald - Psicologia da Educação/a - Nota Máxima: 4</v>
      </c>
    </row>
    <row r="6869">
      <c r="A6869" s="390" t="str">
        <f>IFERROR(__xludf.DUMMYFUNCTION("""COMPUTED_VALUE"""),"#SLAA - Segunda Licenciatura em Artes Visuais - Segunda Licenciatura em Artes Visuais - Ana Alice de Rezende Fonseca Theobald - Psicomotricidade e Ludopedagogia - Nota Máxima: 10")</f>
        <v>#SLAA - Segunda Licenciatura em Artes Visuais - Segunda Licenciatura em Artes Visuais - Ana Alice de Rezende Fonseca Theobald - Psicomotricidade e Ludopedagogia - Nota Máxima: 10</v>
      </c>
    </row>
    <row r="6870">
      <c r="A6870" s="390" t="str">
        <f>IFERROR(__xludf.DUMMYFUNCTION("""COMPUTED_VALUE"""),"#SLAA - Segunda Licenciatura em Artes Visuais - Segunda Licenciatura em Artes Visuais - Ana Alice de Rezende Fonseca Theobald - Psicomotricidade e Ludopedagogia - Nota Máxima: 8")</f>
        <v>#SLAA - Segunda Licenciatura em Artes Visuais - Segunda Licenciatura em Artes Visuais - Ana Alice de Rezende Fonseca Theobald - Psicomotricidade e Ludopedagogia - Nota Máxima: 8</v>
      </c>
    </row>
    <row r="6871">
      <c r="A6871" s="390" t="str">
        <f>IFERROR(__xludf.DUMMYFUNCTION("""COMPUTED_VALUE"""),"#SLAA - Segunda Licenciatura em Artes Visuais - Segunda Licenciatura em Artes Visuais - Ana Alice de Rezende Fonseca Theobald - Tecnologia nas Artes Visuais - Nota Máxima: 10")</f>
        <v>#SLAA - Segunda Licenciatura em Artes Visuais - Segunda Licenciatura em Artes Visuais - Ana Alice de Rezende Fonseca Theobald - Tecnologia nas Artes Visuais - Nota Máxima: 10</v>
      </c>
    </row>
    <row r="6872">
      <c r="A6872" s="390" t="str">
        <f>IFERROR(__xludf.DUMMYFUNCTION("""COMPUTED_VALUE"""),"#SLAA - Segunda Licenciatura em Artes Visuais - Segunda Licenciatura em Artes Visuais - Ana Alice de Rezende Fonseca Theobald - Tecnologia nas Artes Visuais - Nota Máxima: 0")</f>
        <v>#SLAA - Segunda Licenciatura em Artes Visuais - Segunda Licenciatura em Artes Visuais - Ana Alice de Rezende Fonseca Theobald - Tecnologia nas Artes Visuais - Nota Máxima: 0</v>
      </c>
    </row>
    <row r="6873">
      <c r="A6873" s="390" t="str">
        <f>IFERROR(__xludf.DUMMYFUNCTION("""COMPUTED_VALUE"""),"#SLAA - Segunda Licenciatura em Artes Visuais - Segunda Licenciatura em Artes Visuais - Maylson Renan Antonio Oliveira - Arte Brasileira na Formação da Identidade Nacional - Nota Máxima: 10")</f>
        <v>#SLAA - Segunda Licenciatura em Artes Visuais - Segunda Licenciatura em Artes Visuais - Maylson Renan Antonio Oliveira - Arte Brasileira na Formação da Identidade Nacional - Nota Máxima: 10</v>
      </c>
    </row>
    <row r="6874">
      <c r="A6874" s="390" t="str">
        <f>IFERROR(__xludf.DUMMYFUNCTION("""COMPUTED_VALUE"""),"#SLAA - Segunda Licenciatura em Artes Visuais - Segunda Licenciatura em Artes Visuais - Maylson Renan Antonio Oliveira - Arte Conceitual, Instalações e Arte Urbana - Nota Máxima: 10")</f>
        <v>#SLAA - Segunda Licenciatura em Artes Visuais - Segunda Licenciatura em Artes Visuais - Maylson Renan Antonio Oliveira - Arte Conceitual, Instalações e Arte Urbana - Nota Máxima: 10</v>
      </c>
    </row>
    <row r="6875">
      <c r="A6875" s="390" t="str">
        <f>IFERROR(__xludf.DUMMYFUNCTION("""COMPUTED_VALUE"""),"#SLAA - Segunda Licenciatura em Artes Visuais - Segunda Licenciatura em Artes Visuais - Maylson Renan Antonio Oliveira - Arte em Educação - Nota Máxima: 10")</f>
        <v>#SLAA - Segunda Licenciatura em Artes Visuais - Segunda Licenciatura em Artes Visuais - Maylson Renan Antonio Oliveira - Arte em Educação - Nota Máxima: 10</v>
      </c>
    </row>
    <row r="6876">
      <c r="A6876" s="390" t="str">
        <f>IFERROR(__xludf.DUMMYFUNCTION("""COMPUTED_VALUE"""),"#SLAA - Segunda Licenciatura em Artes Visuais - Segunda Licenciatura em Artes Visuais - Maylson Renan Antonio Oliveira - Deficiência Auditiva e Libras/a - Nota Máxima: 8")</f>
        <v>#SLAA - Segunda Licenciatura em Artes Visuais - Segunda Licenciatura em Artes Visuais - Maylson Renan Antonio Oliveira - Deficiência Auditiva e Libras/a - Nota Máxima: 8</v>
      </c>
    </row>
    <row r="6877">
      <c r="A6877" s="390" t="str">
        <f>IFERROR(__xludf.DUMMYFUNCTION("""COMPUTED_VALUE"""),"#SLAA - Segunda Licenciatura em Artes Visuais - Segunda Licenciatura em Artes Visuais - Maylson Renan Antonio Oliveira - Desenho e Observação - Nota Máxima: 10")</f>
        <v>#SLAA - Segunda Licenciatura em Artes Visuais - Segunda Licenciatura em Artes Visuais - Maylson Renan Antonio Oliveira - Desenho e Observação - Nota Máxima: 10</v>
      </c>
    </row>
    <row r="6878">
      <c r="A6878" s="390" t="str">
        <f>IFERROR(__xludf.DUMMYFUNCTION("""COMPUTED_VALUE"""),"#SLAA - Segunda Licenciatura em Artes Visuais - Segunda Licenciatura em Artes Visuais - Maylson Renan Antonio Oliveira - Educação Especial, Inclusão Escolar e Adaptações Curriculares - Nota Máxima: 10")</f>
        <v>#SLAA - Segunda Licenciatura em Artes Visuais - Segunda Licenciatura em Artes Visuais - Maylson Renan Antonio Oliveira - Educação Especial, Inclusão Escolar e Adaptações Curriculares - Nota Máxima: 10</v>
      </c>
    </row>
    <row r="6879">
      <c r="A6879" s="390" t="str">
        <f>IFERROR(__xludf.DUMMYFUNCTION("""COMPUTED_VALUE"""),"#SLAA - Segunda Licenciatura em Artes Visuais - Segunda Licenciatura em Artes Visuais - Maylson Renan Antonio Oliveira - Educação, História, Cultura e Práticas Indígenas/a - Nota Máxima: 9")</f>
        <v>#SLAA - Segunda Licenciatura em Artes Visuais - Segunda Licenciatura em Artes Visuais - Maylson Renan Antonio Oliveira - Educação, História, Cultura e Práticas Indígenas/a - Nota Máxima: 9</v>
      </c>
    </row>
    <row r="6880">
      <c r="A6880" s="390" t="str">
        <f>IFERROR(__xludf.DUMMYFUNCTION("""COMPUTED_VALUE"""),"#SLAA - Segunda Licenciatura em Artes Visuais - Segunda Licenciatura em Artes Visuais - Maylson Renan Antonio Oliveira - Expressão Gráfica - Nota Máxima: 10")</f>
        <v>#SLAA - Segunda Licenciatura em Artes Visuais - Segunda Licenciatura em Artes Visuais - Maylson Renan Antonio Oliveira - Expressão Gráfica - Nota Máxima: 10</v>
      </c>
    </row>
    <row r="6881">
      <c r="A6881" s="390" t="str">
        <f>IFERROR(__xludf.DUMMYFUNCTION("""COMPUTED_VALUE"""),"#SLAA - Segunda Licenciatura em Artes Visuais - Segunda Licenciatura em Artes Visuais - Maylson Renan Antonio Oliveira - Filosofia das Artes à Estética - Nota Máxima: 10")</f>
        <v>#SLAA - Segunda Licenciatura em Artes Visuais - Segunda Licenciatura em Artes Visuais - Maylson Renan Antonio Oliveira - Filosofia das Artes à Estética - Nota Máxima: 10</v>
      </c>
    </row>
    <row r="6882">
      <c r="A6882" s="390" t="str">
        <f>IFERROR(__xludf.DUMMYFUNCTION("""COMPUTED_VALUE"""),"#SLAA - Segunda Licenciatura em Artes Visuais - Segunda Licenciatura em Artes Visuais - Maylson Renan Antonio Oliveira - Legislação Educacional/a - Nota Máxima: 8")</f>
        <v>#SLAA - Segunda Licenciatura em Artes Visuais - Segunda Licenciatura em Artes Visuais - Maylson Renan Antonio Oliveira - Legislação Educacional/a - Nota Máxima: 8</v>
      </c>
    </row>
    <row r="6883">
      <c r="A6883" s="390" t="str">
        <f>IFERROR(__xludf.DUMMYFUNCTION("""COMPUTED_VALUE"""),"#SLAA - Segunda Licenciatura em Artes Visuais - Segunda Licenciatura em Artes Visuais - Maylson Renan Antonio Oliveira - Linguagem das Artes Plásticas - Nota Máxima: 10")</f>
        <v>#SLAA - Segunda Licenciatura em Artes Visuais - Segunda Licenciatura em Artes Visuais - Maylson Renan Antonio Oliveira - Linguagem das Artes Plásticas - Nota Máxima: 10</v>
      </c>
    </row>
    <row r="6884">
      <c r="A6884" s="390" t="str">
        <f>IFERROR(__xludf.DUMMYFUNCTION("""COMPUTED_VALUE"""),"#SLAA - Segunda Licenciatura em Artes Visuais - Segunda Licenciatura em Artes Visuais - Maylson Renan Antonio Oliveira - Planejamento, Gestão Educacional e Currículo/a - Nota Máxima: 10")</f>
        <v>#SLAA - Segunda Licenciatura em Artes Visuais - Segunda Licenciatura em Artes Visuais - Maylson Renan Antonio Oliveira - Planejamento, Gestão Educacional e Currículo/a - Nota Máxima: 10</v>
      </c>
    </row>
    <row r="6885">
      <c r="A6885" s="390" t="str">
        <f>IFERROR(__xludf.DUMMYFUNCTION("""COMPUTED_VALUE"""),"#SLAA - Segunda Licenciatura em Artes Visuais - Segunda Licenciatura em Artes Visuais - Maylson Renan Antonio Oliveira - Práticas Pedagógicas - 400 Horas - Nota Máxima: 10")</f>
        <v>#SLAA - Segunda Licenciatura em Artes Visuais - Segunda Licenciatura em Artes Visuais - Maylson Renan Antonio Oliveira - Práticas Pedagógicas - 400 Horas - Nota Máxima: 10</v>
      </c>
    </row>
    <row r="6886">
      <c r="A6886" s="390" t="str">
        <f>IFERROR(__xludf.DUMMYFUNCTION("""COMPUTED_VALUE"""),"#SLAA - Segunda Licenciatura em Artes Visuais - Segunda Licenciatura em Artes Visuais - Maylson Renan Antonio Oliveira - Psicologia da Educação/a - Nota Máxima: 8")</f>
        <v>#SLAA - Segunda Licenciatura em Artes Visuais - Segunda Licenciatura em Artes Visuais - Maylson Renan Antonio Oliveira - Psicologia da Educação/a - Nota Máxima: 8</v>
      </c>
    </row>
    <row r="6887">
      <c r="A6887" s="390" t="str">
        <f>IFERROR(__xludf.DUMMYFUNCTION("""COMPUTED_VALUE"""),"#SLAA - Segunda Licenciatura em Artes Visuais - Segunda Licenciatura em Artes Visuais - Maylson Renan Antonio Oliveira - Psicomotricidade e Ludopedagogia - Nota Máxima: 8")</f>
        <v>#SLAA - Segunda Licenciatura em Artes Visuais - Segunda Licenciatura em Artes Visuais - Maylson Renan Antonio Oliveira - Psicomotricidade e Ludopedagogia - Nota Máxima: 8</v>
      </c>
    </row>
    <row r="6888">
      <c r="A6888" s="390" t="str">
        <f>IFERROR(__xludf.DUMMYFUNCTION("""COMPUTED_VALUE"""),"#SLAA - Segunda Licenciatura em Artes Visuais - Segunda Licenciatura em Artes Visuais - Maylson Renan Antonio Oliveira - Tecnologia nas Artes Visuais - Nota Máxima: 9")</f>
        <v>#SLAA - Segunda Licenciatura em Artes Visuais - Segunda Licenciatura em Artes Visuais - Maylson Renan Antonio Oliveira - Tecnologia nas Artes Visuais - Nota Máxima: 9</v>
      </c>
    </row>
    <row r="6889">
      <c r="A6889" s="390" t="str">
        <f>IFERROR(__xludf.DUMMYFUNCTION("""COMPUTED_VALUE"""),"#SLAA - Segunda Licenciatura em Artes Visuais - Segunda Licenciatura em Artes Visuais - Carmem Lúcia Rodrigues Ramos - Deficiência Auditiva e Libras/a - Nota Máxima: 10")</f>
        <v>#SLAA - Segunda Licenciatura em Artes Visuais - Segunda Licenciatura em Artes Visuais - Carmem Lúcia Rodrigues Ramos - Deficiência Auditiva e Libras/a - Nota Máxima: 10</v>
      </c>
    </row>
    <row r="6890">
      <c r="A6890" s="390" t="str">
        <f>IFERROR(__xludf.DUMMYFUNCTION("""COMPUTED_VALUE"""),"#SLAA - Segunda Licenciatura em Artes Visuais - Segunda Licenciatura em Artes Visuais - Carmem Lúcia Rodrigues Ramos - Deficiência Auditiva e Libras/a - Nota Máxima: 7")</f>
        <v>#SLAA - Segunda Licenciatura em Artes Visuais - Segunda Licenciatura em Artes Visuais - Carmem Lúcia Rodrigues Ramos - Deficiência Auditiva e Libras/a - Nota Máxima: 7</v>
      </c>
    </row>
    <row r="6891">
      <c r="A6891" s="390" t="str">
        <f>IFERROR(__xludf.DUMMYFUNCTION("""COMPUTED_VALUE"""),"#SLAA - Segunda Licenciatura em Artes Visuais - Segunda Licenciatura em Artes Visuais - Carmem Lúcia Rodrigues Ramos - Educação Especial, Inclusão Escolar e Adaptações Curriculares - Nota Máxima: 9")</f>
        <v>#SLAA - Segunda Licenciatura em Artes Visuais - Segunda Licenciatura em Artes Visuais - Carmem Lúcia Rodrigues Ramos - Educação Especial, Inclusão Escolar e Adaptações Curriculares - Nota Máxima: 9</v>
      </c>
    </row>
    <row r="6892">
      <c r="A6892" s="390" t="str">
        <f>IFERROR(__xludf.DUMMYFUNCTION("""COMPUTED_VALUE"""),"#SLAA - Segunda Licenciatura em Artes Visuais - Segunda Licenciatura em Artes Visuais - Carmem Lúcia Rodrigues Ramos - Educação Especial, Inclusão Escolar e Adaptações Curriculares - Nota Máxima: 7")</f>
        <v>#SLAA - Segunda Licenciatura em Artes Visuais - Segunda Licenciatura em Artes Visuais - Carmem Lúcia Rodrigues Ramos - Educação Especial, Inclusão Escolar e Adaptações Curriculares - Nota Máxima: 7</v>
      </c>
    </row>
    <row r="6893">
      <c r="A6893" s="390" t="str">
        <f>IFERROR(__xludf.DUMMYFUNCTION("""COMPUTED_VALUE"""),"#SLAA - Segunda Licenciatura em Artes Visuais - Segunda Licenciatura em Artes Visuais - Carmem Lúcia Rodrigues Ramos - Legislação Educacional/a - Nota Máxima: 10")</f>
        <v>#SLAA - Segunda Licenciatura em Artes Visuais - Segunda Licenciatura em Artes Visuais - Carmem Lúcia Rodrigues Ramos - Legislação Educacional/a - Nota Máxima: 10</v>
      </c>
    </row>
    <row r="6894">
      <c r="A6894" s="390" t="str">
        <f>IFERROR(__xludf.DUMMYFUNCTION("""COMPUTED_VALUE"""),"#SLAA - Segunda Licenciatura em Artes Visuais - Segunda Licenciatura em Artes Visuais - Carmem Lúcia Rodrigues Ramos - Legislação Educacional/a - Nota Máxima: 8")</f>
        <v>#SLAA - Segunda Licenciatura em Artes Visuais - Segunda Licenciatura em Artes Visuais - Carmem Lúcia Rodrigues Ramos - Legislação Educacional/a - Nota Máxima: 8</v>
      </c>
    </row>
    <row r="6895">
      <c r="A6895" s="390" t="str">
        <f>IFERROR(__xludf.DUMMYFUNCTION("""COMPUTED_VALUE"""),"#SLAA - Segunda Licenciatura em Artes Visuais - Segunda Licenciatura em Artes Visuais - Carmem Lúcia Rodrigues Ramos - Planejamento, Gestão Educacional e Currículo/a - Nota Máxima: 10")</f>
        <v>#SLAA - Segunda Licenciatura em Artes Visuais - Segunda Licenciatura em Artes Visuais - Carmem Lúcia Rodrigues Ramos - Planejamento, Gestão Educacional e Currículo/a - Nota Máxima: 10</v>
      </c>
    </row>
    <row r="6896">
      <c r="A6896" s="390" t="str">
        <f>IFERROR(__xludf.DUMMYFUNCTION("""COMPUTED_VALUE"""),"#SLAA - Segunda Licenciatura em Artes Visuais - Segunda Licenciatura em Artes Visuais - Carmem Lúcia Rodrigues Ramos - Planejamento, Gestão Educacional e Currículo/a - Nota Máxima: 10")</f>
        <v>#SLAA - Segunda Licenciatura em Artes Visuais - Segunda Licenciatura em Artes Visuais - Carmem Lúcia Rodrigues Ramos - Planejamento, Gestão Educacional e Currículo/a - Nota Máxima: 10</v>
      </c>
    </row>
    <row r="6897">
      <c r="A6897" s="390" t="str">
        <f>IFERROR(__xludf.DUMMYFUNCTION("""COMPUTED_VALUE"""),"#SLAA - Segunda Licenciatura em Artes Visuais - Segunda Licenciatura em Artes Visuais - Sidjane Andrade da Silva - Arte Brasileira na Formação da Identidade Nacional - Nota Máxima: 9")</f>
        <v>#SLAA - Segunda Licenciatura em Artes Visuais - Segunda Licenciatura em Artes Visuais - Sidjane Andrade da Silva - Arte Brasileira na Formação da Identidade Nacional - Nota Máxima: 9</v>
      </c>
    </row>
    <row r="6898">
      <c r="A6898" s="390" t="str">
        <f>IFERROR(__xludf.DUMMYFUNCTION("""COMPUTED_VALUE"""),"#SLAA - Segunda Licenciatura em Artes Visuais - Segunda Licenciatura em Artes Visuais - Sidjane Andrade da Silva - Arte Brasileira na Formação da Identidade Nacional - Nota Máxima: 10")</f>
        <v>#SLAA - Segunda Licenciatura em Artes Visuais - Segunda Licenciatura em Artes Visuais - Sidjane Andrade da Silva - Arte Brasileira na Formação da Identidade Nacional - Nota Máxima: 10</v>
      </c>
    </row>
    <row r="6899">
      <c r="A6899" s="390" t="str">
        <f>IFERROR(__xludf.DUMMYFUNCTION("""COMPUTED_VALUE"""),"#SLAA - Segunda Licenciatura em Artes Visuais - Segunda Licenciatura em Artes Visuais - Sidjane Andrade da Silva - Arte Conceitual, Instalações e Arte Urbana - Nota Máxima: 10")</f>
        <v>#SLAA - Segunda Licenciatura em Artes Visuais - Segunda Licenciatura em Artes Visuais - Sidjane Andrade da Silva - Arte Conceitual, Instalações e Arte Urbana - Nota Máxima: 10</v>
      </c>
    </row>
    <row r="6900">
      <c r="A6900" s="390" t="str">
        <f>IFERROR(__xludf.DUMMYFUNCTION("""COMPUTED_VALUE"""),"#SLAA - Segunda Licenciatura em Artes Visuais - Segunda Licenciatura em Artes Visuais - Sidjane Andrade da Silva - Arte Conceitual, Instalações e Arte Urbana - Nota Máxima: 10")</f>
        <v>#SLAA - Segunda Licenciatura em Artes Visuais - Segunda Licenciatura em Artes Visuais - Sidjane Andrade da Silva - Arte Conceitual, Instalações e Arte Urbana - Nota Máxima: 10</v>
      </c>
    </row>
    <row r="6901">
      <c r="A6901" s="390" t="str">
        <f>IFERROR(__xludf.DUMMYFUNCTION("""COMPUTED_VALUE"""),"#SLAA - Segunda Licenciatura em Artes Visuais - Segunda Licenciatura em Artes Visuais - Sidjane Andrade da Silva - Arte em Educação - Nota Máxima: 10")</f>
        <v>#SLAA - Segunda Licenciatura em Artes Visuais - Segunda Licenciatura em Artes Visuais - Sidjane Andrade da Silva - Arte em Educação - Nota Máxima: 10</v>
      </c>
    </row>
    <row r="6902">
      <c r="A6902" s="390" t="str">
        <f>IFERROR(__xludf.DUMMYFUNCTION("""COMPUTED_VALUE"""),"#SLAA - Segunda Licenciatura em Artes Visuais - Segunda Licenciatura em Artes Visuais - Sidjane Andrade da Silva - Arte em Educação - Nota Máxima: 7")</f>
        <v>#SLAA - Segunda Licenciatura em Artes Visuais - Segunda Licenciatura em Artes Visuais - Sidjane Andrade da Silva - Arte em Educação - Nota Máxima: 7</v>
      </c>
    </row>
    <row r="6903">
      <c r="A6903" s="390" t="str">
        <f>IFERROR(__xludf.DUMMYFUNCTION("""COMPUTED_VALUE"""),"#SLAA - Segunda Licenciatura em Artes Visuais - Segunda Licenciatura em Artes Visuais - Sidjane Andrade da Silva - Deficiência Auditiva e Libras/a - Nota Máxima: 10")</f>
        <v>#SLAA - Segunda Licenciatura em Artes Visuais - Segunda Licenciatura em Artes Visuais - Sidjane Andrade da Silva - Deficiência Auditiva e Libras/a - Nota Máxima: 10</v>
      </c>
    </row>
    <row r="6904">
      <c r="A6904" s="390" t="str">
        <f>IFERROR(__xludf.DUMMYFUNCTION("""COMPUTED_VALUE"""),"#SLAA - Segunda Licenciatura em Artes Visuais - Segunda Licenciatura em Artes Visuais - Sidjane Andrade da Silva - Deficiência Auditiva e Libras/a - Nota Máxima: 8")</f>
        <v>#SLAA - Segunda Licenciatura em Artes Visuais - Segunda Licenciatura em Artes Visuais - Sidjane Andrade da Silva - Deficiência Auditiva e Libras/a - Nota Máxima: 8</v>
      </c>
    </row>
    <row r="6905">
      <c r="A6905" s="390" t="str">
        <f>IFERROR(__xludf.DUMMYFUNCTION("""COMPUTED_VALUE"""),"#SLAA - Segunda Licenciatura em Artes Visuais - Segunda Licenciatura em Artes Visuais - Sidjane Andrade da Silva - Desenho e Observação - Nota Máxima: 10")</f>
        <v>#SLAA - Segunda Licenciatura em Artes Visuais - Segunda Licenciatura em Artes Visuais - Sidjane Andrade da Silva - Desenho e Observação - Nota Máxima: 10</v>
      </c>
    </row>
    <row r="6906">
      <c r="A6906" s="390" t="str">
        <f>IFERROR(__xludf.DUMMYFUNCTION("""COMPUTED_VALUE"""),"#SLAA - Segunda Licenciatura em Artes Visuais - Segunda Licenciatura em Artes Visuais - Sidjane Andrade da Silva - Desenho e Observação - Nota Máxima: 10")</f>
        <v>#SLAA - Segunda Licenciatura em Artes Visuais - Segunda Licenciatura em Artes Visuais - Sidjane Andrade da Silva - Desenho e Observação - Nota Máxima: 10</v>
      </c>
    </row>
    <row r="6907">
      <c r="A6907" s="390" t="str">
        <f>IFERROR(__xludf.DUMMYFUNCTION("""COMPUTED_VALUE"""),"#SLAA - Segunda Licenciatura em Artes Visuais - Segunda Licenciatura em Artes Visuais - Sidjane Andrade da Silva - Educação Especial, Inclusão Escolar e Adaptações Curriculares - Nota Máxima: 10")</f>
        <v>#SLAA - Segunda Licenciatura em Artes Visuais - Segunda Licenciatura em Artes Visuais - Sidjane Andrade da Silva - Educação Especial, Inclusão Escolar e Adaptações Curriculares - Nota Máxima: 10</v>
      </c>
    </row>
    <row r="6908">
      <c r="A6908" s="390" t="str">
        <f>IFERROR(__xludf.DUMMYFUNCTION("""COMPUTED_VALUE"""),"#SLAA - Segunda Licenciatura em Artes Visuais - Segunda Licenciatura em Artes Visuais - Sidjane Andrade da Silva - Educação Especial, Inclusão Escolar e Adaptações Curriculares - Nota Máxima: 4")</f>
        <v>#SLAA - Segunda Licenciatura em Artes Visuais - Segunda Licenciatura em Artes Visuais - Sidjane Andrade da Silva - Educação Especial, Inclusão Escolar e Adaptações Curriculares - Nota Máxima: 4</v>
      </c>
    </row>
    <row r="6909">
      <c r="A6909" s="390" t="str">
        <f>IFERROR(__xludf.DUMMYFUNCTION("""COMPUTED_VALUE"""),"#SLAA - Segunda Licenciatura em Artes Visuais - Segunda Licenciatura em Artes Visuais - Sidjane Andrade da Silva - Educação, História, Cultura e Práticas Indígenas/a - Nota Máxima: 10")</f>
        <v>#SLAA - Segunda Licenciatura em Artes Visuais - Segunda Licenciatura em Artes Visuais - Sidjane Andrade da Silva - Educação, História, Cultura e Práticas Indígenas/a - Nota Máxima: 10</v>
      </c>
    </row>
    <row r="6910">
      <c r="A6910" s="390" t="str">
        <f>IFERROR(__xludf.DUMMYFUNCTION("""COMPUTED_VALUE"""),"#SLAA - Segunda Licenciatura em Artes Visuais - Segunda Licenciatura em Artes Visuais - Sidjane Andrade da Silva - Educação, História, Cultura e Práticas Indígenas/a - Nota Máxima: 6")</f>
        <v>#SLAA - Segunda Licenciatura em Artes Visuais - Segunda Licenciatura em Artes Visuais - Sidjane Andrade da Silva - Educação, História, Cultura e Práticas Indígenas/a - Nota Máxima: 6</v>
      </c>
    </row>
    <row r="6911">
      <c r="A6911" s="390" t="str">
        <f>IFERROR(__xludf.DUMMYFUNCTION("""COMPUTED_VALUE"""),"#SLAA - Segunda Licenciatura em Artes Visuais - Segunda Licenciatura em Artes Visuais - Sidjane Andrade da Silva - Expressão Gráfica - Nota Máxima: 10")</f>
        <v>#SLAA - Segunda Licenciatura em Artes Visuais - Segunda Licenciatura em Artes Visuais - Sidjane Andrade da Silva - Expressão Gráfica - Nota Máxima: 10</v>
      </c>
    </row>
    <row r="6912">
      <c r="A6912" s="390" t="str">
        <f>IFERROR(__xludf.DUMMYFUNCTION("""COMPUTED_VALUE"""),"#SLAA - Segunda Licenciatura em Artes Visuais - Segunda Licenciatura em Artes Visuais - Sidjane Andrade da Silva - Expressão Gráfica - Nota Máxima: 10")</f>
        <v>#SLAA - Segunda Licenciatura em Artes Visuais - Segunda Licenciatura em Artes Visuais - Sidjane Andrade da Silva - Expressão Gráfica - Nota Máxima: 10</v>
      </c>
    </row>
    <row r="6913">
      <c r="A6913" s="390" t="str">
        <f>IFERROR(__xludf.DUMMYFUNCTION("""COMPUTED_VALUE"""),"#SLAA - Segunda Licenciatura em Artes Visuais - Segunda Licenciatura em Artes Visuais - Sidjane Andrade da Silva - Filosofia das Artes à Estética - Nota Máxima: 10")</f>
        <v>#SLAA - Segunda Licenciatura em Artes Visuais - Segunda Licenciatura em Artes Visuais - Sidjane Andrade da Silva - Filosofia das Artes à Estética - Nota Máxima: 10</v>
      </c>
    </row>
    <row r="6914">
      <c r="A6914" s="390" t="str">
        <f>IFERROR(__xludf.DUMMYFUNCTION("""COMPUTED_VALUE"""),"#SLAA - Segunda Licenciatura em Artes Visuais - Segunda Licenciatura em Artes Visuais - Sidjane Andrade da Silva - Filosofia das Artes à Estética - Nota Máxima: 2")</f>
        <v>#SLAA - Segunda Licenciatura em Artes Visuais - Segunda Licenciatura em Artes Visuais - Sidjane Andrade da Silva - Filosofia das Artes à Estética - Nota Máxima: 2</v>
      </c>
    </row>
    <row r="6915">
      <c r="A6915" s="390" t="str">
        <f>IFERROR(__xludf.DUMMYFUNCTION("""COMPUTED_VALUE"""),"#SLAA - Segunda Licenciatura em Artes Visuais - Segunda Licenciatura em Artes Visuais - Sidjane Andrade da Silva - Legislação Educacional/a - Nota Máxima: 8")</f>
        <v>#SLAA - Segunda Licenciatura em Artes Visuais - Segunda Licenciatura em Artes Visuais - Sidjane Andrade da Silva - Legislação Educacional/a - Nota Máxima: 8</v>
      </c>
    </row>
    <row r="6916">
      <c r="A6916" s="390" t="str">
        <f>IFERROR(__xludf.DUMMYFUNCTION("""COMPUTED_VALUE"""),"#SLAA - Segunda Licenciatura em Artes Visuais - Segunda Licenciatura em Artes Visuais - Sidjane Andrade da Silva - Legislação Educacional/a - Nota Máxima: 7")</f>
        <v>#SLAA - Segunda Licenciatura em Artes Visuais - Segunda Licenciatura em Artes Visuais - Sidjane Andrade da Silva - Legislação Educacional/a - Nota Máxima: 7</v>
      </c>
    </row>
    <row r="6917">
      <c r="A6917" s="390" t="str">
        <f>IFERROR(__xludf.DUMMYFUNCTION("""COMPUTED_VALUE"""),"#SLAA - Segunda Licenciatura em Artes Visuais - Segunda Licenciatura em Artes Visuais - Sidjane Andrade da Silva - Linguagem das Artes Plásticas - Nota Máxima: 9")</f>
        <v>#SLAA - Segunda Licenciatura em Artes Visuais - Segunda Licenciatura em Artes Visuais - Sidjane Andrade da Silva - Linguagem das Artes Plásticas - Nota Máxima: 9</v>
      </c>
    </row>
    <row r="6918">
      <c r="A6918" s="390" t="str">
        <f>IFERROR(__xludf.DUMMYFUNCTION("""COMPUTED_VALUE"""),"#SLAA - Segunda Licenciatura em Artes Visuais - Segunda Licenciatura em Artes Visuais - Sidjane Andrade da Silva - Linguagem das Artes Plásticas - Nota Máxima: 8")</f>
        <v>#SLAA - Segunda Licenciatura em Artes Visuais - Segunda Licenciatura em Artes Visuais - Sidjane Andrade da Silva - Linguagem das Artes Plásticas - Nota Máxima: 8</v>
      </c>
    </row>
    <row r="6919">
      <c r="A6919" s="390" t="str">
        <f>IFERROR(__xludf.DUMMYFUNCTION("""COMPUTED_VALUE"""),"#SLAA - Segunda Licenciatura em Artes Visuais - Segunda Licenciatura em Artes Visuais - Sidjane Andrade da Silva - Planejamento, Gestão Educacional e Currículo/a - Nota Máxima: 10")</f>
        <v>#SLAA - Segunda Licenciatura em Artes Visuais - Segunda Licenciatura em Artes Visuais - Sidjane Andrade da Silva - Planejamento, Gestão Educacional e Currículo/a - Nota Máxima: 10</v>
      </c>
    </row>
    <row r="6920">
      <c r="A6920" s="390" t="str">
        <f>IFERROR(__xludf.DUMMYFUNCTION("""COMPUTED_VALUE"""),"#SLAA - Segunda Licenciatura em Artes Visuais - Segunda Licenciatura em Artes Visuais - Sidjane Andrade da Silva - Planejamento, Gestão Educacional e Currículo/a - Nota Máxima: 6")</f>
        <v>#SLAA - Segunda Licenciatura em Artes Visuais - Segunda Licenciatura em Artes Visuais - Sidjane Andrade da Silva - Planejamento, Gestão Educacional e Currículo/a - Nota Máxima: 6</v>
      </c>
    </row>
    <row r="6921">
      <c r="A6921" s="390" t="str">
        <f>IFERROR(__xludf.DUMMYFUNCTION("""COMPUTED_VALUE"""),"#SLAA - Segunda Licenciatura em Artes Visuais - Segunda Licenciatura em Artes Visuais - Sidjane Andrade da Silva - Práticas Pedagógicas - 400 Horas - Nota Máxima: 4")</f>
        <v>#SLAA - Segunda Licenciatura em Artes Visuais - Segunda Licenciatura em Artes Visuais - Sidjane Andrade da Silva - Práticas Pedagógicas - 400 Horas - Nota Máxima: 4</v>
      </c>
    </row>
    <row r="6922">
      <c r="A6922" s="390" t="str">
        <f>IFERROR(__xludf.DUMMYFUNCTION("""COMPUTED_VALUE"""),"#SLAA - Segunda Licenciatura em Artes Visuais - Segunda Licenciatura em Artes Visuais - Sidjane Andrade da Silva - Práticas Pedagógicas - 400 Horas - Nota Máxima: 10")</f>
        <v>#SLAA - Segunda Licenciatura em Artes Visuais - Segunda Licenciatura em Artes Visuais - Sidjane Andrade da Silva - Práticas Pedagógicas - 400 Horas - Nota Máxima: 10</v>
      </c>
    </row>
    <row r="6923">
      <c r="A6923" s="390" t="str">
        <f>IFERROR(__xludf.DUMMYFUNCTION("""COMPUTED_VALUE"""),"#SLAA - Segunda Licenciatura em Artes Visuais - Segunda Licenciatura em Artes Visuais - Sidjane Andrade da Silva - Psicologia da Educação/a - Nota Máxima: 10")</f>
        <v>#SLAA - Segunda Licenciatura em Artes Visuais - Segunda Licenciatura em Artes Visuais - Sidjane Andrade da Silva - Psicologia da Educação/a - Nota Máxima: 10</v>
      </c>
    </row>
    <row r="6924">
      <c r="A6924" s="390" t="str">
        <f>IFERROR(__xludf.DUMMYFUNCTION("""COMPUTED_VALUE"""),"#SLAA - Segunda Licenciatura em Artes Visuais - Segunda Licenciatura em Artes Visuais - Sidjane Andrade da Silva - Psicologia da Educação/a - Nota Máxima: 6")</f>
        <v>#SLAA - Segunda Licenciatura em Artes Visuais - Segunda Licenciatura em Artes Visuais - Sidjane Andrade da Silva - Psicologia da Educação/a - Nota Máxima: 6</v>
      </c>
    </row>
    <row r="6925">
      <c r="A6925" s="390" t="str">
        <f>IFERROR(__xludf.DUMMYFUNCTION("""COMPUTED_VALUE"""),"#SLAA - Segunda Licenciatura em Artes Visuais - Segunda Licenciatura em Artes Visuais - Sidjane Andrade da Silva - Psicomotricidade e Ludopedagogia - Nota Máxima: 9")</f>
        <v>#SLAA - Segunda Licenciatura em Artes Visuais - Segunda Licenciatura em Artes Visuais - Sidjane Andrade da Silva - Psicomotricidade e Ludopedagogia - Nota Máxima: 9</v>
      </c>
    </row>
    <row r="6926">
      <c r="A6926" s="390" t="str">
        <f>IFERROR(__xludf.DUMMYFUNCTION("""COMPUTED_VALUE"""),"#SLAA - Segunda Licenciatura em Artes Visuais - Segunda Licenciatura em Artes Visuais - Sidjane Andrade da Silva - Psicomotricidade e Ludopedagogia - Nota Máxima: 10")</f>
        <v>#SLAA - Segunda Licenciatura em Artes Visuais - Segunda Licenciatura em Artes Visuais - Sidjane Andrade da Silva - Psicomotricidade e Ludopedagogia - Nota Máxima: 10</v>
      </c>
    </row>
    <row r="6927">
      <c r="A6927" s="390" t="str">
        <f>IFERROR(__xludf.DUMMYFUNCTION("""COMPUTED_VALUE"""),"#SLAA - Segunda Licenciatura em Artes Visuais - Segunda Licenciatura em Artes Visuais - Sidjane Andrade da Silva - Tecnologia nas Artes Visuais - Nota Máxima: 9")</f>
        <v>#SLAA - Segunda Licenciatura em Artes Visuais - Segunda Licenciatura em Artes Visuais - Sidjane Andrade da Silva - Tecnologia nas Artes Visuais - Nota Máxima: 9</v>
      </c>
    </row>
    <row r="6928">
      <c r="A6928" s="390" t="str">
        <f>IFERROR(__xludf.DUMMYFUNCTION("""COMPUTED_VALUE"""),"#SLAA - Segunda Licenciatura em Artes Visuais - Segunda Licenciatura em Artes Visuais - Sidjane Andrade da Silva - Tecnologia nas Artes Visuais - Nota Máxima: 10")</f>
        <v>#SLAA - Segunda Licenciatura em Artes Visuais - Segunda Licenciatura em Artes Visuais - Sidjane Andrade da Silva - Tecnologia nas Artes Visuais - Nota Máxima: 10</v>
      </c>
    </row>
    <row r="6929">
      <c r="A6929" s="390" t="str">
        <f>IFERROR(__xludf.DUMMYFUNCTION("""COMPUTED_VALUE"""),"#SLAA - Segunda Licenciatura em Artes Visuais - Segunda Licenciatura em Artes Visuais - Rosileni Gonçalves de Souza - Arte Brasileira na Formação da Identidade Nacional - Nota Máxima: 9")</f>
        <v>#SLAA - Segunda Licenciatura em Artes Visuais - Segunda Licenciatura em Artes Visuais - Rosileni Gonçalves de Souza - Arte Brasileira na Formação da Identidade Nacional - Nota Máxima: 9</v>
      </c>
    </row>
    <row r="6930">
      <c r="A6930" s="390" t="str">
        <f>IFERROR(__xludf.DUMMYFUNCTION("""COMPUTED_VALUE"""),"#SLAA - Segunda Licenciatura em Artes Visuais - Segunda Licenciatura em Artes Visuais - Rosileni Gonçalves de Souza - Arte Conceitual, Instalações e Arte Urbana - Nota Máxima: 9")</f>
        <v>#SLAA - Segunda Licenciatura em Artes Visuais - Segunda Licenciatura em Artes Visuais - Rosileni Gonçalves de Souza - Arte Conceitual, Instalações e Arte Urbana - Nota Máxima: 9</v>
      </c>
    </row>
    <row r="6931">
      <c r="A6931" s="390" t="str">
        <f>IFERROR(__xludf.DUMMYFUNCTION("""COMPUTED_VALUE"""),"#SLAA - Segunda Licenciatura em Artes Visuais - Segunda Licenciatura em Artes Visuais - Rosileni Gonçalves de Souza - Arte em Educação - Nota Máxima: 10")</f>
        <v>#SLAA - Segunda Licenciatura em Artes Visuais - Segunda Licenciatura em Artes Visuais - Rosileni Gonçalves de Souza - Arte em Educação - Nota Máxima: 10</v>
      </c>
    </row>
    <row r="6932">
      <c r="A6932" s="390" t="str">
        <f>IFERROR(__xludf.DUMMYFUNCTION("""COMPUTED_VALUE"""),"#SLAA - Segunda Licenciatura em Artes Visuais - Segunda Licenciatura em Artes Visuais - Rosileni Gonçalves de Souza - Deficiência Auditiva e Libras/a - Nota Máxima: 10")</f>
        <v>#SLAA - Segunda Licenciatura em Artes Visuais - Segunda Licenciatura em Artes Visuais - Rosileni Gonçalves de Souza - Deficiência Auditiva e Libras/a - Nota Máxima: 10</v>
      </c>
    </row>
    <row r="6933">
      <c r="A6933" s="390" t="str">
        <f>IFERROR(__xludf.DUMMYFUNCTION("""COMPUTED_VALUE"""),"#SLAA - Segunda Licenciatura em Artes Visuais - Segunda Licenciatura em Artes Visuais - Rosileni Gonçalves de Souza - Deficiência Auditiva e Libras/a - Nota Máxima: 9")</f>
        <v>#SLAA - Segunda Licenciatura em Artes Visuais - Segunda Licenciatura em Artes Visuais - Rosileni Gonçalves de Souza - Deficiência Auditiva e Libras/a - Nota Máxima: 9</v>
      </c>
    </row>
    <row r="6934">
      <c r="A6934" s="390" t="str">
        <f>IFERROR(__xludf.DUMMYFUNCTION("""COMPUTED_VALUE"""),"#SLAA - Segunda Licenciatura em Artes Visuais - Segunda Licenciatura em Artes Visuais - Rosileni Gonçalves de Souza - Educação Especial, Inclusão Escolar e Adaptações Curriculares - Nota Máxima: 7")</f>
        <v>#SLAA - Segunda Licenciatura em Artes Visuais - Segunda Licenciatura em Artes Visuais - Rosileni Gonçalves de Souza - Educação Especial, Inclusão Escolar e Adaptações Curriculares - Nota Máxima: 7</v>
      </c>
    </row>
    <row r="6935">
      <c r="A6935" s="390" t="str">
        <f>IFERROR(__xludf.DUMMYFUNCTION("""COMPUTED_VALUE"""),"#SLAA - Segunda Licenciatura em Artes Visuais - Segunda Licenciatura em Artes Visuais - Rosileni Gonçalves de Souza - Educação, História, Cultura e Práticas Indígenas/a - Nota Máxima: 10")</f>
        <v>#SLAA - Segunda Licenciatura em Artes Visuais - Segunda Licenciatura em Artes Visuais - Rosileni Gonçalves de Souza - Educação, História, Cultura e Práticas Indígenas/a - Nota Máxima: 10</v>
      </c>
    </row>
    <row r="6936">
      <c r="A6936" s="390" t="str">
        <f>IFERROR(__xludf.DUMMYFUNCTION("""COMPUTED_VALUE"""),"#SLAA - Segunda Licenciatura em Artes Visuais - Segunda Licenciatura em Artes Visuais - Rosileni Gonçalves de Souza - Filosofia das Artes à Estética - Nota Máxima: 10")</f>
        <v>#SLAA - Segunda Licenciatura em Artes Visuais - Segunda Licenciatura em Artes Visuais - Rosileni Gonçalves de Souza - Filosofia das Artes à Estética - Nota Máxima: 10</v>
      </c>
    </row>
    <row r="6937">
      <c r="A6937" s="390" t="str">
        <f>IFERROR(__xludf.DUMMYFUNCTION("""COMPUTED_VALUE"""),"#SLAA - Segunda Licenciatura em Artes Visuais - Segunda Licenciatura em Artes Visuais - Rosileni Gonçalves de Souza - Legislação Educacional/a - Nota Máxima: 8")</f>
        <v>#SLAA - Segunda Licenciatura em Artes Visuais - Segunda Licenciatura em Artes Visuais - Rosileni Gonçalves de Souza - Legislação Educacional/a - Nota Máxima: 8</v>
      </c>
    </row>
    <row r="6938">
      <c r="A6938" s="390" t="str">
        <f>IFERROR(__xludf.DUMMYFUNCTION("""COMPUTED_VALUE"""),"#SLAA - Segunda Licenciatura em Artes Visuais - Segunda Licenciatura em Artes Visuais - Rosileni Gonçalves de Souza - Linguagem das Artes Plásticas - Nota Máxima: 7")</f>
        <v>#SLAA - Segunda Licenciatura em Artes Visuais - Segunda Licenciatura em Artes Visuais - Rosileni Gonçalves de Souza - Linguagem das Artes Plásticas - Nota Máxima: 7</v>
      </c>
    </row>
    <row r="6939">
      <c r="A6939" s="390" t="str">
        <f>IFERROR(__xludf.DUMMYFUNCTION("""COMPUTED_VALUE"""),"#SLAA - Segunda Licenciatura em Artes Visuais - Segunda Licenciatura em Artes Visuais - Rosileni Gonçalves de Souza - Planejamento, Gestão Educacional e Currículo/a - Nota Máxima: 8")</f>
        <v>#SLAA - Segunda Licenciatura em Artes Visuais - Segunda Licenciatura em Artes Visuais - Rosileni Gonçalves de Souza - Planejamento, Gestão Educacional e Currículo/a - Nota Máxima: 8</v>
      </c>
    </row>
    <row r="6940">
      <c r="A6940" s="390" t="str">
        <f>IFERROR(__xludf.DUMMYFUNCTION("""COMPUTED_VALUE"""),"#SLAA - Segunda Licenciatura em Artes Visuais - Segunda Licenciatura em Artes Visuais - Rosileni Gonçalves de Souza - Práticas Pedagógicas - 400 Horas - Nota Máxima: 4")</f>
        <v>#SLAA - Segunda Licenciatura em Artes Visuais - Segunda Licenciatura em Artes Visuais - Rosileni Gonçalves de Souza - Práticas Pedagógicas - 400 Horas - Nota Máxima: 4</v>
      </c>
    </row>
    <row r="6941">
      <c r="A6941" s="390" t="str">
        <f>IFERROR(__xludf.DUMMYFUNCTION("""COMPUTED_VALUE"""),"#SLAA - Segunda Licenciatura em Artes Visuais - Segunda Licenciatura em Artes Visuais - Rosileni Gonçalves de Souza - Psicologia da Educação/a - Nota Máxima: 9")</f>
        <v>#SLAA - Segunda Licenciatura em Artes Visuais - Segunda Licenciatura em Artes Visuais - Rosileni Gonçalves de Souza - Psicologia da Educação/a - Nota Máxima: 9</v>
      </c>
    </row>
    <row r="6942">
      <c r="A6942" s="390" t="str">
        <f>IFERROR(__xludf.DUMMYFUNCTION("""COMPUTED_VALUE"""),"#SLAA - Segunda Licenciatura em Artes Visuais - Segunda Licenciatura em Artes Visuais - Rosileni Gonçalves de Souza - Psicomotricidade e Ludopedagogia - Nota Máxima: 10")</f>
        <v>#SLAA - Segunda Licenciatura em Artes Visuais - Segunda Licenciatura em Artes Visuais - Rosileni Gonçalves de Souza - Psicomotricidade e Ludopedagogia - Nota Máxima: 10</v>
      </c>
    </row>
    <row r="6943">
      <c r="A6943" s="390" t="str">
        <f>IFERROR(__xludf.DUMMYFUNCTION("""COMPUTED_VALUE"""),"#SLAA - Segunda Licenciatura em Artes Visuais - Segunda Licenciatura em Artes Visuais - Rosileni Gonçalves de Souza - Tecnologia nas Artes Visuais - Nota Máxima: 10")</f>
        <v>#SLAA - Segunda Licenciatura em Artes Visuais - Segunda Licenciatura em Artes Visuais - Rosileni Gonçalves de Souza - Tecnologia nas Artes Visuais - Nota Máxima: 10</v>
      </c>
    </row>
    <row r="6944">
      <c r="A6944" s="390" t="str">
        <f>IFERROR(__xludf.DUMMYFUNCTION("""COMPUTED_VALUE"""),"#SLAA - Segunda Licenciatura em Artes Visuais - Segunda Licenciatura em Artes Visuais - Estela Maria de Azevedo Nery Ferreira - Filosofia das Artes à Estética - Nota Máxima: 4")</f>
        <v>#SLAA - Segunda Licenciatura em Artes Visuais - Segunda Licenciatura em Artes Visuais - Estela Maria de Azevedo Nery Ferreira - Filosofia das Artes à Estética - Nota Máxima: 4</v>
      </c>
    </row>
    <row r="6945">
      <c r="A6945" s="390" t="str">
        <f>IFERROR(__xludf.DUMMYFUNCTION("""COMPUTED_VALUE"""),"#SLAA - Segunda Licenciatura em Artes Visuais - Segunda Licenciatura em Artes Visuais - Lucia Ferreira Santos - Deficiência Auditiva e Libras/a - Nota Máxima: 8")</f>
        <v>#SLAA - Segunda Licenciatura em Artes Visuais - Segunda Licenciatura em Artes Visuais - Lucia Ferreira Santos - Deficiência Auditiva e Libras/a - Nota Máxima: 8</v>
      </c>
    </row>
    <row r="6946">
      <c r="A6946" s="390" t="str">
        <f>IFERROR(__xludf.DUMMYFUNCTION("""COMPUTED_VALUE"""),"#SLAA - Segunda Licenciatura em Artes Visuais - Segunda Licenciatura em Artes Visuais - Adriana Vieira - Arte Brasileira na Formação da Identidade Nacional - Nota Máxima: 9")</f>
        <v>#SLAA - Segunda Licenciatura em Artes Visuais - Segunda Licenciatura em Artes Visuais - Adriana Vieira - Arte Brasileira na Formação da Identidade Nacional - Nota Máxima: 9</v>
      </c>
    </row>
    <row r="6947">
      <c r="A6947" s="390" t="str">
        <f>IFERROR(__xludf.DUMMYFUNCTION("""COMPUTED_VALUE"""),"#SLAA - Segunda Licenciatura em Artes Visuais - Segunda Licenciatura em Artes Visuais - Adriana Vieira - Arte Conceitual, Instalações e Arte Urbana - Nota Máxima: 9")</f>
        <v>#SLAA - Segunda Licenciatura em Artes Visuais - Segunda Licenciatura em Artes Visuais - Adriana Vieira - Arte Conceitual, Instalações e Arte Urbana - Nota Máxima: 9</v>
      </c>
    </row>
    <row r="6948">
      <c r="A6948" s="390" t="str">
        <f>IFERROR(__xludf.DUMMYFUNCTION("""COMPUTED_VALUE"""),"#SLAA - Segunda Licenciatura em Artes Visuais - Segunda Licenciatura em Artes Visuais - Adriana Vieira - Arte em Educação - Nota Máxima: 8")</f>
        <v>#SLAA - Segunda Licenciatura em Artes Visuais - Segunda Licenciatura em Artes Visuais - Adriana Vieira - Arte em Educação - Nota Máxima: 8</v>
      </c>
    </row>
    <row r="6949">
      <c r="A6949" s="390" t="str">
        <f>IFERROR(__xludf.DUMMYFUNCTION("""COMPUTED_VALUE"""),"#SLAA - Segunda Licenciatura em Artes Visuais - Segunda Licenciatura em Artes Visuais - Adriana Vieira - Deficiência Auditiva e Libras/a - Nota Máxima: 8")</f>
        <v>#SLAA - Segunda Licenciatura em Artes Visuais - Segunda Licenciatura em Artes Visuais - Adriana Vieira - Deficiência Auditiva e Libras/a - Nota Máxima: 8</v>
      </c>
    </row>
    <row r="6950">
      <c r="A6950" s="390" t="str">
        <f>IFERROR(__xludf.DUMMYFUNCTION("""COMPUTED_VALUE"""),"#SLAA - Segunda Licenciatura em Artes Visuais - Segunda Licenciatura em Artes Visuais - Adriana Vieira - Desenho e Observação - Nota Máxima: 10")</f>
        <v>#SLAA - Segunda Licenciatura em Artes Visuais - Segunda Licenciatura em Artes Visuais - Adriana Vieira - Desenho e Observação - Nota Máxima: 10</v>
      </c>
    </row>
    <row r="6951">
      <c r="A6951" s="390" t="str">
        <f>IFERROR(__xludf.DUMMYFUNCTION("""COMPUTED_VALUE"""),"#SLAA - Segunda Licenciatura em Artes Visuais - Segunda Licenciatura em Artes Visuais - Adriana Vieira - Educação Especial, Inclusão Escolar e Adaptações Curriculares - Nota Máxima: 9")</f>
        <v>#SLAA - Segunda Licenciatura em Artes Visuais - Segunda Licenciatura em Artes Visuais - Adriana Vieira - Educação Especial, Inclusão Escolar e Adaptações Curriculares - Nota Máxima: 9</v>
      </c>
    </row>
    <row r="6952">
      <c r="A6952" s="390" t="str">
        <f>IFERROR(__xludf.DUMMYFUNCTION("""COMPUTED_VALUE"""),"#SLAA - Segunda Licenciatura em Artes Visuais - Segunda Licenciatura em Artes Visuais - Adriana Vieira - Educação, História, Cultura e Práticas Indígenas/a - Nota Máxima: 10")</f>
        <v>#SLAA - Segunda Licenciatura em Artes Visuais - Segunda Licenciatura em Artes Visuais - Adriana Vieira - Educação, História, Cultura e Práticas Indígenas/a - Nota Máxima: 10</v>
      </c>
    </row>
    <row r="6953">
      <c r="A6953" s="390" t="str">
        <f>IFERROR(__xludf.DUMMYFUNCTION("""COMPUTED_VALUE"""),"#SLAA - Segunda Licenciatura em Artes Visuais - Segunda Licenciatura em Artes Visuais - Adriana Vieira - Expressão Gráfica - Nota Máxima: 9")</f>
        <v>#SLAA - Segunda Licenciatura em Artes Visuais - Segunda Licenciatura em Artes Visuais - Adriana Vieira - Expressão Gráfica - Nota Máxima: 9</v>
      </c>
    </row>
    <row r="6954">
      <c r="A6954" s="390" t="str">
        <f>IFERROR(__xludf.DUMMYFUNCTION("""COMPUTED_VALUE"""),"#SLAA - Segunda Licenciatura em Artes Visuais - Segunda Licenciatura em Artes Visuais - Adriana Vieira - Filosofia das Artes à Estética - Nota Máxima: 7")</f>
        <v>#SLAA - Segunda Licenciatura em Artes Visuais - Segunda Licenciatura em Artes Visuais - Adriana Vieira - Filosofia das Artes à Estética - Nota Máxima: 7</v>
      </c>
    </row>
    <row r="6955">
      <c r="A6955" s="390" t="str">
        <f>IFERROR(__xludf.DUMMYFUNCTION("""COMPUTED_VALUE"""),"#SLAA - Segunda Licenciatura em Artes Visuais - Segunda Licenciatura em Artes Visuais - Adriana Vieira - Legislação Educacional/a - Nota Máxima: 10")</f>
        <v>#SLAA - Segunda Licenciatura em Artes Visuais - Segunda Licenciatura em Artes Visuais - Adriana Vieira - Legislação Educacional/a - Nota Máxima: 10</v>
      </c>
    </row>
    <row r="6956">
      <c r="A6956" s="390" t="str">
        <f>IFERROR(__xludf.DUMMYFUNCTION("""COMPUTED_VALUE"""),"#SLAA - Segunda Licenciatura em Artes Visuais - Segunda Licenciatura em Artes Visuais - Adriana Vieira - Linguagem das Artes Plásticas - Nota Máxima: 7")</f>
        <v>#SLAA - Segunda Licenciatura em Artes Visuais - Segunda Licenciatura em Artes Visuais - Adriana Vieira - Linguagem das Artes Plásticas - Nota Máxima: 7</v>
      </c>
    </row>
    <row r="6957">
      <c r="A6957" s="390" t="str">
        <f>IFERROR(__xludf.DUMMYFUNCTION("""COMPUTED_VALUE"""),"#SLAA - Segunda Licenciatura em Artes Visuais - Segunda Licenciatura em Artes Visuais - Adriana Vieira - Planejamento, Gestão Educacional e Currículo/a - Nota Máxima: 9")</f>
        <v>#SLAA - Segunda Licenciatura em Artes Visuais - Segunda Licenciatura em Artes Visuais - Adriana Vieira - Planejamento, Gestão Educacional e Currículo/a - Nota Máxima: 9</v>
      </c>
    </row>
    <row r="6958">
      <c r="A6958" s="390" t="str">
        <f>IFERROR(__xludf.DUMMYFUNCTION("""COMPUTED_VALUE"""),"#SLAA - Segunda Licenciatura em Artes Visuais - Segunda Licenciatura em Artes Visuais - Adriana Vieira - Práticas Pedagógicas - 400 Horas - Nota Máxima: 45784")</f>
        <v>#SLAA - Segunda Licenciatura em Artes Visuais - Segunda Licenciatura em Artes Visuais - Adriana Vieira - Práticas Pedagógicas - 400 Horas - Nota Máxima: 45784</v>
      </c>
    </row>
    <row r="6959">
      <c r="A6959" s="390" t="str">
        <f>IFERROR(__xludf.DUMMYFUNCTION("""COMPUTED_VALUE"""),"#SLAA - Segunda Licenciatura em Artes Visuais - Segunda Licenciatura em Artes Visuais - Adriana Vieira - Psicologia da Educação/a - Nota Máxima: 9")</f>
        <v>#SLAA - Segunda Licenciatura em Artes Visuais - Segunda Licenciatura em Artes Visuais - Adriana Vieira - Psicologia da Educação/a - Nota Máxima: 9</v>
      </c>
    </row>
    <row r="6960">
      <c r="A6960" s="390" t="str">
        <f>IFERROR(__xludf.DUMMYFUNCTION("""COMPUTED_VALUE"""),"#SLAA - Segunda Licenciatura em Artes Visuais - Segunda Licenciatura em Artes Visuais - Adriana Vieira - Psicomotricidade e Ludopedagogia - Nota Máxima: 9")</f>
        <v>#SLAA - Segunda Licenciatura em Artes Visuais - Segunda Licenciatura em Artes Visuais - Adriana Vieira - Psicomotricidade e Ludopedagogia - Nota Máxima: 9</v>
      </c>
    </row>
    <row r="6961">
      <c r="A6961" s="390" t="str">
        <f>IFERROR(__xludf.DUMMYFUNCTION("""COMPUTED_VALUE"""),"#SLAA - Segunda Licenciatura em Artes Visuais - Segunda Licenciatura em Artes Visuais - Adriana Vieira - Tecnologia nas Artes Visuais - Nota Máxima: 8")</f>
        <v>#SLAA - Segunda Licenciatura em Artes Visuais - Segunda Licenciatura em Artes Visuais - Adriana Vieira - Tecnologia nas Artes Visuais - Nota Máxima: 8</v>
      </c>
    </row>
    <row r="6962">
      <c r="A6962" s="390" t="str">
        <f>IFERROR(__xludf.DUMMYFUNCTION("""COMPUTED_VALUE"""),"#SLAA - Segunda Licenciatura em Artes Visuais - Segunda Licenciatura em Artes Visuais - Wagner José da Silva - Arte Brasileira na Formação da Identidade Nacional - Nota Máxima: 10")</f>
        <v>#SLAA - Segunda Licenciatura em Artes Visuais - Segunda Licenciatura em Artes Visuais - Wagner José da Silva - Arte Brasileira na Formação da Identidade Nacional - Nota Máxima: 10</v>
      </c>
    </row>
    <row r="6963">
      <c r="A6963" s="390" t="str">
        <f>IFERROR(__xludf.DUMMYFUNCTION("""COMPUTED_VALUE"""),"#SLAA - Segunda Licenciatura em Artes Visuais - Segunda Licenciatura em Artes Visuais - Wagner José da Silva - Arte Conceitual, Instalações e Arte Urbana - Nota Máxima: 10")</f>
        <v>#SLAA - Segunda Licenciatura em Artes Visuais - Segunda Licenciatura em Artes Visuais - Wagner José da Silva - Arte Conceitual, Instalações e Arte Urbana - Nota Máxima: 10</v>
      </c>
    </row>
    <row r="6964">
      <c r="A6964" s="390" t="str">
        <f>IFERROR(__xludf.DUMMYFUNCTION("""COMPUTED_VALUE"""),"#SLAA - Segunda Licenciatura em Artes Visuais - Segunda Licenciatura em Artes Visuais - Wagner José da Silva - Arte em Educação - Nota Máxima: 8")</f>
        <v>#SLAA - Segunda Licenciatura em Artes Visuais - Segunda Licenciatura em Artes Visuais - Wagner José da Silva - Arte em Educação - Nota Máxima: 8</v>
      </c>
    </row>
    <row r="6965">
      <c r="A6965" s="390" t="str">
        <f>IFERROR(__xludf.DUMMYFUNCTION("""COMPUTED_VALUE"""),"#SLAA - Segunda Licenciatura em Artes Visuais - Segunda Licenciatura em Artes Visuais - Wagner José da Silva - Deficiência Auditiva e Libras/a - Nota Máxima: 10")</f>
        <v>#SLAA - Segunda Licenciatura em Artes Visuais - Segunda Licenciatura em Artes Visuais - Wagner José da Silva - Deficiência Auditiva e Libras/a - Nota Máxima: 10</v>
      </c>
    </row>
    <row r="6966">
      <c r="A6966" s="390" t="str">
        <f>IFERROR(__xludf.DUMMYFUNCTION("""COMPUTED_VALUE"""),"#SLAA - Segunda Licenciatura em Artes Visuais - Segunda Licenciatura em Artes Visuais - Wagner José da Silva - Deficiência Auditiva e Libras/a - Nota Máxima: 7")</f>
        <v>#SLAA - Segunda Licenciatura em Artes Visuais - Segunda Licenciatura em Artes Visuais - Wagner José da Silva - Deficiência Auditiva e Libras/a - Nota Máxima: 7</v>
      </c>
    </row>
    <row r="6967">
      <c r="A6967" s="390" t="str">
        <f>IFERROR(__xludf.DUMMYFUNCTION("""COMPUTED_VALUE"""),"#SLAA - Segunda Licenciatura em Artes Visuais - Segunda Licenciatura em Artes Visuais - Wagner José da Silva - Desenho e Observação - Nota Máxima: 10")</f>
        <v>#SLAA - Segunda Licenciatura em Artes Visuais - Segunda Licenciatura em Artes Visuais - Wagner José da Silva - Desenho e Observação - Nota Máxima: 10</v>
      </c>
    </row>
    <row r="6968">
      <c r="A6968" s="390" t="str">
        <f>IFERROR(__xludf.DUMMYFUNCTION("""COMPUTED_VALUE"""),"#SLAA - Segunda Licenciatura em Artes Visuais - Segunda Licenciatura em Artes Visuais - Wagner José da Silva - Educação Especial, Inclusão Escolar e Adaptações Curriculares - Nota Máxima: 10")</f>
        <v>#SLAA - Segunda Licenciatura em Artes Visuais - Segunda Licenciatura em Artes Visuais - Wagner José da Silva - Educação Especial, Inclusão Escolar e Adaptações Curriculares - Nota Máxima: 10</v>
      </c>
    </row>
    <row r="6969">
      <c r="A6969" s="390" t="str">
        <f>IFERROR(__xludf.DUMMYFUNCTION("""COMPUTED_VALUE"""),"#SLAA - Segunda Licenciatura em Artes Visuais - Segunda Licenciatura em Artes Visuais - Wagner José da Silva - Educação Especial, Inclusão Escolar e Adaptações Curriculares - Nota Máxima: 10")</f>
        <v>#SLAA - Segunda Licenciatura em Artes Visuais - Segunda Licenciatura em Artes Visuais - Wagner José da Silva - Educação Especial, Inclusão Escolar e Adaptações Curriculares - Nota Máxima: 10</v>
      </c>
    </row>
    <row r="6970">
      <c r="A6970" s="390" t="str">
        <f>IFERROR(__xludf.DUMMYFUNCTION("""COMPUTED_VALUE"""),"#SLAA - Segunda Licenciatura em Artes Visuais - Segunda Licenciatura em Artes Visuais - Wagner José da Silva - Educação, História, Cultura e Práticas Indígenas/a - Nota Máxima: 10")</f>
        <v>#SLAA - Segunda Licenciatura em Artes Visuais - Segunda Licenciatura em Artes Visuais - Wagner José da Silva - Educação, História, Cultura e Práticas Indígenas/a - Nota Máxima: 10</v>
      </c>
    </row>
    <row r="6971">
      <c r="A6971" s="390" t="str">
        <f>IFERROR(__xludf.DUMMYFUNCTION("""COMPUTED_VALUE"""),"#SLAA - Segunda Licenciatura em Artes Visuais - Segunda Licenciatura em Artes Visuais - Wagner José da Silva - Expressão Gráfica - Nota Máxima: 10")</f>
        <v>#SLAA - Segunda Licenciatura em Artes Visuais - Segunda Licenciatura em Artes Visuais - Wagner José da Silva - Expressão Gráfica - Nota Máxima: 10</v>
      </c>
    </row>
    <row r="6972">
      <c r="A6972" s="390" t="str">
        <f>IFERROR(__xludf.DUMMYFUNCTION("""COMPUTED_VALUE"""),"#SLAA - Segunda Licenciatura em Artes Visuais - Segunda Licenciatura em Artes Visuais - Wagner José da Silva - Filosofia das Artes à Estética - Nota Máxima: 10")</f>
        <v>#SLAA - Segunda Licenciatura em Artes Visuais - Segunda Licenciatura em Artes Visuais - Wagner José da Silva - Filosofia das Artes à Estética - Nota Máxima: 10</v>
      </c>
    </row>
    <row r="6973">
      <c r="A6973" s="390" t="str">
        <f>IFERROR(__xludf.DUMMYFUNCTION("""COMPUTED_VALUE"""),"#SLAA - Segunda Licenciatura em Artes Visuais - Segunda Licenciatura em Artes Visuais - Wagner José da Silva - Legislação Educacional/a - Nota Máxima: 9")</f>
        <v>#SLAA - Segunda Licenciatura em Artes Visuais - Segunda Licenciatura em Artes Visuais - Wagner José da Silva - Legislação Educacional/a - Nota Máxima: 9</v>
      </c>
    </row>
    <row r="6974">
      <c r="A6974" s="390" t="str">
        <f>IFERROR(__xludf.DUMMYFUNCTION("""COMPUTED_VALUE"""),"#SLAA - Segunda Licenciatura em Artes Visuais - Segunda Licenciatura em Artes Visuais - Wagner José da Silva - Linguagem das Artes Plásticas - Nota Máxima: 10")</f>
        <v>#SLAA - Segunda Licenciatura em Artes Visuais - Segunda Licenciatura em Artes Visuais - Wagner José da Silva - Linguagem das Artes Plásticas - Nota Máxima: 10</v>
      </c>
    </row>
    <row r="6975">
      <c r="A6975" s="390" t="str">
        <f>IFERROR(__xludf.DUMMYFUNCTION("""COMPUTED_VALUE"""),"#SLAA - Segunda Licenciatura em Artes Visuais - Segunda Licenciatura em Artes Visuais - Wagner José da Silva - Planejamento, Gestão Educacional e Currículo/a - Nota Máxima: 9")</f>
        <v>#SLAA - Segunda Licenciatura em Artes Visuais - Segunda Licenciatura em Artes Visuais - Wagner José da Silva - Planejamento, Gestão Educacional e Currículo/a - Nota Máxima: 9</v>
      </c>
    </row>
    <row r="6976">
      <c r="A6976" s="390" t="str">
        <f>IFERROR(__xludf.DUMMYFUNCTION("""COMPUTED_VALUE"""),"#SLAA - Segunda Licenciatura em Artes Visuais - Segunda Licenciatura em Artes Visuais - Wagner José da Silva - Práticas Pedagógicas - 400 Horas - Nota Máxima: 45784")</f>
        <v>#SLAA - Segunda Licenciatura em Artes Visuais - Segunda Licenciatura em Artes Visuais - Wagner José da Silva - Práticas Pedagógicas - 400 Horas - Nota Máxima: 45784</v>
      </c>
    </row>
    <row r="6977">
      <c r="A6977" s="390" t="str">
        <f>IFERROR(__xludf.DUMMYFUNCTION("""COMPUTED_VALUE"""),"#SLAA - Segunda Licenciatura em Artes Visuais - Segunda Licenciatura em Artes Visuais - Wagner José da Silva - Psicologia da Educação/a - Nota Máxima: 10")</f>
        <v>#SLAA - Segunda Licenciatura em Artes Visuais - Segunda Licenciatura em Artes Visuais - Wagner José da Silva - Psicologia da Educação/a - Nota Máxima: 10</v>
      </c>
    </row>
    <row r="6978">
      <c r="A6978" s="390" t="str">
        <f>IFERROR(__xludf.DUMMYFUNCTION("""COMPUTED_VALUE"""),"#SLAA - Segunda Licenciatura em Artes Visuais - Segunda Licenciatura em Artes Visuais - Wagner José da Silva - Psicomotricidade e Ludopedagogia - Nota Máxima: 10")</f>
        <v>#SLAA - Segunda Licenciatura em Artes Visuais - Segunda Licenciatura em Artes Visuais - Wagner José da Silva - Psicomotricidade e Ludopedagogia - Nota Máxima: 10</v>
      </c>
    </row>
    <row r="6979">
      <c r="A6979" s="390" t="str">
        <f>IFERROR(__xludf.DUMMYFUNCTION("""COMPUTED_VALUE"""),"#SLAA - Segunda Licenciatura em Artes Visuais - Segunda Licenciatura em Artes Visuais - Wagner José da Silva - Tecnologia nas Artes Visuais - Nota Máxima: 10")</f>
        <v>#SLAA - Segunda Licenciatura em Artes Visuais - Segunda Licenciatura em Artes Visuais - Wagner José da Silva - Tecnologia nas Artes Visuais - Nota Máxima: 10</v>
      </c>
    </row>
    <row r="6980">
      <c r="A6980" s="390" t="str">
        <f>IFERROR(__xludf.DUMMYFUNCTION("""COMPUTED_VALUE"""),"#SLAA - Segunda Licenciatura em Artes Visuais - Segunda Licenciatura em Artes Visuais - José Augusto Nascimento - Deficiência Auditiva e Libras/a - Nota Máxima: 9")</f>
        <v>#SLAA - Segunda Licenciatura em Artes Visuais - Segunda Licenciatura em Artes Visuais - José Augusto Nascimento - Deficiência Auditiva e Libras/a - Nota Máxima: 9</v>
      </c>
    </row>
    <row r="6981">
      <c r="A6981" s="390" t="str">
        <f>IFERROR(__xludf.DUMMYFUNCTION("""COMPUTED_VALUE"""),"#SLAA - Segunda Licenciatura em Artes Visuais - Segunda Licenciatura em Artes Visuais - Luciane Ribeiro dos Santos - Arte Brasileira na Formação da Identidade Nacional - Nota Máxima: 10")</f>
        <v>#SLAA - Segunda Licenciatura em Artes Visuais - Segunda Licenciatura em Artes Visuais - Luciane Ribeiro dos Santos - Arte Brasileira na Formação da Identidade Nacional - Nota Máxima: 10</v>
      </c>
    </row>
    <row r="6982">
      <c r="A6982" s="390" t="str">
        <f>IFERROR(__xludf.DUMMYFUNCTION("""COMPUTED_VALUE"""),"#SLAA - Segunda Licenciatura em Artes Visuais - Segunda Licenciatura em Artes Visuais - Luciane Ribeiro dos Santos - Arte Brasileira na Formação da Identidade Nacional - Nota Máxima: 5")</f>
        <v>#SLAA - Segunda Licenciatura em Artes Visuais - Segunda Licenciatura em Artes Visuais - Luciane Ribeiro dos Santos - Arte Brasileira na Formação da Identidade Nacional - Nota Máxima: 5</v>
      </c>
    </row>
    <row r="6983">
      <c r="A6983" s="390" t="str">
        <f>IFERROR(__xludf.DUMMYFUNCTION("""COMPUTED_VALUE"""),"#SLAA - Segunda Licenciatura em Artes Visuais - Segunda Licenciatura em Artes Visuais - Luciane Ribeiro dos Santos - Arte Conceitual, Instalações e Arte Urbana - Nota Máxima: 10")</f>
        <v>#SLAA - Segunda Licenciatura em Artes Visuais - Segunda Licenciatura em Artes Visuais - Luciane Ribeiro dos Santos - Arte Conceitual, Instalações e Arte Urbana - Nota Máxima: 10</v>
      </c>
    </row>
    <row r="6984">
      <c r="A6984" s="390" t="str">
        <f>IFERROR(__xludf.DUMMYFUNCTION("""COMPUTED_VALUE"""),"#SLAA - Segunda Licenciatura em Artes Visuais - Segunda Licenciatura em Artes Visuais - Luciane Ribeiro dos Santos - Arte Conceitual, Instalações e Arte Urbana - Nota Máxima: 5")</f>
        <v>#SLAA - Segunda Licenciatura em Artes Visuais - Segunda Licenciatura em Artes Visuais - Luciane Ribeiro dos Santos - Arte Conceitual, Instalações e Arte Urbana - Nota Máxima: 5</v>
      </c>
    </row>
    <row r="6985">
      <c r="A6985" s="390" t="str">
        <f>IFERROR(__xludf.DUMMYFUNCTION("""COMPUTED_VALUE"""),"#SLAA - Segunda Licenciatura em Artes Visuais - Segunda Licenciatura em Artes Visuais - Luciane Ribeiro dos Santos - Arte em Educação - Nota Máxima: 10")</f>
        <v>#SLAA - Segunda Licenciatura em Artes Visuais - Segunda Licenciatura em Artes Visuais - Luciane Ribeiro dos Santos - Arte em Educação - Nota Máxima: 10</v>
      </c>
    </row>
    <row r="6986">
      <c r="A6986" s="390" t="str">
        <f>IFERROR(__xludf.DUMMYFUNCTION("""COMPUTED_VALUE"""),"#SLAA - Segunda Licenciatura em Artes Visuais - Segunda Licenciatura em Artes Visuais - Luciane Ribeiro dos Santos - Arte em Educação - Nota Máxima: 8")</f>
        <v>#SLAA - Segunda Licenciatura em Artes Visuais - Segunda Licenciatura em Artes Visuais - Luciane Ribeiro dos Santos - Arte em Educação - Nota Máxima: 8</v>
      </c>
    </row>
    <row r="6987">
      <c r="A6987" s="390" t="str">
        <f>IFERROR(__xludf.DUMMYFUNCTION("""COMPUTED_VALUE"""),"#SLAA - Segunda Licenciatura em Artes Visuais - Segunda Licenciatura em Artes Visuais - Luciane Ribeiro dos Santos - Deficiência Auditiva e Libras/a - Nota Máxima: 10")</f>
        <v>#SLAA - Segunda Licenciatura em Artes Visuais - Segunda Licenciatura em Artes Visuais - Luciane Ribeiro dos Santos - Deficiência Auditiva e Libras/a - Nota Máxima: 10</v>
      </c>
    </row>
    <row r="6988">
      <c r="A6988" s="390" t="str">
        <f>IFERROR(__xludf.DUMMYFUNCTION("""COMPUTED_VALUE"""),"#SLAA - Segunda Licenciatura em Artes Visuais - Segunda Licenciatura em Artes Visuais - Luciane Ribeiro dos Santos - Deficiência Auditiva e Libras/a - Nota Máxima: 9")</f>
        <v>#SLAA - Segunda Licenciatura em Artes Visuais - Segunda Licenciatura em Artes Visuais - Luciane Ribeiro dos Santos - Deficiência Auditiva e Libras/a - Nota Máxima: 9</v>
      </c>
    </row>
    <row r="6989">
      <c r="A6989" s="390" t="str">
        <f>IFERROR(__xludf.DUMMYFUNCTION("""COMPUTED_VALUE"""),"#SLAA - Segunda Licenciatura em Artes Visuais - Segunda Licenciatura em Artes Visuais - Luciane Ribeiro dos Santos - Desenho e Observação - Nota Máxima: 10")</f>
        <v>#SLAA - Segunda Licenciatura em Artes Visuais - Segunda Licenciatura em Artes Visuais - Luciane Ribeiro dos Santos - Desenho e Observação - Nota Máxima: 10</v>
      </c>
    </row>
    <row r="6990">
      <c r="A6990" s="390" t="str">
        <f>IFERROR(__xludf.DUMMYFUNCTION("""COMPUTED_VALUE"""),"#SLAA - Segunda Licenciatura em Artes Visuais - Segunda Licenciatura em Artes Visuais - Luciane Ribeiro dos Santos - Desenho e Observação - Nota Máxima: 10")</f>
        <v>#SLAA - Segunda Licenciatura em Artes Visuais - Segunda Licenciatura em Artes Visuais - Luciane Ribeiro dos Santos - Desenho e Observação - Nota Máxima: 10</v>
      </c>
    </row>
    <row r="6991">
      <c r="A6991" s="390" t="str">
        <f>IFERROR(__xludf.DUMMYFUNCTION("""COMPUTED_VALUE"""),"#SLAA - Segunda Licenciatura em Artes Visuais - Segunda Licenciatura em Artes Visuais - Luciane Ribeiro dos Santos - Educação Especial, Inclusão Escolar e Adaptações Curriculares - Nota Máxima: 8")</f>
        <v>#SLAA - Segunda Licenciatura em Artes Visuais - Segunda Licenciatura em Artes Visuais - Luciane Ribeiro dos Santos - Educação Especial, Inclusão Escolar e Adaptações Curriculares - Nota Máxima: 8</v>
      </c>
    </row>
    <row r="6992">
      <c r="A6992" s="390" t="str">
        <f>IFERROR(__xludf.DUMMYFUNCTION("""COMPUTED_VALUE"""),"#SLAA - Segunda Licenciatura em Artes Visuais - Segunda Licenciatura em Artes Visuais - Luciane Ribeiro dos Santos - Educação Especial, Inclusão Escolar e Adaptações Curriculares - Nota Máxima: 9")</f>
        <v>#SLAA - Segunda Licenciatura em Artes Visuais - Segunda Licenciatura em Artes Visuais - Luciane Ribeiro dos Santos - Educação Especial, Inclusão Escolar e Adaptações Curriculares - Nota Máxima: 9</v>
      </c>
    </row>
    <row r="6993">
      <c r="A6993" s="390" t="str">
        <f>IFERROR(__xludf.DUMMYFUNCTION("""COMPUTED_VALUE"""),"#SLAA - Segunda Licenciatura em Artes Visuais - Segunda Licenciatura em Artes Visuais - Luciane Ribeiro dos Santos - Educação, História, Cultura e Práticas Indígenas/a - Nota Máxima: 8")</f>
        <v>#SLAA - Segunda Licenciatura em Artes Visuais - Segunda Licenciatura em Artes Visuais - Luciane Ribeiro dos Santos - Educação, História, Cultura e Práticas Indígenas/a - Nota Máxima: 8</v>
      </c>
    </row>
    <row r="6994">
      <c r="A6994" s="390" t="str">
        <f>IFERROR(__xludf.DUMMYFUNCTION("""COMPUTED_VALUE"""),"#SLAA - Segunda Licenciatura em Artes Visuais - Segunda Licenciatura em Artes Visuais - Luciane Ribeiro dos Santos - Educação, História, Cultura e Práticas Indígenas/a - Nota Máxima: 7")</f>
        <v>#SLAA - Segunda Licenciatura em Artes Visuais - Segunda Licenciatura em Artes Visuais - Luciane Ribeiro dos Santos - Educação, História, Cultura e Práticas Indígenas/a - Nota Máxima: 7</v>
      </c>
    </row>
    <row r="6995">
      <c r="A6995" s="390" t="str">
        <f>IFERROR(__xludf.DUMMYFUNCTION("""COMPUTED_VALUE"""),"#SLAA - Segunda Licenciatura em Artes Visuais - Segunda Licenciatura em Artes Visuais - Luciane Ribeiro dos Santos - Expressão Gráfica - Nota Máxima: 10")</f>
        <v>#SLAA - Segunda Licenciatura em Artes Visuais - Segunda Licenciatura em Artes Visuais - Luciane Ribeiro dos Santos - Expressão Gráfica - Nota Máxima: 10</v>
      </c>
    </row>
    <row r="6996">
      <c r="A6996" s="390" t="str">
        <f>IFERROR(__xludf.DUMMYFUNCTION("""COMPUTED_VALUE"""),"#SLAA - Segunda Licenciatura em Artes Visuais - Segunda Licenciatura em Artes Visuais - Luciane Ribeiro dos Santos - Expressão Gráfica - Nota Máxima: 10")</f>
        <v>#SLAA - Segunda Licenciatura em Artes Visuais - Segunda Licenciatura em Artes Visuais - Luciane Ribeiro dos Santos - Expressão Gráfica - Nota Máxima: 10</v>
      </c>
    </row>
    <row r="6997">
      <c r="A6997" s="390" t="str">
        <f>IFERROR(__xludf.DUMMYFUNCTION("""COMPUTED_VALUE"""),"#SLAA - Segunda Licenciatura em Artes Visuais - Segunda Licenciatura em Artes Visuais - Luciane Ribeiro dos Santos - Filosofia das Artes à Estética - Nota Máxima: 7")</f>
        <v>#SLAA - Segunda Licenciatura em Artes Visuais - Segunda Licenciatura em Artes Visuais - Luciane Ribeiro dos Santos - Filosofia das Artes à Estética - Nota Máxima: 7</v>
      </c>
    </row>
    <row r="6998">
      <c r="A6998" s="390" t="str">
        <f>IFERROR(__xludf.DUMMYFUNCTION("""COMPUTED_VALUE"""),"#SLAA - Segunda Licenciatura em Artes Visuais - Segunda Licenciatura em Artes Visuais - Luciane Ribeiro dos Santos - Filosofia das Artes à Estética - Nota Máxima: 4")</f>
        <v>#SLAA - Segunda Licenciatura em Artes Visuais - Segunda Licenciatura em Artes Visuais - Luciane Ribeiro dos Santos - Filosofia das Artes à Estética - Nota Máxima: 4</v>
      </c>
    </row>
    <row r="6999">
      <c r="A6999" s="390" t="str">
        <f>IFERROR(__xludf.DUMMYFUNCTION("""COMPUTED_VALUE"""),"#SLAA - Segunda Licenciatura em Artes Visuais - Segunda Licenciatura em Artes Visuais - Luciane Ribeiro dos Santos - Legislação Educacional/a - Nota Máxima: 8")</f>
        <v>#SLAA - Segunda Licenciatura em Artes Visuais - Segunda Licenciatura em Artes Visuais - Luciane Ribeiro dos Santos - Legislação Educacional/a - Nota Máxima: 8</v>
      </c>
    </row>
    <row r="7000">
      <c r="A7000" s="390" t="str">
        <f>IFERROR(__xludf.DUMMYFUNCTION("""COMPUTED_VALUE"""),"#SLAA - Segunda Licenciatura em Artes Visuais - Segunda Licenciatura em Artes Visuais - Luciane Ribeiro dos Santos - Legislação Educacional/a - Nota Máxima: 7")</f>
        <v>#SLAA - Segunda Licenciatura em Artes Visuais - Segunda Licenciatura em Artes Visuais - Luciane Ribeiro dos Santos - Legislação Educacional/a - Nota Máxima: 7</v>
      </c>
    </row>
    <row r="7001">
      <c r="A7001" s="390" t="str">
        <f>IFERROR(__xludf.DUMMYFUNCTION("""COMPUTED_VALUE"""),"#SLAA - Segunda Licenciatura em Artes Visuais - Segunda Licenciatura em Artes Visuais - Luciane Ribeiro dos Santos - Linguagem das Artes Plásticas - Nota Máxima: 9")</f>
        <v>#SLAA - Segunda Licenciatura em Artes Visuais - Segunda Licenciatura em Artes Visuais - Luciane Ribeiro dos Santos - Linguagem das Artes Plásticas - Nota Máxima: 9</v>
      </c>
    </row>
    <row r="7002">
      <c r="A7002" s="390" t="str">
        <f>IFERROR(__xludf.DUMMYFUNCTION("""COMPUTED_VALUE"""),"#SLAA - Segunda Licenciatura em Artes Visuais - Segunda Licenciatura em Artes Visuais - Luciane Ribeiro dos Santos - Linguagem das Artes Plásticas - Nota Máxima: 9")</f>
        <v>#SLAA - Segunda Licenciatura em Artes Visuais - Segunda Licenciatura em Artes Visuais - Luciane Ribeiro dos Santos - Linguagem das Artes Plásticas - Nota Máxima: 9</v>
      </c>
    </row>
    <row r="7003">
      <c r="A7003" s="390" t="str">
        <f>IFERROR(__xludf.DUMMYFUNCTION("""COMPUTED_VALUE"""),"#SLAA - Segunda Licenciatura em Artes Visuais - Segunda Licenciatura em Artes Visuais - Luciane Ribeiro dos Santos - Planejamento, Gestão Educacional e Currículo/a - Nota Máxima: 9")</f>
        <v>#SLAA - Segunda Licenciatura em Artes Visuais - Segunda Licenciatura em Artes Visuais - Luciane Ribeiro dos Santos - Planejamento, Gestão Educacional e Currículo/a - Nota Máxima: 9</v>
      </c>
    </row>
    <row r="7004">
      <c r="A7004" s="390" t="str">
        <f>IFERROR(__xludf.DUMMYFUNCTION("""COMPUTED_VALUE"""),"#SLAA - Segunda Licenciatura em Artes Visuais - Segunda Licenciatura em Artes Visuais - Luciane Ribeiro dos Santos - Planejamento, Gestão Educacional e Currículo/a - Nota Máxima: 9")</f>
        <v>#SLAA - Segunda Licenciatura em Artes Visuais - Segunda Licenciatura em Artes Visuais - Luciane Ribeiro dos Santos - Planejamento, Gestão Educacional e Currículo/a - Nota Máxima: 9</v>
      </c>
    </row>
    <row r="7005">
      <c r="A7005" s="390" t="str">
        <f>IFERROR(__xludf.DUMMYFUNCTION("""COMPUTED_VALUE"""),"#SLAA - Segunda Licenciatura em Artes Visuais - Segunda Licenciatura em Artes Visuais - Luciane Ribeiro dos Santos - Práticas Pedagógicas - 400 Horas - Nota Máxima: 10")</f>
        <v>#SLAA - Segunda Licenciatura em Artes Visuais - Segunda Licenciatura em Artes Visuais - Luciane Ribeiro dos Santos - Práticas Pedagógicas - 400 Horas - Nota Máxima: 10</v>
      </c>
    </row>
    <row r="7006">
      <c r="A7006" s="390" t="str">
        <f>IFERROR(__xludf.DUMMYFUNCTION("""COMPUTED_VALUE"""),"#SLAA - Segunda Licenciatura em Artes Visuais - Segunda Licenciatura em Artes Visuais - Luciane Ribeiro dos Santos - Práticas Pedagógicas - 400 Horas - Nota Máxima: 45784")</f>
        <v>#SLAA - Segunda Licenciatura em Artes Visuais - Segunda Licenciatura em Artes Visuais - Luciane Ribeiro dos Santos - Práticas Pedagógicas - 400 Horas - Nota Máxima: 45784</v>
      </c>
    </row>
    <row r="7007">
      <c r="A7007" s="390" t="str">
        <f>IFERROR(__xludf.DUMMYFUNCTION("""COMPUTED_VALUE"""),"#SLAA - Segunda Licenciatura em Artes Visuais - Segunda Licenciatura em Artes Visuais - Luciane Ribeiro dos Santos - Psicologia da Educação/a - Nota Máxima: 10")</f>
        <v>#SLAA - Segunda Licenciatura em Artes Visuais - Segunda Licenciatura em Artes Visuais - Luciane Ribeiro dos Santos - Psicologia da Educação/a - Nota Máxima: 10</v>
      </c>
    </row>
    <row r="7008">
      <c r="A7008" s="390" t="str">
        <f>IFERROR(__xludf.DUMMYFUNCTION("""COMPUTED_VALUE"""),"#SLAA - Segunda Licenciatura em Artes Visuais - Segunda Licenciatura em Artes Visuais - Luciane Ribeiro dos Santos - Psicologia da Educação/a - Nota Máxima: 10")</f>
        <v>#SLAA - Segunda Licenciatura em Artes Visuais - Segunda Licenciatura em Artes Visuais - Luciane Ribeiro dos Santos - Psicologia da Educação/a - Nota Máxima: 10</v>
      </c>
    </row>
    <row r="7009">
      <c r="A7009" s="390" t="str">
        <f>IFERROR(__xludf.DUMMYFUNCTION("""COMPUTED_VALUE"""),"#SLAA - Segunda Licenciatura em Artes Visuais - Segunda Licenciatura em Artes Visuais - Luciane Ribeiro dos Santos - Psicomotricidade e Ludopedagogia - Nota Máxima: 9")</f>
        <v>#SLAA - Segunda Licenciatura em Artes Visuais - Segunda Licenciatura em Artes Visuais - Luciane Ribeiro dos Santos - Psicomotricidade e Ludopedagogia - Nota Máxima: 9</v>
      </c>
    </row>
    <row r="7010">
      <c r="A7010" s="390" t="str">
        <f>IFERROR(__xludf.DUMMYFUNCTION("""COMPUTED_VALUE"""),"#SLAA - Segunda Licenciatura em Artes Visuais - Segunda Licenciatura em Artes Visuais - Luciane Ribeiro dos Santos - Psicomotricidade e Ludopedagogia - Nota Máxima: 6")</f>
        <v>#SLAA - Segunda Licenciatura em Artes Visuais - Segunda Licenciatura em Artes Visuais - Luciane Ribeiro dos Santos - Psicomotricidade e Ludopedagogia - Nota Máxima: 6</v>
      </c>
    </row>
    <row r="7011">
      <c r="A7011" s="390" t="str">
        <f>IFERROR(__xludf.DUMMYFUNCTION("""COMPUTED_VALUE"""),"#SLAA - Segunda Licenciatura em Artes Visuais - Segunda Licenciatura em Artes Visuais - Luciane Ribeiro dos Santos - Tecnologia nas Artes Visuais - Nota Máxima: 10")</f>
        <v>#SLAA - Segunda Licenciatura em Artes Visuais - Segunda Licenciatura em Artes Visuais - Luciane Ribeiro dos Santos - Tecnologia nas Artes Visuais - Nota Máxima: 10</v>
      </c>
    </row>
    <row r="7012">
      <c r="A7012" s="390" t="str">
        <f>IFERROR(__xludf.DUMMYFUNCTION("""COMPUTED_VALUE"""),"#SLAA - Segunda Licenciatura em Artes Visuais - Segunda Licenciatura em Artes Visuais - Luciane Ribeiro dos Santos - Tecnologia nas Artes Visuais - Nota Máxima: 7")</f>
        <v>#SLAA - Segunda Licenciatura em Artes Visuais - Segunda Licenciatura em Artes Visuais - Luciane Ribeiro dos Santos - Tecnologia nas Artes Visuais - Nota Máxima: 7</v>
      </c>
    </row>
    <row r="7013">
      <c r="A7013" s="390" t="str">
        <f>IFERROR(__xludf.DUMMYFUNCTION("""COMPUTED_VALUE"""),"#SLAA - Segunda Licenciatura em Artes Visuais - Segunda Licenciatura em Artes Visuais - Mirtes Maria de Jesus Pereira Lopes - Arte Brasileira na Formação da Identidade Nacional - Nota Máxima: 10")</f>
        <v>#SLAA - Segunda Licenciatura em Artes Visuais - Segunda Licenciatura em Artes Visuais - Mirtes Maria de Jesus Pereira Lopes - Arte Brasileira na Formação da Identidade Nacional - Nota Máxima: 10</v>
      </c>
    </row>
    <row r="7014">
      <c r="A7014" s="390" t="str">
        <f>IFERROR(__xludf.DUMMYFUNCTION("""COMPUTED_VALUE"""),"#SLAA - Segunda Licenciatura em Artes Visuais - Segunda Licenciatura em Artes Visuais - Mirtes Maria de Jesus Pereira Lopes - Arte Conceitual, Instalações e Arte Urbana - Nota Máxima: 9")</f>
        <v>#SLAA - Segunda Licenciatura em Artes Visuais - Segunda Licenciatura em Artes Visuais - Mirtes Maria de Jesus Pereira Lopes - Arte Conceitual, Instalações e Arte Urbana - Nota Máxima: 9</v>
      </c>
    </row>
    <row r="7015">
      <c r="A7015" s="390" t="str">
        <f>IFERROR(__xludf.DUMMYFUNCTION("""COMPUTED_VALUE"""),"#SLAA - Segunda Licenciatura em Artes Visuais - Segunda Licenciatura em Artes Visuais - Mirtes Maria de Jesus Pereira Lopes - Arte em Educação - Nota Máxima: 10")</f>
        <v>#SLAA - Segunda Licenciatura em Artes Visuais - Segunda Licenciatura em Artes Visuais - Mirtes Maria de Jesus Pereira Lopes - Arte em Educação - Nota Máxima: 10</v>
      </c>
    </row>
    <row r="7016">
      <c r="A7016" s="390" t="str">
        <f>IFERROR(__xludf.DUMMYFUNCTION("""COMPUTED_VALUE"""),"#SLAA - Segunda Licenciatura em Artes Visuais - Segunda Licenciatura em Artes Visuais - Mirtes Maria de Jesus Pereira Lopes - Deficiência Auditiva e Libras/a - Nota Máxima: 10")</f>
        <v>#SLAA - Segunda Licenciatura em Artes Visuais - Segunda Licenciatura em Artes Visuais - Mirtes Maria de Jesus Pereira Lopes - Deficiência Auditiva e Libras/a - Nota Máxima: 10</v>
      </c>
    </row>
    <row r="7017">
      <c r="A7017" s="390" t="str">
        <f>IFERROR(__xludf.DUMMYFUNCTION("""COMPUTED_VALUE"""),"#SLAA - Segunda Licenciatura em Artes Visuais - Segunda Licenciatura em Artes Visuais - Mirtes Maria de Jesus Pereira Lopes - Deficiência Auditiva e Libras/a - Nota Máxima: 6")</f>
        <v>#SLAA - Segunda Licenciatura em Artes Visuais - Segunda Licenciatura em Artes Visuais - Mirtes Maria de Jesus Pereira Lopes - Deficiência Auditiva e Libras/a - Nota Máxima: 6</v>
      </c>
    </row>
    <row r="7018">
      <c r="A7018" s="390" t="str">
        <f>IFERROR(__xludf.DUMMYFUNCTION("""COMPUTED_VALUE"""),"#SLAA - Segunda Licenciatura em Artes Visuais - Segunda Licenciatura em Artes Visuais - Mirtes Maria de Jesus Pereira Lopes - Educação Especial, Inclusão Escolar e Adaptações Curriculares - Nota Máxima: 10")</f>
        <v>#SLAA - Segunda Licenciatura em Artes Visuais - Segunda Licenciatura em Artes Visuais - Mirtes Maria de Jesus Pereira Lopes - Educação Especial, Inclusão Escolar e Adaptações Curriculares - Nota Máxima: 10</v>
      </c>
    </row>
    <row r="7019">
      <c r="A7019" s="390" t="str">
        <f>IFERROR(__xludf.DUMMYFUNCTION("""COMPUTED_VALUE"""),"#SLAA - Segunda Licenciatura em Artes Visuais - Segunda Licenciatura em Artes Visuais - Mirtes Maria de Jesus Pereira Lopes - Educação Especial, Inclusão Escolar e Adaptações Curriculares - Nota Máxima: 10")</f>
        <v>#SLAA - Segunda Licenciatura em Artes Visuais - Segunda Licenciatura em Artes Visuais - Mirtes Maria de Jesus Pereira Lopes - Educação Especial, Inclusão Escolar e Adaptações Curriculares - Nota Máxima: 10</v>
      </c>
    </row>
    <row r="7020">
      <c r="A7020" s="390" t="str">
        <f>IFERROR(__xludf.DUMMYFUNCTION("""COMPUTED_VALUE"""),"#SLAA - Segunda Licenciatura em Artes Visuais - Segunda Licenciatura em Artes Visuais - Mirtes Maria de Jesus Pereira Lopes - Educação, História, Cultura e Práticas Indígenas/a - Nota Máxima: 8")</f>
        <v>#SLAA - Segunda Licenciatura em Artes Visuais - Segunda Licenciatura em Artes Visuais - Mirtes Maria de Jesus Pereira Lopes - Educação, História, Cultura e Práticas Indígenas/a - Nota Máxima: 8</v>
      </c>
    </row>
    <row r="7021">
      <c r="A7021" s="390" t="str">
        <f>IFERROR(__xludf.DUMMYFUNCTION("""COMPUTED_VALUE"""),"#SLAA - Segunda Licenciatura em Artes Visuais - Segunda Licenciatura em Artes Visuais - Mirtes Maria de Jesus Pereira Lopes - Educação, História, Cultura e Práticas Indígenas/a - Nota Máxima: 7")</f>
        <v>#SLAA - Segunda Licenciatura em Artes Visuais - Segunda Licenciatura em Artes Visuais - Mirtes Maria de Jesus Pereira Lopes - Educação, História, Cultura e Práticas Indígenas/a - Nota Máxima: 7</v>
      </c>
    </row>
    <row r="7022">
      <c r="A7022" s="390" t="str">
        <f>IFERROR(__xludf.DUMMYFUNCTION("""COMPUTED_VALUE"""),"#SLAA - Segunda Licenciatura em Artes Visuais - Segunda Licenciatura em Artes Visuais - Mirtes Maria de Jesus Pereira Lopes - Filosofia das Artes à Estética - Nota Máxima: 9")</f>
        <v>#SLAA - Segunda Licenciatura em Artes Visuais - Segunda Licenciatura em Artes Visuais - Mirtes Maria de Jesus Pereira Lopes - Filosofia das Artes à Estética - Nota Máxima: 9</v>
      </c>
    </row>
    <row r="7023">
      <c r="A7023" s="390" t="str">
        <f>IFERROR(__xludf.DUMMYFUNCTION("""COMPUTED_VALUE"""),"#SLAA - Segunda Licenciatura em Artes Visuais - Segunda Licenciatura em Artes Visuais - Mirtes Maria de Jesus Pereira Lopes - Filosofia das Artes à Estética - Nota Máxima: 5")</f>
        <v>#SLAA - Segunda Licenciatura em Artes Visuais - Segunda Licenciatura em Artes Visuais - Mirtes Maria de Jesus Pereira Lopes - Filosofia das Artes à Estética - Nota Máxima: 5</v>
      </c>
    </row>
    <row r="7024">
      <c r="A7024" s="390" t="str">
        <f>IFERROR(__xludf.DUMMYFUNCTION("""COMPUTED_VALUE"""),"#SLAA - Segunda Licenciatura em Artes Visuais - Segunda Licenciatura em Artes Visuais - Mirtes Maria de Jesus Pereira Lopes - Legislação Educacional/a - Nota Máxima: 10")</f>
        <v>#SLAA - Segunda Licenciatura em Artes Visuais - Segunda Licenciatura em Artes Visuais - Mirtes Maria de Jesus Pereira Lopes - Legislação Educacional/a - Nota Máxima: 10</v>
      </c>
    </row>
    <row r="7025">
      <c r="A7025" s="390" t="str">
        <f>IFERROR(__xludf.DUMMYFUNCTION("""COMPUTED_VALUE"""),"#SLAA - Segunda Licenciatura em Artes Visuais - Segunda Licenciatura em Artes Visuais - Mirtes Maria de Jesus Pereira Lopes - Legislação Educacional/a - Nota Máxima: 5")</f>
        <v>#SLAA - Segunda Licenciatura em Artes Visuais - Segunda Licenciatura em Artes Visuais - Mirtes Maria de Jesus Pereira Lopes - Legislação Educacional/a - Nota Máxima: 5</v>
      </c>
    </row>
    <row r="7026">
      <c r="A7026" s="390" t="str">
        <f>IFERROR(__xludf.DUMMYFUNCTION("""COMPUTED_VALUE"""),"#SLAA - Segunda Licenciatura em Artes Visuais - Segunda Licenciatura em Artes Visuais - Mirtes Maria de Jesus Pereira Lopes - Linguagem das Artes Plásticas - Nota Máxima: 10")</f>
        <v>#SLAA - Segunda Licenciatura em Artes Visuais - Segunda Licenciatura em Artes Visuais - Mirtes Maria de Jesus Pereira Lopes - Linguagem das Artes Plásticas - Nota Máxima: 10</v>
      </c>
    </row>
    <row r="7027">
      <c r="A7027" s="390" t="str">
        <f>IFERROR(__xludf.DUMMYFUNCTION("""COMPUTED_VALUE"""),"#SLAA - Segunda Licenciatura em Artes Visuais - Segunda Licenciatura em Artes Visuais - Mirtes Maria de Jesus Pereira Lopes - Linguagem das Artes Plásticas - Nota Máxima: 3")</f>
        <v>#SLAA - Segunda Licenciatura em Artes Visuais - Segunda Licenciatura em Artes Visuais - Mirtes Maria de Jesus Pereira Lopes - Linguagem das Artes Plásticas - Nota Máxima: 3</v>
      </c>
    </row>
    <row r="7028">
      <c r="A7028" s="390" t="str">
        <f>IFERROR(__xludf.DUMMYFUNCTION("""COMPUTED_VALUE"""),"#SLAA - Segunda Licenciatura em Artes Visuais - Segunda Licenciatura em Artes Visuais - Mirtes Maria de Jesus Pereira Lopes - Planejamento, Gestão Educacional e Currículo/a - Nota Máxima: 9")</f>
        <v>#SLAA - Segunda Licenciatura em Artes Visuais - Segunda Licenciatura em Artes Visuais - Mirtes Maria de Jesus Pereira Lopes - Planejamento, Gestão Educacional e Currículo/a - Nota Máxima: 9</v>
      </c>
    </row>
    <row r="7029">
      <c r="A7029" s="390" t="str">
        <f>IFERROR(__xludf.DUMMYFUNCTION("""COMPUTED_VALUE"""),"#SLAA - Segunda Licenciatura em Artes Visuais - Segunda Licenciatura em Artes Visuais - Mirtes Maria de Jesus Pereira Lopes - Planejamento, Gestão Educacional e Currículo/a - Nota Máxima: 9")</f>
        <v>#SLAA - Segunda Licenciatura em Artes Visuais - Segunda Licenciatura em Artes Visuais - Mirtes Maria de Jesus Pereira Lopes - Planejamento, Gestão Educacional e Currículo/a - Nota Máxima: 9</v>
      </c>
    </row>
    <row r="7030">
      <c r="A7030" s="390" t="str">
        <f>IFERROR(__xludf.DUMMYFUNCTION("""COMPUTED_VALUE"""),"#SLAA - Segunda Licenciatura em Artes Visuais - Segunda Licenciatura em Artes Visuais - Mirtes Maria de Jesus Pereira Lopes - Práticas Pedagógicas - 400 Horas - Nota Máxima: 4")</f>
        <v>#SLAA - Segunda Licenciatura em Artes Visuais - Segunda Licenciatura em Artes Visuais - Mirtes Maria de Jesus Pereira Lopes - Práticas Pedagógicas - 400 Horas - Nota Máxima: 4</v>
      </c>
    </row>
    <row r="7031">
      <c r="A7031" s="390" t="str">
        <f>IFERROR(__xludf.DUMMYFUNCTION("""COMPUTED_VALUE"""),"#SLAA - Segunda Licenciatura em Artes Visuais - Segunda Licenciatura em Artes Visuais - Mirtes Maria de Jesus Pereira Lopes - Psicologia da Educação/a - Nota Máxima: 10")</f>
        <v>#SLAA - Segunda Licenciatura em Artes Visuais - Segunda Licenciatura em Artes Visuais - Mirtes Maria de Jesus Pereira Lopes - Psicologia da Educação/a - Nota Máxima: 10</v>
      </c>
    </row>
    <row r="7032">
      <c r="A7032" s="390" t="str">
        <f>IFERROR(__xludf.DUMMYFUNCTION("""COMPUTED_VALUE"""),"#SLAA - Segunda Licenciatura em Artes Visuais - Segunda Licenciatura em Artes Visuais - Mirtes Maria de Jesus Pereira Lopes - Psicologia da Educação/a - Nota Máxima: 8")</f>
        <v>#SLAA - Segunda Licenciatura em Artes Visuais - Segunda Licenciatura em Artes Visuais - Mirtes Maria de Jesus Pereira Lopes - Psicologia da Educação/a - Nota Máxima: 8</v>
      </c>
    </row>
    <row r="7033">
      <c r="A7033" s="390" t="str">
        <f>IFERROR(__xludf.DUMMYFUNCTION("""COMPUTED_VALUE"""),"#SLAA - Segunda Licenciatura em Artes Visuais - Segunda Licenciatura em Artes Visuais - Mirtes Maria de Jesus Pereira Lopes - Psicomotricidade e Ludopedagogia - Nota Máxima: 10")</f>
        <v>#SLAA - Segunda Licenciatura em Artes Visuais - Segunda Licenciatura em Artes Visuais - Mirtes Maria de Jesus Pereira Lopes - Psicomotricidade e Ludopedagogia - Nota Máxima: 10</v>
      </c>
    </row>
    <row r="7034">
      <c r="A7034" s="390" t="str">
        <f>IFERROR(__xludf.DUMMYFUNCTION("""COMPUTED_VALUE"""),"#SLAA - Segunda Licenciatura em Artes Visuais - Segunda Licenciatura em Artes Visuais - Mirtes Maria de Jesus Pereira Lopes - Tecnologia nas Artes Visuais - Nota Máxima: 10")</f>
        <v>#SLAA - Segunda Licenciatura em Artes Visuais - Segunda Licenciatura em Artes Visuais - Mirtes Maria de Jesus Pereira Lopes - Tecnologia nas Artes Visuais - Nota Máxima: 10</v>
      </c>
    </row>
    <row r="7035">
      <c r="A7035" s="390" t="str">
        <f>IFERROR(__xludf.DUMMYFUNCTION("""COMPUTED_VALUE"""),"#SLAA - Segunda Licenciatura em Artes Visuais - Segunda Licenciatura em Artes Visuais - Mirtes Maria de Jesus Pereira Lopes - Tecnologia nas Artes Visuais - Nota Máxima: 3")</f>
        <v>#SLAA - Segunda Licenciatura em Artes Visuais - Segunda Licenciatura em Artes Visuais - Mirtes Maria de Jesus Pereira Lopes - Tecnologia nas Artes Visuais - Nota Máxima: 3</v>
      </c>
    </row>
    <row r="7036">
      <c r="A7036" s="390" t="str">
        <f>IFERROR(__xludf.DUMMYFUNCTION("""COMPUTED_VALUE"""),"#SLAA - Segunda Licenciatura em Artes Visuais - Segunda Licenciatura em Artes Visuais - Ariadny Rafaela Valejo Santana - Arte Brasileira na Formação da Identidade Nacional - Nota Máxima: 10")</f>
        <v>#SLAA - Segunda Licenciatura em Artes Visuais - Segunda Licenciatura em Artes Visuais - Ariadny Rafaela Valejo Santana - Arte Brasileira na Formação da Identidade Nacional - Nota Máxima: 10</v>
      </c>
    </row>
    <row r="7037">
      <c r="A7037" s="390" t="str">
        <f>IFERROR(__xludf.DUMMYFUNCTION("""COMPUTED_VALUE"""),"#SLAA - Segunda Licenciatura em Artes Visuais - Segunda Licenciatura em Artes Visuais - Ariadny Rafaela Valejo Santana - Arte Brasileira na Formação da Identidade Nacional - Nota Máxima: 10")</f>
        <v>#SLAA - Segunda Licenciatura em Artes Visuais - Segunda Licenciatura em Artes Visuais - Ariadny Rafaela Valejo Santana - Arte Brasileira na Formação da Identidade Nacional - Nota Máxima: 10</v>
      </c>
    </row>
    <row r="7038">
      <c r="A7038" s="390" t="str">
        <f>IFERROR(__xludf.DUMMYFUNCTION("""COMPUTED_VALUE"""),"#SLAA - Segunda Licenciatura em Artes Visuais - Segunda Licenciatura em Artes Visuais - Ariadny Rafaela Valejo Santana - Arte Conceitual, Instalações e Arte Urbana - Nota Máxima: 10")</f>
        <v>#SLAA - Segunda Licenciatura em Artes Visuais - Segunda Licenciatura em Artes Visuais - Ariadny Rafaela Valejo Santana - Arte Conceitual, Instalações e Arte Urbana - Nota Máxima: 10</v>
      </c>
    </row>
    <row r="7039">
      <c r="A7039" s="390" t="str">
        <f>IFERROR(__xludf.DUMMYFUNCTION("""COMPUTED_VALUE"""),"#SLAA - Segunda Licenciatura em Artes Visuais - Segunda Licenciatura em Artes Visuais - Ariadny Rafaela Valejo Santana - Arte Conceitual, Instalações e Arte Urbana - Nota Máxima: 10")</f>
        <v>#SLAA - Segunda Licenciatura em Artes Visuais - Segunda Licenciatura em Artes Visuais - Ariadny Rafaela Valejo Santana - Arte Conceitual, Instalações e Arte Urbana - Nota Máxima: 10</v>
      </c>
    </row>
    <row r="7040">
      <c r="A7040" s="390" t="str">
        <f>IFERROR(__xludf.DUMMYFUNCTION("""COMPUTED_VALUE"""),"#SLAA - Segunda Licenciatura em Artes Visuais - Segunda Licenciatura em Artes Visuais - Ariadny Rafaela Valejo Santana - Arte em Educação - Nota Máxima: 9")</f>
        <v>#SLAA - Segunda Licenciatura em Artes Visuais - Segunda Licenciatura em Artes Visuais - Ariadny Rafaela Valejo Santana - Arte em Educação - Nota Máxima: 9</v>
      </c>
    </row>
    <row r="7041">
      <c r="A7041" s="390" t="str">
        <f>IFERROR(__xludf.DUMMYFUNCTION("""COMPUTED_VALUE"""),"#SLAA - Segunda Licenciatura em Artes Visuais - Segunda Licenciatura em Artes Visuais - Ariadny Rafaela Valejo Santana - Arte em Educação - Nota Máxima: 10")</f>
        <v>#SLAA - Segunda Licenciatura em Artes Visuais - Segunda Licenciatura em Artes Visuais - Ariadny Rafaela Valejo Santana - Arte em Educação - Nota Máxima: 10</v>
      </c>
    </row>
    <row r="7042">
      <c r="A7042" s="390" t="str">
        <f>IFERROR(__xludf.DUMMYFUNCTION("""COMPUTED_VALUE"""),"#SLAA - Segunda Licenciatura em Artes Visuais - Segunda Licenciatura em Artes Visuais - Ariadny Rafaela Valejo Santana - Deficiência Auditiva e Libras/a - Nota Máxima: 10")</f>
        <v>#SLAA - Segunda Licenciatura em Artes Visuais - Segunda Licenciatura em Artes Visuais - Ariadny Rafaela Valejo Santana - Deficiência Auditiva e Libras/a - Nota Máxima: 10</v>
      </c>
    </row>
    <row r="7043">
      <c r="A7043" s="390" t="str">
        <f>IFERROR(__xludf.DUMMYFUNCTION("""COMPUTED_VALUE"""),"#SLAA - Segunda Licenciatura em Artes Visuais - Segunda Licenciatura em Artes Visuais - Ariadny Rafaela Valejo Santana - Deficiência Auditiva e Libras/a - Nota Máxima: 10")</f>
        <v>#SLAA - Segunda Licenciatura em Artes Visuais - Segunda Licenciatura em Artes Visuais - Ariadny Rafaela Valejo Santana - Deficiência Auditiva e Libras/a - Nota Máxima: 10</v>
      </c>
    </row>
    <row r="7044">
      <c r="A7044" s="390" t="str">
        <f>IFERROR(__xludf.DUMMYFUNCTION("""COMPUTED_VALUE"""),"#SLAA - Segunda Licenciatura em Artes Visuais - Segunda Licenciatura em Artes Visuais - Ariadny Rafaela Valejo Santana - Desenho e Observação - Nota Máxima: 10")</f>
        <v>#SLAA - Segunda Licenciatura em Artes Visuais - Segunda Licenciatura em Artes Visuais - Ariadny Rafaela Valejo Santana - Desenho e Observação - Nota Máxima: 10</v>
      </c>
    </row>
    <row r="7045">
      <c r="A7045" s="390" t="str">
        <f>IFERROR(__xludf.DUMMYFUNCTION("""COMPUTED_VALUE"""),"#SLAA - Segunda Licenciatura em Artes Visuais - Segunda Licenciatura em Artes Visuais - Ariadny Rafaela Valejo Santana - Desenho e Observação - Nota Máxima: 10")</f>
        <v>#SLAA - Segunda Licenciatura em Artes Visuais - Segunda Licenciatura em Artes Visuais - Ariadny Rafaela Valejo Santana - Desenho e Observação - Nota Máxima: 10</v>
      </c>
    </row>
    <row r="7046">
      <c r="A7046" s="390" t="str">
        <f>IFERROR(__xludf.DUMMYFUNCTION("""COMPUTED_VALUE"""),"#SLAA - Segunda Licenciatura em Artes Visuais - Segunda Licenciatura em Artes Visuais - Ariadny Rafaela Valejo Santana - Educação Especial, Inclusão Escolar e Adaptações Curriculares - Nota Máxima: 9")</f>
        <v>#SLAA - Segunda Licenciatura em Artes Visuais - Segunda Licenciatura em Artes Visuais - Ariadny Rafaela Valejo Santana - Educação Especial, Inclusão Escolar e Adaptações Curriculares - Nota Máxima: 9</v>
      </c>
    </row>
    <row r="7047">
      <c r="A7047" s="390" t="str">
        <f>IFERROR(__xludf.DUMMYFUNCTION("""COMPUTED_VALUE"""),"#SLAA - Segunda Licenciatura em Artes Visuais - Segunda Licenciatura em Artes Visuais - Ariadny Rafaela Valejo Santana - Educação Especial, Inclusão Escolar e Adaptações Curriculares - Nota Máxima: 9")</f>
        <v>#SLAA - Segunda Licenciatura em Artes Visuais - Segunda Licenciatura em Artes Visuais - Ariadny Rafaela Valejo Santana - Educação Especial, Inclusão Escolar e Adaptações Curriculares - Nota Máxima: 9</v>
      </c>
    </row>
    <row r="7048">
      <c r="A7048" s="390" t="str">
        <f>IFERROR(__xludf.DUMMYFUNCTION("""COMPUTED_VALUE"""),"#SLAA - Segunda Licenciatura em Artes Visuais - Segunda Licenciatura em Artes Visuais - Ariadny Rafaela Valejo Santana - Educação, História, Cultura e Práticas Indígenas/a - Nota Máxima: 10")</f>
        <v>#SLAA - Segunda Licenciatura em Artes Visuais - Segunda Licenciatura em Artes Visuais - Ariadny Rafaela Valejo Santana - Educação, História, Cultura e Práticas Indígenas/a - Nota Máxima: 10</v>
      </c>
    </row>
    <row r="7049">
      <c r="A7049" s="390" t="str">
        <f>IFERROR(__xludf.DUMMYFUNCTION("""COMPUTED_VALUE"""),"#SLAA - Segunda Licenciatura em Artes Visuais - Segunda Licenciatura em Artes Visuais - Ariadny Rafaela Valejo Santana - Educação, História, Cultura e Práticas Indígenas/a - Nota Máxima: 10")</f>
        <v>#SLAA - Segunda Licenciatura em Artes Visuais - Segunda Licenciatura em Artes Visuais - Ariadny Rafaela Valejo Santana - Educação, História, Cultura e Práticas Indígenas/a - Nota Máxima: 10</v>
      </c>
    </row>
    <row r="7050">
      <c r="A7050" s="390" t="str">
        <f>IFERROR(__xludf.DUMMYFUNCTION("""COMPUTED_VALUE"""),"#SLAA - Segunda Licenciatura em Artes Visuais - Segunda Licenciatura em Artes Visuais - Ariadny Rafaela Valejo Santana - Expressão Gráfica - Nota Máxima: 10")</f>
        <v>#SLAA - Segunda Licenciatura em Artes Visuais - Segunda Licenciatura em Artes Visuais - Ariadny Rafaela Valejo Santana - Expressão Gráfica - Nota Máxima: 10</v>
      </c>
    </row>
    <row r="7051">
      <c r="A7051" s="390" t="str">
        <f>IFERROR(__xludf.DUMMYFUNCTION("""COMPUTED_VALUE"""),"#SLAA - Segunda Licenciatura em Artes Visuais - Segunda Licenciatura em Artes Visuais - Ariadny Rafaela Valejo Santana - Expressão Gráfica - Nota Máxima: 9")</f>
        <v>#SLAA - Segunda Licenciatura em Artes Visuais - Segunda Licenciatura em Artes Visuais - Ariadny Rafaela Valejo Santana - Expressão Gráfica - Nota Máxima: 9</v>
      </c>
    </row>
    <row r="7052">
      <c r="A7052" s="390" t="str">
        <f>IFERROR(__xludf.DUMMYFUNCTION("""COMPUTED_VALUE"""),"#SLAA - Segunda Licenciatura em Artes Visuais - Segunda Licenciatura em Artes Visuais - Ariadny Rafaela Valejo Santana - Filosofia das Artes à Estética - Nota Máxima: 10")</f>
        <v>#SLAA - Segunda Licenciatura em Artes Visuais - Segunda Licenciatura em Artes Visuais - Ariadny Rafaela Valejo Santana - Filosofia das Artes à Estética - Nota Máxima: 10</v>
      </c>
    </row>
    <row r="7053">
      <c r="A7053" s="390" t="str">
        <f>IFERROR(__xludf.DUMMYFUNCTION("""COMPUTED_VALUE"""),"#SLAA - Segunda Licenciatura em Artes Visuais - Segunda Licenciatura em Artes Visuais - Ariadny Rafaela Valejo Santana - Filosofia das Artes à Estética - Nota Máxima: 10")</f>
        <v>#SLAA - Segunda Licenciatura em Artes Visuais - Segunda Licenciatura em Artes Visuais - Ariadny Rafaela Valejo Santana - Filosofia das Artes à Estética - Nota Máxima: 10</v>
      </c>
    </row>
    <row r="7054">
      <c r="A7054" s="390" t="str">
        <f>IFERROR(__xludf.DUMMYFUNCTION("""COMPUTED_VALUE"""),"#SLAA - Segunda Licenciatura em Artes Visuais - Segunda Licenciatura em Artes Visuais - Ariadny Rafaela Valejo Santana - Legislação Educacional/a - Nota Máxima: 9")</f>
        <v>#SLAA - Segunda Licenciatura em Artes Visuais - Segunda Licenciatura em Artes Visuais - Ariadny Rafaela Valejo Santana - Legislação Educacional/a - Nota Máxima: 9</v>
      </c>
    </row>
    <row r="7055">
      <c r="A7055" s="390" t="str">
        <f>IFERROR(__xludf.DUMMYFUNCTION("""COMPUTED_VALUE"""),"#SLAA - Segunda Licenciatura em Artes Visuais - Segunda Licenciatura em Artes Visuais - Ariadny Rafaela Valejo Santana - Legislação Educacional/a - Nota Máxima: 9")</f>
        <v>#SLAA - Segunda Licenciatura em Artes Visuais - Segunda Licenciatura em Artes Visuais - Ariadny Rafaela Valejo Santana - Legislação Educacional/a - Nota Máxima: 9</v>
      </c>
    </row>
    <row r="7056">
      <c r="A7056" s="390" t="str">
        <f>IFERROR(__xludf.DUMMYFUNCTION("""COMPUTED_VALUE"""),"#SLAA - Segunda Licenciatura em Artes Visuais - Segunda Licenciatura em Artes Visuais - Ariadny Rafaela Valejo Santana - Linguagem das Artes Plásticas - Nota Máxima: 9")</f>
        <v>#SLAA - Segunda Licenciatura em Artes Visuais - Segunda Licenciatura em Artes Visuais - Ariadny Rafaela Valejo Santana - Linguagem das Artes Plásticas - Nota Máxima: 9</v>
      </c>
    </row>
    <row r="7057">
      <c r="A7057" s="390" t="str">
        <f>IFERROR(__xludf.DUMMYFUNCTION("""COMPUTED_VALUE"""),"#SLAA - Segunda Licenciatura em Artes Visuais - Segunda Licenciatura em Artes Visuais - Ariadny Rafaela Valejo Santana - Linguagem das Artes Plásticas - Nota Máxima: 10")</f>
        <v>#SLAA - Segunda Licenciatura em Artes Visuais - Segunda Licenciatura em Artes Visuais - Ariadny Rafaela Valejo Santana - Linguagem das Artes Plásticas - Nota Máxima: 10</v>
      </c>
    </row>
    <row r="7058">
      <c r="A7058" s="390" t="str">
        <f>IFERROR(__xludf.DUMMYFUNCTION("""COMPUTED_VALUE"""),"#SLAA - Segunda Licenciatura em Artes Visuais - Segunda Licenciatura em Artes Visuais - Ariadny Rafaela Valejo Santana - Planejamento, Gestão Educacional e Currículo/a - Nota Máxima: 10")</f>
        <v>#SLAA - Segunda Licenciatura em Artes Visuais - Segunda Licenciatura em Artes Visuais - Ariadny Rafaela Valejo Santana - Planejamento, Gestão Educacional e Currículo/a - Nota Máxima: 10</v>
      </c>
    </row>
    <row r="7059">
      <c r="A7059" s="390" t="str">
        <f>IFERROR(__xludf.DUMMYFUNCTION("""COMPUTED_VALUE"""),"#SLAA - Segunda Licenciatura em Artes Visuais - Segunda Licenciatura em Artes Visuais - Ariadny Rafaela Valejo Santana - Planejamento, Gestão Educacional e Currículo/a - Nota Máxima: 9")</f>
        <v>#SLAA - Segunda Licenciatura em Artes Visuais - Segunda Licenciatura em Artes Visuais - Ariadny Rafaela Valejo Santana - Planejamento, Gestão Educacional e Currículo/a - Nota Máxima: 9</v>
      </c>
    </row>
    <row r="7060">
      <c r="A7060" s="390" t="str">
        <f>IFERROR(__xludf.DUMMYFUNCTION("""COMPUTED_VALUE"""),"#SLAA - Segunda Licenciatura em Artes Visuais - Segunda Licenciatura em Artes Visuais - Ariadny Rafaela Valejo Santana - Práticas Pedagógicas - 400 Horas - Nota Máxima: 4")</f>
        <v>#SLAA - Segunda Licenciatura em Artes Visuais - Segunda Licenciatura em Artes Visuais - Ariadny Rafaela Valejo Santana - Práticas Pedagógicas - 400 Horas - Nota Máxima: 4</v>
      </c>
    </row>
    <row r="7061">
      <c r="A7061" s="390" t="str">
        <f>IFERROR(__xludf.DUMMYFUNCTION("""COMPUTED_VALUE"""),"#SLAA - Segunda Licenciatura em Artes Visuais - Segunda Licenciatura em Artes Visuais - Ariadny Rafaela Valejo Santana - Práticas Pedagógicas - 400 Horas - Nota Máxima: 4")</f>
        <v>#SLAA - Segunda Licenciatura em Artes Visuais - Segunda Licenciatura em Artes Visuais - Ariadny Rafaela Valejo Santana - Práticas Pedagógicas - 400 Horas - Nota Máxima: 4</v>
      </c>
    </row>
    <row r="7062">
      <c r="A7062" s="390" t="str">
        <f>IFERROR(__xludf.DUMMYFUNCTION("""COMPUTED_VALUE"""),"#SLAA - Segunda Licenciatura em Artes Visuais - Segunda Licenciatura em Artes Visuais - Ariadny Rafaela Valejo Santana - Psicologia da Educação/a - Nota Máxima: 10")</f>
        <v>#SLAA - Segunda Licenciatura em Artes Visuais - Segunda Licenciatura em Artes Visuais - Ariadny Rafaela Valejo Santana - Psicologia da Educação/a - Nota Máxima: 10</v>
      </c>
    </row>
    <row r="7063">
      <c r="A7063" s="390" t="str">
        <f>IFERROR(__xludf.DUMMYFUNCTION("""COMPUTED_VALUE"""),"#SLAA - Segunda Licenciatura em Artes Visuais - Segunda Licenciatura em Artes Visuais - Ariadny Rafaela Valejo Santana - Psicologia da Educação/a - Nota Máxima: 10")</f>
        <v>#SLAA - Segunda Licenciatura em Artes Visuais - Segunda Licenciatura em Artes Visuais - Ariadny Rafaela Valejo Santana - Psicologia da Educação/a - Nota Máxima: 10</v>
      </c>
    </row>
    <row r="7064">
      <c r="A7064" s="390" t="str">
        <f>IFERROR(__xludf.DUMMYFUNCTION("""COMPUTED_VALUE"""),"#SLAA - Segunda Licenciatura em Artes Visuais - Segunda Licenciatura em Artes Visuais - Ariadny Rafaela Valejo Santana - Psicomotricidade e Ludopedagogia - Nota Máxima: 10")</f>
        <v>#SLAA - Segunda Licenciatura em Artes Visuais - Segunda Licenciatura em Artes Visuais - Ariadny Rafaela Valejo Santana - Psicomotricidade e Ludopedagogia - Nota Máxima: 10</v>
      </c>
    </row>
    <row r="7065">
      <c r="A7065" s="390" t="str">
        <f>IFERROR(__xludf.DUMMYFUNCTION("""COMPUTED_VALUE"""),"#SLAA - Segunda Licenciatura em Artes Visuais - Segunda Licenciatura em Artes Visuais - Ariadny Rafaela Valejo Santana - Psicomotricidade e Ludopedagogia - Nota Máxima: 10")</f>
        <v>#SLAA - Segunda Licenciatura em Artes Visuais - Segunda Licenciatura em Artes Visuais - Ariadny Rafaela Valejo Santana - Psicomotricidade e Ludopedagogia - Nota Máxima: 10</v>
      </c>
    </row>
    <row r="7066">
      <c r="A7066" s="390" t="str">
        <f>IFERROR(__xludf.DUMMYFUNCTION("""COMPUTED_VALUE"""),"#SLAA - Segunda Licenciatura em Artes Visuais - Segunda Licenciatura em Artes Visuais - Ariadny Rafaela Valejo Santana - Tecnologia nas Artes Visuais - Nota Máxima: 10")</f>
        <v>#SLAA - Segunda Licenciatura em Artes Visuais - Segunda Licenciatura em Artes Visuais - Ariadny Rafaela Valejo Santana - Tecnologia nas Artes Visuais - Nota Máxima: 10</v>
      </c>
    </row>
    <row r="7067">
      <c r="A7067" s="390" t="str">
        <f>IFERROR(__xludf.DUMMYFUNCTION("""COMPUTED_VALUE"""),"#SLAA - Segunda Licenciatura em Artes Visuais - Segunda Licenciatura em Artes Visuais - Ariadny Rafaela Valejo Santana - Tecnologia nas Artes Visuais - Nota Máxima: 10")</f>
        <v>#SLAA - Segunda Licenciatura em Artes Visuais - Segunda Licenciatura em Artes Visuais - Ariadny Rafaela Valejo Santana - Tecnologia nas Artes Visuais - Nota Máxima: 10</v>
      </c>
    </row>
    <row r="7068">
      <c r="A7068" s="390" t="str">
        <f>IFERROR(__xludf.DUMMYFUNCTION("""COMPUTED_VALUE"""),"#SLAA - Segunda Licenciatura em Artes Visuais - Segunda Licenciatura em Artes Visuais - Walquiria Catarina de Souza Gabriel - Arte Brasileira na Formação da Identidade Nacional - Nota Máxima: 10")</f>
        <v>#SLAA - Segunda Licenciatura em Artes Visuais - Segunda Licenciatura em Artes Visuais - Walquiria Catarina de Souza Gabriel - Arte Brasileira na Formação da Identidade Nacional - Nota Máxima: 10</v>
      </c>
    </row>
    <row r="7069">
      <c r="A7069" s="390" t="str">
        <f>IFERROR(__xludf.DUMMYFUNCTION("""COMPUTED_VALUE"""),"#SLAA - Segunda Licenciatura em Artes Visuais - Segunda Licenciatura em Artes Visuais - Walquiria Catarina de Souza Gabriel - Arte Conceitual, Instalações e Arte Urbana - Nota Máxima: 10")</f>
        <v>#SLAA - Segunda Licenciatura em Artes Visuais - Segunda Licenciatura em Artes Visuais - Walquiria Catarina de Souza Gabriel - Arte Conceitual, Instalações e Arte Urbana - Nota Máxima: 10</v>
      </c>
    </row>
    <row r="7070">
      <c r="A7070" s="390" t="str">
        <f>IFERROR(__xludf.DUMMYFUNCTION("""COMPUTED_VALUE"""),"#SLAA - Segunda Licenciatura em Artes Visuais - Segunda Licenciatura em Artes Visuais - Walquiria Catarina de Souza Gabriel - Arte em Educação - Nota Máxima: 10")</f>
        <v>#SLAA - Segunda Licenciatura em Artes Visuais - Segunda Licenciatura em Artes Visuais - Walquiria Catarina de Souza Gabriel - Arte em Educação - Nota Máxima: 10</v>
      </c>
    </row>
    <row r="7071">
      <c r="A7071" s="390" t="str">
        <f>IFERROR(__xludf.DUMMYFUNCTION("""COMPUTED_VALUE"""),"#SLAA - Segunda Licenciatura em Artes Visuais - Segunda Licenciatura em Artes Visuais - Walquiria Catarina de Souza Gabriel - Deficiência Auditiva e Libras/a - Nota Máxima: 10")</f>
        <v>#SLAA - Segunda Licenciatura em Artes Visuais - Segunda Licenciatura em Artes Visuais - Walquiria Catarina de Souza Gabriel - Deficiência Auditiva e Libras/a - Nota Máxima: 10</v>
      </c>
    </row>
    <row r="7072">
      <c r="A7072" s="390" t="str">
        <f>IFERROR(__xludf.DUMMYFUNCTION("""COMPUTED_VALUE"""),"#SLAA - Segunda Licenciatura em Artes Visuais - Segunda Licenciatura em Artes Visuais - Walquiria Catarina de Souza Gabriel - Deficiência Auditiva e Libras/a - Nota Máxima: 7")</f>
        <v>#SLAA - Segunda Licenciatura em Artes Visuais - Segunda Licenciatura em Artes Visuais - Walquiria Catarina de Souza Gabriel - Deficiência Auditiva e Libras/a - Nota Máxima: 7</v>
      </c>
    </row>
    <row r="7073">
      <c r="A7073" s="390" t="str">
        <f>IFERROR(__xludf.DUMMYFUNCTION("""COMPUTED_VALUE"""),"#SLAA - Segunda Licenciatura em Artes Visuais - Segunda Licenciatura em Artes Visuais - Walquiria Catarina de Souza Gabriel - Desenho e Observação - Nota Máxima: 10")</f>
        <v>#SLAA - Segunda Licenciatura em Artes Visuais - Segunda Licenciatura em Artes Visuais - Walquiria Catarina de Souza Gabriel - Desenho e Observação - Nota Máxima: 10</v>
      </c>
    </row>
    <row r="7074">
      <c r="A7074" s="390" t="str">
        <f>IFERROR(__xludf.DUMMYFUNCTION("""COMPUTED_VALUE"""),"#SLAA - Segunda Licenciatura em Artes Visuais - Segunda Licenciatura em Artes Visuais - Walquiria Catarina de Souza Gabriel - Educação Especial, Inclusão Escolar e Adaptações Curriculares - Nota Máxima: 10")</f>
        <v>#SLAA - Segunda Licenciatura em Artes Visuais - Segunda Licenciatura em Artes Visuais - Walquiria Catarina de Souza Gabriel - Educação Especial, Inclusão Escolar e Adaptações Curriculares - Nota Máxima: 10</v>
      </c>
    </row>
    <row r="7075">
      <c r="A7075" s="390" t="str">
        <f>IFERROR(__xludf.DUMMYFUNCTION("""COMPUTED_VALUE"""),"#SLAA - Segunda Licenciatura em Artes Visuais - Segunda Licenciatura em Artes Visuais - Walquiria Catarina de Souza Gabriel - Educação Especial, Inclusão Escolar e Adaptações Curriculares - Nota Máxima: 7")</f>
        <v>#SLAA - Segunda Licenciatura em Artes Visuais - Segunda Licenciatura em Artes Visuais - Walquiria Catarina de Souza Gabriel - Educação Especial, Inclusão Escolar e Adaptações Curriculares - Nota Máxima: 7</v>
      </c>
    </row>
    <row r="7076">
      <c r="A7076" s="390" t="str">
        <f>IFERROR(__xludf.DUMMYFUNCTION("""COMPUTED_VALUE"""),"#SLAA - Segunda Licenciatura em Artes Visuais - Segunda Licenciatura em Artes Visuais - Walquiria Catarina de Souza Gabriel - Educação, História, Cultura e Práticas Indígenas/a - Nota Máxima: 10")</f>
        <v>#SLAA - Segunda Licenciatura em Artes Visuais - Segunda Licenciatura em Artes Visuais - Walquiria Catarina de Souza Gabriel - Educação, História, Cultura e Práticas Indígenas/a - Nota Máxima: 10</v>
      </c>
    </row>
    <row r="7077">
      <c r="A7077" s="390" t="str">
        <f>IFERROR(__xludf.DUMMYFUNCTION("""COMPUTED_VALUE"""),"#SLAA - Segunda Licenciatura em Artes Visuais - Segunda Licenciatura em Artes Visuais - Walquiria Catarina de Souza Gabriel - Expressão Gráfica - Nota Máxima: 10")</f>
        <v>#SLAA - Segunda Licenciatura em Artes Visuais - Segunda Licenciatura em Artes Visuais - Walquiria Catarina de Souza Gabriel - Expressão Gráfica - Nota Máxima: 10</v>
      </c>
    </row>
    <row r="7078">
      <c r="A7078" s="390" t="str">
        <f>IFERROR(__xludf.DUMMYFUNCTION("""COMPUTED_VALUE"""),"#SLAA - Segunda Licenciatura em Artes Visuais - Segunda Licenciatura em Artes Visuais - Walquiria Catarina de Souza Gabriel - Filosofia das Artes à Estética - Nota Máxima: 10")</f>
        <v>#SLAA - Segunda Licenciatura em Artes Visuais - Segunda Licenciatura em Artes Visuais - Walquiria Catarina de Souza Gabriel - Filosofia das Artes à Estética - Nota Máxima: 10</v>
      </c>
    </row>
    <row r="7079">
      <c r="A7079" s="390" t="str">
        <f>IFERROR(__xludf.DUMMYFUNCTION("""COMPUTED_VALUE"""),"#SLAA - Segunda Licenciatura em Artes Visuais - Segunda Licenciatura em Artes Visuais - Walquiria Catarina de Souza Gabriel - Legislação Educacional/a - Nota Máxima: 10")</f>
        <v>#SLAA - Segunda Licenciatura em Artes Visuais - Segunda Licenciatura em Artes Visuais - Walquiria Catarina de Souza Gabriel - Legislação Educacional/a - Nota Máxima: 10</v>
      </c>
    </row>
    <row r="7080">
      <c r="A7080" s="390" t="str">
        <f>IFERROR(__xludf.DUMMYFUNCTION("""COMPUTED_VALUE"""),"#SLAA - Segunda Licenciatura em Artes Visuais - Segunda Licenciatura em Artes Visuais - Walquiria Catarina de Souza Gabriel - Linguagem das Artes Plásticas - Nota Máxima: 10")</f>
        <v>#SLAA - Segunda Licenciatura em Artes Visuais - Segunda Licenciatura em Artes Visuais - Walquiria Catarina de Souza Gabriel - Linguagem das Artes Plásticas - Nota Máxima: 10</v>
      </c>
    </row>
    <row r="7081">
      <c r="A7081" s="390" t="str">
        <f>IFERROR(__xludf.DUMMYFUNCTION("""COMPUTED_VALUE"""),"#SLAA - Segunda Licenciatura em Artes Visuais - Segunda Licenciatura em Artes Visuais - Walquiria Catarina de Souza Gabriel - Planejamento, Gestão Educacional e Currículo/a - Nota Máxima: 10")</f>
        <v>#SLAA - Segunda Licenciatura em Artes Visuais - Segunda Licenciatura em Artes Visuais - Walquiria Catarina de Souza Gabriel - Planejamento, Gestão Educacional e Currículo/a - Nota Máxima: 10</v>
      </c>
    </row>
    <row r="7082">
      <c r="A7082" s="390" t="str">
        <f>IFERROR(__xludf.DUMMYFUNCTION("""COMPUTED_VALUE"""),"#SLAA - Segunda Licenciatura em Artes Visuais - Segunda Licenciatura em Artes Visuais - Walquiria Catarina de Souza Gabriel - Práticas Pedagógicas - 400 Horas - Nota Máxima: 10")</f>
        <v>#SLAA - Segunda Licenciatura em Artes Visuais - Segunda Licenciatura em Artes Visuais - Walquiria Catarina de Souza Gabriel - Práticas Pedagógicas - 400 Horas - Nota Máxima: 10</v>
      </c>
    </row>
    <row r="7083">
      <c r="A7083" s="390" t="str">
        <f>IFERROR(__xludf.DUMMYFUNCTION("""COMPUTED_VALUE"""),"#SLAA - Segunda Licenciatura em Artes Visuais - Segunda Licenciatura em Artes Visuais - Walquiria Catarina de Souza Gabriel - Psicologia da Educação/a - Nota Máxima: 10")</f>
        <v>#SLAA - Segunda Licenciatura em Artes Visuais - Segunda Licenciatura em Artes Visuais - Walquiria Catarina de Souza Gabriel - Psicologia da Educação/a - Nota Máxima: 10</v>
      </c>
    </row>
    <row r="7084">
      <c r="A7084" s="390" t="str">
        <f>IFERROR(__xludf.DUMMYFUNCTION("""COMPUTED_VALUE"""),"#SLAA - Segunda Licenciatura em Artes Visuais - Segunda Licenciatura em Artes Visuais - Walquiria Catarina de Souza Gabriel - Psicomotricidade e Ludopedagogia - Nota Máxima: 10")</f>
        <v>#SLAA - Segunda Licenciatura em Artes Visuais - Segunda Licenciatura em Artes Visuais - Walquiria Catarina de Souza Gabriel - Psicomotricidade e Ludopedagogia - Nota Máxima: 10</v>
      </c>
    </row>
    <row r="7085">
      <c r="A7085" s="390" t="str">
        <f>IFERROR(__xludf.DUMMYFUNCTION("""COMPUTED_VALUE"""),"#SLAA - Segunda Licenciatura em Artes Visuais - Segunda Licenciatura em Artes Visuais - Walquiria Catarina de Souza Gabriel - Tecnologia nas Artes Visuais - Nota Máxima: 10")</f>
        <v>#SLAA - Segunda Licenciatura em Artes Visuais - Segunda Licenciatura em Artes Visuais - Walquiria Catarina de Souza Gabriel - Tecnologia nas Artes Visuais - Nota Máxima: 10</v>
      </c>
    </row>
    <row r="7086">
      <c r="A7086" s="390" t="str">
        <f>IFERROR(__xludf.DUMMYFUNCTION("""COMPUTED_VALUE"""),"#SLAA - Segunda Licenciatura em Artes Visuais - Segunda Licenciatura em Artes Visuais - Suzana Moura da Silva Torres - Arte Brasileira na Formação da Identidade Nacional - Nota Máxima: 10")</f>
        <v>#SLAA - Segunda Licenciatura em Artes Visuais - Segunda Licenciatura em Artes Visuais - Suzana Moura da Silva Torres - Arte Brasileira na Formação da Identidade Nacional - Nota Máxima: 10</v>
      </c>
    </row>
    <row r="7087">
      <c r="A7087" s="390" t="str">
        <f>IFERROR(__xludf.DUMMYFUNCTION("""COMPUTED_VALUE"""),"#SLAA - Segunda Licenciatura em Artes Visuais - Segunda Licenciatura em Artes Visuais - Suzana Moura da Silva Torres - Arte em Educação - Nota Máxima: 10")</f>
        <v>#SLAA - Segunda Licenciatura em Artes Visuais - Segunda Licenciatura em Artes Visuais - Suzana Moura da Silva Torres - Arte em Educação - Nota Máxima: 10</v>
      </c>
    </row>
    <row r="7088">
      <c r="A7088" s="390" t="str">
        <f>IFERROR(__xludf.DUMMYFUNCTION("""COMPUTED_VALUE"""),"#SLAA - Segunda Licenciatura em Artes Visuais - Segunda Licenciatura em Artes Visuais - Suzana Moura da Silva Torres - Desenho e Observação - Nota Máxima: 10")</f>
        <v>#SLAA - Segunda Licenciatura em Artes Visuais - Segunda Licenciatura em Artes Visuais - Suzana Moura da Silva Torres - Desenho e Observação - Nota Máxima: 10</v>
      </c>
    </row>
    <row r="7089">
      <c r="A7089" s="390" t="str">
        <f>IFERROR(__xludf.DUMMYFUNCTION("""COMPUTED_VALUE"""),"#SLAA - Segunda Licenciatura em Artes Visuais - Segunda Licenciatura em Artes Visuais - Suzana Moura da Silva Torres - Educação Especial, Inclusão Escolar e Adaptações Curriculares - Nota Máxima: 10")</f>
        <v>#SLAA - Segunda Licenciatura em Artes Visuais - Segunda Licenciatura em Artes Visuais - Suzana Moura da Silva Torres - Educação Especial, Inclusão Escolar e Adaptações Curriculares - Nota Máxima: 10</v>
      </c>
    </row>
    <row r="7090">
      <c r="A7090" s="390" t="str">
        <f>IFERROR(__xludf.DUMMYFUNCTION("""COMPUTED_VALUE"""),"#SLAA - Segunda Licenciatura em Artes Visuais - Segunda Licenciatura em Artes Visuais - Suzana Moura da Silva Torres - Educação, História, Cultura e Práticas Indígenas/a - Nota Máxima: 10")</f>
        <v>#SLAA - Segunda Licenciatura em Artes Visuais - Segunda Licenciatura em Artes Visuais - Suzana Moura da Silva Torres - Educação, História, Cultura e Práticas Indígenas/a - Nota Máxima: 10</v>
      </c>
    </row>
    <row r="7091">
      <c r="A7091" s="390" t="str">
        <f>IFERROR(__xludf.DUMMYFUNCTION("""COMPUTED_VALUE"""),"#SLAA - Segunda Licenciatura em Artes Visuais - Segunda Licenciatura em Artes Visuais - Suzana Moura da Silva Torres - Expressão Gráfica - Nota Máxima: 10")</f>
        <v>#SLAA - Segunda Licenciatura em Artes Visuais - Segunda Licenciatura em Artes Visuais - Suzana Moura da Silva Torres - Expressão Gráfica - Nota Máxima: 10</v>
      </c>
    </row>
    <row r="7092">
      <c r="A7092" s="390" t="str">
        <f>IFERROR(__xludf.DUMMYFUNCTION("""COMPUTED_VALUE"""),"#SLAA - Segunda Licenciatura em Artes Visuais - Segunda Licenciatura em Artes Visuais - Suzana Moura da Silva Torres - Linguagem das Artes Plásticas - Nota Máxima: 10")</f>
        <v>#SLAA - Segunda Licenciatura em Artes Visuais - Segunda Licenciatura em Artes Visuais - Suzana Moura da Silva Torres - Linguagem das Artes Plásticas - Nota Máxima: 10</v>
      </c>
    </row>
    <row r="7093">
      <c r="A7093" s="390" t="str">
        <f>IFERROR(__xludf.DUMMYFUNCTION("""COMPUTED_VALUE"""),"#SLAA - Segunda Licenciatura em Artes Visuais - Segunda Licenciatura em Artes Visuais - Suzana Moura da Silva Torres - Planejamento, Gestão Educacional e Currículo/a - Nota Máxima: 10")</f>
        <v>#SLAA - Segunda Licenciatura em Artes Visuais - Segunda Licenciatura em Artes Visuais - Suzana Moura da Silva Torres - Planejamento, Gestão Educacional e Currículo/a - Nota Máxima: 10</v>
      </c>
    </row>
    <row r="7094">
      <c r="A7094" s="390" t="str">
        <f>IFERROR(__xludf.DUMMYFUNCTION("""COMPUTED_VALUE"""),"#SLAA - Segunda Licenciatura em Artes Visuais - Segunda Licenciatura em Artes Visuais - Suzana Moura da Silva Torres - Psicologia da Educação/a - Nota Máxima: 10")</f>
        <v>#SLAA - Segunda Licenciatura em Artes Visuais - Segunda Licenciatura em Artes Visuais - Suzana Moura da Silva Torres - Psicologia da Educação/a - Nota Máxima: 10</v>
      </c>
    </row>
    <row r="7095">
      <c r="A7095" s="390" t="str">
        <f>IFERROR(__xludf.DUMMYFUNCTION("""COMPUTED_VALUE"""),"#SLAA - Segunda Licenciatura em Artes Visuais - Segunda Licenciatura em Artes Visuais - Suzana Moura da Silva Torres - Psicomotricidade e Ludopedagogia - Nota Máxima: 10")</f>
        <v>#SLAA - Segunda Licenciatura em Artes Visuais - Segunda Licenciatura em Artes Visuais - Suzana Moura da Silva Torres - Psicomotricidade e Ludopedagogia - Nota Máxima: 10</v>
      </c>
    </row>
    <row r="7096">
      <c r="A7096" s="390" t="str">
        <f>IFERROR(__xludf.DUMMYFUNCTION("""COMPUTED_VALUE"""),"#SLAA - Segunda Licenciatura em Artes Visuais - Segunda Licenciatura em Artes Visuais - Suzana Moura da Silva Torres - Tecnologia nas Artes Visuais - Nota Máxima: 10")</f>
        <v>#SLAA - Segunda Licenciatura em Artes Visuais - Segunda Licenciatura em Artes Visuais - Suzana Moura da Silva Torres - Tecnologia nas Artes Visuais - Nota Máxima: 10</v>
      </c>
    </row>
    <row r="7097">
      <c r="A7097" s="390" t="str">
        <f>IFERROR(__xludf.DUMMYFUNCTION("""COMPUTED_VALUE"""),"#SLAA - Segunda Licenciatura em Artes Visuais - Segunda Licenciatura em Artes Visuais - Claudiany de Souza Coelho Boechat - Práticas Pedagógicas - 400 Horas - Nota Máxima: 10")</f>
        <v>#SLAA - Segunda Licenciatura em Artes Visuais - Segunda Licenciatura em Artes Visuais - Claudiany de Souza Coelho Boechat - Práticas Pedagógicas - 400 Horas - Nota Máxima: 10</v>
      </c>
    </row>
    <row r="7098">
      <c r="A7098" s="390" t="str">
        <f>IFERROR(__xludf.DUMMYFUNCTION("""COMPUTED_VALUE"""),"#SLAA - Segunda Licenciatura em Artes Visuais - Segunda Licenciatura em Artes Visuais - Rachel Menezes Oliveira dos Santos - Arte Brasileira na Formação da Identidade Nacional - Nota Máxima: 9")</f>
        <v>#SLAA - Segunda Licenciatura em Artes Visuais - Segunda Licenciatura em Artes Visuais - Rachel Menezes Oliveira dos Santos - Arte Brasileira na Formação da Identidade Nacional - Nota Máxima: 9</v>
      </c>
    </row>
    <row r="7099">
      <c r="A7099" s="390" t="str">
        <f>IFERROR(__xludf.DUMMYFUNCTION("""COMPUTED_VALUE"""),"#SLAA - Segunda Licenciatura em Artes Visuais - Segunda Licenciatura em Artes Visuais - Rachel Menezes Oliveira dos Santos - Arte em Educação - Nota Máxima: 10")</f>
        <v>#SLAA - Segunda Licenciatura em Artes Visuais - Segunda Licenciatura em Artes Visuais - Rachel Menezes Oliveira dos Santos - Arte em Educação - Nota Máxima: 10</v>
      </c>
    </row>
    <row r="7100">
      <c r="A7100" s="390" t="str">
        <f>IFERROR(__xludf.DUMMYFUNCTION("""COMPUTED_VALUE"""),"#SLAA - Segunda Licenciatura em Artes Visuais - Segunda Licenciatura em Artes Visuais - Rachel Menezes Oliveira dos Santos - Deficiência Auditiva e Libras/a - Nota Máxima: 8")</f>
        <v>#SLAA - Segunda Licenciatura em Artes Visuais - Segunda Licenciatura em Artes Visuais - Rachel Menezes Oliveira dos Santos - Deficiência Auditiva e Libras/a - Nota Máxima: 8</v>
      </c>
    </row>
    <row r="7101">
      <c r="A7101" s="390" t="str">
        <f>IFERROR(__xludf.DUMMYFUNCTION("""COMPUTED_VALUE"""),"#SLAA - Segunda Licenciatura em Artes Visuais - Segunda Licenciatura em Artes Visuais - Rachel Menezes Oliveira dos Santos - Desenho e Observação - Nota Máxima: 10")</f>
        <v>#SLAA - Segunda Licenciatura em Artes Visuais - Segunda Licenciatura em Artes Visuais - Rachel Menezes Oliveira dos Santos - Desenho e Observação - Nota Máxima: 10</v>
      </c>
    </row>
    <row r="7102">
      <c r="A7102" s="390" t="str">
        <f>IFERROR(__xludf.DUMMYFUNCTION("""COMPUTED_VALUE"""),"#SLAA - Segunda Licenciatura em Artes Visuais - Segunda Licenciatura em Artes Visuais - Rachel Menezes Oliveira dos Santos - Educação Especial, Inclusão Escolar e Adaptações Curriculares - Nota Máxima: 8")</f>
        <v>#SLAA - Segunda Licenciatura em Artes Visuais - Segunda Licenciatura em Artes Visuais - Rachel Menezes Oliveira dos Santos - Educação Especial, Inclusão Escolar e Adaptações Curriculares - Nota Máxima: 8</v>
      </c>
    </row>
    <row r="7103">
      <c r="A7103" s="390" t="str">
        <f>IFERROR(__xludf.DUMMYFUNCTION("""COMPUTED_VALUE"""),"#SLAA - Segunda Licenciatura em Artes Visuais - Segunda Licenciatura em Artes Visuais - Rachel Menezes Oliveira dos Santos - Filosofia das Artes à Estética - Nota Máxima: 8")</f>
        <v>#SLAA - Segunda Licenciatura em Artes Visuais - Segunda Licenciatura em Artes Visuais - Rachel Menezes Oliveira dos Santos - Filosofia das Artes à Estética - Nota Máxima: 8</v>
      </c>
    </row>
    <row r="7104">
      <c r="A7104" s="390" t="str">
        <f>IFERROR(__xludf.DUMMYFUNCTION("""COMPUTED_VALUE"""),"#SLAA - Segunda Licenciatura em Artes Visuais - Segunda Licenciatura em Artes Visuais - Rachel Menezes Oliveira dos Santos - Legislação Educacional/a - Nota Máxima: 8")</f>
        <v>#SLAA - Segunda Licenciatura em Artes Visuais - Segunda Licenciatura em Artes Visuais - Rachel Menezes Oliveira dos Santos - Legislação Educacional/a - Nota Máxima: 8</v>
      </c>
    </row>
    <row r="7105">
      <c r="A7105" s="390" t="str">
        <f>IFERROR(__xludf.DUMMYFUNCTION("""COMPUTED_VALUE"""),"#SLAA - Segunda Licenciatura em Artes Visuais - Segunda Licenciatura em Artes Visuais - Rachel Menezes Oliveira dos Santos - Linguagem das Artes Plásticas - Nota Máxima: 7")</f>
        <v>#SLAA - Segunda Licenciatura em Artes Visuais - Segunda Licenciatura em Artes Visuais - Rachel Menezes Oliveira dos Santos - Linguagem das Artes Plásticas - Nota Máxima: 7</v>
      </c>
    </row>
    <row r="7106">
      <c r="A7106" s="390" t="str">
        <f>IFERROR(__xludf.DUMMYFUNCTION("""COMPUTED_VALUE"""),"#SLAA - Segunda Licenciatura em Artes Visuais - Segunda Licenciatura em Artes Visuais - Rachel Menezes Oliveira dos Santos - Planejamento, Gestão Educacional e Currículo/a - Nota Máxima: 9")</f>
        <v>#SLAA - Segunda Licenciatura em Artes Visuais - Segunda Licenciatura em Artes Visuais - Rachel Menezes Oliveira dos Santos - Planejamento, Gestão Educacional e Currículo/a - Nota Máxima: 9</v>
      </c>
    </row>
    <row r="7107">
      <c r="A7107" s="390" t="str">
        <f>IFERROR(__xludf.DUMMYFUNCTION("""COMPUTED_VALUE"""),"#SLAA - Segunda Licenciatura em Artes Visuais - Segunda Licenciatura em Artes Visuais - Rachel Menezes Oliveira dos Santos - Práticas Pedagógicas - 400 Horas - Nota Máxima: 10")</f>
        <v>#SLAA - Segunda Licenciatura em Artes Visuais - Segunda Licenciatura em Artes Visuais - Rachel Menezes Oliveira dos Santos - Práticas Pedagógicas - 400 Horas - Nota Máxima: 10</v>
      </c>
    </row>
    <row r="7108">
      <c r="A7108" s="390" t="str">
        <f>IFERROR(__xludf.DUMMYFUNCTION("""COMPUTED_VALUE"""),"#SLAA - Segunda Licenciatura em Artes Visuais - Segunda Licenciatura em Artes Visuais - Rachel Menezes Oliveira dos Santos - Psicologia da Educação/a - Nota Máxima: 7")</f>
        <v>#SLAA - Segunda Licenciatura em Artes Visuais - Segunda Licenciatura em Artes Visuais - Rachel Menezes Oliveira dos Santos - Psicologia da Educação/a - Nota Máxima: 7</v>
      </c>
    </row>
    <row r="7109">
      <c r="A7109" s="390" t="str">
        <f>IFERROR(__xludf.DUMMYFUNCTION("""COMPUTED_VALUE"""),"#SLAA - Segunda Licenciatura em Artes Visuais - Segunda Licenciatura em Artes Visuais - Rachel Menezes Oliveira dos Santos - Psicomotricidade e Ludopedagogia - Nota Máxima: 8")</f>
        <v>#SLAA - Segunda Licenciatura em Artes Visuais - Segunda Licenciatura em Artes Visuais - Rachel Menezes Oliveira dos Santos - Psicomotricidade e Ludopedagogia - Nota Máxima: 8</v>
      </c>
    </row>
    <row r="7110">
      <c r="A7110" s="390" t="str">
        <f>IFERROR(__xludf.DUMMYFUNCTION("""COMPUTED_VALUE"""),"#SLAA - Segunda Licenciatura em Artes Visuais - Segunda Licenciatura em Artes Visuais - EDCARLOS BATISTA DOS SANTOS - Arte Brasileira na Formação da Identidade Nacional - Nota Máxima: 10")</f>
        <v>#SLAA - Segunda Licenciatura em Artes Visuais - Segunda Licenciatura em Artes Visuais - EDCARLOS BATISTA DOS SANTOS - Arte Brasileira na Formação da Identidade Nacional - Nota Máxima: 10</v>
      </c>
    </row>
    <row r="7111">
      <c r="A7111" s="390" t="str">
        <f>IFERROR(__xludf.DUMMYFUNCTION("""COMPUTED_VALUE"""),"#SLAA - Segunda Licenciatura em Artes Visuais - Segunda Licenciatura em Artes Visuais - EDCARLOS BATISTA DOS SANTOS - Arte Conceitual, Instalações e Arte Urbana - Nota Máxima: 10")</f>
        <v>#SLAA - Segunda Licenciatura em Artes Visuais - Segunda Licenciatura em Artes Visuais - EDCARLOS BATISTA DOS SANTOS - Arte Conceitual, Instalações e Arte Urbana - Nota Máxima: 10</v>
      </c>
    </row>
    <row r="7112">
      <c r="A7112" s="390" t="str">
        <f>IFERROR(__xludf.DUMMYFUNCTION("""COMPUTED_VALUE"""),"#SLAA - Segunda Licenciatura em Artes Visuais - Segunda Licenciatura em Artes Visuais - EDCARLOS BATISTA DOS SANTOS - Arte Conceitual, Instalações e Arte Urbana - Nota Máxima: 7")</f>
        <v>#SLAA - Segunda Licenciatura em Artes Visuais - Segunda Licenciatura em Artes Visuais - EDCARLOS BATISTA DOS SANTOS - Arte Conceitual, Instalações e Arte Urbana - Nota Máxima: 7</v>
      </c>
    </row>
    <row r="7113">
      <c r="A7113" s="390" t="str">
        <f>IFERROR(__xludf.DUMMYFUNCTION("""COMPUTED_VALUE"""),"#SLAA - Segunda Licenciatura em Artes Visuais - Segunda Licenciatura em Artes Visuais - EDCARLOS BATISTA DOS SANTOS - Arte em Educação - Nota Máxima: 10")</f>
        <v>#SLAA - Segunda Licenciatura em Artes Visuais - Segunda Licenciatura em Artes Visuais - EDCARLOS BATISTA DOS SANTOS - Arte em Educação - Nota Máxima: 10</v>
      </c>
    </row>
    <row r="7114">
      <c r="A7114" s="390" t="str">
        <f>IFERROR(__xludf.DUMMYFUNCTION("""COMPUTED_VALUE"""),"#SLAA - Segunda Licenciatura em Artes Visuais - Segunda Licenciatura em Artes Visuais - EDCARLOS BATISTA DOS SANTOS - Deficiência Auditiva e Libras/a - Nota Máxima: 9")</f>
        <v>#SLAA - Segunda Licenciatura em Artes Visuais - Segunda Licenciatura em Artes Visuais - EDCARLOS BATISTA DOS SANTOS - Deficiência Auditiva e Libras/a - Nota Máxima: 9</v>
      </c>
    </row>
    <row r="7115">
      <c r="A7115" s="390" t="str">
        <f>IFERROR(__xludf.DUMMYFUNCTION("""COMPUTED_VALUE"""),"#SLAA - Segunda Licenciatura em Artes Visuais - Segunda Licenciatura em Artes Visuais - EDCARLOS BATISTA DOS SANTOS - Deficiência Auditiva e Libras/a - Nota Máxima: 8")</f>
        <v>#SLAA - Segunda Licenciatura em Artes Visuais - Segunda Licenciatura em Artes Visuais - EDCARLOS BATISTA DOS SANTOS - Deficiência Auditiva e Libras/a - Nota Máxima: 8</v>
      </c>
    </row>
    <row r="7116">
      <c r="A7116" s="390" t="str">
        <f>IFERROR(__xludf.DUMMYFUNCTION("""COMPUTED_VALUE"""),"#SLAA - Segunda Licenciatura em Artes Visuais - Segunda Licenciatura em Artes Visuais - EDCARLOS BATISTA DOS SANTOS - Desenho e Observação - Nota Máxima: 10")</f>
        <v>#SLAA - Segunda Licenciatura em Artes Visuais - Segunda Licenciatura em Artes Visuais - EDCARLOS BATISTA DOS SANTOS - Desenho e Observação - Nota Máxima: 10</v>
      </c>
    </row>
    <row r="7117">
      <c r="A7117" s="390" t="str">
        <f>IFERROR(__xludf.DUMMYFUNCTION("""COMPUTED_VALUE"""),"#SLAA - Segunda Licenciatura em Artes Visuais - Segunda Licenciatura em Artes Visuais - EDCARLOS BATISTA DOS SANTOS - Educação Especial, Inclusão Escolar e Adaptações Curriculares - Nota Máxima: 10")</f>
        <v>#SLAA - Segunda Licenciatura em Artes Visuais - Segunda Licenciatura em Artes Visuais - EDCARLOS BATISTA DOS SANTOS - Educação Especial, Inclusão Escolar e Adaptações Curriculares - Nota Máxima: 10</v>
      </c>
    </row>
    <row r="7118">
      <c r="A7118" s="390" t="str">
        <f>IFERROR(__xludf.DUMMYFUNCTION("""COMPUTED_VALUE"""),"#SLAA - Segunda Licenciatura em Artes Visuais - Segunda Licenciatura em Artes Visuais - EDCARLOS BATISTA DOS SANTOS - Educação, História, Cultura e Práticas Indígenas/a - Nota Máxima: 7")</f>
        <v>#SLAA - Segunda Licenciatura em Artes Visuais - Segunda Licenciatura em Artes Visuais - EDCARLOS BATISTA DOS SANTOS - Educação, História, Cultura e Práticas Indígenas/a - Nota Máxima: 7</v>
      </c>
    </row>
    <row r="7119">
      <c r="A7119" s="390" t="str">
        <f>IFERROR(__xludf.DUMMYFUNCTION("""COMPUTED_VALUE"""),"#SLAA - Segunda Licenciatura em Artes Visuais - Segunda Licenciatura em Artes Visuais - EDCARLOS BATISTA DOS SANTOS - Expressão Gráfica - Nota Máxima: 10")</f>
        <v>#SLAA - Segunda Licenciatura em Artes Visuais - Segunda Licenciatura em Artes Visuais - EDCARLOS BATISTA DOS SANTOS - Expressão Gráfica - Nota Máxima: 10</v>
      </c>
    </row>
    <row r="7120">
      <c r="A7120" s="390" t="str">
        <f>IFERROR(__xludf.DUMMYFUNCTION("""COMPUTED_VALUE"""),"#SLAA - Segunda Licenciatura em Artes Visuais - Segunda Licenciatura em Artes Visuais - EDCARLOS BATISTA DOS SANTOS - Filosofia das Artes à Estética - Nota Máxima: 10")</f>
        <v>#SLAA - Segunda Licenciatura em Artes Visuais - Segunda Licenciatura em Artes Visuais - EDCARLOS BATISTA DOS SANTOS - Filosofia das Artes à Estética - Nota Máxima: 10</v>
      </c>
    </row>
    <row r="7121">
      <c r="A7121" s="390" t="str">
        <f>IFERROR(__xludf.DUMMYFUNCTION("""COMPUTED_VALUE"""),"#SLAA - Segunda Licenciatura em Artes Visuais - Segunda Licenciatura em Artes Visuais - EDCARLOS BATISTA DOS SANTOS - Legislação Educacional/a - Nota Máxima: 7")</f>
        <v>#SLAA - Segunda Licenciatura em Artes Visuais - Segunda Licenciatura em Artes Visuais - EDCARLOS BATISTA DOS SANTOS - Legislação Educacional/a - Nota Máxima: 7</v>
      </c>
    </row>
    <row r="7122">
      <c r="A7122" s="390" t="str">
        <f>IFERROR(__xludf.DUMMYFUNCTION("""COMPUTED_VALUE"""),"#SLAA - Segunda Licenciatura em Artes Visuais - Segunda Licenciatura em Artes Visuais - EDCARLOS BATISTA DOS SANTOS - Linguagem das Artes Plásticas - Nota Máxima: 7")</f>
        <v>#SLAA - Segunda Licenciatura em Artes Visuais - Segunda Licenciatura em Artes Visuais - EDCARLOS BATISTA DOS SANTOS - Linguagem das Artes Plásticas - Nota Máxima: 7</v>
      </c>
    </row>
    <row r="7123">
      <c r="A7123" s="390" t="str">
        <f>IFERROR(__xludf.DUMMYFUNCTION("""COMPUTED_VALUE"""),"#SLAA - Segunda Licenciatura em Artes Visuais - Segunda Licenciatura em Artes Visuais - EDCARLOS BATISTA DOS SANTOS - Planejamento, Gestão Educacional e Currículo/a - Nota Máxima: 10")</f>
        <v>#SLAA - Segunda Licenciatura em Artes Visuais - Segunda Licenciatura em Artes Visuais - EDCARLOS BATISTA DOS SANTOS - Planejamento, Gestão Educacional e Currículo/a - Nota Máxima: 10</v>
      </c>
    </row>
    <row r="7124">
      <c r="A7124" s="390" t="str">
        <f>IFERROR(__xludf.DUMMYFUNCTION("""COMPUTED_VALUE"""),"#SLAA - Segunda Licenciatura em Artes Visuais - Segunda Licenciatura em Artes Visuais - EDCARLOS BATISTA DOS SANTOS - Psicologia da Educação/a - Nota Máxima: 10")</f>
        <v>#SLAA - Segunda Licenciatura em Artes Visuais - Segunda Licenciatura em Artes Visuais - EDCARLOS BATISTA DOS SANTOS - Psicologia da Educação/a - Nota Máxima: 10</v>
      </c>
    </row>
    <row r="7125">
      <c r="A7125" s="390" t="str">
        <f>IFERROR(__xludf.DUMMYFUNCTION("""COMPUTED_VALUE"""),"#SLAA - Segunda Licenciatura em Artes Visuais - Segunda Licenciatura em Artes Visuais - EDCARLOS BATISTA DOS SANTOS - Psicologia da Educação/a - Nota Máxima: 4")</f>
        <v>#SLAA - Segunda Licenciatura em Artes Visuais - Segunda Licenciatura em Artes Visuais - EDCARLOS BATISTA DOS SANTOS - Psicologia da Educação/a - Nota Máxima: 4</v>
      </c>
    </row>
    <row r="7126">
      <c r="A7126" s="390" t="str">
        <f>IFERROR(__xludf.DUMMYFUNCTION("""COMPUTED_VALUE"""),"#SLAA - Segunda Licenciatura em Artes Visuais - Segunda Licenciatura em Artes Visuais - EDCARLOS BATISTA DOS SANTOS - Psicomotricidade e Ludopedagogia - Nota Máxima: 10")</f>
        <v>#SLAA - Segunda Licenciatura em Artes Visuais - Segunda Licenciatura em Artes Visuais - EDCARLOS BATISTA DOS SANTOS - Psicomotricidade e Ludopedagogia - Nota Máxima: 10</v>
      </c>
    </row>
    <row r="7127">
      <c r="A7127" s="390" t="str">
        <f>IFERROR(__xludf.DUMMYFUNCTION("""COMPUTED_VALUE"""),"#SLAA - Segunda Licenciatura em Artes Visuais - Segunda Licenciatura em Artes Visuais - EDCARLOS BATISTA DOS SANTOS - Tecnologia nas Artes Visuais - Nota Máxima: 10")</f>
        <v>#SLAA - Segunda Licenciatura em Artes Visuais - Segunda Licenciatura em Artes Visuais - EDCARLOS BATISTA DOS SANTOS - Tecnologia nas Artes Visuais - Nota Máxima: 10</v>
      </c>
    </row>
    <row r="7128">
      <c r="A7128" s="390" t="str">
        <f>IFERROR(__xludf.DUMMYFUNCTION("""COMPUTED_VALUE"""),"#SLAA - Segunda Licenciatura em Artes Visuais - Segunda Licenciatura em Artes Visuais - EDCARLOS BATISTA DOS SANTOS - Tecnologia nas Artes Visuais - Nota Máxima: 5")</f>
        <v>#SLAA - Segunda Licenciatura em Artes Visuais - Segunda Licenciatura em Artes Visuais - EDCARLOS BATISTA DOS SANTOS - Tecnologia nas Artes Visuais - Nota Máxima: 5</v>
      </c>
    </row>
    <row r="7129">
      <c r="A7129" s="390" t="str">
        <f>IFERROR(__xludf.DUMMYFUNCTION("""COMPUTED_VALUE"""),"#SLAA - Segunda Licenciatura em Artes Visuais - Segunda Licenciatura em Artes Visuais - Fabiane Bastos Freire - Arte Brasileira na Formação da Identidade Nacional - Nota Máxima: 9")</f>
        <v>#SLAA - Segunda Licenciatura em Artes Visuais - Segunda Licenciatura em Artes Visuais - Fabiane Bastos Freire - Arte Brasileira na Formação da Identidade Nacional - Nota Máxima: 9</v>
      </c>
    </row>
    <row r="7130">
      <c r="A7130" s="390" t="str">
        <f>IFERROR(__xludf.DUMMYFUNCTION("""COMPUTED_VALUE"""),"#SLAA - Segunda Licenciatura em Artes Visuais - Segunda Licenciatura em Artes Visuais - Fabiane Bastos Freire - Arte Conceitual, Instalações e Arte Urbana - Nota Máxima: 10")</f>
        <v>#SLAA - Segunda Licenciatura em Artes Visuais - Segunda Licenciatura em Artes Visuais - Fabiane Bastos Freire - Arte Conceitual, Instalações e Arte Urbana - Nota Máxima: 10</v>
      </c>
    </row>
    <row r="7131">
      <c r="A7131" s="390" t="str">
        <f>IFERROR(__xludf.DUMMYFUNCTION("""COMPUTED_VALUE"""),"#SLAA - Segunda Licenciatura em Artes Visuais - Segunda Licenciatura em Artes Visuais - Fabiane Bastos Freire - Arte Conceitual, Instalações e Arte Urbana - Nota Máxima: 10")</f>
        <v>#SLAA - Segunda Licenciatura em Artes Visuais - Segunda Licenciatura em Artes Visuais - Fabiane Bastos Freire - Arte Conceitual, Instalações e Arte Urbana - Nota Máxima: 10</v>
      </c>
    </row>
    <row r="7132">
      <c r="A7132" s="390" t="str">
        <f>IFERROR(__xludf.DUMMYFUNCTION("""COMPUTED_VALUE"""),"#SLAA - Segunda Licenciatura em Artes Visuais - Segunda Licenciatura em Artes Visuais - Fabiane Bastos Freire - Arte em Educação - Nota Máxima: 10")</f>
        <v>#SLAA - Segunda Licenciatura em Artes Visuais - Segunda Licenciatura em Artes Visuais - Fabiane Bastos Freire - Arte em Educação - Nota Máxima: 10</v>
      </c>
    </row>
    <row r="7133">
      <c r="A7133" s="390" t="str">
        <f>IFERROR(__xludf.DUMMYFUNCTION("""COMPUTED_VALUE"""),"#SLAA - Segunda Licenciatura em Artes Visuais - Segunda Licenciatura em Artes Visuais - Fabiane Bastos Freire - Desenho e Observação - Nota Máxima: 10")</f>
        <v>#SLAA - Segunda Licenciatura em Artes Visuais - Segunda Licenciatura em Artes Visuais - Fabiane Bastos Freire - Desenho e Observação - Nota Máxima: 10</v>
      </c>
    </row>
    <row r="7134">
      <c r="A7134" s="390" t="str">
        <f>IFERROR(__xludf.DUMMYFUNCTION("""COMPUTED_VALUE"""),"#SLAA - Segunda Licenciatura em Artes Visuais - Segunda Licenciatura em Artes Visuais - Fabiane Bastos Freire - Educação, História, Cultura e Práticas Indígenas/a - Nota Máxima: 7")</f>
        <v>#SLAA - Segunda Licenciatura em Artes Visuais - Segunda Licenciatura em Artes Visuais - Fabiane Bastos Freire - Educação, História, Cultura e Práticas Indígenas/a - Nota Máxima: 7</v>
      </c>
    </row>
    <row r="7135">
      <c r="A7135" s="390" t="str">
        <f>IFERROR(__xludf.DUMMYFUNCTION("""COMPUTED_VALUE"""),"#SLAA - Segunda Licenciatura em Artes Visuais - Segunda Licenciatura em Artes Visuais - Fabiane Bastos Freire - Expressão Gráfica - Nota Máxima: 10")</f>
        <v>#SLAA - Segunda Licenciatura em Artes Visuais - Segunda Licenciatura em Artes Visuais - Fabiane Bastos Freire - Expressão Gráfica - Nota Máxima: 10</v>
      </c>
    </row>
    <row r="7136">
      <c r="A7136" s="390" t="str">
        <f>IFERROR(__xludf.DUMMYFUNCTION("""COMPUTED_VALUE"""),"#SLAA - Segunda Licenciatura em Artes Visuais - Segunda Licenciatura em Artes Visuais - Fabiane Bastos Freire - Filosofia das Artes à Estética - Nota Máxima: 10")</f>
        <v>#SLAA - Segunda Licenciatura em Artes Visuais - Segunda Licenciatura em Artes Visuais - Fabiane Bastos Freire - Filosofia das Artes à Estética - Nota Máxima: 10</v>
      </c>
    </row>
    <row r="7137">
      <c r="A7137" s="390" t="str">
        <f>IFERROR(__xludf.DUMMYFUNCTION("""COMPUTED_VALUE"""),"#SLAA - Segunda Licenciatura em Artes Visuais - Segunda Licenciatura em Artes Visuais - Fabiane Bastos Freire - Filosofia das Artes à Estética - Nota Máxima: 8")</f>
        <v>#SLAA - Segunda Licenciatura em Artes Visuais - Segunda Licenciatura em Artes Visuais - Fabiane Bastos Freire - Filosofia das Artes à Estética - Nota Máxima: 8</v>
      </c>
    </row>
    <row r="7138">
      <c r="A7138" s="390" t="str">
        <f>IFERROR(__xludf.DUMMYFUNCTION("""COMPUTED_VALUE"""),"#SLAA - Segunda Licenciatura em Artes Visuais - Segunda Licenciatura em Artes Visuais - Fabiane Bastos Freire - Linguagem das Artes Plásticas - Nota Máxima: 10")</f>
        <v>#SLAA - Segunda Licenciatura em Artes Visuais - Segunda Licenciatura em Artes Visuais - Fabiane Bastos Freire - Linguagem das Artes Plásticas - Nota Máxima: 10</v>
      </c>
    </row>
    <row r="7139">
      <c r="A7139" s="390" t="str">
        <f>IFERROR(__xludf.DUMMYFUNCTION("""COMPUTED_VALUE"""),"#SLAA - Segunda Licenciatura em Artes Visuais - Segunda Licenciatura em Artes Visuais - Fabiane Bastos Freire - Linguagem das Artes Plásticas - Nota Máxima: 9")</f>
        <v>#SLAA - Segunda Licenciatura em Artes Visuais - Segunda Licenciatura em Artes Visuais - Fabiane Bastos Freire - Linguagem das Artes Plásticas - Nota Máxima: 9</v>
      </c>
    </row>
    <row r="7140">
      <c r="A7140" s="390" t="str">
        <f>IFERROR(__xludf.DUMMYFUNCTION("""COMPUTED_VALUE"""),"#SLAA - Segunda Licenciatura em Artes Visuais - Segunda Licenciatura em Artes Visuais - Fabiane Bastos Freire - Práticas Pedagógicas - 400 Horas - Nota Máxima: 10")</f>
        <v>#SLAA - Segunda Licenciatura em Artes Visuais - Segunda Licenciatura em Artes Visuais - Fabiane Bastos Freire - Práticas Pedagógicas - 400 Horas - Nota Máxima: 10</v>
      </c>
    </row>
    <row r="7141">
      <c r="A7141" s="390" t="str">
        <f>IFERROR(__xludf.DUMMYFUNCTION("""COMPUTED_VALUE"""),"#SLAA - Segunda Licenciatura em Artes Visuais - Segunda Licenciatura em Artes Visuais - Fabiane Bastos Freire - Práticas Pedagógicas - 400 Horas - Nota Máxima: 45784")</f>
        <v>#SLAA - Segunda Licenciatura em Artes Visuais - Segunda Licenciatura em Artes Visuais - Fabiane Bastos Freire - Práticas Pedagógicas - 400 Horas - Nota Máxima: 45784</v>
      </c>
    </row>
    <row r="7142">
      <c r="A7142" s="390" t="str">
        <f>IFERROR(__xludf.DUMMYFUNCTION("""COMPUTED_VALUE"""),"#SLAA - Segunda Licenciatura em Artes Visuais - Segunda Licenciatura em Artes Visuais - Fabiane Bastos Freire - Psicomotricidade e Ludopedagogia - Nota Máxima: 9")</f>
        <v>#SLAA - Segunda Licenciatura em Artes Visuais - Segunda Licenciatura em Artes Visuais - Fabiane Bastos Freire - Psicomotricidade e Ludopedagogia - Nota Máxima: 9</v>
      </c>
    </row>
    <row r="7143">
      <c r="A7143" s="390" t="str">
        <f>IFERROR(__xludf.DUMMYFUNCTION("""COMPUTED_VALUE"""),"#SLAA - Segunda Licenciatura em Artes Visuais - Segunda Licenciatura em Artes Visuais - Fabiane Bastos Freire - Tecnologia nas Artes Visuais - Nota Máxima: 10")</f>
        <v>#SLAA - Segunda Licenciatura em Artes Visuais - Segunda Licenciatura em Artes Visuais - Fabiane Bastos Freire - Tecnologia nas Artes Visuais - Nota Máxima: 10</v>
      </c>
    </row>
    <row r="7144">
      <c r="A7144" s="390" t="str">
        <f>IFERROR(__xludf.DUMMYFUNCTION("""COMPUTED_VALUE"""),"#SLAA - Segunda Licenciatura em Artes Visuais - Segunda Licenciatura em Artes Visuais - Fabiane Bastos Freire - Tecnologia nas Artes Visuais - Nota Máxima: 10")</f>
        <v>#SLAA - Segunda Licenciatura em Artes Visuais - Segunda Licenciatura em Artes Visuais - Fabiane Bastos Freire - Tecnologia nas Artes Visuais - Nota Máxima: 10</v>
      </c>
    </row>
    <row r="7145">
      <c r="A7145" s="390" t="str">
        <f>IFERROR(__xludf.DUMMYFUNCTION("""COMPUTED_VALUE"""),"#SLAA - Segunda Licenciatura em Artes Visuais - Segunda Licenciatura em Artes Visuais - Carla de Cássia Vieira Socca - Práticas Pedagógicas - 400 Horas - Nota Máxima: 10")</f>
        <v>#SLAA - Segunda Licenciatura em Artes Visuais - Segunda Licenciatura em Artes Visuais - Carla de Cássia Vieira Socca - Práticas Pedagógicas - 400 Horas - Nota Máxima: 10</v>
      </c>
    </row>
    <row r="7146">
      <c r="A7146" s="390" t="str">
        <f>IFERROR(__xludf.DUMMYFUNCTION("""COMPUTED_VALUE"""),"#SLAA - Segunda Licenciatura em Artes Visuais - #SLUA- Segunda Licenciatura em Artes Visuais - Elizabete Gaspar de Oliveira - Educação e Novas Tecnologias – 100H - Nota Máxima: 9")</f>
        <v>#SLAA - Segunda Licenciatura em Artes Visuais - #SLUA- Segunda Licenciatura em Artes Visuais - Elizabete Gaspar de Oliveira - Educação e Novas Tecnologias – 100H - Nota Máxima: 9</v>
      </c>
    </row>
    <row r="7147">
      <c r="A7147" s="390" t="str">
        <f>IFERROR(__xludf.DUMMYFUNCTION("""COMPUTED_VALUE"""),"#SLAA - Segunda Licenciatura em Artes Visuais - #SLUA- Segunda Licenciatura em Artes Visuais - Elizabete Gaspar de Oliveira - História da Arte Brasileira - Nota Máxima: 10")</f>
        <v>#SLAA - Segunda Licenciatura em Artes Visuais - #SLUA- Segunda Licenciatura em Artes Visuais - Elizabete Gaspar de Oliveira - História da Arte Brasileira - Nota Máxima: 10</v>
      </c>
    </row>
    <row r="7148">
      <c r="A7148" s="390" t="str">
        <f>IFERROR(__xludf.DUMMYFUNCTION("""COMPUTED_VALUE"""),"#SLAA - Segunda Licenciatura em Artes Visuais - #SLUA- Segunda Licenciatura em Artes Visuais - Elizabete Gaspar de Oliveira - História da Arte Contemporânea - Nota Máxima: 9")</f>
        <v>#SLAA - Segunda Licenciatura em Artes Visuais - #SLUA- Segunda Licenciatura em Artes Visuais - Elizabete Gaspar de Oliveira - História da Arte Contemporânea - Nota Máxima: 9</v>
      </c>
    </row>
    <row r="7149">
      <c r="A7149" s="390" t="str">
        <f>IFERROR(__xludf.DUMMYFUNCTION("""COMPUTED_VALUE"""),"#SLAA - Segunda Licenciatura em Artes Visuais - #SLUA- Segunda Licenciatura em Artes Visuais - Elizabete Gaspar de Oliveira - História da Arte Moderna - Nota Máxima: 10")</f>
        <v>#SLAA - Segunda Licenciatura em Artes Visuais - #SLUA- Segunda Licenciatura em Artes Visuais - Elizabete Gaspar de Oliveira - História da Arte Moderna - Nota Máxima: 10</v>
      </c>
    </row>
    <row r="7150">
      <c r="A7150" s="390" t="str">
        <f>IFERROR(__xludf.DUMMYFUNCTION("""COMPUTED_VALUE"""),"#SLAA - Segunda Licenciatura em Artes Visuais - #SLUA- Segunda Licenciatura em Artes Visuais - Elizabete Gaspar de Oliveira - Língua Brasileira de Sinais – Libras – 100H - Nota Máxima: 8")</f>
        <v>#SLAA - Segunda Licenciatura em Artes Visuais - #SLUA- Segunda Licenciatura em Artes Visuais - Elizabete Gaspar de Oliveira - Língua Brasileira de Sinais – Libras – 100H - Nota Máxima: 8</v>
      </c>
    </row>
    <row r="7151">
      <c r="A7151" s="390" t="str">
        <f>IFERROR(__xludf.DUMMYFUNCTION("""COMPUTED_VALUE"""),"Pós-Graduação em Arteterapia - Pós-Graduação em Arteterapia - Fabricio Da Silva Miccichelli - Arteterapia - Nota Máxima: 10")</f>
        <v>Pós-Graduação em Arteterapia - Pós-Graduação em Arteterapia - Fabricio Da Silva Miccichelli - Arteterapia - Nota Máxima: 10</v>
      </c>
    </row>
    <row r="7152">
      <c r="A7152" s="390" t="str">
        <f>IFERROR(__xludf.DUMMYFUNCTION("""COMPUTED_VALUE"""),"Pós-Graduação em Arteterapia - Pós-Graduação em Arteterapia - Fabricio Da Silva Miccichelli - Deficiência Auditiva e Libras/a - Nota Máxima: 10")</f>
        <v>Pós-Graduação em Arteterapia - Pós-Graduação em Arteterapia - Fabricio Da Silva Miccichelli - Deficiência Auditiva e Libras/a - Nota Máxima: 10</v>
      </c>
    </row>
    <row r="7153">
      <c r="A7153" s="390" t="str">
        <f>IFERROR(__xludf.DUMMYFUNCTION("""COMPUTED_VALUE"""),"Pós-Graduação em Arteterapia - Pós-Graduação em Arteterapia - Fabricio Da Silva Miccichelli - Didática e Metodologia do Ensino Superior - Nota Máxima: 9")</f>
        <v>Pós-Graduação em Arteterapia - Pós-Graduação em Arteterapia - Fabricio Da Silva Miccichelli - Didática e Metodologia do Ensino Superior - Nota Máxima: 9</v>
      </c>
    </row>
    <row r="7154">
      <c r="A7154" s="390" t="str">
        <f>IFERROR(__xludf.DUMMYFUNCTION("""COMPUTED_VALUE"""),"Pós-Graduação em Arteterapia - Pós-Graduação em Arteterapia - Fabricio Da Silva Miccichelli - Ética Profissional - Nota Máxima: 10")</f>
        <v>Pós-Graduação em Arteterapia - Pós-Graduação em Arteterapia - Fabricio Da Silva Miccichelli - Ética Profissional - Nota Máxima: 10</v>
      </c>
    </row>
    <row r="7155">
      <c r="A7155" s="390" t="str">
        <f>IFERROR(__xludf.DUMMYFUNCTION("""COMPUTED_VALUE"""),"Pós-Graduação em Arteterapia - Pós-Graduação em Arteterapia - Fabricio Da Silva Miccichelli - Linguagens em Arteterapia - Nota Máxima: 10")</f>
        <v>Pós-Graduação em Arteterapia - Pós-Graduação em Arteterapia - Fabricio Da Silva Miccichelli - Linguagens em Arteterapia - Nota Máxima: 10</v>
      </c>
    </row>
    <row r="7156">
      <c r="A7156" s="390" t="str">
        <f>IFERROR(__xludf.DUMMYFUNCTION("""COMPUTED_VALUE"""),"Pós-Graduação em Arteterapia - Pós-Graduação em Arteterapia - Fabricio Da Silva Miccichelli - Psicologia do Desenvolvimento: Aprendizagem Infantil - Nota Máxima: 8")</f>
        <v>Pós-Graduação em Arteterapia - Pós-Graduação em Arteterapia - Fabricio Da Silva Miccichelli - Psicologia do Desenvolvimento: Aprendizagem Infantil - Nota Máxima: 8</v>
      </c>
    </row>
    <row r="7157">
      <c r="A7157" s="390" t="str">
        <f>IFERROR(__xludf.DUMMYFUNCTION("""COMPUTED_VALUE"""),"Pós-Graduação em Arteterapia - Pós-Graduação em Arteterapia - Fabricio Da Silva Miccichelli - Psicopatologias em Arteterapia - Nota Máxima: 10")</f>
        <v>Pós-Graduação em Arteterapia - Pós-Graduação em Arteterapia - Fabricio Da Silva Miccichelli - Psicopatologias em Arteterapia - Nota Máxima: 10</v>
      </c>
    </row>
    <row r="7158">
      <c r="A7158" s="390" t="str">
        <f>IFERROR(__xludf.DUMMYFUNCTION("""COMPUTED_VALUE"""),"Pós-Graduação em Arteterapia - Pós-Graduação em Arteterapia - Fabricio Da Silva Miccichelli - Relacionamento Interpessoal - Nota Máxima: 10")</f>
        <v>Pós-Graduação em Arteterapia - Pós-Graduação em Arteterapia - Fabricio Da Silva Miccichelli - Relacionamento Interpessoal - Nota Máxima: 10</v>
      </c>
    </row>
    <row r="7159">
      <c r="A7159" s="390" t="str">
        <f>IFERROR(__xludf.DUMMYFUNCTION("""COMPUTED_VALUE"""),"Pós-Graduação em Arteterapia - Pós-Graduação em Arteterapia - Keli Paim Correa - Arteterapia - Nota Máxima: 10")</f>
        <v>Pós-Graduação em Arteterapia - Pós-Graduação em Arteterapia - Keli Paim Correa - Arteterapia - Nota Máxima: 10</v>
      </c>
    </row>
    <row r="7160">
      <c r="A7160" s="390" t="str">
        <f>IFERROR(__xludf.DUMMYFUNCTION("""COMPUTED_VALUE"""),"Pós-Graduação em Arteterapia - Pós-Graduação em Arteterapia - Keli Paim Correa - Deficiência Auditiva e Libras/a - Nota Máxima: 10")</f>
        <v>Pós-Graduação em Arteterapia - Pós-Graduação em Arteterapia - Keli Paim Correa - Deficiência Auditiva e Libras/a - Nota Máxima: 10</v>
      </c>
    </row>
    <row r="7161">
      <c r="A7161" s="390" t="str">
        <f>IFERROR(__xludf.DUMMYFUNCTION("""COMPUTED_VALUE"""),"Pós-Graduação em Arteterapia - Pós-Graduação em Arteterapia - Keli Paim Correa - Didática e Metodologia do Ensino Superior - Nota Máxima: 10")</f>
        <v>Pós-Graduação em Arteterapia - Pós-Graduação em Arteterapia - Keli Paim Correa - Didática e Metodologia do Ensino Superior - Nota Máxima: 10</v>
      </c>
    </row>
    <row r="7162">
      <c r="A7162" s="390" t="str">
        <f>IFERROR(__xludf.DUMMYFUNCTION("""COMPUTED_VALUE"""),"Pós-Graduação em Arteterapia - Pós-Graduação em Arteterapia - Keli Paim Correa - Ética Profissional - Nota Máxima: 10")</f>
        <v>Pós-Graduação em Arteterapia - Pós-Graduação em Arteterapia - Keli Paim Correa - Ética Profissional - Nota Máxima: 10</v>
      </c>
    </row>
    <row r="7163">
      <c r="A7163" s="390" t="str">
        <f>IFERROR(__xludf.DUMMYFUNCTION("""COMPUTED_VALUE"""),"Pós-Graduação em Arteterapia - Pós-Graduação em Arteterapia - Keli Paim Correa - Linguagens em Arteterapia - Nota Máxima: 10")</f>
        <v>Pós-Graduação em Arteterapia - Pós-Graduação em Arteterapia - Keli Paim Correa - Linguagens em Arteterapia - Nota Máxima: 10</v>
      </c>
    </row>
    <row r="7164">
      <c r="A7164" s="390" t="str">
        <f>IFERROR(__xludf.DUMMYFUNCTION("""COMPUTED_VALUE"""),"Pós-Graduação em Arteterapia - Pós-Graduação em Arteterapia - Keli Paim Correa - Psicologia do Desenvolvimento: Aprendizagem Infantil - Nota Máxima: 9")</f>
        <v>Pós-Graduação em Arteterapia - Pós-Graduação em Arteterapia - Keli Paim Correa - Psicologia do Desenvolvimento: Aprendizagem Infantil - Nota Máxima: 9</v>
      </c>
    </row>
    <row r="7165">
      <c r="A7165" s="390" t="str">
        <f>IFERROR(__xludf.DUMMYFUNCTION("""COMPUTED_VALUE"""),"Pós-Graduação em Arteterapia - Pós-Graduação em Arteterapia - Keli Paim Correa - Psicopatologias em Arteterapia - Nota Máxima: 10")</f>
        <v>Pós-Graduação em Arteterapia - Pós-Graduação em Arteterapia - Keli Paim Correa - Psicopatologias em Arteterapia - Nota Máxima: 10</v>
      </c>
    </row>
    <row r="7166">
      <c r="A7166" s="390" t="str">
        <f>IFERROR(__xludf.DUMMYFUNCTION("""COMPUTED_VALUE"""),"Pós-Graduação em Arteterapia - Pós-Graduação em Arteterapia - Keli Paim Correa - Relacionamento Interpessoal - Nota Máxima: 10")</f>
        <v>Pós-Graduação em Arteterapia - Pós-Graduação em Arteterapia - Keli Paim Correa - Relacionamento Interpessoal - Nota Máxima: 10</v>
      </c>
    </row>
    <row r="7167">
      <c r="A7167" s="390" t="str">
        <f>IFERROR(__xludf.DUMMYFUNCTION("""COMPUTED_VALUE"""),"Pós-Graduação em Arteterapia - Pós-Graduação em Arteterapia - Rosimeire Aparecida Martin Rosa - Arteterapia - Nota Máxima: 10")</f>
        <v>Pós-Graduação em Arteterapia - Pós-Graduação em Arteterapia - Rosimeire Aparecida Martin Rosa - Arteterapia - Nota Máxima: 10</v>
      </c>
    </row>
    <row r="7168">
      <c r="A7168" s="390" t="str">
        <f>IFERROR(__xludf.DUMMYFUNCTION("""COMPUTED_VALUE"""),"Pós-Graduação em Arteterapia - Pós-Graduação em Arteterapia - Rosimeire Aparecida Martin Rosa - Arteterapia - Nota Máxima: 10")</f>
        <v>Pós-Graduação em Arteterapia - Pós-Graduação em Arteterapia - Rosimeire Aparecida Martin Rosa - Arteterapia - Nota Máxima: 10</v>
      </c>
    </row>
    <row r="7169">
      <c r="A7169" s="390" t="str">
        <f>IFERROR(__xludf.DUMMYFUNCTION("""COMPUTED_VALUE"""),"Pós-Graduação em Arteterapia - Pós-Graduação em Arteterapia - Rosimeire Aparecida Martin Rosa - Deficiência Auditiva e Libras/a - Nota Máxima: 10")</f>
        <v>Pós-Graduação em Arteterapia - Pós-Graduação em Arteterapia - Rosimeire Aparecida Martin Rosa - Deficiência Auditiva e Libras/a - Nota Máxima: 10</v>
      </c>
    </row>
    <row r="7170">
      <c r="A7170" s="390" t="str">
        <f>IFERROR(__xludf.DUMMYFUNCTION("""COMPUTED_VALUE"""),"Pós-Graduação em Arteterapia - Pós-Graduação em Arteterapia - Rosimeire Aparecida Martin Rosa - Deficiência Auditiva e Libras/a - Nota Máxima: 10")</f>
        <v>Pós-Graduação em Arteterapia - Pós-Graduação em Arteterapia - Rosimeire Aparecida Martin Rosa - Deficiência Auditiva e Libras/a - Nota Máxima: 10</v>
      </c>
    </row>
    <row r="7171">
      <c r="A7171" s="390" t="str">
        <f>IFERROR(__xludf.DUMMYFUNCTION("""COMPUTED_VALUE"""),"Pós-Graduação em Arteterapia - Pós-Graduação em Arteterapia - Rosimeire Aparecida Martin Rosa - Didática e Metodologia do Ensino Superior - Nota Máxima: 10")</f>
        <v>Pós-Graduação em Arteterapia - Pós-Graduação em Arteterapia - Rosimeire Aparecida Martin Rosa - Didática e Metodologia do Ensino Superior - Nota Máxima: 10</v>
      </c>
    </row>
    <row r="7172">
      <c r="A7172" s="390" t="str">
        <f>IFERROR(__xludf.DUMMYFUNCTION("""COMPUTED_VALUE"""),"Pós-Graduação em Arteterapia - Pós-Graduação em Arteterapia - Rosimeire Aparecida Martin Rosa - Didática e Metodologia do Ensino Superior - Nota Máxima: 8")</f>
        <v>Pós-Graduação em Arteterapia - Pós-Graduação em Arteterapia - Rosimeire Aparecida Martin Rosa - Didática e Metodologia do Ensino Superior - Nota Máxima: 8</v>
      </c>
    </row>
    <row r="7173">
      <c r="A7173" s="390" t="str">
        <f>IFERROR(__xludf.DUMMYFUNCTION("""COMPUTED_VALUE"""),"Pós-Graduação em Arteterapia - Pós-Graduação em Arteterapia - Rosimeire Aparecida Martin Rosa - Ética Profissional - Nota Máxima: 10")</f>
        <v>Pós-Graduação em Arteterapia - Pós-Graduação em Arteterapia - Rosimeire Aparecida Martin Rosa - Ética Profissional - Nota Máxima: 10</v>
      </c>
    </row>
    <row r="7174">
      <c r="A7174" s="390" t="str">
        <f>IFERROR(__xludf.DUMMYFUNCTION("""COMPUTED_VALUE"""),"Pós-Graduação em Arteterapia - Pós-Graduação em Arteterapia - Rosimeire Aparecida Martin Rosa - Ética Profissional - Nota Máxima: 8")</f>
        <v>Pós-Graduação em Arteterapia - Pós-Graduação em Arteterapia - Rosimeire Aparecida Martin Rosa - Ética Profissional - Nota Máxima: 8</v>
      </c>
    </row>
    <row r="7175">
      <c r="A7175" s="390" t="str">
        <f>IFERROR(__xludf.DUMMYFUNCTION("""COMPUTED_VALUE"""),"Pós-Graduação em Arteterapia - Pós-Graduação em Arteterapia - Rosimeire Aparecida Martin Rosa - Linguagens em Arteterapia - Nota Máxima: 10")</f>
        <v>Pós-Graduação em Arteterapia - Pós-Graduação em Arteterapia - Rosimeire Aparecida Martin Rosa - Linguagens em Arteterapia - Nota Máxima: 10</v>
      </c>
    </row>
    <row r="7176">
      <c r="A7176" s="390" t="str">
        <f>IFERROR(__xludf.DUMMYFUNCTION("""COMPUTED_VALUE"""),"Pós-Graduação em Arteterapia - Pós-Graduação em Arteterapia - Rosimeire Aparecida Martin Rosa - Linguagens em Arteterapia - Nota Máxima: 10")</f>
        <v>Pós-Graduação em Arteterapia - Pós-Graduação em Arteterapia - Rosimeire Aparecida Martin Rosa - Linguagens em Arteterapia - Nota Máxima: 10</v>
      </c>
    </row>
    <row r="7177">
      <c r="A7177" s="390" t="str">
        <f>IFERROR(__xludf.DUMMYFUNCTION("""COMPUTED_VALUE"""),"Pós-Graduação em Arteterapia - Pós-Graduação em Arteterapia - Rosimeire Aparecida Martin Rosa - Psicologia do Desenvolvimento: Aprendizagem Infantil - Nota Máxima: 10")</f>
        <v>Pós-Graduação em Arteterapia - Pós-Graduação em Arteterapia - Rosimeire Aparecida Martin Rosa - Psicologia do Desenvolvimento: Aprendizagem Infantil - Nota Máxima: 10</v>
      </c>
    </row>
    <row r="7178">
      <c r="A7178" s="390" t="str">
        <f>IFERROR(__xludf.DUMMYFUNCTION("""COMPUTED_VALUE"""),"Pós-Graduação em Arteterapia - Pós-Graduação em Arteterapia - Rosimeire Aparecida Martin Rosa - Psicologia do Desenvolvimento: Aprendizagem Infantil - Nota Máxima: 10")</f>
        <v>Pós-Graduação em Arteterapia - Pós-Graduação em Arteterapia - Rosimeire Aparecida Martin Rosa - Psicologia do Desenvolvimento: Aprendizagem Infantil - Nota Máxima: 10</v>
      </c>
    </row>
    <row r="7179">
      <c r="A7179" s="390" t="str">
        <f>IFERROR(__xludf.DUMMYFUNCTION("""COMPUTED_VALUE"""),"Pós-Graduação em Arteterapia - Pós-Graduação em Arteterapia - Rosimeire Aparecida Martin Rosa - Psicopatologias em Arteterapia - Nota Máxima: 10")</f>
        <v>Pós-Graduação em Arteterapia - Pós-Graduação em Arteterapia - Rosimeire Aparecida Martin Rosa - Psicopatologias em Arteterapia - Nota Máxima: 10</v>
      </c>
    </row>
    <row r="7180">
      <c r="A7180" s="390" t="str">
        <f>IFERROR(__xludf.DUMMYFUNCTION("""COMPUTED_VALUE"""),"Pós-Graduação em Arteterapia - Pós-Graduação em Arteterapia - Rosimeire Aparecida Martin Rosa - Psicopatologias em Arteterapia - Nota Máxima: 10")</f>
        <v>Pós-Graduação em Arteterapia - Pós-Graduação em Arteterapia - Rosimeire Aparecida Martin Rosa - Psicopatologias em Arteterapia - Nota Máxima: 10</v>
      </c>
    </row>
    <row r="7181">
      <c r="A7181" s="390" t="str">
        <f>IFERROR(__xludf.DUMMYFUNCTION("""COMPUTED_VALUE"""),"Pós-Graduação em Arteterapia - Pós-Graduação em Arteterapia - Rosimeire Aparecida Martin Rosa - Relacionamento Interpessoal - Nota Máxima: 10")</f>
        <v>Pós-Graduação em Arteterapia - Pós-Graduação em Arteterapia - Rosimeire Aparecida Martin Rosa - Relacionamento Interpessoal - Nota Máxima: 10</v>
      </c>
    </row>
    <row r="7182">
      <c r="A7182" s="390" t="str">
        <f>IFERROR(__xludf.DUMMYFUNCTION("""COMPUTED_VALUE"""),"Pós-Graduação em Arteterapia - Pós-Graduação em Arteterapia - Rosimeire Aparecida Martin Rosa - Relacionamento Interpessoal - Nota Máxima: 10")</f>
        <v>Pós-Graduação em Arteterapia - Pós-Graduação em Arteterapia - Rosimeire Aparecida Martin Rosa - Relacionamento Interpessoal - Nota Máxima: 10</v>
      </c>
    </row>
    <row r="7183">
      <c r="A7183" s="390" t="str">
        <f>IFERROR(__xludf.DUMMYFUNCTION("""COMPUTED_VALUE"""),"Pós-Graduação em Arteterapia - Pós-Graduação em Arteterapia - Gisele Almeida da Luz - Arteterapia - Nota Máxima: 9")</f>
        <v>Pós-Graduação em Arteterapia - Pós-Graduação em Arteterapia - Gisele Almeida da Luz - Arteterapia - Nota Máxima: 9</v>
      </c>
    </row>
    <row r="7184">
      <c r="A7184" s="390" t="str">
        <f>IFERROR(__xludf.DUMMYFUNCTION("""COMPUTED_VALUE"""),"Pós-Graduação em Arteterapia - Pós-Graduação em Arteterapia - Gisele Almeida da Luz - Deficiência Auditiva e Libras/a - Nota Máxima: 8")</f>
        <v>Pós-Graduação em Arteterapia - Pós-Graduação em Arteterapia - Gisele Almeida da Luz - Deficiência Auditiva e Libras/a - Nota Máxima: 8</v>
      </c>
    </row>
    <row r="7185">
      <c r="A7185" s="390" t="str">
        <f>IFERROR(__xludf.DUMMYFUNCTION("""COMPUTED_VALUE"""),"Pós-Graduação em Arteterapia - Pós-Graduação em Arteterapia - Gisele Almeida da Luz - Didática e Metodologia do Ensino Superior - Nota Máxima: 9")</f>
        <v>Pós-Graduação em Arteterapia - Pós-Graduação em Arteterapia - Gisele Almeida da Luz - Didática e Metodologia do Ensino Superior - Nota Máxima: 9</v>
      </c>
    </row>
    <row r="7186">
      <c r="A7186" s="390" t="str">
        <f>IFERROR(__xludf.DUMMYFUNCTION("""COMPUTED_VALUE"""),"Pós-Graduação em Arteterapia - Pós-Graduação em Arteterapia - Gisele Almeida da Luz - Ética Profissional - Nota Máxima: 10")</f>
        <v>Pós-Graduação em Arteterapia - Pós-Graduação em Arteterapia - Gisele Almeida da Luz - Ética Profissional - Nota Máxima: 10</v>
      </c>
    </row>
    <row r="7187">
      <c r="A7187" s="390" t="str">
        <f>IFERROR(__xludf.DUMMYFUNCTION("""COMPUTED_VALUE"""),"Pós-Graduação em Arteterapia - Pós-Graduação em Arteterapia - Gisele Almeida da Luz - Linguagens em Arteterapia - Nota Máxima: 8")</f>
        <v>Pós-Graduação em Arteterapia - Pós-Graduação em Arteterapia - Gisele Almeida da Luz - Linguagens em Arteterapia - Nota Máxima: 8</v>
      </c>
    </row>
    <row r="7188">
      <c r="A7188" s="390" t="str">
        <f>IFERROR(__xludf.DUMMYFUNCTION("""COMPUTED_VALUE"""),"Pós-Graduação em Arteterapia - Pós-Graduação em Arteterapia - Gisele Almeida da Luz - Psicologia do Desenvolvimento: Aprendizagem Infantil - Nota Máxima: 10")</f>
        <v>Pós-Graduação em Arteterapia - Pós-Graduação em Arteterapia - Gisele Almeida da Luz - Psicologia do Desenvolvimento: Aprendizagem Infantil - Nota Máxima: 10</v>
      </c>
    </row>
    <row r="7189">
      <c r="A7189" s="390" t="str">
        <f>IFERROR(__xludf.DUMMYFUNCTION("""COMPUTED_VALUE"""),"Pós-Graduação em Arteterapia - Pós-Graduação em Arteterapia - Gisele Almeida da Luz - Psicopatologias em Arteterapia - Nota Máxima: 8")</f>
        <v>Pós-Graduação em Arteterapia - Pós-Graduação em Arteterapia - Gisele Almeida da Luz - Psicopatologias em Arteterapia - Nota Máxima: 8</v>
      </c>
    </row>
    <row r="7190">
      <c r="A7190" s="390" t="str">
        <f>IFERROR(__xludf.DUMMYFUNCTION("""COMPUTED_VALUE"""),"Pós-Graduação em Arteterapia - Pós-Graduação em Arteterapia - Gisele Almeida da Luz - Relacionamento Interpessoal - Nota Máxima: 10")</f>
        <v>Pós-Graduação em Arteterapia - Pós-Graduação em Arteterapia - Gisele Almeida da Luz - Relacionamento Interpessoal - Nota Máxima: 10</v>
      </c>
    </row>
    <row r="7191">
      <c r="A7191" s="390" t="str">
        <f>IFERROR(__xludf.DUMMYFUNCTION("""COMPUTED_VALUE"""),"Pós-Graduação em Arteterapia - Pós-Graduação em Arteterapia - Lucimara Salles - Relacionamento Interpessoal - Nota Máxima: 10")</f>
        <v>Pós-Graduação em Arteterapia - Pós-Graduação em Arteterapia - Lucimara Salles - Relacionamento Interpessoal - Nota Máxima: 10</v>
      </c>
    </row>
    <row r="7192">
      <c r="A7192" s="390" t="str">
        <f>IFERROR(__xludf.DUMMYFUNCTION("""COMPUTED_VALUE"""),"Pós-Graduação em Arteterapia - Pós-Graduação em Arteterapia - Lucimara Salles - Relacionamento Interpessoal - Nota Máxima: 10")</f>
        <v>Pós-Graduação em Arteterapia - Pós-Graduação em Arteterapia - Lucimara Salles - Relacionamento Interpessoal - Nota Máxima: 10</v>
      </c>
    </row>
    <row r="7193">
      <c r="A7193" s="390" t="str">
        <f>IFERROR(__xludf.DUMMYFUNCTION("""COMPUTED_VALUE"""),"Pós-Graduação em Arteterapia - Pós-Graduação em Arteterapia - Giovana Romio - Arteterapia - Nota Máxima: 9")</f>
        <v>Pós-Graduação em Arteterapia - Pós-Graduação em Arteterapia - Giovana Romio - Arteterapia - Nota Máxima: 9</v>
      </c>
    </row>
    <row r="7194">
      <c r="A7194" s="390" t="str">
        <f>IFERROR(__xludf.DUMMYFUNCTION("""COMPUTED_VALUE"""),"Pós-Graduação em Arteterapia - Pós-Graduação em Arteterapia - Giovana Romio - Deficiência Auditiva e Libras/a - Nota Máxima: 8")</f>
        <v>Pós-Graduação em Arteterapia - Pós-Graduação em Arteterapia - Giovana Romio - Deficiência Auditiva e Libras/a - Nota Máxima: 8</v>
      </c>
    </row>
    <row r="7195">
      <c r="A7195" s="390" t="str">
        <f>IFERROR(__xludf.DUMMYFUNCTION("""COMPUTED_VALUE"""),"Pós-Graduação em Arteterapia - Pós-Graduação em Arteterapia - Giovana Romio - Didática e Metodologia do Ensino Superior - Nota Máxima: 9")</f>
        <v>Pós-Graduação em Arteterapia - Pós-Graduação em Arteterapia - Giovana Romio - Didática e Metodologia do Ensino Superior - Nota Máxima: 9</v>
      </c>
    </row>
    <row r="7196">
      <c r="A7196" s="390" t="str">
        <f>IFERROR(__xludf.DUMMYFUNCTION("""COMPUTED_VALUE"""),"Pós-Graduação em Arteterapia - Pós-Graduação em Arteterapia - Giovana Romio - Ética Profissional - Nota Máxima: 10")</f>
        <v>Pós-Graduação em Arteterapia - Pós-Graduação em Arteterapia - Giovana Romio - Ética Profissional - Nota Máxima: 10</v>
      </c>
    </row>
    <row r="7197">
      <c r="A7197" s="390" t="str">
        <f>IFERROR(__xludf.DUMMYFUNCTION("""COMPUTED_VALUE"""),"Pós-Graduação em Arteterapia - Pós-Graduação em Arteterapia - Giovana Romio - Linguagens em Arteterapia - Nota Máxima: 9")</f>
        <v>Pós-Graduação em Arteterapia - Pós-Graduação em Arteterapia - Giovana Romio - Linguagens em Arteterapia - Nota Máxima: 9</v>
      </c>
    </row>
    <row r="7198">
      <c r="A7198" s="390" t="str">
        <f>IFERROR(__xludf.DUMMYFUNCTION("""COMPUTED_VALUE"""),"Pós-Graduação em Arteterapia - Pós-Graduação em Arteterapia - Giovana Romio - Psicologia do Desenvolvimento: Aprendizagem Infantil - Nota Máxima: 9")</f>
        <v>Pós-Graduação em Arteterapia - Pós-Graduação em Arteterapia - Giovana Romio - Psicologia do Desenvolvimento: Aprendizagem Infantil - Nota Máxima: 9</v>
      </c>
    </row>
    <row r="7199">
      <c r="A7199" s="390" t="str">
        <f>IFERROR(__xludf.DUMMYFUNCTION("""COMPUTED_VALUE"""),"Pós-Graduação em Arteterapia - Pós-Graduação em Arteterapia - Giovana Romio - Psicopatologias em Arteterapia - Nota Máxima: 8")</f>
        <v>Pós-Graduação em Arteterapia - Pós-Graduação em Arteterapia - Giovana Romio - Psicopatologias em Arteterapia - Nota Máxima: 8</v>
      </c>
    </row>
    <row r="7200">
      <c r="A7200" s="390" t="str">
        <f>IFERROR(__xludf.DUMMYFUNCTION("""COMPUTED_VALUE"""),"Pós-Graduação em Arteterapia - Pós-Graduação em Arteterapia - Giovana Romio - Relacionamento Interpessoal - Nota Máxima: 10")</f>
        <v>Pós-Graduação em Arteterapia - Pós-Graduação em Arteterapia - Giovana Romio - Relacionamento Interpessoal - Nota Máxima: 10</v>
      </c>
    </row>
    <row r="7201">
      <c r="A7201" s="390" t="str">
        <f>IFERROR(__xludf.DUMMYFUNCTION("""COMPUTED_VALUE"""),"Pós-Graduação em Musicoterapia - Pós-Graduação em Musicotereapia - Naor Alves Esteves - Aplicações Musicoterapeuticas - Nota Máxima: 10")</f>
        <v>Pós-Graduação em Musicoterapia - Pós-Graduação em Musicotereapia - Naor Alves Esteves - Aplicações Musicoterapeuticas - Nota Máxima: 10</v>
      </c>
    </row>
    <row r="7202">
      <c r="A7202" s="390" t="str">
        <f>IFERROR(__xludf.DUMMYFUNCTION("""COMPUTED_VALUE"""),"Pós-Graduação em Musicoterapia - Pós-Graduação em Musicotereapia - Naor Alves Esteves - Aplicações Musicoterapeuticas - Nota Máxima: 10")</f>
        <v>Pós-Graduação em Musicoterapia - Pós-Graduação em Musicotereapia - Naor Alves Esteves - Aplicações Musicoterapeuticas - Nota Máxima: 10</v>
      </c>
    </row>
    <row r="7203">
      <c r="A7203" s="390" t="str">
        <f>IFERROR(__xludf.DUMMYFUNCTION("""COMPUTED_VALUE"""),"Pós-Graduação em Musicoterapia - Pós-Graduação em Musicotereapia - Naor Alves Esteves - Deficiência Auditiva e Libras/a - Nota Máxima: 10")</f>
        <v>Pós-Graduação em Musicoterapia - Pós-Graduação em Musicotereapia - Naor Alves Esteves - Deficiência Auditiva e Libras/a - Nota Máxima: 10</v>
      </c>
    </row>
    <row r="7204">
      <c r="A7204" s="390" t="str">
        <f>IFERROR(__xludf.DUMMYFUNCTION("""COMPUTED_VALUE"""),"Pós-Graduação em Musicoterapia - Pós-Graduação em Musicotereapia - Naor Alves Esteves - Deficiência Auditiva e Libras/a - Nota Máxima: 10")</f>
        <v>Pós-Graduação em Musicoterapia - Pós-Graduação em Musicotereapia - Naor Alves Esteves - Deficiência Auditiva e Libras/a - Nota Máxima: 10</v>
      </c>
    </row>
    <row r="7205">
      <c r="A7205" s="390" t="str">
        <f>IFERROR(__xludf.DUMMYFUNCTION("""COMPUTED_VALUE"""),"Pós-Graduação em Musicoterapia - Pós-Graduação em Musicotereapia - Naor Alves Esteves - Didática e Metodologia do Ensino Superior - Nota Máxima: 9")</f>
        <v>Pós-Graduação em Musicoterapia - Pós-Graduação em Musicotereapia - Naor Alves Esteves - Didática e Metodologia do Ensino Superior - Nota Máxima: 9</v>
      </c>
    </row>
    <row r="7206">
      <c r="A7206" s="390" t="str">
        <f>IFERROR(__xludf.DUMMYFUNCTION("""COMPUTED_VALUE"""),"Pós-Graduação em Musicoterapia - Pós-Graduação em Musicotereapia - Naor Alves Esteves - Didática e Metodologia do Ensino Superior - Nota Máxima: 10")</f>
        <v>Pós-Graduação em Musicoterapia - Pós-Graduação em Musicotereapia - Naor Alves Esteves - Didática e Metodologia do Ensino Superior - Nota Máxima: 10</v>
      </c>
    </row>
    <row r="7207">
      <c r="A7207" s="390" t="str">
        <f>IFERROR(__xludf.DUMMYFUNCTION("""COMPUTED_VALUE"""),"Pós-Graduação em Musicoterapia - Pós-Graduação em Musicotereapia - Naor Alves Esteves - Ética Profissional - Nota Máxima: 10")</f>
        <v>Pós-Graduação em Musicoterapia - Pós-Graduação em Musicotereapia - Naor Alves Esteves - Ética Profissional - Nota Máxima: 10</v>
      </c>
    </row>
    <row r="7208">
      <c r="A7208" s="390" t="str">
        <f>IFERROR(__xludf.DUMMYFUNCTION("""COMPUTED_VALUE"""),"Pós-Graduação em Musicoterapia - Pós-Graduação em Musicotereapia - Naor Alves Esteves - Ética Profissional - Nota Máxima: 10")</f>
        <v>Pós-Graduação em Musicoterapia - Pós-Graduação em Musicotereapia - Naor Alves Esteves - Ética Profissional - Nota Máxima: 10</v>
      </c>
    </row>
    <row r="7209">
      <c r="A7209" s="390" t="str">
        <f>IFERROR(__xludf.DUMMYFUNCTION("""COMPUTED_VALUE"""),"Pós-Graduação em Musicoterapia - Pós-Graduação em Musicotereapia - Naor Alves Esteves - História da Música - Nota Máxima: 10")</f>
        <v>Pós-Graduação em Musicoterapia - Pós-Graduação em Musicotereapia - Naor Alves Esteves - História da Música - Nota Máxima: 10</v>
      </c>
    </row>
    <row r="7210">
      <c r="A7210" s="390" t="str">
        <f>IFERROR(__xludf.DUMMYFUNCTION("""COMPUTED_VALUE"""),"Pós-Graduação em Musicoterapia - Pós-Graduação em Musicotereapia - Naor Alves Esteves - História da Música - Nota Máxima: 10")</f>
        <v>Pós-Graduação em Musicoterapia - Pós-Graduação em Musicotereapia - Naor Alves Esteves - História da Música - Nota Máxima: 10</v>
      </c>
    </row>
    <row r="7211">
      <c r="A7211" s="390" t="str">
        <f>IFERROR(__xludf.DUMMYFUNCTION("""COMPUTED_VALUE"""),"Pós-Graduação em Musicoterapia - Pós-Graduação em Musicotereapia - Naor Alves Esteves - Musicoterapia - Nota Máxima: 10")</f>
        <v>Pós-Graduação em Musicoterapia - Pós-Graduação em Musicotereapia - Naor Alves Esteves - Musicoterapia - Nota Máxima: 10</v>
      </c>
    </row>
    <row r="7212">
      <c r="A7212" s="390" t="str">
        <f>IFERROR(__xludf.DUMMYFUNCTION("""COMPUTED_VALUE"""),"Pós-Graduação em Musicoterapia - Pós-Graduação em Musicotereapia - Naor Alves Esteves - Musicoterapia - Nota Máxima: 10")</f>
        <v>Pós-Graduação em Musicoterapia - Pós-Graduação em Musicotereapia - Naor Alves Esteves - Musicoterapia - Nota Máxima: 10</v>
      </c>
    </row>
    <row r="7213">
      <c r="A7213" s="390" t="str">
        <f>IFERROR(__xludf.DUMMYFUNCTION("""COMPUTED_VALUE"""),"Pós-Graduação em Musicoterapia - Pós-Graduação em Musicotereapia - Naor Alves Esteves - Neurologia na Musicoterapia - Nota Máxima: 10")</f>
        <v>Pós-Graduação em Musicoterapia - Pós-Graduação em Musicotereapia - Naor Alves Esteves - Neurologia na Musicoterapia - Nota Máxima: 10</v>
      </c>
    </row>
    <row r="7214">
      <c r="A7214" s="390" t="str">
        <f>IFERROR(__xludf.DUMMYFUNCTION("""COMPUTED_VALUE"""),"Pós-Graduação em Musicoterapia - Pós-Graduação em Musicotereapia - Naor Alves Esteves - Neurologia na Musicoterapia - Nota Máxima: 8")</f>
        <v>Pós-Graduação em Musicoterapia - Pós-Graduação em Musicotereapia - Naor Alves Esteves - Neurologia na Musicoterapia - Nota Máxima: 8</v>
      </c>
    </row>
    <row r="7215">
      <c r="A7215" s="390" t="str">
        <f>IFERROR(__xludf.DUMMYFUNCTION("""COMPUTED_VALUE"""),"Pós-Graduação em Musicoterapia - Pós-Graduação em Musicotereapia - Naor Alves Esteves - Psicologia do Desenvolvimento: Aprendizagem Infantil - Nota Máxima: 10")</f>
        <v>Pós-Graduação em Musicoterapia - Pós-Graduação em Musicotereapia - Naor Alves Esteves - Psicologia do Desenvolvimento: Aprendizagem Infantil - Nota Máxima: 10</v>
      </c>
    </row>
    <row r="7216">
      <c r="A7216" s="390" t="str">
        <f>IFERROR(__xludf.DUMMYFUNCTION("""COMPUTED_VALUE"""),"Pós-Graduação em Musicoterapia - Pós-Graduação em Musicotereapia - Naor Alves Esteves - Psicologia do Desenvolvimento: Aprendizagem Infantil - Nota Máxima: 10")</f>
        <v>Pós-Graduação em Musicoterapia - Pós-Graduação em Musicotereapia - Naor Alves Esteves - Psicologia do Desenvolvimento: Aprendizagem Infantil - Nota Máxima: 10</v>
      </c>
    </row>
    <row r="7217">
      <c r="A7217" s="390" t="str">
        <f>IFERROR(__xludf.DUMMYFUNCTION("""COMPUTED_VALUE"""),"Pós-Graduação em Musicoterapia - Pós-Graduação em Musicotereapia - Naor Alves Esteves - Relacionamento Interpessoal - Nota Máxima: 10")</f>
        <v>Pós-Graduação em Musicoterapia - Pós-Graduação em Musicotereapia - Naor Alves Esteves - Relacionamento Interpessoal - Nota Máxima: 10</v>
      </c>
    </row>
    <row r="7218">
      <c r="A7218" s="390" t="str">
        <f>IFERROR(__xludf.DUMMYFUNCTION("""COMPUTED_VALUE"""),"Pós-Graduação em Musicoterapia - Pós-Graduação em Musicotereapia - Naor Alves Esteves - Relacionamento Interpessoal - Nota Máxima: 10")</f>
        <v>Pós-Graduação em Musicoterapia - Pós-Graduação em Musicotereapia - Naor Alves Esteves - Relacionamento Interpessoal - Nota Máxima: 10</v>
      </c>
    </row>
    <row r="7219">
      <c r="A7219" s="390" t="str">
        <f>IFERROR(__xludf.DUMMYFUNCTION("""COMPUTED_VALUE"""),"Pós-Graduação em Musicoterapia - Pós-Graduação em Musicotereapia - Anderson Augusto Silva Oliveira - Aplicações Musicoterapeuticas - Nota Máxima: 8")</f>
        <v>Pós-Graduação em Musicoterapia - Pós-Graduação em Musicotereapia - Anderson Augusto Silva Oliveira - Aplicações Musicoterapeuticas - Nota Máxima: 8</v>
      </c>
    </row>
    <row r="7220">
      <c r="A7220" s="390" t="str">
        <f>IFERROR(__xludf.DUMMYFUNCTION("""COMPUTED_VALUE"""),"Pós-Graduação em Musicoterapia - Pós-Graduação em Musicotereapia - Anderson Augusto Silva Oliveira - Deficiência Auditiva e Libras/a - Nota Máxima: 10")</f>
        <v>Pós-Graduação em Musicoterapia - Pós-Graduação em Musicotereapia - Anderson Augusto Silva Oliveira - Deficiência Auditiva e Libras/a - Nota Máxima: 10</v>
      </c>
    </row>
    <row r="7221">
      <c r="A7221" s="390" t="str">
        <f>IFERROR(__xludf.DUMMYFUNCTION("""COMPUTED_VALUE"""),"Pós-Graduação em Musicoterapia - Pós-Graduação em Musicotereapia - Anderson Augusto Silva Oliveira - Didática e Metodologia do Ensino Superior - Nota Máxima: 9")</f>
        <v>Pós-Graduação em Musicoterapia - Pós-Graduação em Musicotereapia - Anderson Augusto Silva Oliveira - Didática e Metodologia do Ensino Superior - Nota Máxima: 9</v>
      </c>
    </row>
    <row r="7222">
      <c r="A7222" s="390" t="str">
        <f>IFERROR(__xludf.DUMMYFUNCTION("""COMPUTED_VALUE"""),"Pós-Graduação em Musicoterapia - Pós-Graduação em Musicotereapia - Anderson Augusto Silva Oliveira - Ética Profissional - Nota Máxima: 10")</f>
        <v>Pós-Graduação em Musicoterapia - Pós-Graduação em Musicotereapia - Anderson Augusto Silva Oliveira - Ética Profissional - Nota Máxima: 10</v>
      </c>
    </row>
    <row r="7223">
      <c r="A7223" s="390" t="str">
        <f>IFERROR(__xludf.DUMMYFUNCTION("""COMPUTED_VALUE"""),"Pós-Graduação em Musicoterapia - Pós-Graduação em Musicotereapia - Anderson Augusto Silva Oliveira - História da Música - Nota Máxima: 10")</f>
        <v>Pós-Graduação em Musicoterapia - Pós-Graduação em Musicotereapia - Anderson Augusto Silva Oliveira - História da Música - Nota Máxima: 10</v>
      </c>
    </row>
    <row r="7224">
      <c r="A7224" s="390" t="str">
        <f>IFERROR(__xludf.DUMMYFUNCTION("""COMPUTED_VALUE"""),"Pós-Graduação em Musicoterapia - Pós-Graduação em Musicotereapia - Anderson Augusto Silva Oliveira - Musicoterapia - Nota Máxima: 9")</f>
        <v>Pós-Graduação em Musicoterapia - Pós-Graduação em Musicotereapia - Anderson Augusto Silva Oliveira - Musicoterapia - Nota Máxima: 9</v>
      </c>
    </row>
    <row r="7225">
      <c r="A7225" s="390" t="str">
        <f>IFERROR(__xludf.DUMMYFUNCTION("""COMPUTED_VALUE"""),"Pós-Graduação em Musicoterapia - Pós-Graduação em Musicotereapia - Anderson Augusto Silva Oliveira - Neurologia na Musicoterapia - Nota Máxima: 8")</f>
        <v>Pós-Graduação em Musicoterapia - Pós-Graduação em Musicotereapia - Anderson Augusto Silva Oliveira - Neurologia na Musicoterapia - Nota Máxima: 8</v>
      </c>
    </row>
    <row r="7226">
      <c r="A7226" s="390" t="str">
        <f>IFERROR(__xludf.DUMMYFUNCTION("""COMPUTED_VALUE"""),"Pós-Graduação em Musicoterapia - Pós-Graduação em Musicotereapia - Anderson Augusto Silva Oliveira - Psicologia do Desenvolvimento: Aprendizagem Infantil - Nota Máxima: 10")</f>
        <v>Pós-Graduação em Musicoterapia - Pós-Graduação em Musicotereapia - Anderson Augusto Silva Oliveira - Psicologia do Desenvolvimento: Aprendizagem Infantil - Nota Máxima: 10</v>
      </c>
    </row>
    <row r="7227">
      <c r="A7227" s="390" t="str">
        <f>IFERROR(__xludf.DUMMYFUNCTION("""COMPUTED_VALUE"""),"Pós-Graduação em Musicoterapia - Pós-Graduação em Musicotereapia - Anderson Augusto Silva Oliveira - Relacionamento Interpessoal - Nota Máxima: 10")</f>
        <v>Pós-Graduação em Musicoterapia - Pós-Graduação em Musicotereapia - Anderson Augusto Silva Oliveira - Relacionamento Interpessoal - Nota Máxima: 10</v>
      </c>
    </row>
    <row r="7228">
      <c r="A7228" s="390" t="str">
        <f>IFERROR(__xludf.DUMMYFUNCTION("""COMPUTED_VALUE"""),"Pós-Graduação em Musicoterapia - Pós-Graduação em Musicotereapia - Roni Raggi Teixeira - Aplicações Musicoterapeuticas - Nota Máxima: 10")</f>
        <v>Pós-Graduação em Musicoterapia - Pós-Graduação em Musicotereapia - Roni Raggi Teixeira - Aplicações Musicoterapeuticas - Nota Máxima: 10</v>
      </c>
    </row>
    <row r="7229">
      <c r="A7229" s="390" t="str">
        <f>IFERROR(__xludf.DUMMYFUNCTION("""COMPUTED_VALUE"""),"Pós-Graduação em Musicoterapia - Pós-Graduação em Musicotereapia - Roni Raggi Teixeira - Aplicações Musicoterapeuticas - Nota Máxima: 10")</f>
        <v>Pós-Graduação em Musicoterapia - Pós-Graduação em Musicotereapia - Roni Raggi Teixeira - Aplicações Musicoterapeuticas - Nota Máxima: 10</v>
      </c>
    </row>
    <row r="7230">
      <c r="A7230" s="390" t="str">
        <f>IFERROR(__xludf.DUMMYFUNCTION("""COMPUTED_VALUE"""),"Pós-Graduação em Musicoterapia - Pós-Graduação em Musicotereapia - Roni Raggi Teixeira - Deficiência Auditiva e Libras/a - Nota Máxima: 10")</f>
        <v>Pós-Graduação em Musicoterapia - Pós-Graduação em Musicotereapia - Roni Raggi Teixeira - Deficiência Auditiva e Libras/a - Nota Máxima: 10</v>
      </c>
    </row>
    <row r="7231">
      <c r="A7231" s="390" t="str">
        <f>IFERROR(__xludf.DUMMYFUNCTION("""COMPUTED_VALUE"""),"Pós-Graduação em Musicoterapia - Pós-Graduação em Musicotereapia - Roni Raggi Teixeira - Deficiência Auditiva e Libras/a - Nota Máxima: 10")</f>
        <v>Pós-Graduação em Musicoterapia - Pós-Graduação em Musicotereapia - Roni Raggi Teixeira - Deficiência Auditiva e Libras/a - Nota Máxima: 10</v>
      </c>
    </row>
    <row r="7232">
      <c r="A7232" s="390" t="str">
        <f>IFERROR(__xludf.DUMMYFUNCTION("""COMPUTED_VALUE"""),"Pós-Graduação em Musicoterapia - Pós-Graduação em Musicotereapia - Roni Raggi Teixeira - Didática e Metodologia do Ensino Superior - Nota Máxima: 10")</f>
        <v>Pós-Graduação em Musicoterapia - Pós-Graduação em Musicotereapia - Roni Raggi Teixeira - Didática e Metodologia do Ensino Superior - Nota Máxima: 10</v>
      </c>
    </row>
    <row r="7233">
      <c r="A7233" s="390" t="str">
        <f>IFERROR(__xludf.DUMMYFUNCTION("""COMPUTED_VALUE"""),"Pós-Graduação em Musicoterapia - Pós-Graduação em Musicotereapia - Roni Raggi Teixeira - Didática e Metodologia do Ensino Superior - Nota Máxima: 9")</f>
        <v>Pós-Graduação em Musicoterapia - Pós-Graduação em Musicotereapia - Roni Raggi Teixeira - Didática e Metodologia do Ensino Superior - Nota Máxima: 9</v>
      </c>
    </row>
    <row r="7234">
      <c r="A7234" s="390" t="str">
        <f>IFERROR(__xludf.DUMMYFUNCTION("""COMPUTED_VALUE"""),"Pós-Graduação em Musicoterapia - Pós-Graduação em Musicotereapia - Roni Raggi Teixeira - Ética Profissional - Nota Máxima: 10")</f>
        <v>Pós-Graduação em Musicoterapia - Pós-Graduação em Musicotereapia - Roni Raggi Teixeira - Ética Profissional - Nota Máxima: 10</v>
      </c>
    </row>
    <row r="7235">
      <c r="A7235" s="390" t="str">
        <f>IFERROR(__xludf.DUMMYFUNCTION("""COMPUTED_VALUE"""),"Pós-Graduação em Musicoterapia - Pós-Graduação em Musicotereapia - Roni Raggi Teixeira - Ética Profissional - Nota Máxima: 10")</f>
        <v>Pós-Graduação em Musicoterapia - Pós-Graduação em Musicotereapia - Roni Raggi Teixeira - Ética Profissional - Nota Máxima: 10</v>
      </c>
    </row>
    <row r="7236">
      <c r="A7236" s="390" t="str">
        <f>IFERROR(__xludf.DUMMYFUNCTION("""COMPUTED_VALUE"""),"Pós-Graduação em Musicoterapia - Pós-Graduação em Musicotereapia - Roni Raggi Teixeira - História da Música - Nota Máxima: 10")</f>
        <v>Pós-Graduação em Musicoterapia - Pós-Graduação em Musicotereapia - Roni Raggi Teixeira - História da Música - Nota Máxima: 10</v>
      </c>
    </row>
    <row r="7237">
      <c r="A7237" s="390" t="str">
        <f>IFERROR(__xludf.DUMMYFUNCTION("""COMPUTED_VALUE"""),"Pós-Graduação em Musicoterapia - Pós-Graduação em Musicotereapia - Roni Raggi Teixeira - História da Música - Nota Máxima: 10")</f>
        <v>Pós-Graduação em Musicoterapia - Pós-Graduação em Musicotereapia - Roni Raggi Teixeira - História da Música - Nota Máxima: 10</v>
      </c>
    </row>
    <row r="7238">
      <c r="A7238" s="390" t="str">
        <f>IFERROR(__xludf.DUMMYFUNCTION("""COMPUTED_VALUE"""),"Pós-Graduação em Musicoterapia - Pós-Graduação em Musicotereapia - Roni Raggi Teixeira - Musicoterapia - Nota Máxima: 10")</f>
        <v>Pós-Graduação em Musicoterapia - Pós-Graduação em Musicotereapia - Roni Raggi Teixeira - Musicoterapia - Nota Máxima: 10</v>
      </c>
    </row>
    <row r="7239">
      <c r="A7239" s="390" t="str">
        <f>IFERROR(__xludf.DUMMYFUNCTION("""COMPUTED_VALUE"""),"Pós-Graduação em Musicoterapia - Pós-Graduação em Musicotereapia - Roni Raggi Teixeira - Musicoterapia - Nota Máxima: 10")</f>
        <v>Pós-Graduação em Musicoterapia - Pós-Graduação em Musicotereapia - Roni Raggi Teixeira - Musicoterapia - Nota Máxima: 10</v>
      </c>
    </row>
    <row r="7240">
      <c r="A7240" s="390" t="str">
        <f>IFERROR(__xludf.DUMMYFUNCTION("""COMPUTED_VALUE"""),"Pós-Graduação em Musicoterapia - Pós-Graduação em Musicotereapia - Roni Raggi Teixeira - Neurologia na Musicoterapia - Nota Máxima: 10")</f>
        <v>Pós-Graduação em Musicoterapia - Pós-Graduação em Musicotereapia - Roni Raggi Teixeira - Neurologia na Musicoterapia - Nota Máxima: 10</v>
      </c>
    </row>
    <row r="7241">
      <c r="A7241" s="390" t="str">
        <f>IFERROR(__xludf.DUMMYFUNCTION("""COMPUTED_VALUE"""),"Pós-Graduação em Musicoterapia - Pós-Graduação em Musicotereapia - Roni Raggi Teixeira - Neurologia na Musicoterapia - Nota Máxima: 9")</f>
        <v>Pós-Graduação em Musicoterapia - Pós-Graduação em Musicotereapia - Roni Raggi Teixeira - Neurologia na Musicoterapia - Nota Máxima: 9</v>
      </c>
    </row>
    <row r="7242">
      <c r="A7242" s="390" t="str">
        <f>IFERROR(__xludf.DUMMYFUNCTION("""COMPUTED_VALUE"""),"Pós-Graduação em Musicoterapia - Pós-Graduação em Musicotereapia - Roni Raggi Teixeira - Psicologia do Desenvolvimento: Aprendizagem Infantil - Nota Máxima: 10")</f>
        <v>Pós-Graduação em Musicoterapia - Pós-Graduação em Musicotereapia - Roni Raggi Teixeira - Psicologia do Desenvolvimento: Aprendizagem Infantil - Nota Máxima: 10</v>
      </c>
    </row>
    <row r="7243">
      <c r="A7243" s="390" t="str">
        <f>IFERROR(__xludf.DUMMYFUNCTION("""COMPUTED_VALUE"""),"Pós-Graduação em Musicoterapia - Pós-Graduação em Musicotereapia - Roni Raggi Teixeira - Psicologia do Desenvolvimento: Aprendizagem Infantil - Nota Máxima: 10")</f>
        <v>Pós-Graduação em Musicoterapia - Pós-Graduação em Musicotereapia - Roni Raggi Teixeira - Psicologia do Desenvolvimento: Aprendizagem Infantil - Nota Máxima: 10</v>
      </c>
    </row>
    <row r="7244">
      <c r="A7244" s="390" t="str">
        <f>IFERROR(__xludf.DUMMYFUNCTION("""COMPUTED_VALUE"""),"Pós-Graduação em Musicoterapia - Pós-Graduação em Musicotereapia - Roni Raggi Teixeira - Relacionamento Interpessoal - Nota Máxima: 10")</f>
        <v>Pós-Graduação em Musicoterapia - Pós-Graduação em Musicotereapia - Roni Raggi Teixeira - Relacionamento Interpessoal - Nota Máxima: 10</v>
      </c>
    </row>
    <row r="7245">
      <c r="A7245" s="390" t="str">
        <f>IFERROR(__xludf.DUMMYFUNCTION("""COMPUTED_VALUE"""),"Pós-Graduação em Musicoterapia - Pós-Graduação em Musicotereapia - Roni Raggi Teixeira - Relacionamento Interpessoal - Nota Máxima: 10")</f>
        <v>Pós-Graduação em Musicoterapia - Pós-Graduação em Musicotereapia - Roni Raggi Teixeira - Relacionamento Interpessoal - Nota Máxima: 10</v>
      </c>
    </row>
    <row r="7246">
      <c r="A7246" s="390" t="str">
        <f>IFERROR(__xludf.DUMMYFUNCTION("""COMPUTED_VALUE"""),"Pós-Graduação em Musicoterapia - Pós-Graduação em Musicotereapia - Bruna Gomes Lovatti - Aplicações Musicoterapeuticas - Nota Máxima: 10")</f>
        <v>Pós-Graduação em Musicoterapia - Pós-Graduação em Musicotereapia - Bruna Gomes Lovatti - Aplicações Musicoterapeuticas - Nota Máxima: 10</v>
      </c>
    </row>
    <row r="7247">
      <c r="A7247" s="390" t="str">
        <f>IFERROR(__xludf.DUMMYFUNCTION("""COMPUTED_VALUE"""),"Pós-Graduação em Musicoterapia - Pós-Graduação em Musicotereapia - Bruna Gomes Lovatti - Deficiência Auditiva e Libras/a - Nota Máxima: 8")</f>
        <v>Pós-Graduação em Musicoterapia - Pós-Graduação em Musicotereapia - Bruna Gomes Lovatti - Deficiência Auditiva e Libras/a - Nota Máxima: 8</v>
      </c>
    </row>
    <row r="7248">
      <c r="A7248" s="390" t="str">
        <f>IFERROR(__xludf.DUMMYFUNCTION("""COMPUTED_VALUE"""),"Pós-Graduação em Musicoterapia - Pós-Graduação em Musicotereapia - Bruna Gomes Lovatti - Didática e Metodologia do Ensino Superior - Nota Máxima: 9")</f>
        <v>Pós-Graduação em Musicoterapia - Pós-Graduação em Musicotereapia - Bruna Gomes Lovatti - Didática e Metodologia do Ensino Superior - Nota Máxima: 9</v>
      </c>
    </row>
    <row r="7249">
      <c r="A7249" s="390" t="str">
        <f>IFERROR(__xludf.DUMMYFUNCTION("""COMPUTED_VALUE"""),"Pós-Graduação em Musicoterapia - Pós-Graduação em Musicotereapia - Bruna Gomes Lovatti - Ética Profissional - Nota Máxima: 9")</f>
        <v>Pós-Graduação em Musicoterapia - Pós-Graduação em Musicotereapia - Bruna Gomes Lovatti - Ética Profissional - Nota Máxima: 9</v>
      </c>
    </row>
    <row r="7250">
      <c r="A7250" s="390" t="str">
        <f>IFERROR(__xludf.DUMMYFUNCTION("""COMPUTED_VALUE"""),"Pós-Graduação em Musicoterapia - Pós-Graduação em Musicotereapia - Bruna Gomes Lovatti - História da Música - Nota Máxima: 9")</f>
        <v>Pós-Graduação em Musicoterapia - Pós-Graduação em Musicotereapia - Bruna Gomes Lovatti - História da Música - Nota Máxima: 9</v>
      </c>
    </row>
    <row r="7251">
      <c r="A7251" s="390" t="str">
        <f>IFERROR(__xludf.DUMMYFUNCTION("""COMPUTED_VALUE"""),"Pós-Graduação em Musicoterapia - Pós-Graduação em Musicotereapia - Bruna Gomes Lovatti - Musicoterapia - Nota Máxima: 10")</f>
        <v>Pós-Graduação em Musicoterapia - Pós-Graduação em Musicotereapia - Bruna Gomes Lovatti - Musicoterapia - Nota Máxima: 10</v>
      </c>
    </row>
    <row r="7252">
      <c r="A7252" s="390" t="str">
        <f>IFERROR(__xludf.DUMMYFUNCTION("""COMPUTED_VALUE"""),"Pós-Graduação em Musicoterapia - Pós-Graduação em Musicotereapia - Bruna Gomes Lovatti - Neurologia na Musicoterapia - Nota Máxima: 8")</f>
        <v>Pós-Graduação em Musicoterapia - Pós-Graduação em Musicotereapia - Bruna Gomes Lovatti - Neurologia na Musicoterapia - Nota Máxima: 8</v>
      </c>
    </row>
    <row r="7253">
      <c r="A7253" s="390" t="str">
        <f>IFERROR(__xludf.DUMMYFUNCTION("""COMPUTED_VALUE"""),"Pós-Graduação em Musicoterapia - Pós-Graduação em Musicotereapia - Bruna Gomes Lovatti - Psicologia do Desenvolvimento: Aprendizagem Infantil - Nota Máxima: 10")</f>
        <v>Pós-Graduação em Musicoterapia - Pós-Graduação em Musicotereapia - Bruna Gomes Lovatti - Psicologia do Desenvolvimento: Aprendizagem Infantil - Nota Máxima: 10</v>
      </c>
    </row>
    <row r="7254">
      <c r="A7254" s="390" t="str">
        <f>IFERROR(__xludf.DUMMYFUNCTION("""COMPUTED_VALUE"""),"Pós-Graduação em Musicoterapia - Pós-Graduação em Musicotereapia - Bruna Gomes Lovatti - Relacionamento Interpessoal - Nota Máxima: 10")</f>
        <v>Pós-Graduação em Musicoterapia - Pós-Graduação em Musicotereapia - Bruna Gomes Lovatti - Relacionamento Interpessoal - Nota Máxima: 10</v>
      </c>
    </row>
    <row r="7255">
      <c r="A7255" s="390" t="str">
        <f>IFERROR(__xludf.DUMMYFUNCTION("""COMPUTED_VALUE"""),"Pós-Graduação em Musicoterapia - Pós-Graduação em Musicotereapia - Davi Gomes de Souza dos Santos - Aplicações Musicoterapeuticas - Nota Máxima: 7")</f>
        <v>Pós-Graduação em Musicoterapia - Pós-Graduação em Musicotereapia - Davi Gomes de Souza dos Santos - Aplicações Musicoterapeuticas - Nota Máxima: 7</v>
      </c>
    </row>
    <row r="7256">
      <c r="A7256" s="390" t="str">
        <f>IFERROR(__xludf.DUMMYFUNCTION("""COMPUTED_VALUE"""),"Pós-Graduação em Musicoterapia - Pós-Graduação em Musicotereapia - Davi Gomes de Souza dos Santos - Deficiência Auditiva e Libras/a - Nota Máxima: 10")</f>
        <v>Pós-Graduação em Musicoterapia - Pós-Graduação em Musicotereapia - Davi Gomes de Souza dos Santos - Deficiência Auditiva e Libras/a - Nota Máxima: 10</v>
      </c>
    </row>
    <row r="7257">
      <c r="A7257" s="390" t="str">
        <f>IFERROR(__xludf.DUMMYFUNCTION("""COMPUTED_VALUE"""),"Pós-Graduação em Musicoterapia - Pós-Graduação em Musicotereapia - Davi Gomes de Souza dos Santos - Didática e Metodologia do Ensino Superior - Nota Máxima: 9")</f>
        <v>Pós-Graduação em Musicoterapia - Pós-Graduação em Musicotereapia - Davi Gomes de Souza dos Santos - Didática e Metodologia do Ensino Superior - Nota Máxima: 9</v>
      </c>
    </row>
    <row r="7258">
      <c r="A7258" s="390" t="str">
        <f>IFERROR(__xludf.DUMMYFUNCTION("""COMPUTED_VALUE"""),"Pós-Graduação em Musicoterapia - Pós-Graduação em Musicotereapia - Davi Gomes de Souza dos Santos - Ética Profissional - Nota Máxima: 10")</f>
        <v>Pós-Graduação em Musicoterapia - Pós-Graduação em Musicotereapia - Davi Gomes de Souza dos Santos - Ética Profissional - Nota Máxima: 10</v>
      </c>
    </row>
    <row r="7259">
      <c r="A7259" s="390" t="str">
        <f>IFERROR(__xludf.DUMMYFUNCTION("""COMPUTED_VALUE"""),"Pós-Graduação em Musicoterapia - Pós-Graduação em Musicotereapia - Davi Gomes de Souza dos Santos - Ética Profissional - Nota Máxima: 10")</f>
        <v>Pós-Graduação em Musicoterapia - Pós-Graduação em Musicotereapia - Davi Gomes de Souza dos Santos - Ética Profissional - Nota Máxima: 10</v>
      </c>
    </row>
    <row r="7260">
      <c r="A7260" s="390" t="str">
        <f>IFERROR(__xludf.DUMMYFUNCTION("""COMPUTED_VALUE"""),"Pós-Graduação em Musicoterapia - Pós-Graduação em Musicotereapia - Davi Gomes de Souza dos Santos - História da Música - Nota Máxima: 10")</f>
        <v>Pós-Graduação em Musicoterapia - Pós-Graduação em Musicotereapia - Davi Gomes de Souza dos Santos - História da Música - Nota Máxima: 10</v>
      </c>
    </row>
    <row r="7261">
      <c r="A7261" s="390" t="str">
        <f>IFERROR(__xludf.DUMMYFUNCTION("""COMPUTED_VALUE"""),"Pós-Graduação em Musicoterapia - Pós-Graduação em Musicotereapia - Davi Gomes de Souza dos Santos - Musicoterapia - Nota Máxima: 9")</f>
        <v>Pós-Graduação em Musicoterapia - Pós-Graduação em Musicotereapia - Davi Gomes de Souza dos Santos - Musicoterapia - Nota Máxima: 9</v>
      </c>
    </row>
    <row r="7262">
      <c r="A7262" s="390" t="str">
        <f>IFERROR(__xludf.DUMMYFUNCTION("""COMPUTED_VALUE"""),"Pós-Graduação em Musicoterapia - Pós-Graduação em Musicotereapia - Davi Gomes de Souza dos Santos - Neurologia na Musicoterapia - Nota Máxima: 8")</f>
        <v>Pós-Graduação em Musicoterapia - Pós-Graduação em Musicotereapia - Davi Gomes de Souza dos Santos - Neurologia na Musicoterapia - Nota Máxima: 8</v>
      </c>
    </row>
    <row r="7263">
      <c r="A7263" s="390" t="str">
        <f>IFERROR(__xludf.DUMMYFUNCTION("""COMPUTED_VALUE"""),"Pós-Graduação em Musicoterapia - Pós-Graduação em Musicotereapia - Davi Gomes de Souza dos Santos - Psicologia do Desenvolvimento: Aprendizagem Infantil - Nota Máxima: 10")</f>
        <v>Pós-Graduação em Musicoterapia - Pós-Graduação em Musicotereapia - Davi Gomes de Souza dos Santos - Psicologia do Desenvolvimento: Aprendizagem Infantil - Nota Máxima: 10</v>
      </c>
    </row>
    <row r="7264">
      <c r="A7264" s="390" t="str">
        <f>IFERROR(__xludf.DUMMYFUNCTION("""COMPUTED_VALUE"""),"Pós-Graduação em Musicoterapia - Pós-Graduação em Musicotereapia - Davi Gomes de Souza dos Santos - Relacionamento Interpessoal - Nota Máxima: 10")</f>
        <v>Pós-Graduação em Musicoterapia - Pós-Graduação em Musicotereapia - Davi Gomes de Souza dos Santos - Relacionamento Interpessoal - Nota Máxima: 10</v>
      </c>
    </row>
    <row r="7265">
      <c r="A7265" s="390" t="str">
        <f>IFERROR(__xludf.DUMMYFUNCTION("""COMPUTED_VALUE"""),"Pós-Graduação em Musicoterapia - Pós-Graduação em Musicotereapia - Davi Gomes de Souza dos Santos - Relacionamento Interpessoal - Nota Máxima: 10")</f>
        <v>Pós-Graduação em Musicoterapia - Pós-Graduação em Musicotereapia - Davi Gomes de Souza dos Santos - Relacionamento Interpessoal - Nota Máxima: 10</v>
      </c>
    </row>
    <row r="7266">
      <c r="A7266" s="390" t="str">
        <f>IFERROR(__xludf.DUMMYFUNCTION("""COMPUTED_VALUE"""),"Pós-Graduação em Musicoterapia - Pós-Graduação em Musicotereapia - Luciano Machado da Silva - Aplicações Musicoterapeuticas - Nota Máxima: 10")</f>
        <v>Pós-Graduação em Musicoterapia - Pós-Graduação em Musicotereapia - Luciano Machado da Silva - Aplicações Musicoterapeuticas - Nota Máxima: 10</v>
      </c>
    </row>
    <row r="7267">
      <c r="A7267" s="390" t="str">
        <f>IFERROR(__xludf.DUMMYFUNCTION("""COMPUTED_VALUE"""),"Pós-Graduação em Musicoterapia - Pós-Graduação em Musicotereapia - Luciano Machado da Silva - Aplicações Musicoterapeuticas - Nota Máxima: 7")</f>
        <v>Pós-Graduação em Musicoterapia - Pós-Graduação em Musicotereapia - Luciano Machado da Silva - Aplicações Musicoterapeuticas - Nota Máxima: 7</v>
      </c>
    </row>
    <row r="7268">
      <c r="A7268" s="390" t="str">
        <f>IFERROR(__xludf.DUMMYFUNCTION("""COMPUTED_VALUE"""),"Pós-Graduação em Musicoterapia - Pós-Graduação em Musicotereapia - Luciano Machado da Silva - Deficiência Auditiva e Libras/a - Nota Máxima: 10")</f>
        <v>Pós-Graduação em Musicoterapia - Pós-Graduação em Musicotereapia - Luciano Machado da Silva - Deficiência Auditiva e Libras/a - Nota Máxima: 10</v>
      </c>
    </row>
    <row r="7269">
      <c r="A7269" s="390" t="str">
        <f>IFERROR(__xludf.DUMMYFUNCTION("""COMPUTED_VALUE"""),"Pós-Graduação em Musicoterapia - Pós-Graduação em Musicotereapia - Luciano Machado da Silva - Deficiência Auditiva e Libras/a - Nota Máxima: 8")</f>
        <v>Pós-Graduação em Musicoterapia - Pós-Graduação em Musicotereapia - Luciano Machado da Silva - Deficiência Auditiva e Libras/a - Nota Máxima: 8</v>
      </c>
    </row>
    <row r="7270">
      <c r="A7270" s="390" t="str">
        <f>IFERROR(__xludf.DUMMYFUNCTION("""COMPUTED_VALUE"""),"Pós-Graduação em Musicoterapia - Pós-Graduação em Musicotereapia - Luciano Machado da Silva - Didática e Metodologia do Ensino Superior - Nota Máxima: 10")</f>
        <v>Pós-Graduação em Musicoterapia - Pós-Graduação em Musicotereapia - Luciano Machado da Silva - Didática e Metodologia do Ensino Superior - Nota Máxima: 10</v>
      </c>
    </row>
    <row r="7271">
      <c r="A7271" s="390" t="str">
        <f>IFERROR(__xludf.DUMMYFUNCTION("""COMPUTED_VALUE"""),"Pós-Graduação em Musicoterapia - Pós-Graduação em Musicotereapia - Luciano Machado da Silva - Didática e Metodologia do Ensino Superior - Nota Máxima: 9")</f>
        <v>Pós-Graduação em Musicoterapia - Pós-Graduação em Musicotereapia - Luciano Machado da Silva - Didática e Metodologia do Ensino Superior - Nota Máxima: 9</v>
      </c>
    </row>
    <row r="7272">
      <c r="A7272" s="390" t="str">
        <f>IFERROR(__xludf.DUMMYFUNCTION("""COMPUTED_VALUE"""),"Pós-Graduação em Musicoterapia - Pós-Graduação em Musicotereapia - Luciano Machado da Silva - Ética Profissional - Nota Máxima: 10")</f>
        <v>Pós-Graduação em Musicoterapia - Pós-Graduação em Musicotereapia - Luciano Machado da Silva - Ética Profissional - Nota Máxima: 10</v>
      </c>
    </row>
    <row r="7273">
      <c r="A7273" s="390" t="str">
        <f>IFERROR(__xludf.DUMMYFUNCTION("""COMPUTED_VALUE"""),"Pós-Graduação em Musicoterapia - Pós-Graduação em Musicotereapia - Luciano Machado da Silva - Ética Profissional - Nota Máxima: 10")</f>
        <v>Pós-Graduação em Musicoterapia - Pós-Graduação em Musicotereapia - Luciano Machado da Silva - Ética Profissional - Nota Máxima: 10</v>
      </c>
    </row>
    <row r="7274">
      <c r="A7274" s="390" t="str">
        <f>IFERROR(__xludf.DUMMYFUNCTION("""COMPUTED_VALUE"""),"Pós-Graduação em Musicoterapia - Pós-Graduação em Musicotereapia - Luciano Machado da Silva - História da Música - Nota Máxima: 9")</f>
        <v>Pós-Graduação em Musicoterapia - Pós-Graduação em Musicotereapia - Luciano Machado da Silva - História da Música - Nota Máxima: 9</v>
      </c>
    </row>
    <row r="7275">
      <c r="A7275" s="390" t="str">
        <f>IFERROR(__xludf.DUMMYFUNCTION("""COMPUTED_VALUE"""),"Pós-Graduação em Musicoterapia - Pós-Graduação em Musicotereapia - Luciano Machado da Silva - Musicoterapia - Nota Máxima: 10")</f>
        <v>Pós-Graduação em Musicoterapia - Pós-Graduação em Musicotereapia - Luciano Machado da Silva - Musicoterapia - Nota Máxima: 10</v>
      </c>
    </row>
    <row r="7276">
      <c r="A7276" s="390" t="str">
        <f>IFERROR(__xludf.DUMMYFUNCTION("""COMPUTED_VALUE"""),"Pós-Graduação em Musicoterapia - Pós-Graduação em Musicotereapia - Luciano Machado da Silva - Musicoterapia - Nota Máxima: 9")</f>
        <v>Pós-Graduação em Musicoterapia - Pós-Graduação em Musicotereapia - Luciano Machado da Silva - Musicoterapia - Nota Máxima: 9</v>
      </c>
    </row>
    <row r="7277">
      <c r="A7277" s="390" t="str">
        <f>IFERROR(__xludf.DUMMYFUNCTION("""COMPUTED_VALUE"""),"Pós-Graduação em Musicoterapia - Pós-Graduação em Musicotereapia - Luciano Machado da Silva - Neurologia na Musicoterapia - Nota Máxima: 10")</f>
        <v>Pós-Graduação em Musicoterapia - Pós-Graduação em Musicotereapia - Luciano Machado da Silva - Neurologia na Musicoterapia - Nota Máxima: 10</v>
      </c>
    </row>
    <row r="7278">
      <c r="A7278" s="390" t="str">
        <f>IFERROR(__xludf.DUMMYFUNCTION("""COMPUTED_VALUE"""),"Pós-Graduação em Musicoterapia - Pós-Graduação em Musicotereapia - Luciano Machado da Silva - Neurologia na Musicoterapia - Nota Máxima: 9")</f>
        <v>Pós-Graduação em Musicoterapia - Pós-Graduação em Musicotereapia - Luciano Machado da Silva - Neurologia na Musicoterapia - Nota Máxima: 9</v>
      </c>
    </row>
    <row r="7279">
      <c r="A7279" s="390" t="str">
        <f>IFERROR(__xludf.DUMMYFUNCTION("""COMPUTED_VALUE"""),"Pós-Graduação em Musicoterapia - Pós-Graduação em Musicotereapia - Luciano Machado da Silva - Psicologia do Desenvolvimento: Aprendizagem Infantil - Nota Máxima: 8")</f>
        <v>Pós-Graduação em Musicoterapia - Pós-Graduação em Musicotereapia - Luciano Machado da Silva - Psicologia do Desenvolvimento: Aprendizagem Infantil - Nota Máxima: 8</v>
      </c>
    </row>
    <row r="7280">
      <c r="A7280" s="390" t="str">
        <f>IFERROR(__xludf.DUMMYFUNCTION("""COMPUTED_VALUE"""),"Pós-Graduação em Musicoterapia - Pós-Graduação em Musicotereapia - Luciano Machado da Silva - Relacionamento Interpessoal - Nota Máxima: 10")</f>
        <v>Pós-Graduação em Musicoterapia - Pós-Graduação em Musicotereapia - Luciano Machado da Silva - Relacionamento Interpessoal - Nota Máxima: 10</v>
      </c>
    </row>
    <row r="7281">
      <c r="A7281" s="390" t="str">
        <f>IFERROR(__xludf.DUMMYFUNCTION("""COMPUTED_VALUE"""),"Pós-Graduação em Musicoterapia - Pós-Graduação em Musicotereapia - Luciano Machado da Silva - Relacionamento Interpessoal - Nota Máxima: 10")</f>
        <v>Pós-Graduação em Musicoterapia - Pós-Graduação em Musicotereapia - Luciano Machado da Silva - Relacionamento Interpessoal - Nota Máxima: 10</v>
      </c>
    </row>
    <row r="7282">
      <c r="A7282" s="390" t="str">
        <f>IFERROR(__xludf.DUMMYFUNCTION("""COMPUTED_VALUE"""),"Pós-Graduação em Musicoterapia - Pós-Graduação em Musicotereapia - Charles Alberto Reis Silva - Aplicações Musicoterapeuticas - Nota Máxima: 10")</f>
        <v>Pós-Graduação em Musicoterapia - Pós-Graduação em Musicotereapia - Charles Alberto Reis Silva - Aplicações Musicoterapeuticas - Nota Máxima: 10</v>
      </c>
    </row>
    <row r="7283">
      <c r="A7283" s="390" t="str">
        <f>IFERROR(__xludf.DUMMYFUNCTION("""COMPUTED_VALUE"""),"Pós-Graduação em Musicoterapia - Pós-Graduação em Musicotereapia - Charles Alberto Reis Silva - Deficiência Auditiva e Libras/a - Nota Máxima: 10")</f>
        <v>Pós-Graduação em Musicoterapia - Pós-Graduação em Musicotereapia - Charles Alberto Reis Silva - Deficiência Auditiva e Libras/a - Nota Máxima: 10</v>
      </c>
    </row>
    <row r="7284">
      <c r="A7284" s="390" t="str">
        <f>IFERROR(__xludf.DUMMYFUNCTION("""COMPUTED_VALUE"""),"Pós-Graduação em Musicoterapia - Pós-Graduação em Musicotereapia - Charles Alberto Reis Silva - Didática e Metodologia do Ensino Superior - Nota Máxima: 10")</f>
        <v>Pós-Graduação em Musicoterapia - Pós-Graduação em Musicotereapia - Charles Alberto Reis Silva - Didática e Metodologia do Ensino Superior - Nota Máxima: 10</v>
      </c>
    </row>
    <row r="7285">
      <c r="A7285" s="390" t="str">
        <f>IFERROR(__xludf.DUMMYFUNCTION("""COMPUTED_VALUE"""),"Pós-Graduação em Musicoterapia - Pós-Graduação em Musicotereapia - Charles Alberto Reis Silva - Ética Profissional - Nota Máxima: 10")</f>
        <v>Pós-Graduação em Musicoterapia - Pós-Graduação em Musicotereapia - Charles Alberto Reis Silva - Ética Profissional - Nota Máxima: 10</v>
      </c>
    </row>
    <row r="7286">
      <c r="A7286" s="390" t="str">
        <f>IFERROR(__xludf.DUMMYFUNCTION("""COMPUTED_VALUE"""),"Pós-Graduação em Musicoterapia - Pós-Graduação em Musicotereapia - Charles Alberto Reis Silva - História da Música - Nota Máxima: 10")</f>
        <v>Pós-Graduação em Musicoterapia - Pós-Graduação em Musicotereapia - Charles Alberto Reis Silva - História da Música - Nota Máxima: 10</v>
      </c>
    </row>
    <row r="7287">
      <c r="A7287" s="390" t="str">
        <f>IFERROR(__xludf.DUMMYFUNCTION("""COMPUTED_VALUE"""),"Pós-Graduação em Musicoterapia - Pós-Graduação em Musicotereapia - Charles Alberto Reis Silva - Musicoterapia - Nota Máxima: 9")</f>
        <v>Pós-Graduação em Musicoterapia - Pós-Graduação em Musicotereapia - Charles Alberto Reis Silva - Musicoterapia - Nota Máxima: 9</v>
      </c>
    </row>
    <row r="7288">
      <c r="A7288" s="390" t="str">
        <f>IFERROR(__xludf.DUMMYFUNCTION("""COMPUTED_VALUE"""),"Pós-Graduação em Musicoterapia - Pós-Graduação em Musicotereapia - Charles Alberto Reis Silva - Neurologia na Musicoterapia - Nota Máxima: 10")</f>
        <v>Pós-Graduação em Musicoterapia - Pós-Graduação em Musicotereapia - Charles Alberto Reis Silva - Neurologia na Musicoterapia - Nota Máxima: 10</v>
      </c>
    </row>
    <row r="7289">
      <c r="A7289" s="390" t="str">
        <f>IFERROR(__xludf.DUMMYFUNCTION("""COMPUTED_VALUE"""),"Pós-Graduação em Musicoterapia - Pós-Graduação em Musicotereapia - Charles Alberto Reis Silva - Psicologia do Desenvolvimento: Aprendizagem Infantil - Nota Máxima: 10")</f>
        <v>Pós-Graduação em Musicoterapia - Pós-Graduação em Musicotereapia - Charles Alberto Reis Silva - Psicologia do Desenvolvimento: Aprendizagem Infantil - Nota Máxima: 10</v>
      </c>
    </row>
    <row r="7290">
      <c r="A7290" s="390" t="str">
        <f>IFERROR(__xludf.DUMMYFUNCTION("""COMPUTED_VALUE"""),"Pós-Graduação em Musicoterapia - Pós-Graduação em Musicotereapia - Charles Alberto Reis Silva - Relacionamento Interpessoal - Nota Máxima: 10")</f>
        <v>Pós-Graduação em Musicoterapia - Pós-Graduação em Musicotereapia - Charles Alberto Reis Silva - Relacionamento Interpessoal - Nota Máxima: 10</v>
      </c>
    </row>
    <row r="7291">
      <c r="A7291" s="390" t="str">
        <f>IFERROR(__xludf.DUMMYFUNCTION("""COMPUTED_VALUE"""),"Pós-Graduação em Musicoterapia - Pós-Graduação em Musicotereapia - Fabricio Da Silva Miccichelli - Aplicações Musicoterapeuticas - Nota Máxima: 10")</f>
        <v>Pós-Graduação em Musicoterapia - Pós-Graduação em Musicotereapia - Fabricio Da Silva Miccichelli - Aplicações Musicoterapeuticas - Nota Máxima: 10</v>
      </c>
    </row>
    <row r="7292">
      <c r="A7292" s="390" t="str">
        <f>IFERROR(__xludf.DUMMYFUNCTION("""COMPUTED_VALUE"""),"Pós-Graduação em Musicoterapia - Pós-Graduação em Musicotereapia - Fabricio Da Silva Miccichelli - Deficiência Auditiva e Libras/a - Nota Máxima: 10")</f>
        <v>Pós-Graduação em Musicoterapia - Pós-Graduação em Musicotereapia - Fabricio Da Silva Miccichelli - Deficiência Auditiva e Libras/a - Nota Máxima: 10</v>
      </c>
    </row>
    <row r="7293">
      <c r="A7293" s="390" t="str">
        <f>IFERROR(__xludf.DUMMYFUNCTION("""COMPUTED_VALUE"""),"Pós-Graduação em Musicoterapia - Pós-Graduação em Musicotereapia - Fabricio Da Silva Miccichelli - Didática e Metodologia do Ensino Superior - Nota Máxima: 10")</f>
        <v>Pós-Graduação em Musicoterapia - Pós-Graduação em Musicotereapia - Fabricio Da Silva Miccichelli - Didática e Metodologia do Ensino Superior - Nota Máxima: 10</v>
      </c>
    </row>
    <row r="7294">
      <c r="A7294" s="390" t="str">
        <f>IFERROR(__xludf.DUMMYFUNCTION("""COMPUTED_VALUE"""),"Pós-Graduação em Musicoterapia - Pós-Graduação em Musicotereapia - Fabricio Da Silva Miccichelli - Ética Profissional - Nota Máxima: 10")</f>
        <v>Pós-Graduação em Musicoterapia - Pós-Graduação em Musicotereapia - Fabricio Da Silva Miccichelli - Ética Profissional - Nota Máxima: 10</v>
      </c>
    </row>
    <row r="7295">
      <c r="A7295" s="390" t="str">
        <f>IFERROR(__xludf.DUMMYFUNCTION("""COMPUTED_VALUE"""),"Pós-Graduação em Musicoterapia - Pós-Graduação em Musicotereapia - Fabricio Da Silva Miccichelli - História da Música - Nota Máxima: 10")</f>
        <v>Pós-Graduação em Musicoterapia - Pós-Graduação em Musicotereapia - Fabricio Da Silva Miccichelli - História da Música - Nota Máxima: 10</v>
      </c>
    </row>
    <row r="7296">
      <c r="A7296" s="390" t="str">
        <f>IFERROR(__xludf.DUMMYFUNCTION("""COMPUTED_VALUE"""),"Pós-Graduação em Musicoterapia - Pós-Graduação em Musicotereapia - Fabricio Da Silva Miccichelli - Musicoterapia - Nota Máxima: 10")</f>
        <v>Pós-Graduação em Musicoterapia - Pós-Graduação em Musicotereapia - Fabricio Da Silva Miccichelli - Musicoterapia - Nota Máxima: 10</v>
      </c>
    </row>
    <row r="7297">
      <c r="A7297" s="390" t="str">
        <f>IFERROR(__xludf.DUMMYFUNCTION("""COMPUTED_VALUE"""),"Pós-Graduação em Musicoterapia - Pós-Graduação em Musicotereapia - Fabricio Da Silva Miccichelli - Neurologia na Musicoterapia - Nota Máxima: 9")</f>
        <v>Pós-Graduação em Musicoterapia - Pós-Graduação em Musicotereapia - Fabricio Da Silva Miccichelli - Neurologia na Musicoterapia - Nota Máxima: 9</v>
      </c>
    </row>
    <row r="7298">
      <c r="A7298" s="390" t="str">
        <f>IFERROR(__xludf.DUMMYFUNCTION("""COMPUTED_VALUE"""),"Pós-Graduação em Musicoterapia - Pós-Graduação em Musicotereapia - Fabricio Da Silva Miccichelli - Psicologia do Desenvolvimento: Aprendizagem Infantil - Nota Máxima: 10")</f>
        <v>Pós-Graduação em Musicoterapia - Pós-Graduação em Musicotereapia - Fabricio Da Silva Miccichelli - Psicologia do Desenvolvimento: Aprendizagem Infantil - Nota Máxima: 10</v>
      </c>
    </row>
    <row r="7299">
      <c r="A7299" s="390" t="str">
        <f>IFERROR(__xludf.DUMMYFUNCTION("""COMPUTED_VALUE"""),"Pós-Graduação em Musicoterapia - Pós-Graduação em Musicotereapia - Fabricio Da Silva Miccichelli - Relacionamento Interpessoal - Nota Máxima: 10")</f>
        <v>Pós-Graduação em Musicoterapia - Pós-Graduação em Musicotereapia - Fabricio Da Silva Miccichelli - Relacionamento Interpessoal - Nota Máxima: 10</v>
      </c>
    </row>
    <row r="7300">
      <c r="A7300" s="390" t="str">
        <f>IFERROR(__xludf.DUMMYFUNCTION("""COMPUTED_VALUE"""),"Pós-Graduação em Musicoterapia - Pós-Graduação em Musicotereapia - Charles Félix da Silva - Aplicações Musicoterapeuticas - Nota Máxima: 8")</f>
        <v>Pós-Graduação em Musicoterapia - Pós-Graduação em Musicotereapia - Charles Félix da Silva - Aplicações Musicoterapeuticas - Nota Máxima: 8</v>
      </c>
    </row>
    <row r="7301">
      <c r="A7301" s="390" t="str">
        <f>IFERROR(__xludf.DUMMYFUNCTION("""COMPUTED_VALUE"""),"Pós-Graduação em Musicoterapia - Pós-Graduação em Musicotereapia - Charles Félix da Silva - Deficiência Auditiva e Libras/a - Nota Máxima: 10")</f>
        <v>Pós-Graduação em Musicoterapia - Pós-Graduação em Musicotereapia - Charles Félix da Silva - Deficiência Auditiva e Libras/a - Nota Máxima: 10</v>
      </c>
    </row>
    <row r="7302">
      <c r="A7302" s="390" t="str">
        <f>IFERROR(__xludf.DUMMYFUNCTION("""COMPUTED_VALUE"""),"Pós-Graduação em Musicoterapia - Pós-Graduação em Musicotereapia - Charles Félix da Silva - Didática e Metodologia do Ensino Superior - Nota Máxima: 9")</f>
        <v>Pós-Graduação em Musicoterapia - Pós-Graduação em Musicotereapia - Charles Félix da Silva - Didática e Metodologia do Ensino Superior - Nota Máxima: 9</v>
      </c>
    </row>
    <row r="7303">
      <c r="A7303" s="390" t="str">
        <f>IFERROR(__xludf.DUMMYFUNCTION("""COMPUTED_VALUE"""),"Pós-Graduação em Musicoterapia - Pós-Graduação em Musicotereapia - Charles Félix da Silva - Ética Profissional - Nota Máxima: 9")</f>
        <v>Pós-Graduação em Musicoterapia - Pós-Graduação em Musicotereapia - Charles Félix da Silva - Ética Profissional - Nota Máxima: 9</v>
      </c>
    </row>
    <row r="7304">
      <c r="A7304" s="390" t="str">
        <f>IFERROR(__xludf.DUMMYFUNCTION("""COMPUTED_VALUE"""),"Pós-Graduação em Musicoterapia - Pós-Graduação em Musicotereapia - Charles Félix da Silva - História da Música - Nota Máxima: 10")</f>
        <v>Pós-Graduação em Musicoterapia - Pós-Graduação em Musicotereapia - Charles Félix da Silva - História da Música - Nota Máxima: 10</v>
      </c>
    </row>
    <row r="7305">
      <c r="A7305" s="390" t="str">
        <f>IFERROR(__xludf.DUMMYFUNCTION("""COMPUTED_VALUE"""),"Pós-Graduação em Musicoterapia - Pós-Graduação em Musicotereapia - Charles Félix da Silva - Musicoterapia - Nota Máxima: 10")</f>
        <v>Pós-Graduação em Musicoterapia - Pós-Graduação em Musicotereapia - Charles Félix da Silva - Musicoterapia - Nota Máxima: 10</v>
      </c>
    </row>
    <row r="7306">
      <c r="A7306" s="390" t="str">
        <f>IFERROR(__xludf.DUMMYFUNCTION("""COMPUTED_VALUE"""),"Pós-Graduação em Musicoterapia - Pós-Graduação em Musicotereapia - Charles Félix da Silva - Neurologia na Musicoterapia - Nota Máxima: 8")</f>
        <v>Pós-Graduação em Musicoterapia - Pós-Graduação em Musicotereapia - Charles Félix da Silva - Neurologia na Musicoterapia - Nota Máxima: 8</v>
      </c>
    </row>
    <row r="7307">
      <c r="A7307" s="390" t="str">
        <f>IFERROR(__xludf.DUMMYFUNCTION("""COMPUTED_VALUE"""),"Pós-Graduação em Musicoterapia - Pós-Graduação em Musicotereapia - Charles Félix da Silva - Psicologia do Desenvolvimento: Aprendizagem Infantil - Nota Máxima: 10")</f>
        <v>Pós-Graduação em Musicoterapia - Pós-Graduação em Musicotereapia - Charles Félix da Silva - Psicologia do Desenvolvimento: Aprendizagem Infantil - Nota Máxima: 10</v>
      </c>
    </row>
    <row r="7308">
      <c r="A7308" s="390" t="str">
        <f>IFERROR(__xludf.DUMMYFUNCTION("""COMPUTED_VALUE"""),"Pós-Graduação em Musicoterapia - Pós-Graduação em Musicotereapia - Charles Félix da Silva - Relacionamento Interpessoal - Nota Máxima: 10")</f>
        <v>Pós-Graduação em Musicoterapia - Pós-Graduação em Musicotereapia - Charles Félix da Silva - Relacionamento Interpessoal - Nota Máxima: 10</v>
      </c>
    </row>
    <row r="7309">
      <c r="A7309" s="390" t="str">
        <f>IFERROR(__xludf.DUMMYFUNCTION("""COMPUTED_VALUE"""),"Pós-Graduação em Musicoterapia - Pós-Graduação em Musicotereapia - Wagno Sérgio - Aplicações Musicoterapeuticas - Nota Máxima: 10")</f>
        <v>Pós-Graduação em Musicoterapia - Pós-Graduação em Musicotereapia - Wagno Sérgio - Aplicações Musicoterapeuticas - Nota Máxima: 10</v>
      </c>
    </row>
    <row r="7310">
      <c r="A7310" s="390" t="str">
        <f>IFERROR(__xludf.DUMMYFUNCTION("""COMPUTED_VALUE"""),"Pós-Graduação em Musicoterapia - Pós-Graduação em Musicotereapia - Wagno Sérgio - Aplicações Musicoterapeuticas - Nota Máxima: 9")</f>
        <v>Pós-Graduação em Musicoterapia - Pós-Graduação em Musicotereapia - Wagno Sérgio - Aplicações Musicoterapeuticas - Nota Máxima: 9</v>
      </c>
    </row>
    <row r="7311">
      <c r="A7311" s="390" t="str">
        <f>IFERROR(__xludf.DUMMYFUNCTION("""COMPUTED_VALUE"""),"Pós-Graduação em Musicoterapia - Pós-Graduação em Musicotereapia - Wagno Sérgio - Deficiência Auditiva e Libras/a - Nota Máxima: 10")</f>
        <v>Pós-Graduação em Musicoterapia - Pós-Graduação em Musicotereapia - Wagno Sérgio - Deficiência Auditiva e Libras/a - Nota Máxima: 10</v>
      </c>
    </row>
    <row r="7312">
      <c r="A7312" s="390" t="str">
        <f>IFERROR(__xludf.DUMMYFUNCTION("""COMPUTED_VALUE"""),"Pós-Graduação em Musicoterapia - Pós-Graduação em Musicotereapia - Wagno Sérgio - Deficiência Auditiva e Libras/a - Nota Máxima: 9")</f>
        <v>Pós-Graduação em Musicoterapia - Pós-Graduação em Musicotereapia - Wagno Sérgio - Deficiência Auditiva e Libras/a - Nota Máxima: 9</v>
      </c>
    </row>
    <row r="7313">
      <c r="A7313" s="390" t="str">
        <f>IFERROR(__xludf.DUMMYFUNCTION("""COMPUTED_VALUE"""),"Pós-Graduação em Musicoterapia - Pós-Graduação em Musicotereapia - Wagno Sérgio - Didática e Metodologia do Ensino Superior - Nota Máxima: 10")</f>
        <v>Pós-Graduação em Musicoterapia - Pós-Graduação em Musicotereapia - Wagno Sérgio - Didática e Metodologia do Ensino Superior - Nota Máxima: 10</v>
      </c>
    </row>
    <row r="7314">
      <c r="A7314" s="390" t="str">
        <f>IFERROR(__xludf.DUMMYFUNCTION("""COMPUTED_VALUE"""),"Pós-Graduação em Musicoterapia - Pós-Graduação em Musicotereapia - Wagno Sérgio - Didática e Metodologia do Ensino Superior - Nota Máxima: 8")</f>
        <v>Pós-Graduação em Musicoterapia - Pós-Graduação em Musicotereapia - Wagno Sérgio - Didática e Metodologia do Ensino Superior - Nota Máxima: 8</v>
      </c>
    </row>
    <row r="7315">
      <c r="A7315" s="390" t="str">
        <f>IFERROR(__xludf.DUMMYFUNCTION("""COMPUTED_VALUE"""),"Pós-Graduação em Musicoterapia - Pós-Graduação em Musicotereapia - Wagno Sérgio - Ética Profissional - Nota Máxima: 10")</f>
        <v>Pós-Graduação em Musicoterapia - Pós-Graduação em Musicotereapia - Wagno Sérgio - Ética Profissional - Nota Máxima: 10</v>
      </c>
    </row>
    <row r="7316">
      <c r="A7316" s="390" t="str">
        <f>IFERROR(__xludf.DUMMYFUNCTION("""COMPUTED_VALUE"""),"Pós-Graduação em Musicoterapia - Pós-Graduação em Musicotereapia - Wagno Sérgio - Ética Profissional - Nota Máxima: 8")</f>
        <v>Pós-Graduação em Musicoterapia - Pós-Graduação em Musicotereapia - Wagno Sérgio - Ética Profissional - Nota Máxima: 8</v>
      </c>
    </row>
    <row r="7317">
      <c r="A7317" s="390" t="str">
        <f>IFERROR(__xludf.DUMMYFUNCTION("""COMPUTED_VALUE"""),"Pós-Graduação em Musicoterapia - Pós-Graduação em Musicotereapia - Wagno Sérgio - História da Música - Nota Máxima: 10")</f>
        <v>Pós-Graduação em Musicoterapia - Pós-Graduação em Musicotereapia - Wagno Sérgio - História da Música - Nota Máxima: 10</v>
      </c>
    </row>
    <row r="7318">
      <c r="A7318" s="390" t="str">
        <f>IFERROR(__xludf.DUMMYFUNCTION("""COMPUTED_VALUE"""),"Pós-Graduação em Musicoterapia - Pós-Graduação em Musicotereapia - Wagno Sérgio - História da Música - Nota Máxima: 4")</f>
        <v>Pós-Graduação em Musicoterapia - Pós-Graduação em Musicotereapia - Wagno Sérgio - História da Música - Nota Máxima: 4</v>
      </c>
    </row>
    <row r="7319">
      <c r="A7319" s="390" t="str">
        <f>IFERROR(__xludf.DUMMYFUNCTION("""COMPUTED_VALUE"""),"Pós-Graduação em Musicoterapia - Pós-Graduação em Musicotereapia - Wagno Sérgio - Musicoterapia - Nota Máxima: 10")</f>
        <v>Pós-Graduação em Musicoterapia - Pós-Graduação em Musicotereapia - Wagno Sérgio - Musicoterapia - Nota Máxima: 10</v>
      </c>
    </row>
    <row r="7320">
      <c r="A7320" s="390" t="str">
        <f>IFERROR(__xludf.DUMMYFUNCTION("""COMPUTED_VALUE"""),"Pós-Graduação em Musicoterapia - Pós-Graduação em Musicotereapia - Wagno Sérgio - Musicoterapia - Nota Máxima: 10")</f>
        <v>Pós-Graduação em Musicoterapia - Pós-Graduação em Musicotereapia - Wagno Sérgio - Musicoterapia - Nota Máxima: 10</v>
      </c>
    </row>
    <row r="7321">
      <c r="A7321" s="390" t="str">
        <f>IFERROR(__xludf.DUMMYFUNCTION("""COMPUTED_VALUE"""),"Pós-Graduação em Musicoterapia - Pós-Graduação em Musicotereapia - Wagno Sérgio - Neurologia na Musicoterapia - Nota Máxima: 10")</f>
        <v>Pós-Graduação em Musicoterapia - Pós-Graduação em Musicotereapia - Wagno Sérgio - Neurologia na Musicoterapia - Nota Máxima: 10</v>
      </c>
    </row>
    <row r="7322">
      <c r="A7322" s="390" t="str">
        <f>IFERROR(__xludf.DUMMYFUNCTION("""COMPUTED_VALUE"""),"Pós-Graduação em Musicoterapia - Pós-Graduação em Musicotereapia - Wagno Sérgio - Neurologia na Musicoterapia - Nota Máxima: 8")</f>
        <v>Pós-Graduação em Musicoterapia - Pós-Graduação em Musicotereapia - Wagno Sérgio - Neurologia na Musicoterapia - Nota Máxima: 8</v>
      </c>
    </row>
    <row r="7323">
      <c r="A7323" s="390" t="str">
        <f>IFERROR(__xludf.DUMMYFUNCTION("""COMPUTED_VALUE"""),"Pós-Graduação em Musicoterapia - Pós-Graduação em Musicotereapia - Wagno Sérgio - Psicologia do Desenvolvimento: Aprendizagem Infantil - Nota Máxima: 10")</f>
        <v>Pós-Graduação em Musicoterapia - Pós-Graduação em Musicotereapia - Wagno Sérgio - Psicologia do Desenvolvimento: Aprendizagem Infantil - Nota Máxima: 10</v>
      </c>
    </row>
    <row r="7324">
      <c r="A7324" s="390" t="str">
        <f>IFERROR(__xludf.DUMMYFUNCTION("""COMPUTED_VALUE"""),"Pós-Graduação em Musicoterapia - Pós-Graduação em Musicotereapia - Wagno Sérgio - Psicologia do Desenvolvimento: Aprendizagem Infantil - Nota Máxima: 8")</f>
        <v>Pós-Graduação em Musicoterapia - Pós-Graduação em Musicotereapia - Wagno Sérgio - Psicologia do Desenvolvimento: Aprendizagem Infantil - Nota Máxima: 8</v>
      </c>
    </row>
    <row r="7325">
      <c r="A7325" s="390" t="str">
        <f>IFERROR(__xludf.DUMMYFUNCTION("""COMPUTED_VALUE"""),"Pós-Graduação em Musicoterapia - Pós-Graduação em Musicotereapia - Wagno Sérgio - Relacionamento Interpessoal - Nota Máxima: 10")</f>
        <v>Pós-Graduação em Musicoterapia - Pós-Graduação em Musicotereapia - Wagno Sérgio - Relacionamento Interpessoal - Nota Máxima: 10</v>
      </c>
    </row>
    <row r="7326">
      <c r="A7326" s="390" t="str">
        <f>IFERROR(__xludf.DUMMYFUNCTION("""COMPUTED_VALUE"""),"Pós-Graduação em Musicoterapia - Pós-Graduação em Musicotereapia - Wagno Sérgio - Relacionamento Interpessoal - Nota Máxima: 9")</f>
        <v>Pós-Graduação em Musicoterapia - Pós-Graduação em Musicotereapia - Wagno Sérgio - Relacionamento Interpessoal - Nota Máxima: 9</v>
      </c>
    </row>
    <row r="7327">
      <c r="A7327" s="390" t="str">
        <f>IFERROR(__xludf.DUMMYFUNCTION("""COMPUTED_VALUE"""),"Pós-Graduação em Musicoterapia - Pós-Graduação em Musicotereapia - Helleny Nobre da Silva - Aplicações Musicoterapeuticas - Nota Máxima: 10")</f>
        <v>Pós-Graduação em Musicoterapia - Pós-Graduação em Musicotereapia - Helleny Nobre da Silva - Aplicações Musicoterapeuticas - Nota Máxima: 10</v>
      </c>
    </row>
    <row r="7328">
      <c r="A7328" s="390" t="str">
        <f>IFERROR(__xludf.DUMMYFUNCTION("""COMPUTED_VALUE"""),"Pós-Graduação em Musicoterapia - Pós-Graduação em Musicotereapia - Helleny Nobre da Silva - Deficiência Auditiva e Libras/a - Nota Máxima: 10")</f>
        <v>Pós-Graduação em Musicoterapia - Pós-Graduação em Musicotereapia - Helleny Nobre da Silva - Deficiência Auditiva e Libras/a - Nota Máxima: 10</v>
      </c>
    </row>
    <row r="7329">
      <c r="A7329" s="390" t="str">
        <f>IFERROR(__xludf.DUMMYFUNCTION("""COMPUTED_VALUE"""),"Pós-Graduação em Musicoterapia - Pós-Graduação em Musicotereapia - Helleny Nobre da Silva - Didática e Metodologia do Ensino Superior - Nota Máxima: 10")</f>
        <v>Pós-Graduação em Musicoterapia - Pós-Graduação em Musicotereapia - Helleny Nobre da Silva - Didática e Metodologia do Ensino Superior - Nota Máxima: 10</v>
      </c>
    </row>
    <row r="7330">
      <c r="A7330" s="390" t="str">
        <f>IFERROR(__xludf.DUMMYFUNCTION("""COMPUTED_VALUE"""),"Pós-Graduação em Musicoterapia - Pós-Graduação em Musicotereapia - Helleny Nobre da Silva - Ética Profissional - Nota Máxima: 10")</f>
        <v>Pós-Graduação em Musicoterapia - Pós-Graduação em Musicotereapia - Helleny Nobre da Silva - Ética Profissional - Nota Máxima: 10</v>
      </c>
    </row>
    <row r="7331">
      <c r="A7331" s="390" t="str">
        <f>IFERROR(__xludf.DUMMYFUNCTION("""COMPUTED_VALUE"""),"Pós-Graduação em Musicoterapia - Pós-Graduação em Musicotereapia - Helleny Nobre da Silva - História da Música - Nota Máxima: 10")</f>
        <v>Pós-Graduação em Musicoterapia - Pós-Graduação em Musicotereapia - Helleny Nobre da Silva - História da Música - Nota Máxima: 10</v>
      </c>
    </row>
    <row r="7332">
      <c r="A7332" s="390" t="str">
        <f>IFERROR(__xludf.DUMMYFUNCTION("""COMPUTED_VALUE"""),"Pós-Graduação em Musicoterapia - Pós-Graduação em Musicotereapia - Helleny Nobre da Silva - Musicoterapia - Nota Máxima: 10")</f>
        <v>Pós-Graduação em Musicoterapia - Pós-Graduação em Musicotereapia - Helleny Nobre da Silva - Musicoterapia - Nota Máxima: 10</v>
      </c>
    </row>
    <row r="7333">
      <c r="A7333" s="390" t="str">
        <f>IFERROR(__xludf.DUMMYFUNCTION("""COMPUTED_VALUE"""),"Pós-Graduação em Musicoterapia - Pós-Graduação em Musicotereapia - Helleny Nobre da Silva - Neurologia na Musicoterapia - Nota Máxima: 10")</f>
        <v>Pós-Graduação em Musicoterapia - Pós-Graduação em Musicotereapia - Helleny Nobre da Silva - Neurologia na Musicoterapia - Nota Máxima: 10</v>
      </c>
    </row>
    <row r="7334">
      <c r="A7334" s="390" t="str">
        <f>IFERROR(__xludf.DUMMYFUNCTION("""COMPUTED_VALUE"""),"Pós-Graduação em Musicoterapia - Pós-Graduação em Musicotereapia - Helleny Nobre da Silva - Psicologia do Desenvolvimento: Aprendizagem Infantil - Nota Máxima: 10")</f>
        <v>Pós-Graduação em Musicoterapia - Pós-Graduação em Musicotereapia - Helleny Nobre da Silva - Psicologia do Desenvolvimento: Aprendizagem Infantil - Nota Máxima: 10</v>
      </c>
    </row>
    <row r="7335">
      <c r="A7335" s="390" t="str">
        <f>IFERROR(__xludf.DUMMYFUNCTION("""COMPUTED_VALUE"""),"Pós-Graduação em Musicoterapia - Pós-Graduação em Musicotereapia - Helleny Nobre da Silva - Relacionamento Interpessoal - Nota Máxima: 10")</f>
        <v>Pós-Graduação em Musicoterapia - Pós-Graduação em Musicotereapia - Helleny Nobre da Silva - Relacionamento Interpessoal - Nota Máxima: 10</v>
      </c>
    </row>
    <row r="7336">
      <c r="A7336" s="390" t="str">
        <f>IFERROR(__xludf.DUMMYFUNCTION("""COMPUTED_VALUE"""),"Pós-Graduação em Musicoterapia - Pós-Graduação em Musicotereapia - CELSO HENRIQUE VIEIRA DE LIMA - Aplicações Musicoterapeuticas - Nota Máxima: 7")</f>
        <v>Pós-Graduação em Musicoterapia - Pós-Graduação em Musicotereapia - CELSO HENRIQUE VIEIRA DE LIMA - Aplicações Musicoterapeuticas - Nota Máxima: 7</v>
      </c>
    </row>
    <row r="7337">
      <c r="A7337" s="390" t="str">
        <f>IFERROR(__xludf.DUMMYFUNCTION("""COMPUTED_VALUE"""),"Pós-Graduação em Musicoterapia - Pós-Graduação em Musicotereapia - CELSO HENRIQUE VIEIRA DE LIMA - Deficiência Auditiva e Libras/a - Nota Máxima: 10")</f>
        <v>Pós-Graduação em Musicoterapia - Pós-Graduação em Musicotereapia - CELSO HENRIQUE VIEIRA DE LIMA - Deficiência Auditiva e Libras/a - Nota Máxima: 10</v>
      </c>
    </row>
    <row r="7338">
      <c r="A7338" s="390" t="str">
        <f>IFERROR(__xludf.DUMMYFUNCTION("""COMPUTED_VALUE"""),"Pós-Graduação em Musicoterapia - Pós-Graduação em Musicotereapia - CELSO HENRIQUE VIEIRA DE LIMA - Didática e Metodologia do Ensino Superior - Nota Máxima: 9")</f>
        <v>Pós-Graduação em Musicoterapia - Pós-Graduação em Musicotereapia - CELSO HENRIQUE VIEIRA DE LIMA - Didática e Metodologia do Ensino Superior - Nota Máxima: 9</v>
      </c>
    </row>
    <row r="7339">
      <c r="A7339" s="390" t="str">
        <f>IFERROR(__xludf.DUMMYFUNCTION("""COMPUTED_VALUE"""),"Pós-Graduação em Musicoterapia - Pós-Graduação em Musicotereapia - CELSO HENRIQUE VIEIRA DE LIMA - Ética Profissional - Nota Máxima: 10")</f>
        <v>Pós-Graduação em Musicoterapia - Pós-Graduação em Musicotereapia - CELSO HENRIQUE VIEIRA DE LIMA - Ética Profissional - Nota Máxima: 10</v>
      </c>
    </row>
    <row r="7340">
      <c r="A7340" s="390" t="str">
        <f>IFERROR(__xludf.DUMMYFUNCTION("""COMPUTED_VALUE"""),"Pós-Graduação em Musicoterapia - Pós-Graduação em Musicotereapia - CELSO HENRIQUE VIEIRA DE LIMA - História da Música - Nota Máxima: 8")</f>
        <v>Pós-Graduação em Musicoterapia - Pós-Graduação em Musicotereapia - CELSO HENRIQUE VIEIRA DE LIMA - História da Música - Nota Máxima: 8</v>
      </c>
    </row>
    <row r="7341">
      <c r="A7341" s="390" t="str">
        <f>IFERROR(__xludf.DUMMYFUNCTION("""COMPUTED_VALUE"""),"Pós-Graduação em Musicoterapia - Pós-Graduação em Musicotereapia - CELSO HENRIQUE VIEIRA DE LIMA - Musicoterapia - Nota Máxima: 10")</f>
        <v>Pós-Graduação em Musicoterapia - Pós-Graduação em Musicotereapia - CELSO HENRIQUE VIEIRA DE LIMA - Musicoterapia - Nota Máxima: 10</v>
      </c>
    </row>
    <row r="7342">
      <c r="A7342" s="390" t="str">
        <f>IFERROR(__xludf.DUMMYFUNCTION("""COMPUTED_VALUE"""),"Pós-Graduação em Musicoterapia - Pós-Graduação em Musicotereapia - CELSO HENRIQUE VIEIRA DE LIMA - Neurologia na Musicoterapia - Nota Máxima: 8")</f>
        <v>Pós-Graduação em Musicoterapia - Pós-Graduação em Musicotereapia - CELSO HENRIQUE VIEIRA DE LIMA - Neurologia na Musicoterapia - Nota Máxima: 8</v>
      </c>
    </row>
    <row r="7343">
      <c r="A7343" s="390" t="str">
        <f>IFERROR(__xludf.DUMMYFUNCTION("""COMPUTED_VALUE"""),"Pós-Graduação em Musicoterapia - Pós-Graduação em Musicotereapia - CELSO HENRIQUE VIEIRA DE LIMA - Psicologia do Desenvolvimento: Aprendizagem Infantil - Nota Máxima: 8")</f>
        <v>Pós-Graduação em Musicoterapia - Pós-Graduação em Musicotereapia - CELSO HENRIQUE VIEIRA DE LIMA - Psicologia do Desenvolvimento: Aprendizagem Infantil - Nota Máxima: 8</v>
      </c>
    </row>
    <row r="7344">
      <c r="A7344" s="390" t="str">
        <f>IFERROR(__xludf.DUMMYFUNCTION("""COMPUTED_VALUE"""),"Pós-Graduação em Musicoterapia - Pós-Graduação em Musicotereapia - CELSO HENRIQUE VIEIRA DE LIMA - Relacionamento Interpessoal - Nota Máxima: 10")</f>
        <v>Pós-Graduação em Musicoterapia - Pós-Graduação em Musicotereapia - CELSO HENRIQUE VIEIRA DE LIMA - Relacionamento Interpessoal - Nota Máxima: 10</v>
      </c>
    </row>
    <row r="7345">
      <c r="A7345" s="390" t="str">
        <f>IFERROR(__xludf.DUMMYFUNCTION("""COMPUTED_VALUE"""),"Pós-Graduação em Musicoterapia - Pós-Graduação em Musicotereapia - CELSO HENRIQUE VIEIRA DE LIMA - Aplicações Musicoterapeuticas - Nota Máxima: 7")</f>
        <v>Pós-Graduação em Musicoterapia - Pós-Graduação em Musicotereapia - CELSO HENRIQUE VIEIRA DE LIMA - Aplicações Musicoterapeuticas - Nota Máxima: 7</v>
      </c>
    </row>
    <row r="7346">
      <c r="A7346" s="390" t="str">
        <f>IFERROR(__xludf.DUMMYFUNCTION("""COMPUTED_VALUE"""),"Pós-Graduação em Musicoterapia - Pós-Graduação em Musicotereapia - CELSO HENRIQUE VIEIRA DE LIMA - Deficiência Auditiva e Libras/a - Nota Máxima: 10")</f>
        <v>Pós-Graduação em Musicoterapia - Pós-Graduação em Musicotereapia - CELSO HENRIQUE VIEIRA DE LIMA - Deficiência Auditiva e Libras/a - Nota Máxima: 10</v>
      </c>
    </row>
    <row r="7347">
      <c r="A7347" s="390" t="str">
        <f>IFERROR(__xludf.DUMMYFUNCTION("""COMPUTED_VALUE"""),"Pós-Graduação em Musicoterapia - Pós-Graduação em Musicotereapia - CELSO HENRIQUE VIEIRA DE LIMA - Didática e Metodologia do Ensino Superior - Nota Máxima: 9")</f>
        <v>Pós-Graduação em Musicoterapia - Pós-Graduação em Musicotereapia - CELSO HENRIQUE VIEIRA DE LIMA - Didática e Metodologia do Ensino Superior - Nota Máxima: 9</v>
      </c>
    </row>
    <row r="7348">
      <c r="A7348" s="390" t="str">
        <f>IFERROR(__xludf.DUMMYFUNCTION("""COMPUTED_VALUE"""),"Pós-Graduação em Musicoterapia - Pós-Graduação em Musicotereapia - CELSO HENRIQUE VIEIRA DE LIMA - Ética Profissional - Nota Máxima: 10")</f>
        <v>Pós-Graduação em Musicoterapia - Pós-Graduação em Musicotereapia - CELSO HENRIQUE VIEIRA DE LIMA - Ética Profissional - Nota Máxima: 10</v>
      </c>
    </row>
    <row r="7349">
      <c r="A7349" s="390" t="str">
        <f>IFERROR(__xludf.DUMMYFUNCTION("""COMPUTED_VALUE"""),"Pós-Graduação em Musicoterapia - Pós-Graduação em Musicotereapia - CELSO HENRIQUE VIEIRA DE LIMA - História da Música - Nota Máxima: 8")</f>
        <v>Pós-Graduação em Musicoterapia - Pós-Graduação em Musicotereapia - CELSO HENRIQUE VIEIRA DE LIMA - História da Música - Nota Máxima: 8</v>
      </c>
    </row>
    <row r="7350">
      <c r="A7350" s="390" t="str">
        <f>IFERROR(__xludf.DUMMYFUNCTION("""COMPUTED_VALUE"""),"Pós-Graduação em Musicoterapia - Pós-Graduação em Musicotereapia - CELSO HENRIQUE VIEIRA DE LIMA - Musicoterapia - Nota Máxima: 10")</f>
        <v>Pós-Graduação em Musicoterapia - Pós-Graduação em Musicotereapia - CELSO HENRIQUE VIEIRA DE LIMA - Musicoterapia - Nota Máxima: 10</v>
      </c>
    </row>
    <row r="7351">
      <c r="A7351" s="390" t="str">
        <f>IFERROR(__xludf.DUMMYFUNCTION("""COMPUTED_VALUE"""),"Pós-Graduação em Musicoterapia - Pós-Graduação em Musicotereapia - CELSO HENRIQUE VIEIRA DE LIMA - Neurologia na Musicoterapia - Nota Máxima: 8")</f>
        <v>Pós-Graduação em Musicoterapia - Pós-Graduação em Musicotereapia - CELSO HENRIQUE VIEIRA DE LIMA - Neurologia na Musicoterapia - Nota Máxima: 8</v>
      </c>
    </row>
    <row r="7352">
      <c r="A7352" s="390" t="str">
        <f>IFERROR(__xludf.DUMMYFUNCTION("""COMPUTED_VALUE"""),"Pós-Graduação em Musicoterapia - Pós-Graduação em Musicotereapia - CELSO HENRIQUE VIEIRA DE LIMA - Psicologia do Desenvolvimento: Aprendizagem Infantil - Nota Máxima: 8")</f>
        <v>Pós-Graduação em Musicoterapia - Pós-Graduação em Musicotereapia - CELSO HENRIQUE VIEIRA DE LIMA - Psicologia do Desenvolvimento: Aprendizagem Infantil - Nota Máxima: 8</v>
      </c>
    </row>
    <row r="7353">
      <c r="A7353" s="390" t="str">
        <f>IFERROR(__xludf.DUMMYFUNCTION("""COMPUTED_VALUE"""),"Pós-Graduação em Musicoterapia - Pós-Graduação em Musicotereapia - CELSO HENRIQUE VIEIRA DE LIMA - Relacionamento Interpessoal - Nota Máxima: 10")</f>
        <v>Pós-Graduação em Musicoterapia - Pós-Graduação em Musicotereapia - CELSO HENRIQUE VIEIRA DE LIMA - Relacionamento Interpessoal - Nota Máxima: 10</v>
      </c>
    </row>
    <row r="7354">
      <c r="A7354" s="390" t="str">
        <f>IFERROR(__xludf.DUMMYFUNCTION("""COMPUTED_VALUE"""),"Pós-Graduação em Musicoterapia - Pós-Graduação em Musicotereapia - ANDRESSA BERTON DE CARLI - Aplicações Musicoterapeuticas - Nota Máxima: 10")</f>
        <v>Pós-Graduação em Musicoterapia - Pós-Graduação em Musicotereapia - ANDRESSA BERTON DE CARLI - Aplicações Musicoterapeuticas - Nota Máxima: 10</v>
      </c>
    </row>
    <row r="7355">
      <c r="A7355" s="390" t="str">
        <f>IFERROR(__xludf.DUMMYFUNCTION("""COMPUTED_VALUE"""),"Pós-Graduação em Musicoterapia - Pós-Graduação em Musicotereapia - ANDRESSA BERTON DE CARLI - Deficiência Auditiva e Libras/a - Nota Máxima: 9")</f>
        <v>Pós-Graduação em Musicoterapia - Pós-Graduação em Musicotereapia - ANDRESSA BERTON DE CARLI - Deficiência Auditiva e Libras/a - Nota Máxima: 9</v>
      </c>
    </row>
    <row r="7356">
      <c r="A7356" s="390" t="str">
        <f>IFERROR(__xludf.DUMMYFUNCTION("""COMPUTED_VALUE"""),"Pós-Graduação em Musicoterapia - Pós-Graduação em Musicotereapia - ANDRESSA BERTON DE CARLI - Didática e Metodologia do Ensino Superior - Nota Máxima: 8")</f>
        <v>Pós-Graduação em Musicoterapia - Pós-Graduação em Musicotereapia - ANDRESSA BERTON DE CARLI - Didática e Metodologia do Ensino Superior - Nota Máxima: 8</v>
      </c>
    </row>
    <row r="7357">
      <c r="A7357" s="390" t="str">
        <f>IFERROR(__xludf.DUMMYFUNCTION("""COMPUTED_VALUE"""),"Pós-Graduação em Musicoterapia - Pós-Graduação em Musicotereapia - ANDRESSA BERTON DE CARLI - Ética Profissional - Nota Máxima: 10")</f>
        <v>Pós-Graduação em Musicoterapia - Pós-Graduação em Musicotereapia - ANDRESSA BERTON DE CARLI - Ética Profissional - Nota Máxima: 10</v>
      </c>
    </row>
    <row r="7358">
      <c r="A7358" s="390" t="str">
        <f>IFERROR(__xludf.DUMMYFUNCTION("""COMPUTED_VALUE"""),"Pós-Graduação em Musicoterapia - Pós-Graduação em Musicotereapia - ANDRESSA BERTON DE CARLI - História da Música - Nota Máxima: 10")</f>
        <v>Pós-Graduação em Musicoterapia - Pós-Graduação em Musicotereapia - ANDRESSA BERTON DE CARLI - História da Música - Nota Máxima: 10</v>
      </c>
    </row>
    <row r="7359">
      <c r="A7359" s="390" t="str">
        <f>IFERROR(__xludf.DUMMYFUNCTION("""COMPUTED_VALUE"""),"Pós-Graduação em Musicoterapia - Pós-Graduação em Musicotereapia - ANDRESSA BERTON DE CARLI - História da Música - Nota Máxima: 3")</f>
        <v>Pós-Graduação em Musicoterapia - Pós-Graduação em Musicotereapia - ANDRESSA BERTON DE CARLI - História da Música - Nota Máxima: 3</v>
      </c>
    </row>
    <row r="7360">
      <c r="A7360" s="390" t="str">
        <f>IFERROR(__xludf.DUMMYFUNCTION("""COMPUTED_VALUE"""),"Pós-Graduação em Musicoterapia - Pós-Graduação em Musicotereapia - ANDRESSA BERTON DE CARLI - Musicoterapia - Nota Máxima: 10")</f>
        <v>Pós-Graduação em Musicoterapia - Pós-Graduação em Musicotereapia - ANDRESSA BERTON DE CARLI - Musicoterapia - Nota Máxima: 10</v>
      </c>
    </row>
    <row r="7361">
      <c r="A7361" s="390" t="str">
        <f>IFERROR(__xludf.DUMMYFUNCTION("""COMPUTED_VALUE"""),"Pós-Graduação em Musicoterapia - Pós-Graduação em Musicotereapia - ANDRESSA BERTON DE CARLI - Neurologia na Musicoterapia - Nota Máxima: 10")</f>
        <v>Pós-Graduação em Musicoterapia - Pós-Graduação em Musicotereapia - ANDRESSA BERTON DE CARLI - Neurologia na Musicoterapia - Nota Máxima: 10</v>
      </c>
    </row>
    <row r="7362">
      <c r="A7362" s="390" t="str">
        <f>IFERROR(__xludf.DUMMYFUNCTION("""COMPUTED_VALUE"""),"Pós-Graduação em Musicoterapia - Pós-Graduação em Musicotereapia - ANDRESSA BERTON DE CARLI - Psicologia do Desenvolvimento: Aprendizagem Infantil - Nota Máxima: 10")</f>
        <v>Pós-Graduação em Musicoterapia - Pós-Graduação em Musicotereapia - ANDRESSA BERTON DE CARLI - Psicologia do Desenvolvimento: Aprendizagem Infantil - Nota Máxima: 10</v>
      </c>
    </row>
    <row r="7363">
      <c r="A7363" s="390" t="str">
        <f>IFERROR(__xludf.DUMMYFUNCTION("""COMPUTED_VALUE"""),"Pós-Graduação em Musicoterapia - Pós-Graduação em Musicotereapia - ANDRESSA BERTON DE CARLI - Psicologia do Desenvolvimento: Aprendizagem Infantil - Nota Máxima: 8")</f>
        <v>Pós-Graduação em Musicoterapia - Pós-Graduação em Musicotereapia - ANDRESSA BERTON DE CARLI - Psicologia do Desenvolvimento: Aprendizagem Infantil - Nota Máxima: 8</v>
      </c>
    </row>
    <row r="7364">
      <c r="A7364" s="390" t="str">
        <f>IFERROR(__xludf.DUMMYFUNCTION("""COMPUTED_VALUE"""),"Pós-Graduação em Musicoterapia - Pós-Graduação em Musicotereapia - ANDRESSA BERTON DE CARLI - Relacionamento Interpessoal - Nota Máxima: 10")</f>
        <v>Pós-Graduação em Musicoterapia - Pós-Graduação em Musicotereapia - ANDRESSA BERTON DE CARLI - Relacionamento Interpessoal - Nota Máxima: 10</v>
      </c>
    </row>
    <row r="7365">
      <c r="A7365" s="390" t="str">
        <f>IFERROR(__xludf.DUMMYFUNCTION("""COMPUTED_VALUE"""),"Pós-Graduação em Musicoterapia - Pós-Graduação em Musicotereapia - Flávia Aparecida Leandro - Aplicações Musicoterapeuticas - Nota Máxima: 10")</f>
        <v>Pós-Graduação em Musicoterapia - Pós-Graduação em Musicotereapia - Flávia Aparecida Leandro - Aplicações Musicoterapeuticas - Nota Máxima: 10</v>
      </c>
    </row>
    <row r="7366">
      <c r="A7366" s="390" t="str">
        <f>IFERROR(__xludf.DUMMYFUNCTION("""COMPUTED_VALUE"""),"Pós-Graduação em Musicoterapia - Pós-Graduação em Musicotereapia - Flávia Aparecida Leandro - Deficiência Auditiva e Libras/a - Nota Máxima: 10")</f>
        <v>Pós-Graduação em Musicoterapia - Pós-Graduação em Musicotereapia - Flávia Aparecida Leandro - Deficiência Auditiva e Libras/a - Nota Máxima: 10</v>
      </c>
    </row>
    <row r="7367">
      <c r="A7367" s="390" t="str">
        <f>IFERROR(__xludf.DUMMYFUNCTION("""COMPUTED_VALUE"""),"Pós-Graduação em Musicoterapia - Pós-Graduação em Musicotereapia - Flávia Aparecida Leandro - Didática e Metodologia do Ensino Superior - Nota Máxima: 10")</f>
        <v>Pós-Graduação em Musicoterapia - Pós-Graduação em Musicotereapia - Flávia Aparecida Leandro - Didática e Metodologia do Ensino Superior - Nota Máxima: 10</v>
      </c>
    </row>
    <row r="7368">
      <c r="A7368" s="390" t="str">
        <f>IFERROR(__xludf.DUMMYFUNCTION("""COMPUTED_VALUE"""),"Pós-Graduação em Musicoterapia - Pós-Graduação em Musicotereapia - Flávia Aparecida Leandro - Ética Profissional - Nota Máxima: 10")</f>
        <v>Pós-Graduação em Musicoterapia - Pós-Graduação em Musicotereapia - Flávia Aparecida Leandro - Ética Profissional - Nota Máxima: 10</v>
      </c>
    </row>
    <row r="7369">
      <c r="A7369" s="390" t="str">
        <f>IFERROR(__xludf.DUMMYFUNCTION("""COMPUTED_VALUE"""),"Pós-Graduação em Musicoterapia - Pós-Graduação em Musicotereapia - Flávia Aparecida Leandro - História da Música - Nota Máxima: 10")</f>
        <v>Pós-Graduação em Musicoterapia - Pós-Graduação em Musicotereapia - Flávia Aparecida Leandro - História da Música - Nota Máxima: 10</v>
      </c>
    </row>
    <row r="7370">
      <c r="A7370" s="390" t="str">
        <f>IFERROR(__xludf.DUMMYFUNCTION("""COMPUTED_VALUE"""),"Pós-Graduação em Musicoterapia - Pós-Graduação em Musicotereapia - Flávia Aparecida Leandro - Musicoterapia - Nota Máxima: 10")</f>
        <v>Pós-Graduação em Musicoterapia - Pós-Graduação em Musicotereapia - Flávia Aparecida Leandro - Musicoterapia - Nota Máxima: 10</v>
      </c>
    </row>
    <row r="7371">
      <c r="A7371" s="390" t="str">
        <f>IFERROR(__xludf.DUMMYFUNCTION("""COMPUTED_VALUE"""),"Pós-Graduação em Musicoterapia - Pós-Graduação em Musicotereapia - Flávia Aparecida Leandro - Neurologia na Musicoterapia - Nota Máxima: 10")</f>
        <v>Pós-Graduação em Musicoterapia - Pós-Graduação em Musicotereapia - Flávia Aparecida Leandro - Neurologia na Musicoterapia - Nota Máxima: 10</v>
      </c>
    </row>
    <row r="7372">
      <c r="A7372" s="390" t="str">
        <f>IFERROR(__xludf.DUMMYFUNCTION("""COMPUTED_VALUE"""),"Pós-Graduação em Musicoterapia - Pós-Graduação em Musicotereapia - Flávia Aparecida Leandro - Psicologia do Desenvolvimento: Aprendizagem Infantil - Nota Máxima: 10")</f>
        <v>Pós-Graduação em Musicoterapia - Pós-Graduação em Musicotereapia - Flávia Aparecida Leandro - Psicologia do Desenvolvimento: Aprendizagem Infantil - Nota Máxima: 10</v>
      </c>
    </row>
    <row r="7373">
      <c r="A7373" s="390" t="str">
        <f>IFERROR(__xludf.DUMMYFUNCTION("""COMPUTED_VALUE"""),"Pós-Graduação em Musicoterapia - Pós-Graduação em Musicotereapia - Flávia Aparecida Leandro - Relacionamento Interpessoal - Nota Máxima: 10")</f>
        <v>Pós-Graduação em Musicoterapia - Pós-Graduação em Musicotereapia - Flávia Aparecida Leandro - Relacionamento Interpessoal - Nota Máxima: 10</v>
      </c>
    </row>
    <row r="7374">
      <c r="A7374" s="390" t="str">
        <f>IFERROR(__xludf.DUMMYFUNCTION("""COMPUTED_VALUE"""),"")</f>
        <v/>
      </c>
    </row>
    <row r="7375">
      <c r="A7375" s="390" t="str">
        <f>IFERROR(__xludf.DUMMYFUNCTION("""COMPUTED_VALUE"""),"")</f>
        <v/>
      </c>
    </row>
    <row r="7376">
      <c r="A7376" s="390" t="str">
        <f>IFERROR(__xludf.DUMMYFUNCTION("""COMPUTED_VALUE"""),"Pós-Graduação em Musicoterapia - Pós-Graduação em Musicotereapia - Wallyson Klleuver Silva dos Santos - Aplicações Musicoterapeuticas - Nota Máxima: 9")</f>
        <v>Pós-Graduação em Musicoterapia - Pós-Graduação em Musicotereapia - Wallyson Klleuver Silva dos Santos - Aplicações Musicoterapeuticas - Nota Máxima: 9</v>
      </c>
    </row>
    <row r="7377">
      <c r="A7377" s="390" t="str">
        <f>IFERROR(__xludf.DUMMYFUNCTION("""COMPUTED_VALUE"""),"Pós-Graduação em Musicoterapia - Pós-Graduação em Musicotereapia - Wallyson Klleuver Silva dos Santos - Deficiência Auditiva e Libras/a - Nota Máxima: 10")</f>
        <v>Pós-Graduação em Musicoterapia - Pós-Graduação em Musicotereapia - Wallyson Klleuver Silva dos Santos - Deficiência Auditiva e Libras/a - Nota Máxima: 10</v>
      </c>
    </row>
    <row r="7378">
      <c r="A7378" s="390" t="str">
        <f>IFERROR(__xludf.DUMMYFUNCTION("""COMPUTED_VALUE"""),"Pós-Graduação em Musicoterapia - Pós-Graduação em Musicotereapia - Wallyson Klleuver Silva dos Santos - Didática e Metodologia do Ensino Superior - Nota Máxima: 10")</f>
        <v>Pós-Graduação em Musicoterapia - Pós-Graduação em Musicotereapia - Wallyson Klleuver Silva dos Santos - Didática e Metodologia do Ensino Superior - Nota Máxima: 10</v>
      </c>
    </row>
    <row r="7379">
      <c r="A7379" s="390" t="str">
        <f>IFERROR(__xludf.DUMMYFUNCTION("""COMPUTED_VALUE"""),"Pós-Graduação em Musicoterapia - Pós-Graduação em Musicotereapia - Wallyson Klleuver Silva dos Santos - Ética Profissional - Nota Máxima: 10")</f>
        <v>Pós-Graduação em Musicoterapia - Pós-Graduação em Musicotereapia - Wallyson Klleuver Silva dos Santos - Ética Profissional - Nota Máxima: 10</v>
      </c>
    </row>
    <row r="7380">
      <c r="A7380" s="390" t="str">
        <f>IFERROR(__xludf.DUMMYFUNCTION("""COMPUTED_VALUE"""),"Pós-Graduação em Musicoterapia - Pós-Graduação em Musicotereapia - Wallyson Klleuver Silva dos Santos - História da Música - Nota Máxima: 10")</f>
        <v>Pós-Graduação em Musicoterapia - Pós-Graduação em Musicotereapia - Wallyson Klleuver Silva dos Santos - História da Música - Nota Máxima: 10</v>
      </c>
    </row>
    <row r="7381">
      <c r="A7381" s="390" t="str">
        <f>IFERROR(__xludf.DUMMYFUNCTION("""COMPUTED_VALUE"""),"Pós-Graduação em Musicoterapia - Pós-Graduação em Musicotereapia - Wallyson Klleuver Silva dos Santos - Musicoterapia - Nota Máxima: 10")</f>
        <v>Pós-Graduação em Musicoterapia - Pós-Graduação em Musicotereapia - Wallyson Klleuver Silva dos Santos - Musicoterapia - Nota Máxima: 10</v>
      </c>
    </row>
    <row r="7382">
      <c r="A7382" s="390" t="str">
        <f>IFERROR(__xludf.DUMMYFUNCTION("""COMPUTED_VALUE"""),"Pós-Graduação em Musicoterapia - Pós-Graduação em Musicotereapia - Wallyson Klleuver Silva dos Santos - Neurologia na Musicoterapia - Nota Máxima: 9")</f>
        <v>Pós-Graduação em Musicoterapia - Pós-Graduação em Musicotereapia - Wallyson Klleuver Silva dos Santos - Neurologia na Musicoterapia - Nota Máxima: 9</v>
      </c>
    </row>
    <row r="7383">
      <c r="A7383" s="390" t="str">
        <f>IFERROR(__xludf.DUMMYFUNCTION("""COMPUTED_VALUE"""),"Pós-Graduação em Musicoterapia - Pós-Graduação em Musicotereapia - Wallyson Klleuver Silva dos Santos - Psicologia do Desenvolvimento: Aprendizagem Infantil - Nota Máxima: 10")</f>
        <v>Pós-Graduação em Musicoterapia - Pós-Graduação em Musicotereapia - Wallyson Klleuver Silva dos Santos - Psicologia do Desenvolvimento: Aprendizagem Infantil - Nota Máxima: 10</v>
      </c>
    </row>
    <row r="7384">
      <c r="A7384" s="390" t="str">
        <f>IFERROR(__xludf.DUMMYFUNCTION("""COMPUTED_VALUE"""),"Pós-Graduação em Musicoterapia - Pós-Graduação em Musicotereapia - Wallyson Klleuver Silva dos Santos - Relacionamento Interpessoal - Nota Máxima: 10")</f>
        <v>Pós-Graduação em Musicoterapia - Pós-Graduação em Musicotereapia - Wallyson Klleuver Silva dos Santos - Relacionamento Interpessoal - Nota Máxima: 10</v>
      </c>
    </row>
    <row r="7385">
      <c r="A7385" s="390" t="str">
        <f>IFERROR(__xludf.DUMMYFUNCTION("""COMPUTED_VALUE"""),"Pós-Graduação em Musicoterapia - Pós-Graduação em Musicotereapia - Maiza Moreira da Silva - Aplicações Musicoterapeuticas - Nota Máxima: 10")</f>
        <v>Pós-Graduação em Musicoterapia - Pós-Graduação em Musicotereapia - Maiza Moreira da Silva - Aplicações Musicoterapeuticas - Nota Máxima: 10</v>
      </c>
    </row>
    <row r="7386">
      <c r="A7386" s="390" t="str">
        <f>IFERROR(__xludf.DUMMYFUNCTION("""COMPUTED_VALUE"""),"Pós-Graduação em Musicoterapia - Pós-Graduação em Musicotereapia - Maiza Moreira da Silva - Deficiência Auditiva e Libras/a - Nota Máxima: 8")</f>
        <v>Pós-Graduação em Musicoterapia - Pós-Graduação em Musicotereapia - Maiza Moreira da Silva - Deficiência Auditiva e Libras/a - Nota Máxima: 8</v>
      </c>
    </row>
    <row r="7387">
      <c r="A7387" s="390" t="str">
        <f>IFERROR(__xludf.DUMMYFUNCTION("""COMPUTED_VALUE"""),"Pós-Graduação em Musicoterapia - Pós-Graduação em Musicotereapia - Maiza Moreira da Silva - Didática e Metodologia do Ensino Superior - Nota Máxima: 9")</f>
        <v>Pós-Graduação em Musicoterapia - Pós-Graduação em Musicotereapia - Maiza Moreira da Silva - Didática e Metodologia do Ensino Superior - Nota Máxima: 9</v>
      </c>
    </row>
    <row r="7388">
      <c r="A7388" s="390" t="str">
        <f>IFERROR(__xludf.DUMMYFUNCTION("""COMPUTED_VALUE"""),"Pós-Graduação em Musicoterapia - Pós-Graduação em Musicotereapia - Maiza Moreira da Silva - Ética Profissional - Nota Máxima: 10")</f>
        <v>Pós-Graduação em Musicoterapia - Pós-Graduação em Musicotereapia - Maiza Moreira da Silva - Ética Profissional - Nota Máxima: 10</v>
      </c>
    </row>
    <row r="7389">
      <c r="A7389" s="390" t="str">
        <f>IFERROR(__xludf.DUMMYFUNCTION("""COMPUTED_VALUE"""),"Pós-Graduação em Musicoterapia - Pós-Graduação em Musicotereapia - Maiza Moreira da Silva - História da Música - Nota Máxima: 10")</f>
        <v>Pós-Graduação em Musicoterapia - Pós-Graduação em Musicotereapia - Maiza Moreira da Silva - História da Música - Nota Máxima: 10</v>
      </c>
    </row>
    <row r="7390">
      <c r="A7390" s="390" t="str">
        <f>IFERROR(__xludf.DUMMYFUNCTION("""COMPUTED_VALUE"""),"Pós-Graduação em Musicoterapia - Pós-Graduação em Musicotereapia - Maiza Moreira da Silva - Musicoterapia - Nota Máxima: 9")</f>
        <v>Pós-Graduação em Musicoterapia - Pós-Graduação em Musicotereapia - Maiza Moreira da Silva - Musicoterapia - Nota Máxima: 9</v>
      </c>
    </row>
    <row r="7391">
      <c r="A7391" s="390" t="str">
        <f>IFERROR(__xludf.DUMMYFUNCTION("""COMPUTED_VALUE"""),"Pós-Graduação em Musicoterapia - Pós-Graduação em Musicotereapia - Maiza Moreira da Silva - Neurologia na Musicoterapia - Nota Máxima: 9")</f>
        <v>Pós-Graduação em Musicoterapia - Pós-Graduação em Musicotereapia - Maiza Moreira da Silva - Neurologia na Musicoterapia - Nota Máxima: 9</v>
      </c>
    </row>
    <row r="7392">
      <c r="A7392" s="390" t="str">
        <f>IFERROR(__xludf.DUMMYFUNCTION("""COMPUTED_VALUE"""),"Pós-Graduação em Musicoterapia - Pós-Graduação em Musicotereapia - Maiza Moreira da Silva - Psicologia do Desenvolvimento: Aprendizagem Infantil - Nota Máxima: 9")</f>
        <v>Pós-Graduação em Musicoterapia - Pós-Graduação em Musicotereapia - Maiza Moreira da Silva - Psicologia do Desenvolvimento: Aprendizagem Infantil - Nota Máxima: 9</v>
      </c>
    </row>
    <row r="7393">
      <c r="A7393" s="390" t="str">
        <f>IFERROR(__xludf.DUMMYFUNCTION("""COMPUTED_VALUE"""),"Pós-Graduação em Musicoterapia - Pós-Graduação em Musicotereapia - Maiza Moreira da Silva - Relacionamento Interpessoal - Nota Máxima: 10")</f>
        <v>Pós-Graduação em Musicoterapia - Pós-Graduação em Musicotereapia - Maiza Moreira da Silva - Relacionamento Interpessoal - Nota Máxima: 10</v>
      </c>
    </row>
    <row r="7394">
      <c r="A7394" s="390" t="str">
        <f>IFERROR(__xludf.DUMMYFUNCTION("""COMPUTED_VALUE"""),"Pós-Graduação em Musicoterapia - Pós-Graduação em Musicotereapia - Antoninho José Augusto da Silva - Aplicações Musicoterapeuticas - Nota Máxima: 8")</f>
        <v>Pós-Graduação em Musicoterapia - Pós-Graduação em Musicotereapia - Antoninho José Augusto da Silva - Aplicações Musicoterapeuticas - Nota Máxima: 8</v>
      </c>
    </row>
    <row r="7395">
      <c r="A7395" s="390" t="str">
        <f>IFERROR(__xludf.DUMMYFUNCTION("""COMPUTED_VALUE"""),"Pós-Graduação em Musicoterapia - Pós-Graduação em Musicotereapia - Antoninho José Augusto da Silva - Deficiência Auditiva e Libras/a - Nota Máxima: 10")</f>
        <v>Pós-Graduação em Musicoterapia - Pós-Graduação em Musicotereapia - Antoninho José Augusto da Silva - Deficiência Auditiva e Libras/a - Nota Máxima: 10</v>
      </c>
    </row>
    <row r="7396">
      <c r="A7396" s="390" t="str">
        <f>IFERROR(__xludf.DUMMYFUNCTION("""COMPUTED_VALUE"""),"Pós-Graduação em Musicoterapia - Pós-Graduação em Musicotereapia - Antoninho José Augusto da Silva - Didática e Metodologia do Ensino Superior - Nota Máxima: 9")</f>
        <v>Pós-Graduação em Musicoterapia - Pós-Graduação em Musicotereapia - Antoninho José Augusto da Silva - Didática e Metodologia do Ensino Superior - Nota Máxima: 9</v>
      </c>
    </row>
    <row r="7397">
      <c r="A7397" s="390" t="str">
        <f>IFERROR(__xludf.DUMMYFUNCTION("""COMPUTED_VALUE"""),"Pós-Graduação em Musicoterapia - Pós-Graduação em Musicotereapia - Antoninho José Augusto da Silva - Ética Profissional - Nota Máxima: 8")</f>
        <v>Pós-Graduação em Musicoterapia - Pós-Graduação em Musicotereapia - Antoninho José Augusto da Silva - Ética Profissional - Nota Máxima: 8</v>
      </c>
    </row>
    <row r="7398">
      <c r="A7398" s="390" t="str">
        <f>IFERROR(__xludf.DUMMYFUNCTION("""COMPUTED_VALUE"""),"Pós-Graduação em Musicoterapia - Pós-Graduação em Musicotereapia - Antoninho José Augusto da Silva - História da Música - Nota Máxima: 9")</f>
        <v>Pós-Graduação em Musicoterapia - Pós-Graduação em Musicotereapia - Antoninho José Augusto da Silva - História da Música - Nota Máxima: 9</v>
      </c>
    </row>
    <row r="7399">
      <c r="A7399" s="390" t="str">
        <f>IFERROR(__xludf.DUMMYFUNCTION("""COMPUTED_VALUE"""),"Pós-Graduação em Musicoterapia - Pós-Graduação em Musicotereapia - Antoninho José Augusto da Silva - Musicoterapia - Nota Máxima: 10")</f>
        <v>Pós-Graduação em Musicoterapia - Pós-Graduação em Musicotereapia - Antoninho José Augusto da Silva - Musicoterapia - Nota Máxima: 10</v>
      </c>
    </row>
    <row r="7400">
      <c r="A7400" s="390" t="str">
        <f>IFERROR(__xludf.DUMMYFUNCTION("""COMPUTED_VALUE"""),"Pós-Graduação em Musicoterapia - Pós-Graduação em Musicotereapia - Antoninho José Augusto da Silva - Neurologia na Musicoterapia - Nota Máxima: 8")</f>
        <v>Pós-Graduação em Musicoterapia - Pós-Graduação em Musicotereapia - Antoninho José Augusto da Silva - Neurologia na Musicoterapia - Nota Máxima: 8</v>
      </c>
    </row>
    <row r="7401">
      <c r="A7401" s="390" t="str">
        <f>IFERROR(__xludf.DUMMYFUNCTION("""COMPUTED_VALUE"""),"Pós-Graduação em Musicoterapia - Pós-Graduação em Musicotereapia - Antoninho José Augusto da Silva - Psicologia do Desenvolvimento: Aprendizagem Infantil - Nota Máxima: 8")</f>
        <v>Pós-Graduação em Musicoterapia - Pós-Graduação em Musicotereapia - Antoninho José Augusto da Silva - Psicologia do Desenvolvimento: Aprendizagem Infantil - Nota Máxima: 8</v>
      </c>
    </row>
    <row r="7402">
      <c r="A7402" s="390" t="str">
        <f>IFERROR(__xludf.DUMMYFUNCTION("""COMPUTED_VALUE"""),"Pós-Graduação em Musicoterapia - Pós-Graduação em Musicotereapia - Antoninho José Augusto da Silva - Relacionamento Interpessoal - Nota Máxima: 9")</f>
        <v>Pós-Graduação em Musicoterapia - Pós-Graduação em Musicotereapia - Antoninho José Augusto da Silva - Relacionamento Interpessoal - Nota Máxima: 9</v>
      </c>
    </row>
    <row r="7403">
      <c r="A7403" s="390" t="str">
        <f>IFERROR(__xludf.DUMMYFUNCTION("""COMPUTED_VALUE"""),"Pós-Graduação em Musicoterapia - Pós-Graduação em Musicotereapia - Rosimeire Aparecida Martin Rosa - Aplicações Musicoterapeuticas - Nota Máxima: 10")</f>
        <v>Pós-Graduação em Musicoterapia - Pós-Graduação em Musicotereapia - Rosimeire Aparecida Martin Rosa - Aplicações Musicoterapeuticas - Nota Máxima: 10</v>
      </c>
    </row>
    <row r="7404">
      <c r="A7404" s="390" t="str">
        <f>IFERROR(__xludf.DUMMYFUNCTION("""COMPUTED_VALUE"""),"Pós-Graduação em Musicoterapia - Pós-Graduação em Musicotereapia - Rosimeire Aparecida Martin Rosa - Aplicações Musicoterapeuticas - Nota Máxima: 10")</f>
        <v>Pós-Graduação em Musicoterapia - Pós-Graduação em Musicotereapia - Rosimeire Aparecida Martin Rosa - Aplicações Musicoterapeuticas - Nota Máxima: 10</v>
      </c>
    </row>
    <row r="7405">
      <c r="A7405" s="390" t="str">
        <f>IFERROR(__xludf.DUMMYFUNCTION("""COMPUTED_VALUE"""),"Pós-Graduação em Musicoterapia - Pós-Graduação em Musicotereapia - Rosimeire Aparecida Martin Rosa - Deficiência Auditiva e Libras/a - Nota Máxima: 10")</f>
        <v>Pós-Graduação em Musicoterapia - Pós-Graduação em Musicotereapia - Rosimeire Aparecida Martin Rosa - Deficiência Auditiva e Libras/a - Nota Máxima: 10</v>
      </c>
    </row>
    <row r="7406">
      <c r="A7406" s="390" t="str">
        <f>IFERROR(__xludf.DUMMYFUNCTION("""COMPUTED_VALUE"""),"Pós-Graduação em Musicoterapia - Pós-Graduação em Musicotereapia - Rosimeire Aparecida Martin Rosa - Deficiência Auditiva e Libras/a - Nota Máxima: 10")</f>
        <v>Pós-Graduação em Musicoterapia - Pós-Graduação em Musicotereapia - Rosimeire Aparecida Martin Rosa - Deficiência Auditiva e Libras/a - Nota Máxima: 10</v>
      </c>
    </row>
    <row r="7407">
      <c r="A7407" s="390" t="str">
        <f>IFERROR(__xludf.DUMMYFUNCTION("""COMPUTED_VALUE"""),"Pós-Graduação em Musicoterapia - Pós-Graduação em Musicotereapia - Rosimeire Aparecida Martin Rosa - Didática e Metodologia do Ensino Superior - Nota Máxima: 10")</f>
        <v>Pós-Graduação em Musicoterapia - Pós-Graduação em Musicotereapia - Rosimeire Aparecida Martin Rosa - Didática e Metodologia do Ensino Superior - Nota Máxima: 10</v>
      </c>
    </row>
    <row r="7408">
      <c r="A7408" s="390" t="str">
        <f>IFERROR(__xludf.DUMMYFUNCTION("""COMPUTED_VALUE"""),"Pós-Graduação em Musicoterapia - Pós-Graduação em Musicotereapia - Rosimeire Aparecida Martin Rosa - Didática e Metodologia do Ensino Superior - Nota Máxima: 10")</f>
        <v>Pós-Graduação em Musicoterapia - Pós-Graduação em Musicotereapia - Rosimeire Aparecida Martin Rosa - Didática e Metodologia do Ensino Superior - Nota Máxima: 10</v>
      </c>
    </row>
    <row r="7409">
      <c r="A7409" s="390" t="str">
        <f>IFERROR(__xludf.DUMMYFUNCTION("""COMPUTED_VALUE"""),"Pós-Graduação em Musicoterapia - Pós-Graduação em Musicotereapia - Rosimeire Aparecida Martin Rosa - Ética Profissional - Nota Máxima: 10")</f>
        <v>Pós-Graduação em Musicoterapia - Pós-Graduação em Musicotereapia - Rosimeire Aparecida Martin Rosa - Ética Profissional - Nota Máxima: 10</v>
      </c>
    </row>
    <row r="7410">
      <c r="A7410" s="390" t="str">
        <f>IFERROR(__xludf.DUMMYFUNCTION("""COMPUTED_VALUE"""),"Pós-Graduação em Musicoterapia - Pós-Graduação em Musicotereapia - Rosimeire Aparecida Martin Rosa - Ética Profissional - Nota Máxima: 10")</f>
        <v>Pós-Graduação em Musicoterapia - Pós-Graduação em Musicotereapia - Rosimeire Aparecida Martin Rosa - Ética Profissional - Nota Máxima: 10</v>
      </c>
    </row>
    <row r="7411">
      <c r="A7411" s="390" t="str">
        <f>IFERROR(__xludf.DUMMYFUNCTION("""COMPUTED_VALUE"""),"Pós-Graduação em Musicoterapia - Pós-Graduação em Musicotereapia - Rosimeire Aparecida Martin Rosa - História da Música - Nota Máxima: 10")</f>
        <v>Pós-Graduação em Musicoterapia - Pós-Graduação em Musicotereapia - Rosimeire Aparecida Martin Rosa - História da Música - Nota Máxima: 10</v>
      </c>
    </row>
    <row r="7412">
      <c r="A7412" s="390" t="str">
        <f>IFERROR(__xludf.DUMMYFUNCTION("""COMPUTED_VALUE"""),"Pós-Graduação em Musicoterapia - Pós-Graduação em Musicotereapia - Rosimeire Aparecida Martin Rosa - História da Música - Nota Máxima: 10")</f>
        <v>Pós-Graduação em Musicoterapia - Pós-Graduação em Musicotereapia - Rosimeire Aparecida Martin Rosa - História da Música - Nota Máxima: 10</v>
      </c>
    </row>
    <row r="7413">
      <c r="A7413" s="390" t="str">
        <f>IFERROR(__xludf.DUMMYFUNCTION("""COMPUTED_VALUE"""),"Pós-Graduação em Musicoterapia - Pós-Graduação em Musicotereapia - Rosimeire Aparecida Martin Rosa - Musicoterapia - Nota Máxima: 10")</f>
        <v>Pós-Graduação em Musicoterapia - Pós-Graduação em Musicotereapia - Rosimeire Aparecida Martin Rosa - Musicoterapia - Nota Máxima: 10</v>
      </c>
    </row>
    <row r="7414">
      <c r="A7414" s="390" t="str">
        <f>IFERROR(__xludf.DUMMYFUNCTION("""COMPUTED_VALUE"""),"Pós-Graduação em Musicoterapia - Pós-Graduação em Musicotereapia - Rosimeire Aparecida Martin Rosa - Musicoterapia - Nota Máxima: 10")</f>
        <v>Pós-Graduação em Musicoterapia - Pós-Graduação em Musicotereapia - Rosimeire Aparecida Martin Rosa - Musicoterapia - Nota Máxima: 10</v>
      </c>
    </row>
    <row r="7415">
      <c r="A7415" s="390" t="str">
        <f>IFERROR(__xludf.DUMMYFUNCTION("""COMPUTED_VALUE"""),"Pós-Graduação em Musicoterapia - Pós-Graduação em Musicotereapia - Rosimeire Aparecida Martin Rosa - Neurologia na Musicoterapia - Nota Máxima: 10")</f>
        <v>Pós-Graduação em Musicoterapia - Pós-Graduação em Musicotereapia - Rosimeire Aparecida Martin Rosa - Neurologia na Musicoterapia - Nota Máxima: 10</v>
      </c>
    </row>
    <row r="7416">
      <c r="A7416" s="390" t="str">
        <f>IFERROR(__xludf.DUMMYFUNCTION("""COMPUTED_VALUE"""),"Pós-Graduação em Musicoterapia - Pós-Graduação em Musicotereapia - Rosimeire Aparecida Martin Rosa - Neurologia na Musicoterapia - Nota Máxima: 8")</f>
        <v>Pós-Graduação em Musicoterapia - Pós-Graduação em Musicotereapia - Rosimeire Aparecida Martin Rosa - Neurologia na Musicoterapia - Nota Máxima: 8</v>
      </c>
    </row>
    <row r="7417">
      <c r="A7417" s="390" t="str">
        <f>IFERROR(__xludf.DUMMYFUNCTION("""COMPUTED_VALUE"""),"Pós-Graduação em Musicoterapia - Pós-Graduação em Musicotereapia - Rosimeire Aparecida Martin Rosa - Psicologia do Desenvolvimento: Aprendizagem Infantil - Nota Máxima: 10")</f>
        <v>Pós-Graduação em Musicoterapia - Pós-Graduação em Musicotereapia - Rosimeire Aparecida Martin Rosa - Psicologia do Desenvolvimento: Aprendizagem Infantil - Nota Máxima: 10</v>
      </c>
    </row>
    <row r="7418">
      <c r="A7418" s="390" t="str">
        <f>IFERROR(__xludf.DUMMYFUNCTION("""COMPUTED_VALUE"""),"Pós-Graduação em Musicoterapia - Pós-Graduação em Musicotereapia - Rosimeire Aparecida Martin Rosa - Psicologia do Desenvolvimento: Aprendizagem Infantil - Nota Máxima: 10")</f>
        <v>Pós-Graduação em Musicoterapia - Pós-Graduação em Musicotereapia - Rosimeire Aparecida Martin Rosa - Psicologia do Desenvolvimento: Aprendizagem Infantil - Nota Máxima: 10</v>
      </c>
    </row>
    <row r="7419">
      <c r="A7419" s="390" t="str">
        <f>IFERROR(__xludf.DUMMYFUNCTION("""COMPUTED_VALUE"""),"Pós-Graduação em Musicoterapia - Pós-Graduação em Musicotereapia - Rosimeire Aparecida Martin Rosa - Relacionamento Interpessoal - Nota Máxima: 10")</f>
        <v>Pós-Graduação em Musicoterapia - Pós-Graduação em Musicotereapia - Rosimeire Aparecida Martin Rosa - Relacionamento Interpessoal - Nota Máxima: 10</v>
      </c>
    </row>
    <row r="7420">
      <c r="A7420" s="390" t="str">
        <f>IFERROR(__xludf.DUMMYFUNCTION("""COMPUTED_VALUE"""),"Pós-Graduação em Musicoterapia - Pós-Graduação em Musicotereapia - Rosimeire Aparecida Martin Rosa - Relacionamento Interpessoal - Nota Máxima: 10")</f>
        <v>Pós-Graduação em Musicoterapia - Pós-Graduação em Musicotereapia - Rosimeire Aparecida Martin Rosa - Relacionamento Interpessoal - Nota Máxima: 10</v>
      </c>
    </row>
    <row r="7421">
      <c r="A7421" s="390" t="str">
        <f>IFERROR(__xludf.DUMMYFUNCTION("""COMPUTED_VALUE"""),"Pós-Graduação em Musicoterapia - Pós-Graduação em Musicotereapia - Fabio Ferreira de Alencar - Aplicações Musicoterapeuticas - Nota Máxima: 10")</f>
        <v>Pós-Graduação em Musicoterapia - Pós-Graduação em Musicotereapia - Fabio Ferreira de Alencar - Aplicações Musicoterapeuticas - Nota Máxima: 10</v>
      </c>
    </row>
    <row r="7422">
      <c r="A7422" s="390" t="str">
        <f>IFERROR(__xludf.DUMMYFUNCTION("""COMPUTED_VALUE"""),"Pós-Graduação em Musicoterapia - Pós-Graduação em Musicotereapia - Fabio Ferreira de Alencar - Aplicações Musicoterapeuticas - Nota Máxima: 9")</f>
        <v>Pós-Graduação em Musicoterapia - Pós-Graduação em Musicotereapia - Fabio Ferreira de Alencar - Aplicações Musicoterapeuticas - Nota Máxima: 9</v>
      </c>
    </row>
    <row r="7423">
      <c r="A7423" s="390" t="str">
        <f>IFERROR(__xludf.DUMMYFUNCTION("""COMPUTED_VALUE"""),"Pós-Graduação em Musicoterapia - Pós-Graduação em Musicotereapia - Fabio Ferreira de Alencar - Deficiência Auditiva e Libras/a - Nota Máxima: 9")</f>
        <v>Pós-Graduação em Musicoterapia - Pós-Graduação em Musicotereapia - Fabio Ferreira de Alencar - Deficiência Auditiva e Libras/a - Nota Máxima: 9</v>
      </c>
    </row>
    <row r="7424">
      <c r="A7424" s="390" t="str">
        <f>IFERROR(__xludf.DUMMYFUNCTION("""COMPUTED_VALUE"""),"Pós-Graduação em Musicoterapia - Pós-Graduação em Musicotereapia - Fabio Ferreira de Alencar - Deficiência Auditiva e Libras/a - Nota Máxima: 6")</f>
        <v>Pós-Graduação em Musicoterapia - Pós-Graduação em Musicotereapia - Fabio Ferreira de Alencar - Deficiência Auditiva e Libras/a - Nota Máxima: 6</v>
      </c>
    </row>
    <row r="7425">
      <c r="A7425" s="390" t="str">
        <f>IFERROR(__xludf.DUMMYFUNCTION("""COMPUTED_VALUE"""),"Pós-Graduação em Musicoterapia - Pós-Graduação em Musicotereapia - Fabio Ferreira de Alencar - Didática e Metodologia do Ensino Superior - Nota Máxima: 9")</f>
        <v>Pós-Graduação em Musicoterapia - Pós-Graduação em Musicotereapia - Fabio Ferreira de Alencar - Didática e Metodologia do Ensino Superior - Nota Máxima: 9</v>
      </c>
    </row>
    <row r="7426">
      <c r="A7426" s="390" t="str">
        <f>IFERROR(__xludf.DUMMYFUNCTION("""COMPUTED_VALUE"""),"Pós-Graduação em Musicoterapia - Pós-Graduação em Musicotereapia - Fabio Ferreira de Alencar - Didática e Metodologia do Ensino Superior - Nota Máxima: 8")</f>
        <v>Pós-Graduação em Musicoterapia - Pós-Graduação em Musicotereapia - Fabio Ferreira de Alencar - Didática e Metodologia do Ensino Superior - Nota Máxima: 8</v>
      </c>
    </row>
    <row r="7427">
      <c r="A7427" s="390" t="str">
        <f>IFERROR(__xludf.DUMMYFUNCTION("""COMPUTED_VALUE"""),"Pós-Graduação em Musicoterapia - Pós-Graduação em Musicotereapia - Fabio Ferreira de Alencar - Ética Profissional - Nota Máxima: 10")</f>
        <v>Pós-Graduação em Musicoterapia - Pós-Graduação em Musicotereapia - Fabio Ferreira de Alencar - Ética Profissional - Nota Máxima: 10</v>
      </c>
    </row>
    <row r="7428">
      <c r="A7428" s="390" t="str">
        <f>IFERROR(__xludf.DUMMYFUNCTION("""COMPUTED_VALUE"""),"Pós-Graduação em Musicoterapia - Pós-Graduação em Musicotereapia - Fabio Ferreira de Alencar - Ética Profissional - Nota Máxima: 10")</f>
        <v>Pós-Graduação em Musicoterapia - Pós-Graduação em Musicotereapia - Fabio Ferreira de Alencar - Ética Profissional - Nota Máxima: 10</v>
      </c>
    </row>
    <row r="7429">
      <c r="A7429" s="390" t="str">
        <f>IFERROR(__xludf.DUMMYFUNCTION("""COMPUTED_VALUE"""),"Pós-Graduação em Musicoterapia - Pós-Graduação em Musicotereapia - Fabio Ferreira de Alencar - História da Música - Nota Máxima: 9")</f>
        <v>Pós-Graduação em Musicoterapia - Pós-Graduação em Musicotereapia - Fabio Ferreira de Alencar - História da Música - Nota Máxima: 9</v>
      </c>
    </row>
    <row r="7430">
      <c r="A7430" s="390" t="str">
        <f>IFERROR(__xludf.DUMMYFUNCTION("""COMPUTED_VALUE"""),"Pós-Graduação em Musicoterapia - Pós-Graduação em Musicotereapia - Fabio Ferreira de Alencar - Musicoterapia - Nota Máxima: 9")</f>
        <v>Pós-Graduação em Musicoterapia - Pós-Graduação em Musicotereapia - Fabio Ferreira de Alencar - Musicoterapia - Nota Máxima: 9</v>
      </c>
    </row>
    <row r="7431">
      <c r="A7431" s="390" t="str">
        <f>IFERROR(__xludf.DUMMYFUNCTION("""COMPUTED_VALUE"""),"Pós-Graduação em Musicoterapia - Pós-Graduação em Musicotereapia - Fabio Ferreira de Alencar - Musicoterapia - Nota Máxima: 9")</f>
        <v>Pós-Graduação em Musicoterapia - Pós-Graduação em Musicotereapia - Fabio Ferreira de Alencar - Musicoterapia - Nota Máxima: 9</v>
      </c>
    </row>
    <row r="7432">
      <c r="A7432" s="390" t="str">
        <f>IFERROR(__xludf.DUMMYFUNCTION("""COMPUTED_VALUE"""),"Pós-Graduação em Musicoterapia - Pós-Graduação em Musicotereapia - Fabio Ferreira de Alencar - Neurologia na Musicoterapia - Nota Máxima: 10")</f>
        <v>Pós-Graduação em Musicoterapia - Pós-Graduação em Musicotereapia - Fabio Ferreira de Alencar - Neurologia na Musicoterapia - Nota Máxima: 10</v>
      </c>
    </row>
    <row r="7433">
      <c r="A7433" s="390" t="str">
        <f>IFERROR(__xludf.DUMMYFUNCTION("""COMPUTED_VALUE"""),"Pós-Graduação em Musicoterapia - Pós-Graduação em Musicotereapia - Fabio Ferreira de Alencar - Neurologia na Musicoterapia - Nota Máxima: 5")</f>
        <v>Pós-Graduação em Musicoterapia - Pós-Graduação em Musicotereapia - Fabio Ferreira de Alencar - Neurologia na Musicoterapia - Nota Máxima: 5</v>
      </c>
    </row>
    <row r="7434">
      <c r="A7434" s="390" t="str">
        <f>IFERROR(__xludf.DUMMYFUNCTION("""COMPUTED_VALUE"""),"Pós-Graduação em Musicoterapia - Pós-Graduação em Musicotereapia - Fabio Ferreira de Alencar - Psicologia do Desenvolvimento: Aprendizagem Infantil - Nota Máxima: 9")</f>
        <v>Pós-Graduação em Musicoterapia - Pós-Graduação em Musicotereapia - Fabio Ferreira de Alencar - Psicologia do Desenvolvimento: Aprendizagem Infantil - Nota Máxima: 9</v>
      </c>
    </row>
    <row r="7435">
      <c r="A7435" s="390" t="str">
        <f>IFERROR(__xludf.DUMMYFUNCTION("""COMPUTED_VALUE"""),"Pós-Graduação em Musicoterapia - Pós-Graduação em Musicotereapia - Fabio Ferreira de Alencar - Psicologia do Desenvolvimento: Aprendizagem Infantil - Nota Máxima: 8")</f>
        <v>Pós-Graduação em Musicoterapia - Pós-Graduação em Musicotereapia - Fabio Ferreira de Alencar - Psicologia do Desenvolvimento: Aprendizagem Infantil - Nota Máxima: 8</v>
      </c>
    </row>
    <row r="7436">
      <c r="A7436" s="390" t="str">
        <f>IFERROR(__xludf.DUMMYFUNCTION("""COMPUTED_VALUE"""),"Pós-Graduação em Musicoterapia - Pós-Graduação em Musicotereapia - Fabio Ferreira de Alencar - Relacionamento Interpessoal - Nota Máxima: 10")</f>
        <v>Pós-Graduação em Musicoterapia - Pós-Graduação em Musicotereapia - Fabio Ferreira de Alencar - Relacionamento Interpessoal - Nota Máxima: 10</v>
      </c>
    </row>
    <row r="7437">
      <c r="A7437" s="390" t="str">
        <f>IFERROR(__xludf.DUMMYFUNCTION("""COMPUTED_VALUE"""),"Pós-Graduação em Musicoterapia - Pós-Graduação em Musicotereapia - Fabio Ferreira de Alencar - Relacionamento Interpessoal - Nota Máxima: 10")</f>
        <v>Pós-Graduação em Musicoterapia - Pós-Graduação em Musicotereapia - Fabio Ferreira de Alencar - Relacionamento Interpessoal - Nota Máxima: 10</v>
      </c>
    </row>
    <row r="7438">
      <c r="A7438" s="390" t="str">
        <f>IFERROR(__xludf.DUMMYFUNCTION("""COMPUTED_VALUE"""),"Pós-Graduação em Musicoterapia - Pós-Graduação em Musicotereapia - Sônia América da Cunha - Aplicações Musicoterapeuticas - Nota Máxima: 10")</f>
        <v>Pós-Graduação em Musicoterapia - Pós-Graduação em Musicotereapia - Sônia América da Cunha - Aplicações Musicoterapeuticas - Nota Máxima: 10</v>
      </c>
    </row>
    <row r="7439">
      <c r="A7439" s="390" t="str">
        <f>IFERROR(__xludf.DUMMYFUNCTION("""COMPUTED_VALUE"""),"Pós-Graduação em Musicoterapia - Pós-Graduação em Musicotereapia - Sônia América da Cunha - Aplicações Musicoterapeuticas - Nota Máxima: 6")</f>
        <v>Pós-Graduação em Musicoterapia - Pós-Graduação em Musicotereapia - Sônia América da Cunha - Aplicações Musicoterapeuticas - Nota Máxima: 6</v>
      </c>
    </row>
    <row r="7440">
      <c r="A7440" s="390" t="str">
        <f>IFERROR(__xludf.DUMMYFUNCTION("""COMPUTED_VALUE"""),"Pós-Graduação em Musicoterapia - Pós-Graduação em Musicotereapia - Sônia América da Cunha - Deficiência Auditiva e Libras/a - Nota Máxima: 10")</f>
        <v>Pós-Graduação em Musicoterapia - Pós-Graduação em Musicotereapia - Sônia América da Cunha - Deficiência Auditiva e Libras/a - Nota Máxima: 10</v>
      </c>
    </row>
    <row r="7441">
      <c r="A7441" s="390" t="str">
        <f>IFERROR(__xludf.DUMMYFUNCTION("""COMPUTED_VALUE"""),"Pós-Graduação em Musicoterapia - Pós-Graduação em Musicotereapia - Sônia América da Cunha - Deficiência Auditiva e Libras/a - Nota Máxima: 6")</f>
        <v>Pós-Graduação em Musicoterapia - Pós-Graduação em Musicotereapia - Sônia América da Cunha - Deficiência Auditiva e Libras/a - Nota Máxima: 6</v>
      </c>
    </row>
    <row r="7442">
      <c r="A7442" s="390" t="str">
        <f>IFERROR(__xludf.DUMMYFUNCTION("""COMPUTED_VALUE"""),"Pós-Graduação em Musicoterapia - Pós-Graduação em Musicotereapia - Sônia América da Cunha - Didática e Metodologia do Ensino Superior - Nota Máxima: 10")</f>
        <v>Pós-Graduação em Musicoterapia - Pós-Graduação em Musicotereapia - Sônia América da Cunha - Didática e Metodologia do Ensino Superior - Nota Máxima: 10</v>
      </c>
    </row>
    <row r="7443">
      <c r="A7443" s="390" t="str">
        <f>IFERROR(__xludf.DUMMYFUNCTION("""COMPUTED_VALUE"""),"Pós-Graduação em Musicoterapia - Pós-Graduação em Musicotereapia - Sônia América da Cunha - Didática e Metodologia do Ensino Superior - Nota Máxima: 8")</f>
        <v>Pós-Graduação em Musicoterapia - Pós-Graduação em Musicotereapia - Sônia América da Cunha - Didática e Metodologia do Ensino Superior - Nota Máxima: 8</v>
      </c>
    </row>
    <row r="7444">
      <c r="A7444" s="390" t="str">
        <f>IFERROR(__xludf.DUMMYFUNCTION("""COMPUTED_VALUE"""),"Pós-Graduação em Musicoterapia - Pós-Graduação em Musicotereapia - Sônia América da Cunha - Ética Profissional - Nota Máxima: 10")</f>
        <v>Pós-Graduação em Musicoterapia - Pós-Graduação em Musicotereapia - Sônia América da Cunha - Ética Profissional - Nota Máxima: 10</v>
      </c>
    </row>
    <row r="7445">
      <c r="A7445" s="390" t="str">
        <f>IFERROR(__xludf.DUMMYFUNCTION("""COMPUTED_VALUE"""),"Pós-Graduação em Musicoterapia - Pós-Graduação em Musicotereapia - Sônia América da Cunha - Ética Profissional - Nota Máxima: 9")</f>
        <v>Pós-Graduação em Musicoterapia - Pós-Graduação em Musicotereapia - Sônia América da Cunha - Ética Profissional - Nota Máxima: 9</v>
      </c>
    </row>
    <row r="7446">
      <c r="A7446" s="390" t="str">
        <f>IFERROR(__xludf.DUMMYFUNCTION("""COMPUTED_VALUE"""),"Pós-Graduação em Musicoterapia - Pós-Graduação em Musicotereapia - Sônia América da Cunha - História da Música - Nota Máxima: 10")</f>
        <v>Pós-Graduação em Musicoterapia - Pós-Graduação em Musicotereapia - Sônia América da Cunha - História da Música - Nota Máxima: 10</v>
      </c>
    </row>
    <row r="7447">
      <c r="A7447" s="390" t="str">
        <f>IFERROR(__xludf.DUMMYFUNCTION("""COMPUTED_VALUE"""),"Pós-Graduação em Musicoterapia - Pós-Graduação em Musicotereapia - Sônia América da Cunha - História da Música - Nota Máxima: 8")</f>
        <v>Pós-Graduação em Musicoterapia - Pós-Graduação em Musicotereapia - Sônia América da Cunha - História da Música - Nota Máxima: 8</v>
      </c>
    </row>
    <row r="7448">
      <c r="A7448" s="390" t="str">
        <f>IFERROR(__xludf.DUMMYFUNCTION("""COMPUTED_VALUE"""),"Pós-Graduação em Musicoterapia - Pós-Graduação em Musicotereapia - Sônia América da Cunha - Musicoterapia - Nota Máxima: 10")</f>
        <v>Pós-Graduação em Musicoterapia - Pós-Graduação em Musicotereapia - Sônia América da Cunha - Musicoterapia - Nota Máxima: 10</v>
      </c>
    </row>
    <row r="7449">
      <c r="A7449" s="390" t="str">
        <f>IFERROR(__xludf.DUMMYFUNCTION("""COMPUTED_VALUE"""),"Pós-Graduação em Musicoterapia - Pós-Graduação em Musicotereapia - Sônia América da Cunha - Musicoterapia - Nota Máxima: 9")</f>
        <v>Pós-Graduação em Musicoterapia - Pós-Graduação em Musicotereapia - Sônia América da Cunha - Musicoterapia - Nota Máxima: 9</v>
      </c>
    </row>
    <row r="7450">
      <c r="A7450" s="390" t="str">
        <f>IFERROR(__xludf.DUMMYFUNCTION("""COMPUTED_VALUE"""),"Pós-Graduação em Musicoterapia - Pós-Graduação em Musicotereapia - Sônia América da Cunha - Neurologia na Musicoterapia - Nota Máxima: 9")</f>
        <v>Pós-Graduação em Musicoterapia - Pós-Graduação em Musicotereapia - Sônia América da Cunha - Neurologia na Musicoterapia - Nota Máxima: 9</v>
      </c>
    </row>
    <row r="7451">
      <c r="A7451" s="390" t="str">
        <f>IFERROR(__xludf.DUMMYFUNCTION("""COMPUTED_VALUE"""),"Pós-Graduação em Musicoterapia - Pós-Graduação em Musicotereapia - Sônia América da Cunha - Neurologia na Musicoterapia - Nota Máxima: 7")</f>
        <v>Pós-Graduação em Musicoterapia - Pós-Graduação em Musicotereapia - Sônia América da Cunha - Neurologia na Musicoterapia - Nota Máxima: 7</v>
      </c>
    </row>
    <row r="7452">
      <c r="A7452" s="390" t="str">
        <f>IFERROR(__xludf.DUMMYFUNCTION("""COMPUTED_VALUE"""),"Pós-Graduação em Musicoterapia - Pós-Graduação em Musicotereapia - Sônia América da Cunha - Psicologia do Desenvolvimento: Aprendizagem Infantil - Nota Máxima: 10")</f>
        <v>Pós-Graduação em Musicoterapia - Pós-Graduação em Musicotereapia - Sônia América da Cunha - Psicologia do Desenvolvimento: Aprendizagem Infantil - Nota Máxima: 10</v>
      </c>
    </row>
    <row r="7453">
      <c r="A7453" s="390" t="str">
        <f>IFERROR(__xludf.DUMMYFUNCTION("""COMPUTED_VALUE"""),"Pós-Graduação em Musicoterapia - Pós-Graduação em Musicotereapia - Sônia América da Cunha - Psicologia do Desenvolvimento: Aprendizagem Infantil - Nota Máxima: 7")</f>
        <v>Pós-Graduação em Musicoterapia - Pós-Graduação em Musicotereapia - Sônia América da Cunha - Psicologia do Desenvolvimento: Aprendizagem Infantil - Nota Máxima: 7</v>
      </c>
    </row>
    <row r="7454">
      <c r="A7454" s="390" t="str">
        <f>IFERROR(__xludf.DUMMYFUNCTION("""COMPUTED_VALUE"""),"Pós-Graduação em Musicoterapia - Pós-Graduação em Musicotereapia - Sônia América da Cunha - Relacionamento Interpessoal - Nota Máxima: 10")</f>
        <v>Pós-Graduação em Musicoterapia - Pós-Graduação em Musicotereapia - Sônia América da Cunha - Relacionamento Interpessoal - Nota Máxima: 10</v>
      </c>
    </row>
    <row r="7455">
      <c r="A7455" s="390" t="str">
        <f>IFERROR(__xludf.DUMMYFUNCTION("""COMPUTED_VALUE"""),"Pós-Graduação em Musicoterapia - Pós-Graduação em Musicotereapia - Sônia América da Cunha - Relacionamento Interpessoal - Nota Máxima: 10")</f>
        <v>Pós-Graduação em Musicoterapia - Pós-Graduação em Musicotereapia - Sônia América da Cunha - Relacionamento Interpessoal - Nota Máxima: 10</v>
      </c>
    </row>
    <row r="7456">
      <c r="A7456" s="390" t="str">
        <f>IFERROR(__xludf.DUMMYFUNCTION("""COMPUTED_VALUE"""),"Pós-Graduação em Musicoterapia - Pós-Graduação em Musicotereapia - Rodrigo Araújo Parducci - Aplicações Musicoterapeuticas - Nota Máxima: 10")</f>
        <v>Pós-Graduação em Musicoterapia - Pós-Graduação em Musicotereapia - Rodrigo Araújo Parducci - Aplicações Musicoterapeuticas - Nota Máxima: 10</v>
      </c>
    </row>
    <row r="7457">
      <c r="A7457" s="390" t="str">
        <f>IFERROR(__xludf.DUMMYFUNCTION("""COMPUTED_VALUE"""),"Pós-Graduação em Musicoterapia - Pós-Graduação em Musicotereapia - Rodrigo Araújo Parducci - Aplicações Musicoterapeuticas - Nota Máxima: 8")</f>
        <v>Pós-Graduação em Musicoterapia - Pós-Graduação em Musicotereapia - Rodrigo Araújo Parducci - Aplicações Musicoterapeuticas - Nota Máxima: 8</v>
      </c>
    </row>
    <row r="7458">
      <c r="A7458" s="390" t="str">
        <f>IFERROR(__xludf.DUMMYFUNCTION("""COMPUTED_VALUE"""),"Pós-Graduação em Musicoterapia - Pós-Graduação em Musicotereapia - Rodrigo Araújo Parducci - Deficiência Auditiva e Libras/a - Nota Máxima: 10")</f>
        <v>Pós-Graduação em Musicoterapia - Pós-Graduação em Musicotereapia - Rodrigo Araújo Parducci - Deficiência Auditiva e Libras/a - Nota Máxima: 10</v>
      </c>
    </row>
    <row r="7459">
      <c r="A7459" s="390" t="str">
        <f>IFERROR(__xludf.DUMMYFUNCTION("""COMPUTED_VALUE"""),"Pós-Graduação em Musicoterapia - Pós-Graduação em Musicotereapia - Rodrigo Araújo Parducci - Deficiência Auditiva e Libras/a - Nota Máxima: 9")</f>
        <v>Pós-Graduação em Musicoterapia - Pós-Graduação em Musicotereapia - Rodrigo Araújo Parducci - Deficiência Auditiva e Libras/a - Nota Máxima: 9</v>
      </c>
    </row>
    <row r="7460">
      <c r="A7460" s="390" t="str">
        <f>IFERROR(__xludf.DUMMYFUNCTION("""COMPUTED_VALUE"""),"Pós-Graduação em Musicoterapia - Pós-Graduação em Musicotereapia - Rodrigo Araújo Parducci - Didática e Metodologia do Ensino Superior - Nota Máxima: 10")</f>
        <v>Pós-Graduação em Musicoterapia - Pós-Graduação em Musicotereapia - Rodrigo Araújo Parducci - Didática e Metodologia do Ensino Superior - Nota Máxima: 10</v>
      </c>
    </row>
    <row r="7461">
      <c r="A7461" s="390" t="str">
        <f>IFERROR(__xludf.DUMMYFUNCTION("""COMPUTED_VALUE"""),"Pós-Graduação em Musicoterapia - Pós-Graduação em Musicotereapia - Rodrigo Araújo Parducci - Didática e Metodologia do Ensino Superior - Nota Máxima: 8")</f>
        <v>Pós-Graduação em Musicoterapia - Pós-Graduação em Musicotereapia - Rodrigo Araújo Parducci - Didática e Metodologia do Ensino Superior - Nota Máxima: 8</v>
      </c>
    </row>
    <row r="7462">
      <c r="A7462" s="390" t="str">
        <f>IFERROR(__xludf.DUMMYFUNCTION("""COMPUTED_VALUE"""),"Pós-Graduação em Musicoterapia - Pós-Graduação em Musicotereapia - Rodrigo Araújo Parducci - Ética Profissional - Nota Máxima: 10")</f>
        <v>Pós-Graduação em Musicoterapia - Pós-Graduação em Musicotereapia - Rodrigo Araújo Parducci - Ética Profissional - Nota Máxima: 10</v>
      </c>
    </row>
    <row r="7463">
      <c r="A7463" s="390" t="str">
        <f>IFERROR(__xludf.DUMMYFUNCTION("""COMPUTED_VALUE"""),"Pós-Graduação em Musicoterapia - Pós-Graduação em Musicotereapia - Rodrigo Araújo Parducci - Ética Profissional - Nota Máxima: 9")</f>
        <v>Pós-Graduação em Musicoterapia - Pós-Graduação em Musicotereapia - Rodrigo Araújo Parducci - Ética Profissional - Nota Máxima: 9</v>
      </c>
    </row>
    <row r="7464">
      <c r="A7464" s="390" t="str">
        <f>IFERROR(__xludf.DUMMYFUNCTION("""COMPUTED_VALUE"""),"Pós-Graduação em Musicoterapia - Pós-Graduação em Musicotereapia - Rodrigo Araújo Parducci - História da Música - Nota Máxima: 10")</f>
        <v>Pós-Graduação em Musicoterapia - Pós-Graduação em Musicotereapia - Rodrigo Araújo Parducci - História da Música - Nota Máxima: 10</v>
      </c>
    </row>
    <row r="7465">
      <c r="A7465" s="390" t="str">
        <f>IFERROR(__xludf.DUMMYFUNCTION("""COMPUTED_VALUE"""),"Pós-Graduação em Musicoterapia - Pós-Graduação em Musicotereapia - Rodrigo Araújo Parducci - História da Música - Nota Máxima: 9")</f>
        <v>Pós-Graduação em Musicoterapia - Pós-Graduação em Musicotereapia - Rodrigo Araújo Parducci - História da Música - Nota Máxima: 9</v>
      </c>
    </row>
    <row r="7466">
      <c r="A7466" s="390" t="str">
        <f>IFERROR(__xludf.DUMMYFUNCTION("""COMPUTED_VALUE"""),"Pós-Graduação em Musicoterapia - Pós-Graduação em Musicotereapia - Rodrigo Araújo Parducci - Musicoterapia - Nota Máxima: 10")</f>
        <v>Pós-Graduação em Musicoterapia - Pós-Graduação em Musicotereapia - Rodrigo Araújo Parducci - Musicoterapia - Nota Máxima: 10</v>
      </c>
    </row>
    <row r="7467">
      <c r="A7467" s="390" t="str">
        <f>IFERROR(__xludf.DUMMYFUNCTION("""COMPUTED_VALUE"""),"Pós-Graduação em Musicoterapia - Pós-Graduação em Musicotereapia - Rodrigo Araújo Parducci - Musicoterapia - Nota Máxima: 8")</f>
        <v>Pós-Graduação em Musicoterapia - Pós-Graduação em Musicotereapia - Rodrigo Araújo Parducci - Musicoterapia - Nota Máxima: 8</v>
      </c>
    </row>
    <row r="7468">
      <c r="A7468" s="390" t="str">
        <f>IFERROR(__xludf.DUMMYFUNCTION("""COMPUTED_VALUE"""),"Pós-Graduação em Musicoterapia - Pós-Graduação em Musicotereapia - Rodrigo Araújo Parducci - Neurologia na Musicoterapia - Nota Máxima: 10")</f>
        <v>Pós-Graduação em Musicoterapia - Pós-Graduação em Musicotereapia - Rodrigo Araújo Parducci - Neurologia na Musicoterapia - Nota Máxima: 10</v>
      </c>
    </row>
    <row r="7469">
      <c r="A7469" s="390" t="str">
        <f>IFERROR(__xludf.DUMMYFUNCTION("""COMPUTED_VALUE"""),"Pós-Graduação em Musicoterapia - Pós-Graduação em Musicotereapia - Rodrigo Araújo Parducci - Neurologia na Musicoterapia - Nota Máxima: 7")</f>
        <v>Pós-Graduação em Musicoterapia - Pós-Graduação em Musicotereapia - Rodrigo Araújo Parducci - Neurologia na Musicoterapia - Nota Máxima: 7</v>
      </c>
    </row>
    <row r="7470">
      <c r="A7470" s="390" t="str">
        <f>IFERROR(__xludf.DUMMYFUNCTION("""COMPUTED_VALUE"""),"Pós-Graduação em Musicoterapia - Pós-Graduação em Musicotereapia - Rodrigo Araújo Parducci - Psicologia do Desenvolvimento: Aprendizagem Infantil - Nota Máxima: 10")</f>
        <v>Pós-Graduação em Musicoterapia - Pós-Graduação em Musicotereapia - Rodrigo Araújo Parducci - Psicologia do Desenvolvimento: Aprendizagem Infantil - Nota Máxima: 10</v>
      </c>
    </row>
    <row r="7471">
      <c r="A7471" s="390" t="str">
        <f>IFERROR(__xludf.DUMMYFUNCTION("""COMPUTED_VALUE"""),"Pós-Graduação em Musicoterapia - Pós-Graduação em Musicotereapia - Rodrigo Araújo Parducci - Psicologia do Desenvolvimento: Aprendizagem Infantil - Nota Máxima: 7")</f>
        <v>Pós-Graduação em Musicoterapia - Pós-Graduação em Musicotereapia - Rodrigo Araújo Parducci - Psicologia do Desenvolvimento: Aprendizagem Infantil - Nota Máxima: 7</v>
      </c>
    </row>
    <row r="7472">
      <c r="A7472" s="390" t="str">
        <f>IFERROR(__xludf.DUMMYFUNCTION("""COMPUTED_VALUE"""),"Pós-Graduação em Musicoterapia - Pós-Graduação em Musicotereapia - Rodrigo Araújo Parducci - Relacionamento Interpessoal - Nota Máxima: 10")</f>
        <v>Pós-Graduação em Musicoterapia - Pós-Graduação em Musicotereapia - Rodrigo Araújo Parducci - Relacionamento Interpessoal - Nota Máxima: 10</v>
      </c>
    </row>
    <row r="7473">
      <c r="A7473" s="390" t="str">
        <f>IFERROR(__xludf.DUMMYFUNCTION("""COMPUTED_VALUE"""),"Pós-Graduação em Musicoterapia - Pós-Graduação em Musicotereapia - Rodrigo Araújo Parducci - Relacionamento Interpessoal - Nota Máxima: 10")</f>
        <v>Pós-Graduação em Musicoterapia - Pós-Graduação em Musicotereapia - Rodrigo Araújo Parducci - Relacionamento Interpessoal - Nota Máxima: 10</v>
      </c>
    </row>
    <row r="7474">
      <c r="A7474" s="390" t="str">
        <f>IFERROR(__xludf.DUMMYFUNCTION("""COMPUTED_VALUE"""),"Pós-Graduação em Musicoterapia - Pós-Graduação em Musicotereapia - Patrícia Lopes de Freitas Silva - Aplicações Musicoterapeuticas - Nota Máxima: 7")</f>
        <v>Pós-Graduação em Musicoterapia - Pós-Graduação em Musicotereapia - Patrícia Lopes de Freitas Silva - Aplicações Musicoterapeuticas - Nota Máxima: 7</v>
      </c>
    </row>
    <row r="7475">
      <c r="A7475" s="390" t="str">
        <f>IFERROR(__xludf.DUMMYFUNCTION("""COMPUTED_VALUE"""),"Pós-Graduação em Musicoterapia - Pós-Graduação em Musicotereapia - Patrícia Lopes de Freitas Silva - Deficiência Auditiva e Libras/a - Nota Máxima: 9")</f>
        <v>Pós-Graduação em Musicoterapia - Pós-Graduação em Musicotereapia - Patrícia Lopes de Freitas Silva - Deficiência Auditiva e Libras/a - Nota Máxima: 9</v>
      </c>
    </row>
    <row r="7476">
      <c r="A7476" s="390" t="str">
        <f>IFERROR(__xludf.DUMMYFUNCTION("""COMPUTED_VALUE"""),"Pós-Graduação em Musicoterapia - Pós-Graduação em Musicotereapia - Patrícia Lopes de Freitas Silva - Didática e Metodologia do Ensino Superior - Nota Máxima: 7")</f>
        <v>Pós-Graduação em Musicoterapia - Pós-Graduação em Musicotereapia - Patrícia Lopes de Freitas Silva - Didática e Metodologia do Ensino Superior - Nota Máxima: 7</v>
      </c>
    </row>
    <row r="7477">
      <c r="A7477" s="390" t="str">
        <f>IFERROR(__xludf.DUMMYFUNCTION("""COMPUTED_VALUE"""),"Pós-Graduação em Musicoterapia - Pós-Graduação em Musicotereapia - Patrícia Lopes de Freitas Silva - Ética Profissional - Nota Máxima: 9")</f>
        <v>Pós-Graduação em Musicoterapia - Pós-Graduação em Musicotereapia - Patrícia Lopes de Freitas Silva - Ética Profissional - Nota Máxima: 9</v>
      </c>
    </row>
    <row r="7478">
      <c r="A7478" s="390" t="str">
        <f>IFERROR(__xludf.DUMMYFUNCTION("""COMPUTED_VALUE"""),"Pós-Graduação em Musicoterapia - Pós-Graduação em Musicotereapia - Patrícia Lopes de Freitas Silva - História da Música - Nota Máxima: 7")</f>
        <v>Pós-Graduação em Musicoterapia - Pós-Graduação em Musicotereapia - Patrícia Lopes de Freitas Silva - História da Música - Nota Máxima: 7</v>
      </c>
    </row>
    <row r="7479">
      <c r="A7479" s="390" t="str">
        <f>IFERROR(__xludf.DUMMYFUNCTION("""COMPUTED_VALUE"""),"Pós-Graduação em Musicoterapia - Pós-Graduação em Musicotereapia - Patrícia Lopes de Freitas Silva - Musicoterapia - Nota Máxima: 9")</f>
        <v>Pós-Graduação em Musicoterapia - Pós-Graduação em Musicotereapia - Patrícia Lopes de Freitas Silva - Musicoterapia - Nota Máxima: 9</v>
      </c>
    </row>
    <row r="7480">
      <c r="A7480" s="390" t="str">
        <f>IFERROR(__xludf.DUMMYFUNCTION("""COMPUTED_VALUE"""),"Pós-Graduação em Musicoterapia - Pós-Graduação em Musicotereapia - Patrícia Lopes de Freitas Silva - Neurologia na Musicoterapia - Nota Máxima: 7")</f>
        <v>Pós-Graduação em Musicoterapia - Pós-Graduação em Musicotereapia - Patrícia Lopes de Freitas Silva - Neurologia na Musicoterapia - Nota Máxima: 7</v>
      </c>
    </row>
    <row r="7481">
      <c r="A7481" s="390" t="str">
        <f>IFERROR(__xludf.DUMMYFUNCTION("""COMPUTED_VALUE"""),"Pós-Graduação em Musicoterapia - Pós-Graduação em Musicotereapia - Patrícia Lopes de Freitas Silva - Psicologia do Desenvolvimento: Aprendizagem Infantil - Nota Máxima: 8")</f>
        <v>Pós-Graduação em Musicoterapia - Pós-Graduação em Musicotereapia - Patrícia Lopes de Freitas Silva - Psicologia do Desenvolvimento: Aprendizagem Infantil - Nota Máxima: 8</v>
      </c>
    </row>
    <row r="7482">
      <c r="A7482" s="390" t="str">
        <f>IFERROR(__xludf.DUMMYFUNCTION("""COMPUTED_VALUE"""),"Pós-Graduação em Musicoterapia - Pós-Graduação em Musicotereapia - Patrícia Lopes de Freitas Silva - Relacionamento Interpessoal - Nota Máxima: 10")</f>
        <v>Pós-Graduação em Musicoterapia - Pós-Graduação em Musicotereapia - Patrícia Lopes de Freitas Silva - Relacionamento Interpessoal - Nota Máxima: 10</v>
      </c>
    </row>
    <row r="7483">
      <c r="A7483" s="390" t="str">
        <f>IFERROR(__xludf.DUMMYFUNCTION("""COMPUTED_VALUE"""),"Pós-Graduação em Musicoterapia - Pós-Graduação em Musicotereapia - Marco Aurélio Gomes Vilas Bôas - Aplicações Musicoterapeuticas - Nota Máxima: 10")</f>
        <v>Pós-Graduação em Musicoterapia - Pós-Graduação em Musicotereapia - Marco Aurélio Gomes Vilas Bôas - Aplicações Musicoterapeuticas - Nota Máxima: 10</v>
      </c>
    </row>
    <row r="7484">
      <c r="A7484" s="390" t="str">
        <f>IFERROR(__xludf.DUMMYFUNCTION("""COMPUTED_VALUE"""),"Pós-Graduação em Musicoterapia - Pós-Graduação em Musicotereapia - Marcos Soares da Silva - Aplicações Musicoterapeuticas - Nota Máxima: 8")</f>
        <v>Pós-Graduação em Musicoterapia - Pós-Graduação em Musicotereapia - Marcos Soares da Silva - Aplicações Musicoterapeuticas - Nota Máxima: 8</v>
      </c>
    </row>
    <row r="7485">
      <c r="A7485" s="390" t="str">
        <f>IFERROR(__xludf.DUMMYFUNCTION("""COMPUTED_VALUE"""),"Pós-Graduação em Musicoterapia - Pós-Graduação em Musicotereapia - Marcos Soares da Silva - Deficiência Auditiva e Libras/a - Nota Máxima: 10")</f>
        <v>Pós-Graduação em Musicoterapia - Pós-Graduação em Musicotereapia - Marcos Soares da Silva - Deficiência Auditiva e Libras/a - Nota Máxima: 10</v>
      </c>
    </row>
    <row r="7486">
      <c r="A7486" s="390" t="str">
        <f>IFERROR(__xludf.DUMMYFUNCTION("""COMPUTED_VALUE"""),"Pós-Graduação em Musicoterapia - Pós-Graduação em Musicotereapia - Marcos Soares da Silva - Deficiência Auditiva e Libras/a - Nota Máxima: 9")</f>
        <v>Pós-Graduação em Musicoterapia - Pós-Graduação em Musicotereapia - Marcos Soares da Silva - Deficiência Auditiva e Libras/a - Nota Máxima: 9</v>
      </c>
    </row>
    <row r="7487">
      <c r="A7487" s="390" t="str">
        <f>IFERROR(__xludf.DUMMYFUNCTION("""COMPUTED_VALUE"""),"Pós-Graduação em Musicoterapia - Pós-Graduação em Musicotereapia - Marcos Soares da Silva - Didática e Metodologia do Ensino Superior - Nota Máxima: 9")</f>
        <v>Pós-Graduação em Musicoterapia - Pós-Graduação em Musicotereapia - Marcos Soares da Silva - Didática e Metodologia do Ensino Superior - Nota Máxima: 9</v>
      </c>
    </row>
    <row r="7488">
      <c r="A7488" s="390" t="str">
        <f>IFERROR(__xludf.DUMMYFUNCTION("""COMPUTED_VALUE"""),"Pós-Graduação em Musicoterapia - Pós-Graduação em Musicotereapia - Marcos Soares da Silva - Didática e Metodologia do Ensino Superior - Nota Máxima: 8")</f>
        <v>Pós-Graduação em Musicoterapia - Pós-Graduação em Musicotereapia - Marcos Soares da Silva - Didática e Metodologia do Ensino Superior - Nota Máxima: 8</v>
      </c>
    </row>
    <row r="7489">
      <c r="A7489" s="390" t="str">
        <f>IFERROR(__xludf.DUMMYFUNCTION("""COMPUTED_VALUE"""),"Pós-Graduação em Musicoterapia - Pós-Graduação em Musicotereapia - Marcos Soares da Silva - Ética Profissional - Nota Máxima: 10")</f>
        <v>Pós-Graduação em Musicoterapia - Pós-Graduação em Musicotereapia - Marcos Soares da Silva - Ética Profissional - Nota Máxima: 10</v>
      </c>
    </row>
    <row r="7490">
      <c r="A7490" s="390" t="str">
        <f>IFERROR(__xludf.DUMMYFUNCTION("""COMPUTED_VALUE"""),"Pós-Graduação em Musicoterapia - Pós-Graduação em Musicotereapia - Marcos Soares da Silva - Ética Profissional - Nota Máxima: 9")</f>
        <v>Pós-Graduação em Musicoterapia - Pós-Graduação em Musicotereapia - Marcos Soares da Silva - Ética Profissional - Nota Máxima: 9</v>
      </c>
    </row>
    <row r="7491">
      <c r="A7491" s="390" t="str">
        <f>IFERROR(__xludf.DUMMYFUNCTION("""COMPUTED_VALUE"""),"Pós-Graduação em Musicoterapia - Pós-Graduação em Musicotereapia - Marcos Soares da Silva - História da Música - Nota Máxima: 10")</f>
        <v>Pós-Graduação em Musicoterapia - Pós-Graduação em Musicotereapia - Marcos Soares da Silva - História da Música - Nota Máxima: 10</v>
      </c>
    </row>
    <row r="7492">
      <c r="A7492" s="390" t="str">
        <f>IFERROR(__xludf.DUMMYFUNCTION("""COMPUTED_VALUE"""),"Pós-Graduação em Musicoterapia - Pós-Graduação em Musicotereapia - Marcos Soares da Silva - História da Música - Nota Máxima: 7")</f>
        <v>Pós-Graduação em Musicoterapia - Pós-Graduação em Musicotereapia - Marcos Soares da Silva - História da Música - Nota Máxima: 7</v>
      </c>
    </row>
    <row r="7493">
      <c r="A7493" s="390" t="str">
        <f>IFERROR(__xludf.DUMMYFUNCTION("""COMPUTED_VALUE"""),"Pós-Graduação em Musicoterapia - Pós-Graduação em Musicotereapia - Marcos Soares da Silva - Musicoterapia - Nota Máxima: 10")</f>
        <v>Pós-Graduação em Musicoterapia - Pós-Graduação em Musicotereapia - Marcos Soares da Silva - Musicoterapia - Nota Máxima: 10</v>
      </c>
    </row>
    <row r="7494">
      <c r="A7494" s="390" t="str">
        <f>IFERROR(__xludf.DUMMYFUNCTION("""COMPUTED_VALUE"""),"Pós-Graduação em Musicoterapia - Pós-Graduação em Musicotereapia - Marcos Soares da Silva - Neurologia na Musicoterapia - Nota Máxima: 8")</f>
        <v>Pós-Graduação em Musicoterapia - Pós-Graduação em Musicotereapia - Marcos Soares da Silva - Neurologia na Musicoterapia - Nota Máxima: 8</v>
      </c>
    </row>
    <row r="7495">
      <c r="A7495" s="390" t="str">
        <f>IFERROR(__xludf.DUMMYFUNCTION("""COMPUTED_VALUE"""),"Pós-Graduação em Musicoterapia - Pós-Graduação em Musicotereapia - Marcos Soares da Silva - Psicologia do Desenvolvimento: Aprendizagem Infantil - Nota Máxima: 10")</f>
        <v>Pós-Graduação em Musicoterapia - Pós-Graduação em Musicotereapia - Marcos Soares da Silva - Psicologia do Desenvolvimento: Aprendizagem Infantil - Nota Máxima: 10</v>
      </c>
    </row>
    <row r="7496">
      <c r="A7496" s="390" t="str">
        <f>IFERROR(__xludf.DUMMYFUNCTION("""COMPUTED_VALUE"""),"Pós-Graduação em Musicoterapia - Pós-Graduação em Musicotereapia - Marcos Soares da Silva - Psicologia do Desenvolvimento: Aprendizagem Infantil - Nota Máxima: 8")</f>
        <v>Pós-Graduação em Musicoterapia - Pós-Graduação em Musicotereapia - Marcos Soares da Silva - Psicologia do Desenvolvimento: Aprendizagem Infantil - Nota Máxima: 8</v>
      </c>
    </row>
    <row r="7497">
      <c r="A7497" s="390" t="str">
        <f>IFERROR(__xludf.DUMMYFUNCTION("""COMPUTED_VALUE"""),"Pós-Graduação em Musicoterapia - Pós-Graduação em Musicotereapia - Marcos Soares da Silva - Relacionamento Interpessoal - Nota Máxima: 10")</f>
        <v>Pós-Graduação em Musicoterapia - Pós-Graduação em Musicotereapia - Marcos Soares da Silva - Relacionamento Interpessoal - Nota Máxima: 10</v>
      </c>
    </row>
    <row r="7498">
      <c r="A7498" s="390" t="str">
        <f>IFERROR(__xludf.DUMMYFUNCTION("""COMPUTED_VALUE"""),"Pós-Graduação em Musicoterapia - Pós-Graduação em Musicotereapia - Marcos Soares da Silva - Relacionamento Interpessoal - Nota Máxima: 10")</f>
        <v>Pós-Graduação em Musicoterapia - Pós-Graduação em Musicotereapia - Marcos Soares da Silva - Relacionamento Interpessoal - Nota Máxima: 10</v>
      </c>
    </row>
    <row r="7499">
      <c r="A7499" s="390" t="str">
        <f>IFERROR(__xludf.DUMMYFUNCTION("""COMPUTED_VALUE"""),"Pós-Graduação em Musicoterapia - Pós-Graduação em Musicotereapia - Kety Adriana Bichet - Aplicações Musicoterapeuticas - Nota Máxima: 9")</f>
        <v>Pós-Graduação em Musicoterapia - Pós-Graduação em Musicotereapia - Kety Adriana Bichet - Aplicações Musicoterapeuticas - Nota Máxima: 9</v>
      </c>
    </row>
    <row r="7500">
      <c r="A7500" s="390" t="str">
        <f>IFERROR(__xludf.DUMMYFUNCTION("""COMPUTED_VALUE"""),"Pós-Graduação em Musicoterapia - Pós-Graduação em Musicotereapia - Kety Adriana Bichet - Aplicações Musicoterapeuticas - Nota Máxima: 8")</f>
        <v>Pós-Graduação em Musicoterapia - Pós-Graduação em Musicotereapia - Kety Adriana Bichet - Aplicações Musicoterapeuticas - Nota Máxima: 8</v>
      </c>
    </row>
    <row r="7501">
      <c r="A7501" s="390" t="str">
        <f>IFERROR(__xludf.DUMMYFUNCTION("""COMPUTED_VALUE"""),"Pós-Graduação em Musicoterapia - Pós-Graduação em Musicotereapia - Kety Adriana Bichet - Deficiência Auditiva e Libras/a - Nota Máxima: 9")</f>
        <v>Pós-Graduação em Musicoterapia - Pós-Graduação em Musicotereapia - Kety Adriana Bichet - Deficiência Auditiva e Libras/a - Nota Máxima: 9</v>
      </c>
    </row>
    <row r="7502">
      <c r="A7502" s="390" t="str">
        <f>IFERROR(__xludf.DUMMYFUNCTION("""COMPUTED_VALUE"""),"Pós-Graduação em Musicoterapia - Pós-Graduação em Musicotereapia - Kety Adriana Bichet - Deficiência Auditiva e Libras/a - Nota Máxima: 1")</f>
        <v>Pós-Graduação em Musicoterapia - Pós-Graduação em Musicotereapia - Kety Adriana Bichet - Deficiência Auditiva e Libras/a - Nota Máxima: 1</v>
      </c>
    </row>
    <row r="7503">
      <c r="A7503" s="390" t="str">
        <f>IFERROR(__xludf.DUMMYFUNCTION("""COMPUTED_VALUE"""),"Pós-Graduação em Musicoterapia - Pós-Graduação em Musicotereapia - Kety Adriana Bichet - Didática e Metodologia do Ensino Superior - Nota Máxima: 8")</f>
        <v>Pós-Graduação em Musicoterapia - Pós-Graduação em Musicotereapia - Kety Adriana Bichet - Didática e Metodologia do Ensino Superior - Nota Máxima: 8</v>
      </c>
    </row>
    <row r="7504">
      <c r="A7504" s="390" t="str">
        <f>IFERROR(__xludf.DUMMYFUNCTION("""COMPUTED_VALUE"""),"Pós-Graduação em Musicoterapia - Pós-Graduação em Musicotereapia - Kety Adriana Bichet - Didática e Metodologia do Ensino Superior - Nota Máxima: 3")</f>
        <v>Pós-Graduação em Musicoterapia - Pós-Graduação em Musicotereapia - Kety Adriana Bichet - Didática e Metodologia do Ensino Superior - Nota Máxima: 3</v>
      </c>
    </row>
    <row r="7505">
      <c r="A7505" s="390" t="str">
        <f>IFERROR(__xludf.DUMMYFUNCTION("""COMPUTED_VALUE"""),"Pós-Graduação em Musicoterapia - Pós-Graduação em Musicotereapia - Kety Adriana Bichet - Ética Profissional - Nota Máxima: 9")</f>
        <v>Pós-Graduação em Musicoterapia - Pós-Graduação em Musicotereapia - Kety Adriana Bichet - Ética Profissional - Nota Máxima: 9</v>
      </c>
    </row>
    <row r="7506">
      <c r="A7506" s="390" t="str">
        <f>IFERROR(__xludf.DUMMYFUNCTION("""COMPUTED_VALUE"""),"Pós-Graduação em Musicoterapia - Pós-Graduação em Musicotereapia - Kety Adriana Bichet - Ética Profissional - Nota Máxima: 7")</f>
        <v>Pós-Graduação em Musicoterapia - Pós-Graduação em Musicotereapia - Kety Adriana Bichet - Ética Profissional - Nota Máxima: 7</v>
      </c>
    </row>
    <row r="7507">
      <c r="A7507" s="390" t="str">
        <f>IFERROR(__xludf.DUMMYFUNCTION("""COMPUTED_VALUE"""),"Pós-Graduação em Musicoterapia - Pós-Graduação em Musicotereapia - Kety Adriana Bichet - História da Música - Nota Máxima: 9")</f>
        <v>Pós-Graduação em Musicoterapia - Pós-Graduação em Musicotereapia - Kety Adriana Bichet - História da Música - Nota Máxima: 9</v>
      </c>
    </row>
    <row r="7508">
      <c r="A7508" s="390" t="str">
        <f>IFERROR(__xludf.DUMMYFUNCTION("""COMPUTED_VALUE"""),"Pós-Graduação em Musicoterapia - Pós-Graduação em Musicotereapia - Kety Adriana Bichet - História da Música - Nota Máxima: 6")</f>
        <v>Pós-Graduação em Musicoterapia - Pós-Graduação em Musicotereapia - Kety Adriana Bichet - História da Música - Nota Máxima: 6</v>
      </c>
    </row>
    <row r="7509">
      <c r="A7509" s="390" t="str">
        <f>IFERROR(__xludf.DUMMYFUNCTION("""COMPUTED_VALUE"""),"Pós-Graduação em Musicoterapia - Pós-Graduação em Musicotereapia - Kety Adriana Bichet - Musicoterapia - Nota Máxima: 9")</f>
        <v>Pós-Graduação em Musicoterapia - Pós-Graduação em Musicotereapia - Kety Adriana Bichet - Musicoterapia - Nota Máxima: 9</v>
      </c>
    </row>
    <row r="7510">
      <c r="A7510" s="390" t="str">
        <f>IFERROR(__xludf.DUMMYFUNCTION("""COMPUTED_VALUE"""),"Pós-Graduação em Musicoterapia - Pós-Graduação em Musicotereapia - Kety Adriana Bichet - Musicoterapia - Nota Máxima: 5")</f>
        <v>Pós-Graduação em Musicoterapia - Pós-Graduação em Musicotereapia - Kety Adriana Bichet - Musicoterapia - Nota Máxima: 5</v>
      </c>
    </row>
    <row r="7511">
      <c r="A7511" s="390" t="str">
        <f>IFERROR(__xludf.DUMMYFUNCTION("""COMPUTED_VALUE"""),"Pós-Graduação em Musicoterapia - Pós-Graduação em Musicotereapia - Kety Adriana Bichet - Neurologia na Musicoterapia - Nota Máxima: 8")</f>
        <v>Pós-Graduação em Musicoterapia - Pós-Graduação em Musicotereapia - Kety Adriana Bichet - Neurologia na Musicoterapia - Nota Máxima: 8</v>
      </c>
    </row>
    <row r="7512">
      <c r="A7512" s="390" t="str">
        <f>IFERROR(__xludf.DUMMYFUNCTION("""COMPUTED_VALUE"""),"Pós-Graduação em Musicoterapia - Pós-Graduação em Musicotereapia - Kety Adriana Bichet - Neurologia na Musicoterapia - Nota Máxima: 4")</f>
        <v>Pós-Graduação em Musicoterapia - Pós-Graduação em Musicotereapia - Kety Adriana Bichet - Neurologia na Musicoterapia - Nota Máxima: 4</v>
      </c>
    </row>
    <row r="7513">
      <c r="A7513" s="390" t="str">
        <f>IFERROR(__xludf.DUMMYFUNCTION("""COMPUTED_VALUE"""),"Pós-Graduação em Musicoterapia - Pós-Graduação em Musicotereapia - Kety Adriana Bichet - Psicologia do Desenvolvimento: Aprendizagem Infantil - Nota Máxima: 9")</f>
        <v>Pós-Graduação em Musicoterapia - Pós-Graduação em Musicotereapia - Kety Adriana Bichet - Psicologia do Desenvolvimento: Aprendizagem Infantil - Nota Máxima: 9</v>
      </c>
    </row>
    <row r="7514">
      <c r="A7514" s="390" t="str">
        <f>IFERROR(__xludf.DUMMYFUNCTION("""COMPUTED_VALUE"""),"Pós-Graduação em Musicoterapia - Pós-Graduação em Musicotereapia - Kety Adriana Bichet - Psicologia do Desenvolvimento: Aprendizagem Infantil - Nota Máxima: 7")</f>
        <v>Pós-Graduação em Musicoterapia - Pós-Graduação em Musicotereapia - Kety Adriana Bichet - Psicologia do Desenvolvimento: Aprendizagem Infantil - Nota Máxima: 7</v>
      </c>
    </row>
    <row r="7515">
      <c r="A7515" s="390" t="str">
        <f>IFERROR(__xludf.DUMMYFUNCTION("""COMPUTED_VALUE"""),"Pós-Graduação em Musicoterapia - Pós-Graduação em Musicotereapia - Kety Adriana Bichet - Relacionamento Interpessoal - Nota Máxima: 8")</f>
        <v>Pós-Graduação em Musicoterapia - Pós-Graduação em Musicotereapia - Kety Adriana Bichet - Relacionamento Interpessoal - Nota Máxima: 8</v>
      </c>
    </row>
    <row r="7516">
      <c r="A7516" s="390" t="str">
        <f>IFERROR(__xludf.DUMMYFUNCTION("""COMPUTED_VALUE"""),"Pós-Graduação em Musicoterapia - Pós-Graduação em Musicotereapia - Kety Adriana Bichet - Relacionamento Interpessoal - Nota Máxima: 9")</f>
        <v>Pós-Graduação em Musicoterapia - Pós-Graduação em Musicotereapia - Kety Adriana Bichet - Relacionamento Interpessoal - Nota Máxima: 9</v>
      </c>
    </row>
    <row r="7517">
      <c r="A7517" s="390" t="str">
        <f>IFERROR(__xludf.DUMMYFUNCTION("""COMPUTED_VALUE"""),"Pós-Graduação em Musicoterapia - Pós-Graduação em Musicotereapia - JACICLEIDE DE LIMA ALBUQUERQUE - Aplicações Musicoterapeuticas - Nota Máxima: 10")</f>
        <v>Pós-Graduação em Musicoterapia - Pós-Graduação em Musicotereapia - JACICLEIDE DE LIMA ALBUQUERQUE - Aplicações Musicoterapeuticas - Nota Máxima: 10</v>
      </c>
    </row>
    <row r="7518">
      <c r="A7518" s="390" t="str">
        <f>IFERROR(__xludf.DUMMYFUNCTION("""COMPUTED_VALUE"""),"Pós-Graduação em Musicoterapia - Pós-Graduação em Musicotereapia - JACICLEIDE DE LIMA ALBUQUERQUE - Deficiência Auditiva e Libras/a - Nota Máxima: 7")</f>
        <v>Pós-Graduação em Musicoterapia - Pós-Graduação em Musicotereapia - JACICLEIDE DE LIMA ALBUQUERQUE - Deficiência Auditiva e Libras/a - Nota Máxima: 7</v>
      </c>
    </row>
    <row r="7519">
      <c r="A7519" s="390" t="str">
        <f>IFERROR(__xludf.DUMMYFUNCTION("""COMPUTED_VALUE"""),"Pós-Graduação em Musicoterapia - Pós-Graduação em Musicotereapia - JACICLEIDE DE LIMA ALBUQUERQUE - Didática e Metodologia do Ensino Superior - Nota Máxima: 8")</f>
        <v>Pós-Graduação em Musicoterapia - Pós-Graduação em Musicotereapia - JACICLEIDE DE LIMA ALBUQUERQUE - Didática e Metodologia do Ensino Superior - Nota Máxima: 8</v>
      </c>
    </row>
    <row r="7520">
      <c r="A7520" s="390" t="str">
        <f>IFERROR(__xludf.DUMMYFUNCTION("""COMPUTED_VALUE"""),"Pós-Graduação em Musicoterapia - Pós-Graduação em Musicotereapia - JACICLEIDE DE LIMA ALBUQUERQUE - Ética Profissional - Nota Máxima: 8")</f>
        <v>Pós-Graduação em Musicoterapia - Pós-Graduação em Musicotereapia - JACICLEIDE DE LIMA ALBUQUERQUE - Ética Profissional - Nota Máxima: 8</v>
      </c>
    </row>
    <row r="7521">
      <c r="A7521" s="390" t="str">
        <f>IFERROR(__xludf.DUMMYFUNCTION("""COMPUTED_VALUE"""),"Pós-Graduação em Musicoterapia - Pós-Graduação em Musicotereapia - JACICLEIDE DE LIMA ALBUQUERQUE - História da Música - Nota Máxima: 10")</f>
        <v>Pós-Graduação em Musicoterapia - Pós-Graduação em Musicotereapia - JACICLEIDE DE LIMA ALBUQUERQUE - História da Música - Nota Máxima: 10</v>
      </c>
    </row>
    <row r="7522">
      <c r="A7522" s="390" t="str">
        <f>IFERROR(__xludf.DUMMYFUNCTION("""COMPUTED_VALUE"""),"Pós-Graduação em Musicoterapia - Pós-Graduação em Musicotereapia - JACICLEIDE DE LIMA ALBUQUERQUE - Musicoterapia - Nota Máxima: 7")</f>
        <v>Pós-Graduação em Musicoterapia - Pós-Graduação em Musicotereapia - JACICLEIDE DE LIMA ALBUQUERQUE - Musicoterapia - Nota Máxima: 7</v>
      </c>
    </row>
    <row r="7523">
      <c r="A7523" s="390" t="str">
        <f>IFERROR(__xludf.DUMMYFUNCTION("""COMPUTED_VALUE"""),"Pós-Graduação em Musicoterapia - Pós-Graduação em Musicotereapia - JACICLEIDE DE LIMA ALBUQUERQUE - Neurologia na Musicoterapia - Nota Máxima: 9")</f>
        <v>Pós-Graduação em Musicoterapia - Pós-Graduação em Musicotereapia - JACICLEIDE DE LIMA ALBUQUERQUE - Neurologia na Musicoterapia - Nota Máxima: 9</v>
      </c>
    </row>
    <row r="7524">
      <c r="A7524" s="390" t="str">
        <f>IFERROR(__xludf.DUMMYFUNCTION("""COMPUTED_VALUE"""),"Pós-Graduação em Musicoterapia - Pós-Graduação em Musicotereapia - JACICLEIDE DE LIMA ALBUQUERQUE - Psicologia do Desenvolvimento: Aprendizagem Infantil - Nota Máxima: 10")</f>
        <v>Pós-Graduação em Musicoterapia - Pós-Graduação em Musicotereapia - JACICLEIDE DE LIMA ALBUQUERQUE - Psicologia do Desenvolvimento: Aprendizagem Infantil - Nota Máxima: 10</v>
      </c>
    </row>
    <row r="7525">
      <c r="A7525" s="390" t="str">
        <f>IFERROR(__xludf.DUMMYFUNCTION("""COMPUTED_VALUE"""),"Pós-Graduação em Musicoterapia - Pós-Graduação em Musicotereapia - JACICLEIDE DE LIMA ALBUQUERQUE - Relacionamento Interpessoal - Nota Máxima: 10")</f>
        <v>Pós-Graduação em Musicoterapia - Pós-Graduação em Musicotereapia - JACICLEIDE DE LIMA ALBUQUERQUE - Relacionamento Interpessoal - Nota Máxima: 10</v>
      </c>
    </row>
    <row r="7526">
      <c r="A7526" s="390" t="str">
        <f>IFERROR(__xludf.DUMMYFUNCTION("""COMPUTED_VALUE"""),"Pós-Graduação em Musicoterapia - Pós-Graduação em Musicotereapia - Ricardo Teófilo da Silva - Relacionamento Interpessoal - Nota Máxima: 5")</f>
        <v>Pós-Graduação em Musicoterapia - Pós-Graduação em Musicotereapia - Ricardo Teófilo da Silva - Relacionamento Interpessoal - Nota Máxima: 5</v>
      </c>
    </row>
    <row r="7527">
      <c r="A7527" s="390" t="str">
        <f>IFERROR(__xludf.DUMMYFUNCTION("""COMPUTED_VALUE"""),"Pós-Graduação em Musicoterapia - Pós-Graduação em Musicotereapia - Gabriela Queiroz Saraiva - Aplicações Musicoterapeuticas - Nota Máxima: 9")</f>
        <v>Pós-Graduação em Musicoterapia - Pós-Graduação em Musicotereapia - Gabriela Queiroz Saraiva - Aplicações Musicoterapeuticas - Nota Máxima: 9</v>
      </c>
    </row>
    <row r="7528">
      <c r="A7528" s="390" t="str">
        <f>IFERROR(__xludf.DUMMYFUNCTION("""COMPUTED_VALUE"""),"Pós-Graduação em Musicoterapia - Pós-Graduação em Musicotereapia - Gabriela Queiroz Saraiva - Deficiência Auditiva e Libras/a - Nota Máxima: 8")</f>
        <v>Pós-Graduação em Musicoterapia - Pós-Graduação em Musicotereapia - Gabriela Queiroz Saraiva - Deficiência Auditiva e Libras/a - Nota Máxima: 8</v>
      </c>
    </row>
    <row r="7529">
      <c r="A7529" s="390" t="str">
        <f>IFERROR(__xludf.DUMMYFUNCTION("""COMPUTED_VALUE"""),"Pós-Graduação em Musicoterapia - Pós-Graduação em Musicotereapia - Gabriela Queiroz Saraiva - Didática e Metodologia do Ensino Superior - Nota Máxima: 9")</f>
        <v>Pós-Graduação em Musicoterapia - Pós-Graduação em Musicotereapia - Gabriela Queiroz Saraiva - Didática e Metodologia do Ensino Superior - Nota Máxima: 9</v>
      </c>
    </row>
    <row r="7530">
      <c r="A7530" s="390" t="str">
        <f>IFERROR(__xludf.DUMMYFUNCTION("""COMPUTED_VALUE"""),"Pós-Graduação em Musicoterapia - Pós-Graduação em Musicotereapia - Gabriela Queiroz Saraiva - Ética Profissional - Nota Máxima: 9")</f>
        <v>Pós-Graduação em Musicoterapia - Pós-Graduação em Musicotereapia - Gabriela Queiroz Saraiva - Ética Profissional - Nota Máxima: 9</v>
      </c>
    </row>
    <row r="7531">
      <c r="A7531" s="390" t="str">
        <f>IFERROR(__xludf.DUMMYFUNCTION("""COMPUTED_VALUE"""),"Pós-Graduação em Musicoterapia - Pós-Graduação em Musicotereapia - Gabriela Queiroz Saraiva - História da Música - Nota Máxima: 10")</f>
        <v>Pós-Graduação em Musicoterapia - Pós-Graduação em Musicotereapia - Gabriela Queiroz Saraiva - História da Música - Nota Máxima: 10</v>
      </c>
    </row>
    <row r="7532">
      <c r="A7532" s="390" t="str">
        <f>IFERROR(__xludf.DUMMYFUNCTION("""COMPUTED_VALUE"""),"Pós-Graduação em Musicoterapia - Pós-Graduação em Musicotereapia - Gabriela Queiroz Saraiva - Musicoterapia - Nota Máxima: 9")</f>
        <v>Pós-Graduação em Musicoterapia - Pós-Graduação em Musicotereapia - Gabriela Queiroz Saraiva - Musicoterapia - Nota Máxima: 9</v>
      </c>
    </row>
    <row r="7533">
      <c r="A7533" s="390" t="str">
        <f>IFERROR(__xludf.DUMMYFUNCTION("""COMPUTED_VALUE"""),"Pós-Graduação em Musicoterapia - Pós-Graduação em Musicotereapia - Gabriela Queiroz Saraiva - Neurologia na Musicoterapia - Nota Máxima: 8")</f>
        <v>Pós-Graduação em Musicoterapia - Pós-Graduação em Musicotereapia - Gabriela Queiroz Saraiva - Neurologia na Musicoterapia - Nota Máxima: 8</v>
      </c>
    </row>
    <row r="7534">
      <c r="A7534" s="390" t="str">
        <f>IFERROR(__xludf.DUMMYFUNCTION("""COMPUTED_VALUE"""),"Pós-Graduação em Musicoterapia - Pós-Graduação em Musicotereapia - Gabriela Queiroz Saraiva - Psicologia do Desenvolvimento: Aprendizagem Infantil - Nota Máxima: 9")</f>
        <v>Pós-Graduação em Musicoterapia - Pós-Graduação em Musicotereapia - Gabriela Queiroz Saraiva - Psicologia do Desenvolvimento: Aprendizagem Infantil - Nota Máxima: 9</v>
      </c>
    </row>
    <row r="7535">
      <c r="A7535" s="390" t="str">
        <f>IFERROR(__xludf.DUMMYFUNCTION("""COMPUTED_VALUE"""),"Pós-Graduação em Musicoterapia - Pós-Graduação em Musicotereapia - Gabriela Queiroz Saraiva - Relacionamento Interpessoal - Nota Máxima: 10")</f>
        <v>Pós-Graduação em Musicoterapia - Pós-Graduação em Musicotereapia - Gabriela Queiroz Saraiva - Relacionamento Interpessoal - Nota Máxima: 10</v>
      </c>
    </row>
    <row r="7536">
      <c r="A7536" s="390" t="str">
        <f>IFERROR(__xludf.DUMMYFUNCTION("""COMPUTED_VALUE"""),"Pós-Graduação em Musicoterapia - Pós-Graduação em Musicotereapia - Jeferson da Silva - Aplicações Musicoterapeuticas - Nota Máxima: 9")</f>
        <v>Pós-Graduação em Musicoterapia - Pós-Graduação em Musicotereapia - Jeferson da Silva - Aplicações Musicoterapeuticas - Nota Máxima: 9</v>
      </c>
    </row>
    <row r="7537">
      <c r="A7537" s="390" t="str">
        <f>IFERROR(__xludf.DUMMYFUNCTION("""COMPUTED_VALUE"""),"Pós-Graduação em Musicoterapia - Pós-Graduação em Musicotereapia - Jeferson da Silva - Deficiência Auditiva e Libras/a - Nota Máxima: 10")</f>
        <v>Pós-Graduação em Musicoterapia - Pós-Graduação em Musicotereapia - Jeferson da Silva - Deficiência Auditiva e Libras/a - Nota Máxima: 10</v>
      </c>
    </row>
    <row r="7538">
      <c r="A7538" s="390" t="str">
        <f>IFERROR(__xludf.DUMMYFUNCTION("""COMPUTED_VALUE"""),"Pós-Graduação em Musicoterapia - Pós-Graduação em Musicotereapia - Jeferson da Silva - Didática e Metodologia do Ensino Superior - Nota Máxima: 10")</f>
        <v>Pós-Graduação em Musicoterapia - Pós-Graduação em Musicotereapia - Jeferson da Silva - Didática e Metodologia do Ensino Superior - Nota Máxima: 10</v>
      </c>
    </row>
    <row r="7539">
      <c r="A7539" s="390" t="str">
        <f>IFERROR(__xludf.DUMMYFUNCTION("""COMPUTED_VALUE"""),"Pós-Graduação em Musicoterapia - Pós-Graduação em Musicotereapia - Jeferson da Silva - Ética Profissional - Nota Máxima: 10")</f>
        <v>Pós-Graduação em Musicoterapia - Pós-Graduação em Musicotereapia - Jeferson da Silva - Ética Profissional - Nota Máxima: 10</v>
      </c>
    </row>
    <row r="7540">
      <c r="A7540" s="390" t="str">
        <f>IFERROR(__xludf.DUMMYFUNCTION("""COMPUTED_VALUE"""),"Pós-Graduação em Musicoterapia - Pós-Graduação em Musicotereapia - Jeferson da Silva - História da Música - Nota Máxima: 10")</f>
        <v>Pós-Graduação em Musicoterapia - Pós-Graduação em Musicotereapia - Jeferson da Silva - História da Música - Nota Máxima: 10</v>
      </c>
    </row>
    <row r="7541">
      <c r="A7541" s="390" t="str">
        <f>IFERROR(__xludf.DUMMYFUNCTION("""COMPUTED_VALUE"""),"Pós-Graduação em Musicoterapia - Pós-Graduação em Musicotereapia - Jeferson da Silva - Musicoterapia - Nota Máxima: 10")</f>
        <v>Pós-Graduação em Musicoterapia - Pós-Graduação em Musicotereapia - Jeferson da Silva - Musicoterapia - Nota Máxima: 10</v>
      </c>
    </row>
    <row r="7542">
      <c r="A7542" s="390" t="str">
        <f>IFERROR(__xludf.DUMMYFUNCTION("""COMPUTED_VALUE"""),"Pós-Graduação em Musicoterapia - Pós-Graduação em Musicotereapia - Jeferson da Silva - Neurologia na Musicoterapia - Nota Máxima: 8")</f>
        <v>Pós-Graduação em Musicoterapia - Pós-Graduação em Musicotereapia - Jeferson da Silva - Neurologia na Musicoterapia - Nota Máxima: 8</v>
      </c>
    </row>
    <row r="7543">
      <c r="A7543" s="390" t="str">
        <f>IFERROR(__xludf.DUMMYFUNCTION("""COMPUTED_VALUE"""),"Pós-Graduação em Musicoterapia - Pós-Graduação em Musicotereapia - Jeferson da Silva - Psicologia do Desenvolvimento: Aprendizagem Infantil - Nota Máxima: 10")</f>
        <v>Pós-Graduação em Musicoterapia - Pós-Graduação em Musicotereapia - Jeferson da Silva - Psicologia do Desenvolvimento: Aprendizagem Infantil - Nota Máxima: 10</v>
      </c>
    </row>
    <row r="7544">
      <c r="A7544" s="390" t="str">
        <f>IFERROR(__xludf.DUMMYFUNCTION("""COMPUTED_VALUE"""),"Pós-Graduação em Musicoterapia - Pós-Graduação em Musicotereapia - Jeferson da Silva - Relacionamento Interpessoal - Nota Máxima: 10")</f>
        <v>Pós-Graduação em Musicoterapia - Pós-Graduação em Musicotereapia - Jeferson da Silva - Relacionamento Interpessoal - Nota Máxima: 10</v>
      </c>
    </row>
    <row r="7545">
      <c r="A7545" s="390" t="str">
        <f>IFERROR(__xludf.DUMMYFUNCTION("""COMPUTED_VALUE"""),"Pós-Graduação em Musicoterapia - Pós-Graduação em Musicotereapia - Geovane de Arruda Barbosa - Aplicações Musicoterapeuticas - Nota Máxima: 10")</f>
        <v>Pós-Graduação em Musicoterapia - Pós-Graduação em Musicotereapia - Geovane de Arruda Barbosa - Aplicações Musicoterapeuticas - Nota Máxima: 10</v>
      </c>
    </row>
    <row r="7546">
      <c r="A7546" s="390" t="str">
        <f>IFERROR(__xludf.DUMMYFUNCTION("""COMPUTED_VALUE"""),"Pós-Graduação em Musicoterapia - Pós-Graduação em Musicotereapia - Geovane de Arruda Barbosa - Deficiência Auditiva e Libras/a - Nota Máxima: 10")</f>
        <v>Pós-Graduação em Musicoterapia - Pós-Graduação em Musicotereapia - Geovane de Arruda Barbosa - Deficiência Auditiva e Libras/a - Nota Máxima: 10</v>
      </c>
    </row>
    <row r="7547">
      <c r="A7547" s="390" t="str">
        <f>IFERROR(__xludf.DUMMYFUNCTION("""COMPUTED_VALUE"""),"Pós-Graduação em Musicoterapia - Pós-Graduação em Musicotereapia - Geovane de Arruda Barbosa - Didática e Metodologia do Ensino Superior - Nota Máxima: 9")</f>
        <v>Pós-Graduação em Musicoterapia - Pós-Graduação em Musicotereapia - Geovane de Arruda Barbosa - Didática e Metodologia do Ensino Superior - Nota Máxima: 9</v>
      </c>
    </row>
    <row r="7548">
      <c r="A7548" s="390" t="str">
        <f>IFERROR(__xludf.DUMMYFUNCTION("""COMPUTED_VALUE"""),"Pós-Graduação em Musicoterapia - Pós-Graduação em Musicotereapia - Geovane de Arruda Barbosa - Ética Profissional - Nota Máxima: 10")</f>
        <v>Pós-Graduação em Musicoterapia - Pós-Graduação em Musicotereapia - Geovane de Arruda Barbosa - Ética Profissional - Nota Máxima: 10</v>
      </c>
    </row>
    <row r="7549">
      <c r="A7549" s="390" t="str">
        <f>IFERROR(__xludf.DUMMYFUNCTION("""COMPUTED_VALUE"""),"Pós-Graduação em Musicoterapia - Pós-Graduação em Musicotereapia - Geovane de Arruda Barbosa - História da Música - Nota Máxima: 8")</f>
        <v>Pós-Graduação em Musicoterapia - Pós-Graduação em Musicotereapia - Geovane de Arruda Barbosa - História da Música - Nota Máxima: 8</v>
      </c>
    </row>
    <row r="7550">
      <c r="A7550" s="390" t="str">
        <f>IFERROR(__xludf.DUMMYFUNCTION("""COMPUTED_VALUE"""),"Pós-Graduação em Musicoterapia - Pós-Graduação em Musicotereapia - Geovane de Arruda Barbosa - Musicoterapia - Nota Máxima: 9")</f>
        <v>Pós-Graduação em Musicoterapia - Pós-Graduação em Musicotereapia - Geovane de Arruda Barbosa - Musicoterapia - Nota Máxima: 9</v>
      </c>
    </row>
    <row r="7551">
      <c r="A7551" s="390" t="str">
        <f>IFERROR(__xludf.DUMMYFUNCTION("""COMPUTED_VALUE"""),"Pós-Graduação em Musicoterapia - Pós-Graduação em Musicotereapia - Geovane de Arruda Barbosa - Neurologia na Musicoterapia - Nota Máxima: 8")</f>
        <v>Pós-Graduação em Musicoterapia - Pós-Graduação em Musicotereapia - Geovane de Arruda Barbosa - Neurologia na Musicoterapia - Nota Máxima: 8</v>
      </c>
    </row>
    <row r="7552">
      <c r="A7552" s="390" t="str">
        <f>IFERROR(__xludf.DUMMYFUNCTION("""COMPUTED_VALUE"""),"Pós-Graduação em Musicoterapia - Pós-Graduação em Musicotereapia - Geovane de Arruda Barbosa - Psicologia do Desenvolvimento: Aprendizagem Infantil - Nota Máxima: 10")</f>
        <v>Pós-Graduação em Musicoterapia - Pós-Graduação em Musicotereapia - Geovane de Arruda Barbosa - Psicologia do Desenvolvimento: Aprendizagem Infantil - Nota Máxima: 10</v>
      </c>
    </row>
    <row r="7553">
      <c r="A7553" s="390" t="str">
        <f>IFERROR(__xludf.DUMMYFUNCTION("""COMPUTED_VALUE"""),"Pós-Graduação em Musicoterapia - Pós-Graduação em Musicotereapia - Geovane de Arruda Barbosa - Relacionamento Interpessoal - Nota Máxima: 10")</f>
        <v>Pós-Graduação em Musicoterapia - Pós-Graduação em Musicotereapia - Geovane de Arruda Barbosa - Relacionamento Interpessoal - Nota Máxima: 10</v>
      </c>
    </row>
    <row r="7554">
      <c r="A7554" s="390" t="str">
        <f>IFERROR(__xludf.DUMMYFUNCTION("""COMPUTED_VALUE"""),"Pós-Graduação em Musicoterapia - Pós-Graduação em Musicotereapia - Weliton José Soares da Costa - Aplicações Musicoterapeuticas - Nota Máxima: 10")</f>
        <v>Pós-Graduação em Musicoterapia - Pós-Graduação em Musicotereapia - Weliton José Soares da Costa - Aplicações Musicoterapeuticas - Nota Máxima: 10</v>
      </c>
    </row>
    <row r="7555">
      <c r="A7555" s="390" t="str">
        <f>IFERROR(__xludf.DUMMYFUNCTION("""COMPUTED_VALUE"""),"Pós-Graduação em Musicoterapia - Pós-Graduação em Musicotereapia - Weliton José Soares da Costa - Deficiência Auditiva e Libras/a - Nota Máxima: 8")</f>
        <v>Pós-Graduação em Musicoterapia - Pós-Graduação em Musicotereapia - Weliton José Soares da Costa - Deficiência Auditiva e Libras/a - Nota Máxima: 8</v>
      </c>
    </row>
    <row r="7556">
      <c r="A7556" s="390" t="str">
        <f>IFERROR(__xludf.DUMMYFUNCTION("""COMPUTED_VALUE"""),"Pós-Graduação em Musicoterapia - Pós-Graduação em Musicotereapia - Weliton José Soares da Costa - Didática e Metodologia do Ensino Superior - Nota Máxima: 10")</f>
        <v>Pós-Graduação em Musicoterapia - Pós-Graduação em Musicotereapia - Weliton José Soares da Costa - Didática e Metodologia do Ensino Superior - Nota Máxima: 10</v>
      </c>
    </row>
    <row r="7557">
      <c r="A7557" s="390" t="str">
        <f>IFERROR(__xludf.DUMMYFUNCTION("""COMPUTED_VALUE"""),"Pós-Graduação em Musicoterapia - Pós-Graduação em Musicotereapia - Weliton José Soares da Costa - Ética Profissional - Nota Máxima: 9")</f>
        <v>Pós-Graduação em Musicoterapia - Pós-Graduação em Musicotereapia - Weliton José Soares da Costa - Ética Profissional - Nota Máxima: 9</v>
      </c>
    </row>
    <row r="7558">
      <c r="A7558" s="390" t="str">
        <f>IFERROR(__xludf.DUMMYFUNCTION("""COMPUTED_VALUE"""),"Pós-Graduação em Musicoterapia - Pós-Graduação em Musicotereapia - Weliton José Soares da Costa - História da Música - Nota Máxima: 8")</f>
        <v>Pós-Graduação em Musicoterapia - Pós-Graduação em Musicotereapia - Weliton José Soares da Costa - História da Música - Nota Máxima: 8</v>
      </c>
    </row>
    <row r="7559">
      <c r="A7559" s="390" t="str">
        <f>IFERROR(__xludf.DUMMYFUNCTION("""COMPUTED_VALUE"""),"Pós-Graduação em Musicoterapia - Pós-Graduação em Musicotereapia - Weliton José Soares da Costa - Musicoterapia - Nota Máxima: 10")</f>
        <v>Pós-Graduação em Musicoterapia - Pós-Graduação em Musicotereapia - Weliton José Soares da Costa - Musicoterapia - Nota Máxima: 10</v>
      </c>
    </row>
    <row r="7560">
      <c r="A7560" s="390" t="str">
        <f>IFERROR(__xludf.DUMMYFUNCTION("""COMPUTED_VALUE"""),"Pós-Graduação em Musicoterapia - Pós-Graduação em Musicotereapia - Weliton José Soares da Costa - Neurologia na Musicoterapia - Nota Máxima: 8")</f>
        <v>Pós-Graduação em Musicoterapia - Pós-Graduação em Musicotereapia - Weliton José Soares da Costa - Neurologia na Musicoterapia - Nota Máxima: 8</v>
      </c>
    </row>
    <row r="7561">
      <c r="A7561" s="390" t="str">
        <f>IFERROR(__xludf.DUMMYFUNCTION("""COMPUTED_VALUE"""),"Pós-Graduação em Musicoterapia - Pós-Graduação em Musicotereapia - Weliton José Soares da Costa - Psicologia do Desenvolvimento: Aprendizagem Infantil - Nota Máxima: 10")</f>
        <v>Pós-Graduação em Musicoterapia - Pós-Graduação em Musicotereapia - Weliton José Soares da Costa - Psicologia do Desenvolvimento: Aprendizagem Infantil - Nota Máxima: 10</v>
      </c>
    </row>
    <row r="7562">
      <c r="A7562" s="390" t="str">
        <f>IFERROR(__xludf.DUMMYFUNCTION("""COMPUTED_VALUE"""),"Pós-Graduação em Musicoterapia - Pós-Graduação em Musicotereapia - Weliton José Soares da Costa - Relacionamento Interpessoal - Nota Máxima: 8")</f>
        <v>Pós-Graduação em Musicoterapia - Pós-Graduação em Musicotereapia - Weliton José Soares da Costa - Relacionamento Interpessoal - Nota Máxima: 8</v>
      </c>
    </row>
    <row r="7563">
      <c r="A7563" s="390" t="str">
        <f>IFERROR(__xludf.DUMMYFUNCTION("""COMPUTED_VALUE"""),"Pós-Graduação em Musicoterapia - Pós-Graduação em Musicotereapia - Daiane Baron - Aplicações Musicoterapeuticas - Nota Máxima: 10")</f>
        <v>Pós-Graduação em Musicoterapia - Pós-Graduação em Musicotereapia - Daiane Baron - Aplicações Musicoterapeuticas - Nota Máxima: 10</v>
      </c>
    </row>
    <row r="7564">
      <c r="A7564" s="390" t="str">
        <f>IFERROR(__xludf.DUMMYFUNCTION("""COMPUTED_VALUE"""),"Pós-Graduação em Musicoterapia - Pós-Graduação em Musicotereapia - Daiane Baron - Aplicações Musicoterapeuticas - Nota Máxima: 10")</f>
        <v>Pós-Graduação em Musicoterapia - Pós-Graduação em Musicotereapia - Daiane Baron - Aplicações Musicoterapeuticas - Nota Máxima: 10</v>
      </c>
    </row>
    <row r="7565">
      <c r="A7565" s="390" t="str">
        <f>IFERROR(__xludf.DUMMYFUNCTION("""COMPUTED_VALUE"""),"Pós-Graduação em Musicoterapia - Pós-Graduação em Musicotereapia - Daiane Baron - Deficiência Auditiva e Libras/a - Nota Máxima: 10")</f>
        <v>Pós-Graduação em Musicoterapia - Pós-Graduação em Musicotereapia - Daiane Baron - Deficiência Auditiva e Libras/a - Nota Máxima: 10</v>
      </c>
    </row>
    <row r="7566">
      <c r="A7566" s="390" t="str">
        <f>IFERROR(__xludf.DUMMYFUNCTION("""COMPUTED_VALUE"""),"Pós-Graduação em Musicoterapia - Pós-Graduação em Musicotereapia - Daiane Baron - Deficiência Auditiva e Libras/a - Nota Máxima: 8")</f>
        <v>Pós-Graduação em Musicoterapia - Pós-Graduação em Musicotereapia - Daiane Baron - Deficiência Auditiva e Libras/a - Nota Máxima: 8</v>
      </c>
    </row>
    <row r="7567">
      <c r="A7567" s="390" t="str">
        <f>IFERROR(__xludf.DUMMYFUNCTION("""COMPUTED_VALUE"""),"Pós-Graduação em Musicoterapia - Pós-Graduação em Musicotereapia - Daiane Baron - Didática e Metodologia do Ensino Superior - Nota Máxima: 10")</f>
        <v>Pós-Graduação em Musicoterapia - Pós-Graduação em Musicotereapia - Daiane Baron - Didática e Metodologia do Ensino Superior - Nota Máxima: 10</v>
      </c>
    </row>
    <row r="7568">
      <c r="A7568" s="390" t="str">
        <f>IFERROR(__xludf.DUMMYFUNCTION("""COMPUTED_VALUE"""),"Pós-Graduação em Musicoterapia - Pós-Graduação em Musicotereapia - Daiane Baron - Didática e Metodologia do Ensino Superior - Nota Máxima: 7")</f>
        <v>Pós-Graduação em Musicoterapia - Pós-Graduação em Musicotereapia - Daiane Baron - Didática e Metodologia do Ensino Superior - Nota Máxima: 7</v>
      </c>
    </row>
    <row r="7569">
      <c r="A7569" s="390" t="str">
        <f>IFERROR(__xludf.DUMMYFUNCTION("""COMPUTED_VALUE"""),"Pós-Graduação em Musicoterapia - Pós-Graduação em Musicotereapia - Daiane Baron - Ética Profissional - Nota Máxima: 10")</f>
        <v>Pós-Graduação em Musicoterapia - Pós-Graduação em Musicotereapia - Daiane Baron - Ética Profissional - Nota Máxima: 10</v>
      </c>
    </row>
    <row r="7570">
      <c r="A7570" s="390" t="str">
        <f>IFERROR(__xludf.DUMMYFUNCTION("""COMPUTED_VALUE"""),"Pós-Graduação em Musicoterapia - Pós-Graduação em Musicotereapia - Daiane Baron - Ética Profissional - Nota Máxima: 10")</f>
        <v>Pós-Graduação em Musicoterapia - Pós-Graduação em Musicotereapia - Daiane Baron - Ética Profissional - Nota Máxima: 10</v>
      </c>
    </row>
    <row r="7571">
      <c r="A7571" s="390" t="str">
        <f>IFERROR(__xludf.DUMMYFUNCTION("""COMPUTED_VALUE"""),"Pós-Graduação em Musicoterapia - Pós-Graduação em Musicotereapia - Daiane Baron - História da Música - Nota Máxima: 10")</f>
        <v>Pós-Graduação em Musicoterapia - Pós-Graduação em Musicotereapia - Daiane Baron - História da Música - Nota Máxima: 10</v>
      </c>
    </row>
    <row r="7572">
      <c r="A7572" s="390" t="str">
        <f>IFERROR(__xludf.DUMMYFUNCTION("""COMPUTED_VALUE"""),"Pós-Graduação em Musicoterapia - Pós-Graduação em Musicotereapia - Daiane Baron - História da Música - Nota Máxima: 6")</f>
        <v>Pós-Graduação em Musicoterapia - Pós-Graduação em Musicotereapia - Daiane Baron - História da Música - Nota Máxima: 6</v>
      </c>
    </row>
    <row r="7573">
      <c r="A7573" s="390" t="str">
        <f>IFERROR(__xludf.DUMMYFUNCTION("""COMPUTED_VALUE"""),"Pós-Graduação em Musicoterapia - Pós-Graduação em Musicotereapia - Daiane Baron - Musicoterapia - Nota Máxima: 10")</f>
        <v>Pós-Graduação em Musicoterapia - Pós-Graduação em Musicotereapia - Daiane Baron - Musicoterapia - Nota Máxima: 10</v>
      </c>
    </row>
    <row r="7574">
      <c r="A7574" s="390" t="str">
        <f>IFERROR(__xludf.DUMMYFUNCTION("""COMPUTED_VALUE"""),"Pós-Graduação em Musicoterapia - Pós-Graduação em Musicotereapia - Daiane Baron - Musicoterapia - Nota Máxima: 9")</f>
        <v>Pós-Graduação em Musicoterapia - Pós-Graduação em Musicotereapia - Daiane Baron - Musicoterapia - Nota Máxima: 9</v>
      </c>
    </row>
    <row r="7575">
      <c r="A7575" s="390" t="str">
        <f>IFERROR(__xludf.DUMMYFUNCTION("""COMPUTED_VALUE"""),"Pós-Graduação em Musicoterapia - Pós-Graduação em Musicotereapia - Daiane Baron - Neurologia na Musicoterapia - Nota Máxima: 10")</f>
        <v>Pós-Graduação em Musicoterapia - Pós-Graduação em Musicotereapia - Daiane Baron - Neurologia na Musicoterapia - Nota Máxima: 10</v>
      </c>
    </row>
    <row r="7576">
      <c r="A7576" s="390" t="str">
        <f>IFERROR(__xludf.DUMMYFUNCTION("""COMPUTED_VALUE"""),"Pós-Graduação em Musicoterapia - Pós-Graduação em Musicotereapia - Daiane Baron - Neurologia na Musicoterapia - Nota Máxima: 8")</f>
        <v>Pós-Graduação em Musicoterapia - Pós-Graduação em Musicotereapia - Daiane Baron - Neurologia na Musicoterapia - Nota Máxima: 8</v>
      </c>
    </row>
    <row r="7577">
      <c r="A7577" s="390" t="str">
        <f>IFERROR(__xludf.DUMMYFUNCTION("""COMPUTED_VALUE"""),"Pós-Graduação em Musicoterapia - Pós-Graduação em Musicotereapia - Daiane Baron - Psicologia do Desenvolvimento: Aprendizagem Infantil - Nota Máxima: 10")</f>
        <v>Pós-Graduação em Musicoterapia - Pós-Graduação em Musicotereapia - Daiane Baron - Psicologia do Desenvolvimento: Aprendizagem Infantil - Nota Máxima: 10</v>
      </c>
    </row>
    <row r="7578">
      <c r="A7578" s="390" t="str">
        <f>IFERROR(__xludf.DUMMYFUNCTION("""COMPUTED_VALUE"""),"Pós-Graduação em Musicoterapia - Pós-Graduação em Musicotereapia - Daiane Baron - Psicologia do Desenvolvimento: Aprendizagem Infantil - Nota Máxima: 10")</f>
        <v>Pós-Graduação em Musicoterapia - Pós-Graduação em Musicotereapia - Daiane Baron - Psicologia do Desenvolvimento: Aprendizagem Infantil - Nota Máxima: 10</v>
      </c>
    </row>
    <row r="7579">
      <c r="A7579" s="390" t="str">
        <f>IFERROR(__xludf.DUMMYFUNCTION("""COMPUTED_VALUE"""),"Pós-Graduação em Musicoterapia - Pós-Graduação em Musicotereapia - Daiane Baron - Relacionamento Interpessoal - Nota Máxima: 10")</f>
        <v>Pós-Graduação em Musicoterapia - Pós-Graduação em Musicotereapia - Daiane Baron - Relacionamento Interpessoal - Nota Máxima: 10</v>
      </c>
    </row>
    <row r="7580">
      <c r="A7580" s="390" t="str">
        <f>IFERROR(__xludf.DUMMYFUNCTION("""COMPUTED_VALUE"""),"Pós-Graduação em Musicoterapia - Pós-Graduação em Musicotereapia - Daiane Baron - Relacionamento Interpessoal - Nota Máxima: 10")</f>
        <v>Pós-Graduação em Musicoterapia - Pós-Graduação em Musicotereapia - Daiane Baron - Relacionamento Interpessoal - Nota Máxima: 10</v>
      </c>
    </row>
    <row r="7581">
      <c r="A7581" s="390" t="str">
        <f>IFERROR(__xludf.DUMMYFUNCTION("""COMPUTED_VALUE"""),"Pós-Graduação em Musicoterapia - Pós-Graduação em Musicotereapia - Paulo Henrique Kcheve De Souza - Deficiência Auditiva e Libras/a - Nota Máxima: 7")</f>
        <v>Pós-Graduação em Musicoterapia - Pós-Graduação em Musicotereapia - Paulo Henrique Kcheve De Souza - Deficiência Auditiva e Libras/a - Nota Máxima: 7</v>
      </c>
    </row>
    <row r="7582">
      <c r="A7582" s="390" t="str">
        <f>IFERROR(__xludf.DUMMYFUNCTION("""COMPUTED_VALUE"""),"Pós-Graduação em Musicoterapia - Pós-Graduação em Musicotereapia - Paulo Henrique Kcheve De Souza - Ética Profissional - Nota Máxima: 10")</f>
        <v>Pós-Graduação em Musicoterapia - Pós-Graduação em Musicotereapia - Paulo Henrique Kcheve De Souza - Ética Profissional - Nota Máxima: 10</v>
      </c>
    </row>
    <row r="7583">
      <c r="A7583" s="390" t="str">
        <f>IFERROR(__xludf.DUMMYFUNCTION("""COMPUTED_VALUE"""),"Pós-Graduação em Musicoterapia - Pós-Graduação em Musicotereapia - Paulo Henrique Kcheve De Souza - Relacionamento Interpessoal - Nota Máxima: 10")</f>
        <v>Pós-Graduação em Musicoterapia - Pós-Graduação em Musicotereapia - Paulo Henrique Kcheve De Souza - Relacionamento Interpessoal - Nota Máxima: 10</v>
      </c>
    </row>
    <row r="7584">
      <c r="A7584" s="390" t="str">
        <f>IFERROR(__xludf.DUMMYFUNCTION("""COMPUTED_VALUE"""),"Pós-Graduação em Musicoterapia - Pós-Graduação em Musicotereapia - Dane Ertes Cardoso de Oliveira - Aplicações Musicoterapeuticas - Nota Máxima: 10")</f>
        <v>Pós-Graduação em Musicoterapia - Pós-Graduação em Musicotereapia - Dane Ertes Cardoso de Oliveira - Aplicações Musicoterapeuticas - Nota Máxima: 10</v>
      </c>
    </row>
    <row r="7585">
      <c r="A7585" s="390" t="str">
        <f>IFERROR(__xludf.DUMMYFUNCTION("""COMPUTED_VALUE"""),"Pós-Graduação em Musicoterapia - Pós-Graduação em Musicotereapia - Dane Ertes Cardoso de Oliveira - Aplicações Musicoterapeuticas - Nota Máxima: 6")</f>
        <v>Pós-Graduação em Musicoterapia - Pós-Graduação em Musicotereapia - Dane Ertes Cardoso de Oliveira - Aplicações Musicoterapeuticas - Nota Máxima: 6</v>
      </c>
    </row>
    <row r="7586">
      <c r="A7586" s="390" t="str">
        <f>IFERROR(__xludf.DUMMYFUNCTION("""COMPUTED_VALUE"""),"Pós-Graduação em Musicoterapia - Pós-Graduação em Musicotereapia - Dane Ertes Cardoso de Oliveira - Deficiência Auditiva e Libras/a - Nota Máxima: 10")</f>
        <v>Pós-Graduação em Musicoterapia - Pós-Graduação em Musicotereapia - Dane Ertes Cardoso de Oliveira - Deficiência Auditiva e Libras/a - Nota Máxima: 10</v>
      </c>
    </row>
    <row r="7587">
      <c r="A7587" s="390" t="str">
        <f>IFERROR(__xludf.DUMMYFUNCTION("""COMPUTED_VALUE"""),"Pós-Graduação em Musicoterapia - Pós-Graduação em Musicotereapia - Dane Ertes Cardoso de Oliveira - Deficiência Auditiva e Libras/a - Nota Máxima: 6")</f>
        <v>Pós-Graduação em Musicoterapia - Pós-Graduação em Musicotereapia - Dane Ertes Cardoso de Oliveira - Deficiência Auditiva e Libras/a - Nota Máxima: 6</v>
      </c>
    </row>
    <row r="7588">
      <c r="A7588" s="390" t="str">
        <f>IFERROR(__xludf.DUMMYFUNCTION("""COMPUTED_VALUE"""),"Pós-Graduação em Musicoterapia - Pós-Graduação em Musicotereapia - Dane Ertes Cardoso de Oliveira - Didática e Metodologia do Ensino Superior - Nota Máxima: 10")</f>
        <v>Pós-Graduação em Musicoterapia - Pós-Graduação em Musicotereapia - Dane Ertes Cardoso de Oliveira - Didática e Metodologia do Ensino Superior - Nota Máxima: 10</v>
      </c>
    </row>
    <row r="7589">
      <c r="A7589" s="390" t="str">
        <f>IFERROR(__xludf.DUMMYFUNCTION("""COMPUTED_VALUE"""),"Pós-Graduação em Musicoterapia - Pós-Graduação em Musicotereapia - Dane Ertes Cardoso de Oliveira - Didática e Metodologia do Ensino Superior - Nota Máxima: 8")</f>
        <v>Pós-Graduação em Musicoterapia - Pós-Graduação em Musicotereapia - Dane Ertes Cardoso de Oliveira - Didática e Metodologia do Ensino Superior - Nota Máxima: 8</v>
      </c>
    </row>
    <row r="7590">
      <c r="A7590" s="390" t="str">
        <f>IFERROR(__xludf.DUMMYFUNCTION("""COMPUTED_VALUE"""),"Pós-Graduação em Musicoterapia - Pós-Graduação em Musicotereapia - Dane Ertes Cardoso de Oliveira - Ética Profissional - Nota Máxima: 10")</f>
        <v>Pós-Graduação em Musicoterapia - Pós-Graduação em Musicotereapia - Dane Ertes Cardoso de Oliveira - Ética Profissional - Nota Máxima: 10</v>
      </c>
    </row>
    <row r="7591">
      <c r="A7591" s="390" t="str">
        <f>IFERROR(__xludf.DUMMYFUNCTION("""COMPUTED_VALUE"""),"Pós-Graduação em Musicoterapia - Pós-Graduação em Musicotereapia - Dane Ertes Cardoso de Oliveira - Ética Profissional - Nota Máxima: 9")</f>
        <v>Pós-Graduação em Musicoterapia - Pós-Graduação em Musicotereapia - Dane Ertes Cardoso de Oliveira - Ética Profissional - Nota Máxima: 9</v>
      </c>
    </row>
    <row r="7592">
      <c r="A7592" s="390" t="str">
        <f>IFERROR(__xludf.DUMMYFUNCTION("""COMPUTED_VALUE"""),"Pós-Graduação em Musicoterapia - Pós-Graduação em Musicotereapia - Dane Ertes Cardoso de Oliveira - História da Música - Nota Máxima: 9")</f>
        <v>Pós-Graduação em Musicoterapia - Pós-Graduação em Musicotereapia - Dane Ertes Cardoso de Oliveira - História da Música - Nota Máxima: 9</v>
      </c>
    </row>
    <row r="7593">
      <c r="A7593" s="390" t="str">
        <f>IFERROR(__xludf.DUMMYFUNCTION("""COMPUTED_VALUE"""),"Pós-Graduação em Musicoterapia - Pós-Graduação em Musicotereapia - Dane Ertes Cardoso de Oliveira - História da Música - Nota Máxima: 5")</f>
        <v>Pós-Graduação em Musicoterapia - Pós-Graduação em Musicotereapia - Dane Ertes Cardoso de Oliveira - História da Música - Nota Máxima: 5</v>
      </c>
    </row>
    <row r="7594">
      <c r="A7594" s="390" t="str">
        <f>IFERROR(__xludf.DUMMYFUNCTION("""COMPUTED_VALUE"""),"Pós-Graduação em Musicoterapia - Pós-Graduação em Musicotereapia - Dane Ertes Cardoso de Oliveira - Musicoterapia - Nota Máxima: 10")</f>
        <v>Pós-Graduação em Musicoterapia - Pós-Graduação em Musicotereapia - Dane Ertes Cardoso de Oliveira - Musicoterapia - Nota Máxima: 10</v>
      </c>
    </row>
    <row r="7595">
      <c r="A7595" s="390" t="str">
        <f>IFERROR(__xludf.DUMMYFUNCTION("""COMPUTED_VALUE"""),"Pós-Graduação em Musicoterapia - Pós-Graduação em Musicotereapia - Dane Ertes Cardoso de Oliveira - Musicoterapia - Nota Máxima: 8")</f>
        <v>Pós-Graduação em Musicoterapia - Pós-Graduação em Musicotereapia - Dane Ertes Cardoso de Oliveira - Musicoterapia - Nota Máxima: 8</v>
      </c>
    </row>
    <row r="7596">
      <c r="A7596" s="390" t="str">
        <f>IFERROR(__xludf.DUMMYFUNCTION("""COMPUTED_VALUE"""),"Pós-Graduação em Musicoterapia - Pós-Graduação em Musicotereapia - Dane Ertes Cardoso de Oliveira - Neurologia na Musicoterapia - Nota Máxima: 9")</f>
        <v>Pós-Graduação em Musicoterapia - Pós-Graduação em Musicotereapia - Dane Ertes Cardoso de Oliveira - Neurologia na Musicoterapia - Nota Máxima: 9</v>
      </c>
    </row>
    <row r="7597">
      <c r="A7597" s="390" t="str">
        <f>IFERROR(__xludf.DUMMYFUNCTION("""COMPUTED_VALUE"""),"Pós-Graduação em Musicoterapia - Pós-Graduação em Musicotereapia - Dane Ertes Cardoso de Oliveira - Neurologia na Musicoterapia - Nota Máxima: 6")</f>
        <v>Pós-Graduação em Musicoterapia - Pós-Graduação em Musicotereapia - Dane Ertes Cardoso de Oliveira - Neurologia na Musicoterapia - Nota Máxima: 6</v>
      </c>
    </row>
    <row r="7598">
      <c r="A7598" s="390" t="str">
        <f>IFERROR(__xludf.DUMMYFUNCTION("""COMPUTED_VALUE"""),"Pós-Graduação em Musicoterapia - Pós-Graduação em Musicotereapia - Dane Ertes Cardoso de Oliveira - Psicologia do Desenvolvimento: Aprendizagem Infantil - Nota Máxima: 10")</f>
        <v>Pós-Graduação em Musicoterapia - Pós-Graduação em Musicotereapia - Dane Ertes Cardoso de Oliveira - Psicologia do Desenvolvimento: Aprendizagem Infantil - Nota Máxima: 10</v>
      </c>
    </row>
    <row r="7599">
      <c r="A7599" s="390" t="str">
        <f>IFERROR(__xludf.DUMMYFUNCTION("""COMPUTED_VALUE"""),"Pós-Graduação em Musicoterapia - Pós-Graduação em Musicotereapia - Dane Ertes Cardoso de Oliveira - Psicologia do Desenvolvimento: Aprendizagem Infantil - Nota Máxima: 6")</f>
        <v>Pós-Graduação em Musicoterapia - Pós-Graduação em Musicotereapia - Dane Ertes Cardoso de Oliveira - Psicologia do Desenvolvimento: Aprendizagem Infantil - Nota Máxima: 6</v>
      </c>
    </row>
    <row r="7600">
      <c r="A7600" s="390" t="str">
        <f>IFERROR(__xludf.DUMMYFUNCTION("""COMPUTED_VALUE"""),"Pós-Graduação em Musicoterapia - Pós-Graduação em Musicotereapia - Dane Ertes Cardoso de Oliveira - Relacionamento Interpessoal - Nota Máxima: 10")</f>
        <v>Pós-Graduação em Musicoterapia - Pós-Graduação em Musicotereapia - Dane Ertes Cardoso de Oliveira - Relacionamento Interpessoal - Nota Máxima: 10</v>
      </c>
    </row>
    <row r="7601">
      <c r="A7601" s="390" t="str">
        <f>IFERROR(__xludf.DUMMYFUNCTION("""COMPUTED_VALUE"""),"Pós-Graduação em Musicoterapia - Pós-Graduação em Musicotereapia - Dane Ertes Cardoso de Oliveira - Relacionamento Interpessoal - Nota Máxima: 10")</f>
        <v>Pós-Graduação em Musicoterapia - Pós-Graduação em Musicotereapia - Dane Ertes Cardoso de Oliveira - Relacionamento Interpessoal - Nota Máxima: 10</v>
      </c>
    </row>
    <row r="7602">
      <c r="A7602" s="390" t="str">
        <f>IFERROR(__xludf.DUMMYFUNCTION("""COMPUTED_VALUE"""),"Pós-Graduação em Musicoterapia - Pós-Graduação em Musicotereapia - Milleiny Ribeiro da Silva - Didática e Metodologia do Ensino Superior - Nota Máxima: 9")</f>
        <v>Pós-Graduação em Musicoterapia - Pós-Graduação em Musicotereapia - Milleiny Ribeiro da Silva - Didática e Metodologia do Ensino Superior - Nota Máxima: 9</v>
      </c>
    </row>
    <row r="7603">
      <c r="A7603" s="390" t="str">
        <f>IFERROR(__xludf.DUMMYFUNCTION("""COMPUTED_VALUE"""),"Pós-Graduação em Musicoterapia - Pós-Graduação em Musicotereapia - Milleiny Ribeiro da Silva - Musicoterapia - Nota Máxima: 8")</f>
        <v>Pós-Graduação em Musicoterapia - Pós-Graduação em Musicotereapia - Milleiny Ribeiro da Silva - Musicoterapia - Nota Máxima: 8</v>
      </c>
    </row>
    <row r="7604">
      <c r="A7604" s="390" t="str">
        <f>IFERROR(__xludf.DUMMYFUNCTION("""COMPUTED_VALUE"""),"Pós-Graduação em Musicoterapia - Pós-Graduação em Musicotereapia - Milleiny Ribeiro da Silva - Neurologia na Musicoterapia - Nota Máxima: 8")</f>
        <v>Pós-Graduação em Musicoterapia - Pós-Graduação em Musicotereapia - Milleiny Ribeiro da Silva - Neurologia na Musicoterapia - Nota Máxima: 8</v>
      </c>
    </row>
    <row r="7605">
      <c r="A7605" s="390" t="str">
        <f>IFERROR(__xludf.DUMMYFUNCTION("""COMPUTED_VALUE"""),"Pós-Graduação em Musicoterapia - Pós-Graduação em Musicotereapia - Milleiny Ribeiro da Silva - Psicologia do Desenvolvimento: Aprendizagem Infantil - Nota Máxima: 10")</f>
        <v>Pós-Graduação em Musicoterapia - Pós-Graduação em Musicotereapia - Milleiny Ribeiro da Silva - Psicologia do Desenvolvimento: Aprendizagem Infantil - Nota Máxima: 10</v>
      </c>
    </row>
    <row r="7606">
      <c r="A7606" s="390" t="str">
        <f>IFERROR(__xludf.DUMMYFUNCTION("""COMPUTED_VALUE"""),"Pós-Graduação Terapia Cognitiva Comportamental - Pós-Graduação Terapia Cognitiva Comportamental - Fabíola Aline da Silva - Relacionamento Interpessoal - Nota Máxima: 10")</f>
        <v>Pós-Graduação Terapia Cognitiva Comportamental - Pós-Graduação Terapia Cognitiva Comportamental - Fabíola Aline da Silva - Relacionamento Interpessoal - Nota Máxima: 10</v>
      </c>
    </row>
    <row r="7607">
      <c r="A7607" s="390" t="str">
        <f>IFERROR(__xludf.DUMMYFUNCTION("""COMPUTED_VALUE"""),"Pós-Graduação Terapia Cognitiva Comportamental - Pós-Graduação Terapia Cognitiva Comportamental - Edineia Aparecida Da Silva - Deficiência Auditiva e Libras/a - Nota Máxima: 9")</f>
        <v>Pós-Graduação Terapia Cognitiva Comportamental - Pós-Graduação Terapia Cognitiva Comportamental - Edineia Aparecida Da Silva - Deficiência Auditiva e Libras/a - Nota Máxima: 9</v>
      </c>
    </row>
    <row r="7608">
      <c r="A7608" s="390" t="str">
        <f>IFERROR(__xludf.DUMMYFUNCTION("""COMPUTED_VALUE"""),"Pós-Graduação Terapia Cognitiva Comportamental - Pós-Graduação Terapia Cognitiva Comportamental - Edineia Aparecida Da Silva - Deficiência Auditiva e Libras/a - Nota Máxima: 6")</f>
        <v>Pós-Graduação Terapia Cognitiva Comportamental - Pós-Graduação Terapia Cognitiva Comportamental - Edineia Aparecida Da Silva - Deficiência Auditiva e Libras/a - Nota Máxima: 6</v>
      </c>
    </row>
    <row r="7609">
      <c r="A7609" s="390" t="str">
        <f>IFERROR(__xludf.DUMMYFUNCTION("""COMPUTED_VALUE"""),"Pós-Graduação Terapia Cognitiva Comportamental - Pós-Graduação Terapia Cognitiva Comportamental - Edineia Aparecida Da Silva - Ética Profissional - Nota Máxima: 9")</f>
        <v>Pós-Graduação Terapia Cognitiva Comportamental - Pós-Graduação Terapia Cognitiva Comportamental - Edineia Aparecida Da Silva - Ética Profissional - Nota Máxima: 9</v>
      </c>
    </row>
    <row r="7610">
      <c r="A7610" s="390" t="str">
        <f>IFERROR(__xludf.DUMMYFUNCTION("""COMPUTED_VALUE"""),"Pós-Graduação Terapia Cognitiva Comportamental - Pós-Graduação Terapia Cognitiva Comportamental - Edineia Aparecida Da Silva - Ética Profissional - Nota Máxima: 9")</f>
        <v>Pós-Graduação Terapia Cognitiva Comportamental - Pós-Graduação Terapia Cognitiva Comportamental - Edineia Aparecida Da Silva - Ética Profissional - Nota Máxima: 9</v>
      </c>
    </row>
    <row r="7611">
      <c r="A7611" s="390" t="str">
        <f>IFERROR(__xludf.DUMMYFUNCTION("""COMPUTED_VALUE"""),"Pós-Graduação Terapia Cognitiva Comportamental - Pós-Graduação Terapia Cognitiva Comportamental - Edineia Aparecida Da Silva - Psicodiagnóstico e Psicoterapias - Nota Máxima: 10")</f>
        <v>Pós-Graduação Terapia Cognitiva Comportamental - Pós-Graduação Terapia Cognitiva Comportamental - Edineia Aparecida Da Silva - Psicodiagnóstico e Psicoterapias - Nota Máxima: 10</v>
      </c>
    </row>
    <row r="7612">
      <c r="A7612" s="390" t="str">
        <f>IFERROR(__xludf.DUMMYFUNCTION("""COMPUTED_VALUE"""),"Pós-Graduação Terapia Cognitiva Comportamental - Pós-Graduação Terapia Cognitiva Comportamental - Edineia Aparecida Da Silva - Psicodiagnóstico e Psicoterapias - Nota Máxima: 8")</f>
        <v>Pós-Graduação Terapia Cognitiva Comportamental - Pós-Graduação Terapia Cognitiva Comportamental - Edineia Aparecida Da Silva - Psicodiagnóstico e Psicoterapias - Nota Máxima: 8</v>
      </c>
    </row>
    <row r="7613">
      <c r="A7613" s="390" t="str">
        <f>IFERROR(__xludf.DUMMYFUNCTION("""COMPUTED_VALUE"""),"Pós-Graduação Terapia Cognitiva Comportamental - Pós-Graduação Terapia Cognitiva Comportamental - Edineia Aparecida Da Silva - Psicologia e Intervenções Profissionais - Nota Máxima: 10")</f>
        <v>Pós-Graduação Terapia Cognitiva Comportamental - Pós-Graduação Terapia Cognitiva Comportamental - Edineia Aparecida Da Silva - Psicologia e Intervenções Profissionais - Nota Máxima: 10</v>
      </c>
    </row>
    <row r="7614">
      <c r="A7614" s="390" t="str">
        <f>IFERROR(__xludf.DUMMYFUNCTION("""COMPUTED_VALUE"""),"Pós-Graduação Terapia Cognitiva Comportamental - Pós-Graduação Terapia Cognitiva Comportamental - Edineia Aparecida Da Silva - Psicologia e Intervenções Profissionais - Nota Máxima: 9")</f>
        <v>Pós-Graduação Terapia Cognitiva Comportamental - Pós-Graduação Terapia Cognitiva Comportamental - Edineia Aparecida Da Silva - Psicologia e Intervenções Profissionais - Nota Máxima: 9</v>
      </c>
    </row>
    <row r="7615">
      <c r="A7615" s="390" t="str">
        <f>IFERROR(__xludf.DUMMYFUNCTION("""COMPUTED_VALUE"""),"Pós-Graduação Terapia Cognitiva Comportamental - Pós-Graduação Terapia Cognitiva Comportamental - Edineia Aparecida Da Silva - Relacionamento Interpessoal - Nota Máxima: 10")</f>
        <v>Pós-Graduação Terapia Cognitiva Comportamental - Pós-Graduação Terapia Cognitiva Comportamental - Edineia Aparecida Da Silva - Relacionamento Interpessoal - Nota Máxima: 10</v>
      </c>
    </row>
    <row r="7616">
      <c r="A7616" s="390" t="str">
        <f>IFERROR(__xludf.DUMMYFUNCTION("""COMPUTED_VALUE"""),"Pós-Graduação Terapia Cognitiva Comportamental - Pós-Graduação Terapia Cognitiva Comportamental - Edineia Aparecida Da Silva - Relacionamento Interpessoal - Nota Máxima: 10")</f>
        <v>Pós-Graduação Terapia Cognitiva Comportamental - Pós-Graduação Terapia Cognitiva Comportamental - Edineia Aparecida Da Silva - Relacionamento Interpessoal - Nota Máxima: 10</v>
      </c>
    </row>
    <row r="7617">
      <c r="A7617" s="390" t="str">
        <f>IFERROR(__xludf.DUMMYFUNCTION("""COMPUTED_VALUE"""),"Pós-Graduação Terapia Cognitiva Comportamental - Pós-Graduação Terapia Cognitiva Comportamental - Edineia Aparecida Da Silva - Terapia Cognitiva - Nota Máxima: 10")</f>
        <v>Pós-Graduação Terapia Cognitiva Comportamental - Pós-Graduação Terapia Cognitiva Comportamental - Edineia Aparecida Da Silva - Terapia Cognitiva - Nota Máxima: 10</v>
      </c>
    </row>
    <row r="7618">
      <c r="A7618" s="390" t="str">
        <f>IFERROR(__xludf.DUMMYFUNCTION("""COMPUTED_VALUE"""),"Pós-Graduação Terapia Cognitiva Comportamental - Pós-Graduação Terapia Cognitiva Comportamental - Edineia Aparecida Da Silva - Terapia Cognitiva - Nota Máxima: 10")</f>
        <v>Pós-Graduação Terapia Cognitiva Comportamental - Pós-Graduação Terapia Cognitiva Comportamental - Edineia Aparecida Da Silva - Terapia Cognitiva - Nota Máxima: 10</v>
      </c>
    </row>
    <row r="7619">
      <c r="A7619" s="390" t="str">
        <f>IFERROR(__xludf.DUMMYFUNCTION("""COMPUTED_VALUE"""),"Pós-Graduação Terapia Cognitiva Comportamental - Pós-Graduação Terapia Cognitiva Comportamental - Maria José Pessoa de Andrade Araújo - A cognição Humana - Nota Máxima: 9")</f>
        <v>Pós-Graduação Terapia Cognitiva Comportamental - Pós-Graduação Terapia Cognitiva Comportamental - Maria José Pessoa de Andrade Araújo - A cognição Humana - Nota Máxima: 9</v>
      </c>
    </row>
    <row r="7620">
      <c r="A7620" s="390" t="str">
        <f>IFERROR(__xludf.DUMMYFUNCTION("""COMPUTED_VALUE"""),"Pós-Graduação Terapia Cognitiva Comportamental - Pós-Graduação Terapia Cognitiva Comportamental - Maria José Pessoa de Andrade Araújo - A cognição Humana - Nota Máxima: 4")</f>
        <v>Pós-Graduação Terapia Cognitiva Comportamental - Pós-Graduação Terapia Cognitiva Comportamental - Maria José Pessoa de Andrade Araújo - A cognição Humana - Nota Máxima: 4</v>
      </c>
    </row>
    <row r="7621">
      <c r="A7621" s="390" t="str">
        <f>IFERROR(__xludf.DUMMYFUNCTION("""COMPUTED_VALUE"""),"Pós-Graduação Terapia Cognitiva Comportamental - Pós-Graduação Terapia Cognitiva Comportamental - Maria José Pessoa de Andrade Araújo - Deficiência Auditiva e Libras/a - Nota Máxima: 8")</f>
        <v>Pós-Graduação Terapia Cognitiva Comportamental - Pós-Graduação Terapia Cognitiva Comportamental - Maria José Pessoa de Andrade Araújo - Deficiência Auditiva e Libras/a - Nota Máxima: 8</v>
      </c>
    </row>
    <row r="7622">
      <c r="A7622" s="390" t="str">
        <f>IFERROR(__xludf.DUMMYFUNCTION("""COMPUTED_VALUE"""),"Pós-Graduação Terapia Cognitiva Comportamental - Pós-Graduação Terapia Cognitiva Comportamental - Maria José Pessoa de Andrade Araújo - Deficiência Auditiva e Libras/a - Nota Máxima: 5")</f>
        <v>Pós-Graduação Terapia Cognitiva Comportamental - Pós-Graduação Terapia Cognitiva Comportamental - Maria José Pessoa de Andrade Araújo - Deficiência Auditiva e Libras/a - Nota Máxima: 5</v>
      </c>
    </row>
    <row r="7623">
      <c r="A7623" s="390" t="str">
        <f>IFERROR(__xludf.DUMMYFUNCTION("""COMPUTED_VALUE"""),"Pós-Graduação Terapia Cognitiva Comportamental - Pós-Graduação Terapia Cognitiva Comportamental - Maria José Pessoa de Andrade Araújo - Ética Profissional - Nota Máxima: 8")</f>
        <v>Pós-Graduação Terapia Cognitiva Comportamental - Pós-Graduação Terapia Cognitiva Comportamental - Maria José Pessoa de Andrade Araújo - Ética Profissional - Nota Máxima: 8</v>
      </c>
    </row>
    <row r="7624">
      <c r="A7624" s="390" t="str">
        <f>IFERROR(__xludf.DUMMYFUNCTION("""COMPUTED_VALUE"""),"Pós-Graduação Terapia Cognitiva Comportamental - Pós-Graduação Terapia Cognitiva Comportamental - Maria José Pessoa de Andrade Araújo - Ética Profissional - Nota Máxima: 9")</f>
        <v>Pós-Graduação Terapia Cognitiva Comportamental - Pós-Graduação Terapia Cognitiva Comportamental - Maria José Pessoa de Andrade Araújo - Ética Profissional - Nota Máxima: 9</v>
      </c>
    </row>
    <row r="7625">
      <c r="A7625" s="390" t="str">
        <f>IFERROR(__xludf.DUMMYFUNCTION("""COMPUTED_VALUE"""),"Pós-Graduação Terapia Cognitiva Comportamental - Pós-Graduação Terapia Cognitiva Comportamental - Maria José Pessoa de Andrade Araújo - Métodos de Pesquisa na Abordagem Cognitiva - Nota Máxima: 10")</f>
        <v>Pós-Graduação Terapia Cognitiva Comportamental - Pós-Graduação Terapia Cognitiva Comportamental - Maria José Pessoa de Andrade Araújo - Métodos de Pesquisa na Abordagem Cognitiva - Nota Máxima: 10</v>
      </c>
    </row>
    <row r="7626">
      <c r="A7626" s="390" t="str">
        <f>IFERROR(__xludf.DUMMYFUNCTION("""COMPUTED_VALUE"""),"Pós-Graduação Terapia Cognitiva Comportamental - Pós-Graduação Terapia Cognitiva Comportamental - Maria José Pessoa de Andrade Araújo - Métodos de Pesquisa na Abordagem Cognitiva - Nota Máxima: 2")</f>
        <v>Pós-Graduação Terapia Cognitiva Comportamental - Pós-Graduação Terapia Cognitiva Comportamental - Maria José Pessoa de Andrade Araújo - Métodos de Pesquisa na Abordagem Cognitiva - Nota Máxima: 2</v>
      </c>
    </row>
    <row r="7627">
      <c r="A7627" s="390" t="str">
        <f>IFERROR(__xludf.DUMMYFUNCTION("""COMPUTED_VALUE"""),"Pós-Graduação Terapia Cognitiva Comportamental - Pós-Graduação Terapia Cognitiva Comportamental - Maria José Pessoa de Andrade Araújo - Psicodiagnóstico e Psicoterapias - Nota Máxima: 8")</f>
        <v>Pós-Graduação Terapia Cognitiva Comportamental - Pós-Graduação Terapia Cognitiva Comportamental - Maria José Pessoa de Andrade Araújo - Psicodiagnóstico e Psicoterapias - Nota Máxima: 8</v>
      </c>
    </row>
    <row r="7628">
      <c r="A7628" s="390" t="str">
        <f>IFERROR(__xludf.DUMMYFUNCTION("""COMPUTED_VALUE"""),"Pós-Graduação Terapia Cognitiva Comportamental - Pós-Graduação Terapia Cognitiva Comportamental - Maria José Pessoa de Andrade Araújo - Psicodiagnóstico e Psicoterapias - Nota Máxima: 5")</f>
        <v>Pós-Graduação Terapia Cognitiva Comportamental - Pós-Graduação Terapia Cognitiva Comportamental - Maria José Pessoa de Andrade Araújo - Psicodiagnóstico e Psicoterapias - Nota Máxima: 5</v>
      </c>
    </row>
    <row r="7629">
      <c r="A7629" s="390" t="str">
        <f>IFERROR(__xludf.DUMMYFUNCTION("""COMPUTED_VALUE"""),"Pós-Graduação Terapia Cognitiva Comportamental - Pós-Graduação Terapia Cognitiva Comportamental - Maria José Pessoa de Andrade Araújo - Psicologia Aplicada ao Comportamento Humano - Nota Máxima: 10")</f>
        <v>Pós-Graduação Terapia Cognitiva Comportamental - Pós-Graduação Terapia Cognitiva Comportamental - Maria José Pessoa de Andrade Araújo - Psicologia Aplicada ao Comportamento Humano - Nota Máxima: 10</v>
      </c>
    </row>
    <row r="7630">
      <c r="A7630" s="390" t="str">
        <f>IFERROR(__xludf.DUMMYFUNCTION("""COMPUTED_VALUE"""),"Pós-Graduação Terapia Cognitiva Comportamental - Pós-Graduação Terapia Cognitiva Comportamental - Maria José Pessoa de Andrade Araújo - Psicologia Aplicada ao Comportamento Humano - Nota Máxima: 9")</f>
        <v>Pós-Graduação Terapia Cognitiva Comportamental - Pós-Graduação Terapia Cognitiva Comportamental - Maria José Pessoa de Andrade Araújo - Psicologia Aplicada ao Comportamento Humano - Nota Máxima: 9</v>
      </c>
    </row>
    <row r="7631">
      <c r="A7631" s="390" t="str">
        <f>IFERROR(__xludf.DUMMYFUNCTION("""COMPUTED_VALUE"""),"Pós-Graduação Terapia Cognitiva Comportamental - Pós-Graduação Terapia Cognitiva Comportamental - Maria José Pessoa de Andrade Araújo - Psicologia Cognitiva - Nota Máxima: 10")</f>
        <v>Pós-Graduação Terapia Cognitiva Comportamental - Pós-Graduação Terapia Cognitiva Comportamental - Maria José Pessoa de Andrade Araújo - Psicologia Cognitiva - Nota Máxima: 10</v>
      </c>
    </row>
    <row r="7632">
      <c r="A7632" s="390" t="str">
        <f>IFERROR(__xludf.DUMMYFUNCTION("""COMPUTED_VALUE"""),"Pós-Graduação Terapia Cognitiva Comportamental - Pós-Graduação Terapia Cognitiva Comportamental - Maria José Pessoa de Andrade Araújo - Psicologia Cognitiva - Nota Máxima: 2")</f>
        <v>Pós-Graduação Terapia Cognitiva Comportamental - Pós-Graduação Terapia Cognitiva Comportamental - Maria José Pessoa de Andrade Araújo - Psicologia Cognitiva - Nota Máxima: 2</v>
      </c>
    </row>
    <row r="7633">
      <c r="A7633" s="390" t="str">
        <f>IFERROR(__xludf.DUMMYFUNCTION("""COMPUTED_VALUE"""),"Pós-Graduação Terapia Cognitiva Comportamental - Pós-Graduação Terapia Cognitiva Comportamental - Maria José Pessoa de Andrade Araújo - Psicologia e Intervenções Profissionais - Nota Máxima: 8")</f>
        <v>Pós-Graduação Terapia Cognitiva Comportamental - Pós-Graduação Terapia Cognitiva Comportamental - Maria José Pessoa de Andrade Araújo - Psicologia e Intervenções Profissionais - Nota Máxima: 8</v>
      </c>
    </row>
    <row r="7634">
      <c r="A7634" s="390" t="str">
        <f>IFERROR(__xludf.DUMMYFUNCTION("""COMPUTED_VALUE"""),"Pós-Graduação Terapia Cognitiva Comportamental - Pós-Graduação Terapia Cognitiva Comportamental - Maria José Pessoa de Andrade Araújo - Psicologia e Intervenções Profissionais - Nota Máxima: 8")</f>
        <v>Pós-Graduação Terapia Cognitiva Comportamental - Pós-Graduação Terapia Cognitiva Comportamental - Maria José Pessoa de Andrade Araújo - Psicologia e Intervenções Profissionais - Nota Máxima: 8</v>
      </c>
    </row>
    <row r="7635">
      <c r="A7635" s="390" t="str">
        <f>IFERROR(__xludf.DUMMYFUNCTION("""COMPUTED_VALUE"""),"Pós-Graduação Terapia Cognitiva Comportamental - Pós-Graduação Terapia Cognitiva Comportamental - Maria José Pessoa de Andrade Araújo - Relacionamento Interpessoal - Nota Máxima: 10")</f>
        <v>Pós-Graduação Terapia Cognitiva Comportamental - Pós-Graduação Terapia Cognitiva Comportamental - Maria José Pessoa de Andrade Araújo - Relacionamento Interpessoal - Nota Máxima: 10</v>
      </c>
    </row>
    <row r="7636">
      <c r="A7636" s="390" t="str">
        <f>IFERROR(__xludf.DUMMYFUNCTION("""COMPUTED_VALUE"""),"Pós-Graduação Terapia Cognitiva Comportamental - Pós-Graduação Terapia Cognitiva Comportamental - Maria José Pessoa de Andrade Araújo - Relacionamento Interpessoal - Nota Máxima: 10")</f>
        <v>Pós-Graduação Terapia Cognitiva Comportamental - Pós-Graduação Terapia Cognitiva Comportamental - Maria José Pessoa de Andrade Araújo - Relacionamento Interpessoal - Nota Máxima: 10</v>
      </c>
    </row>
    <row r="7637">
      <c r="A7637" s="390" t="str">
        <f>IFERROR(__xludf.DUMMYFUNCTION("""COMPUTED_VALUE"""),"Pós-Graduação Terapia Cognitiva Comportamental - Pós-Graduação Terapia Cognitiva Comportamental - Maria José Pessoa de Andrade Araújo - Terapia Cognitiva - Nota Máxima: 9")</f>
        <v>Pós-Graduação Terapia Cognitiva Comportamental - Pós-Graduação Terapia Cognitiva Comportamental - Maria José Pessoa de Andrade Araújo - Terapia Cognitiva - Nota Máxima: 9</v>
      </c>
    </row>
    <row r="7638">
      <c r="A7638" s="390" t="str">
        <f>IFERROR(__xludf.DUMMYFUNCTION("""COMPUTED_VALUE"""),"Pós-Graduação Terapia Cognitiva Comportamental - Pós-Graduação Terapia Cognitiva Comportamental - Maria José Pessoa de Andrade Araújo - Terapia Cognitiva - Nota Máxima: 6")</f>
        <v>Pós-Graduação Terapia Cognitiva Comportamental - Pós-Graduação Terapia Cognitiva Comportamental - Maria José Pessoa de Andrade Araújo - Terapia Cognitiva - Nota Máxima: 6</v>
      </c>
    </row>
    <row r="7639">
      <c r="A7639" s="390" t="str">
        <f>IFERROR(__xludf.DUMMYFUNCTION("""COMPUTED_VALUE"""),"Pós-Graduação Terapia Cognitiva Comportamental - Pós-Graduação Terapia Cognitiva Comportamental - Maria Daiana Lima Dias - Deficiência Auditiva e Libras/a - Nota Máxima: 8")</f>
        <v>Pós-Graduação Terapia Cognitiva Comportamental - Pós-Graduação Terapia Cognitiva Comportamental - Maria Daiana Lima Dias - Deficiência Auditiva e Libras/a - Nota Máxima: 8</v>
      </c>
    </row>
    <row r="7640">
      <c r="A7640" s="390" t="str">
        <f>IFERROR(__xludf.DUMMYFUNCTION("""COMPUTED_VALUE"""),"Pós-Graduação Terapia Cognitiva Comportamental - Pós-Graduação Terapia Cognitiva Comportamental - Maria Daiana Lima Dias - Ética Profissional - Nota Máxima: 10")</f>
        <v>Pós-Graduação Terapia Cognitiva Comportamental - Pós-Graduação Terapia Cognitiva Comportamental - Maria Daiana Lima Dias - Ética Profissional - Nota Máxima: 10</v>
      </c>
    </row>
    <row r="7641">
      <c r="A7641" s="390" t="str">
        <f>IFERROR(__xludf.DUMMYFUNCTION("""COMPUTED_VALUE"""),"Pós-Graduação Terapia Cognitiva Comportamental - Pós-Graduação Terapia Cognitiva Comportamental - Maria Daiana Lima Dias - Psicologia e Intervenções Profissionais - Nota Máxima: 10")</f>
        <v>Pós-Graduação Terapia Cognitiva Comportamental - Pós-Graduação Terapia Cognitiva Comportamental - Maria Daiana Lima Dias - Psicologia e Intervenções Profissionais - Nota Máxima: 10</v>
      </c>
    </row>
    <row r="7642">
      <c r="A7642" s="390" t="str">
        <f>IFERROR(__xludf.DUMMYFUNCTION("""COMPUTED_VALUE"""),"Pós-Graduação Terapia Cognitiva Comportamental - Pós-Graduação Terapia Cognitiva Comportamental - Maria Daiana Lima Dias - Relacionamento Interpessoal - Nota Máxima: 10")</f>
        <v>Pós-Graduação Terapia Cognitiva Comportamental - Pós-Graduação Terapia Cognitiva Comportamental - Maria Daiana Lima Dias - Relacionamento Interpessoal - Nota Máxima: 10</v>
      </c>
    </row>
    <row r="7643">
      <c r="A7643" s="390" t="str">
        <f>IFERROR(__xludf.DUMMYFUNCTION("""COMPUTED_VALUE"""),"Pós-Graduação Terapia Cognitiva Comportamental - Pós-Graduação Terapia Cognitiva Comportamental - Eliane Reis Silva - A cognição Humana - Nota Máxima: 8")</f>
        <v>Pós-Graduação Terapia Cognitiva Comportamental - Pós-Graduação Terapia Cognitiva Comportamental - Eliane Reis Silva - A cognição Humana - Nota Máxima: 8</v>
      </c>
    </row>
    <row r="7644">
      <c r="A7644" s="390" t="str">
        <f>IFERROR(__xludf.DUMMYFUNCTION("""COMPUTED_VALUE"""),"Pós-Graduação Terapia Cognitiva Comportamental - Pós-Graduação Terapia Cognitiva Comportamental - Eliane Reis Silva - Deficiência Auditiva e Libras/a - Nota Máxima: 9")</f>
        <v>Pós-Graduação Terapia Cognitiva Comportamental - Pós-Graduação Terapia Cognitiva Comportamental - Eliane Reis Silva - Deficiência Auditiva e Libras/a - Nota Máxima: 9</v>
      </c>
    </row>
    <row r="7645">
      <c r="A7645" s="390" t="str">
        <f>IFERROR(__xludf.DUMMYFUNCTION("""COMPUTED_VALUE"""),"Pós-Graduação Terapia Cognitiva Comportamental - Pós-Graduação Terapia Cognitiva Comportamental - Eliane Reis Silva - Ética Profissional - Nota Máxima: 9")</f>
        <v>Pós-Graduação Terapia Cognitiva Comportamental - Pós-Graduação Terapia Cognitiva Comportamental - Eliane Reis Silva - Ética Profissional - Nota Máxima: 9</v>
      </c>
    </row>
    <row r="7646">
      <c r="A7646" s="390" t="str">
        <f>IFERROR(__xludf.DUMMYFUNCTION("""COMPUTED_VALUE"""),"Pós-Graduação Terapia Cognitiva Comportamental - Pós-Graduação Terapia Cognitiva Comportamental - Eliane Reis Silva - Métodos de Pesquisa na Abordagem Cognitiva - Nota Máxima: 9")</f>
        <v>Pós-Graduação Terapia Cognitiva Comportamental - Pós-Graduação Terapia Cognitiva Comportamental - Eliane Reis Silva - Métodos de Pesquisa na Abordagem Cognitiva - Nota Máxima: 9</v>
      </c>
    </row>
    <row r="7647">
      <c r="A7647" s="390" t="str">
        <f>IFERROR(__xludf.DUMMYFUNCTION("""COMPUTED_VALUE"""),"Pós-Graduação Terapia Cognitiva Comportamental - Pós-Graduação Terapia Cognitiva Comportamental - Eliane Reis Silva - Psicodiagnóstico e Psicoterapias - Nota Máxima: 9")</f>
        <v>Pós-Graduação Terapia Cognitiva Comportamental - Pós-Graduação Terapia Cognitiva Comportamental - Eliane Reis Silva - Psicodiagnóstico e Psicoterapias - Nota Máxima: 9</v>
      </c>
    </row>
    <row r="7648">
      <c r="A7648" s="390" t="str">
        <f>IFERROR(__xludf.DUMMYFUNCTION("""COMPUTED_VALUE"""),"Pós-Graduação Terapia Cognitiva Comportamental - Pós-Graduação Terapia Cognitiva Comportamental - Eliane Reis Silva - Psicologia Aplicada ao Comportamento Humano - Nota Máxima: 7")</f>
        <v>Pós-Graduação Terapia Cognitiva Comportamental - Pós-Graduação Terapia Cognitiva Comportamental - Eliane Reis Silva - Psicologia Aplicada ao Comportamento Humano - Nota Máxima: 7</v>
      </c>
    </row>
    <row r="7649">
      <c r="A7649" s="390" t="str">
        <f>IFERROR(__xludf.DUMMYFUNCTION("""COMPUTED_VALUE"""),"Pós-Graduação Terapia Cognitiva Comportamental - Pós-Graduação Terapia Cognitiva Comportamental - Eliane Reis Silva - Psicologia Aplicada ao Comportamento Humano - Nota Máxima: 5")</f>
        <v>Pós-Graduação Terapia Cognitiva Comportamental - Pós-Graduação Terapia Cognitiva Comportamental - Eliane Reis Silva - Psicologia Aplicada ao Comportamento Humano - Nota Máxima: 5</v>
      </c>
    </row>
    <row r="7650">
      <c r="A7650" s="390" t="str">
        <f>IFERROR(__xludf.DUMMYFUNCTION("""COMPUTED_VALUE"""),"Pós-Graduação Terapia Cognitiva Comportamental - Pós-Graduação Terapia Cognitiva Comportamental - Eliane Reis Silva - Psicologia Cognitiva - Nota Máxima: 8")</f>
        <v>Pós-Graduação Terapia Cognitiva Comportamental - Pós-Graduação Terapia Cognitiva Comportamental - Eliane Reis Silva - Psicologia Cognitiva - Nota Máxima: 8</v>
      </c>
    </row>
    <row r="7651">
      <c r="A7651" s="390" t="str">
        <f>IFERROR(__xludf.DUMMYFUNCTION("""COMPUTED_VALUE"""),"Pós-Graduação Terapia Cognitiva Comportamental - Pós-Graduação Terapia Cognitiva Comportamental - Eliane Reis Silva - Psicologia e Intervenções Profissionais - Nota Máxima: 9")</f>
        <v>Pós-Graduação Terapia Cognitiva Comportamental - Pós-Graduação Terapia Cognitiva Comportamental - Eliane Reis Silva - Psicologia e Intervenções Profissionais - Nota Máxima: 9</v>
      </c>
    </row>
    <row r="7652">
      <c r="A7652" s="390" t="str">
        <f>IFERROR(__xludf.DUMMYFUNCTION("""COMPUTED_VALUE"""),"Pós-Graduação Terapia Cognitiva Comportamental - Pós-Graduação Terapia Cognitiva Comportamental - Eliane Reis Silva - Relacionamento Interpessoal - Nota Máxima: 10")</f>
        <v>Pós-Graduação Terapia Cognitiva Comportamental - Pós-Graduação Terapia Cognitiva Comportamental - Eliane Reis Silva - Relacionamento Interpessoal - Nota Máxima: 10</v>
      </c>
    </row>
    <row r="7653">
      <c r="A7653" s="390" t="str">
        <f>IFERROR(__xludf.DUMMYFUNCTION("""COMPUTED_VALUE"""),"Pós-Graduação Terapia Cognitiva Comportamental - Pós-Graduação Terapia Cognitiva Comportamental - Eliane Reis Silva - Terapia Cognitiva - Nota Máxima: 8")</f>
        <v>Pós-Graduação Terapia Cognitiva Comportamental - Pós-Graduação Terapia Cognitiva Comportamental - Eliane Reis Silva - Terapia Cognitiva - Nota Máxima: 8</v>
      </c>
    </row>
    <row r="7654">
      <c r="A7654" s="390" t="str">
        <f>IFERROR(__xludf.DUMMYFUNCTION("""COMPUTED_VALUE"""),"Pós-Graduação Terapia Cognitiva Comportamental - Pós-Graduação Terapia Cognitiva Comportamental - Soraia Maria Batista Andrade de Sousa - Relacionamento Interpessoal - Nota Máxima: 9")</f>
        <v>Pós-Graduação Terapia Cognitiva Comportamental - Pós-Graduação Terapia Cognitiva Comportamental - Soraia Maria Batista Andrade de Sousa - Relacionamento Interpessoal - Nota Máxima: 9</v>
      </c>
    </row>
    <row r="7655">
      <c r="A7655" s="390" t="str">
        <f>IFERROR(__xludf.DUMMYFUNCTION("""COMPUTED_VALUE"""),"Pós-Graduação Terapia Cognitiva Comportamental - Pós-Graduação Terapia Cognitiva Comportamental - Soraia Maria Batista Andrade de Sousa - Relacionamento Interpessoal - Nota Máxima: 9")</f>
        <v>Pós-Graduação Terapia Cognitiva Comportamental - Pós-Graduação Terapia Cognitiva Comportamental - Soraia Maria Batista Andrade de Sousa - Relacionamento Interpessoal - Nota Máxima: 9</v>
      </c>
    </row>
    <row r="7656">
      <c r="A7656" s="390" t="str">
        <f>IFERROR(__xludf.DUMMYFUNCTION("""COMPUTED_VALUE"""),"Pós-Graduação Terapia Cognitiva Comportamental - Pós-Graduação Terapia Cognitiva Comportamental - Meirelane Aparecida Fonseca Franco - A cognição Humana - Nota Máxima: 10")</f>
        <v>Pós-Graduação Terapia Cognitiva Comportamental - Pós-Graduação Terapia Cognitiva Comportamental - Meirelane Aparecida Fonseca Franco - A cognição Humana - Nota Máxima: 10</v>
      </c>
    </row>
    <row r="7657">
      <c r="A7657" s="390" t="str">
        <f>IFERROR(__xludf.DUMMYFUNCTION("""COMPUTED_VALUE"""),"Pós-Graduação Terapia Cognitiva Comportamental - Pós-Graduação Terapia Cognitiva Comportamental - Meirelane Aparecida Fonseca Franco - Deficiência Auditiva e Libras/a - Nota Máxima: 9")</f>
        <v>Pós-Graduação Terapia Cognitiva Comportamental - Pós-Graduação Terapia Cognitiva Comportamental - Meirelane Aparecida Fonseca Franco - Deficiência Auditiva e Libras/a - Nota Máxima: 9</v>
      </c>
    </row>
    <row r="7658">
      <c r="A7658" s="390" t="str">
        <f>IFERROR(__xludf.DUMMYFUNCTION("""COMPUTED_VALUE"""),"Pós-Graduação Terapia Cognitiva Comportamental - Pós-Graduação Terapia Cognitiva Comportamental - Meirelane Aparecida Fonseca Franco - Ética Profissional - Nota Máxima: 10")</f>
        <v>Pós-Graduação Terapia Cognitiva Comportamental - Pós-Graduação Terapia Cognitiva Comportamental - Meirelane Aparecida Fonseca Franco - Ética Profissional - Nota Máxima: 10</v>
      </c>
    </row>
    <row r="7659">
      <c r="A7659" s="390" t="str">
        <f>IFERROR(__xludf.DUMMYFUNCTION("""COMPUTED_VALUE"""),"Pós-Graduação Terapia Cognitiva Comportamental - Pós-Graduação Terapia Cognitiva Comportamental - Meirelane Aparecida Fonseca Franco - Métodos de Pesquisa na Abordagem Cognitiva - Nota Máxima: 10")</f>
        <v>Pós-Graduação Terapia Cognitiva Comportamental - Pós-Graduação Terapia Cognitiva Comportamental - Meirelane Aparecida Fonseca Franco - Métodos de Pesquisa na Abordagem Cognitiva - Nota Máxima: 10</v>
      </c>
    </row>
    <row r="7660">
      <c r="A7660" s="390" t="str">
        <f>IFERROR(__xludf.DUMMYFUNCTION("""COMPUTED_VALUE"""),"Pós-Graduação Terapia Cognitiva Comportamental - Pós-Graduação Terapia Cognitiva Comportamental - Meirelane Aparecida Fonseca Franco - Psicodiagnóstico e Psicoterapias - Nota Máxima: 10")</f>
        <v>Pós-Graduação Terapia Cognitiva Comportamental - Pós-Graduação Terapia Cognitiva Comportamental - Meirelane Aparecida Fonseca Franco - Psicodiagnóstico e Psicoterapias - Nota Máxima: 10</v>
      </c>
    </row>
    <row r="7661">
      <c r="A7661" s="390" t="str">
        <f>IFERROR(__xludf.DUMMYFUNCTION("""COMPUTED_VALUE"""),"Pós-Graduação Terapia Cognitiva Comportamental - Pós-Graduação Terapia Cognitiva Comportamental - Meirelane Aparecida Fonseca Franco - Psicologia Aplicada ao Comportamento Humano - Nota Máxima: 10")</f>
        <v>Pós-Graduação Terapia Cognitiva Comportamental - Pós-Graduação Terapia Cognitiva Comportamental - Meirelane Aparecida Fonseca Franco - Psicologia Aplicada ao Comportamento Humano - Nota Máxima: 10</v>
      </c>
    </row>
    <row r="7662">
      <c r="A7662" s="390" t="str">
        <f>IFERROR(__xludf.DUMMYFUNCTION("""COMPUTED_VALUE"""),"Pós-Graduação Terapia Cognitiva Comportamental - Pós-Graduação Terapia Cognitiva Comportamental - Meirelane Aparecida Fonseca Franco - Psicologia Aplicada ao Comportamento Humano - Nota Máxima: 9")</f>
        <v>Pós-Graduação Terapia Cognitiva Comportamental - Pós-Graduação Terapia Cognitiva Comportamental - Meirelane Aparecida Fonseca Franco - Psicologia Aplicada ao Comportamento Humano - Nota Máxima: 9</v>
      </c>
    </row>
    <row r="7663">
      <c r="A7663" s="390" t="str">
        <f>IFERROR(__xludf.DUMMYFUNCTION("""COMPUTED_VALUE"""),"Pós-Graduação Terapia Cognitiva Comportamental - Pós-Graduação Terapia Cognitiva Comportamental - Meirelane Aparecida Fonseca Franco - Psicologia Cognitiva - Nota Máxima: 7")</f>
        <v>Pós-Graduação Terapia Cognitiva Comportamental - Pós-Graduação Terapia Cognitiva Comportamental - Meirelane Aparecida Fonseca Franco - Psicologia Cognitiva - Nota Máxima: 7</v>
      </c>
    </row>
    <row r="7664">
      <c r="A7664" s="390" t="str">
        <f>IFERROR(__xludf.DUMMYFUNCTION("""COMPUTED_VALUE"""),"Pós-Graduação Terapia Cognitiva Comportamental - Pós-Graduação Terapia Cognitiva Comportamental - Meirelane Aparecida Fonseca Franco - Psicologia e Intervenções Profissionais - Nota Máxima: 10")</f>
        <v>Pós-Graduação Terapia Cognitiva Comportamental - Pós-Graduação Terapia Cognitiva Comportamental - Meirelane Aparecida Fonseca Franco - Psicologia e Intervenções Profissionais - Nota Máxima: 10</v>
      </c>
    </row>
    <row r="7665">
      <c r="A7665" s="390" t="str">
        <f>IFERROR(__xludf.DUMMYFUNCTION("""COMPUTED_VALUE"""),"Pós-Graduação Terapia Cognitiva Comportamental - Pós-Graduação Terapia Cognitiva Comportamental - Meirelane Aparecida Fonseca Franco - Relacionamento Interpessoal - Nota Máxima: 10")</f>
        <v>Pós-Graduação Terapia Cognitiva Comportamental - Pós-Graduação Terapia Cognitiva Comportamental - Meirelane Aparecida Fonseca Franco - Relacionamento Interpessoal - Nota Máxima: 10</v>
      </c>
    </row>
    <row r="7666">
      <c r="A7666" s="390" t="str">
        <f>IFERROR(__xludf.DUMMYFUNCTION("""COMPUTED_VALUE"""),"Pós-Graduação Terapia Cognitiva Comportamental - Pós-Graduação Terapia Cognitiva Comportamental - Meirelane Aparecida Fonseca Franco - Terapia Cognitiva - Nota Máxima: 10")</f>
        <v>Pós-Graduação Terapia Cognitiva Comportamental - Pós-Graduação Terapia Cognitiva Comportamental - Meirelane Aparecida Fonseca Franco - Terapia Cognitiva - Nota Máxima: 10</v>
      </c>
    </row>
    <row r="7667">
      <c r="A7667" s="390" t="str">
        <f>IFERROR(__xludf.DUMMYFUNCTION("""COMPUTED_VALUE"""),"Pós-Graduação Terapia Cognitiva Comportamental - Pós-Graduação Terapia Cognitiva Comportamental - Carla Silene de Faria Bragaglia - A cognição Humana - Nota Máxima: 10")</f>
        <v>Pós-Graduação Terapia Cognitiva Comportamental - Pós-Graduação Terapia Cognitiva Comportamental - Carla Silene de Faria Bragaglia - A cognição Humana - Nota Máxima: 10</v>
      </c>
    </row>
    <row r="7668">
      <c r="A7668" s="390" t="str">
        <f>IFERROR(__xludf.DUMMYFUNCTION("""COMPUTED_VALUE"""),"Pós-Graduação Terapia Cognitiva Comportamental - Pós-Graduação Terapia Cognitiva Comportamental - Carla Silene de Faria Bragaglia - Deficiência Auditiva e Libras/a - Nota Máxima: 9")</f>
        <v>Pós-Graduação Terapia Cognitiva Comportamental - Pós-Graduação Terapia Cognitiva Comportamental - Carla Silene de Faria Bragaglia - Deficiência Auditiva e Libras/a - Nota Máxima: 9</v>
      </c>
    </row>
    <row r="7669">
      <c r="A7669" s="390" t="str">
        <f>IFERROR(__xludf.DUMMYFUNCTION("""COMPUTED_VALUE"""),"Pós-Graduação Terapia Cognitiva Comportamental - Pós-Graduação Terapia Cognitiva Comportamental - Carla Silene de Faria Bragaglia - Ética Profissional - Nota Máxima: 10")</f>
        <v>Pós-Graduação Terapia Cognitiva Comportamental - Pós-Graduação Terapia Cognitiva Comportamental - Carla Silene de Faria Bragaglia - Ética Profissional - Nota Máxima: 10</v>
      </c>
    </row>
    <row r="7670">
      <c r="A7670" s="390" t="str">
        <f>IFERROR(__xludf.DUMMYFUNCTION("""COMPUTED_VALUE"""),"Pós-Graduação Terapia Cognitiva Comportamental - Pós-Graduação Terapia Cognitiva Comportamental - Carla Silene de Faria Bragaglia - Métodos de Pesquisa na Abordagem Cognitiva - Nota Máxima: 10")</f>
        <v>Pós-Graduação Terapia Cognitiva Comportamental - Pós-Graduação Terapia Cognitiva Comportamental - Carla Silene de Faria Bragaglia - Métodos de Pesquisa na Abordagem Cognitiva - Nota Máxima: 10</v>
      </c>
    </row>
    <row r="7671">
      <c r="A7671" s="390" t="str">
        <f>IFERROR(__xludf.DUMMYFUNCTION("""COMPUTED_VALUE"""),"Pós-Graduação Terapia Cognitiva Comportamental - Pós-Graduação Terapia Cognitiva Comportamental - Carla Silene de Faria Bragaglia - Psicodiagnóstico e Psicoterapias - Nota Máxima: 10")</f>
        <v>Pós-Graduação Terapia Cognitiva Comportamental - Pós-Graduação Terapia Cognitiva Comportamental - Carla Silene de Faria Bragaglia - Psicodiagnóstico e Psicoterapias - Nota Máxima: 10</v>
      </c>
    </row>
    <row r="7672">
      <c r="A7672" s="390" t="str">
        <f>IFERROR(__xludf.DUMMYFUNCTION("""COMPUTED_VALUE"""),"Pós-Graduação Terapia Cognitiva Comportamental - Pós-Graduação Terapia Cognitiva Comportamental - Carla Silene de Faria Bragaglia - Psicologia Aplicada ao Comportamento Humano - Nota Máxima: 8")</f>
        <v>Pós-Graduação Terapia Cognitiva Comportamental - Pós-Graduação Terapia Cognitiva Comportamental - Carla Silene de Faria Bragaglia - Psicologia Aplicada ao Comportamento Humano - Nota Máxima: 8</v>
      </c>
    </row>
    <row r="7673">
      <c r="A7673" s="390" t="str">
        <f>IFERROR(__xludf.DUMMYFUNCTION("""COMPUTED_VALUE"""),"Pós-Graduação Terapia Cognitiva Comportamental - Pós-Graduação Terapia Cognitiva Comportamental - Carla Silene de Faria Bragaglia - Psicologia Cognitiva - Nota Máxima: 10")</f>
        <v>Pós-Graduação Terapia Cognitiva Comportamental - Pós-Graduação Terapia Cognitiva Comportamental - Carla Silene de Faria Bragaglia - Psicologia Cognitiva - Nota Máxima: 10</v>
      </c>
    </row>
    <row r="7674">
      <c r="A7674" s="390" t="str">
        <f>IFERROR(__xludf.DUMMYFUNCTION("""COMPUTED_VALUE"""),"Pós-Graduação Terapia Cognitiva Comportamental - Pós-Graduação Terapia Cognitiva Comportamental - Carla Silene de Faria Bragaglia - Psicologia e Intervenções Profissionais - Nota Máxima: 10")</f>
        <v>Pós-Graduação Terapia Cognitiva Comportamental - Pós-Graduação Terapia Cognitiva Comportamental - Carla Silene de Faria Bragaglia - Psicologia e Intervenções Profissionais - Nota Máxima: 10</v>
      </c>
    </row>
    <row r="7675">
      <c r="A7675" s="390" t="str">
        <f>IFERROR(__xludf.DUMMYFUNCTION("""COMPUTED_VALUE"""),"Pós-Graduação Terapia Cognitiva Comportamental - Pós-Graduação Terapia Cognitiva Comportamental - Carla Silene de Faria Bragaglia - Relacionamento Interpessoal - Nota Máxima: 10")</f>
        <v>Pós-Graduação Terapia Cognitiva Comportamental - Pós-Graduação Terapia Cognitiva Comportamental - Carla Silene de Faria Bragaglia - Relacionamento Interpessoal - Nota Máxima: 10</v>
      </c>
    </row>
    <row r="7676">
      <c r="A7676" s="390" t="str">
        <f>IFERROR(__xludf.DUMMYFUNCTION("""COMPUTED_VALUE"""),"Pós-Graduação Terapia Cognitiva Comportamental - Pós-Graduação Terapia Cognitiva Comportamental - Carla Silene de Faria Bragaglia - Terapia Cognitiva - Nota Máxima: 10")</f>
        <v>Pós-Graduação Terapia Cognitiva Comportamental - Pós-Graduação Terapia Cognitiva Comportamental - Carla Silene de Faria Bragaglia - Terapia Cognitiva - Nota Máxima: 10</v>
      </c>
    </row>
    <row r="7677">
      <c r="A7677" s="390" t="str">
        <f>IFERROR(__xludf.DUMMYFUNCTION("""COMPUTED_VALUE"""),"Pós-Graduação Terapia Cognitiva Comportamental - Pós-Graduação Terapia Cognitiva Comportamental - Roberta Mendes Batista de Oliveira - A cognição Humana - Nota Máxima: 10")</f>
        <v>Pós-Graduação Terapia Cognitiva Comportamental - Pós-Graduação Terapia Cognitiva Comportamental - Roberta Mendes Batista de Oliveira - A cognição Humana - Nota Máxima: 10</v>
      </c>
    </row>
    <row r="7678">
      <c r="A7678" s="390" t="str">
        <f>IFERROR(__xludf.DUMMYFUNCTION("""COMPUTED_VALUE"""),"Pós-Graduação Terapia Cognitiva Comportamental - Pós-Graduação Terapia Cognitiva Comportamental - Roberta Mendes Batista de Oliveira - A cognição Humana - Nota Máxima: 9")</f>
        <v>Pós-Graduação Terapia Cognitiva Comportamental - Pós-Graduação Terapia Cognitiva Comportamental - Roberta Mendes Batista de Oliveira - A cognição Humana - Nota Máxima: 9</v>
      </c>
    </row>
    <row r="7679">
      <c r="A7679" s="390" t="str">
        <f>IFERROR(__xludf.DUMMYFUNCTION("""COMPUTED_VALUE"""),"Pós-Graduação Terapia Cognitiva Comportamental - Pós-Graduação Terapia Cognitiva Comportamental - Roberta Mendes Batista de Oliveira - Deficiência Auditiva e Libras/a - Nota Máxima: 10")</f>
        <v>Pós-Graduação Terapia Cognitiva Comportamental - Pós-Graduação Terapia Cognitiva Comportamental - Roberta Mendes Batista de Oliveira - Deficiência Auditiva e Libras/a - Nota Máxima: 10</v>
      </c>
    </row>
    <row r="7680">
      <c r="A7680" s="390" t="str">
        <f>IFERROR(__xludf.DUMMYFUNCTION("""COMPUTED_VALUE"""),"Pós-Graduação Terapia Cognitiva Comportamental - Pós-Graduação Terapia Cognitiva Comportamental - Roberta Mendes Batista de Oliveira - Deficiência Auditiva e Libras/a - Nota Máxima: 7")</f>
        <v>Pós-Graduação Terapia Cognitiva Comportamental - Pós-Graduação Terapia Cognitiva Comportamental - Roberta Mendes Batista de Oliveira - Deficiência Auditiva e Libras/a - Nota Máxima: 7</v>
      </c>
    </row>
    <row r="7681">
      <c r="A7681" s="390" t="str">
        <f>IFERROR(__xludf.DUMMYFUNCTION("""COMPUTED_VALUE"""),"Pós-Graduação Terapia Cognitiva Comportamental - Pós-Graduação Terapia Cognitiva Comportamental - Roberta Mendes Batista de Oliveira - Ética Profissional - Nota Máxima: 10")</f>
        <v>Pós-Graduação Terapia Cognitiva Comportamental - Pós-Graduação Terapia Cognitiva Comportamental - Roberta Mendes Batista de Oliveira - Ética Profissional - Nota Máxima: 10</v>
      </c>
    </row>
    <row r="7682">
      <c r="A7682" s="390" t="str">
        <f>IFERROR(__xludf.DUMMYFUNCTION("""COMPUTED_VALUE"""),"Pós-Graduação Terapia Cognitiva Comportamental - Pós-Graduação Terapia Cognitiva Comportamental - Roberta Mendes Batista de Oliveira - Ética Profissional - Nota Máxima: 9")</f>
        <v>Pós-Graduação Terapia Cognitiva Comportamental - Pós-Graduação Terapia Cognitiva Comportamental - Roberta Mendes Batista de Oliveira - Ética Profissional - Nota Máxima: 9</v>
      </c>
    </row>
    <row r="7683">
      <c r="A7683" s="390" t="str">
        <f>IFERROR(__xludf.DUMMYFUNCTION("""COMPUTED_VALUE"""),"Pós-Graduação Terapia Cognitiva Comportamental - Pós-Graduação Terapia Cognitiva Comportamental - Roberta Mendes Batista de Oliveira - Métodos de Pesquisa na Abordagem Cognitiva - Nota Máxima: 10")</f>
        <v>Pós-Graduação Terapia Cognitiva Comportamental - Pós-Graduação Terapia Cognitiva Comportamental - Roberta Mendes Batista de Oliveira - Métodos de Pesquisa na Abordagem Cognitiva - Nota Máxima: 10</v>
      </c>
    </row>
    <row r="7684">
      <c r="A7684" s="390" t="str">
        <f>IFERROR(__xludf.DUMMYFUNCTION("""COMPUTED_VALUE"""),"Pós-Graduação Terapia Cognitiva Comportamental - Pós-Graduação Terapia Cognitiva Comportamental - Roberta Mendes Batista de Oliveira - Métodos de Pesquisa na Abordagem Cognitiva - Nota Máxima: 5")</f>
        <v>Pós-Graduação Terapia Cognitiva Comportamental - Pós-Graduação Terapia Cognitiva Comportamental - Roberta Mendes Batista de Oliveira - Métodos de Pesquisa na Abordagem Cognitiva - Nota Máxima: 5</v>
      </c>
    </row>
    <row r="7685">
      <c r="A7685" s="390" t="str">
        <f>IFERROR(__xludf.DUMMYFUNCTION("""COMPUTED_VALUE"""),"Pós-Graduação Terapia Cognitiva Comportamental - Pós-Graduação Terapia Cognitiva Comportamental - Roberta Mendes Batista de Oliveira - Psicodiagnóstico e Psicoterapias - Nota Máxima: 10")</f>
        <v>Pós-Graduação Terapia Cognitiva Comportamental - Pós-Graduação Terapia Cognitiva Comportamental - Roberta Mendes Batista de Oliveira - Psicodiagnóstico e Psicoterapias - Nota Máxima: 10</v>
      </c>
    </row>
    <row r="7686">
      <c r="A7686" s="390" t="str">
        <f>IFERROR(__xludf.DUMMYFUNCTION("""COMPUTED_VALUE"""),"Pós-Graduação Terapia Cognitiva Comportamental - Pós-Graduação Terapia Cognitiva Comportamental - Roberta Mendes Batista de Oliveira - Psicodiagnóstico e Psicoterapias - Nota Máxima: 10")</f>
        <v>Pós-Graduação Terapia Cognitiva Comportamental - Pós-Graduação Terapia Cognitiva Comportamental - Roberta Mendes Batista de Oliveira - Psicodiagnóstico e Psicoterapias - Nota Máxima: 10</v>
      </c>
    </row>
    <row r="7687">
      <c r="A7687" s="390" t="str">
        <f>IFERROR(__xludf.DUMMYFUNCTION("""COMPUTED_VALUE"""),"Pós-Graduação Terapia Cognitiva Comportamental - Pós-Graduação Terapia Cognitiva Comportamental - Roberta Mendes Batista de Oliveira - Psicologia Aplicada ao Comportamento Humano - Nota Máxima: 10")</f>
        <v>Pós-Graduação Terapia Cognitiva Comportamental - Pós-Graduação Terapia Cognitiva Comportamental - Roberta Mendes Batista de Oliveira - Psicologia Aplicada ao Comportamento Humano - Nota Máxima: 10</v>
      </c>
    </row>
    <row r="7688">
      <c r="A7688" s="390" t="str">
        <f>IFERROR(__xludf.DUMMYFUNCTION("""COMPUTED_VALUE"""),"Pós-Graduação Terapia Cognitiva Comportamental - Pós-Graduação Terapia Cognitiva Comportamental - Roberta Mendes Batista de Oliveira - Psicologia Aplicada ao Comportamento Humano - Nota Máxima: 10")</f>
        <v>Pós-Graduação Terapia Cognitiva Comportamental - Pós-Graduação Terapia Cognitiva Comportamental - Roberta Mendes Batista de Oliveira - Psicologia Aplicada ao Comportamento Humano - Nota Máxima: 10</v>
      </c>
    </row>
    <row r="7689">
      <c r="A7689" s="390" t="str">
        <f>IFERROR(__xludf.DUMMYFUNCTION("""COMPUTED_VALUE"""),"Pós-Graduação Terapia Cognitiva Comportamental - Pós-Graduação Terapia Cognitiva Comportamental - Roberta Mendes Batista de Oliveira - Psicologia Cognitiva - Nota Máxima: 10")</f>
        <v>Pós-Graduação Terapia Cognitiva Comportamental - Pós-Graduação Terapia Cognitiva Comportamental - Roberta Mendes Batista de Oliveira - Psicologia Cognitiva - Nota Máxima: 10</v>
      </c>
    </row>
    <row r="7690">
      <c r="A7690" s="390" t="str">
        <f>IFERROR(__xludf.DUMMYFUNCTION("""COMPUTED_VALUE"""),"Pós-Graduação Terapia Cognitiva Comportamental - Pós-Graduação Terapia Cognitiva Comportamental - Roberta Mendes Batista de Oliveira - Psicologia Cognitiva - Nota Máxima: 9")</f>
        <v>Pós-Graduação Terapia Cognitiva Comportamental - Pós-Graduação Terapia Cognitiva Comportamental - Roberta Mendes Batista de Oliveira - Psicologia Cognitiva - Nota Máxima: 9</v>
      </c>
    </row>
    <row r="7691">
      <c r="A7691" s="390" t="str">
        <f>IFERROR(__xludf.DUMMYFUNCTION("""COMPUTED_VALUE"""),"Pós-Graduação Terapia Cognitiva Comportamental - Pós-Graduação Terapia Cognitiva Comportamental - Roberta Mendes Batista de Oliveira - Psicologia e Intervenções Profissionais - Nota Máxima: 10")</f>
        <v>Pós-Graduação Terapia Cognitiva Comportamental - Pós-Graduação Terapia Cognitiva Comportamental - Roberta Mendes Batista de Oliveira - Psicologia e Intervenções Profissionais - Nota Máxima: 10</v>
      </c>
    </row>
    <row r="7692">
      <c r="A7692" s="390" t="str">
        <f>IFERROR(__xludf.DUMMYFUNCTION("""COMPUTED_VALUE"""),"Pós-Graduação Terapia Cognitiva Comportamental - Pós-Graduação Terapia Cognitiva Comportamental - Roberta Mendes Batista de Oliveira - Psicologia e Intervenções Profissionais - Nota Máxima: 8")</f>
        <v>Pós-Graduação Terapia Cognitiva Comportamental - Pós-Graduação Terapia Cognitiva Comportamental - Roberta Mendes Batista de Oliveira - Psicologia e Intervenções Profissionais - Nota Máxima: 8</v>
      </c>
    </row>
    <row r="7693">
      <c r="A7693" s="390" t="str">
        <f>IFERROR(__xludf.DUMMYFUNCTION("""COMPUTED_VALUE"""),"Pós-Graduação Terapia Cognitiva Comportamental - Pós-Graduação Terapia Cognitiva Comportamental - Roberta Mendes Batista de Oliveira - Relacionamento Interpessoal - Nota Máxima: 10")</f>
        <v>Pós-Graduação Terapia Cognitiva Comportamental - Pós-Graduação Terapia Cognitiva Comportamental - Roberta Mendes Batista de Oliveira - Relacionamento Interpessoal - Nota Máxima: 10</v>
      </c>
    </row>
    <row r="7694">
      <c r="A7694" s="390" t="str">
        <f>IFERROR(__xludf.DUMMYFUNCTION("""COMPUTED_VALUE"""),"Pós-Graduação Terapia Cognitiva Comportamental - Pós-Graduação Terapia Cognitiva Comportamental - Roberta Mendes Batista de Oliveira - Relacionamento Interpessoal - Nota Máxima: 9")</f>
        <v>Pós-Graduação Terapia Cognitiva Comportamental - Pós-Graduação Terapia Cognitiva Comportamental - Roberta Mendes Batista de Oliveira - Relacionamento Interpessoal - Nota Máxima: 9</v>
      </c>
    </row>
    <row r="7695">
      <c r="A7695" s="390" t="str">
        <f>IFERROR(__xludf.DUMMYFUNCTION("""COMPUTED_VALUE"""),"Pós-Graduação Terapia Cognitiva Comportamental - Pós-Graduação Terapia Cognitiva Comportamental - Roberta Mendes Batista de Oliveira - Terapia Cognitiva - Nota Máxima: 10")</f>
        <v>Pós-Graduação Terapia Cognitiva Comportamental - Pós-Graduação Terapia Cognitiva Comportamental - Roberta Mendes Batista de Oliveira - Terapia Cognitiva - Nota Máxima: 10</v>
      </c>
    </row>
    <row r="7696">
      <c r="A7696" s="390" t="str">
        <f>IFERROR(__xludf.DUMMYFUNCTION("""COMPUTED_VALUE"""),"Pós-Graduação Terapia Cognitiva Comportamental - Pós-Graduação Terapia Cognitiva Comportamental - Roberta Mendes Batista de Oliveira - Terapia Cognitiva - Nota Máxima: 9")</f>
        <v>Pós-Graduação Terapia Cognitiva Comportamental - Pós-Graduação Terapia Cognitiva Comportamental - Roberta Mendes Batista de Oliveira - Terapia Cognitiva - Nota Máxima: 9</v>
      </c>
    </row>
    <row r="7697">
      <c r="A7697" s="390" t="str">
        <f>IFERROR(__xludf.DUMMYFUNCTION("""COMPUTED_VALUE"""),"Pós-Graduação Terapia Cognitiva Comportamental - Pós-Graduação Terapia Cognitiva Comportamental - Edna Jesus Ferreira dos Santos - A cognição Humana - Nota Máxima: 6")</f>
        <v>Pós-Graduação Terapia Cognitiva Comportamental - Pós-Graduação Terapia Cognitiva Comportamental - Edna Jesus Ferreira dos Santos - A cognição Humana - Nota Máxima: 6</v>
      </c>
    </row>
    <row r="7698">
      <c r="A7698" s="390" t="str">
        <f>IFERROR(__xludf.DUMMYFUNCTION("""COMPUTED_VALUE"""),"")</f>
        <v/>
      </c>
    </row>
    <row r="7699">
      <c r="A7699" s="390" t="str">
        <f>IFERROR(__xludf.DUMMYFUNCTION("""COMPUTED_VALUE"""),"Pós-Graduação Terapia Cognitiva Comportamental - Pós-Graduação Terapia Cognitiva Comportamental - Josemir José da Silva - Deficiência Auditiva e Libras/a - Nota Máxima: 10")</f>
        <v>Pós-Graduação Terapia Cognitiva Comportamental - Pós-Graduação Terapia Cognitiva Comportamental - Josemir José da Silva - Deficiência Auditiva e Libras/a - Nota Máxima: 10</v>
      </c>
    </row>
    <row r="7700">
      <c r="A7700" s="390" t="str">
        <f>IFERROR(__xludf.DUMMYFUNCTION("""COMPUTED_VALUE"""),"Pós-Graduação Terapia Cognitiva Comportamental - Pós-Graduação Terapia Cognitiva Comportamental - Josemir José da Silva - Ética Profissional - Nota Máxima: 9")</f>
        <v>Pós-Graduação Terapia Cognitiva Comportamental - Pós-Graduação Terapia Cognitiva Comportamental - Josemir José da Silva - Ética Profissional - Nota Máxima: 9</v>
      </c>
    </row>
    <row r="7701">
      <c r="A7701" s="390" t="str">
        <f>IFERROR(__xludf.DUMMYFUNCTION("""COMPUTED_VALUE"""),"Pós-Graduação Terapia Cognitiva Comportamental - Pós-Graduação Terapia Cognitiva Comportamental - Josemir José da Silva - Relacionamento Interpessoal - Nota Máxima: 8")</f>
        <v>Pós-Graduação Terapia Cognitiva Comportamental - Pós-Graduação Terapia Cognitiva Comportamental - Josemir José da Silva - Relacionamento Interpessoal - Nota Máxima: 8</v>
      </c>
    </row>
    <row r="7702">
      <c r="A7702" s="390" t="str">
        <f>IFERROR(__xludf.DUMMYFUNCTION("""COMPUTED_VALUE"""),"Pós-Graduação Terapia Cognitiva Comportamental - Pós-Graduação Terapia Cognitiva Comportamental - Cristiana de Souza Freire - Ética Profissional - Nota Máxima: 10")</f>
        <v>Pós-Graduação Terapia Cognitiva Comportamental - Pós-Graduação Terapia Cognitiva Comportamental - Cristiana de Souza Freire - Ética Profissional - Nota Máxima: 10</v>
      </c>
    </row>
    <row r="7703">
      <c r="A7703" s="390" t="str">
        <f>IFERROR(__xludf.DUMMYFUNCTION("""COMPUTED_VALUE"""),"Pós-Graduação Terapia Cognitiva Comportamental - Pós-Graduação Terapia Cognitiva Comportamental - Maria Daiana Lima Dias - Deficiência Auditiva e Libras/a - Nota Máxima: 8")</f>
        <v>Pós-Graduação Terapia Cognitiva Comportamental - Pós-Graduação Terapia Cognitiva Comportamental - Maria Daiana Lima Dias - Deficiência Auditiva e Libras/a - Nota Máxima: 8</v>
      </c>
    </row>
    <row r="7704">
      <c r="A7704" s="390" t="str">
        <f>IFERROR(__xludf.DUMMYFUNCTION("""COMPUTED_VALUE"""),"Pós-Graduação Terapia Cognitiva Comportamental - Pós-Graduação Terapia Cognitiva Comportamental - Maria Daiana Lima Dias - Ética Profissional - Nota Máxima: 10")</f>
        <v>Pós-Graduação Terapia Cognitiva Comportamental - Pós-Graduação Terapia Cognitiva Comportamental - Maria Daiana Lima Dias - Ética Profissional - Nota Máxima: 10</v>
      </c>
    </row>
    <row r="7705">
      <c r="A7705" s="390" t="str">
        <f>IFERROR(__xludf.DUMMYFUNCTION("""COMPUTED_VALUE"""),"Pós-Graduação Terapia Cognitiva Comportamental - Pós-Graduação Terapia Cognitiva Comportamental - Maria Daiana Lima Dias - Psicologia e Intervenções Profissionais - Nota Máxima: 10")</f>
        <v>Pós-Graduação Terapia Cognitiva Comportamental - Pós-Graduação Terapia Cognitiva Comportamental - Maria Daiana Lima Dias - Psicologia e Intervenções Profissionais - Nota Máxima: 10</v>
      </c>
    </row>
    <row r="7706">
      <c r="A7706" s="390" t="str">
        <f>IFERROR(__xludf.DUMMYFUNCTION("""COMPUTED_VALUE"""),"Pós-Graduação Terapia Cognitiva Comportamental - Pós-Graduação Terapia Cognitiva Comportamental - Maria Daiana Lima Dias - Relacionamento Interpessoal - Nota Máxima: 10")</f>
        <v>Pós-Graduação Terapia Cognitiva Comportamental - Pós-Graduação Terapia Cognitiva Comportamental - Maria Daiana Lima Dias - Relacionamento Interpessoal - Nota Máxima: 10</v>
      </c>
    </row>
    <row r="7707">
      <c r="A7707" s="390" t="str">
        <f>IFERROR(__xludf.DUMMYFUNCTION("""COMPUTED_VALUE"""),"Pós-Graduação Terapia Cognitiva Comportamental - Pós-Graduação Terapia Cognitiva Comportamental - Maryellen dos Santos Pereira - A cognição Humana - Nota Máxima: 8")</f>
        <v>Pós-Graduação Terapia Cognitiva Comportamental - Pós-Graduação Terapia Cognitiva Comportamental - Maryellen dos Santos Pereira - A cognição Humana - Nota Máxima: 8</v>
      </c>
    </row>
    <row r="7708">
      <c r="A7708" s="390" t="str">
        <f>IFERROR(__xludf.DUMMYFUNCTION("""COMPUTED_VALUE"""),"Pós-Graduação Terapia Cognitiva Comportamental - Pós-Graduação Terapia Cognitiva Comportamental - Maryellen dos Santos Pereira - Deficiência Auditiva e Libras/a - Nota Máxima: 10")</f>
        <v>Pós-Graduação Terapia Cognitiva Comportamental - Pós-Graduação Terapia Cognitiva Comportamental - Maryellen dos Santos Pereira - Deficiência Auditiva e Libras/a - Nota Máxima: 10</v>
      </c>
    </row>
    <row r="7709">
      <c r="A7709" s="390" t="str">
        <f>IFERROR(__xludf.DUMMYFUNCTION("""COMPUTED_VALUE"""),"Pós-Graduação Terapia Cognitiva Comportamental - Pós-Graduação Terapia Cognitiva Comportamental - Maryellen dos Santos Pereira - Ética Profissional - Nota Máxima: 9")</f>
        <v>Pós-Graduação Terapia Cognitiva Comportamental - Pós-Graduação Terapia Cognitiva Comportamental - Maryellen dos Santos Pereira - Ética Profissional - Nota Máxima: 9</v>
      </c>
    </row>
    <row r="7710">
      <c r="A7710" s="390" t="str">
        <f>IFERROR(__xludf.DUMMYFUNCTION("""COMPUTED_VALUE"""),"Pós-Graduação Terapia Cognitiva Comportamental - Pós-Graduação Terapia Cognitiva Comportamental - Maryellen dos Santos Pereira - Métodos de Pesquisa na Abordagem Cognitiva - Nota Máxima: 10")</f>
        <v>Pós-Graduação Terapia Cognitiva Comportamental - Pós-Graduação Terapia Cognitiva Comportamental - Maryellen dos Santos Pereira - Métodos de Pesquisa na Abordagem Cognitiva - Nota Máxima: 10</v>
      </c>
    </row>
    <row r="7711">
      <c r="A7711" s="390" t="str">
        <f>IFERROR(__xludf.DUMMYFUNCTION("""COMPUTED_VALUE"""),"Pós-Graduação Terapia Cognitiva Comportamental - Pós-Graduação Terapia Cognitiva Comportamental - Maryellen dos Santos Pereira - Psicodiagnóstico e Psicoterapias - Nota Máxima: 7")</f>
        <v>Pós-Graduação Terapia Cognitiva Comportamental - Pós-Graduação Terapia Cognitiva Comportamental - Maryellen dos Santos Pereira - Psicodiagnóstico e Psicoterapias - Nota Máxima: 7</v>
      </c>
    </row>
    <row r="7712">
      <c r="A7712" s="390" t="str">
        <f>IFERROR(__xludf.DUMMYFUNCTION("""COMPUTED_VALUE"""),"Pós-Graduação Terapia Cognitiva Comportamental - Pós-Graduação Terapia Cognitiva Comportamental - Maryellen dos Santos Pereira - Psicologia Aplicada ao Comportamento Humano - Nota Máxima: 9")</f>
        <v>Pós-Graduação Terapia Cognitiva Comportamental - Pós-Graduação Terapia Cognitiva Comportamental - Maryellen dos Santos Pereira - Psicologia Aplicada ao Comportamento Humano - Nota Máxima: 9</v>
      </c>
    </row>
    <row r="7713">
      <c r="A7713" s="390" t="str">
        <f>IFERROR(__xludf.DUMMYFUNCTION("""COMPUTED_VALUE"""),"Pós-Graduação Terapia Cognitiva Comportamental - Pós-Graduação Terapia Cognitiva Comportamental - Maryellen dos Santos Pereira - Psicologia Cognitiva - Nota Máxima: 10")</f>
        <v>Pós-Graduação Terapia Cognitiva Comportamental - Pós-Graduação Terapia Cognitiva Comportamental - Maryellen dos Santos Pereira - Psicologia Cognitiva - Nota Máxima: 10</v>
      </c>
    </row>
    <row r="7714">
      <c r="A7714" s="390" t="str">
        <f>IFERROR(__xludf.DUMMYFUNCTION("""COMPUTED_VALUE"""),"Pós-Graduação Terapia Cognitiva Comportamental - Pós-Graduação Terapia Cognitiva Comportamental - Maryellen dos Santos Pereira - Psicologia e Intervenções Profissionais - Nota Máxima: 7")</f>
        <v>Pós-Graduação Terapia Cognitiva Comportamental - Pós-Graduação Terapia Cognitiva Comportamental - Maryellen dos Santos Pereira - Psicologia e Intervenções Profissionais - Nota Máxima: 7</v>
      </c>
    </row>
    <row r="7715">
      <c r="A7715" s="390" t="str">
        <f>IFERROR(__xludf.DUMMYFUNCTION("""COMPUTED_VALUE"""),"Pós-Graduação Terapia Cognitiva Comportamental - Pós-Graduação Terapia Cognitiva Comportamental - Maryellen dos Santos Pereira - Relacionamento Interpessoal - Nota Máxima: 10")</f>
        <v>Pós-Graduação Terapia Cognitiva Comportamental - Pós-Graduação Terapia Cognitiva Comportamental - Maryellen dos Santos Pereira - Relacionamento Interpessoal - Nota Máxima: 10</v>
      </c>
    </row>
    <row r="7716">
      <c r="A7716" s="390" t="str">
        <f>IFERROR(__xludf.DUMMYFUNCTION("""COMPUTED_VALUE"""),"Pós-Graduação Terapia Cognitiva Comportamental - Pós-Graduação Terapia Cognitiva Comportamental - Maryellen dos Santos Pereira - Terapia Cognitiva - Nota Máxima: 7")</f>
        <v>Pós-Graduação Terapia Cognitiva Comportamental - Pós-Graduação Terapia Cognitiva Comportamental - Maryellen dos Santos Pereira - Terapia Cognitiva - Nota Máxima: 7</v>
      </c>
    </row>
    <row r="7717">
      <c r="A7717" s="390" t="str">
        <f>IFERROR(__xludf.DUMMYFUNCTION("""COMPUTED_VALUE"""),"Pós-Graduação em Psicanálise - Pós-Graduação em Psicanálise - Ariana Francine Moreira - Complexo de Édipo e Castração - Nota Máxima: 7")</f>
        <v>Pós-Graduação em Psicanálise - Pós-Graduação em Psicanálise - Ariana Francine Moreira - Complexo de Édipo e Castração - Nota Máxima: 7</v>
      </c>
    </row>
    <row r="7718">
      <c r="A7718" s="390" t="str">
        <f>IFERROR(__xludf.DUMMYFUNCTION("""COMPUTED_VALUE"""),"Pós-Graduação em Psicanálise - Pós-Graduação em Psicanálise - Ariana Francine Moreira - O Método Psicanalítico – 50H - Nota Máxima: 10")</f>
        <v>Pós-Graduação em Psicanálise - Pós-Graduação em Psicanálise - Ariana Francine Moreira - O Método Psicanalítico – 50H - Nota Máxima: 10</v>
      </c>
    </row>
    <row r="7719">
      <c r="A7719" s="390" t="str">
        <f>IFERROR(__xludf.DUMMYFUNCTION("""COMPUTED_VALUE"""),"Pós-Graduação em Psicanálise - Pós-Graduação em Psicanálise - Ariana Francine Moreira - Processos de Transferência e Resistência – 30H - Nota Máxima: 7")</f>
        <v>Pós-Graduação em Psicanálise - Pós-Graduação em Psicanálise - Ariana Francine Moreira - Processos de Transferência e Resistência – 30H - Nota Máxima: 7</v>
      </c>
    </row>
    <row r="7720">
      <c r="A7720" s="390" t="str">
        <f>IFERROR(__xludf.DUMMYFUNCTION("""COMPUTED_VALUE"""),"Pós-Graduação em Psicanálise - Pós-Graduação em Psicanálise - Ariana Francine Moreira - Psicanálise da Criança e do Adolescente – 40H - Nota Máxima: 8")</f>
        <v>Pós-Graduação em Psicanálise - Pós-Graduação em Psicanálise - Ariana Francine Moreira - Psicanálise da Criança e do Adolescente – 40H - Nota Máxima: 8</v>
      </c>
    </row>
    <row r="7721">
      <c r="A7721" s="390" t="str">
        <f>IFERROR(__xludf.DUMMYFUNCTION("""COMPUTED_VALUE"""),"Pós-Graduação em Psicanálise - Pós-Graduação em Psicanálise - Ariana Francine Moreira - Psicanálise II – 50H - Nota Máxima: 7")</f>
        <v>Pós-Graduação em Psicanálise - Pós-Graduação em Psicanálise - Ariana Francine Moreira - Psicanálise II – 50H - Nota Máxima: 7</v>
      </c>
    </row>
    <row r="7722">
      <c r="A7722" s="390" t="str">
        <f>IFERROR(__xludf.DUMMYFUNCTION("""COMPUTED_VALUE"""),"Pós-Graduação em Psicanálise - Pós-Graduação em Psicanálise - Ariana Francine Moreira - Psicopatologias I – 40H - Nota Máxima: 8")</f>
        <v>Pós-Graduação em Psicanálise - Pós-Graduação em Psicanálise - Ariana Francine Moreira - Psicopatologias I – 40H - Nota Máxima: 8</v>
      </c>
    </row>
    <row r="7723">
      <c r="A7723" s="390" t="str">
        <f>IFERROR(__xludf.DUMMYFUNCTION("""COMPUTED_VALUE"""),"Pós-Graduação em Psicanálise - Pós-Graduação em Psicanálise - Ariana Francine Moreira - Psicopatologias II – 50H - Nota Máxima: 8")</f>
        <v>Pós-Graduação em Psicanálise - Pós-Graduação em Psicanálise - Ariana Francine Moreira - Psicopatologias II – 50H - Nota Máxima: 8</v>
      </c>
    </row>
    <row r="7724">
      <c r="A7724" s="390" t="str">
        <f>IFERROR(__xludf.DUMMYFUNCTION("""COMPUTED_VALUE"""),"Pós-Graduação em Psicanálise - Pós-Graduação em Psicanálise - Ariana Francine Moreira - Sonhos, Simbologia e Representação – 50H - Nota Máxima: 5")</f>
        <v>Pós-Graduação em Psicanálise - Pós-Graduação em Psicanálise - Ariana Francine Moreira - Sonhos, Simbologia e Representação – 50H - Nota Máxima: 5</v>
      </c>
    </row>
    <row r="7725">
      <c r="A7725" s="390" t="str">
        <f>IFERROR(__xludf.DUMMYFUNCTION("""COMPUTED_VALUE"""),"Pós-Graduação em Psicanálise - Pós-Graduação em Psicanálise - Ariana Francine Moreira - Sonhos, Simbologia e Representação – 50H - Nota Máxima: 5")</f>
        <v>Pós-Graduação em Psicanálise - Pós-Graduação em Psicanálise - Ariana Francine Moreira - Sonhos, Simbologia e Representação – 50H - Nota Máxima: 5</v>
      </c>
    </row>
    <row r="7726">
      <c r="A7726" s="390" t="str">
        <f>IFERROR(__xludf.DUMMYFUNCTION("""COMPUTED_VALUE"""),"Pós-Graduação em Psicanálise - Pós-Graduação em Psicanálise - Ariana Francine Moreira - Tópicos Avançados em Clínica – 40H - Nota Máxima: 10")</f>
        <v>Pós-Graduação em Psicanálise - Pós-Graduação em Psicanálise - Ariana Francine Moreira - Tópicos Avançados em Clínica – 40H - Nota Máxima: 10</v>
      </c>
    </row>
    <row r="7727">
      <c r="A7727" s="390" t="str">
        <f>IFERROR(__xludf.DUMMYFUNCTION("""COMPUTED_VALUE"""),"Pós-Graduação em Psicanálise - Pós-Graduação em Psicanálise - Ariana Francine Moreira - Tópicos Avançados em Sexualidade – 40H - Nota Máxima: 7")</f>
        <v>Pós-Graduação em Psicanálise - Pós-Graduação em Psicanálise - Ariana Francine Moreira - Tópicos Avançados em Sexualidade – 40H - Nota Máxima: 7</v>
      </c>
    </row>
    <row r="7728">
      <c r="A7728" s="390" t="str">
        <f>IFERROR(__xludf.DUMMYFUNCTION("""COMPUTED_VALUE"""),"Pós-Graduação em Psicanálise - Pós-Graduação em Psicanálise - Tatiane Nunes Mozaldo do Espírito Santo Aguiar - Complexo de Édipo e Castração - Nota Máxima: 9")</f>
        <v>Pós-Graduação em Psicanálise - Pós-Graduação em Psicanálise - Tatiane Nunes Mozaldo do Espírito Santo Aguiar - Complexo de Édipo e Castração - Nota Máxima: 9</v>
      </c>
    </row>
    <row r="7729">
      <c r="A7729" s="390" t="str">
        <f>IFERROR(__xludf.DUMMYFUNCTION("""COMPUTED_VALUE"""),"Pós-Graduação em Psicanálise - Pós-Graduação em Psicanálise - Tatiane Nunes Mozaldo do Espírito Santo Aguiar - Complexo de Édipo e Castração - Nota Máxima: 3")</f>
        <v>Pós-Graduação em Psicanálise - Pós-Graduação em Psicanálise - Tatiane Nunes Mozaldo do Espírito Santo Aguiar - Complexo de Édipo e Castração - Nota Máxima: 3</v>
      </c>
    </row>
    <row r="7730">
      <c r="A7730" s="390" t="str">
        <f>IFERROR(__xludf.DUMMYFUNCTION("""COMPUTED_VALUE"""),"Pós-Graduação em Psicanálise - Pós-Graduação em Psicanálise - Tatiane Nunes Mozaldo do Espírito Santo Aguiar - Formação e Ética do Psicanalista – 30H - Nota Máxima: 10")</f>
        <v>Pós-Graduação em Psicanálise - Pós-Graduação em Psicanálise - Tatiane Nunes Mozaldo do Espírito Santo Aguiar - Formação e Ética do Psicanalista – 30H - Nota Máxima: 10</v>
      </c>
    </row>
    <row r="7731">
      <c r="A7731" s="390" t="str">
        <f>IFERROR(__xludf.DUMMYFUNCTION("""COMPUTED_VALUE"""),"Pós-Graduação em Psicanálise - Pós-Graduação em Psicanálise - Tatiane Nunes Mozaldo do Espírito Santo Aguiar - Formação e Ética do Psicanalista – 30H - Nota Máxima: 3")</f>
        <v>Pós-Graduação em Psicanálise - Pós-Graduação em Psicanálise - Tatiane Nunes Mozaldo do Espírito Santo Aguiar - Formação e Ética do Psicanalista – 30H - Nota Máxima: 3</v>
      </c>
    </row>
    <row r="7732">
      <c r="A7732" s="390" t="str">
        <f>IFERROR(__xludf.DUMMYFUNCTION("""COMPUTED_VALUE"""),"Pós-Graduação em Psicanálise - Pós-Graduação em Psicanálise - Tatiane Nunes Mozaldo do Espírito Santo Aguiar - Introdução à EAD - 30H - Nota Máxima: 10")</f>
        <v>Pós-Graduação em Psicanálise - Pós-Graduação em Psicanálise - Tatiane Nunes Mozaldo do Espírito Santo Aguiar - Introdução à EAD - 30H - Nota Máxima: 10</v>
      </c>
    </row>
    <row r="7733">
      <c r="A7733" s="390" t="str">
        <f>IFERROR(__xludf.DUMMYFUNCTION("""COMPUTED_VALUE"""),"Pós-Graduação em Psicanálise - Pós-Graduação em Psicanálise - Tatiane Nunes Mozaldo do Espírito Santo Aguiar - Introdução à Psicanálise – 40H - Nota Máxima: 10")</f>
        <v>Pós-Graduação em Psicanálise - Pós-Graduação em Psicanálise - Tatiane Nunes Mozaldo do Espírito Santo Aguiar - Introdução à Psicanálise – 40H - Nota Máxima: 10</v>
      </c>
    </row>
    <row r="7734">
      <c r="A7734" s="390" t="str">
        <f>IFERROR(__xludf.DUMMYFUNCTION("""COMPUTED_VALUE"""),"Pós-Graduação em Psicanálise - Pós-Graduação em Psicanálise - Tatiane Nunes Mozaldo do Espírito Santo Aguiar - Introdução à Psicanálise – 40H - Nota Máxima: 4")</f>
        <v>Pós-Graduação em Psicanálise - Pós-Graduação em Psicanálise - Tatiane Nunes Mozaldo do Espírito Santo Aguiar - Introdução à Psicanálise – 40H - Nota Máxima: 4</v>
      </c>
    </row>
    <row r="7735">
      <c r="A7735" s="390" t="str">
        <f>IFERROR(__xludf.DUMMYFUNCTION("""COMPUTED_VALUE"""),"Pós-Graduação em Psicanálise - Pós-Graduação em Psicanálise - Tatiane Nunes Mozaldo do Espírito Santo Aguiar - Libido, Pulsões e Sexualidade – 50H - Nota Máxima: 10")</f>
        <v>Pós-Graduação em Psicanálise - Pós-Graduação em Psicanálise - Tatiane Nunes Mozaldo do Espírito Santo Aguiar - Libido, Pulsões e Sexualidade – 50H - Nota Máxima: 10</v>
      </c>
    </row>
    <row r="7736">
      <c r="A7736" s="390" t="str">
        <f>IFERROR(__xludf.DUMMYFUNCTION("""COMPUTED_VALUE"""),"Pós-Graduação em Psicanálise - Pós-Graduação em Psicanálise - Tatiane Nunes Mozaldo do Espírito Santo Aguiar - Libido, Pulsões e Sexualidade – 50H - Nota Máxima: 4")</f>
        <v>Pós-Graduação em Psicanálise - Pós-Graduação em Psicanálise - Tatiane Nunes Mozaldo do Espírito Santo Aguiar - Libido, Pulsões e Sexualidade – 50H - Nota Máxima: 4</v>
      </c>
    </row>
    <row r="7737">
      <c r="A7737" s="390" t="str">
        <f>IFERROR(__xludf.DUMMYFUNCTION("""COMPUTED_VALUE"""),"Pós-Graduação em Psicanálise - Pós-Graduação em Psicanálise - Tatiane Nunes Mozaldo do Espírito Santo Aguiar - Narcisismo e a Cultura da Indiferença – 40H - Nota Máxima: 10")</f>
        <v>Pós-Graduação em Psicanálise - Pós-Graduação em Psicanálise - Tatiane Nunes Mozaldo do Espírito Santo Aguiar - Narcisismo e a Cultura da Indiferença – 40H - Nota Máxima: 10</v>
      </c>
    </row>
    <row r="7738">
      <c r="A7738" s="390" t="str">
        <f>IFERROR(__xludf.DUMMYFUNCTION("""COMPUTED_VALUE"""),"Pós-Graduação em Psicanálise - Pós-Graduação em Psicanálise - Tatiane Nunes Mozaldo do Espírito Santo Aguiar - Narcisismo e a Cultura da Indiferença – 40H - Nota Máxima: 2")</f>
        <v>Pós-Graduação em Psicanálise - Pós-Graduação em Psicanálise - Tatiane Nunes Mozaldo do Espírito Santo Aguiar - Narcisismo e a Cultura da Indiferença – 40H - Nota Máxima: 2</v>
      </c>
    </row>
    <row r="7739">
      <c r="A7739" s="390" t="str">
        <f>IFERROR(__xludf.DUMMYFUNCTION("""COMPUTED_VALUE"""),"Pós-Graduação em Psicanálise - Pós-Graduação em Psicanálise - Tatiane Nunes Mozaldo do Espírito Santo Aguiar - O Aparelho psíquico, aspectos clínicos e Teóricos – 40H - Nota Máxima: 10")</f>
        <v>Pós-Graduação em Psicanálise - Pós-Graduação em Psicanálise - Tatiane Nunes Mozaldo do Espírito Santo Aguiar - O Aparelho psíquico, aspectos clínicos e Teóricos – 40H - Nota Máxima: 10</v>
      </c>
    </row>
    <row r="7740">
      <c r="A7740" s="390" t="str">
        <f>IFERROR(__xludf.DUMMYFUNCTION("""COMPUTED_VALUE"""),"Pós-Graduação em Psicanálise - Pós-Graduação em Psicanálise - Tatiane Nunes Mozaldo do Espírito Santo Aguiar - O Aparelho psíquico, aspectos clínicos e Teóricos – 40H - Nota Máxima: 4")</f>
        <v>Pós-Graduação em Psicanálise - Pós-Graduação em Psicanálise - Tatiane Nunes Mozaldo do Espírito Santo Aguiar - O Aparelho psíquico, aspectos clínicos e Teóricos – 40H - Nota Máxima: 4</v>
      </c>
    </row>
    <row r="7741">
      <c r="A7741" s="390" t="str">
        <f>IFERROR(__xludf.DUMMYFUNCTION("""COMPUTED_VALUE"""),"Pós-Graduação em Psicanálise - Pós-Graduação em Psicanálise - Tatiane Nunes Mozaldo do Espírito Santo Aguiar - O Método Psicanalítico – 50H - Nota Máxima: 9")</f>
        <v>Pós-Graduação em Psicanálise - Pós-Graduação em Psicanálise - Tatiane Nunes Mozaldo do Espírito Santo Aguiar - O Método Psicanalítico – 50H - Nota Máxima: 9</v>
      </c>
    </row>
    <row r="7742">
      <c r="A7742" s="390" t="str">
        <f>IFERROR(__xludf.DUMMYFUNCTION("""COMPUTED_VALUE"""),"Pós-Graduação em Psicanálise - Pós-Graduação em Psicanálise - Tatiane Nunes Mozaldo do Espírito Santo Aguiar - O Método Psicanalítico – 50H - Nota Máxima: 4")</f>
        <v>Pós-Graduação em Psicanálise - Pós-Graduação em Psicanálise - Tatiane Nunes Mozaldo do Espírito Santo Aguiar - O Método Psicanalítico – 50H - Nota Máxima: 4</v>
      </c>
    </row>
    <row r="7743">
      <c r="A7743" s="390" t="str">
        <f>IFERROR(__xludf.DUMMYFUNCTION("""COMPUTED_VALUE"""),"Pós-Graduação em Psicanálise - Pós-Graduação em Psicanálise - Tatiane Nunes Mozaldo do Espírito Santo Aguiar - Práticas e Procedimentos em Clínica – 30H - Nota Máxima: 10")</f>
        <v>Pós-Graduação em Psicanálise - Pós-Graduação em Psicanálise - Tatiane Nunes Mozaldo do Espírito Santo Aguiar - Práticas e Procedimentos em Clínica – 30H - Nota Máxima: 10</v>
      </c>
    </row>
    <row r="7744">
      <c r="A7744" s="390" t="str">
        <f>IFERROR(__xludf.DUMMYFUNCTION("""COMPUTED_VALUE"""),"Pós-Graduação em Psicanálise - Pós-Graduação em Psicanálise - Tatiane Nunes Mozaldo do Espírito Santo Aguiar - Práticas e Procedimentos em Clínica – 30H - Nota Máxima: 3")</f>
        <v>Pós-Graduação em Psicanálise - Pós-Graduação em Psicanálise - Tatiane Nunes Mozaldo do Espírito Santo Aguiar - Práticas e Procedimentos em Clínica – 30H - Nota Máxima: 3</v>
      </c>
    </row>
    <row r="7745">
      <c r="A7745" s="390" t="str">
        <f>IFERROR(__xludf.DUMMYFUNCTION("""COMPUTED_VALUE"""),"Pós-Graduação em Psicanálise - Pós-Graduação em Psicanálise - Tatiane Nunes Mozaldo do Espírito Santo Aguiar - Processos de Transferência e Resistência – 30H - Nota Máxima: 9")</f>
        <v>Pós-Graduação em Psicanálise - Pós-Graduação em Psicanálise - Tatiane Nunes Mozaldo do Espírito Santo Aguiar - Processos de Transferência e Resistência – 30H - Nota Máxima: 9</v>
      </c>
    </row>
    <row r="7746">
      <c r="A7746" s="390" t="str">
        <f>IFERROR(__xludf.DUMMYFUNCTION("""COMPUTED_VALUE"""),"Pós-Graduação em Psicanálise - Pós-Graduação em Psicanálise - Tatiane Nunes Mozaldo do Espírito Santo Aguiar - Processos de Transferência e Resistência – 30H - Nota Máxima: 3")</f>
        <v>Pós-Graduação em Psicanálise - Pós-Graduação em Psicanálise - Tatiane Nunes Mozaldo do Espírito Santo Aguiar - Processos de Transferência e Resistência – 30H - Nota Máxima: 3</v>
      </c>
    </row>
    <row r="7747">
      <c r="A7747" s="390" t="str">
        <f>IFERROR(__xludf.DUMMYFUNCTION("""COMPUTED_VALUE"""),"Pós-Graduação em Psicanálise - Pós-Graduação em Psicanálise - Tatiane Nunes Mozaldo do Espírito Santo Aguiar - Psicanálise da Criança e do Adolescente – 40H - Nota Máxima: 9")</f>
        <v>Pós-Graduação em Psicanálise - Pós-Graduação em Psicanálise - Tatiane Nunes Mozaldo do Espírito Santo Aguiar - Psicanálise da Criança e do Adolescente – 40H - Nota Máxima: 9</v>
      </c>
    </row>
    <row r="7748">
      <c r="A7748" s="390" t="str">
        <f>IFERROR(__xludf.DUMMYFUNCTION("""COMPUTED_VALUE"""),"Pós-Graduação em Psicanálise - Pós-Graduação em Psicanálise - Tatiane Nunes Mozaldo do Espírito Santo Aguiar - Psicanálise da Criança e do Adolescente – 40H - Nota Máxima: 2")</f>
        <v>Pós-Graduação em Psicanálise - Pós-Graduação em Psicanálise - Tatiane Nunes Mozaldo do Espírito Santo Aguiar - Psicanálise da Criança e do Adolescente – 40H - Nota Máxima: 2</v>
      </c>
    </row>
    <row r="7749">
      <c r="A7749" s="390" t="str">
        <f>IFERROR(__xludf.DUMMYFUNCTION("""COMPUTED_VALUE"""),"Pós-Graduação em Psicanálise - Pós-Graduação em Psicanálise - Tatiane Nunes Mozaldo do Espírito Santo Aguiar - Psicanálise II – 50H - Nota Máxima: 10")</f>
        <v>Pós-Graduação em Psicanálise - Pós-Graduação em Psicanálise - Tatiane Nunes Mozaldo do Espírito Santo Aguiar - Psicanálise II – 50H - Nota Máxima: 10</v>
      </c>
    </row>
    <row r="7750">
      <c r="A7750" s="390" t="str">
        <f>IFERROR(__xludf.DUMMYFUNCTION("""COMPUTED_VALUE"""),"Pós-Graduação em Psicanálise - Pós-Graduação em Psicanálise - Tatiane Nunes Mozaldo do Espírito Santo Aguiar - Psicanálise II – 50H - Nota Máxima: 4")</f>
        <v>Pós-Graduação em Psicanálise - Pós-Graduação em Psicanálise - Tatiane Nunes Mozaldo do Espírito Santo Aguiar - Psicanálise II – 50H - Nota Máxima: 4</v>
      </c>
    </row>
    <row r="7751">
      <c r="A7751" s="390" t="str">
        <f>IFERROR(__xludf.DUMMYFUNCTION("""COMPUTED_VALUE"""),"Pós-Graduação em Psicanálise - Pós-Graduação em Psicanálise - Tatiane Nunes Mozaldo do Espírito Santo Aguiar - Psicopatologias I – 40H - Nota Máxima: 9")</f>
        <v>Pós-Graduação em Psicanálise - Pós-Graduação em Psicanálise - Tatiane Nunes Mozaldo do Espírito Santo Aguiar - Psicopatologias I – 40H - Nota Máxima: 9</v>
      </c>
    </row>
    <row r="7752">
      <c r="A7752" s="390" t="str">
        <f>IFERROR(__xludf.DUMMYFUNCTION("""COMPUTED_VALUE"""),"Pós-Graduação em Psicanálise - Pós-Graduação em Psicanálise - Tatiane Nunes Mozaldo do Espírito Santo Aguiar - Psicopatologias I – 40H - Nota Máxima: 3")</f>
        <v>Pós-Graduação em Psicanálise - Pós-Graduação em Psicanálise - Tatiane Nunes Mozaldo do Espírito Santo Aguiar - Psicopatologias I – 40H - Nota Máxima: 3</v>
      </c>
    </row>
    <row r="7753">
      <c r="A7753" s="390" t="str">
        <f>IFERROR(__xludf.DUMMYFUNCTION("""COMPUTED_VALUE"""),"Pós-Graduação em Psicanálise - Pós-Graduação em Psicanálise - Tatiane Nunes Mozaldo do Espírito Santo Aguiar - Psicopatologias II – 50H - Nota Máxima: 10")</f>
        <v>Pós-Graduação em Psicanálise - Pós-Graduação em Psicanálise - Tatiane Nunes Mozaldo do Espírito Santo Aguiar - Psicopatologias II – 50H - Nota Máxima: 10</v>
      </c>
    </row>
    <row r="7754">
      <c r="A7754" s="390" t="str">
        <f>IFERROR(__xludf.DUMMYFUNCTION("""COMPUTED_VALUE"""),"Pós-Graduação em Psicanálise - Pós-Graduação em Psicanálise - Tatiane Nunes Mozaldo do Espírito Santo Aguiar - Psicopatologias II – 50H - Nota Máxima: 3")</f>
        <v>Pós-Graduação em Psicanálise - Pós-Graduação em Psicanálise - Tatiane Nunes Mozaldo do Espírito Santo Aguiar - Psicopatologias II – 50H - Nota Máxima: 3</v>
      </c>
    </row>
    <row r="7755">
      <c r="A7755" s="390" t="str">
        <f>IFERROR(__xludf.DUMMYFUNCTION("""COMPUTED_VALUE"""),"Pós-Graduação em Psicanálise - Pós-Graduação em Psicanálise - Tatiane Nunes Mozaldo do Espírito Santo Aguiar - Sonhos, Simbologia e Representação – 50H - Nota Máxima: 10")</f>
        <v>Pós-Graduação em Psicanálise - Pós-Graduação em Psicanálise - Tatiane Nunes Mozaldo do Espírito Santo Aguiar - Sonhos, Simbologia e Representação – 50H - Nota Máxima: 10</v>
      </c>
    </row>
    <row r="7756">
      <c r="A7756" s="390" t="str">
        <f>IFERROR(__xludf.DUMMYFUNCTION("""COMPUTED_VALUE"""),"Pós-Graduação em Psicanálise - Pós-Graduação em Psicanálise - Tatiane Nunes Mozaldo do Espírito Santo Aguiar - Sonhos, Simbologia e Representação – 50H - Nota Máxima: 2")</f>
        <v>Pós-Graduação em Psicanálise - Pós-Graduação em Psicanálise - Tatiane Nunes Mozaldo do Espírito Santo Aguiar - Sonhos, Simbologia e Representação – 50H - Nota Máxima: 2</v>
      </c>
    </row>
    <row r="7757">
      <c r="A7757" s="390" t="str">
        <f>IFERROR(__xludf.DUMMYFUNCTION("""COMPUTED_VALUE"""),"Pós-Graduação em Psicanálise - Pós-Graduação em Psicanálise - Tatiane Nunes Mozaldo do Espírito Santo Aguiar - Tópicos Avançados em Clínica – 40H - Nota Máxima: 9")</f>
        <v>Pós-Graduação em Psicanálise - Pós-Graduação em Psicanálise - Tatiane Nunes Mozaldo do Espírito Santo Aguiar - Tópicos Avançados em Clínica – 40H - Nota Máxima: 9</v>
      </c>
    </row>
    <row r="7758">
      <c r="A7758" s="390" t="str">
        <f>IFERROR(__xludf.DUMMYFUNCTION("""COMPUTED_VALUE"""),"Pós-Graduação em Psicanálise - Pós-Graduação em Psicanálise - Tatiane Nunes Mozaldo do Espírito Santo Aguiar - Tópicos Avançados em Clínica – 40H - Nota Máxima: 4")</f>
        <v>Pós-Graduação em Psicanálise - Pós-Graduação em Psicanálise - Tatiane Nunes Mozaldo do Espírito Santo Aguiar - Tópicos Avançados em Clínica – 40H - Nota Máxima: 4</v>
      </c>
    </row>
    <row r="7759">
      <c r="A7759" s="390" t="str">
        <f>IFERROR(__xludf.DUMMYFUNCTION("""COMPUTED_VALUE"""),"Pós-Graduação em Psicanálise - Pós-Graduação em Psicanálise - Tatiane Nunes Mozaldo do Espírito Santo Aguiar - Tópicos Avançados em Sexualidade – 40H - Nota Máxima: 10")</f>
        <v>Pós-Graduação em Psicanálise - Pós-Graduação em Psicanálise - Tatiane Nunes Mozaldo do Espírito Santo Aguiar - Tópicos Avançados em Sexualidade – 40H - Nota Máxima: 10</v>
      </c>
    </row>
    <row r="7760">
      <c r="A7760" s="390" t="str">
        <f>IFERROR(__xludf.DUMMYFUNCTION("""COMPUTED_VALUE"""),"Pós-Graduação em Psicanálise - Pós-Graduação em Psicanálise - Tatiane Nunes Mozaldo do Espírito Santo Aguiar - Tópicos Avançados em Sexualidade – 40H - Nota Máxima: 0")</f>
        <v>Pós-Graduação em Psicanálise - Pós-Graduação em Psicanálise - Tatiane Nunes Mozaldo do Espírito Santo Aguiar - Tópicos Avançados em Sexualidade – 40H - Nota Máxima: 0</v>
      </c>
    </row>
    <row r="7761">
      <c r="A7761" s="390" t="str">
        <f>IFERROR(__xludf.DUMMYFUNCTION("""COMPUTED_VALUE"""),"Pós-Graduação em Psicanálise - Pós-Graduação em Psicanálise - Manuel Carneiro de Andrade - Complexo de Édipo e Castração - Nota Máxima: 9")</f>
        <v>Pós-Graduação em Psicanálise - Pós-Graduação em Psicanálise - Manuel Carneiro de Andrade - Complexo de Édipo e Castração - Nota Máxima: 9</v>
      </c>
    </row>
    <row r="7762">
      <c r="A7762" s="390" t="str">
        <f>IFERROR(__xludf.DUMMYFUNCTION("""COMPUTED_VALUE"""),"Pós-Graduação em Psicanálise - Pós-Graduação em Psicanálise - Manuel Carneiro de Andrade - Complexo de Édipo e Castração - Nota Máxima: 9")</f>
        <v>Pós-Graduação em Psicanálise - Pós-Graduação em Psicanálise - Manuel Carneiro de Andrade - Complexo de Édipo e Castração - Nota Máxima: 9</v>
      </c>
    </row>
    <row r="7763">
      <c r="A7763" s="390" t="str">
        <f>IFERROR(__xludf.DUMMYFUNCTION("""COMPUTED_VALUE"""),"Pós-Graduação em Psicanálise - Pós-Graduação em Psicanálise - Manuel Carneiro de Andrade - Formação e Ética do Psicanalista – 30H - Nota Máxima: 8")</f>
        <v>Pós-Graduação em Psicanálise - Pós-Graduação em Psicanálise - Manuel Carneiro de Andrade - Formação e Ética do Psicanalista – 30H - Nota Máxima: 8</v>
      </c>
    </row>
    <row r="7764">
      <c r="A7764" s="390" t="str">
        <f>IFERROR(__xludf.DUMMYFUNCTION("""COMPUTED_VALUE"""),"Pós-Graduação em Psicanálise - Pós-Graduação em Psicanálise - Manuel Carneiro de Andrade - Formação e Ética do Psicanalista – 30H - Nota Máxima: 9")</f>
        <v>Pós-Graduação em Psicanálise - Pós-Graduação em Psicanálise - Manuel Carneiro de Andrade - Formação e Ética do Psicanalista – 30H - Nota Máxima: 9</v>
      </c>
    </row>
    <row r="7765">
      <c r="A7765" s="390" t="str">
        <f>IFERROR(__xludf.DUMMYFUNCTION("""COMPUTED_VALUE"""),"Pós-Graduação em Psicanálise - Pós-Graduação em Psicanálise - Manuel Carneiro de Andrade - Introdução à EAD - 30H - Nota Máxima: 10")</f>
        <v>Pós-Graduação em Psicanálise - Pós-Graduação em Psicanálise - Manuel Carneiro de Andrade - Introdução à EAD - 30H - Nota Máxima: 10</v>
      </c>
    </row>
    <row r="7766">
      <c r="A7766" s="390" t="str">
        <f>IFERROR(__xludf.DUMMYFUNCTION("""COMPUTED_VALUE"""),"Pós-Graduação em Psicanálise - Pós-Graduação em Psicanálise - Manuel Carneiro de Andrade - Introdução à EAD - 30H - Nota Máxima: 5")</f>
        <v>Pós-Graduação em Psicanálise - Pós-Graduação em Psicanálise - Manuel Carneiro de Andrade - Introdução à EAD - 30H - Nota Máxima: 5</v>
      </c>
    </row>
    <row r="7767">
      <c r="A7767" s="390" t="str">
        <f>IFERROR(__xludf.DUMMYFUNCTION("""COMPUTED_VALUE"""),"Pós-Graduação em Psicanálise - Pós-Graduação em Psicanálise - Manuel Carneiro de Andrade - Introdução à Psicanálise – 40H - Nota Máxima: 10")</f>
        <v>Pós-Graduação em Psicanálise - Pós-Graduação em Psicanálise - Manuel Carneiro de Andrade - Introdução à Psicanálise – 40H - Nota Máxima: 10</v>
      </c>
    </row>
    <row r="7768">
      <c r="A7768" s="390" t="str">
        <f>IFERROR(__xludf.DUMMYFUNCTION("""COMPUTED_VALUE"""),"Pós-Graduação em Psicanálise - Pós-Graduação em Psicanálise - Manuel Carneiro de Andrade - Introdução à Psicanálise – 40H - Nota Máxima: 9")</f>
        <v>Pós-Graduação em Psicanálise - Pós-Graduação em Psicanálise - Manuel Carneiro de Andrade - Introdução à Psicanálise – 40H - Nota Máxima: 9</v>
      </c>
    </row>
    <row r="7769">
      <c r="A7769" s="390" t="str">
        <f>IFERROR(__xludf.DUMMYFUNCTION("""COMPUTED_VALUE"""),"Pós-Graduação em Psicanálise - Pós-Graduação em Psicanálise - Manuel Carneiro de Andrade - Libido, Pulsões e Sexualidade – 50H - Nota Máxima: 10")</f>
        <v>Pós-Graduação em Psicanálise - Pós-Graduação em Psicanálise - Manuel Carneiro de Andrade - Libido, Pulsões e Sexualidade – 50H - Nota Máxima: 10</v>
      </c>
    </row>
    <row r="7770">
      <c r="A7770" s="390" t="str">
        <f>IFERROR(__xludf.DUMMYFUNCTION("""COMPUTED_VALUE"""),"Pós-Graduação em Psicanálise - Pós-Graduação em Psicanálise - Manuel Carneiro de Andrade - Libido, Pulsões e Sexualidade – 50H - Nota Máxima: 10")</f>
        <v>Pós-Graduação em Psicanálise - Pós-Graduação em Psicanálise - Manuel Carneiro de Andrade - Libido, Pulsões e Sexualidade – 50H - Nota Máxima: 10</v>
      </c>
    </row>
    <row r="7771">
      <c r="A7771" s="390" t="str">
        <f>IFERROR(__xludf.DUMMYFUNCTION("""COMPUTED_VALUE"""),"Pós-Graduação em Psicanálise - Pós-Graduação em Psicanálise - Manuel Carneiro de Andrade - Narcisismo e a Cultura da Indiferença – 40H - Nota Máxima: 10")</f>
        <v>Pós-Graduação em Psicanálise - Pós-Graduação em Psicanálise - Manuel Carneiro de Andrade - Narcisismo e a Cultura da Indiferença – 40H - Nota Máxima: 10</v>
      </c>
    </row>
    <row r="7772">
      <c r="A7772" s="390" t="str">
        <f>IFERROR(__xludf.DUMMYFUNCTION("""COMPUTED_VALUE"""),"Pós-Graduação em Psicanálise - Pós-Graduação em Psicanálise - Manuel Carneiro de Andrade - Narcisismo e a Cultura da Indiferença – 40H - Nota Máxima: 7")</f>
        <v>Pós-Graduação em Psicanálise - Pós-Graduação em Psicanálise - Manuel Carneiro de Andrade - Narcisismo e a Cultura da Indiferença – 40H - Nota Máxima: 7</v>
      </c>
    </row>
    <row r="7773">
      <c r="A7773" s="390" t="str">
        <f>IFERROR(__xludf.DUMMYFUNCTION("""COMPUTED_VALUE"""),"Pós-Graduação em Psicanálise - Pós-Graduação em Psicanálise - Manuel Carneiro de Andrade - O Aparelho psíquico, aspectos clínicos e Teóricos – 40H - Nota Máxima: 8")</f>
        <v>Pós-Graduação em Psicanálise - Pós-Graduação em Psicanálise - Manuel Carneiro de Andrade - O Aparelho psíquico, aspectos clínicos e Teóricos – 40H - Nota Máxima: 8</v>
      </c>
    </row>
    <row r="7774">
      <c r="A7774" s="390" t="str">
        <f>IFERROR(__xludf.DUMMYFUNCTION("""COMPUTED_VALUE"""),"Pós-Graduação em Psicanálise - Pós-Graduação em Psicanálise - Manuel Carneiro de Andrade - O Aparelho psíquico, aspectos clínicos e Teóricos – 40H - Nota Máxima: 7")</f>
        <v>Pós-Graduação em Psicanálise - Pós-Graduação em Psicanálise - Manuel Carneiro de Andrade - O Aparelho psíquico, aspectos clínicos e Teóricos – 40H - Nota Máxima: 7</v>
      </c>
    </row>
    <row r="7775">
      <c r="A7775" s="390" t="str">
        <f>IFERROR(__xludf.DUMMYFUNCTION("""COMPUTED_VALUE"""),"Pós-Graduação em Psicanálise - Pós-Graduação em Psicanálise - Manuel Carneiro de Andrade - O Método Psicanalítico – 50H - Nota Máxima: 10")</f>
        <v>Pós-Graduação em Psicanálise - Pós-Graduação em Psicanálise - Manuel Carneiro de Andrade - O Método Psicanalítico – 50H - Nota Máxima: 10</v>
      </c>
    </row>
    <row r="7776">
      <c r="A7776" s="390" t="str">
        <f>IFERROR(__xludf.DUMMYFUNCTION("""COMPUTED_VALUE"""),"Pós-Graduação em Psicanálise - Pós-Graduação em Psicanálise - Manuel Carneiro de Andrade - O Método Psicanalítico – 50H - Nota Máxima: 10")</f>
        <v>Pós-Graduação em Psicanálise - Pós-Graduação em Psicanálise - Manuel Carneiro de Andrade - O Método Psicanalítico – 50H - Nota Máxima: 10</v>
      </c>
    </row>
    <row r="7777">
      <c r="A7777" s="390" t="str">
        <f>IFERROR(__xludf.DUMMYFUNCTION("""COMPUTED_VALUE"""),"Pós-Graduação em Psicanálise - Pós-Graduação em Psicanálise - Manuel Carneiro de Andrade - Práticas e Procedimentos em Clínica – 30H - Nota Máxima: 10")</f>
        <v>Pós-Graduação em Psicanálise - Pós-Graduação em Psicanálise - Manuel Carneiro de Andrade - Práticas e Procedimentos em Clínica – 30H - Nota Máxima: 10</v>
      </c>
    </row>
    <row r="7778">
      <c r="A7778" s="390" t="str">
        <f>IFERROR(__xludf.DUMMYFUNCTION("""COMPUTED_VALUE"""),"Pós-Graduação em Psicanálise - Pós-Graduação em Psicanálise - Manuel Carneiro de Andrade - Práticas e Procedimentos em Clínica – 30H - Nota Máxima: 10")</f>
        <v>Pós-Graduação em Psicanálise - Pós-Graduação em Psicanálise - Manuel Carneiro de Andrade - Práticas e Procedimentos em Clínica – 30H - Nota Máxima: 10</v>
      </c>
    </row>
    <row r="7779">
      <c r="A7779" s="390" t="str">
        <f>IFERROR(__xludf.DUMMYFUNCTION("""COMPUTED_VALUE"""),"Pós-Graduação em Psicanálise - Pós-Graduação em Psicanálise - Manuel Carneiro de Andrade - Processos de Transferência e Resistência – 30H - Nota Máxima: 9")</f>
        <v>Pós-Graduação em Psicanálise - Pós-Graduação em Psicanálise - Manuel Carneiro de Andrade - Processos de Transferência e Resistência – 30H - Nota Máxima: 9</v>
      </c>
    </row>
    <row r="7780">
      <c r="A7780" s="390" t="str">
        <f>IFERROR(__xludf.DUMMYFUNCTION("""COMPUTED_VALUE"""),"Pós-Graduação em Psicanálise - Pós-Graduação em Psicanálise - Manuel Carneiro de Andrade - Processos de Transferência e Resistência – 30H - Nota Máxima: 9")</f>
        <v>Pós-Graduação em Psicanálise - Pós-Graduação em Psicanálise - Manuel Carneiro de Andrade - Processos de Transferência e Resistência – 30H - Nota Máxima: 9</v>
      </c>
    </row>
    <row r="7781">
      <c r="A7781" s="390" t="str">
        <f>IFERROR(__xludf.DUMMYFUNCTION("""COMPUTED_VALUE"""),"Pós-Graduação em Psicanálise - Pós-Graduação em Psicanálise - Manuel Carneiro de Andrade - Psicanálise da Criança e do Adolescente – 40H - Nota Máxima: 10")</f>
        <v>Pós-Graduação em Psicanálise - Pós-Graduação em Psicanálise - Manuel Carneiro de Andrade - Psicanálise da Criança e do Adolescente – 40H - Nota Máxima: 10</v>
      </c>
    </row>
    <row r="7782">
      <c r="A7782" s="390" t="str">
        <f>IFERROR(__xludf.DUMMYFUNCTION("""COMPUTED_VALUE"""),"Pós-Graduação em Psicanálise - Pós-Graduação em Psicanálise - Manuel Carneiro de Andrade - Psicanálise da Criança e do Adolescente – 40H - Nota Máxima: 10")</f>
        <v>Pós-Graduação em Psicanálise - Pós-Graduação em Psicanálise - Manuel Carneiro de Andrade - Psicanálise da Criança e do Adolescente – 40H - Nota Máxima: 10</v>
      </c>
    </row>
    <row r="7783">
      <c r="A7783" s="390" t="str">
        <f>IFERROR(__xludf.DUMMYFUNCTION("""COMPUTED_VALUE"""),"Pós-Graduação em Psicanálise - Pós-Graduação em Psicanálise - Manuel Carneiro de Andrade - Psicanálise II – 50H - Nota Máxima: 9")</f>
        <v>Pós-Graduação em Psicanálise - Pós-Graduação em Psicanálise - Manuel Carneiro de Andrade - Psicanálise II – 50H - Nota Máxima: 9</v>
      </c>
    </row>
    <row r="7784">
      <c r="A7784" s="390" t="str">
        <f>IFERROR(__xludf.DUMMYFUNCTION("""COMPUTED_VALUE"""),"Pós-Graduação em Psicanálise - Pós-Graduação em Psicanálise - Manuel Carneiro de Andrade - Psicanálise II – 50H - Nota Máxima: 10")</f>
        <v>Pós-Graduação em Psicanálise - Pós-Graduação em Psicanálise - Manuel Carneiro de Andrade - Psicanálise II – 50H - Nota Máxima: 10</v>
      </c>
    </row>
    <row r="7785">
      <c r="A7785" s="390" t="str">
        <f>IFERROR(__xludf.DUMMYFUNCTION("""COMPUTED_VALUE"""),"Pós-Graduação em Psicanálise - Pós-Graduação em Psicanálise - Manuel Carneiro de Andrade - Psicopatologias I – 40H - Nota Máxima: 10")</f>
        <v>Pós-Graduação em Psicanálise - Pós-Graduação em Psicanálise - Manuel Carneiro de Andrade - Psicopatologias I – 40H - Nota Máxima: 10</v>
      </c>
    </row>
    <row r="7786">
      <c r="A7786" s="390" t="str">
        <f>IFERROR(__xludf.DUMMYFUNCTION("""COMPUTED_VALUE"""),"Pós-Graduação em Psicanálise - Pós-Graduação em Psicanálise - Manuel Carneiro de Andrade - Psicopatologias II – 50H - Nota Máxima: 10")</f>
        <v>Pós-Graduação em Psicanálise - Pós-Graduação em Psicanálise - Manuel Carneiro de Andrade - Psicopatologias II – 50H - Nota Máxima: 10</v>
      </c>
    </row>
    <row r="7787">
      <c r="A7787" s="390" t="str">
        <f>IFERROR(__xludf.DUMMYFUNCTION("""COMPUTED_VALUE"""),"Pós-Graduação em Psicanálise - Pós-Graduação em Psicanálise - Manuel Carneiro de Andrade - Psicopatologias II – 50H - Nota Máxima: 10")</f>
        <v>Pós-Graduação em Psicanálise - Pós-Graduação em Psicanálise - Manuel Carneiro de Andrade - Psicopatologias II – 50H - Nota Máxima: 10</v>
      </c>
    </row>
    <row r="7788">
      <c r="A7788" s="390" t="str">
        <f>IFERROR(__xludf.DUMMYFUNCTION("""COMPUTED_VALUE"""),"Pós-Graduação em Psicanálise - Pós-Graduação em Psicanálise - Manuel Carneiro de Andrade - Sonhos, Simbologia e Representação – 50H - Nota Máxima: 8")</f>
        <v>Pós-Graduação em Psicanálise - Pós-Graduação em Psicanálise - Manuel Carneiro de Andrade - Sonhos, Simbologia e Representação – 50H - Nota Máxima: 8</v>
      </c>
    </row>
    <row r="7789">
      <c r="A7789" s="390" t="str">
        <f>IFERROR(__xludf.DUMMYFUNCTION("""COMPUTED_VALUE"""),"Pós-Graduação em Psicanálise - Pós-Graduação em Psicanálise - Manuel Carneiro de Andrade - Sonhos, Simbologia e Representação – 50H - Nota Máxima: 10")</f>
        <v>Pós-Graduação em Psicanálise - Pós-Graduação em Psicanálise - Manuel Carneiro de Andrade - Sonhos, Simbologia e Representação – 50H - Nota Máxima: 10</v>
      </c>
    </row>
    <row r="7790">
      <c r="A7790" s="390" t="str">
        <f>IFERROR(__xludf.DUMMYFUNCTION("""COMPUTED_VALUE"""),"Pós-Graduação em Psicanálise - Pós-Graduação em Psicanálise - Manuel Carneiro de Andrade - Tópicos Avançados em Clínica – 40H - Nota Máxima: 10")</f>
        <v>Pós-Graduação em Psicanálise - Pós-Graduação em Psicanálise - Manuel Carneiro de Andrade - Tópicos Avançados em Clínica – 40H - Nota Máxima: 10</v>
      </c>
    </row>
    <row r="7791">
      <c r="A7791" s="390" t="str">
        <f>IFERROR(__xludf.DUMMYFUNCTION("""COMPUTED_VALUE"""),"Pós-Graduação em Psicanálise - Pós-Graduação em Psicanálise - Manuel Carneiro de Andrade - Tópicos Avançados em Clínica – 40H - Nota Máxima: 10")</f>
        <v>Pós-Graduação em Psicanálise - Pós-Graduação em Psicanálise - Manuel Carneiro de Andrade - Tópicos Avançados em Clínica – 40H - Nota Máxima: 10</v>
      </c>
    </row>
    <row r="7792">
      <c r="A7792" s="390" t="str">
        <f>IFERROR(__xludf.DUMMYFUNCTION("""COMPUTED_VALUE"""),"Pós-Graduação em Psicanálise - Pós-Graduação em Psicanálise - Manuel Carneiro de Andrade - Tópicos Avançados em Sexualidade – 40H - Nota Máxima: 10")</f>
        <v>Pós-Graduação em Psicanálise - Pós-Graduação em Psicanálise - Manuel Carneiro de Andrade - Tópicos Avançados em Sexualidade – 40H - Nota Máxima: 10</v>
      </c>
    </row>
    <row r="7793">
      <c r="A7793" s="390" t="str">
        <f>IFERROR(__xludf.DUMMYFUNCTION("""COMPUTED_VALUE"""),"Pós-Graduação em Psicanálise - Pós-Graduação em Psicanálise - Manuel Carneiro de Andrade - Tópicos Avançados em Sexualidade – 40H - Nota Máxima: 10")</f>
        <v>Pós-Graduação em Psicanálise - Pós-Graduação em Psicanálise - Manuel Carneiro de Andrade - Tópicos Avançados em Sexualidade – 40H - Nota Máxima: 10</v>
      </c>
    </row>
    <row r="7794">
      <c r="A7794" s="390" t="str">
        <f>IFERROR(__xludf.DUMMYFUNCTION("""COMPUTED_VALUE"""),"Pós-Graduação em Psicanálise - Pós-Graduação em Psicanálise - Rosangela Rosas Teixeira - Introdução à Psicanálise – 40H - Nota Máxima: 8")</f>
        <v>Pós-Graduação em Psicanálise - Pós-Graduação em Psicanálise - Rosangela Rosas Teixeira - Introdução à Psicanálise – 40H - Nota Máxima: 8</v>
      </c>
    </row>
    <row r="7795">
      <c r="A7795" s="390" t="str">
        <f>IFERROR(__xludf.DUMMYFUNCTION("""COMPUTED_VALUE"""),"Pós-Graduação em Psicanálise - Pós-Graduação em Psicanálise - Teste Waldiney Junior - Libido, Pulsões e Sexualidade – 50H - Nota Máxima: 6")</f>
        <v>Pós-Graduação em Psicanálise - Pós-Graduação em Psicanálise - Teste Waldiney Junior - Libido, Pulsões e Sexualidade – 50H - Nota Máxima: 6</v>
      </c>
    </row>
    <row r="7796">
      <c r="A7796" s="390" t="str">
        <f>IFERROR(__xludf.DUMMYFUNCTION("""COMPUTED_VALUE"""),"Pós-Graduação em Psicanálise - Pós-Graduação em Psicanálise - Teste Waldiney Junior - Tópicos Avançados em Sexualidade – 40H - Nota Máxima: 2")</f>
        <v>Pós-Graduação em Psicanálise - Pós-Graduação em Psicanálise - Teste Waldiney Junior - Tópicos Avançados em Sexualidade – 40H - Nota Máxima: 2</v>
      </c>
    </row>
    <row r="7797">
      <c r="A7797" s="390" t="str">
        <f>IFERROR(__xludf.DUMMYFUNCTION("""COMPUTED_VALUE"""),"Pós-Graduação em Psicanálise - Pós-Graduação em Psicanálise - Jean Magno Rodrigues - Complexo de Édipo e Castração - Nota Máxima: 10")</f>
        <v>Pós-Graduação em Psicanálise - Pós-Graduação em Psicanálise - Jean Magno Rodrigues - Complexo de Édipo e Castração - Nota Máxima: 10</v>
      </c>
    </row>
    <row r="7798">
      <c r="A7798" s="390" t="str">
        <f>IFERROR(__xludf.DUMMYFUNCTION("""COMPUTED_VALUE"""),"Pós-Graduação em Psicanálise - Pós-Graduação em Psicanálise - Jean Magno Rodrigues - Complexo de Édipo e Castração - Nota Máxima: 10")</f>
        <v>Pós-Graduação em Psicanálise - Pós-Graduação em Psicanálise - Jean Magno Rodrigues - Complexo de Édipo e Castração - Nota Máxima: 10</v>
      </c>
    </row>
    <row r="7799">
      <c r="A7799" s="390" t="str">
        <f>IFERROR(__xludf.DUMMYFUNCTION("""COMPUTED_VALUE"""),"Pós-Graduação em Psicanálise - Pós-Graduação em Psicanálise - Jean Magno Rodrigues - Educação Especial, Inclusão Escolar e Adaptações Curriculares - Nota Máxima: 10")</f>
        <v>Pós-Graduação em Psicanálise - Pós-Graduação em Psicanálise - Jean Magno Rodrigues - Educação Especial, Inclusão Escolar e Adaptações Curriculares - Nota Máxima: 10</v>
      </c>
    </row>
    <row r="7800">
      <c r="A7800" s="390" t="str">
        <f>IFERROR(__xludf.DUMMYFUNCTION("""COMPUTED_VALUE"""),"Pós-Graduação em Psicanálise - Pós-Graduação em Psicanálise - Jean Magno Rodrigues - Educação Especial, Inclusão Escolar e Adaptações Curriculares - Nota Máxima: 10")</f>
        <v>Pós-Graduação em Psicanálise - Pós-Graduação em Psicanálise - Jean Magno Rodrigues - Educação Especial, Inclusão Escolar e Adaptações Curriculares - Nota Máxima: 10</v>
      </c>
    </row>
    <row r="7801">
      <c r="A7801" s="390" t="str">
        <f>IFERROR(__xludf.DUMMYFUNCTION("""COMPUTED_VALUE"""),"Pós-Graduação em Psicanálise - Pós-Graduação em Psicanálise - Jean Magno Rodrigues - Formação e Ética do Psicanalista – 30H - Nota Máxima: 10")</f>
        <v>Pós-Graduação em Psicanálise - Pós-Graduação em Psicanálise - Jean Magno Rodrigues - Formação e Ética do Psicanalista – 30H - Nota Máxima: 10</v>
      </c>
    </row>
    <row r="7802">
      <c r="A7802" s="390" t="str">
        <f>IFERROR(__xludf.DUMMYFUNCTION("""COMPUTED_VALUE"""),"Pós-Graduação em Psicanálise - Pós-Graduação em Psicanálise - Jean Magno Rodrigues - Formação e Ética do Psicanalista – 30H - Nota Máxima: 10")</f>
        <v>Pós-Graduação em Psicanálise - Pós-Graduação em Psicanálise - Jean Magno Rodrigues - Formação e Ética do Psicanalista – 30H - Nota Máxima: 10</v>
      </c>
    </row>
    <row r="7803">
      <c r="A7803" s="390" t="str">
        <f>IFERROR(__xludf.DUMMYFUNCTION("""COMPUTED_VALUE"""),"Pós-Graduação em Psicanálise - Pós-Graduação em Psicanálise - Jean Magno Rodrigues - Introdução à Psicanálise – 40H - Nota Máxima: 10")</f>
        <v>Pós-Graduação em Psicanálise - Pós-Graduação em Psicanálise - Jean Magno Rodrigues - Introdução à Psicanálise – 40H - Nota Máxima: 10</v>
      </c>
    </row>
    <row r="7804">
      <c r="A7804" s="390" t="str">
        <f>IFERROR(__xludf.DUMMYFUNCTION("""COMPUTED_VALUE"""),"Pós-Graduação em Psicanálise - Pós-Graduação em Psicanálise - Jean Magno Rodrigues - Introdução à Psicanálise – 40H - Nota Máxima: 10")</f>
        <v>Pós-Graduação em Psicanálise - Pós-Graduação em Psicanálise - Jean Magno Rodrigues - Introdução à Psicanálise – 40H - Nota Máxima: 10</v>
      </c>
    </row>
    <row r="7805">
      <c r="A7805" s="390" t="str">
        <f>IFERROR(__xludf.DUMMYFUNCTION("""COMPUTED_VALUE"""),"Pós-Graduação em Psicanálise - Pós-Graduação em Psicanálise - Jean Magno Rodrigues - Legislação Educacional/a - Nota Máxima: 10")</f>
        <v>Pós-Graduação em Psicanálise - Pós-Graduação em Psicanálise - Jean Magno Rodrigues - Legislação Educacional/a - Nota Máxima: 10</v>
      </c>
    </row>
    <row r="7806">
      <c r="A7806" s="390" t="str">
        <f>IFERROR(__xludf.DUMMYFUNCTION("""COMPUTED_VALUE"""),"Pós-Graduação em Psicanálise - Pós-Graduação em Psicanálise - Jean Magno Rodrigues - Legislação Educacional/a - Nota Máxima: 10")</f>
        <v>Pós-Graduação em Psicanálise - Pós-Graduação em Psicanálise - Jean Magno Rodrigues - Legislação Educacional/a - Nota Máxima: 10</v>
      </c>
    </row>
    <row r="7807">
      <c r="A7807" s="390" t="str">
        <f>IFERROR(__xludf.DUMMYFUNCTION("""COMPUTED_VALUE"""),"Pós-Graduação em Psicanálise - Pós-Graduação em Psicanálise - Jean Magno Rodrigues - Libido, Pulsões e Sexualidade – 50H - Nota Máxima: 10")</f>
        <v>Pós-Graduação em Psicanálise - Pós-Graduação em Psicanálise - Jean Magno Rodrigues - Libido, Pulsões e Sexualidade – 50H - Nota Máxima: 10</v>
      </c>
    </row>
    <row r="7808">
      <c r="A7808" s="390" t="str">
        <f>IFERROR(__xludf.DUMMYFUNCTION("""COMPUTED_VALUE"""),"Pós-Graduação em Psicanálise - Pós-Graduação em Psicanálise - Jean Magno Rodrigues - Libido, Pulsões e Sexualidade – 50H - Nota Máxima: 10")</f>
        <v>Pós-Graduação em Psicanálise - Pós-Graduação em Psicanálise - Jean Magno Rodrigues - Libido, Pulsões e Sexualidade – 50H - Nota Máxima: 10</v>
      </c>
    </row>
    <row r="7809">
      <c r="A7809" s="390" t="str">
        <f>IFERROR(__xludf.DUMMYFUNCTION("""COMPUTED_VALUE"""),"Pós-Graduação em Psicanálise - Pós-Graduação em Psicanálise - Jean Magno Rodrigues - Narcisismo e a Cultura da Indiferença – 40H - Nota Máxima: 10")</f>
        <v>Pós-Graduação em Psicanálise - Pós-Graduação em Psicanálise - Jean Magno Rodrigues - Narcisismo e a Cultura da Indiferença – 40H - Nota Máxima: 10</v>
      </c>
    </row>
    <row r="7810">
      <c r="A7810" s="390" t="str">
        <f>IFERROR(__xludf.DUMMYFUNCTION("""COMPUTED_VALUE"""),"Pós-Graduação em Psicanálise - Pós-Graduação em Psicanálise - Jean Magno Rodrigues - Narcisismo e a Cultura da Indiferença – 40H - Nota Máxima: 10")</f>
        <v>Pós-Graduação em Psicanálise - Pós-Graduação em Psicanálise - Jean Magno Rodrigues - Narcisismo e a Cultura da Indiferença – 40H - Nota Máxima: 10</v>
      </c>
    </row>
    <row r="7811">
      <c r="A7811" s="390" t="str">
        <f>IFERROR(__xludf.DUMMYFUNCTION("""COMPUTED_VALUE"""),"Pós-Graduação em Psicanálise - Pós-Graduação em Psicanálise - Jean Magno Rodrigues - O Aparelho psíquico, aspectos clínicos e Teóricos – 40H - Nota Máxima: 10")</f>
        <v>Pós-Graduação em Psicanálise - Pós-Graduação em Psicanálise - Jean Magno Rodrigues - O Aparelho psíquico, aspectos clínicos e Teóricos – 40H - Nota Máxima: 10</v>
      </c>
    </row>
    <row r="7812">
      <c r="A7812" s="390" t="str">
        <f>IFERROR(__xludf.DUMMYFUNCTION("""COMPUTED_VALUE"""),"Pós-Graduação em Psicanálise - Pós-Graduação em Psicanálise - Jean Magno Rodrigues - O Aparelho psíquico, aspectos clínicos e Teóricos – 40H - Nota Máxima: 10")</f>
        <v>Pós-Graduação em Psicanálise - Pós-Graduação em Psicanálise - Jean Magno Rodrigues - O Aparelho psíquico, aspectos clínicos e Teóricos – 40H - Nota Máxima: 10</v>
      </c>
    </row>
    <row r="7813">
      <c r="A7813" s="390" t="str">
        <f>IFERROR(__xludf.DUMMYFUNCTION("""COMPUTED_VALUE"""),"Pós-Graduação em Psicanálise - Pós-Graduação em Psicanálise - Jean Magno Rodrigues - O Método Psicanalítico – 50H - Nota Máxima: 10")</f>
        <v>Pós-Graduação em Psicanálise - Pós-Graduação em Psicanálise - Jean Magno Rodrigues - O Método Psicanalítico – 50H - Nota Máxima: 10</v>
      </c>
    </row>
    <row r="7814">
      <c r="A7814" s="390" t="str">
        <f>IFERROR(__xludf.DUMMYFUNCTION("""COMPUTED_VALUE"""),"Pós-Graduação em Psicanálise - Pós-Graduação em Psicanálise - Jean Magno Rodrigues - O Método Psicanalítico – 50H - Nota Máxima: 10")</f>
        <v>Pós-Graduação em Psicanálise - Pós-Graduação em Psicanálise - Jean Magno Rodrigues - O Método Psicanalítico – 50H - Nota Máxima: 10</v>
      </c>
    </row>
    <row r="7815">
      <c r="A7815" s="390" t="str">
        <f>IFERROR(__xludf.DUMMYFUNCTION("""COMPUTED_VALUE"""),"Pós-Graduação em Psicanálise - Pós-Graduação em Psicanálise - Jean Magno Rodrigues - Planejamento, Gestão Educacional e Currículo/a - Nota Máxima: 9")</f>
        <v>Pós-Graduação em Psicanálise - Pós-Graduação em Psicanálise - Jean Magno Rodrigues - Planejamento, Gestão Educacional e Currículo/a - Nota Máxima: 9</v>
      </c>
    </row>
    <row r="7816">
      <c r="A7816" s="390" t="str">
        <f>IFERROR(__xludf.DUMMYFUNCTION("""COMPUTED_VALUE"""),"Pós-Graduação em Psicanálise - Pós-Graduação em Psicanálise - Jean Magno Rodrigues - Planejamento, Gestão Educacional e Currículo/a - Nota Máxima: 8")</f>
        <v>Pós-Graduação em Psicanálise - Pós-Graduação em Psicanálise - Jean Magno Rodrigues - Planejamento, Gestão Educacional e Currículo/a - Nota Máxima: 8</v>
      </c>
    </row>
    <row r="7817">
      <c r="A7817" s="390" t="str">
        <f>IFERROR(__xludf.DUMMYFUNCTION("""COMPUTED_VALUE"""),"Pós-Graduação em Psicanálise - Pós-Graduação em Psicanálise - Jean Magno Rodrigues - Práticas e Procedimentos em Clínica – 30H - Nota Máxima: 10")</f>
        <v>Pós-Graduação em Psicanálise - Pós-Graduação em Psicanálise - Jean Magno Rodrigues - Práticas e Procedimentos em Clínica – 30H - Nota Máxima: 10</v>
      </c>
    </row>
    <row r="7818">
      <c r="A7818" s="390" t="str">
        <f>IFERROR(__xludf.DUMMYFUNCTION("""COMPUTED_VALUE"""),"Pós-Graduação em Psicanálise - Pós-Graduação em Psicanálise - Jean Magno Rodrigues - Práticas e Procedimentos em Clínica – 30H - Nota Máxima: 10")</f>
        <v>Pós-Graduação em Psicanálise - Pós-Graduação em Psicanálise - Jean Magno Rodrigues - Práticas e Procedimentos em Clínica – 30H - Nota Máxima: 10</v>
      </c>
    </row>
    <row r="7819">
      <c r="A7819" s="390" t="str">
        <f>IFERROR(__xludf.DUMMYFUNCTION("""COMPUTED_VALUE"""),"Pós-Graduação em Psicanálise - Pós-Graduação em Psicanálise - Jean Magno Rodrigues - Processos de Transferência e Resistência – 30H - Nota Máxima: 10")</f>
        <v>Pós-Graduação em Psicanálise - Pós-Graduação em Psicanálise - Jean Magno Rodrigues - Processos de Transferência e Resistência – 30H - Nota Máxima: 10</v>
      </c>
    </row>
    <row r="7820">
      <c r="A7820" s="390" t="str">
        <f>IFERROR(__xludf.DUMMYFUNCTION("""COMPUTED_VALUE"""),"Pós-Graduação em Psicanálise - Pós-Graduação em Psicanálise - Jean Magno Rodrigues - Processos de Transferência e Resistência – 30H - Nota Máxima: 10")</f>
        <v>Pós-Graduação em Psicanálise - Pós-Graduação em Psicanálise - Jean Magno Rodrigues - Processos de Transferência e Resistência – 30H - Nota Máxima: 10</v>
      </c>
    </row>
    <row r="7821">
      <c r="A7821" s="390" t="str">
        <f>IFERROR(__xludf.DUMMYFUNCTION("""COMPUTED_VALUE"""),"Pós-Graduação em Psicanálise - Pós-Graduação em Psicanálise - Jean Magno Rodrigues - Psicanálise da Criança e do Adolescente – 40H - Nota Máxima: 10")</f>
        <v>Pós-Graduação em Psicanálise - Pós-Graduação em Psicanálise - Jean Magno Rodrigues - Psicanálise da Criança e do Adolescente – 40H - Nota Máxima: 10</v>
      </c>
    </row>
    <row r="7822">
      <c r="A7822" s="390" t="str">
        <f>IFERROR(__xludf.DUMMYFUNCTION("""COMPUTED_VALUE"""),"Pós-Graduação em Psicanálise - Pós-Graduação em Psicanálise - Jean Magno Rodrigues - Psicanálise da Criança e do Adolescente – 40H - Nota Máxima: 10")</f>
        <v>Pós-Graduação em Psicanálise - Pós-Graduação em Psicanálise - Jean Magno Rodrigues - Psicanálise da Criança e do Adolescente – 40H - Nota Máxima: 10</v>
      </c>
    </row>
    <row r="7823">
      <c r="A7823" s="390" t="str">
        <f>IFERROR(__xludf.DUMMYFUNCTION("""COMPUTED_VALUE"""),"Pós-Graduação em Psicanálise - Pós-Graduação em Psicanálise - Jean Magno Rodrigues - Psicanálise II – 50H - Nota Máxima: 10")</f>
        <v>Pós-Graduação em Psicanálise - Pós-Graduação em Psicanálise - Jean Magno Rodrigues - Psicanálise II – 50H - Nota Máxima: 10</v>
      </c>
    </row>
    <row r="7824">
      <c r="A7824" s="390" t="str">
        <f>IFERROR(__xludf.DUMMYFUNCTION("""COMPUTED_VALUE"""),"Pós-Graduação em Psicanálise - Pós-Graduação em Psicanálise - Jean Magno Rodrigues - Psicanálise II – 50H - Nota Máxima: 10")</f>
        <v>Pós-Graduação em Psicanálise - Pós-Graduação em Psicanálise - Jean Magno Rodrigues - Psicanálise II – 50H - Nota Máxima: 10</v>
      </c>
    </row>
    <row r="7825">
      <c r="A7825" s="390" t="str">
        <f>IFERROR(__xludf.DUMMYFUNCTION("""COMPUTED_VALUE"""),"Pós-Graduação em Psicanálise - Pós-Graduação em Psicanálise - Jean Magno Rodrigues - Psicopatologias I – 40H - Nota Máxima: 10")</f>
        <v>Pós-Graduação em Psicanálise - Pós-Graduação em Psicanálise - Jean Magno Rodrigues - Psicopatologias I – 40H - Nota Máxima: 10</v>
      </c>
    </row>
    <row r="7826">
      <c r="A7826" s="390" t="str">
        <f>IFERROR(__xludf.DUMMYFUNCTION("""COMPUTED_VALUE"""),"Pós-Graduação em Psicanálise - Pós-Graduação em Psicanálise - Jean Magno Rodrigues - Psicopatologias II – 50H - Nota Máxima: 3")</f>
        <v>Pós-Graduação em Psicanálise - Pós-Graduação em Psicanálise - Jean Magno Rodrigues - Psicopatologias II – 50H - Nota Máxima: 3</v>
      </c>
    </row>
    <row r="7827">
      <c r="A7827" s="390" t="str">
        <f>IFERROR(__xludf.DUMMYFUNCTION("""COMPUTED_VALUE"""),"Pós-Graduação em Psicanálise - Pós-Graduação em Psicanálise - Jean Magno Rodrigues - Psicopatologias II – 50H - Nota Máxima: 6")</f>
        <v>Pós-Graduação em Psicanálise - Pós-Graduação em Psicanálise - Jean Magno Rodrigues - Psicopatologias II – 50H - Nota Máxima: 6</v>
      </c>
    </row>
    <row r="7828">
      <c r="A7828" s="390" t="str">
        <f>IFERROR(__xludf.DUMMYFUNCTION("""COMPUTED_VALUE"""),"Pós-Graduação em Psicanálise - Pós-Graduação em Psicanálise - Jean Magno Rodrigues - Sonhos, Simbologia e Representação – 50H - Nota Máxima: 4")</f>
        <v>Pós-Graduação em Psicanálise - Pós-Graduação em Psicanálise - Jean Magno Rodrigues - Sonhos, Simbologia e Representação – 50H - Nota Máxima: 4</v>
      </c>
    </row>
    <row r="7829">
      <c r="A7829" s="390" t="str">
        <f>IFERROR(__xludf.DUMMYFUNCTION("""COMPUTED_VALUE"""),"Pós-Graduação em Psicanálise - Pós-Graduação em Psicanálise - Jean Magno Rodrigues - Sonhos, Simbologia e Representação – 50H - Nota Máxima: 2")</f>
        <v>Pós-Graduação em Psicanálise - Pós-Graduação em Psicanálise - Jean Magno Rodrigues - Sonhos, Simbologia e Representação – 50H - Nota Máxima: 2</v>
      </c>
    </row>
    <row r="7830">
      <c r="A7830" s="390" t="str">
        <f>IFERROR(__xludf.DUMMYFUNCTION("""COMPUTED_VALUE"""),"Pós-Graduação em Psicanálise - Pós-Graduação em Psicanálise - Maria Helena Leite - Complexo de Édipo e Castração - Nota Máxima: 8")</f>
        <v>Pós-Graduação em Psicanálise - Pós-Graduação em Psicanálise - Maria Helena Leite - Complexo de Édipo e Castração - Nota Máxima: 8</v>
      </c>
    </row>
    <row r="7831">
      <c r="A7831" s="390" t="str">
        <f>IFERROR(__xludf.DUMMYFUNCTION("""COMPUTED_VALUE"""),"Pós-Graduação em Psicanálise - Pós-Graduação em Psicanálise - Raniel Ribeiro dos Santos - Formação e Ética do Psicanalista – 30H - Nota Máxima: 10")</f>
        <v>Pós-Graduação em Psicanálise - Pós-Graduação em Psicanálise - Raniel Ribeiro dos Santos - Formação e Ética do Psicanalista – 30H - Nota Máxima: 10</v>
      </c>
    </row>
    <row r="7832">
      <c r="A7832" s="390" t="str">
        <f>IFERROR(__xludf.DUMMYFUNCTION("""COMPUTED_VALUE"""),"Pós-Graduação em Psicanálise - Pós-Graduação em Psicanálise - Raniel Ribeiro dos Santos - Formação e Ética do Psicanalista – 30H - Nota Máxima: 8")</f>
        <v>Pós-Graduação em Psicanálise - Pós-Graduação em Psicanálise - Raniel Ribeiro dos Santos - Formação e Ética do Psicanalista – 30H - Nota Máxima: 8</v>
      </c>
    </row>
    <row r="7833">
      <c r="A7833" s="390" t="str">
        <f>IFERROR(__xludf.DUMMYFUNCTION("""COMPUTED_VALUE"""),"Pós-Graduação em Psicanálise - Pós-Graduação em Psicanálise - Antonio carlos Perin - Complexo de Édipo e Castração - Nota Máxima: 10")</f>
        <v>Pós-Graduação em Psicanálise - Pós-Graduação em Psicanálise - Antonio carlos Perin - Complexo de Édipo e Castração - Nota Máxima: 10</v>
      </c>
    </row>
    <row r="7834">
      <c r="A7834" s="390" t="str">
        <f>IFERROR(__xludf.DUMMYFUNCTION("""COMPUTED_VALUE"""),"Pós-Graduação em Psicanálise - Pós-Graduação em Psicanálise - Antonio carlos Perin - Complexo de Édipo e Castração - Nota Máxima: 5")</f>
        <v>Pós-Graduação em Psicanálise - Pós-Graduação em Psicanálise - Antonio carlos Perin - Complexo de Édipo e Castração - Nota Máxima: 5</v>
      </c>
    </row>
    <row r="7835">
      <c r="A7835" s="390" t="str">
        <f>IFERROR(__xludf.DUMMYFUNCTION("""COMPUTED_VALUE"""),"Pós-Graduação em Psicanálise - Pós-Graduação em Psicanálise - Antonio carlos Perin - Formação e Ética do Psicanalista – 30H - Nota Máxima: 10")</f>
        <v>Pós-Graduação em Psicanálise - Pós-Graduação em Psicanálise - Antonio carlos Perin - Formação e Ética do Psicanalista – 30H - Nota Máxima: 10</v>
      </c>
    </row>
    <row r="7836">
      <c r="A7836" s="390" t="str">
        <f>IFERROR(__xludf.DUMMYFUNCTION("""COMPUTED_VALUE"""),"Pós-Graduação em Psicanálise - Pós-Graduação em Psicanálise - Antonio carlos Perin - Introdução à EAD - 30H - Nota Máxima: 6")</f>
        <v>Pós-Graduação em Psicanálise - Pós-Graduação em Psicanálise - Antonio carlos Perin - Introdução à EAD - 30H - Nota Máxima: 6</v>
      </c>
    </row>
    <row r="7837">
      <c r="A7837" s="390" t="str">
        <f>IFERROR(__xludf.DUMMYFUNCTION("""COMPUTED_VALUE"""),"Pós-Graduação em Psicanálise - Pós-Graduação em Psicanálise - Antonio carlos Perin - Introdução à Psicanálise – 40H - Nota Máxima: 8")</f>
        <v>Pós-Graduação em Psicanálise - Pós-Graduação em Psicanálise - Antonio carlos Perin - Introdução à Psicanálise – 40H - Nota Máxima: 8</v>
      </c>
    </row>
    <row r="7838">
      <c r="A7838" s="390" t="str">
        <f>IFERROR(__xludf.DUMMYFUNCTION("""COMPUTED_VALUE"""),"Pós-Graduação em Psicanálise - Pós-Graduação em Psicanálise - Antonio carlos Perin - Libido, Pulsões e Sexualidade – 50H - Nota Máxima: 9")</f>
        <v>Pós-Graduação em Psicanálise - Pós-Graduação em Psicanálise - Antonio carlos Perin - Libido, Pulsões e Sexualidade – 50H - Nota Máxima: 9</v>
      </c>
    </row>
    <row r="7839">
      <c r="A7839" s="390" t="str">
        <f>IFERROR(__xludf.DUMMYFUNCTION("""COMPUTED_VALUE"""),"Pós-Graduação em Psicanálise - Pós-Graduação em Psicanálise - Antonio carlos Perin - Narcisismo e a Cultura da Indiferença – 40H - Nota Máxima: 8")</f>
        <v>Pós-Graduação em Psicanálise - Pós-Graduação em Psicanálise - Antonio carlos Perin - Narcisismo e a Cultura da Indiferença – 40H - Nota Máxima: 8</v>
      </c>
    </row>
    <row r="7840">
      <c r="A7840" s="390" t="str">
        <f>IFERROR(__xludf.DUMMYFUNCTION("""COMPUTED_VALUE"""),"Pós-Graduação em Psicanálise - Pós-Graduação em Psicanálise - Antonio carlos Perin - O Aparelho psíquico, aspectos clínicos e Teóricos – 40H - Nota Máxima: 7")</f>
        <v>Pós-Graduação em Psicanálise - Pós-Graduação em Psicanálise - Antonio carlos Perin - O Aparelho psíquico, aspectos clínicos e Teóricos – 40H - Nota Máxima: 7</v>
      </c>
    </row>
    <row r="7841">
      <c r="A7841" s="390" t="str">
        <f>IFERROR(__xludf.DUMMYFUNCTION("""COMPUTED_VALUE"""),"Pós-Graduação em Psicanálise - Pós-Graduação em Psicanálise - Antonio carlos Perin - O Método Psicanalítico – 50H - Nota Máxima: 9")</f>
        <v>Pós-Graduação em Psicanálise - Pós-Graduação em Psicanálise - Antonio carlos Perin - O Método Psicanalítico – 50H - Nota Máxima: 9</v>
      </c>
    </row>
    <row r="7842">
      <c r="A7842" s="390" t="str">
        <f>IFERROR(__xludf.DUMMYFUNCTION("""COMPUTED_VALUE"""),"Pós-Graduação em Psicanálise - Pós-Graduação em Psicanálise - Antonio carlos Perin - Práticas e Procedimentos em Clínica – 30H - Nota Máxima: 7")</f>
        <v>Pós-Graduação em Psicanálise - Pós-Graduação em Psicanálise - Antonio carlos Perin - Práticas e Procedimentos em Clínica – 30H - Nota Máxima: 7</v>
      </c>
    </row>
    <row r="7843">
      <c r="A7843" s="390" t="str">
        <f>IFERROR(__xludf.DUMMYFUNCTION("""COMPUTED_VALUE"""),"Pós-Graduação em Psicanálise - Pós-Graduação em Psicanálise - Antonio carlos Perin - Processos de Transferência e Resistência – 30H - Nota Máxima: 8")</f>
        <v>Pós-Graduação em Psicanálise - Pós-Graduação em Psicanálise - Antonio carlos Perin - Processos de Transferência e Resistência – 30H - Nota Máxima: 8</v>
      </c>
    </row>
    <row r="7844">
      <c r="A7844" s="390" t="str">
        <f>IFERROR(__xludf.DUMMYFUNCTION("""COMPUTED_VALUE"""),"Pós-Graduação em Psicanálise - Pós-Graduação em Psicanálise - Antonio carlos Perin - Psicanálise da Criança e do Adolescente – 40H - Nota Máxima: 6")</f>
        <v>Pós-Graduação em Psicanálise - Pós-Graduação em Psicanálise - Antonio carlos Perin - Psicanálise da Criança e do Adolescente – 40H - Nota Máxima: 6</v>
      </c>
    </row>
    <row r="7845">
      <c r="A7845" s="390" t="str">
        <f>IFERROR(__xludf.DUMMYFUNCTION("""COMPUTED_VALUE"""),"Pós-Graduação em Psicanálise - Pós-Graduação em Psicanálise - Antonio carlos Perin - Psicanálise II – 50H - Nota Máxima: 7")</f>
        <v>Pós-Graduação em Psicanálise - Pós-Graduação em Psicanálise - Antonio carlos Perin - Psicanálise II – 50H - Nota Máxima: 7</v>
      </c>
    </row>
    <row r="7846">
      <c r="A7846" s="390" t="str">
        <f>IFERROR(__xludf.DUMMYFUNCTION("""COMPUTED_VALUE"""),"Pós-Graduação em Psicanálise - Pós-Graduação em Psicanálise - Antonio carlos Perin - Psicopatologias I – 40H - Nota Máxima: 5")</f>
        <v>Pós-Graduação em Psicanálise - Pós-Graduação em Psicanálise - Antonio carlos Perin - Psicopatologias I – 40H - Nota Máxima: 5</v>
      </c>
    </row>
    <row r="7847">
      <c r="A7847" s="390" t="str">
        <f>IFERROR(__xludf.DUMMYFUNCTION("""COMPUTED_VALUE"""),"Pós-Graduação em Psicanálise - Pós-Graduação em Psicanálise - Antonio carlos Perin - Psicopatologias II – 50H - Nota Máxima: 7")</f>
        <v>Pós-Graduação em Psicanálise - Pós-Graduação em Psicanálise - Antonio carlos Perin - Psicopatologias II – 50H - Nota Máxima: 7</v>
      </c>
    </row>
    <row r="7848">
      <c r="A7848" s="390" t="str">
        <f>IFERROR(__xludf.DUMMYFUNCTION("""COMPUTED_VALUE"""),"Pós-Graduação em Psicanálise - Pós-Graduação em Psicanálise - Antonio carlos Perin - Sonhos, Simbologia e Representação – 50H - Nota Máxima: 6")</f>
        <v>Pós-Graduação em Psicanálise - Pós-Graduação em Psicanálise - Antonio carlos Perin - Sonhos, Simbologia e Representação – 50H - Nota Máxima: 6</v>
      </c>
    </row>
    <row r="7849">
      <c r="A7849" s="390" t="str">
        <f>IFERROR(__xludf.DUMMYFUNCTION("""COMPUTED_VALUE"""),"Pós-Graduação em Psicanálise - Pós-Graduação em Psicanálise - Antonio carlos Perin - Tópicos Avançados em Clínica – 40H - Nota Máxima: 10")</f>
        <v>Pós-Graduação em Psicanálise - Pós-Graduação em Psicanálise - Antonio carlos Perin - Tópicos Avançados em Clínica – 40H - Nota Máxima: 10</v>
      </c>
    </row>
    <row r="7850">
      <c r="A7850" s="390" t="str">
        <f>IFERROR(__xludf.DUMMYFUNCTION("""COMPUTED_VALUE"""),"Pós-Graduação em Psicanálise - Pós-Graduação em Psicanálise - Antonio carlos Perin - Tópicos Avançados em Sexualidade – 40H - Nota Máxima: 6")</f>
        <v>Pós-Graduação em Psicanálise - Pós-Graduação em Psicanálise - Antonio carlos Perin - Tópicos Avançados em Sexualidade – 40H - Nota Máxima: 6</v>
      </c>
    </row>
    <row r="7851">
      <c r="A7851" s="390" t="str">
        <f>IFERROR(__xludf.DUMMYFUNCTION("""COMPUTED_VALUE"""),"Pós-Graduação em Psicanálise - Pós-Graduação em Psicanálise - Felipe Mendes Silva - Complexo de Édipo e Castração - Nota Máxima: 8")</f>
        <v>Pós-Graduação em Psicanálise - Pós-Graduação em Psicanálise - Felipe Mendes Silva - Complexo de Édipo e Castração - Nota Máxima: 8</v>
      </c>
    </row>
    <row r="7852">
      <c r="A7852" s="390" t="str">
        <f>IFERROR(__xludf.DUMMYFUNCTION("""COMPUTED_VALUE"""),"Pós-Graduação em Psicanálise - Pós-Graduação em Psicanálise - Felipe Mendes Silva - Complexo de Édipo e Castração - Nota Máxima: 10")</f>
        <v>Pós-Graduação em Psicanálise - Pós-Graduação em Psicanálise - Felipe Mendes Silva - Complexo de Édipo e Castração - Nota Máxima: 10</v>
      </c>
    </row>
    <row r="7853">
      <c r="A7853" s="390" t="str">
        <f>IFERROR(__xludf.DUMMYFUNCTION("""COMPUTED_VALUE"""),"Pós-Graduação em Psicanálise - Pós-Graduação em Psicanálise - Felipe Mendes Silva - Planejamento, Gestão Educacional e Currículo/a - Nota Máxima: 10")</f>
        <v>Pós-Graduação em Psicanálise - Pós-Graduação em Psicanálise - Felipe Mendes Silva - Planejamento, Gestão Educacional e Currículo/a - Nota Máxima: 10</v>
      </c>
    </row>
    <row r="7854">
      <c r="A7854" s="390" t="str">
        <f>IFERROR(__xludf.DUMMYFUNCTION("""COMPUTED_VALUE"""),"Pós-Graduação em Psicanálise - Pós-Graduação em Psicanálise - Felipe Mendes Silva - Planejamento, Gestão Educacional e Currículo/a - Nota Máxima: 10")</f>
        <v>Pós-Graduação em Psicanálise - Pós-Graduação em Psicanálise - Felipe Mendes Silva - Planejamento, Gestão Educacional e Currículo/a - Nota Máxima: 10</v>
      </c>
    </row>
    <row r="7855">
      <c r="A7855" s="390" t="str">
        <f>IFERROR(__xludf.DUMMYFUNCTION("""COMPUTED_VALUE"""),"Pós-Graduação em Psicanálise - Pós-Graduação em Psicanálise - Wildison de Sena Lopes - Complexo de Édipo e Castração - Nota Máxima: 10")</f>
        <v>Pós-Graduação em Psicanálise - Pós-Graduação em Psicanálise - Wildison de Sena Lopes - Complexo de Édipo e Castração - Nota Máxima: 10</v>
      </c>
    </row>
    <row r="7856">
      <c r="A7856" s="390" t="str">
        <f>IFERROR(__xludf.DUMMYFUNCTION("""COMPUTED_VALUE"""),"Pós-Graduação em Psicanálise - Pós-Graduação em Psicanálise - Wildison de Sena Lopes - Complexo de Édipo e Castração - Nota Máxima: 8")</f>
        <v>Pós-Graduação em Psicanálise - Pós-Graduação em Psicanálise - Wildison de Sena Lopes - Complexo de Édipo e Castração - Nota Máxima: 8</v>
      </c>
    </row>
    <row r="7857">
      <c r="A7857" s="390" t="str">
        <f>IFERROR(__xludf.DUMMYFUNCTION("""COMPUTED_VALUE"""),"Pós-Graduação em Psicanálise - Pós-Graduação em Psicanálise - Wildison de Sena Lopes - Formação e Ética do Psicanalista – 30H - Nota Máxima: 10")</f>
        <v>Pós-Graduação em Psicanálise - Pós-Graduação em Psicanálise - Wildison de Sena Lopes - Formação e Ética do Psicanalista – 30H - Nota Máxima: 10</v>
      </c>
    </row>
    <row r="7858">
      <c r="A7858" s="390" t="str">
        <f>IFERROR(__xludf.DUMMYFUNCTION("""COMPUTED_VALUE"""),"Pós-Graduação em Psicanálise - Pós-Graduação em Psicanálise - Wildison de Sena Lopes - Formação e Ética do Psicanalista – 30H - Nota Máxima: 9")</f>
        <v>Pós-Graduação em Psicanálise - Pós-Graduação em Psicanálise - Wildison de Sena Lopes - Formação e Ética do Psicanalista – 30H - Nota Máxima: 9</v>
      </c>
    </row>
    <row r="7859">
      <c r="A7859" s="390" t="str">
        <f>IFERROR(__xludf.DUMMYFUNCTION("""COMPUTED_VALUE"""),"Pós-Graduação em Psicanálise - Pós-Graduação em Psicanálise - Wildison de Sena Lopes - Introdução à EAD - 30H - Nota Máxima: 10")</f>
        <v>Pós-Graduação em Psicanálise - Pós-Graduação em Psicanálise - Wildison de Sena Lopes - Introdução à EAD - 30H - Nota Máxima: 10</v>
      </c>
    </row>
    <row r="7860">
      <c r="A7860" s="390" t="str">
        <f>IFERROR(__xludf.DUMMYFUNCTION("""COMPUTED_VALUE"""),"Pós-Graduação em Psicanálise - Pós-Graduação em Psicanálise - Wildison de Sena Lopes - Introdução à EAD - 30H - Nota Máxima: 6")</f>
        <v>Pós-Graduação em Psicanálise - Pós-Graduação em Psicanálise - Wildison de Sena Lopes - Introdução à EAD - 30H - Nota Máxima: 6</v>
      </c>
    </row>
    <row r="7861">
      <c r="A7861" s="390" t="str">
        <f>IFERROR(__xludf.DUMMYFUNCTION("""COMPUTED_VALUE"""),"Pós-Graduação em Psicanálise - Pós-Graduação em Psicanálise - Wildison de Sena Lopes - Introdução à Psicanálise – 40H - Nota Máxima: 10")</f>
        <v>Pós-Graduação em Psicanálise - Pós-Graduação em Psicanálise - Wildison de Sena Lopes - Introdução à Psicanálise – 40H - Nota Máxima: 10</v>
      </c>
    </row>
    <row r="7862">
      <c r="A7862" s="390" t="str">
        <f>IFERROR(__xludf.DUMMYFUNCTION("""COMPUTED_VALUE"""),"Pós-Graduação em Psicanálise - Pós-Graduação em Psicanálise - Wildison de Sena Lopes - Introdução à Psicanálise – 40H - Nota Máxima: 2")</f>
        <v>Pós-Graduação em Psicanálise - Pós-Graduação em Psicanálise - Wildison de Sena Lopes - Introdução à Psicanálise – 40H - Nota Máxima: 2</v>
      </c>
    </row>
    <row r="7863">
      <c r="A7863" s="390" t="str">
        <f>IFERROR(__xludf.DUMMYFUNCTION("""COMPUTED_VALUE"""),"Pós-Graduação em Psicanálise - Pós-Graduação em Psicanálise - Wildison de Sena Lopes - Libido, Pulsões e Sexualidade – 50H - Nota Máxima: 10")</f>
        <v>Pós-Graduação em Psicanálise - Pós-Graduação em Psicanálise - Wildison de Sena Lopes - Libido, Pulsões e Sexualidade – 50H - Nota Máxima: 10</v>
      </c>
    </row>
    <row r="7864">
      <c r="A7864" s="390" t="str">
        <f>IFERROR(__xludf.DUMMYFUNCTION("""COMPUTED_VALUE"""),"Pós-Graduação em Psicanálise - Pós-Graduação em Psicanálise - Wildison de Sena Lopes - Libido, Pulsões e Sexualidade – 50H - Nota Máxima: 3")</f>
        <v>Pós-Graduação em Psicanálise - Pós-Graduação em Psicanálise - Wildison de Sena Lopes - Libido, Pulsões e Sexualidade – 50H - Nota Máxima: 3</v>
      </c>
    </row>
    <row r="7865">
      <c r="A7865" s="390" t="str">
        <f>IFERROR(__xludf.DUMMYFUNCTION("""COMPUTED_VALUE"""),"Pós-Graduação em Psicanálise - Pós-Graduação em Psicanálise - Wildison de Sena Lopes - Narcisismo e a Cultura da Indiferença – 40H - Nota Máxima: 10")</f>
        <v>Pós-Graduação em Psicanálise - Pós-Graduação em Psicanálise - Wildison de Sena Lopes - Narcisismo e a Cultura da Indiferença – 40H - Nota Máxima: 10</v>
      </c>
    </row>
    <row r="7866">
      <c r="A7866" s="390" t="str">
        <f>IFERROR(__xludf.DUMMYFUNCTION("""COMPUTED_VALUE"""),"Pós-Graduação em Psicanálise - Pós-Graduação em Psicanálise - Wildison de Sena Lopes - Narcisismo e a Cultura da Indiferença – 40H - Nota Máxima: 3")</f>
        <v>Pós-Graduação em Psicanálise - Pós-Graduação em Psicanálise - Wildison de Sena Lopes - Narcisismo e a Cultura da Indiferença – 40H - Nota Máxima: 3</v>
      </c>
    </row>
    <row r="7867">
      <c r="A7867" s="390" t="str">
        <f>IFERROR(__xludf.DUMMYFUNCTION("""COMPUTED_VALUE"""),"Pós-Graduação em Psicanálise - Pós-Graduação em Psicanálise - Wildison de Sena Lopes - O Aparelho psíquico, aspectos clínicos e Teóricos – 40H - Nota Máxima: 10")</f>
        <v>Pós-Graduação em Psicanálise - Pós-Graduação em Psicanálise - Wildison de Sena Lopes - O Aparelho psíquico, aspectos clínicos e Teóricos – 40H - Nota Máxima: 10</v>
      </c>
    </row>
    <row r="7868">
      <c r="A7868" s="390" t="str">
        <f>IFERROR(__xludf.DUMMYFUNCTION("""COMPUTED_VALUE"""),"Pós-Graduação em Psicanálise - Pós-Graduação em Psicanálise - Wildison de Sena Lopes - O Aparelho psíquico, aspectos clínicos e Teóricos – 40H - Nota Máxima: 3")</f>
        <v>Pós-Graduação em Psicanálise - Pós-Graduação em Psicanálise - Wildison de Sena Lopes - O Aparelho psíquico, aspectos clínicos e Teóricos – 40H - Nota Máxima: 3</v>
      </c>
    </row>
    <row r="7869">
      <c r="A7869" s="390" t="str">
        <f>IFERROR(__xludf.DUMMYFUNCTION("""COMPUTED_VALUE"""),"Pós-Graduação em Psicanálise - Pós-Graduação em Psicanálise - Wildison de Sena Lopes - O Método Psicanalítico – 50H - Nota Máxima: 10")</f>
        <v>Pós-Graduação em Psicanálise - Pós-Graduação em Psicanálise - Wildison de Sena Lopes - O Método Psicanalítico – 50H - Nota Máxima: 10</v>
      </c>
    </row>
    <row r="7870">
      <c r="A7870" s="390" t="str">
        <f>IFERROR(__xludf.DUMMYFUNCTION("""COMPUTED_VALUE"""),"Pós-Graduação em Psicanálise - Pós-Graduação em Psicanálise - Wildison de Sena Lopes - O Método Psicanalítico – 50H - Nota Máxima: 0")</f>
        <v>Pós-Graduação em Psicanálise - Pós-Graduação em Psicanálise - Wildison de Sena Lopes - O Método Psicanalítico – 50H - Nota Máxima: 0</v>
      </c>
    </row>
    <row r="7871">
      <c r="A7871" s="390" t="str">
        <f>IFERROR(__xludf.DUMMYFUNCTION("""COMPUTED_VALUE"""),"Pós-Graduação em Psicanálise - Pós-Graduação em Psicanálise - Wildison de Sena Lopes - Práticas e Procedimentos em Clínica – 30H - Nota Máxima: 9")</f>
        <v>Pós-Graduação em Psicanálise - Pós-Graduação em Psicanálise - Wildison de Sena Lopes - Práticas e Procedimentos em Clínica – 30H - Nota Máxima: 9</v>
      </c>
    </row>
    <row r="7872">
      <c r="A7872" s="390" t="str">
        <f>IFERROR(__xludf.DUMMYFUNCTION("""COMPUTED_VALUE"""),"Pós-Graduação em Psicanálise - Pós-Graduação em Psicanálise - Wildison de Sena Lopes - Práticas e Procedimentos em Clínica – 30H - Nota Máxima: 1")</f>
        <v>Pós-Graduação em Psicanálise - Pós-Graduação em Psicanálise - Wildison de Sena Lopes - Práticas e Procedimentos em Clínica – 30H - Nota Máxima: 1</v>
      </c>
    </row>
    <row r="7873">
      <c r="A7873" s="390" t="str">
        <f>IFERROR(__xludf.DUMMYFUNCTION("""COMPUTED_VALUE"""),"Pós-Graduação em Psicanálise - Pós-Graduação em Psicanálise - Wildison de Sena Lopes - Processos de Transferência e Resistência – 30H - Nota Máxima: 10")</f>
        <v>Pós-Graduação em Psicanálise - Pós-Graduação em Psicanálise - Wildison de Sena Lopes - Processos de Transferência e Resistência – 30H - Nota Máxima: 10</v>
      </c>
    </row>
    <row r="7874">
      <c r="A7874" s="390" t="str">
        <f>IFERROR(__xludf.DUMMYFUNCTION("""COMPUTED_VALUE"""),"Pós-Graduação em Psicanálise - Pós-Graduação em Psicanálise - Wildison de Sena Lopes - Processos de Transferência e Resistência – 30H - Nota Máxima: 2")</f>
        <v>Pós-Graduação em Psicanálise - Pós-Graduação em Psicanálise - Wildison de Sena Lopes - Processos de Transferência e Resistência – 30H - Nota Máxima: 2</v>
      </c>
    </row>
    <row r="7875">
      <c r="A7875" s="390" t="str">
        <f>IFERROR(__xludf.DUMMYFUNCTION("""COMPUTED_VALUE"""),"Pós-Graduação em Psicanálise - Pós-Graduação em Psicanálise - Wildison de Sena Lopes - Psicanálise da Criança e do Adolescente – 40H - Nota Máxima: 10")</f>
        <v>Pós-Graduação em Psicanálise - Pós-Graduação em Psicanálise - Wildison de Sena Lopes - Psicanálise da Criança e do Adolescente – 40H - Nota Máxima: 10</v>
      </c>
    </row>
    <row r="7876">
      <c r="A7876" s="390" t="str">
        <f>IFERROR(__xludf.DUMMYFUNCTION("""COMPUTED_VALUE"""),"Pós-Graduação em Psicanálise - Pós-Graduação em Psicanálise - Wildison de Sena Lopes - Psicanálise da Criança e do Adolescente – 40H - Nota Máxima: 3")</f>
        <v>Pós-Graduação em Psicanálise - Pós-Graduação em Psicanálise - Wildison de Sena Lopes - Psicanálise da Criança e do Adolescente – 40H - Nota Máxima: 3</v>
      </c>
    </row>
    <row r="7877">
      <c r="A7877" s="390" t="str">
        <f>IFERROR(__xludf.DUMMYFUNCTION("""COMPUTED_VALUE"""),"Pós-Graduação em Psicanálise - Pós-Graduação em Psicanálise - Wildison de Sena Lopes - Psicanálise II – 50H - Nota Máxima: 10")</f>
        <v>Pós-Graduação em Psicanálise - Pós-Graduação em Psicanálise - Wildison de Sena Lopes - Psicanálise II – 50H - Nota Máxima: 10</v>
      </c>
    </row>
    <row r="7878">
      <c r="A7878" s="390" t="str">
        <f>IFERROR(__xludf.DUMMYFUNCTION("""COMPUTED_VALUE"""),"Pós-Graduação em Psicanálise - Pós-Graduação em Psicanálise - Wildison de Sena Lopes - Psicanálise II – 50H - Nota Máxima: 2")</f>
        <v>Pós-Graduação em Psicanálise - Pós-Graduação em Psicanálise - Wildison de Sena Lopes - Psicanálise II – 50H - Nota Máxima: 2</v>
      </c>
    </row>
    <row r="7879">
      <c r="A7879" s="390" t="str">
        <f>IFERROR(__xludf.DUMMYFUNCTION("""COMPUTED_VALUE"""),"Pós-Graduação em Psicanálise - Pós-Graduação em Psicanálise - Wildison de Sena Lopes - Psicopatologias I – 40H - Nota Máxima: 10")</f>
        <v>Pós-Graduação em Psicanálise - Pós-Graduação em Psicanálise - Wildison de Sena Lopes - Psicopatologias I – 40H - Nota Máxima: 10</v>
      </c>
    </row>
    <row r="7880">
      <c r="A7880" s="390" t="str">
        <f>IFERROR(__xludf.DUMMYFUNCTION("""COMPUTED_VALUE"""),"Pós-Graduação em Psicanálise - Pós-Graduação em Psicanálise - Wildison de Sena Lopes - Psicopatologias I – 40H - Nota Máxima: 3")</f>
        <v>Pós-Graduação em Psicanálise - Pós-Graduação em Psicanálise - Wildison de Sena Lopes - Psicopatologias I – 40H - Nota Máxima: 3</v>
      </c>
    </row>
    <row r="7881">
      <c r="A7881" s="390" t="str">
        <f>IFERROR(__xludf.DUMMYFUNCTION("""COMPUTED_VALUE"""),"Pós-Graduação em Psicanálise - Pós-Graduação em Psicanálise - Wildison de Sena Lopes - Psicopatologias II – 50H - Nota Máxima: 10")</f>
        <v>Pós-Graduação em Psicanálise - Pós-Graduação em Psicanálise - Wildison de Sena Lopes - Psicopatologias II – 50H - Nota Máxima: 10</v>
      </c>
    </row>
    <row r="7882">
      <c r="A7882" s="390" t="str">
        <f>IFERROR(__xludf.DUMMYFUNCTION("""COMPUTED_VALUE"""),"Pós-Graduação em Psicanálise - Pós-Graduação em Psicanálise - Wildison de Sena Lopes - Psicopatologias II – 50H - Nota Máxima: 1")</f>
        <v>Pós-Graduação em Psicanálise - Pós-Graduação em Psicanálise - Wildison de Sena Lopes - Psicopatologias II – 50H - Nota Máxima: 1</v>
      </c>
    </row>
    <row r="7883">
      <c r="A7883" s="390" t="str">
        <f>IFERROR(__xludf.DUMMYFUNCTION("""COMPUTED_VALUE"""),"Pós-Graduação em Psicanálise - Pós-Graduação em Psicanálise - Wildison de Sena Lopes - Sonhos, Simbologia e Representação – 50H - Nota Máxima: 10")</f>
        <v>Pós-Graduação em Psicanálise - Pós-Graduação em Psicanálise - Wildison de Sena Lopes - Sonhos, Simbologia e Representação – 50H - Nota Máxima: 10</v>
      </c>
    </row>
    <row r="7884">
      <c r="A7884" s="390" t="str">
        <f>IFERROR(__xludf.DUMMYFUNCTION("""COMPUTED_VALUE"""),"Pós-Graduação em Psicanálise - Pós-Graduação em Psicanálise - Wildison de Sena Lopes - Sonhos, Simbologia e Representação – 50H - Nota Máxima: 3")</f>
        <v>Pós-Graduação em Psicanálise - Pós-Graduação em Psicanálise - Wildison de Sena Lopes - Sonhos, Simbologia e Representação – 50H - Nota Máxima: 3</v>
      </c>
    </row>
    <row r="7885">
      <c r="A7885" s="390" t="str">
        <f>IFERROR(__xludf.DUMMYFUNCTION("""COMPUTED_VALUE"""),"Pós-Graduação em Psicanálise - Pós-Graduação em Psicanálise - Wildison de Sena Lopes - Tópicos Avançados em Clínica – 40H - Nota Máxima: 9")</f>
        <v>Pós-Graduação em Psicanálise - Pós-Graduação em Psicanálise - Wildison de Sena Lopes - Tópicos Avançados em Clínica – 40H - Nota Máxima: 9</v>
      </c>
    </row>
    <row r="7886">
      <c r="A7886" s="390" t="str">
        <f>IFERROR(__xludf.DUMMYFUNCTION("""COMPUTED_VALUE"""),"Pós-Graduação em Psicanálise - Pós-Graduação em Psicanálise - Wildison de Sena Lopes - Tópicos Avançados em Clínica – 40H - Nota Máxima: 0")</f>
        <v>Pós-Graduação em Psicanálise - Pós-Graduação em Psicanálise - Wildison de Sena Lopes - Tópicos Avançados em Clínica – 40H - Nota Máxima: 0</v>
      </c>
    </row>
    <row r="7887">
      <c r="A7887" s="390" t="str">
        <f>IFERROR(__xludf.DUMMYFUNCTION("""COMPUTED_VALUE"""),"Pós-Graduação em Psicanálise - Pós-Graduação em Psicanálise - Wildison de Sena Lopes - Tópicos Avançados em Sexualidade – 40H - Nota Máxima: 10")</f>
        <v>Pós-Graduação em Psicanálise - Pós-Graduação em Psicanálise - Wildison de Sena Lopes - Tópicos Avançados em Sexualidade – 40H - Nota Máxima: 10</v>
      </c>
    </row>
    <row r="7888">
      <c r="A7888" s="390" t="str">
        <f>IFERROR(__xludf.DUMMYFUNCTION("""COMPUTED_VALUE"""),"Pós-Graduação em Psicanálise - Pós-Graduação em Psicanálise - Adriana Santana oliveira - Complexo de Édipo e Castração - Nota Máxima: 8")</f>
        <v>Pós-Graduação em Psicanálise - Pós-Graduação em Psicanálise - Adriana Santana oliveira - Complexo de Édipo e Castração - Nota Máxima: 8</v>
      </c>
    </row>
    <row r="7889">
      <c r="A7889" s="390" t="str">
        <f>IFERROR(__xludf.DUMMYFUNCTION("""COMPUTED_VALUE"""),"Pós-Graduação em Psicanálise - Pós-Graduação em Psicanálise - Adriana Santana oliveira - Formação e Ética do Psicanalista – 30H - Nota Máxima: 7")</f>
        <v>Pós-Graduação em Psicanálise - Pós-Graduação em Psicanálise - Adriana Santana oliveira - Formação e Ética do Psicanalista – 30H - Nota Máxima: 7</v>
      </c>
    </row>
    <row r="7890">
      <c r="A7890" s="390" t="str">
        <f>IFERROR(__xludf.DUMMYFUNCTION("""COMPUTED_VALUE"""),"Pós-Graduação em Psicanálise - Pós-Graduação em Psicanálise - Adriana Santana oliveira - Introdução à EAD - 30H - Nota Máxima: 8")</f>
        <v>Pós-Graduação em Psicanálise - Pós-Graduação em Psicanálise - Adriana Santana oliveira - Introdução à EAD - 30H - Nota Máxima: 8</v>
      </c>
    </row>
    <row r="7891">
      <c r="A7891" s="390" t="str">
        <f>IFERROR(__xludf.DUMMYFUNCTION("""COMPUTED_VALUE"""),"Pós-Graduação em Psicanálise - Pós-Graduação em Psicanálise - Adriana Santana oliveira - Introdução à Psicanálise – 40H - Nota Máxima: 9")</f>
        <v>Pós-Graduação em Psicanálise - Pós-Graduação em Psicanálise - Adriana Santana oliveira - Introdução à Psicanálise – 40H - Nota Máxima: 9</v>
      </c>
    </row>
    <row r="7892">
      <c r="A7892" s="390" t="str">
        <f>IFERROR(__xludf.DUMMYFUNCTION("""COMPUTED_VALUE"""),"Pós-Graduação em Psicanálise - Pós-Graduação em Psicanálise - Adriana Santana oliveira - Libido, Pulsões e Sexualidade – 50H - Nota Máxima: 8")</f>
        <v>Pós-Graduação em Psicanálise - Pós-Graduação em Psicanálise - Adriana Santana oliveira - Libido, Pulsões e Sexualidade – 50H - Nota Máxima: 8</v>
      </c>
    </row>
    <row r="7893">
      <c r="A7893" s="390" t="str">
        <f>IFERROR(__xludf.DUMMYFUNCTION("""COMPUTED_VALUE"""),"Pós-Graduação em Psicanálise - Pós-Graduação em Psicanálise - Adriana Santana oliveira - Narcisismo e a Cultura da Indiferença – 40H - Nota Máxima: 9")</f>
        <v>Pós-Graduação em Psicanálise - Pós-Graduação em Psicanálise - Adriana Santana oliveira - Narcisismo e a Cultura da Indiferença – 40H - Nota Máxima: 9</v>
      </c>
    </row>
    <row r="7894">
      <c r="A7894" s="390" t="str">
        <f>IFERROR(__xludf.DUMMYFUNCTION("""COMPUTED_VALUE"""),"Pós-Graduação em Psicanálise - Pós-Graduação em Psicanálise - Adriana Santana oliveira - O Aparelho psíquico, aspectos clínicos e Teóricos – 40H - Nota Máxima: 5")</f>
        <v>Pós-Graduação em Psicanálise - Pós-Graduação em Psicanálise - Adriana Santana oliveira - O Aparelho psíquico, aspectos clínicos e Teóricos – 40H - Nota Máxima: 5</v>
      </c>
    </row>
    <row r="7895">
      <c r="A7895" s="390" t="str">
        <f>IFERROR(__xludf.DUMMYFUNCTION("""COMPUTED_VALUE"""),"Pós-Graduação em Psicanálise - Pós-Graduação em Psicanálise - Adriana Santana oliveira - O Método Psicanalítico – 50H - Nota Máxima: 8")</f>
        <v>Pós-Graduação em Psicanálise - Pós-Graduação em Psicanálise - Adriana Santana oliveira - O Método Psicanalítico – 50H - Nota Máxima: 8</v>
      </c>
    </row>
    <row r="7896">
      <c r="A7896" s="390" t="str">
        <f>IFERROR(__xludf.DUMMYFUNCTION("""COMPUTED_VALUE"""),"Pós-Graduação em Psicanálise - Pós-Graduação em Psicanálise - Adriana Santana oliveira - Práticas e Procedimentos em Clínica – 30H - Nota Máxima: 6")</f>
        <v>Pós-Graduação em Psicanálise - Pós-Graduação em Psicanálise - Adriana Santana oliveira - Práticas e Procedimentos em Clínica – 30H - Nota Máxima: 6</v>
      </c>
    </row>
    <row r="7897">
      <c r="A7897" s="390" t="str">
        <f>IFERROR(__xludf.DUMMYFUNCTION("""COMPUTED_VALUE"""),"Pós-Graduação em Psicanálise - Pós-Graduação em Psicanálise - Adriana Santana oliveira - Processos de Transferência e Resistência – 30H - Nota Máxima: 6")</f>
        <v>Pós-Graduação em Psicanálise - Pós-Graduação em Psicanálise - Adriana Santana oliveira - Processos de Transferência e Resistência – 30H - Nota Máxima: 6</v>
      </c>
    </row>
    <row r="7898">
      <c r="A7898" s="390" t="str">
        <f>IFERROR(__xludf.DUMMYFUNCTION("""COMPUTED_VALUE"""),"Pós-Graduação em Psicanálise - Pós-Graduação em Psicanálise - Adriana Santana oliveira - Psicanálise da Criança e do Adolescente – 40H - Nota Máxima: 7")</f>
        <v>Pós-Graduação em Psicanálise - Pós-Graduação em Psicanálise - Adriana Santana oliveira - Psicanálise da Criança e do Adolescente – 40H - Nota Máxima: 7</v>
      </c>
    </row>
    <row r="7899">
      <c r="A7899" s="390" t="str">
        <f>IFERROR(__xludf.DUMMYFUNCTION("""COMPUTED_VALUE"""),"Pós-Graduação em Psicanálise - Pós-Graduação em Psicanálise - Adriana Santana oliveira - Psicanálise da Criança e do Adolescente – 40H - Nota Máxima: 7")</f>
        <v>Pós-Graduação em Psicanálise - Pós-Graduação em Psicanálise - Adriana Santana oliveira - Psicanálise da Criança e do Adolescente – 40H - Nota Máxima: 7</v>
      </c>
    </row>
    <row r="7900">
      <c r="A7900" s="390" t="str">
        <f>IFERROR(__xludf.DUMMYFUNCTION("""COMPUTED_VALUE"""),"Pós-Graduação em Psicanálise - Pós-Graduação em Psicanálise - Adriana Santana oliveira - Psicanálise II – 50H - Nota Máxima: 5")</f>
        <v>Pós-Graduação em Psicanálise - Pós-Graduação em Psicanálise - Adriana Santana oliveira - Psicanálise II – 50H - Nota Máxima: 5</v>
      </c>
    </row>
    <row r="7901">
      <c r="A7901" s="390" t="str">
        <f>IFERROR(__xludf.DUMMYFUNCTION("""COMPUTED_VALUE"""),"Pós-Graduação em Psicanálise - Pós-Graduação em Psicanálise - Adriana Santana oliveira - Psicopatologias I – 40H - Nota Máxima: 6")</f>
        <v>Pós-Graduação em Psicanálise - Pós-Graduação em Psicanálise - Adriana Santana oliveira - Psicopatologias I – 40H - Nota Máxima: 6</v>
      </c>
    </row>
    <row r="7902">
      <c r="A7902" s="390" t="str">
        <f>IFERROR(__xludf.DUMMYFUNCTION("""COMPUTED_VALUE"""),"Pós-Graduação em Psicanálise - Pós-Graduação em Psicanálise - Adriana Santana oliveira - Psicopatologias II – 50H - Nota Máxima: 7")</f>
        <v>Pós-Graduação em Psicanálise - Pós-Graduação em Psicanálise - Adriana Santana oliveira - Psicopatologias II – 50H - Nota Máxima: 7</v>
      </c>
    </row>
    <row r="7903">
      <c r="A7903" s="390" t="str">
        <f>IFERROR(__xludf.DUMMYFUNCTION("""COMPUTED_VALUE"""),"Pós-Graduação em Psicanálise - Pós-Graduação em Psicanálise - Adriana Santana oliveira - Sonhos, Simbologia e Representação – 50H - Nota Máxima: 6")</f>
        <v>Pós-Graduação em Psicanálise - Pós-Graduação em Psicanálise - Adriana Santana oliveira - Sonhos, Simbologia e Representação – 50H - Nota Máxima: 6</v>
      </c>
    </row>
    <row r="7904">
      <c r="A7904" s="390" t="str">
        <f>IFERROR(__xludf.DUMMYFUNCTION("""COMPUTED_VALUE"""),"Pós-Graduação em Psicanálise - Pós-Graduação em Psicanálise - Adriana Santana oliveira - Tópicos Avançados em Clínica – 40H - Nota Máxima: 7")</f>
        <v>Pós-Graduação em Psicanálise - Pós-Graduação em Psicanálise - Adriana Santana oliveira - Tópicos Avançados em Clínica – 40H - Nota Máxima: 7</v>
      </c>
    </row>
    <row r="7905">
      <c r="A7905" s="390" t="str">
        <f>IFERROR(__xludf.DUMMYFUNCTION("""COMPUTED_VALUE"""),"Pós-Graduação em Psicanálise - Pós-Graduação em Psicanálise - Adriana Santana oliveira - Tópicos Avançados em Sexualidade – 40H - Nota Máxima: 2")</f>
        <v>Pós-Graduação em Psicanálise - Pós-Graduação em Psicanálise - Adriana Santana oliveira - Tópicos Avançados em Sexualidade – 40H - Nota Máxima: 2</v>
      </c>
    </row>
    <row r="7906">
      <c r="A7906" s="390" t="str">
        <f>IFERROR(__xludf.DUMMYFUNCTION("""COMPUTED_VALUE"""),"Pós-Graduação em Psicanálise - Pós-Graduação em Psicanálise - Saara vieira de Souza bastos - Complexo de Édipo e Castração - Nota Máxima: 9")</f>
        <v>Pós-Graduação em Psicanálise - Pós-Graduação em Psicanálise - Saara vieira de Souza bastos - Complexo de Édipo e Castração - Nota Máxima: 9</v>
      </c>
    </row>
    <row r="7907">
      <c r="A7907" s="390" t="str">
        <f>IFERROR(__xludf.DUMMYFUNCTION("""COMPUTED_VALUE"""),"Pós-Graduação em Psicanálise - Pós-Graduação em Psicanálise - NIVALDO DA SILVA LIMA - Complexo de Édipo e Castração - Nota Máxima: 9")</f>
        <v>Pós-Graduação em Psicanálise - Pós-Graduação em Psicanálise - NIVALDO DA SILVA LIMA - Complexo de Édipo e Castração - Nota Máxima: 9</v>
      </c>
    </row>
    <row r="7908">
      <c r="A7908" s="390" t="str">
        <f>IFERROR(__xludf.DUMMYFUNCTION("""COMPUTED_VALUE"""),"Pós-Graduação em Psicanálise - Pós-Graduação em Psicanálise - NIVALDO DA SILVA LIMA - Complexo de Édipo e Castração - Nota Máxima: 4")</f>
        <v>Pós-Graduação em Psicanálise - Pós-Graduação em Psicanálise - NIVALDO DA SILVA LIMA - Complexo de Édipo e Castração - Nota Máxima: 4</v>
      </c>
    </row>
    <row r="7909">
      <c r="A7909" s="390" t="str">
        <f>IFERROR(__xludf.DUMMYFUNCTION("""COMPUTED_VALUE"""),"Pós-Graduação em Psicanálise - Pós-Graduação em Psicanálise - NIVALDO DA SILVA LIMA - Formação e Ética do Psicanalista – 30H - Nota Máxima: 10")</f>
        <v>Pós-Graduação em Psicanálise - Pós-Graduação em Psicanálise - NIVALDO DA SILVA LIMA - Formação e Ética do Psicanalista – 30H - Nota Máxima: 10</v>
      </c>
    </row>
    <row r="7910">
      <c r="A7910" s="390" t="str">
        <f>IFERROR(__xludf.DUMMYFUNCTION("""COMPUTED_VALUE"""),"Pós-Graduação em Psicanálise - Pós-Graduação em Psicanálise - NIVALDO DA SILVA LIMA - Formação e Ética do Psicanalista – 30H - Nota Máxima: 4")</f>
        <v>Pós-Graduação em Psicanálise - Pós-Graduação em Psicanálise - NIVALDO DA SILVA LIMA - Formação e Ética do Psicanalista – 30H - Nota Máxima: 4</v>
      </c>
    </row>
    <row r="7911">
      <c r="A7911" s="390" t="str">
        <f>IFERROR(__xludf.DUMMYFUNCTION("""COMPUTED_VALUE"""),"Pós-Graduação em Psicanálise - Pós-Graduação em Psicanálise - NIVALDO DA SILVA LIMA - Introdução à EAD - 30H - Nota Máxima: 9")</f>
        <v>Pós-Graduação em Psicanálise - Pós-Graduação em Psicanálise - NIVALDO DA SILVA LIMA - Introdução à EAD - 30H - Nota Máxima: 9</v>
      </c>
    </row>
    <row r="7912">
      <c r="A7912" s="390" t="str">
        <f>IFERROR(__xludf.DUMMYFUNCTION("""COMPUTED_VALUE"""),"Pós-Graduação em Psicanálise - Pós-Graduação em Psicanálise - NIVALDO DA SILVA LIMA - Introdução à EAD - 30H - Nota Máxima: 3")</f>
        <v>Pós-Graduação em Psicanálise - Pós-Graduação em Psicanálise - NIVALDO DA SILVA LIMA - Introdução à EAD - 30H - Nota Máxima: 3</v>
      </c>
    </row>
    <row r="7913">
      <c r="A7913" s="390" t="str">
        <f>IFERROR(__xludf.DUMMYFUNCTION("""COMPUTED_VALUE"""),"Pós-Graduação em Psicanálise - Pós-Graduação em Psicanálise - NIVALDO DA SILVA LIMA - Introdução à Psicanálise – 40H - Nota Máxima: 8")</f>
        <v>Pós-Graduação em Psicanálise - Pós-Graduação em Psicanálise - NIVALDO DA SILVA LIMA - Introdução à Psicanálise – 40H - Nota Máxima: 8</v>
      </c>
    </row>
    <row r="7914">
      <c r="A7914" s="390" t="str">
        <f>IFERROR(__xludf.DUMMYFUNCTION("""COMPUTED_VALUE"""),"Pós-Graduação em Psicanálise - Pós-Graduação em Psicanálise - NIVALDO DA SILVA LIMA - Libido, Pulsões e Sexualidade – 50H - Nota Máxima: 9")</f>
        <v>Pós-Graduação em Psicanálise - Pós-Graduação em Psicanálise - NIVALDO DA SILVA LIMA - Libido, Pulsões e Sexualidade – 50H - Nota Máxima: 9</v>
      </c>
    </row>
    <row r="7915">
      <c r="A7915" s="390" t="str">
        <f>IFERROR(__xludf.DUMMYFUNCTION("""COMPUTED_VALUE"""),"Pós-Graduação em Psicanálise - Pós-Graduação em Psicanálise - NIVALDO DA SILVA LIMA - Libido, Pulsões e Sexualidade – 50H - Nota Máxima: 3")</f>
        <v>Pós-Graduação em Psicanálise - Pós-Graduação em Psicanálise - NIVALDO DA SILVA LIMA - Libido, Pulsões e Sexualidade – 50H - Nota Máxima: 3</v>
      </c>
    </row>
    <row r="7916">
      <c r="A7916" s="390" t="str">
        <f>IFERROR(__xludf.DUMMYFUNCTION("""COMPUTED_VALUE"""),"Pós-Graduação em Psicanálise - Pós-Graduação em Psicanálise - NIVALDO DA SILVA LIMA - Narcisismo e a Cultura da Indiferença – 40H - Nota Máxima: 10")</f>
        <v>Pós-Graduação em Psicanálise - Pós-Graduação em Psicanálise - NIVALDO DA SILVA LIMA - Narcisismo e a Cultura da Indiferença – 40H - Nota Máxima: 10</v>
      </c>
    </row>
    <row r="7917">
      <c r="A7917" s="390" t="str">
        <f>IFERROR(__xludf.DUMMYFUNCTION("""COMPUTED_VALUE"""),"Pós-Graduação em Psicanálise - Pós-Graduação em Psicanálise - NIVALDO DA SILVA LIMA - Narcisismo e a Cultura da Indiferença – 40H - Nota Máxima: 2")</f>
        <v>Pós-Graduação em Psicanálise - Pós-Graduação em Psicanálise - NIVALDO DA SILVA LIMA - Narcisismo e a Cultura da Indiferença – 40H - Nota Máxima: 2</v>
      </c>
    </row>
    <row r="7918">
      <c r="A7918" s="390" t="str">
        <f>IFERROR(__xludf.DUMMYFUNCTION("""COMPUTED_VALUE"""),"Pós-Graduação em Psicanálise - Pós-Graduação em Psicanálise - NIVALDO DA SILVA LIMA - O Aparelho psíquico, aspectos clínicos e Teóricos – 40H - Nota Máxima: 10")</f>
        <v>Pós-Graduação em Psicanálise - Pós-Graduação em Psicanálise - NIVALDO DA SILVA LIMA - O Aparelho psíquico, aspectos clínicos e Teóricos – 40H - Nota Máxima: 10</v>
      </c>
    </row>
    <row r="7919">
      <c r="A7919" s="390" t="str">
        <f>IFERROR(__xludf.DUMMYFUNCTION("""COMPUTED_VALUE"""),"Pós-Graduação em Psicanálise - Pós-Graduação em Psicanálise - NIVALDO DA SILVA LIMA - O Aparelho psíquico, aspectos clínicos e Teóricos – 40H - Nota Máxima: 5")</f>
        <v>Pós-Graduação em Psicanálise - Pós-Graduação em Psicanálise - NIVALDO DA SILVA LIMA - O Aparelho psíquico, aspectos clínicos e Teóricos – 40H - Nota Máxima: 5</v>
      </c>
    </row>
    <row r="7920">
      <c r="A7920" s="390" t="str">
        <f>IFERROR(__xludf.DUMMYFUNCTION("""COMPUTED_VALUE"""),"Pós-Graduação em Psicanálise - Pós-Graduação em Psicanálise - NIVALDO DA SILVA LIMA - O Método Psicanalítico – 50H - Nota Máxima: 10")</f>
        <v>Pós-Graduação em Psicanálise - Pós-Graduação em Psicanálise - NIVALDO DA SILVA LIMA - O Método Psicanalítico – 50H - Nota Máxima: 10</v>
      </c>
    </row>
    <row r="7921">
      <c r="A7921" s="390" t="str">
        <f>IFERROR(__xludf.DUMMYFUNCTION("""COMPUTED_VALUE"""),"Pós-Graduação em Psicanálise - Pós-Graduação em Psicanálise - NIVALDO DA SILVA LIMA - O Método Psicanalítico – 50H - Nota Máxima: 7")</f>
        <v>Pós-Graduação em Psicanálise - Pós-Graduação em Psicanálise - NIVALDO DA SILVA LIMA - O Método Psicanalítico – 50H - Nota Máxima: 7</v>
      </c>
    </row>
    <row r="7922">
      <c r="A7922" s="390" t="str">
        <f>IFERROR(__xludf.DUMMYFUNCTION("""COMPUTED_VALUE"""),"Pós-Graduação em Psicanálise - Pós-Graduação em Psicanálise - NIVALDO DA SILVA LIMA - Práticas e Procedimentos em Clínica – 30H - Nota Máxima: 10")</f>
        <v>Pós-Graduação em Psicanálise - Pós-Graduação em Psicanálise - NIVALDO DA SILVA LIMA - Práticas e Procedimentos em Clínica – 30H - Nota Máxima: 10</v>
      </c>
    </row>
    <row r="7923">
      <c r="A7923" s="390" t="str">
        <f>IFERROR(__xludf.DUMMYFUNCTION("""COMPUTED_VALUE"""),"Pós-Graduação em Psicanálise - Pós-Graduação em Psicanálise - NIVALDO DA SILVA LIMA - Práticas e Procedimentos em Clínica – 30H - Nota Máxima: 3")</f>
        <v>Pós-Graduação em Psicanálise - Pós-Graduação em Psicanálise - NIVALDO DA SILVA LIMA - Práticas e Procedimentos em Clínica – 30H - Nota Máxima: 3</v>
      </c>
    </row>
    <row r="7924">
      <c r="A7924" s="390" t="str">
        <f>IFERROR(__xludf.DUMMYFUNCTION("""COMPUTED_VALUE"""),"Pós-Graduação em Psicanálise - Pós-Graduação em Psicanálise - NIVALDO DA SILVA LIMA - Processos de Transferência e Resistência – 30H - Nota Máxima: 10")</f>
        <v>Pós-Graduação em Psicanálise - Pós-Graduação em Psicanálise - NIVALDO DA SILVA LIMA - Processos de Transferência e Resistência – 30H - Nota Máxima: 10</v>
      </c>
    </row>
    <row r="7925">
      <c r="A7925" s="390" t="str">
        <f>IFERROR(__xludf.DUMMYFUNCTION("""COMPUTED_VALUE"""),"Pós-Graduação em Psicanálise - Pós-Graduação em Psicanálise - NIVALDO DA SILVA LIMA - Processos de Transferência e Resistência – 30H - Nota Máxima: 1")</f>
        <v>Pós-Graduação em Psicanálise - Pós-Graduação em Psicanálise - NIVALDO DA SILVA LIMA - Processos de Transferência e Resistência – 30H - Nota Máxima: 1</v>
      </c>
    </row>
    <row r="7926">
      <c r="A7926" s="390" t="str">
        <f>IFERROR(__xludf.DUMMYFUNCTION("""COMPUTED_VALUE"""),"Pós-Graduação em Psicanálise - Pós-Graduação em Psicanálise - NIVALDO DA SILVA LIMA - Psicanálise da Criança e do Adolescente – 40H - Nota Máxima: 10")</f>
        <v>Pós-Graduação em Psicanálise - Pós-Graduação em Psicanálise - NIVALDO DA SILVA LIMA - Psicanálise da Criança e do Adolescente – 40H - Nota Máxima: 10</v>
      </c>
    </row>
    <row r="7927">
      <c r="A7927" s="390" t="str">
        <f>IFERROR(__xludf.DUMMYFUNCTION("""COMPUTED_VALUE"""),"Pós-Graduação em Psicanálise - Pós-Graduação em Psicanálise - NIVALDO DA SILVA LIMA - Psicanálise da Criança e do Adolescente – 40H - Nota Máxima: 7")</f>
        <v>Pós-Graduação em Psicanálise - Pós-Graduação em Psicanálise - NIVALDO DA SILVA LIMA - Psicanálise da Criança e do Adolescente – 40H - Nota Máxima: 7</v>
      </c>
    </row>
    <row r="7928">
      <c r="A7928" s="390" t="str">
        <f>IFERROR(__xludf.DUMMYFUNCTION("""COMPUTED_VALUE"""),"Pós-Graduação em Psicanálise - Pós-Graduação em Psicanálise - NIVALDO DA SILVA LIMA - Psicanálise II – 50H - Nota Máxima: 10")</f>
        <v>Pós-Graduação em Psicanálise - Pós-Graduação em Psicanálise - NIVALDO DA SILVA LIMA - Psicanálise II – 50H - Nota Máxima: 10</v>
      </c>
    </row>
    <row r="7929">
      <c r="A7929" s="390" t="str">
        <f>IFERROR(__xludf.DUMMYFUNCTION("""COMPUTED_VALUE"""),"Pós-Graduação em Psicanálise - Pós-Graduação em Psicanálise - NIVALDO DA SILVA LIMA - Psicanálise II – 50H - Nota Máxima: 5")</f>
        <v>Pós-Graduação em Psicanálise - Pós-Graduação em Psicanálise - NIVALDO DA SILVA LIMA - Psicanálise II – 50H - Nota Máxima: 5</v>
      </c>
    </row>
    <row r="7930">
      <c r="A7930" s="390" t="str">
        <f>IFERROR(__xludf.DUMMYFUNCTION("""COMPUTED_VALUE"""),"Pós-Graduação em Psicanálise - Pós-Graduação em Psicanálise - NIVALDO DA SILVA LIMA - Psicopatologias I – 40H - Nota Máxima: 10")</f>
        <v>Pós-Graduação em Psicanálise - Pós-Graduação em Psicanálise - NIVALDO DA SILVA LIMA - Psicopatologias I – 40H - Nota Máxima: 10</v>
      </c>
    </row>
    <row r="7931">
      <c r="A7931" s="390" t="str">
        <f>IFERROR(__xludf.DUMMYFUNCTION("""COMPUTED_VALUE"""),"Pós-Graduação em Psicanálise - Pós-Graduação em Psicanálise - NIVALDO DA SILVA LIMA - Psicopatologias I – 40H - Nota Máxima: 1")</f>
        <v>Pós-Graduação em Psicanálise - Pós-Graduação em Psicanálise - NIVALDO DA SILVA LIMA - Psicopatologias I – 40H - Nota Máxima: 1</v>
      </c>
    </row>
    <row r="7932">
      <c r="A7932" s="390" t="str">
        <f>IFERROR(__xludf.DUMMYFUNCTION("""COMPUTED_VALUE"""),"Pós-Graduação em Psicanálise - Pós-Graduação em Psicanálise - NIVALDO DA SILVA LIMA - Psicopatologias II – 50H - Nota Máxima: 10")</f>
        <v>Pós-Graduação em Psicanálise - Pós-Graduação em Psicanálise - NIVALDO DA SILVA LIMA - Psicopatologias II – 50H - Nota Máxima: 10</v>
      </c>
    </row>
    <row r="7933">
      <c r="A7933" s="390" t="str">
        <f>IFERROR(__xludf.DUMMYFUNCTION("""COMPUTED_VALUE"""),"Pós-Graduação em Psicanálise - Pós-Graduação em Psicanálise - NIVALDO DA SILVA LIMA - Psicopatologias II – 50H - Nota Máxima: 3")</f>
        <v>Pós-Graduação em Psicanálise - Pós-Graduação em Psicanálise - NIVALDO DA SILVA LIMA - Psicopatologias II – 50H - Nota Máxima: 3</v>
      </c>
    </row>
    <row r="7934">
      <c r="A7934" s="390" t="str">
        <f>IFERROR(__xludf.DUMMYFUNCTION("""COMPUTED_VALUE"""),"Pós-Graduação em Psicanálise - Pós-Graduação em Psicanálise - NIVALDO DA SILVA LIMA - Sonhos, Simbologia e Representação – 50H - Nota Máxima: 10")</f>
        <v>Pós-Graduação em Psicanálise - Pós-Graduação em Psicanálise - NIVALDO DA SILVA LIMA - Sonhos, Simbologia e Representação – 50H - Nota Máxima: 10</v>
      </c>
    </row>
    <row r="7935">
      <c r="A7935" s="390" t="str">
        <f>IFERROR(__xludf.DUMMYFUNCTION("""COMPUTED_VALUE"""),"Pós-Graduação em Psicanálise - Pós-Graduação em Psicanálise - NIVALDO DA SILVA LIMA - Sonhos, Simbologia e Representação – 50H - Nota Máxima: 1")</f>
        <v>Pós-Graduação em Psicanálise - Pós-Graduação em Psicanálise - NIVALDO DA SILVA LIMA - Sonhos, Simbologia e Representação – 50H - Nota Máxima: 1</v>
      </c>
    </row>
    <row r="7936">
      <c r="A7936" s="390" t="str">
        <f>IFERROR(__xludf.DUMMYFUNCTION("""COMPUTED_VALUE"""),"Pós-Graduação em Psicanálise - Pós-Graduação em Psicanálise - NIVALDO DA SILVA LIMA - Tópicos Avançados em Clínica – 40H - Nota Máxima: 10")</f>
        <v>Pós-Graduação em Psicanálise - Pós-Graduação em Psicanálise - NIVALDO DA SILVA LIMA - Tópicos Avançados em Clínica – 40H - Nota Máxima: 10</v>
      </c>
    </row>
    <row r="7937">
      <c r="A7937" s="390" t="str">
        <f>IFERROR(__xludf.DUMMYFUNCTION("""COMPUTED_VALUE"""),"Pós-Graduação em Psicanálise - Pós-Graduação em Psicanálise - NIVALDO DA SILVA LIMA - Tópicos Avançados em Clínica – 40H - Nota Máxima: 1")</f>
        <v>Pós-Graduação em Psicanálise - Pós-Graduação em Psicanálise - NIVALDO DA SILVA LIMA - Tópicos Avançados em Clínica – 40H - Nota Máxima: 1</v>
      </c>
    </row>
    <row r="7938">
      <c r="A7938" s="390" t="str">
        <f>IFERROR(__xludf.DUMMYFUNCTION("""COMPUTED_VALUE"""),"Pós-Graduação em Psicanálise - Pós-Graduação em Psicanálise - NIVALDO DA SILVA LIMA - Tópicos Avançados em Sexualidade – 40H - Nota Máxima: 10")</f>
        <v>Pós-Graduação em Psicanálise - Pós-Graduação em Psicanálise - NIVALDO DA SILVA LIMA - Tópicos Avançados em Sexualidade – 40H - Nota Máxima: 10</v>
      </c>
    </row>
    <row r="7939">
      <c r="A7939" s="390" t="str">
        <f>IFERROR(__xludf.DUMMYFUNCTION("""COMPUTED_VALUE"""),"Pós-Graduação em Psicanálise - Pós-Graduação em Psicanálise - NIVALDO DA SILVA LIMA - Tópicos Avançados em Sexualidade – 40H - Nota Máxima: 1")</f>
        <v>Pós-Graduação em Psicanálise - Pós-Graduação em Psicanálise - NIVALDO DA SILVA LIMA - Tópicos Avançados em Sexualidade – 40H - Nota Máxima: 1</v>
      </c>
    </row>
    <row r="7940">
      <c r="A7940" s="390" t="str">
        <f>IFERROR(__xludf.DUMMYFUNCTION("""COMPUTED_VALUE"""),"Pós-Graduação em Psicanálise - Pós-Graduação em Psicanálise - Nadja Jeane Maria de Jesus Sampaio - Complexo de Édipo e Castração - Nota Máxima: 8")</f>
        <v>Pós-Graduação em Psicanálise - Pós-Graduação em Psicanálise - Nadja Jeane Maria de Jesus Sampaio - Complexo de Édipo e Castração - Nota Máxima: 8</v>
      </c>
    </row>
    <row r="7941">
      <c r="A7941" s="390" t="str">
        <f>IFERROR(__xludf.DUMMYFUNCTION("""COMPUTED_VALUE"""),"Pós-Graduação em Psicanálise - Pós-Graduação em Psicanálise - Nadja Jeane Maria de Jesus Sampaio - Complexo de Édipo e Castração - Nota Máxima: 0")</f>
        <v>Pós-Graduação em Psicanálise - Pós-Graduação em Psicanálise - Nadja Jeane Maria de Jesus Sampaio - Complexo de Édipo e Castração - Nota Máxima: 0</v>
      </c>
    </row>
    <row r="7942">
      <c r="A7942" s="390" t="str">
        <f>IFERROR(__xludf.DUMMYFUNCTION("""COMPUTED_VALUE"""),"Pós-Graduação em Psicanálise - Pós-Graduação em Psicanálise - Nadja Jeane Maria de Jesus Sampaio - Formação e Ética do Psicanalista – 30H - Nota Máxima: 9")</f>
        <v>Pós-Graduação em Psicanálise - Pós-Graduação em Psicanálise - Nadja Jeane Maria de Jesus Sampaio - Formação e Ética do Psicanalista – 30H - Nota Máxima: 9</v>
      </c>
    </row>
    <row r="7943">
      <c r="A7943" s="390" t="str">
        <f>IFERROR(__xludf.DUMMYFUNCTION("""COMPUTED_VALUE"""),"Pós-Graduação em Psicanálise - Pós-Graduação em Psicanálise - Nadja Jeane Maria de Jesus Sampaio - Formação e Ética do Psicanalista – 30H - Nota Máxima: 0")</f>
        <v>Pós-Graduação em Psicanálise - Pós-Graduação em Psicanálise - Nadja Jeane Maria de Jesus Sampaio - Formação e Ética do Psicanalista – 30H - Nota Máxima: 0</v>
      </c>
    </row>
    <row r="7944">
      <c r="A7944" s="390" t="str">
        <f>IFERROR(__xludf.DUMMYFUNCTION("""COMPUTED_VALUE"""),"Pós-Graduação em Psicanálise - Pós-Graduação em Psicanálise - Nadja Jeane Maria de Jesus Sampaio - Introdução à EAD - 30H - Nota Máxima: 9")</f>
        <v>Pós-Graduação em Psicanálise - Pós-Graduação em Psicanálise - Nadja Jeane Maria de Jesus Sampaio - Introdução à EAD - 30H - Nota Máxima: 9</v>
      </c>
    </row>
    <row r="7945">
      <c r="A7945" s="390" t="str">
        <f>IFERROR(__xludf.DUMMYFUNCTION("""COMPUTED_VALUE"""),"Pós-Graduação em Psicanálise - Pós-Graduação em Psicanálise - Nadja Jeane Maria de Jesus Sampaio - Introdução à EAD - 30H - Nota Máxima: 0")</f>
        <v>Pós-Graduação em Psicanálise - Pós-Graduação em Psicanálise - Nadja Jeane Maria de Jesus Sampaio - Introdução à EAD - 30H - Nota Máxima: 0</v>
      </c>
    </row>
    <row r="7946">
      <c r="A7946" s="390" t="str">
        <f>IFERROR(__xludf.DUMMYFUNCTION("""COMPUTED_VALUE"""),"Pós-Graduação em Psicanálise - Pós-Graduação em Psicanálise - Nadja Jeane Maria de Jesus Sampaio - Introdução à Psicanálise – 40H - Nota Máxima: 9")</f>
        <v>Pós-Graduação em Psicanálise - Pós-Graduação em Psicanálise - Nadja Jeane Maria de Jesus Sampaio - Introdução à Psicanálise – 40H - Nota Máxima: 9</v>
      </c>
    </row>
    <row r="7947">
      <c r="A7947" s="390" t="str">
        <f>IFERROR(__xludf.DUMMYFUNCTION("""COMPUTED_VALUE"""),"Pós-Graduação em Psicanálise - Pós-Graduação em Psicanálise - Nadja Jeane Maria de Jesus Sampaio - Introdução à Psicanálise – 40H - Nota Máxima: 0")</f>
        <v>Pós-Graduação em Psicanálise - Pós-Graduação em Psicanálise - Nadja Jeane Maria de Jesus Sampaio - Introdução à Psicanálise – 40H - Nota Máxima: 0</v>
      </c>
    </row>
    <row r="7948">
      <c r="A7948" s="390" t="str">
        <f>IFERROR(__xludf.DUMMYFUNCTION("""COMPUTED_VALUE"""),"Pós-Graduação em Psicanálise - Pós-Graduação em Psicanálise - Nadja Jeane Maria de Jesus Sampaio - Libido, Pulsões e Sexualidade – 50H - Nota Máxima: 9")</f>
        <v>Pós-Graduação em Psicanálise - Pós-Graduação em Psicanálise - Nadja Jeane Maria de Jesus Sampaio - Libido, Pulsões e Sexualidade – 50H - Nota Máxima: 9</v>
      </c>
    </row>
    <row r="7949">
      <c r="A7949" s="390" t="str">
        <f>IFERROR(__xludf.DUMMYFUNCTION("""COMPUTED_VALUE"""),"Pós-Graduação em Psicanálise - Pós-Graduação em Psicanálise - Nadja Jeane Maria de Jesus Sampaio - Libido, Pulsões e Sexualidade – 50H - Nota Máxima: 0")</f>
        <v>Pós-Graduação em Psicanálise - Pós-Graduação em Psicanálise - Nadja Jeane Maria de Jesus Sampaio - Libido, Pulsões e Sexualidade – 50H - Nota Máxima: 0</v>
      </c>
    </row>
    <row r="7950">
      <c r="A7950" s="390" t="str">
        <f>IFERROR(__xludf.DUMMYFUNCTION("""COMPUTED_VALUE"""),"Pós-Graduação em Psicanálise - Pós-Graduação em Psicanálise - Nilce Cristina Vaz Dutra - Complexo de Édipo e Castração - Nota Máxima: 7")</f>
        <v>Pós-Graduação em Psicanálise - Pós-Graduação em Psicanálise - Nilce Cristina Vaz Dutra - Complexo de Édipo e Castração - Nota Máxima: 7</v>
      </c>
    </row>
    <row r="7951">
      <c r="A7951" s="390" t="str">
        <f>IFERROR(__xludf.DUMMYFUNCTION("""COMPUTED_VALUE"""),"Pós-Graduação em Psicanálise - Pós-Graduação em Psicanálise - Nilce Cristina Vaz Dutra - Complexo de Édipo e Castração - Nota Máxima: 3")</f>
        <v>Pós-Graduação em Psicanálise - Pós-Graduação em Psicanálise - Nilce Cristina Vaz Dutra - Complexo de Édipo e Castração - Nota Máxima: 3</v>
      </c>
    </row>
    <row r="7952">
      <c r="A7952" s="390" t="str">
        <f>IFERROR(__xludf.DUMMYFUNCTION("""COMPUTED_VALUE"""),"Pós-Graduação em Psicanálise - Pós-Graduação em Psicanálise - Nilce Cristina Vaz Dutra - Educação Especial, Inclusão Escolar e Adaptações Curriculares - Nota Máxima: 10")</f>
        <v>Pós-Graduação em Psicanálise - Pós-Graduação em Psicanálise - Nilce Cristina Vaz Dutra - Educação Especial, Inclusão Escolar e Adaptações Curriculares - Nota Máxima: 10</v>
      </c>
    </row>
    <row r="7953">
      <c r="A7953" s="390" t="str">
        <f>IFERROR(__xludf.DUMMYFUNCTION("""COMPUTED_VALUE"""),"Pós-Graduação em Psicanálise - Pós-Graduação em Psicanálise - Nilce Cristina Vaz Dutra - Educação Especial, Inclusão Escolar e Adaptações Curriculares - Nota Máxima: 3")</f>
        <v>Pós-Graduação em Psicanálise - Pós-Graduação em Psicanálise - Nilce Cristina Vaz Dutra - Educação Especial, Inclusão Escolar e Adaptações Curriculares - Nota Máxima: 3</v>
      </c>
    </row>
    <row r="7954">
      <c r="A7954" s="390" t="str">
        <f>IFERROR(__xludf.DUMMYFUNCTION("""COMPUTED_VALUE"""),"Pós-Graduação em Psicanálise - Pós-Graduação em Psicanálise - Nilce Cristina Vaz Dutra - Formação e Ética do Psicanalista – 30H - Nota Máxima: 8")</f>
        <v>Pós-Graduação em Psicanálise - Pós-Graduação em Psicanálise - Nilce Cristina Vaz Dutra - Formação e Ética do Psicanalista – 30H - Nota Máxima: 8</v>
      </c>
    </row>
    <row r="7955">
      <c r="A7955" s="390" t="str">
        <f>IFERROR(__xludf.DUMMYFUNCTION("""COMPUTED_VALUE"""),"Pós-Graduação em Psicanálise - Pós-Graduação em Psicanálise - Nilce Cristina Vaz Dutra - Formação e Ética do Psicanalista – 30H - Nota Máxima: 2")</f>
        <v>Pós-Graduação em Psicanálise - Pós-Graduação em Psicanálise - Nilce Cristina Vaz Dutra - Formação e Ética do Psicanalista – 30H - Nota Máxima: 2</v>
      </c>
    </row>
    <row r="7956">
      <c r="A7956" s="390" t="str">
        <f>IFERROR(__xludf.DUMMYFUNCTION("""COMPUTED_VALUE"""),"Pós-Graduação em Psicanálise - Pós-Graduação em Psicanálise - Nilce Cristina Vaz Dutra - Introdução à Psicanálise – 40H - Nota Máxima: 9")</f>
        <v>Pós-Graduação em Psicanálise - Pós-Graduação em Psicanálise - Nilce Cristina Vaz Dutra - Introdução à Psicanálise – 40H - Nota Máxima: 9</v>
      </c>
    </row>
    <row r="7957">
      <c r="A7957" s="390" t="str">
        <f>IFERROR(__xludf.DUMMYFUNCTION("""COMPUTED_VALUE"""),"Pós-Graduação em Psicanálise - Pós-Graduação em Psicanálise - Nilce Cristina Vaz Dutra - Introdução à Psicanálise – 40H - Nota Máxima: 4")</f>
        <v>Pós-Graduação em Psicanálise - Pós-Graduação em Psicanálise - Nilce Cristina Vaz Dutra - Introdução à Psicanálise – 40H - Nota Máxima: 4</v>
      </c>
    </row>
    <row r="7958">
      <c r="A7958" s="390" t="str">
        <f>IFERROR(__xludf.DUMMYFUNCTION("""COMPUTED_VALUE"""),"Pós-Graduação em Psicanálise - Pós-Graduação em Psicanálise - Nilce Cristina Vaz Dutra - Legislação Educacional/a - Nota Máxima: 8")</f>
        <v>Pós-Graduação em Psicanálise - Pós-Graduação em Psicanálise - Nilce Cristina Vaz Dutra - Legislação Educacional/a - Nota Máxima: 8</v>
      </c>
    </row>
    <row r="7959">
      <c r="A7959" s="390" t="str">
        <f>IFERROR(__xludf.DUMMYFUNCTION("""COMPUTED_VALUE"""),"Pós-Graduação em Psicanálise - Pós-Graduação em Psicanálise - Nilce Cristina Vaz Dutra - Legislação Educacional/a - Nota Máxima: 0")</f>
        <v>Pós-Graduação em Psicanálise - Pós-Graduação em Psicanálise - Nilce Cristina Vaz Dutra - Legislação Educacional/a - Nota Máxima: 0</v>
      </c>
    </row>
    <row r="7960">
      <c r="A7960" s="390" t="str">
        <f>IFERROR(__xludf.DUMMYFUNCTION("""COMPUTED_VALUE"""),"Pós-Graduação em Psicanálise - Pós-Graduação em Psicanálise - Nilce Cristina Vaz Dutra - Libido, Pulsões e Sexualidade – 50H - Nota Máxima: 10")</f>
        <v>Pós-Graduação em Psicanálise - Pós-Graduação em Psicanálise - Nilce Cristina Vaz Dutra - Libido, Pulsões e Sexualidade – 50H - Nota Máxima: 10</v>
      </c>
    </row>
    <row r="7961">
      <c r="A7961" s="390" t="str">
        <f>IFERROR(__xludf.DUMMYFUNCTION("""COMPUTED_VALUE"""),"Pós-Graduação em Psicanálise - Pós-Graduação em Psicanálise - Nilce Cristina Vaz Dutra - Libido, Pulsões e Sexualidade – 50H - Nota Máxima: 0")</f>
        <v>Pós-Graduação em Psicanálise - Pós-Graduação em Psicanálise - Nilce Cristina Vaz Dutra - Libido, Pulsões e Sexualidade – 50H - Nota Máxima: 0</v>
      </c>
    </row>
    <row r="7962">
      <c r="A7962" s="390" t="str">
        <f>IFERROR(__xludf.DUMMYFUNCTION("""COMPUTED_VALUE"""),"Pós-Graduação em Psicanálise - Pós-Graduação em Psicanálise - Nilce Cristina Vaz Dutra - Narcisismo e a Cultura da Indiferença – 40H - Nota Máxima: 10")</f>
        <v>Pós-Graduação em Psicanálise - Pós-Graduação em Psicanálise - Nilce Cristina Vaz Dutra - Narcisismo e a Cultura da Indiferença – 40H - Nota Máxima: 10</v>
      </c>
    </row>
    <row r="7963">
      <c r="A7963" s="390" t="str">
        <f>IFERROR(__xludf.DUMMYFUNCTION("""COMPUTED_VALUE"""),"Pós-Graduação em Psicanálise - Pós-Graduação em Psicanálise - Nilce Cristina Vaz Dutra - Narcisismo e a Cultura da Indiferença – 40H - Nota Máxima: 4")</f>
        <v>Pós-Graduação em Psicanálise - Pós-Graduação em Psicanálise - Nilce Cristina Vaz Dutra - Narcisismo e a Cultura da Indiferença – 40H - Nota Máxima: 4</v>
      </c>
    </row>
    <row r="7964">
      <c r="A7964" s="390" t="str">
        <f>IFERROR(__xludf.DUMMYFUNCTION("""COMPUTED_VALUE"""),"Pós-Graduação em Psicanálise - Pós-Graduação em Psicanálise - Nilce Cristina Vaz Dutra - O Aparelho psíquico, aspectos clínicos e Teóricos – 40H - Nota Máxima: 10")</f>
        <v>Pós-Graduação em Psicanálise - Pós-Graduação em Psicanálise - Nilce Cristina Vaz Dutra - O Aparelho psíquico, aspectos clínicos e Teóricos – 40H - Nota Máxima: 10</v>
      </c>
    </row>
    <row r="7965">
      <c r="A7965" s="390" t="str">
        <f>IFERROR(__xludf.DUMMYFUNCTION("""COMPUTED_VALUE"""),"Pós-Graduação em Psicanálise - Pós-Graduação em Psicanálise - Nilce Cristina Vaz Dutra - O Aparelho psíquico, aspectos clínicos e Teóricos – 40H - Nota Máxima: 4")</f>
        <v>Pós-Graduação em Psicanálise - Pós-Graduação em Psicanálise - Nilce Cristina Vaz Dutra - O Aparelho psíquico, aspectos clínicos e Teóricos – 40H - Nota Máxima: 4</v>
      </c>
    </row>
    <row r="7966">
      <c r="A7966" s="390" t="str">
        <f>IFERROR(__xludf.DUMMYFUNCTION("""COMPUTED_VALUE"""),"Pós-Graduação em Psicanálise - Pós-Graduação em Psicanálise - Nilce Cristina Vaz Dutra - O Método Psicanalítico – 50H - Nota Máxima: 9")</f>
        <v>Pós-Graduação em Psicanálise - Pós-Graduação em Psicanálise - Nilce Cristina Vaz Dutra - O Método Psicanalítico – 50H - Nota Máxima: 9</v>
      </c>
    </row>
    <row r="7967">
      <c r="A7967" s="390" t="str">
        <f>IFERROR(__xludf.DUMMYFUNCTION("""COMPUTED_VALUE"""),"Pós-Graduação em Psicanálise - Pós-Graduação em Psicanálise - Nilce Cristina Vaz Dutra - O Método Psicanalítico – 50H - Nota Máxima: 2")</f>
        <v>Pós-Graduação em Psicanálise - Pós-Graduação em Psicanálise - Nilce Cristina Vaz Dutra - O Método Psicanalítico – 50H - Nota Máxima: 2</v>
      </c>
    </row>
    <row r="7968">
      <c r="A7968" s="390" t="str">
        <f>IFERROR(__xludf.DUMMYFUNCTION("""COMPUTED_VALUE"""),"Pós-Graduação em Psicanálise - Pós-Graduação em Psicanálise - Nilce Cristina Vaz Dutra - Planejamento, Gestão Educacional e Currículo/a - Nota Máxima: 9")</f>
        <v>Pós-Graduação em Psicanálise - Pós-Graduação em Psicanálise - Nilce Cristina Vaz Dutra - Planejamento, Gestão Educacional e Currículo/a - Nota Máxima: 9</v>
      </c>
    </row>
    <row r="7969">
      <c r="A7969" s="390" t="str">
        <f>IFERROR(__xludf.DUMMYFUNCTION("""COMPUTED_VALUE"""),"Pós-Graduação em Psicanálise - Pós-Graduação em Psicanálise - Nilce Cristina Vaz Dutra - Planejamento, Gestão Educacional e Currículo/a - Nota Máxima: 10")</f>
        <v>Pós-Graduação em Psicanálise - Pós-Graduação em Psicanálise - Nilce Cristina Vaz Dutra - Planejamento, Gestão Educacional e Currículo/a - Nota Máxima: 10</v>
      </c>
    </row>
    <row r="7970">
      <c r="A7970" s="390" t="str">
        <f>IFERROR(__xludf.DUMMYFUNCTION("""COMPUTED_VALUE"""),"Pós-Graduação em Psicanálise - Pós-Graduação em Psicanálise - Nilce Cristina Vaz Dutra - Práticas e Procedimentos em Clínica – 30H - Nota Máxima: 9")</f>
        <v>Pós-Graduação em Psicanálise - Pós-Graduação em Psicanálise - Nilce Cristina Vaz Dutra - Práticas e Procedimentos em Clínica – 30H - Nota Máxima: 9</v>
      </c>
    </row>
    <row r="7971">
      <c r="A7971" s="390" t="str">
        <f>IFERROR(__xludf.DUMMYFUNCTION("""COMPUTED_VALUE"""),"Pós-Graduação em Psicanálise - Pós-Graduação em Psicanálise - Nilce Cristina Vaz Dutra - Práticas e Procedimentos em Clínica – 30H - Nota Máxima: 2")</f>
        <v>Pós-Graduação em Psicanálise - Pós-Graduação em Psicanálise - Nilce Cristina Vaz Dutra - Práticas e Procedimentos em Clínica – 30H - Nota Máxima: 2</v>
      </c>
    </row>
    <row r="7972">
      <c r="A7972" s="390" t="str">
        <f>IFERROR(__xludf.DUMMYFUNCTION("""COMPUTED_VALUE"""),"Pós-Graduação em Psicanálise - Pós-Graduação em Psicanálise - Nilce Cristina Vaz Dutra - Processos de Transferência e Resistência – 30H - Nota Máxima: 10")</f>
        <v>Pós-Graduação em Psicanálise - Pós-Graduação em Psicanálise - Nilce Cristina Vaz Dutra - Processos de Transferência e Resistência – 30H - Nota Máxima: 10</v>
      </c>
    </row>
    <row r="7973">
      <c r="A7973" s="390" t="str">
        <f>IFERROR(__xludf.DUMMYFUNCTION("""COMPUTED_VALUE"""),"Pós-Graduação em Psicanálise - Pós-Graduação em Psicanálise - Nilce Cristina Vaz Dutra - Processos de Transferência e Resistência – 30H - Nota Máxima: 3")</f>
        <v>Pós-Graduação em Psicanálise - Pós-Graduação em Psicanálise - Nilce Cristina Vaz Dutra - Processos de Transferência e Resistência – 30H - Nota Máxima: 3</v>
      </c>
    </row>
    <row r="7974">
      <c r="A7974" s="390" t="str">
        <f>IFERROR(__xludf.DUMMYFUNCTION("""COMPUTED_VALUE"""),"Pós-Graduação em Psicanálise - Pós-Graduação em Psicanálise - Nilce Cristina Vaz Dutra - Psicanálise da Criança e do Adolescente – 40H - Nota Máxima: 10")</f>
        <v>Pós-Graduação em Psicanálise - Pós-Graduação em Psicanálise - Nilce Cristina Vaz Dutra - Psicanálise da Criança e do Adolescente – 40H - Nota Máxima: 10</v>
      </c>
    </row>
    <row r="7975">
      <c r="A7975" s="390" t="str">
        <f>IFERROR(__xludf.DUMMYFUNCTION("""COMPUTED_VALUE"""),"Pós-Graduação em Psicanálise - Pós-Graduação em Psicanálise - Nilce Cristina Vaz Dutra - Psicanálise da Criança e do Adolescente – 40H - Nota Máxima: 2")</f>
        <v>Pós-Graduação em Psicanálise - Pós-Graduação em Psicanálise - Nilce Cristina Vaz Dutra - Psicanálise da Criança e do Adolescente – 40H - Nota Máxima: 2</v>
      </c>
    </row>
    <row r="7976">
      <c r="A7976" s="390" t="str">
        <f>IFERROR(__xludf.DUMMYFUNCTION("""COMPUTED_VALUE"""),"Pós-Graduação em Psicanálise - Pós-Graduação em Psicanálise - Nilce Cristina Vaz Dutra - Psicanálise II – 50H - Nota Máxima: 10")</f>
        <v>Pós-Graduação em Psicanálise - Pós-Graduação em Psicanálise - Nilce Cristina Vaz Dutra - Psicanálise II – 50H - Nota Máxima: 10</v>
      </c>
    </row>
    <row r="7977">
      <c r="A7977" s="390" t="str">
        <f>IFERROR(__xludf.DUMMYFUNCTION("""COMPUTED_VALUE"""),"Pós-Graduação em Psicanálise - Pós-Graduação em Psicanálise - Nilce Cristina Vaz Dutra - Psicanálise II – 50H - Nota Máxima: 2")</f>
        <v>Pós-Graduação em Psicanálise - Pós-Graduação em Psicanálise - Nilce Cristina Vaz Dutra - Psicanálise II – 50H - Nota Máxima: 2</v>
      </c>
    </row>
    <row r="7978">
      <c r="A7978" s="390" t="str">
        <f>IFERROR(__xludf.DUMMYFUNCTION("""COMPUTED_VALUE"""),"Pós-Graduação em Psicanálise - Pós-Graduação em Psicanálise - Nilce Cristina Vaz Dutra - Psicopatologias I – 40H - Nota Máxima: 10")</f>
        <v>Pós-Graduação em Psicanálise - Pós-Graduação em Psicanálise - Nilce Cristina Vaz Dutra - Psicopatologias I – 40H - Nota Máxima: 10</v>
      </c>
    </row>
    <row r="7979">
      <c r="A7979" s="390" t="str">
        <f>IFERROR(__xludf.DUMMYFUNCTION("""COMPUTED_VALUE"""),"Pós-Graduação em Psicanálise - Pós-Graduação em Psicanálise - Nilce Cristina Vaz Dutra - Psicopatologias I – 40H - Nota Máxima: 0")</f>
        <v>Pós-Graduação em Psicanálise - Pós-Graduação em Psicanálise - Nilce Cristina Vaz Dutra - Psicopatologias I – 40H - Nota Máxima: 0</v>
      </c>
    </row>
    <row r="7980">
      <c r="A7980" s="390" t="str">
        <f>IFERROR(__xludf.DUMMYFUNCTION("""COMPUTED_VALUE"""),"Pós-Graduação em Psicanálise - Pós-Graduação em Psicanálise - Nilce Cristina Vaz Dutra - Psicopatologias II – 50H - Nota Máxima: 9")</f>
        <v>Pós-Graduação em Psicanálise - Pós-Graduação em Psicanálise - Nilce Cristina Vaz Dutra - Psicopatologias II – 50H - Nota Máxima: 9</v>
      </c>
    </row>
    <row r="7981">
      <c r="A7981" s="390" t="str">
        <f>IFERROR(__xludf.DUMMYFUNCTION("""COMPUTED_VALUE"""),"Pós-Graduação em Psicanálise - Pós-Graduação em Psicanálise - Nilce Cristina Vaz Dutra - Psicopatologias II – 50H - Nota Máxima: 2")</f>
        <v>Pós-Graduação em Psicanálise - Pós-Graduação em Psicanálise - Nilce Cristina Vaz Dutra - Psicopatologias II – 50H - Nota Máxima: 2</v>
      </c>
    </row>
    <row r="7982">
      <c r="A7982" s="390" t="str">
        <f>IFERROR(__xludf.DUMMYFUNCTION("""COMPUTED_VALUE"""),"Pós-Graduação em Psicanálise - Pós-Graduação em Psicanálise - Nilce Cristina Vaz Dutra - Sonhos, Simbologia e Representação – 50H - Nota Máxima: 10")</f>
        <v>Pós-Graduação em Psicanálise - Pós-Graduação em Psicanálise - Nilce Cristina Vaz Dutra - Sonhos, Simbologia e Representação – 50H - Nota Máxima: 10</v>
      </c>
    </row>
    <row r="7983">
      <c r="A7983" s="390" t="str">
        <f>IFERROR(__xludf.DUMMYFUNCTION("""COMPUTED_VALUE"""),"Pós-Graduação em Psicanálise - Pós-Graduação em Psicanálise - Nilce Cristina Vaz Dutra - Sonhos, Simbologia e Representação – 50H - Nota Máxima: 4")</f>
        <v>Pós-Graduação em Psicanálise - Pós-Graduação em Psicanálise - Nilce Cristina Vaz Dutra - Sonhos, Simbologia e Representação – 50H - Nota Máxima: 4</v>
      </c>
    </row>
    <row r="7984">
      <c r="A7984" s="390" t="str">
        <f>IFERROR(__xludf.DUMMYFUNCTION("""COMPUTED_VALUE"""),"Pós-Graduação em Psicanálise - Pós-Graduação em Psicanálise - Nilce Cristina Vaz Dutra - Tópicos Avançados em Clínica – 40H - Nota Máxima: 10")</f>
        <v>Pós-Graduação em Psicanálise - Pós-Graduação em Psicanálise - Nilce Cristina Vaz Dutra - Tópicos Avançados em Clínica – 40H - Nota Máxima: 10</v>
      </c>
    </row>
    <row r="7985">
      <c r="A7985" s="390" t="str">
        <f>IFERROR(__xludf.DUMMYFUNCTION("""COMPUTED_VALUE"""),"Pós-Graduação em Psicanálise - Pós-Graduação em Psicanálise - Nilce Cristina Vaz Dutra - Tópicos Avançados em Clínica – 40H - Nota Máxima: 3")</f>
        <v>Pós-Graduação em Psicanálise - Pós-Graduação em Psicanálise - Nilce Cristina Vaz Dutra - Tópicos Avançados em Clínica – 40H - Nota Máxima: 3</v>
      </c>
    </row>
    <row r="7986">
      <c r="A7986" s="390" t="str">
        <f>IFERROR(__xludf.DUMMYFUNCTION("""COMPUTED_VALUE"""),"Pós-Graduação em Psicanálise - Pós-Graduação em Psicanálise - Nilce Cristina Vaz Dutra - Tópicos Avançados em Sexualidade – 40H - Nota Máxima: 9")</f>
        <v>Pós-Graduação em Psicanálise - Pós-Graduação em Psicanálise - Nilce Cristina Vaz Dutra - Tópicos Avançados em Sexualidade – 40H - Nota Máxima: 9</v>
      </c>
    </row>
    <row r="7987">
      <c r="A7987" s="390" t="str">
        <f>IFERROR(__xludf.DUMMYFUNCTION("""COMPUTED_VALUE"""),"Pós-Graduação em Psicanálise - Pós-Graduação em Psicanálise - Nilce Cristina Vaz Dutra - Tópicos Avançados em Sexualidade – 40H - Nota Máxima: 1")</f>
        <v>Pós-Graduação em Psicanálise - Pós-Graduação em Psicanálise - Nilce Cristina Vaz Dutra - Tópicos Avançados em Sexualidade – 40H - Nota Máxima: 1</v>
      </c>
    </row>
    <row r="7988">
      <c r="A7988" s="390" t="str">
        <f>IFERROR(__xludf.DUMMYFUNCTION("""COMPUTED_VALUE"""),"Pós-Graduação em Psicanálise - Pós-Graduação em Psicanálise - Diane Roberta Giroto Cavichioni - Complexo de Édipo e Castração - Nota Máxima: 9")</f>
        <v>Pós-Graduação em Psicanálise - Pós-Graduação em Psicanálise - Diane Roberta Giroto Cavichioni - Complexo de Édipo e Castração - Nota Máxima: 9</v>
      </c>
    </row>
    <row r="7989">
      <c r="A7989" s="390" t="str">
        <f>IFERROR(__xludf.DUMMYFUNCTION("""COMPUTED_VALUE"""),"Pós-Graduação em Psicanálise - Pós-Graduação em Psicanálise - Diane Roberta Giroto Cavichioni - Formação e Ética do Psicanalista – 30H - Nota Máxima: 8")</f>
        <v>Pós-Graduação em Psicanálise - Pós-Graduação em Psicanálise - Diane Roberta Giroto Cavichioni - Formação e Ética do Psicanalista – 30H - Nota Máxima: 8</v>
      </c>
    </row>
    <row r="7990">
      <c r="A7990" s="390" t="str">
        <f>IFERROR(__xludf.DUMMYFUNCTION("""COMPUTED_VALUE"""),"Pós-Graduação em Psicanálise - Pós-Graduação em Psicanálise - Diane Roberta Giroto Cavichioni - Introdução à EAD - 30H - Nota Máxima: 8")</f>
        <v>Pós-Graduação em Psicanálise - Pós-Graduação em Psicanálise - Diane Roberta Giroto Cavichioni - Introdução à EAD - 30H - Nota Máxima: 8</v>
      </c>
    </row>
    <row r="7991">
      <c r="A7991" s="390" t="str">
        <f>IFERROR(__xludf.DUMMYFUNCTION("""COMPUTED_VALUE"""),"Pós-Graduação em Psicanálise - Pós-Graduação em Psicanálise - Diane Roberta Giroto Cavichioni - Introdução à EAD - 30H - Nota Máxima: 0")</f>
        <v>Pós-Graduação em Psicanálise - Pós-Graduação em Psicanálise - Diane Roberta Giroto Cavichioni - Introdução à EAD - 30H - Nota Máxima: 0</v>
      </c>
    </row>
    <row r="7992">
      <c r="A7992" s="390" t="str">
        <f>IFERROR(__xludf.DUMMYFUNCTION("""COMPUTED_VALUE"""),"Pós-Graduação em Psicanálise - Pós-Graduação em Psicanálise - Diane Roberta Giroto Cavichioni - Introdução à Psicanálise – 40H - Nota Máxima: 7")</f>
        <v>Pós-Graduação em Psicanálise - Pós-Graduação em Psicanálise - Diane Roberta Giroto Cavichioni - Introdução à Psicanálise – 40H - Nota Máxima: 7</v>
      </c>
    </row>
    <row r="7993">
      <c r="A7993" s="390" t="str">
        <f>IFERROR(__xludf.DUMMYFUNCTION("""COMPUTED_VALUE"""),"Pós-Graduação em Psicanálise - Pós-Graduação em Psicanálise - Diane Roberta Giroto Cavichioni - Libido, Pulsões e Sexualidade – 50H - Nota Máxima: 10")</f>
        <v>Pós-Graduação em Psicanálise - Pós-Graduação em Psicanálise - Diane Roberta Giroto Cavichioni - Libido, Pulsões e Sexualidade – 50H - Nota Máxima: 10</v>
      </c>
    </row>
    <row r="7994">
      <c r="A7994" s="390" t="str">
        <f>IFERROR(__xludf.DUMMYFUNCTION("""COMPUTED_VALUE"""),"Pós-Graduação em Psicanálise - Pós-Graduação em Psicanálise - Diane Roberta Giroto Cavichioni - Narcisismo e a Cultura da Indiferença – 40H - Nota Máxima: 10")</f>
        <v>Pós-Graduação em Psicanálise - Pós-Graduação em Psicanálise - Diane Roberta Giroto Cavichioni - Narcisismo e a Cultura da Indiferença – 40H - Nota Máxima: 10</v>
      </c>
    </row>
    <row r="7995">
      <c r="A7995" s="390" t="str">
        <f>IFERROR(__xludf.DUMMYFUNCTION("""COMPUTED_VALUE"""),"Pós-Graduação em Psicanálise - Pós-Graduação em Psicanálise - Diane Roberta Giroto Cavichioni - O Aparelho psíquico, aspectos clínicos e Teóricos – 40H - Nota Máxima: 9")</f>
        <v>Pós-Graduação em Psicanálise - Pós-Graduação em Psicanálise - Diane Roberta Giroto Cavichioni - O Aparelho psíquico, aspectos clínicos e Teóricos – 40H - Nota Máxima: 9</v>
      </c>
    </row>
    <row r="7996">
      <c r="A7996" s="390" t="str">
        <f>IFERROR(__xludf.DUMMYFUNCTION("""COMPUTED_VALUE"""),"Pós-Graduação em Psicanálise - Pós-Graduação em Psicanálise - Diane Roberta Giroto Cavichioni - O Método Psicanalítico – 50H - Nota Máxima: 9")</f>
        <v>Pós-Graduação em Psicanálise - Pós-Graduação em Psicanálise - Diane Roberta Giroto Cavichioni - O Método Psicanalítico – 50H - Nota Máxima: 9</v>
      </c>
    </row>
    <row r="7997">
      <c r="A7997" s="390" t="str">
        <f>IFERROR(__xludf.DUMMYFUNCTION("""COMPUTED_VALUE"""),"Pós-Graduação em Psicanálise - Pós-Graduação em Psicanálise - Diane Roberta Giroto Cavichioni - Práticas e Procedimentos em Clínica – 30H - Nota Máxima: 7.78")</f>
        <v>Pós-Graduação em Psicanálise - Pós-Graduação em Psicanálise - Diane Roberta Giroto Cavichioni - Práticas e Procedimentos em Clínica – 30H - Nota Máxima: 7.78</v>
      </c>
    </row>
    <row r="7998">
      <c r="A7998" s="390" t="str">
        <f>IFERROR(__xludf.DUMMYFUNCTION("""COMPUTED_VALUE"""),"Pós-Graduação em Psicanálise - Pós-Graduação em Psicanálise - Diane Roberta Giroto Cavichioni - Processos de Transferência e Resistência – 30H - Nota Máxima: 10")</f>
        <v>Pós-Graduação em Psicanálise - Pós-Graduação em Psicanálise - Diane Roberta Giroto Cavichioni - Processos de Transferência e Resistência – 30H - Nota Máxima: 10</v>
      </c>
    </row>
    <row r="7999">
      <c r="A7999" s="390" t="str">
        <f>IFERROR(__xludf.DUMMYFUNCTION("""COMPUTED_VALUE"""),"Pós-Graduação em Psicanálise - Pós-Graduação em Psicanálise - Diane Roberta Giroto Cavichioni - Psicanálise da Criança e do Adolescente – 40H - Nota Máxima: 7")</f>
        <v>Pós-Graduação em Psicanálise - Pós-Graduação em Psicanálise - Diane Roberta Giroto Cavichioni - Psicanálise da Criança e do Adolescente – 40H - Nota Máxima: 7</v>
      </c>
    </row>
    <row r="8000">
      <c r="A8000" s="390" t="str">
        <f>IFERROR(__xludf.DUMMYFUNCTION("""COMPUTED_VALUE"""),"Pós-Graduação em Psicanálise - Pós-Graduação em Psicanálise - Francisca Ivany Gonçalves Amorim Moreira - Complexo de Édipo e Castração - Nota Máxima: 10")</f>
        <v>Pós-Graduação em Psicanálise - Pós-Graduação em Psicanálise - Francisca Ivany Gonçalves Amorim Moreira - Complexo de Édipo e Castração - Nota Máxima: 10</v>
      </c>
    </row>
    <row r="8001">
      <c r="A8001" s="390" t="str">
        <f>IFERROR(__xludf.DUMMYFUNCTION("""COMPUTED_VALUE"""),"Pós-Graduação em Psicanálise - Pós-Graduação em Psicanálise - Francisca Ivany Gonçalves Amorim Moreira - Complexo de Édipo e Castração - Nota Máxima: 5")</f>
        <v>Pós-Graduação em Psicanálise - Pós-Graduação em Psicanálise - Francisca Ivany Gonçalves Amorim Moreira - Complexo de Édipo e Castração - Nota Máxima: 5</v>
      </c>
    </row>
    <row r="8002">
      <c r="A8002" s="390" t="str">
        <f>IFERROR(__xludf.DUMMYFUNCTION("""COMPUTED_VALUE"""),"Pós-Graduação em Psicanálise - Pós-Graduação em Psicanálise - Francisca Ivany Gonçalves Amorim Moreira - Formação e Ética do Psicanalista – 30H - Nota Máxima: 10")</f>
        <v>Pós-Graduação em Psicanálise - Pós-Graduação em Psicanálise - Francisca Ivany Gonçalves Amorim Moreira - Formação e Ética do Psicanalista – 30H - Nota Máxima: 10</v>
      </c>
    </row>
    <row r="8003">
      <c r="A8003" s="390" t="str">
        <f>IFERROR(__xludf.DUMMYFUNCTION("""COMPUTED_VALUE"""),"Pós-Graduação em Psicanálise - Pós-Graduação em Psicanálise - Francisca Ivany Gonçalves Amorim Moreira - Formação e Ética do Psicanalista – 30H - Nota Máxima: 5")</f>
        <v>Pós-Graduação em Psicanálise - Pós-Graduação em Psicanálise - Francisca Ivany Gonçalves Amorim Moreira - Formação e Ética do Psicanalista – 30H - Nota Máxima: 5</v>
      </c>
    </row>
    <row r="8004">
      <c r="A8004" s="390" t="str">
        <f>IFERROR(__xludf.DUMMYFUNCTION("""COMPUTED_VALUE"""),"Pós-Graduação em Psicanálise - Pós-Graduação em Psicanálise - Francisca Ivany Gonçalves Amorim Moreira - Introdução à EAD - 30H - Nota Máxima: 10")</f>
        <v>Pós-Graduação em Psicanálise - Pós-Graduação em Psicanálise - Francisca Ivany Gonçalves Amorim Moreira - Introdução à EAD - 30H - Nota Máxima: 10</v>
      </c>
    </row>
    <row r="8005">
      <c r="A8005" s="390" t="str">
        <f>IFERROR(__xludf.DUMMYFUNCTION("""COMPUTED_VALUE"""),"Pós-Graduação em Psicanálise - Pós-Graduação em Psicanálise - Francisca Ivany Gonçalves Amorim Moreira - Introdução à EAD - 30H - Nota Máxima: 5")</f>
        <v>Pós-Graduação em Psicanálise - Pós-Graduação em Psicanálise - Francisca Ivany Gonçalves Amorim Moreira - Introdução à EAD - 30H - Nota Máxima: 5</v>
      </c>
    </row>
    <row r="8006">
      <c r="A8006" s="390" t="str">
        <f>IFERROR(__xludf.DUMMYFUNCTION("""COMPUTED_VALUE"""),"Pós-Graduação em Psicanálise - Pós-Graduação em Psicanálise - Francisca Ivany Gonçalves Amorim Moreira - Introdução à Psicanálise – 40H - Nota Máxima: 10")</f>
        <v>Pós-Graduação em Psicanálise - Pós-Graduação em Psicanálise - Francisca Ivany Gonçalves Amorim Moreira - Introdução à Psicanálise – 40H - Nota Máxima: 10</v>
      </c>
    </row>
    <row r="8007">
      <c r="A8007" s="390" t="str">
        <f>IFERROR(__xludf.DUMMYFUNCTION("""COMPUTED_VALUE"""),"Pós-Graduação em Psicanálise - Pós-Graduação em Psicanálise - Francisca Ivany Gonçalves Amorim Moreira - Introdução à Psicanálise – 40H - Nota Máxima: 5")</f>
        <v>Pós-Graduação em Psicanálise - Pós-Graduação em Psicanálise - Francisca Ivany Gonçalves Amorim Moreira - Introdução à Psicanálise – 40H - Nota Máxima: 5</v>
      </c>
    </row>
    <row r="8008">
      <c r="A8008" s="390" t="str">
        <f>IFERROR(__xludf.DUMMYFUNCTION("""COMPUTED_VALUE"""),"Pós-Graduação em Psicanálise - Pós-Graduação em Psicanálise - Francisca Ivany Gonçalves Amorim Moreira - Libido, Pulsões e Sexualidade – 50H - Nota Máxima: 8")</f>
        <v>Pós-Graduação em Psicanálise - Pós-Graduação em Psicanálise - Francisca Ivany Gonçalves Amorim Moreira - Libido, Pulsões e Sexualidade – 50H - Nota Máxima: 8</v>
      </c>
    </row>
    <row r="8009">
      <c r="A8009" s="390" t="str">
        <f>IFERROR(__xludf.DUMMYFUNCTION("""COMPUTED_VALUE"""),"Pós-Graduação em Psicanálise - Pós-Graduação em Psicanálise - Francisca Ivany Gonçalves Amorim Moreira - Libido, Pulsões e Sexualidade – 50H - Nota Máxima: 4")</f>
        <v>Pós-Graduação em Psicanálise - Pós-Graduação em Psicanálise - Francisca Ivany Gonçalves Amorim Moreira - Libido, Pulsões e Sexualidade – 50H - Nota Máxima: 4</v>
      </c>
    </row>
    <row r="8010">
      <c r="A8010" s="390" t="str">
        <f>IFERROR(__xludf.DUMMYFUNCTION("""COMPUTED_VALUE"""),"Pós-Graduação em Psicanálise - Pós-Graduação em Psicanálise - Francisca Ivany Gonçalves Amorim Moreira - Narcisismo e a Cultura da Indiferença – 40H - Nota Máxima: 10")</f>
        <v>Pós-Graduação em Psicanálise - Pós-Graduação em Psicanálise - Francisca Ivany Gonçalves Amorim Moreira - Narcisismo e a Cultura da Indiferença – 40H - Nota Máxima: 10</v>
      </c>
    </row>
    <row r="8011">
      <c r="A8011" s="390" t="str">
        <f>IFERROR(__xludf.DUMMYFUNCTION("""COMPUTED_VALUE"""),"Pós-Graduação em Psicanálise - Pós-Graduação em Psicanálise - Francisca Ivany Gonçalves Amorim Moreira - Narcisismo e a Cultura da Indiferença – 40H - Nota Máxima: 4")</f>
        <v>Pós-Graduação em Psicanálise - Pós-Graduação em Psicanálise - Francisca Ivany Gonçalves Amorim Moreira - Narcisismo e a Cultura da Indiferença – 40H - Nota Máxima: 4</v>
      </c>
    </row>
    <row r="8012">
      <c r="A8012" s="390" t="str">
        <f>IFERROR(__xludf.DUMMYFUNCTION("""COMPUTED_VALUE"""),"Pós-Graduação em Psicanálise - Pós-Graduação em Psicanálise - Francisca Ivany Gonçalves Amorim Moreira - O Aparelho psíquico, aspectos clínicos e Teóricos – 40H - Nota Máxima: 10")</f>
        <v>Pós-Graduação em Psicanálise - Pós-Graduação em Psicanálise - Francisca Ivany Gonçalves Amorim Moreira - O Aparelho psíquico, aspectos clínicos e Teóricos – 40H - Nota Máxima: 10</v>
      </c>
    </row>
    <row r="8013">
      <c r="A8013" s="390" t="str">
        <f>IFERROR(__xludf.DUMMYFUNCTION("""COMPUTED_VALUE"""),"Pós-Graduação em Psicanálise - Pós-Graduação em Psicanálise - Francisca Ivany Gonçalves Amorim Moreira - O Aparelho psíquico, aspectos clínicos e Teóricos – 40H - Nota Máxima: 4")</f>
        <v>Pós-Graduação em Psicanálise - Pós-Graduação em Psicanálise - Francisca Ivany Gonçalves Amorim Moreira - O Aparelho psíquico, aspectos clínicos e Teóricos – 40H - Nota Máxima: 4</v>
      </c>
    </row>
    <row r="8014">
      <c r="A8014" s="390" t="str">
        <f>IFERROR(__xludf.DUMMYFUNCTION("""COMPUTED_VALUE"""),"Pós-Graduação em Psicanálise - Pós-Graduação em Psicanálise - Francisca Ivany Gonçalves Amorim Moreira - O Método Psicanalítico – 50H - Nota Máxima: 10")</f>
        <v>Pós-Graduação em Psicanálise - Pós-Graduação em Psicanálise - Francisca Ivany Gonçalves Amorim Moreira - O Método Psicanalítico – 50H - Nota Máxima: 10</v>
      </c>
    </row>
    <row r="8015">
      <c r="A8015" s="390" t="str">
        <f>IFERROR(__xludf.DUMMYFUNCTION("""COMPUTED_VALUE"""),"Pós-Graduação em Psicanálise - Pós-Graduação em Psicanálise - Francisca Ivany Gonçalves Amorim Moreira - O Método Psicanalítico – 50H - Nota Máxima: 8")</f>
        <v>Pós-Graduação em Psicanálise - Pós-Graduação em Psicanálise - Francisca Ivany Gonçalves Amorim Moreira - O Método Psicanalítico – 50H - Nota Máxima: 8</v>
      </c>
    </row>
    <row r="8016">
      <c r="A8016" s="390" t="str">
        <f>IFERROR(__xludf.DUMMYFUNCTION("""COMPUTED_VALUE"""),"Pós-Graduação em Psicanálise - Pós-Graduação em Psicanálise - Francisca Ivany Gonçalves Amorim Moreira - Práticas e Procedimentos em Clínica – 30H - Nota Máxima: 10")</f>
        <v>Pós-Graduação em Psicanálise - Pós-Graduação em Psicanálise - Francisca Ivany Gonçalves Amorim Moreira - Práticas e Procedimentos em Clínica – 30H - Nota Máxima: 10</v>
      </c>
    </row>
    <row r="8017">
      <c r="A8017" s="390" t="str">
        <f>IFERROR(__xludf.DUMMYFUNCTION("""COMPUTED_VALUE"""),"Pós-Graduação em Psicanálise - Pós-Graduação em Psicanálise - Francisca Ivany Gonçalves Amorim Moreira - Práticas e Procedimentos em Clínica – 30H - Nota Máxima: 6")</f>
        <v>Pós-Graduação em Psicanálise - Pós-Graduação em Psicanálise - Francisca Ivany Gonçalves Amorim Moreira - Práticas e Procedimentos em Clínica – 30H - Nota Máxima: 6</v>
      </c>
    </row>
    <row r="8018">
      <c r="A8018" s="390" t="str">
        <f>IFERROR(__xludf.DUMMYFUNCTION("""COMPUTED_VALUE"""),"Pós-Graduação em Psicanálise - Pós-Graduação em Psicanálise - Francisca Ivany Gonçalves Amorim Moreira - Processos de Transferência e Resistência – 30H - Nota Máxima: 9")</f>
        <v>Pós-Graduação em Psicanálise - Pós-Graduação em Psicanálise - Francisca Ivany Gonçalves Amorim Moreira - Processos de Transferência e Resistência – 30H - Nota Máxima: 9</v>
      </c>
    </row>
    <row r="8019">
      <c r="A8019" s="390" t="str">
        <f>IFERROR(__xludf.DUMMYFUNCTION("""COMPUTED_VALUE"""),"Pós-Graduação em Psicanálise - Pós-Graduação em Psicanálise - Francisca Ivany Gonçalves Amorim Moreira - Processos de Transferência e Resistência – 30H - Nota Máxima: 3")</f>
        <v>Pós-Graduação em Psicanálise - Pós-Graduação em Psicanálise - Francisca Ivany Gonçalves Amorim Moreira - Processos de Transferência e Resistência – 30H - Nota Máxima: 3</v>
      </c>
    </row>
    <row r="8020">
      <c r="A8020" s="390" t="str">
        <f>IFERROR(__xludf.DUMMYFUNCTION("""COMPUTED_VALUE"""),"Pós-Graduação em Psicanálise - Pós-Graduação em Psicanálise - Francisca Ivany Gonçalves Amorim Moreira - Psicanálise da Criança e do Adolescente – 40H - Nota Máxima: 10")</f>
        <v>Pós-Graduação em Psicanálise - Pós-Graduação em Psicanálise - Francisca Ivany Gonçalves Amorim Moreira - Psicanálise da Criança e do Adolescente – 40H - Nota Máxima: 10</v>
      </c>
    </row>
    <row r="8021">
      <c r="A8021" s="390" t="str">
        <f>IFERROR(__xludf.DUMMYFUNCTION("""COMPUTED_VALUE"""),"Pós-Graduação em Psicanálise - Pós-Graduação em Psicanálise - Francisca Ivany Gonçalves Amorim Moreira - Psicanálise da Criança e do Adolescente – 40H - Nota Máxima: 7")</f>
        <v>Pós-Graduação em Psicanálise - Pós-Graduação em Psicanálise - Francisca Ivany Gonçalves Amorim Moreira - Psicanálise da Criança e do Adolescente – 40H - Nota Máxima: 7</v>
      </c>
    </row>
    <row r="8022">
      <c r="A8022" s="390" t="str">
        <f>IFERROR(__xludf.DUMMYFUNCTION("""COMPUTED_VALUE"""),"Pós-Graduação em Psicanálise - Pós-Graduação em Psicanálise - Francisca Ivany Gonçalves Amorim Moreira - Psicanálise II – 50H - Nota Máxima: 10")</f>
        <v>Pós-Graduação em Psicanálise - Pós-Graduação em Psicanálise - Francisca Ivany Gonçalves Amorim Moreira - Psicanálise II – 50H - Nota Máxima: 10</v>
      </c>
    </row>
    <row r="8023">
      <c r="A8023" s="390" t="str">
        <f>IFERROR(__xludf.DUMMYFUNCTION("""COMPUTED_VALUE"""),"Pós-Graduação em Psicanálise - Pós-Graduação em Psicanálise - Francisca Ivany Gonçalves Amorim Moreira - Psicanálise II – 50H - Nota Máxima: 4")</f>
        <v>Pós-Graduação em Psicanálise - Pós-Graduação em Psicanálise - Francisca Ivany Gonçalves Amorim Moreira - Psicanálise II – 50H - Nota Máxima: 4</v>
      </c>
    </row>
    <row r="8024">
      <c r="A8024" s="390" t="str">
        <f>IFERROR(__xludf.DUMMYFUNCTION("""COMPUTED_VALUE"""),"Pós-Graduação em Psicanálise - Pós-Graduação em Psicanálise - Francisca Ivany Gonçalves Amorim Moreira - Psicopatologias I – 40H - Nota Máxima: 9")</f>
        <v>Pós-Graduação em Psicanálise - Pós-Graduação em Psicanálise - Francisca Ivany Gonçalves Amorim Moreira - Psicopatologias I – 40H - Nota Máxima: 9</v>
      </c>
    </row>
    <row r="8025">
      <c r="A8025" s="390" t="str">
        <f>IFERROR(__xludf.DUMMYFUNCTION("""COMPUTED_VALUE"""),"Pós-Graduação em Psicanálise - Pós-Graduação em Psicanálise - Francisca Ivany Gonçalves Amorim Moreira - Psicopatologias I – 40H - Nota Máxima: 3")</f>
        <v>Pós-Graduação em Psicanálise - Pós-Graduação em Psicanálise - Francisca Ivany Gonçalves Amorim Moreira - Psicopatologias I – 40H - Nota Máxima: 3</v>
      </c>
    </row>
    <row r="8026">
      <c r="A8026" s="390" t="str">
        <f>IFERROR(__xludf.DUMMYFUNCTION("""COMPUTED_VALUE"""),"Pós-Graduação em Psicanálise - Pós-Graduação em Psicanálise - Francisca Ivany Gonçalves Amorim Moreira - Psicopatologias II – 50H - Nota Máxima: 10")</f>
        <v>Pós-Graduação em Psicanálise - Pós-Graduação em Psicanálise - Francisca Ivany Gonçalves Amorim Moreira - Psicopatologias II – 50H - Nota Máxima: 10</v>
      </c>
    </row>
    <row r="8027">
      <c r="A8027" s="390" t="str">
        <f>IFERROR(__xludf.DUMMYFUNCTION("""COMPUTED_VALUE"""),"Pós-Graduação em Psicanálise - Pós-Graduação em Psicanálise - Francisca Ivany Gonçalves Amorim Moreira - Psicopatologias II – 50H - Nota Máxima: 6")</f>
        <v>Pós-Graduação em Psicanálise - Pós-Graduação em Psicanálise - Francisca Ivany Gonçalves Amorim Moreira - Psicopatologias II – 50H - Nota Máxima: 6</v>
      </c>
    </row>
    <row r="8028">
      <c r="A8028" s="390" t="str">
        <f>IFERROR(__xludf.DUMMYFUNCTION("""COMPUTED_VALUE"""),"Pós-Graduação em Psicanálise - Pós-Graduação em Psicanálise - Francisca Ivany Gonçalves Amorim Moreira - Sonhos, Simbologia e Representação – 50H - Nota Máxima: 9")</f>
        <v>Pós-Graduação em Psicanálise - Pós-Graduação em Psicanálise - Francisca Ivany Gonçalves Amorim Moreira - Sonhos, Simbologia e Representação – 50H - Nota Máxima: 9</v>
      </c>
    </row>
    <row r="8029">
      <c r="A8029" s="390" t="str">
        <f>IFERROR(__xludf.DUMMYFUNCTION("""COMPUTED_VALUE"""),"Pós-Graduação em Psicanálise - Pós-Graduação em Psicanálise - Francisca Ivany Gonçalves Amorim Moreira - Sonhos, Simbologia e Representação – 50H - Nota Máxima: 5")</f>
        <v>Pós-Graduação em Psicanálise - Pós-Graduação em Psicanálise - Francisca Ivany Gonçalves Amorim Moreira - Sonhos, Simbologia e Representação – 50H - Nota Máxima: 5</v>
      </c>
    </row>
    <row r="8030">
      <c r="A8030" s="390" t="str">
        <f>IFERROR(__xludf.DUMMYFUNCTION("""COMPUTED_VALUE"""),"Pós-Graduação em Psicanálise - Pós-Graduação em Psicanálise - Francisca Ivany Gonçalves Amorim Moreira - Tópicos Avançados em Clínica – 40H - Nota Máxima: 10")</f>
        <v>Pós-Graduação em Psicanálise - Pós-Graduação em Psicanálise - Francisca Ivany Gonçalves Amorim Moreira - Tópicos Avançados em Clínica – 40H - Nota Máxima: 10</v>
      </c>
    </row>
    <row r="8031">
      <c r="A8031" s="390" t="str">
        <f>IFERROR(__xludf.DUMMYFUNCTION("""COMPUTED_VALUE"""),"Pós-Graduação em Psicanálise - Pós-Graduação em Psicanálise - Francisca Ivany Gonçalves Amorim Moreira - Tópicos Avançados em Clínica – 40H - Nota Máxima: 7")</f>
        <v>Pós-Graduação em Psicanálise - Pós-Graduação em Psicanálise - Francisca Ivany Gonçalves Amorim Moreira - Tópicos Avançados em Clínica – 40H - Nota Máxima: 7</v>
      </c>
    </row>
    <row r="8032">
      <c r="A8032" s="390" t="str">
        <f>IFERROR(__xludf.DUMMYFUNCTION("""COMPUTED_VALUE"""),"Pós-Graduação em Psicanálise - Pós-Graduação em Psicanálise - Francisca Ivany Gonçalves Amorim Moreira - Tópicos Avançados em Sexualidade – 40H - Nota Máxima: 10")</f>
        <v>Pós-Graduação em Psicanálise - Pós-Graduação em Psicanálise - Francisca Ivany Gonçalves Amorim Moreira - Tópicos Avançados em Sexualidade – 40H - Nota Máxima: 10</v>
      </c>
    </row>
    <row r="8033">
      <c r="A8033" s="390" t="str">
        <f>IFERROR(__xludf.DUMMYFUNCTION("""COMPUTED_VALUE"""),"Pós-Graduação em Psicanálise - Pós-Graduação em Psicanálise - Francisca Ivany Gonçalves Amorim Moreira - Tópicos Avançados em Sexualidade – 40H - Nota Máxima: 1")</f>
        <v>Pós-Graduação em Psicanálise - Pós-Graduação em Psicanálise - Francisca Ivany Gonçalves Amorim Moreira - Tópicos Avançados em Sexualidade – 40H - Nota Máxima: 1</v>
      </c>
    </row>
    <row r="8034">
      <c r="A8034" s="390" t="str">
        <f>IFERROR(__xludf.DUMMYFUNCTION("""COMPUTED_VALUE"""),"Pós-Graduação em Psicanálise - Pós-Graduação em Psicanálise - Danielle Mendonça Brandão - Complexo de Édipo e Castração - Nota Máxima: 9")</f>
        <v>Pós-Graduação em Psicanálise - Pós-Graduação em Psicanálise - Danielle Mendonça Brandão - Complexo de Édipo e Castração - Nota Máxima: 9</v>
      </c>
    </row>
    <row r="8035">
      <c r="A8035" s="390" t="str">
        <f>IFERROR(__xludf.DUMMYFUNCTION("""COMPUTED_VALUE"""),"Pós-Graduação em Psicanálise - Pós-Graduação em Psicanálise - Danielle Mendonça Brandão - Complexo de Édipo e Castração - Nota Máxima: 4")</f>
        <v>Pós-Graduação em Psicanálise - Pós-Graduação em Psicanálise - Danielle Mendonça Brandão - Complexo de Édipo e Castração - Nota Máxima: 4</v>
      </c>
    </row>
    <row r="8036">
      <c r="A8036" s="390" t="str">
        <f>IFERROR(__xludf.DUMMYFUNCTION("""COMPUTED_VALUE"""),"Pós-Graduação em Psicanálise - Pós-Graduação em Psicanálise - Danielle Mendonça Brandão - Formação e Ética do Psicanalista – 30H - Nota Máxima: 10")</f>
        <v>Pós-Graduação em Psicanálise - Pós-Graduação em Psicanálise - Danielle Mendonça Brandão - Formação e Ética do Psicanalista – 30H - Nota Máxima: 10</v>
      </c>
    </row>
    <row r="8037">
      <c r="A8037" s="390" t="str">
        <f>IFERROR(__xludf.DUMMYFUNCTION("""COMPUTED_VALUE"""),"Pós-Graduação em Psicanálise - Pós-Graduação em Psicanálise - Danielle Mendonça Brandão - Formação e Ética do Psicanalista – 30H - Nota Máxima: 6")</f>
        <v>Pós-Graduação em Psicanálise - Pós-Graduação em Psicanálise - Danielle Mendonça Brandão - Formação e Ética do Psicanalista – 30H - Nota Máxima: 6</v>
      </c>
    </row>
    <row r="8038">
      <c r="A8038" s="390" t="str">
        <f>IFERROR(__xludf.DUMMYFUNCTION("""COMPUTED_VALUE"""),"Pós-Graduação em Psicanálise - Pós-Graduação em Psicanálise - Danielle Mendonça Brandão - Introdução à EAD - 30H - Nota Máxima: 10")</f>
        <v>Pós-Graduação em Psicanálise - Pós-Graduação em Psicanálise - Danielle Mendonça Brandão - Introdução à EAD - 30H - Nota Máxima: 10</v>
      </c>
    </row>
    <row r="8039">
      <c r="A8039" s="390" t="str">
        <f>IFERROR(__xludf.DUMMYFUNCTION("""COMPUTED_VALUE"""),"Pós-Graduação em Psicanálise - Pós-Graduação em Psicanálise - Danielle Mendonça Brandão - Introdução à EAD - 30H - Nota Máxima: 8")</f>
        <v>Pós-Graduação em Psicanálise - Pós-Graduação em Psicanálise - Danielle Mendonça Brandão - Introdução à EAD - 30H - Nota Máxima: 8</v>
      </c>
    </row>
    <row r="8040">
      <c r="A8040" s="390" t="str">
        <f>IFERROR(__xludf.DUMMYFUNCTION("""COMPUTED_VALUE"""),"Pós-Graduação em Psicanálise - Pós-Graduação em Psicanálise - Danielle Mendonça Brandão - Introdução à Psicanálise – 40H - Nota Máxima: 10")</f>
        <v>Pós-Graduação em Psicanálise - Pós-Graduação em Psicanálise - Danielle Mendonça Brandão - Introdução à Psicanálise – 40H - Nota Máxima: 10</v>
      </c>
    </row>
    <row r="8041">
      <c r="A8041" s="390" t="str">
        <f>IFERROR(__xludf.DUMMYFUNCTION("""COMPUTED_VALUE"""),"Pós-Graduação em Psicanálise - Pós-Graduação em Psicanálise - Danielle Mendonça Brandão - Introdução à Psicanálise – 40H - Nota Máxima: 7")</f>
        <v>Pós-Graduação em Psicanálise - Pós-Graduação em Psicanálise - Danielle Mendonça Brandão - Introdução à Psicanálise – 40H - Nota Máxima: 7</v>
      </c>
    </row>
    <row r="8042">
      <c r="A8042" s="390" t="str">
        <f>IFERROR(__xludf.DUMMYFUNCTION("""COMPUTED_VALUE"""),"Pós-Graduação em Psicanálise - Pós-Graduação em Psicanálise - Danielle Mendonça Brandão - Libido, Pulsões e Sexualidade – 50H - Nota Máxima: 10")</f>
        <v>Pós-Graduação em Psicanálise - Pós-Graduação em Psicanálise - Danielle Mendonça Brandão - Libido, Pulsões e Sexualidade – 50H - Nota Máxima: 10</v>
      </c>
    </row>
    <row r="8043">
      <c r="A8043" s="390" t="str">
        <f>IFERROR(__xludf.DUMMYFUNCTION("""COMPUTED_VALUE"""),"Pós-Graduação em Psicanálise - Pós-Graduação em Psicanálise - Danielle Mendonça Brandão - Libido, Pulsões e Sexualidade – 50H - Nota Máxima: 8")</f>
        <v>Pós-Graduação em Psicanálise - Pós-Graduação em Psicanálise - Danielle Mendonça Brandão - Libido, Pulsões e Sexualidade – 50H - Nota Máxima: 8</v>
      </c>
    </row>
    <row r="8044">
      <c r="A8044" s="390" t="str">
        <f>IFERROR(__xludf.DUMMYFUNCTION("""COMPUTED_VALUE"""),"Pós-Graduação em Psicanálise - Pós-Graduação em Psicanálise - Danielle Mendonça Brandão - Narcisismo e a Cultura da Indiferença – 40H - Nota Máxima: 9")</f>
        <v>Pós-Graduação em Psicanálise - Pós-Graduação em Psicanálise - Danielle Mendonça Brandão - Narcisismo e a Cultura da Indiferença – 40H - Nota Máxima: 9</v>
      </c>
    </row>
    <row r="8045">
      <c r="A8045" s="390" t="str">
        <f>IFERROR(__xludf.DUMMYFUNCTION("""COMPUTED_VALUE"""),"Pós-Graduação em Psicanálise - Pós-Graduação em Psicanálise - Danielle Mendonça Brandão - Narcisismo e a Cultura da Indiferença – 40H - Nota Máxima: 6")</f>
        <v>Pós-Graduação em Psicanálise - Pós-Graduação em Psicanálise - Danielle Mendonça Brandão - Narcisismo e a Cultura da Indiferença – 40H - Nota Máxima: 6</v>
      </c>
    </row>
    <row r="8046">
      <c r="A8046" s="390" t="str">
        <f>IFERROR(__xludf.DUMMYFUNCTION("""COMPUTED_VALUE"""),"Pós-Graduação em Psicanálise - Pós-Graduação em Psicanálise - Danielle Mendonça Brandão - O Aparelho psíquico, aspectos clínicos e Teóricos – 40H - Nota Máxima: 9")</f>
        <v>Pós-Graduação em Psicanálise - Pós-Graduação em Psicanálise - Danielle Mendonça Brandão - O Aparelho psíquico, aspectos clínicos e Teóricos – 40H - Nota Máxima: 9</v>
      </c>
    </row>
    <row r="8047">
      <c r="A8047" s="390" t="str">
        <f>IFERROR(__xludf.DUMMYFUNCTION("""COMPUTED_VALUE"""),"Pós-Graduação em Psicanálise - Pós-Graduação em Psicanálise - Danielle Mendonça Brandão - O Aparelho psíquico, aspectos clínicos e Teóricos – 40H - Nota Máxima: 8")</f>
        <v>Pós-Graduação em Psicanálise - Pós-Graduação em Psicanálise - Danielle Mendonça Brandão - O Aparelho psíquico, aspectos clínicos e Teóricos – 40H - Nota Máxima: 8</v>
      </c>
    </row>
    <row r="8048">
      <c r="A8048" s="390" t="str">
        <f>IFERROR(__xludf.DUMMYFUNCTION("""COMPUTED_VALUE"""),"Pós-Graduação em Psicanálise - Pós-Graduação em Psicanálise - Danielle Mendonça Brandão - O Método Psicanalítico – 50H - Nota Máxima: 10")</f>
        <v>Pós-Graduação em Psicanálise - Pós-Graduação em Psicanálise - Danielle Mendonça Brandão - O Método Psicanalítico – 50H - Nota Máxima: 10</v>
      </c>
    </row>
    <row r="8049">
      <c r="A8049" s="390" t="str">
        <f>IFERROR(__xludf.DUMMYFUNCTION("""COMPUTED_VALUE"""),"Pós-Graduação em Psicanálise - Pós-Graduação em Psicanálise - Danielle Mendonça Brandão - O Método Psicanalítico – 50H - Nota Máxima: 8")</f>
        <v>Pós-Graduação em Psicanálise - Pós-Graduação em Psicanálise - Danielle Mendonça Brandão - O Método Psicanalítico – 50H - Nota Máxima: 8</v>
      </c>
    </row>
    <row r="8050">
      <c r="A8050" s="390" t="str">
        <f>IFERROR(__xludf.DUMMYFUNCTION("""COMPUTED_VALUE"""),"Pós-Graduação em Psicanálise - Pós-Graduação em Psicanálise - Danielle Mendonça Brandão - Planejamento, Gestão Educacional e Currículo/a - Nota Máxima: 9")</f>
        <v>Pós-Graduação em Psicanálise - Pós-Graduação em Psicanálise - Danielle Mendonça Brandão - Planejamento, Gestão Educacional e Currículo/a - Nota Máxima: 9</v>
      </c>
    </row>
    <row r="8051">
      <c r="A8051" s="390" t="str">
        <f>IFERROR(__xludf.DUMMYFUNCTION("""COMPUTED_VALUE"""),"Pós-Graduação em Psicanálise - Pós-Graduação em Psicanálise - Danielle Mendonça Brandão - Práticas e Procedimentos em Clínica – 30H - Nota Máxima: 10")</f>
        <v>Pós-Graduação em Psicanálise - Pós-Graduação em Psicanálise - Danielle Mendonça Brandão - Práticas e Procedimentos em Clínica – 30H - Nota Máxima: 10</v>
      </c>
    </row>
    <row r="8052">
      <c r="A8052" s="390" t="str">
        <f>IFERROR(__xludf.DUMMYFUNCTION("""COMPUTED_VALUE"""),"Pós-Graduação em Psicanálise - Pós-Graduação em Psicanálise - Danielle Mendonça Brandão - Práticas e Procedimentos em Clínica – 30H - Nota Máxima: 5")</f>
        <v>Pós-Graduação em Psicanálise - Pós-Graduação em Psicanálise - Danielle Mendonça Brandão - Práticas e Procedimentos em Clínica – 30H - Nota Máxima: 5</v>
      </c>
    </row>
    <row r="8053">
      <c r="A8053" s="390" t="str">
        <f>IFERROR(__xludf.DUMMYFUNCTION("""COMPUTED_VALUE"""),"Pós-Graduação em Psicanálise - Pós-Graduação em Psicanálise - Danielle Mendonça Brandão - Processos de Transferência e Resistência – 30H - Nota Máxima: 10")</f>
        <v>Pós-Graduação em Psicanálise - Pós-Graduação em Psicanálise - Danielle Mendonça Brandão - Processos de Transferência e Resistência – 30H - Nota Máxima: 10</v>
      </c>
    </row>
    <row r="8054">
      <c r="A8054" s="390" t="str">
        <f>IFERROR(__xludf.DUMMYFUNCTION("""COMPUTED_VALUE"""),"Pós-Graduação em Psicanálise - Pós-Graduação em Psicanálise - Danielle Mendonça Brandão - Processos de Transferência e Resistência – 30H - Nota Máxima: 3")</f>
        <v>Pós-Graduação em Psicanálise - Pós-Graduação em Psicanálise - Danielle Mendonça Brandão - Processos de Transferência e Resistência – 30H - Nota Máxima: 3</v>
      </c>
    </row>
    <row r="8055">
      <c r="A8055" s="390" t="str">
        <f>IFERROR(__xludf.DUMMYFUNCTION("""COMPUTED_VALUE"""),"Pós-Graduação em Psicanálise - Pós-Graduação em Psicanálise - Danielle Mendonça Brandão - Psicanálise da Criança e do Adolescente – 40H - Nota Máxima: 10")</f>
        <v>Pós-Graduação em Psicanálise - Pós-Graduação em Psicanálise - Danielle Mendonça Brandão - Psicanálise da Criança e do Adolescente – 40H - Nota Máxima: 10</v>
      </c>
    </row>
    <row r="8056">
      <c r="A8056" s="390" t="str">
        <f>IFERROR(__xludf.DUMMYFUNCTION("""COMPUTED_VALUE"""),"Pós-Graduação em Psicanálise - Pós-Graduação em Psicanálise - Danielle Mendonça Brandão - Psicanálise da Criança e do Adolescente – 40H - Nota Máxima: 8")</f>
        <v>Pós-Graduação em Psicanálise - Pós-Graduação em Psicanálise - Danielle Mendonça Brandão - Psicanálise da Criança e do Adolescente – 40H - Nota Máxima: 8</v>
      </c>
    </row>
    <row r="8057">
      <c r="A8057" s="390" t="str">
        <f>IFERROR(__xludf.DUMMYFUNCTION("""COMPUTED_VALUE"""),"Pós-Graduação em Psicanálise - Pós-Graduação em Psicanálise - Danielle Mendonça Brandão - Psicanálise II – 50H - Nota Máxima: 10")</f>
        <v>Pós-Graduação em Psicanálise - Pós-Graduação em Psicanálise - Danielle Mendonça Brandão - Psicanálise II – 50H - Nota Máxima: 10</v>
      </c>
    </row>
    <row r="8058">
      <c r="A8058" s="390" t="str">
        <f>IFERROR(__xludf.DUMMYFUNCTION("""COMPUTED_VALUE"""),"Pós-Graduação em Psicanálise - Pós-Graduação em Psicanálise - Danielle Mendonça Brandão - Psicanálise II – 50H - Nota Máxima: 5")</f>
        <v>Pós-Graduação em Psicanálise - Pós-Graduação em Psicanálise - Danielle Mendonça Brandão - Psicanálise II – 50H - Nota Máxima: 5</v>
      </c>
    </row>
    <row r="8059">
      <c r="A8059" s="390" t="str">
        <f>IFERROR(__xludf.DUMMYFUNCTION("""COMPUTED_VALUE"""),"Pós-Graduação em Psicanálise - Pós-Graduação em Psicanálise - Danielle Mendonça Brandão - Psicopatologias I – 40H - Nota Máxima: 10")</f>
        <v>Pós-Graduação em Psicanálise - Pós-Graduação em Psicanálise - Danielle Mendonça Brandão - Psicopatologias I – 40H - Nota Máxima: 10</v>
      </c>
    </row>
    <row r="8060">
      <c r="A8060" s="390" t="str">
        <f>IFERROR(__xludf.DUMMYFUNCTION("""COMPUTED_VALUE"""),"Pós-Graduação em Psicanálise - Pós-Graduação em Psicanálise - Danielle Mendonça Brandão - Psicopatologias I – 40H - Nota Máxima: 7")</f>
        <v>Pós-Graduação em Psicanálise - Pós-Graduação em Psicanálise - Danielle Mendonça Brandão - Psicopatologias I – 40H - Nota Máxima: 7</v>
      </c>
    </row>
    <row r="8061">
      <c r="A8061" s="390" t="str">
        <f>IFERROR(__xludf.DUMMYFUNCTION("""COMPUTED_VALUE"""),"Pós-Graduação em Psicanálise - Pós-Graduação em Psicanálise - Danielle Mendonça Brandão - Psicopatologias II – 50H - Nota Máxima: 10")</f>
        <v>Pós-Graduação em Psicanálise - Pós-Graduação em Psicanálise - Danielle Mendonça Brandão - Psicopatologias II – 50H - Nota Máxima: 10</v>
      </c>
    </row>
    <row r="8062">
      <c r="A8062" s="390" t="str">
        <f>IFERROR(__xludf.DUMMYFUNCTION("""COMPUTED_VALUE"""),"Pós-Graduação em Psicanálise - Pós-Graduação em Psicanálise - Danielle Mendonça Brandão - Psicopatologias II – 50H - Nota Máxima: 7")</f>
        <v>Pós-Graduação em Psicanálise - Pós-Graduação em Psicanálise - Danielle Mendonça Brandão - Psicopatologias II – 50H - Nota Máxima: 7</v>
      </c>
    </row>
    <row r="8063">
      <c r="A8063" s="390" t="str">
        <f>IFERROR(__xludf.DUMMYFUNCTION("""COMPUTED_VALUE"""),"Pós-Graduação em Psicanálise - Pós-Graduação em Psicanálise - Danielle Mendonça Brandão - Sonhos, Simbologia e Representação – 50H - Nota Máxima: 10")</f>
        <v>Pós-Graduação em Psicanálise - Pós-Graduação em Psicanálise - Danielle Mendonça Brandão - Sonhos, Simbologia e Representação – 50H - Nota Máxima: 10</v>
      </c>
    </row>
    <row r="8064">
      <c r="A8064" s="390" t="str">
        <f>IFERROR(__xludf.DUMMYFUNCTION("""COMPUTED_VALUE"""),"Pós-Graduação em Psicanálise - Pós-Graduação em Psicanálise - Danielle Mendonça Brandão - Sonhos, Simbologia e Representação – 50H - Nota Máxima: 6")</f>
        <v>Pós-Graduação em Psicanálise - Pós-Graduação em Psicanálise - Danielle Mendonça Brandão - Sonhos, Simbologia e Representação – 50H - Nota Máxima: 6</v>
      </c>
    </row>
    <row r="8065">
      <c r="A8065" s="390" t="str">
        <f>IFERROR(__xludf.DUMMYFUNCTION("""COMPUTED_VALUE"""),"Pós-Graduação em Psicanálise - Pós-Graduação em Psicanálise - Danielle Mendonça Brandão - Tópicos Avançados em Clínica – 40H - Nota Máxima: 10")</f>
        <v>Pós-Graduação em Psicanálise - Pós-Graduação em Psicanálise - Danielle Mendonça Brandão - Tópicos Avançados em Clínica – 40H - Nota Máxima: 10</v>
      </c>
    </row>
    <row r="8066">
      <c r="A8066" s="390" t="str">
        <f>IFERROR(__xludf.DUMMYFUNCTION("""COMPUTED_VALUE"""),"Pós-Graduação em Psicanálise - Pós-Graduação em Psicanálise - Danielle Mendonça Brandão - Tópicos Avançados em Clínica – 40H - Nota Máxima: 9")</f>
        <v>Pós-Graduação em Psicanálise - Pós-Graduação em Psicanálise - Danielle Mendonça Brandão - Tópicos Avançados em Clínica – 40H - Nota Máxima: 9</v>
      </c>
    </row>
    <row r="8067">
      <c r="A8067" s="390" t="str">
        <f>IFERROR(__xludf.DUMMYFUNCTION("""COMPUTED_VALUE"""),"Pós-Graduação em Psicanálise - Pós-Graduação em Psicanálise - Danielle Mendonça Brandão - Tópicos Avançados em Sexualidade – 40H - Nota Máxima: 10")</f>
        <v>Pós-Graduação em Psicanálise - Pós-Graduação em Psicanálise - Danielle Mendonça Brandão - Tópicos Avançados em Sexualidade – 40H - Nota Máxima: 10</v>
      </c>
    </row>
    <row r="8068">
      <c r="A8068" s="390" t="str">
        <f>IFERROR(__xludf.DUMMYFUNCTION("""COMPUTED_VALUE"""),"Pós-Graduação em Psicanálise - Pós-Graduação em Psicanálise - Danielle Mendonça Brandão - Tópicos Avançados em Sexualidade – 40H - Nota Máxima: 2")</f>
        <v>Pós-Graduação em Psicanálise - Pós-Graduação em Psicanálise - Danielle Mendonça Brandão - Tópicos Avançados em Sexualidade – 40H - Nota Máxima: 2</v>
      </c>
    </row>
    <row r="8069">
      <c r="A8069" s="390" t="str">
        <f>IFERROR(__xludf.DUMMYFUNCTION("""COMPUTED_VALUE"""),"Pós-Graduação em Psicanálise - Pós-Graduação em Psicanálise - Jardel Rodrigues Coelho - Complexo de Édipo e Castração - Nota Máxima: 10")</f>
        <v>Pós-Graduação em Psicanálise - Pós-Graduação em Psicanálise - Jardel Rodrigues Coelho - Complexo de Édipo e Castração - Nota Máxima: 10</v>
      </c>
    </row>
    <row r="8070">
      <c r="A8070" s="390" t="str">
        <f>IFERROR(__xludf.DUMMYFUNCTION("""COMPUTED_VALUE"""),"Pós-Graduação em Psicanálise - Pós-Graduação em Psicanálise - Jardel Rodrigues Coelho - Complexo de Édipo e Castração - Nota Máxima: 7")</f>
        <v>Pós-Graduação em Psicanálise - Pós-Graduação em Psicanálise - Jardel Rodrigues Coelho - Complexo de Édipo e Castração - Nota Máxima: 7</v>
      </c>
    </row>
    <row r="8071">
      <c r="A8071" s="390" t="str">
        <f>IFERROR(__xludf.DUMMYFUNCTION("""COMPUTED_VALUE"""),"Pós-Graduação em Psicanálise - Pós-Graduação em Psicanálise - Jardel Rodrigues Coelho - Formação e Ética do Psicanalista – 30H - Nota Máxima: 10")</f>
        <v>Pós-Graduação em Psicanálise - Pós-Graduação em Psicanálise - Jardel Rodrigues Coelho - Formação e Ética do Psicanalista – 30H - Nota Máxima: 10</v>
      </c>
    </row>
    <row r="8072">
      <c r="A8072" s="390" t="str">
        <f>IFERROR(__xludf.DUMMYFUNCTION("""COMPUTED_VALUE"""),"Pós-Graduação em Psicanálise - Pós-Graduação em Psicanálise - Jardel Rodrigues Coelho - Formação e Ética do Psicanalista – 30H - Nota Máxima: 9")</f>
        <v>Pós-Graduação em Psicanálise - Pós-Graduação em Psicanálise - Jardel Rodrigues Coelho - Formação e Ética do Psicanalista – 30H - Nota Máxima: 9</v>
      </c>
    </row>
    <row r="8073">
      <c r="A8073" s="390" t="str">
        <f>IFERROR(__xludf.DUMMYFUNCTION("""COMPUTED_VALUE"""),"Pós-Graduação em Psicanálise - Pós-Graduação em Psicanálise - Jardel Rodrigues Coelho - Introdução à Psicanálise – 40H - Nota Máxima: 10")</f>
        <v>Pós-Graduação em Psicanálise - Pós-Graduação em Psicanálise - Jardel Rodrigues Coelho - Introdução à Psicanálise – 40H - Nota Máxima: 10</v>
      </c>
    </row>
    <row r="8074">
      <c r="A8074" s="390" t="str">
        <f>IFERROR(__xludf.DUMMYFUNCTION("""COMPUTED_VALUE"""),"Pós-Graduação em Psicanálise - Pós-Graduação em Psicanálise - Jardel Rodrigues Coelho - Introdução à Psicanálise – 40H - Nota Máxima: 10")</f>
        <v>Pós-Graduação em Psicanálise - Pós-Graduação em Psicanálise - Jardel Rodrigues Coelho - Introdução à Psicanálise – 40H - Nota Máxima: 10</v>
      </c>
    </row>
    <row r="8075">
      <c r="A8075" s="390" t="str">
        <f>IFERROR(__xludf.DUMMYFUNCTION("""COMPUTED_VALUE"""),"Pós-Graduação em Psicanálise - Pós-Graduação em Psicanálise - Jardel Rodrigues Coelho - Libido, Pulsões e Sexualidade – 50H - Nota Máxima: 10")</f>
        <v>Pós-Graduação em Psicanálise - Pós-Graduação em Psicanálise - Jardel Rodrigues Coelho - Libido, Pulsões e Sexualidade – 50H - Nota Máxima: 10</v>
      </c>
    </row>
    <row r="8076">
      <c r="A8076" s="390" t="str">
        <f>IFERROR(__xludf.DUMMYFUNCTION("""COMPUTED_VALUE"""),"Pós-Graduação em Psicanálise - Pós-Graduação em Psicanálise - Jardel Rodrigues Coelho - Libido, Pulsões e Sexualidade – 50H - Nota Máxima: 8")</f>
        <v>Pós-Graduação em Psicanálise - Pós-Graduação em Psicanálise - Jardel Rodrigues Coelho - Libido, Pulsões e Sexualidade – 50H - Nota Máxima: 8</v>
      </c>
    </row>
    <row r="8077">
      <c r="A8077" s="390" t="str">
        <f>IFERROR(__xludf.DUMMYFUNCTION("""COMPUTED_VALUE"""),"Pós-Graduação em Psicanálise - Pós-Graduação em Psicanálise - Jardel Rodrigues Coelho - Narcisismo e a Cultura da Indiferença – 40H - Nota Máxima: 10")</f>
        <v>Pós-Graduação em Psicanálise - Pós-Graduação em Psicanálise - Jardel Rodrigues Coelho - Narcisismo e a Cultura da Indiferença – 40H - Nota Máxima: 10</v>
      </c>
    </row>
    <row r="8078">
      <c r="A8078" s="390" t="str">
        <f>IFERROR(__xludf.DUMMYFUNCTION("""COMPUTED_VALUE"""),"Pós-Graduação em Psicanálise - Pós-Graduação em Psicanálise - Jardel Rodrigues Coelho - Narcisismo e a Cultura da Indiferença – 40H - Nota Máxima: 9")</f>
        <v>Pós-Graduação em Psicanálise - Pós-Graduação em Psicanálise - Jardel Rodrigues Coelho - Narcisismo e a Cultura da Indiferença – 40H - Nota Máxima: 9</v>
      </c>
    </row>
    <row r="8079">
      <c r="A8079" s="390" t="str">
        <f>IFERROR(__xludf.DUMMYFUNCTION("""COMPUTED_VALUE"""),"Pós-Graduação em Psicanálise - Pós-Graduação em Psicanálise - Jardel Rodrigues Coelho - O Aparelho psíquico, aspectos clínicos e Teóricos – 40H - Nota Máxima: 10")</f>
        <v>Pós-Graduação em Psicanálise - Pós-Graduação em Psicanálise - Jardel Rodrigues Coelho - O Aparelho psíquico, aspectos clínicos e Teóricos – 40H - Nota Máxima: 10</v>
      </c>
    </row>
    <row r="8080">
      <c r="A8080" s="390" t="str">
        <f>IFERROR(__xludf.DUMMYFUNCTION("""COMPUTED_VALUE"""),"Pós-Graduação em Psicanálise - Pós-Graduação em Psicanálise - Jardel Rodrigues Coelho - O Aparelho psíquico, aspectos clínicos e Teóricos – 40H - Nota Máxima: 9")</f>
        <v>Pós-Graduação em Psicanálise - Pós-Graduação em Psicanálise - Jardel Rodrigues Coelho - O Aparelho psíquico, aspectos clínicos e Teóricos – 40H - Nota Máxima: 9</v>
      </c>
    </row>
    <row r="8081">
      <c r="A8081" s="390" t="str">
        <f>IFERROR(__xludf.DUMMYFUNCTION("""COMPUTED_VALUE"""),"Pós-Graduação em Psicanálise - Pós-Graduação em Psicanálise - Jardel Rodrigues Coelho - O Método Psicanalítico – 50H - Nota Máxima: 10")</f>
        <v>Pós-Graduação em Psicanálise - Pós-Graduação em Psicanálise - Jardel Rodrigues Coelho - O Método Psicanalítico – 50H - Nota Máxima: 10</v>
      </c>
    </row>
    <row r="8082">
      <c r="A8082" s="390" t="str">
        <f>IFERROR(__xludf.DUMMYFUNCTION("""COMPUTED_VALUE"""),"Pós-Graduação em Psicanálise - Pós-Graduação em Psicanálise - Jardel Rodrigues Coelho - O Método Psicanalítico – 50H - Nota Máxima: 10")</f>
        <v>Pós-Graduação em Psicanálise - Pós-Graduação em Psicanálise - Jardel Rodrigues Coelho - O Método Psicanalítico – 50H - Nota Máxima: 10</v>
      </c>
    </row>
    <row r="8083">
      <c r="A8083" s="390" t="str">
        <f>IFERROR(__xludf.DUMMYFUNCTION("""COMPUTED_VALUE"""),"Pós-Graduação em Psicanálise - Pós-Graduação em Psicanálise - Jardel Rodrigues Coelho - Planejamento, Gestão Educacional e Currículo/a - Nota Máxima: 10")</f>
        <v>Pós-Graduação em Psicanálise - Pós-Graduação em Psicanálise - Jardel Rodrigues Coelho - Planejamento, Gestão Educacional e Currículo/a - Nota Máxima: 10</v>
      </c>
    </row>
    <row r="8084">
      <c r="A8084" s="390" t="str">
        <f>IFERROR(__xludf.DUMMYFUNCTION("""COMPUTED_VALUE"""),"Pós-Graduação em Psicanálise - Pós-Graduação em Psicanálise - Jardel Rodrigues Coelho - Planejamento, Gestão Educacional e Currículo/a - Nota Máxima: 10")</f>
        <v>Pós-Graduação em Psicanálise - Pós-Graduação em Psicanálise - Jardel Rodrigues Coelho - Planejamento, Gestão Educacional e Currículo/a - Nota Máxima: 10</v>
      </c>
    </row>
    <row r="8085">
      <c r="A8085" s="390" t="str">
        <f>IFERROR(__xludf.DUMMYFUNCTION("""COMPUTED_VALUE"""),"Pós-Graduação em Psicanálise - Pós-Graduação em Psicanálise - Jardel Rodrigues Coelho - Práticas e Procedimentos em Clínica – 30H - Nota Máxima: 10")</f>
        <v>Pós-Graduação em Psicanálise - Pós-Graduação em Psicanálise - Jardel Rodrigues Coelho - Práticas e Procedimentos em Clínica – 30H - Nota Máxima: 10</v>
      </c>
    </row>
    <row r="8086">
      <c r="A8086" s="390" t="str">
        <f>IFERROR(__xludf.DUMMYFUNCTION("""COMPUTED_VALUE"""),"Pós-Graduação em Psicanálise - Pós-Graduação em Psicanálise - Jardel Rodrigues Coelho - Práticas e Procedimentos em Clínica – 30H - Nota Máxima: 9")</f>
        <v>Pós-Graduação em Psicanálise - Pós-Graduação em Psicanálise - Jardel Rodrigues Coelho - Práticas e Procedimentos em Clínica – 30H - Nota Máxima: 9</v>
      </c>
    </row>
    <row r="8087">
      <c r="A8087" s="390" t="str">
        <f>IFERROR(__xludf.DUMMYFUNCTION("""COMPUTED_VALUE"""),"Pós-Graduação em Psicanálise - Pós-Graduação em Psicanálise - Jardel Rodrigues Coelho - Processos de Transferência e Resistência – 30H - Nota Máxima: 10")</f>
        <v>Pós-Graduação em Psicanálise - Pós-Graduação em Psicanálise - Jardel Rodrigues Coelho - Processos de Transferência e Resistência – 30H - Nota Máxima: 10</v>
      </c>
    </row>
    <row r="8088">
      <c r="A8088" s="390" t="str">
        <f>IFERROR(__xludf.DUMMYFUNCTION("""COMPUTED_VALUE"""),"Pós-Graduação em Psicanálise - Pós-Graduação em Psicanálise - Jardel Rodrigues Coelho - Processos de Transferência e Resistência – 30H - Nota Máxima: 10")</f>
        <v>Pós-Graduação em Psicanálise - Pós-Graduação em Psicanálise - Jardel Rodrigues Coelho - Processos de Transferência e Resistência – 30H - Nota Máxima: 10</v>
      </c>
    </row>
    <row r="8089">
      <c r="A8089" s="390" t="str">
        <f>IFERROR(__xludf.DUMMYFUNCTION("""COMPUTED_VALUE"""),"Pós-Graduação em Psicanálise - Pós-Graduação em Psicanálise - Jardel Rodrigues Coelho - Psicanálise da Criança e do Adolescente – 40H - Nota Máxima: 10")</f>
        <v>Pós-Graduação em Psicanálise - Pós-Graduação em Psicanálise - Jardel Rodrigues Coelho - Psicanálise da Criança e do Adolescente – 40H - Nota Máxima: 10</v>
      </c>
    </row>
    <row r="8090">
      <c r="A8090" s="390" t="str">
        <f>IFERROR(__xludf.DUMMYFUNCTION("""COMPUTED_VALUE"""),"Pós-Graduação em Psicanálise - Pós-Graduação em Psicanálise - Jardel Rodrigues Coelho - Psicanálise da Criança e do Adolescente – 40H - Nota Máxima: 6")</f>
        <v>Pós-Graduação em Psicanálise - Pós-Graduação em Psicanálise - Jardel Rodrigues Coelho - Psicanálise da Criança e do Adolescente – 40H - Nota Máxima: 6</v>
      </c>
    </row>
    <row r="8091">
      <c r="A8091" s="390" t="str">
        <f>IFERROR(__xludf.DUMMYFUNCTION("""COMPUTED_VALUE"""),"Pós-Graduação em Psicanálise - Pós-Graduação em Psicanálise - Jardel Rodrigues Coelho - Psicanálise II – 50H - Nota Máxima: 10")</f>
        <v>Pós-Graduação em Psicanálise - Pós-Graduação em Psicanálise - Jardel Rodrigues Coelho - Psicanálise II – 50H - Nota Máxima: 10</v>
      </c>
    </row>
    <row r="8092">
      <c r="A8092" s="390" t="str">
        <f>IFERROR(__xludf.DUMMYFUNCTION("""COMPUTED_VALUE"""),"Pós-Graduação em Psicanálise - Pós-Graduação em Psicanálise - Jardel Rodrigues Coelho - Psicanálise II – 50H - Nota Máxima: 9")</f>
        <v>Pós-Graduação em Psicanálise - Pós-Graduação em Psicanálise - Jardel Rodrigues Coelho - Psicanálise II – 50H - Nota Máxima: 9</v>
      </c>
    </row>
    <row r="8093">
      <c r="A8093" s="390" t="str">
        <f>IFERROR(__xludf.DUMMYFUNCTION("""COMPUTED_VALUE"""),"Pós-Graduação em Psicanálise - Pós-Graduação em Psicanálise - Jardel Rodrigues Coelho - Psicopatologias I – 40H - Nota Máxima: 10")</f>
        <v>Pós-Graduação em Psicanálise - Pós-Graduação em Psicanálise - Jardel Rodrigues Coelho - Psicopatologias I – 40H - Nota Máxima: 10</v>
      </c>
    </row>
    <row r="8094">
      <c r="A8094" s="390" t="str">
        <f>IFERROR(__xludf.DUMMYFUNCTION("""COMPUTED_VALUE"""),"Pós-Graduação em Psicanálise - Pós-Graduação em Psicanálise - Jardel Rodrigues Coelho - Psicopatologias I – 40H - Nota Máxima: 9")</f>
        <v>Pós-Graduação em Psicanálise - Pós-Graduação em Psicanálise - Jardel Rodrigues Coelho - Psicopatologias I – 40H - Nota Máxima: 9</v>
      </c>
    </row>
    <row r="8095">
      <c r="A8095" s="390" t="str">
        <f>IFERROR(__xludf.DUMMYFUNCTION("""COMPUTED_VALUE"""),"Pós-Graduação em Psicanálise - Pós-Graduação em Psicanálise - Jardel Rodrigues Coelho - Psicopatologias II – 50H - Nota Máxima: 10")</f>
        <v>Pós-Graduação em Psicanálise - Pós-Graduação em Psicanálise - Jardel Rodrigues Coelho - Psicopatologias II – 50H - Nota Máxima: 10</v>
      </c>
    </row>
    <row r="8096">
      <c r="A8096" s="390" t="str">
        <f>IFERROR(__xludf.DUMMYFUNCTION("""COMPUTED_VALUE"""),"Pós-Graduação em Psicanálise - Pós-Graduação em Psicanálise - Jardel Rodrigues Coelho - Psicopatologias II – 50H - Nota Máxima: 10")</f>
        <v>Pós-Graduação em Psicanálise - Pós-Graduação em Psicanálise - Jardel Rodrigues Coelho - Psicopatologias II – 50H - Nota Máxima: 10</v>
      </c>
    </row>
    <row r="8097">
      <c r="A8097" s="390" t="str">
        <f>IFERROR(__xludf.DUMMYFUNCTION("""COMPUTED_VALUE"""),"Pós-Graduação em Psicanálise - Pós-Graduação em Psicanálise - Jardel Rodrigues Coelho - Sonhos, Simbologia e Representação – 50H - Nota Máxima: 10")</f>
        <v>Pós-Graduação em Psicanálise - Pós-Graduação em Psicanálise - Jardel Rodrigues Coelho - Sonhos, Simbologia e Representação – 50H - Nota Máxima: 10</v>
      </c>
    </row>
    <row r="8098">
      <c r="A8098" s="390" t="str">
        <f>IFERROR(__xludf.DUMMYFUNCTION("""COMPUTED_VALUE"""),"Pós-Graduação em Psicanálise - Pós-Graduação em Psicanálise - Jardel Rodrigues Coelho - Sonhos, Simbologia e Representação – 50H - Nota Máxima: 6")</f>
        <v>Pós-Graduação em Psicanálise - Pós-Graduação em Psicanálise - Jardel Rodrigues Coelho - Sonhos, Simbologia e Representação – 50H - Nota Máxima: 6</v>
      </c>
    </row>
    <row r="8099">
      <c r="A8099" s="390" t="str">
        <f>IFERROR(__xludf.DUMMYFUNCTION("""COMPUTED_VALUE"""),"Pós-Graduação em Psicanálise - Pós-Graduação em Psicanálise - Jardel Rodrigues Coelho - Tópicos Avançados em Clínica – 40H - Nota Máxima: 9")</f>
        <v>Pós-Graduação em Psicanálise - Pós-Graduação em Psicanálise - Jardel Rodrigues Coelho - Tópicos Avançados em Clínica – 40H - Nota Máxima: 9</v>
      </c>
    </row>
    <row r="8100">
      <c r="A8100" s="390" t="str">
        <f>IFERROR(__xludf.DUMMYFUNCTION("""COMPUTED_VALUE"""),"Pós-Graduação em Psicanálise - Pós-Graduação em Psicanálise - Jardel Rodrigues Coelho - Tópicos Avançados em Clínica – 40H - Nota Máxima: 9")</f>
        <v>Pós-Graduação em Psicanálise - Pós-Graduação em Psicanálise - Jardel Rodrigues Coelho - Tópicos Avançados em Clínica – 40H - Nota Máxima: 9</v>
      </c>
    </row>
    <row r="8101">
      <c r="A8101" s="390" t="str">
        <f>IFERROR(__xludf.DUMMYFUNCTION("""COMPUTED_VALUE"""),"Pós-Graduação em Psicanálise - Pós-Graduação em Psicanálise - Jardel Rodrigues Coelho - Tópicos Avançados em Sexualidade – 40H - Nota Máxima: 9")</f>
        <v>Pós-Graduação em Psicanálise - Pós-Graduação em Psicanálise - Jardel Rodrigues Coelho - Tópicos Avançados em Sexualidade – 40H - Nota Máxima: 9</v>
      </c>
    </row>
    <row r="8102">
      <c r="A8102" s="390" t="str">
        <f>IFERROR(__xludf.DUMMYFUNCTION("""COMPUTED_VALUE"""),"Pós-Graduação em Psicanálise - Pós-Graduação em Psicanálise - Jardel Rodrigues Coelho - Tópicos Avançados em Sexualidade – 40H - Nota Máxima: 6")</f>
        <v>Pós-Graduação em Psicanálise - Pós-Graduação em Psicanálise - Jardel Rodrigues Coelho - Tópicos Avançados em Sexualidade – 40H - Nota Máxima: 6</v>
      </c>
    </row>
    <row r="8103">
      <c r="A8103" s="390" t="str">
        <f>IFERROR(__xludf.DUMMYFUNCTION("""COMPUTED_VALUE"""),"Pós-Graduação em Psicanálise - Pós-Graduação em Psicanálise - Renata Baessa Nobre - Complexo de Édipo e Castração - Nota Máxima: 9")</f>
        <v>Pós-Graduação em Psicanálise - Pós-Graduação em Psicanálise - Renata Baessa Nobre - Complexo de Édipo e Castração - Nota Máxima: 9</v>
      </c>
    </row>
    <row r="8104">
      <c r="A8104" s="390" t="str">
        <f>IFERROR(__xludf.DUMMYFUNCTION("""COMPUTED_VALUE"""),"Pós-Graduação em Psicanálise - Pós-Graduação em Psicanálise - Renata Baessa Nobre - Formação e Ética do Psicanalista – 30H - Nota Máxima: 10")</f>
        <v>Pós-Graduação em Psicanálise - Pós-Graduação em Psicanálise - Renata Baessa Nobre - Formação e Ética do Psicanalista – 30H - Nota Máxima: 10</v>
      </c>
    </row>
    <row r="8105">
      <c r="A8105" s="390" t="str">
        <f>IFERROR(__xludf.DUMMYFUNCTION("""COMPUTED_VALUE"""),"Pós-Graduação em Psicanálise - Pós-Graduação em Psicanálise - Renata Baessa Nobre - Introdução à EAD - 30H - Nota Máxima: 10")</f>
        <v>Pós-Graduação em Psicanálise - Pós-Graduação em Psicanálise - Renata Baessa Nobre - Introdução à EAD - 30H - Nota Máxima: 10</v>
      </c>
    </row>
    <row r="8106">
      <c r="A8106" s="390" t="str">
        <f>IFERROR(__xludf.DUMMYFUNCTION("""COMPUTED_VALUE"""),"Pós-Graduação em Psicanálise - Pós-Graduação em Psicanálise - Renata Baessa Nobre - Introdução à Psicanálise – 40H - Nota Máxima: 10")</f>
        <v>Pós-Graduação em Psicanálise - Pós-Graduação em Psicanálise - Renata Baessa Nobre - Introdução à Psicanálise – 40H - Nota Máxima: 10</v>
      </c>
    </row>
    <row r="8107">
      <c r="A8107" s="390" t="str">
        <f>IFERROR(__xludf.DUMMYFUNCTION("""COMPUTED_VALUE"""),"Pós-Graduação em Psicanálise - Pós-Graduação em Psicanálise - Renata Baessa Nobre - Libido, Pulsões e Sexualidade – 50H - Nota Máxima: 9")</f>
        <v>Pós-Graduação em Psicanálise - Pós-Graduação em Psicanálise - Renata Baessa Nobre - Libido, Pulsões e Sexualidade – 50H - Nota Máxima: 9</v>
      </c>
    </row>
    <row r="8108">
      <c r="A8108" s="390" t="str">
        <f>IFERROR(__xludf.DUMMYFUNCTION("""COMPUTED_VALUE"""),"Pós-Graduação em Psicanálise - Pós-Graduação em Psicanálise - Renata Baessa Nobre - Narcisismo e a Cultura da Indiferença – 40H - Nota Máxima: 8")</f>
        <v>Pós-Graduação em Psicanálise - Pós-Graduação em Psicanálise - Renata Baessa Nobre - Narcisismo e a Cultura da Indiferença – 40H - Nota Máxima: 8</v>
      </c>
    </row>
    <row r="8109">
      <c r="A8109" s="390" t="str">
        <f>IFERROR(__xludf.DUMMYFUNCTION("""COMPUTED_VALUE"""),"Pós-Graduação em Psicanálise - Pós-Graduação em Psicanálise - Renata Baessa Nobre - O Aparelho psíquico, aspectos clínicos e Teóricos – 40H - Nota Máxima: 10")</f>
        <v>Pós-Graduação em Psicanálise - Pós-Graduação em Psicanálise - Renata Baessa Nobre - O Aparelho psíquico, aspectos clínicos e Teóricos – 40H - Nota Máxima: 10</v>
      </c>
    </row>
    <row r="8110">
      <c r="A8110" s="390" t="str">
        <f>IFERROR(__xludf.DUMMYFUNCTION("""COMPUTED_VALUE"""),"Pós-Graduação em Psicanálise - Pós-Graduação em Psicanálise - Renata Baessa Nobre - O Método Psicanalítico – 50H - Nota Máxima: 10")</f>
        <v>Pós-Graduação em Psicanálise - Pós-Graduação em Psicanálise - Renata Baessa Nobre - O Método Psicanalítico – 50H - Nota Máxima: 10</v>
      </c>
    </row>
    <row r="8111">
      <c r="A8111" s="390" t="str">
        <f>IFERROR(__xludf.DUMMYFUNCTION("""COMPUTED_VALUE"""),"Pós-Graduação em Psicanálise - Pós-Graduação em Psicanálise - Renata Baessa Nobre - Práticas e Procedimentos em Clínica – 30H - Nota Máxima: 10")</f>
        <v>Pós-Graduação em Psicanálise - Pós-Graduação em Psicanálise - Renata Baessa Nobre - Práticas e Procedimentos em Clínica – 30H - Nota Máxima: 10</v>
      </c>
    </row>
    <row r="8112">
      <c r="A8112" s="390" t="str">
        <f>IFERROR(__xludf.DUMMYFUNCTION("""COMPUTED_VALUE"""),"Pós-Graduação em Psicanálise - Pós-Graduação em Psicanálise - Renata Baessa Nobre - Processos de Transferência e Resistência – 30H - Nota Máxima: 9")</f>
        <v>Pós-Graduação em Psicanálise - Pós-Graduação em Psicanálise - Renata Baessa Nobre - Processos de Transferência e Resistência – 30H - Nota Máxima: 9</v>
      </c>
    </row>
    <row r="8113">
      <c r="A8113" s="390" t="str">
        <f>IFERROR(__xludf.DUMMYFUNCTION("""COMPUTED_VALUE"""),"Pós-Graduação em Psicanálise - Pós-Graduação em Psicanálise - Renata Baessa Nobre - Psicanálise da Criança e do Adolescente – 40H - Nota Máxima: 9")</f>
        <v>Pós-Graduação em Psicanálise - Pós-Graduação em Psicanálise - Renata Baessa Nobre - Psicanálise da Criança e do Adolescente – 40H - Nota Máxima: 9</v>
      </c>
    </row>
    <row r="8114">
      <c r="A8114" s="390" t="str">
        <f>IFERROR(__xludf.DUMMYFUNCTION("""COMPUTED_VALUE"""),"Pós-Graduação em Psicanálise - Pós-Graduação em Psicanálise - Renata Baessa Nobre - Psicanálise II – 50H - Nota Máxima: 10")</f>
        <v>Pós-Graduação em Psicanálise - Pós-Graduação em Psicanálise - Renata Baessa Nobre - Psicanálise II – 50H - Nota Máxima: 10</v>
      </c>
    </row>
    <row r="8115">
      <c r="A8115" s="390" t="str">
        <f>IFERROR(__xludf.DUMMYFUNCTION("""COMPUTED_VALUE"""),"Pós-Graduação em Psicanálise - Pós-Graduação em Psicanálise - Renata Baessa Nobre - Psicopatologias I – 40H - Nota Máxima: 10")</f>
        <v>Pós-Graduação em Psicanálise - Pós-Graduação em Psicanálise - Renata Baessa Nobre - Psicopatologias I – 40H - Nota Máxima: 10</v>
      </c>
    </row>
    <row r="8116">
      <c r="A8116" s="390" t="str">
        <f>IFERROR(__xludf.DUMMYFUNCTION("""COMPUTED_VALUE"""),"Pós-Graduação em Psicanálise - Pós-Graduação em Psicanálise - Renata Baessa Nobre - Psicopatologias II – 50H - Nota Máxima: 10")</f>
        <v>Pós-Graduação em Psicanálise - Pós-Graduação em Psicanálise - Renata Baessa Nobre - Psicopatologias II – 50H - Nota Máxima: 10</v>
      </c>
    </row>
    <row r="8117">
      <c r="A8117" s="390" t="str">
        <f>IFERROR(__xludf.DUMMYFUNCTION("""COMPUTED_VALUE"""),"Pós-Graduação em Psicanálise - Pós-Graduação em Psicanálise - Renata Baessa Nobre - Sonhos, Simbologia e Representação – 50H - Nota Máxima: 10")</f>
        <v>Pós-Graduação em Psicanálise - Pós-Graduação em Psicanálise - Renata Baessa Nobre - Sonhos, Simbologia e Representação – 50H - Nota Máxima: 10</v>
      </c>
    </row>
    <row r="8118">
      <c r="A8118" s="390" t="str">
        <f>IFERROR(__xludf.DUMMYFUNCTION("""COMPUTED_VALUE"""),"Pós-Graduação em Psicanálise - Pós-Graduação em Psicanálise - Renata Baessa Nobre - Tópicos Avançados em Clínica – 40H - Nota Máxima: 10")</f>
        <v>Pós-Graduação em Psicanálise - Pós-Graduação em Psicanálise - Renata Baessa Nobre - Tópicos Avançados em Clínica – 40H - Nota Máxima: 10</v>
      </c>
    </row>
    <row r="8119">
      <c r="A8119" s="390" t="str">
        <f>IFERROR(__xludf.DUMMYFUNCTION("""COMPUTED_VALUE"""),"Pós-Graduação em Psicanálise - Pós-Graduação em Psicanálise - Renata Baessa Nobre - Tópicos Avançados em Sexualidade – 40H - Nota Máxima: 10")</f>
        <v>Pós-Graduação em Psicanálise - Pós-Graduação em Psicanálise - Renata Baessa Nobre - Tópicos Avançados em Sexualidade – 40H - Nota Máxima: 10</v>
      </c>
    </row>
    <row r="8120">
      <c r="A8120" s="390" t="str">
        <f>IFERROR(__xludf.DUMMYFUNCTION("""COMPUTED_VALUE"""),"")</f>
        <v/>
      </c>
    </row>
    <row r="8121">
      <c r="A8121" s="390" t="str">
        <f>IFERROR(__xludf.DUMMYFUNCTION("""COMPUTED_VALUE"""),"Pós-Graduação em Psicanálise - Pós-Graduação em Psicanálise - Ana Claudia de Oliveira Costa - Introdução à EAD - 30H - Nota Máxima: 8")</f>
        <v>Pós-Graduação em Psicanálise - Pós-Graduação em Psicanálise - Ana Claudia de Oliveira Costa - Introdução à EAD - 30H - Nota Máxima: 8</v>
      </c>
    </row>
    <row r="8122">
      <c r="A8122" s="390" t="str">
        <f>IFERROR(__xludf.DUMMYFUNCTION("""COMPUTED_VALUE"""),"Pós-Graduação em Psicanálise - Pós-Graduação em Psicanálise - Adrielly Kayane da Silva Sena - Complexo de Édipo e Castração - Nota Máxima: 10")</f>
        <v>Pós-Graduação em Psicanálise - Pós-Graduação em Psicanálise - Adrielly Kayane da Silva Sena - Complexo de Édipo e Castração - Nota Máxima: 10</v>
      </c>
    </row>
    <row r="8123">
      <c r="A8123" s="390" t="str">
        <f>IFERROR(__xludf.DUMMYFUNCTION("""COMPUTED_VALUE"""),"Pós-Graduação em Psicanálise - Pós-Graduação em Psicanálise - Adrielly Kayane da Silva Sena - Complexo de Édipo e Castração - Nota Máxima: 7")</f>
        <v>Pós-Graduação em Psicanálise - Pós-Graduação em Psicanálise - Adrielly Kayane da Silva Sena - Complexo de Édipo e Castração - Nota Máxima: 7</v>
      </c>
    </row>
    <row r="8124">
      <c r="A8124" s="390" t="str">
        <f>IFERROR(__xludf.DUMMYFUNCTION("""COMPUTED_VALUE"""),"Pós-Graduação em Psicanálise - Pós-Graduação em Psicanálise - Adrielly Kayane da Silva Sena - Formação e Ética do Psicanalista – 30H - Nota Máxima: 8")</f>
        <v>Pós-Graduação em Psicanálise - Pós-Graduação em Psicanálise - Adrielly Kayane da Silva Sena - Formação e Ética do Psicanalista – 30H - Nota Máxima: 8</v>
      </c>
    </row>
    <row r="8125">
      <c r="A8125" s="390" t="str">
        <f>IFERROR(__xludf.DUMMYFUNCTION("""COMPUTED_VALUE"""),"Pós-Graduação em Psicanálise - Pós-Graduação em Psicanálise - Adrielly Kayane da Silva Sena - Formação e Ética do Psicanalista – 30H - Nota Máxima: 8")</f>
        <v>Pós-Graduação em Psicanálise - Pós-Graduação em Psicanálise - Adrielly Kayane da Silva Sena - Formação e Ética do Psicanalista – 30H - Nota Máxima: 8</v>
      </c>
    </row>
    <row r="8126">
      <c r="A8126" s="390" t="str">
        <f>IFERROR(__xludf.DUMMYFUNCTION("""COMPUTED_VALUE"""),"Pós-Graduação em Psicanálise - Pós-Graduação em Psicanálise - Adrielly Kayane da Silva Sena - Introdução à EAD - 30H - Nota Máxima: 9")</f>
        <v>Pós-Graduação em Psicanálise - Pós-Graduação em Psicanálise - Adrielly Kayane da Silva Sena - Introdução à EAD - 30H - Nota Máxima: 9</v>
      </c>
    </row>
    <row r="8127">
      <c r="A8127" s="390" t="str">
        <f>IFERROR(__xludf.DUMMYFUNCTION("""COMPUTED_VALUE"""),"Pós-Graduação em Psicanálise - Pós-Graduação em Psicanálise - Adrielly Kayane da Silva Sena - Introdução à EAD - 30H - Nota Máxima: 8")</f>
        <v>Pós-Graduação em Psicanálise - Pós-Graduação em Psicanálise - Adrielly Kayane da Silva Sena - Introdução à EAD - 30H - Nota Máxima: 8</v>
      </c>
    </row>
    <row r="8128">
      <c r="A8128" s="390" t="str">
        <f>IFERROR(__xludf.DUMMYFUNCTION("""COMPUTED_VALUE"""),"Pós-Graduação em Psicanálise - Pós-Graduação em Psicanálise - Adrielly Kayane da Silva Sena - Introdução à Psicanálise – 40H - Nota Máxima: 10")</f>
        <v>Pós-Graduação em Psicanálise - Pós-Graduação em Psicanálise - Adrielly Kayane da Silva Sena - Introdução à Psicanálise – 40H - Nota Máxima: 10</v>
      </c>
    </row>
    <row r="8129">
      <c r="A8129" s="390" t="str">
        <f>IFERROR(__xludf.DUMMYFUNCTION("""COMPUTED_VALUE"""),"Pós-Graduação em Psicanálise - Pós-Graduação em Psicanálise - Adrielly Kayane da Silva Sena - Introdução à Psicanálise – 40H - Nota Máxima: 10")</f>
        <v>Pós-Graduação em Psicanálise - Pós-Graduação em Psicanálise - Adrielly Kayane da Silva Sena - Introdução à Psicanálise – 40H - Nota Máxima: 10</v>
      </c>
    </row>
    <row r="8130">
      <c r="A8130" s="390" t="str">
        <f>IFERROR(__xludf.DUMMYFUNCTION("""COMPUTED_VALUE"""),"Pós-Graduação em Psicanálise - Pós-Graduação em Psicanálise - Adrielly Kayane da Silva Sena - Libido, Pulsões e Sexualidade – 50H - Nota Máxima: 10")</f>
        <v>Pós-Graduação em Psicanálise - Pós-Graduação em Psicanálise - Adrielly Kayane da Silva Sena - Libido, Pulsões e Sexualidade – 50H - Nota Máxima: 10</v>
      </c>
    </row>
    <row r="8131">
      <c r="A8131" s="390" t="str">
        <f>IFERROR(__xludf.DUMMYFUNCTION("""COMPUTED_VALUE"""),"Pós-Graduação em Psicanálise - Pós-Graduação em Psicanálise - Adrielly Kayane da Silva Sena - Libido, Pulsões e Sexualidade – 50H - Nota Máxima: 9")</f>
        <v>Pós-Graduação em Psicanálise - Pós-Graduação em Psicanálise - Adrielly Kayane da Silva Sena - Libido, Pulsões e Sexualidade – 50H - Nota Máxima: 9</v>
      </c>
    </row>
    <row r="8132">
      <c r="A8132" s="390" t="str">
        <f>IFERROR(__xludf.DUMMYFUNCTION("""COMPUTED_VALUE"""),"Pós-Graduação em Psicanálise - Pós-Graduação em Psicanálise - Adrielly Kayane da Silva Sena - Narcisismo e a Cultura da Indiferença – 40H - Nota Máxima: 10")</f>
        <v>Pós-Graduação em Psicanálise - Pós-Graduação em Psicanálise - Adrielly Kayane da Silva Sena - Narcisismo e a Cultura da Indiferença – 40H - Nota Máxima: 10</v>
      </c>
    </row>
    <row r="8133">
      <c r="A8133" s="390" t="str">
        <f>IFERROR(__xludf.DUMMYFUNCTION("""COMPUTED_VALUE"""),"Pós-Graduação em Psicanálise - Pós-Graduação em Psicanálise - Adrielly Kayane da Silva Sena - Narcisismo e a Cultura da Indiferença – 40H - Nota Máxima: 8")</f>
        <v>Pós-Graduação em Psicanálise - Pós-Graduação em Psicanálise - Adrielly Kayane da Silva Sena - Narcisismo e a Cultura da Indiferença – 40H - Nota Máxima: 8</v>
      </c>
    </row>
    <row r="8134">
      <c r="A8134" s="390" t="str">
        <f>IFERROR(__xludf.DUMMYFUNCTION("""COMPUTED_VALUE"""),"Pós-Graduação em Psicanálise - Pós-Graduação em Psicanálise - Adrielly Kayane da Silva Sena - O Aparelho psíquico, aspectos clínicos e Teóricos – 40H - Nota Máxima: 10")</f>
        <v>Pós-Graduação em Psicanálise - Pós-Graduação em Psicanálise - Adrielly Kayane da Silva Sena - O Aparelho psíquico, aspectos clínicos e Teóricos – 40H - Nota Máxima: 10</v>
      </c>
    </row>
    <row r="8135">
      <c r="A8135" s="390" t="str">
        <f>IFERROR(__xludf.DUMMYFUNCTION("""COMPUTED_VALUE"""),"Pós-Graduação em Psicanálise - Pós-Graduação em Psicanálise - Adrielly Kayane da Silva Sena - O Aparelho psíquico, aspectos clínicos e Teóricos – 40H - Nota Máxima: 5")</f>
        <v>Pós-Graduação em Psicanálise - Pós-Graduação em Psicanálise - Adrielly Kayane da Silva Sena - O Aparelho psíquico, aspectos clínicos e Teóricos – 40H - Nota Máxima: 5</v>
      </c>
    </row>
    <row r="8136">
      <c r="A8136" s="390" t="str">
        <f>IFERROR(__xludf.DUMMYFUNCTION("""COMPUTED_VALUE"""),"Pós-Graduação em Psicanálise - Pós-Graduação em Psicanálise - Adrielly Kayane da Silva Sena - O Método Psicanalítico – 50H - Nota Máxima: 9")</f>
        <v>Pós-Graduação em Psicanálise - Pós-Graduação em Psicanálise - Adrielly Kayane da Silva Sena - O Método Psicanalítico – 50H - Nota Máxima: 9</v>
      </c>
    </row>
    <row r="8137">
      <c r="A8137" s="390" t="str">
        <f>IFERROR(__xludf.DUMMYFUNCTION("""COMPUTED_VALUE"""),"Pós-Graduação em Psicanálise - Pós-Graduação em Psicanálise - Adrielly Kayane da Silva Sena - O Método Psicanalítico – 50H - Nota Máxima: 9")</f>
        <v>Pós-Graduação em Psicanálise - Pós-Graduação em Psicanálise - Adrielly Kayane da Silva Sena - O Método Psicanalítico – 50H - Nota Máxima: 9</v>
      </c>
    </row>
    <row r="8138">
      <c r="A8138" s="390" t="str">
        <f>IFERROR(__xludf.DUMMYFUNCTION("""COMPUTED_VALUE"""),"Pós-Graduação em Psicanálise - Pós-Graduação em Psicanálise - Adrielly Kayane da Silva Sena - Práticas e Procedimentos em Clínica – 30H - Nota Máxima: 10")</f>
        <v>Pós-Graduação em Psicanálise - Pós-Graduação em Psicanálise - Adrielly Kayane da Silva Sena - Práticas e Procedimentos em Clínica – 30H - Nota Máxima: 10</v>
      </c>
    </row>
    <row r="8139">
      <c r="A8139" s="390" t="str">
        <f>IFERROR(__xludf.DUMMYFUNCTION("""COMPUTED_VALUE"""),"Pós-Graduação em Psicanálise - Pós-Graduação em Psicanálise - Adrielly Kayane da Silva Sena - Práticas e Procedimentos em Clínica – 30H - Nota Máxima: 7")</f>
        <v>Pós-Graduação em Psicanálise - Pós-Graduação em Psicanálise - Adrielly Kayane da Silva Sena - Práticas e Procedimentos em Clínica – 30H - Nota Máxima: 7</v>
      </c>
    </row>
    <row r="8140">
      <c r="A8140" s="390" t="str">
        <f>IFERROR(__xludf.DUMMYFUNCTION("""COMPUTED_VALUE"""),"Pós-Graduação em Psicanálise - Pós-Graduação em Psicanálise - Adrielly Kayane da Silva Sena - Processos de Transferência e Resistência – 30H - Nota Máxima: 10")</f>
        <v>Pós-Graduação em Psicanálise - Pós-Graduação em Psicanálise - Adrielly Kayane da Silva Sena - Processos de Transferência e Resistência – 30H - Nota Máxima: 10</v>
      </c>
    </row>
    <row r="8141">
      <c r="A8141" s="390" t="str">
        <f>IFERROR(__xludf.DUMMYFUNCTION("""COMPUTED_VALUE"""),"Pós-Graduação em Psicanálise - Pós-Graduação em Psicanálise - Adrielly Kayane da Silva Sena - Processos de Transferência e Resistência – 30H - Nota Máxima: 6")</f>
        <v>Pós-Graduação em Psicanálise - Pós-Graduação em Psicanálise - Adrielly Kayane da Silva Sena - Processos de Transferência e Resistência – 30H - Nota Máxima: 6</v>
      </c>
    </row>
    <row r="8142">
      <c r="A8142" s="390" t="str">
        <f>IFERROR(__xludf.DUMMYFUNCTION("""COMPUTED_VALUE"""),"Pós-Graduação em Psicanálise - Pós-Graduação em Psicanálise - Adrielly Kayane da Silva Sena - Psicanálise da Criança e do Adolescente – 40H - Nota Máxima: 9")</f>
        <v>Pós-Graduação em Psicanálise - Pós-Graduação em Psicanálise - Adrielly Kayane da Silva Sena - Psicanálise da Criança e do Adolescente – 40H - Nota Máxima: 9</v>
      </c>
    </row>
    <row r="8143">
      <c r="A8143" s="390" t="str">
        <f>IFERROR(__xludf.DUMMYFUNCTION("""COMPUTED_VALUE"""),"Pós-Graduação em Psicanálise - Pós-Graduação em Psicanálise - Adrielly Kayane da Silva Sena - Psicanálise da Criança e do Adolescente – 40H - Nota Máxima: 6")</f>
        <v>Pós-Graduação em Psicanálise - Pós-Graduação em Psicanálise - Adrielly Kayane da Silva Sena - Psicanálise da Criança e do Adolescente – 40H - Nota Máxima: 6</v>
      </c>
    </row>
    <row r="8144">
      <c r="A8144" s="390" t="str">
        <f>IFERROR(__xludf.DUMMYFUNCTION("""COMPUTED_VALUE"""),"Pós-Graduação em Psicanálise - Pós-Graduação em Psicanálise - Adrielly Kayane da Silva Sena - Psicanálise II – 50H - Nota Máxima: 10")</f>
        <v>Pós-Graduação em Psicanálise - Pós-Graduação em Psicanálise - Adrielly Kayane da Silva Sena - Psicanálise II – 50H - Nota Máxima: 10</v>
      </c>
    </row>
    <row r="8145">
      <c r="A8145" s="390" t="str">
        <f>IFERROR(__xludf.DUMMYFUNCTION("""COMPUTED_VALUE"""),"Pós-Graduação em Psicanálise - Pós-Graduação em Psicanálise - Adrielly Kayane da Silva Sena - Psicanálise II – 50H - Nota Máxima: 6")</f>
        <v>Pós-Graduação em Psicanálise - Pós-Graduação em Psicanálise - Adrielly Kayane da Silva Sena - Psicanálise II – 50H - Nota Máxima: 6</v>
      </c>
    </row>
    <row r="8146">
      <c r="A8146" s="390" t="str">
        <f>IFERROR(__xludf.DUMMYFUNCTION("""COMPUTED_VALUE"""),"Pós-Graduação em Psicanálise - Pós-Graduação em Psicanálise - Adrielly Kayane da Silva Sena - Psicopatologias I – 40H - Nota Máxima: 10")</f>
        <v>Pós-Graduação em Psicanálise - Pós-Graduação em Psicanálise - Adrielly Kayane da Silva Sena - Psicopatologias I – 40H - Nota Máxima: 10</v>
      </c>
    </row>
    <row r="8147">
      <c r="A8147" s="390" t="str">
        <f>IFERROR(__xludf.DUMMYFUNCTION("""COMPUTED_VALUE"""),"Pós-Graduação em Psicanálise - Pós-Graduação em Psicanálise - Adrielly Kayane da Silva Sena - Psicopatologias I – 40H - Nota Máxima: 6")</f>
        <v>Pós-Graduação em Psicanálise - Pós-Graduação em Psicanálise - Adrielly Kayane da Silva Sena - Psicopatologias I – 40H - Nota Máxima: 6</v>
      </c>
    </row>
    <row r="8148">
      <c r="A8148" s="390" t="str">
        <f>IFERROR(__xludf.DUMMYFUNCTION("""COMPUTED_VALUE"""),"Pós-Graduação em Psicanálise - Pós-Graduação em Psicanálise - Adrielly Kayane da Silva Sena - Psicopatologias II – 50H - Nota Máxima: 10")</f>
        <v>Pós-Graduação em Psicanálise - Pós-Graduação em Psicanálise - Adrielly Kayane da Silva Sena - Psicopatologias II – 50H - Nota Máxima: 10</v>
      </c>
    </row>
    <row r="8149">
      <c r="A8149" s="390" t="str">
        <f>IFERROR(__xludf.DUMMYFUNCTION("""COMPUTED_VALUE"""),"Pós-Graduação em Psicanálise - Pós-Graduação em Psicanálise - Adrielly Kayane da Silva Sena - Psicopatologias II – 50H - Nota Máxima: 7")</f>
        <v>Pós-Graduação em Psicanálise - Pós-Graduação em Psicanálise - Adrielly Kayane da Silva Sena - Psicopatologias II – 50H - Nota Máxima: 7</v>
      </c>
    </row>
    <row r="8150">
      <c r="A8150" s="390" t="str">
        <f>IFERROR(__xludf.DUMMYFUNCTION("""COMPUTED_VALUE"""),"Pós-Graduação em Psicanálise - Pós-Graduação em Psicanálise - Adrielly Kayane da Silva Sena - Sonhos, Simbologia e Representação – 50H - Nota Máxima: 9")</f>
        <v>Pós-Graduação em Psicanálise - Pós-Graduação em Psicanálise - Adrielly Kayane da Silva Sena - Sonhos, Simbologia e Representação – 50H - Nota Máxima: 9</v>
      </c>
    </row>
    <row r="8151">
      <c r="A8151" s="390" t="str">
        <f>IFERROR(__xludf.DUMMYFUNCTION("""COMPUTED_VALUE"""),"Pós-Graduação em Psicanálise - Pós-Graduação em Psicanálise - Adrielly Kayane da Silva Sena - Sonhos, Simbologia e Representação – 50H - Nota Máxima: 6")</f>
        <v>Pós-Graduação em Psicanálise - Pós-Graduação em Psicanálise - Adrielly Kayane da Silva Sena - Sonhos, Simbologia e Representação – 50H - Nota Máxima: 6</v>
      </c>
    </row>
    <row r="8152">
      <c r="A8152" s="390" t="str">
        <f>IFERROR(__xludf.DUMMYFUNCTION("""COMPUTED_VALUE"""),"Pós-Graduação em Psicanálise - Pós-Graduação em Psicanálise - Adrielly Kayane da Silva Sena - Tópicos Avançados em Clínica – 40H - Nota Máxima: 10")</f>
        <v>Pós-Graduação em Psicanálise - Pós-Graduação em Psicanálise - Adrielly Kayane da Silva Sena - Tópicos Avançados em Clínica – 40H - Nota Máxima: 10</v>
      </c>
    </row>
    <row r="8153">
      <c r="A8153" s="390" t="str">
        <f>IFERROR(__xludf.DUMMYFUNCTION("""COMPUTED_VALUE"""),"Pós-Graduação em Psicanálise - Pós-Graduação em Psicanálise - Adrielly Kayane da Silva Sena - Tópicos Avançados em Clínica – 40H - Nota Máxima: 7")</f>
        <v>Pós-Graduação em Psicanálise - Pós-Graduação em Psicanálise - Adrielly Kayane da Silva Sena - Tópicos Avançados em Clínica – 40H - Nota Máxima: 7</v>
      </c>
    </row>
    <row r="8154">
      <c r="A8154" s="390" t="str">
        <f>IFERROR(__xludf.DUMMYFUNCTION("""COMPUTED_VALUE"""),"Pós-Graduação em Psicanálise - Pós-Graduação em Psicanálise - Adrielly Kayane da Silva Sena - Tópicos Avançados em Sexualidade – 40H - Nota Máxima: 10")</f>
        <v>Pós-Graduação em Psicanálise - Pós-Graduação em Psicanálise - Adrielly Kayane da Silva Sena - Tópicos Avançados em Sexualidade – 40H - Nota Máxima: 10</v>
      </c>
    </row>
    <row r="8155">
      <c r="A8155" s="390" t="str">
        <f>IFERROR(__xludf.DUMMYFUNCTION("""COMPUTED_VALUE"""),"Pós-Graduação em Psicanálise - Pós-Graduação em Psicanálise - Adrielly Kayane da Silva Sena - Tópicos Avançados em Sexualidade – 40H - Nota Máxima: 8")</f>
        <v>Pós-Graduação em Psicanálise - Pós-Graduação em Psicanálise - Adrielly Kayane da Silva Sena - Tópicos Avançados em Sexualidade – 40H - Nota Máxima: 8</v>
      </c>
    </row>
    <row r="8156">
      <c r="A8156" s="390" t="str">
        <f>IFERROR(__xludf.DUMMYFUNCTION("""COMPUTED_VALUE"""),"Pós-Graduação em Psicanálise - Pós-Graduação em Psicanálise - Robson Prati Neves de Oliveira - Complexo de Édipo e Castração - Nota Máxima: 9")</f>
        <v>Pós-Graduação em Psicanálise - Pós-Graduação em Psicanálise - Robson Prati Neves de Oliveira - Complexo de Édipo e Castração - Nota Máxima: 9</v>
      </c>
    </row>
    <row r="8157">
      <c r="A8157" s="390" t="str">
        <f>IFERROR(__xludf.DUMMYFUNCTION("""COMPUTED_VALUE"""),"Pós-Graduação em Psicanálise - Pós-Graduação em Psicanálise - Robson Prati Neves de Oliveira - Educação Especial, Inclusão Escolar e Adaptações Curriculares - Nota Máxima: 9")</f>
        <v>Pós-Graduação em Psicanálise - Pós-Graduação em Psicanálise - Robson Prati Neves de Oliveira - Educação Especial, Inclusão Escolar e Adaptações Curriculares - Nota Máxima: 9</v>
      </c>
    </row>
    <row r="8158">
      <c r="A8158" s="390" t="str">
        <f>IFERROR(__xludf.DUMMYFUNCTION("""COMPUTED_VALUE"""),"Pós-Graduação em Psicanálise - Pós-Graduação em Psicanálise - Robson Prati Neves de Oliveira - Formação e Ética do Psicanalista – 30H - Nota Máxima: 9")</f>
        <v>Pós-Graduação em Psicanálise - Pós-Graduação em Psicanálise - Robson Prati Neves de Oliveira - Formação e Ética do Psicanalista – 30H - Nota Máxima: 9</v>
      </c>
    </row>
    <row r="8159">
      <c r="A8159" s="390" t="str">
        <f>IFERROR(__xludf.DUMMYFUNCTION("""COMPUTED_VALUE"""),"Pós-Graduação em Psicanálise - Pós-Graduação em Psicanálise - Robson Prati Neves de Oliveira - Introdução à EAD - 30H - Nota Máxima: 9")</f>
        <v>Pós-Graduação em Psicanálise - Pós-Graduação em Psicanálise - Robson Prati Neves de Oliveira - Introdução à EAD - 30H - Nota Máxima: 9</v>
      </c>
    </row>
    <row r="8160">
      <c r="A8160" s="390" t="str">
        <f>IFERROR(__xludf.DUMMYFUNCTION("""COMPUTED_VALUE"""),"Pós-Graduação em Psicanálise - Pós-Graduação em Psicanálise - Robson Prati Neves de Oliveira - Introdução à Psicanálise – 40H - Nota Máxima: 8")</f>
        <v>Pós-Graduação em Psicanálise - Pós-Graduação em Psicanálise - Robson Prati Neves de Oliveira - Introdução à Psicanálise – 40H - Nota Máxima: 8</v>
      </c>
    </row>
    <row r="8161">
      <c r="A8161" s="390" t="str">
        <f>IFERROR(__xludf.DUMMYFUNCTION("""COMPUTED_VALUE"""),"Pós-Graduação em Psicanálise - Pós-Graduação em Psicanálise - Robson Prati Neves de Oliveira - Legislação Educacional/a - Nota Máxima: 8")</f>
        <v>Pós-Graduação em Psicanálise - Pós-Graduação em Psicanálise - Robson Prati Neves de Oliveira - Legislação Educacional/a - Nota Máxima: 8</v>
      </c>
    </row>
    <row r="8162">
      <c r="A8162" s="390" t="str">
        <f>IFERROR(__xludf.DUMMYFUNCTION("""COMPUTED_VALUE"""),"Pós-Graduação em Psicanálise - Pós-Graduação em Psicanálise - Robson Prati Neves de Oliveira - Libido, Pulsões e Sexualidade – 50H - Nota Máxima: 8")</f>
        <v>Pós-Graduação em Psicanálise - Pós-Graduação em Psicanálise - Robson Prati Neves de Oliveira - Libido, Pulsões e Sexualidade – 50H - Nota Máxima: 8</v>
      </c>
    </row>
    <row r="8163">
      <c r="A8163" s="390" t="str">
        <f>IFERROR(__xludf.DUMMYFUNCTION("""COMPUTED_VALUE"""),"Pós-Graduação em Psicanálise - Pós-Graduação em Psicanálise - Robson Prati Neves de Oliveira - Narcisismo e a Cultura da Indiferença – 40H - Nota Máxima: 7")</f>
        <v>Pós-Graduação em Psicanálise - Pós-Graduação em Psicanálise - Robson Prati Neves de Oliveira - Narcisismo e a Cultura da Indiferença – 40H - Nota Máxima: 7</v>
      </c>
    </row>
    <row r="8164">
      <c r="A8164" s="390" t="str">
        <f>IFERROR(__xludf.DUMMYFUNCTION("""COMPUTED_VALUE"""),"Pós-Graduação em Psicanálise - Pós-Graduação em Psicanálise - Robson Prati Neves de Oliveira - O Aparelho psíquico, aspectos clínicos e Teóricos – 40H - Nota Máxima: 7")</f>
        <v>Pós-Graduação em Psicanálise - Pós-Graduação em Psicanálise - Robson Prati Neves de Oliveira - O Aparelho psíquico, aspectos clínicos e Teóricos – 40H - Nota Máxima: 7</v>
      </c>
    </row>
    <row r="8165">
      <c r="A8165" s="390" t="str">
        <f>IFERROR(__xludf.DUMMYFUNCTION("""COMPUTED_VALUE"""),"Pós-Graduação em Psicanálise - Pós-Graduação em Psicanálise - Robson Prati Neves de Oliveira - O Método Psicanalítico – 50H - Nota Máxima: 8")</f>
        <v>Pós-Graduação em Psicanálise - Pós-Graduação em Psicanálise - Robson Prati Neves de Oliveira - O Método Psicanalítico – 50H - Nota Máxima: 8</v>
      </c>
    </row>
    <row r="8166">
      <c r="A8166" s="390" t="str">
        <f>IFERROR(__xludf.DUMMYFUNCTION("""COMPUTED_VALUE"""),"Pós-Graduação em Psicanálise - Pós-Graduação em Psicanálise - Robson Prati Neves de Oliveira - Planejamento, Gestão Educacional e Currículo/a - Nota Máxima: 7")</f>
        <v>Pós-Graduação em Psicanálise - Pós-Graduação em Psicanálise - Robson Prati Neves de Oliveira - Planejamento, Gestão Educacional e Currículo/a - Nota Máxima: 7</v>
      </c>
    </row>
    <row r="8167">
      <c r="A8167" s="390" t="str">
        <f>IFERROR(__xludf.DUMMYFUNCTION("""COMPUTED_VALUE"""),"Pós-Graduação em Psicanálise - Pós-Graduação em Psicanálise - Robson Prati Neves de Oliveira - Práticas e Procedimentos em Clínica – 30H - Nota Máxima: 7")</f>
        <v>Pós-Graduação em Psicanálise - Pós-Graduação em Psicanálise - Robson Prati Neves de Oliveira - Práticas e Procedimentos em Clínica – 30H - Nota Máxima: 7</v>
      </c>
    </row>
    <row r="8168">
      <c r="A8168" s="390" t="str">
        <f>IFERROR(__xludf.DUMMYFUNCTION("""COMPUTED_VALUE"""),"Pós-Graduação em Psicanálise - Pós-Graduação em Psicanálise - Robson Prati Neves de Oliveira - Processos de Transferência e Resistência – 30H - Nota Máxima: 9")</f>
        <v>Pós-Graduação em Psicanálise - Pós-Graduação em Psicanálise - Robson Prati Neves de Oliveira - Processos de Transferência e Resistência – 30H - Nota Máxima: 9</v>
      </c>
    </row>
    <row r="8169">
      <c r="A8169" s="390" t="str">
        <f>IFERROR(__xludf.DUMMYFUNCTION("""COMPUTED_VALUE"""),"Pós-Graduação em Psicanálise - Pós-Graduação em Psicanálise - Robson Prati Neves de Oliveira - Psicanálise da Criança e do Adolescente – 40H - Nota Máxima: 7")</f>
        <v>Pós-Graduação em Psicanálise - Pós-Graduação em Psicanálise - Robson Prati Neves de Oliveira - Psicanálise da Criança e do Adolescente – 40H - Nota Máxima: 7</v>
      </c>
    </row>
    <row r="8170">
      <c r="A8170" s="390" t="str">
        <f>IFERROR(__xludf.DUMMYFUNCTION("""COMPUTED_VALUE"""),"Pós-Graduação em Psicanálise - Pós-Graduação em Psicanálise - Robson Prati Neves de Oliveira - Psicanálise II – 50H - Nota Máxima: 8")</f>
        <v>Pós-Graduação em Psicanálise - Pós-Graduação em Psicanálise - Robson Prati Neves de Oliveira - Psicanálise II – 50H - Nota Máxima: 8</v>
      </c>
    </row>
    <row r="8171">
      <c r="A8171" s="390" t="str">
        <f>IFERROR(__xludf.DUMMYFUNCTION("""COMPUTED_VALUE"""),"Pós-Graduação em Psicanálise - Pós-Graduação em Psicanálise - Robson Prati Neves de Oliveira - Psicopatologias I – 40H - Nota Máxima: 6")</f>
        <v>Pós-Graduação em Psicanálise - Pós-Graduação em Psicanálise - Robson Prati Neves de Oliveira - Psicopatologias I – 40H - Nota Máxima: 6</v>
      </c>
    </row>
    <row r="8172">
      <c r="A8172" s="390" t="str">
        <f>IFERROR(__xludf.DUMMYFUNCTION("""COMPUTED_VALUE"""),"Pós-Graduação em Psicanálise - Pós-Graduação em Psicanálise - Robson Prati Neves de Oliveira - Psicopatologias II – 50H - Nota Máxima: 7")</f>
        <v>Pós-Graduação em Psicanálise - Pós-Graduação em Psicanálise - Robson Prati Neves de Oliveira - Psicopatologias II – 50H - Nota Máxima: 7</v>
      </c>
    </row>
    <row r="8173">
      <c r="A8173" s="390" t="str">
        <f>IFERROR(__xludf.DUMMYFUNCTION("""COMPUTED_VALUE"""),"Pós-Graduação em Psicanálise - Pós-Graduação em Psicanálise - Robson Prati Neves de Oliveira - Sonhos, Simbologia e Representação – 50H - Nota Máxima: 8")</f>
        <v>Pós-Graduação em Psicanálise - Pós-Graduação em Psicanálise - Robson Prati Neves de Oliveira - Sonhos, Simbologia e Representação – 50H - Nota Máxima: 8</v>
      </c>
    </row>
    <row r="8174">
      <c r="A8174" s="390" t="str">
        <f>IFERROR(__xludf.DUMMYFUNCTION("""COMPUTED_VALUE"""),"Pós-Graduação em Psicanálise - Pós-Graduação em Psicanálise - Robson Prati Neves de Oliveira - Tópicos Avançados em Clínica – 40H - Nota Máxima: 8")</f>
        <v>Pós-Graduação em Psicanálise - Pós-Graduação em Psicanálise - Robson Prati Neves de Oliveira - Tópicos Avançados em Clínica – 40H - Nota Máxima: 8</v>
      </c>
    </row>
    <row r="8175">
      <c r="A8175" s="390" t="str">
        <f>IFERROR(__xludf.DUMMYFUNCTION("""COMPUTED_VALUE"""),"Pós-Graduação em Psicanálise - Pós-Graduação em Psicanálise - Robson Prati Neves de Oliveira - Tópicos Avançados em Sexualidade – 40H - Nota Máxima: 8")</f>
        <v>Pós-Graduação em Psicanálise - Pós-Graduação em Psicanálise - Robson Prati Neves de Oliveira - Tópicos Avançados em Sexualidade – 40H - Nota Máxima: 8</v>
      </c>
    </row>
    <row r="8176">
      <c r="A8176" s="390" t="str">
        <f>IFERROR(__xludf.DUMMYFUNCTION("""COMPUTED_VALUE"""),"Pós-Graduação em Psicanálise - Pós-Graduação em Psicanálise - Kelly Costa de Miranda Santos - Complexo de Édipo e Castração - Nota Máxima: 8")</f>
        <v>Pós-Graduação em Psicanálise - Pós-Graduação em Psicanálise - Kelly Costa de Miranda Santos - Complexo de Édipo e Castração - Nota Máxima: 8</v>
      </c>
    </row>
    <row r="8177">
      <c r="A8177" s="390" t="str">
        <f>IFERROR(__xludf.DUMMYFUNCTION("""COMPUTED_VALUE"""),"Pós-Graduação em Psicanálise - Pós-Graduação em Psicanálise - Fernanda Gabriel Seabra Pila - Complexo de Édipo e Castração - Nota Máxima: 9")</f>
        <v>Pós-Graduação em Psicanálise - Pós-Graduação em Psicanálise - Fernanda Gabriel Seabra Pila - Complexo de Édipo e Castração - Nota Máxima: 9</v>
      </c>
    </row>
    <row r="8178">
      <c r="A8178" s="390" t="str">
        <f>IFERROR(__xludf.DUMMYFUNCTION("""COMPUTED_VALUE"""),"Pós-Graduação em Psicanálise - Pós-Graduação em Psicanálise - Fernanda Gabriel Seabra Pila - Complexo de Édipo e Castração - Nota Máxima: 7")</f>
        <v>Pós-Graduação em Psicanálise - Pós-Graduação em Psicanálise - Fernanda Gabriel Seabra Pila - Complexo de Édipo e Castração - Nota Máxima: 7</v>
      </c>
    </row>
    <row r="8179">
      <c r="A8179" s="390" t="str">
        <f>IFERROR(__xludf.DUMMYFUNCTION("""COMPUTED_VALUE"""),"Pós-Graduação em Psicanálise - Pós-Graduação em Psicanálise - Fernanda Gabriel Seabra Pila - Educação Especial, Inclusão Escolar e Adaptações Curriculares - Nota Máxima: 9")</f>
        <v>Pós-Graduação em Psicanálise - Pós-Graduação em Psicanálise - Fernanda Gabriel Seabra Pila - Educação Especial, Inclusão Escolar e Adaptações Curriculares - Nota Máxima: 9</v>
      </c>
    </row>
    <row r="8180">
      <c r="A8180" s="390" t="str">
        <f>IFERROR(__xludf.DUMMYFUNCTION("""COMPUTED_VALUE"""),"Pós-Graduação em Psicanálise - Pós-Graduação em Psicanálise - Fernanda Gabriel Seabra Pila - Educação Especial, Inclusão Escolar e Adaptações Curriculares - Nota Máxima: 8")</f>
        <v>Pós-Graduação em Psicanálise - Pós-Graduação em Psicanálise - Fernanda Gabriel Seabra Pila - Educação Especial, Inclusão Escolar e Adaptações Curriculares - Nota Máxima: 8</v>
      </c>
    </row>
    <row r="8181">
      <c r="A8181" s="390" t="str">
        <f>IFERROR(__xludf.DUMMYFUNCTION("""COMPUTED_VALUE"""),"Pós-Graduação em Psicanálise - Pós-Graduação em Psicanálise - Fernanda Gabriel Seabra Pila - Formação e Ética do Psicanalista – 30H - Nota Máxima: 9")</f>
        <v>Pós-Graduação em Psicanálise - Pós-Graduação em Psicanálise - Fernanda Gabriel Seabra Pila - Formação e Ética do Psicanalista – 30H - Nota Máxima: 9</v>
      </c>
    </row>
    <row r="8182">
      <c r="A8182" s="390" t="str">
        <f>IFERROR(__xludf.DUMMYFUNCTION("""COMPUTED_VALUE"""),"Pós-Graduação em Psicanálise - Pós-Graduação em Psicanálise - Fernanda Gabriel Seabra Pila - Formação e Ética do Psicanalista – 30H - Nota Máxima: 8")</f>
        <v>Pós-Graduação em Psicanálise - Pós-Graduação em Psicanálise - Fernanda Gabriel Seabra Pila - Formação e Ética do Psicanalista – 30H - Nota Máxima: 8</v>
      </c>
    </row>
    <row r="8183">
      <c r="A8183" s="390" t="str">
        <f>IFERROR(__xludf.DUMMYFUNCTION("""COMPUTED_VALUE"""),"Pós-Graduação em Psicanálise - Pós-Graduação em Psicanálise - Fernanda Gabriel Seabra Pila - Introdução à EAD - 30H - Nota Máxima: 10")</f>
        <v>Pós-Graduação em Psicanálise - Pós-Graduação em Psicanálise - Fernanda Gabriel Seabra Pila - Introdução à EAD - 30H - Nota Máxima: 10</v>
      </c>
    </row>
    <row r="8184">
      <c r="A8184" s="390" t="str">
        <f>IFERROR(__xludf.DUMMYFUNCTION("""COMPUTED_VALUE"""),"Pós-Graduação em Psicanálise - Pós-Graduação em Psicanálise - Fernanda Gabriel Seabra Pila - Introdução à EAD - 30H - Nota Máxima: 7")</f>
        <v>Pós-Graduação em Psicanálise - Pós-Graduação em Psicanálise - Fernanda Gabriel Seabra Pila - Introdução à EAD - 30H - Nota Máxima: 7</v>
      </c>
    </row>
    <row r="8185">
      <c r="A8185" s="390" t="str">
        <f>IFERROR(__xludf.DUMMYFUNCTION("""COMPUTED_VALUE"""),"Pós-Graduação em Psicanálise - Pós-Graduação em Psicanálise - Fernanda Gabriel Seabra Pila - Introdução à Psicanálise – 40H - Nota Máxima: 9")</f>
        <v>Pós-Graduação em Psicanálise - Pós-Graduação em Psicanálise - Fernanda Gabriel Seabra Pila - Introdução à Psicanálise – 40H - Nota Máxima: 9</v>
      </c>
    </row>
    <row r="8186">
      <c r="A8186" s="390" t="str">
        <f>IFERROR(__xludf.DUMMYFUNCTION("""COMPUTED_VALUE"""),"Pós-Graduação em Psicanálise - Pós-Graduação em Psicanálise - Fernanda Gabriel Seabra Pila - Introdução à Psicanálise – 40H - Nota Máxima: 7")</f>
        <v>Pós-Graduação em Psicanálise - Pós-Graduação em Psicanálise - Fernanda Gabriel Seabra Pila - Introdução à Psicanálise – 40H - Nota Máxima: 7</v>
      </c>
    </row>
    <row r="8187">
      <c r="A8187" s="390" t="str">
        <f>IFERROR(__xludf.DUMMYFUNCTION("""COMPUTED_VALUE"""),"Pós-Graduação em Psicanálise - Pós-Graduação em Psicanálise - Fernanda Gabriel Seabra Pila - Legislação Educacional/a - Nota Máxima: 9")</f>
        <v>Pós-Graduação em Psicanálise - Pós-Graduação em Psicanálise - Fernanda Gabriel Seabra Pila - Legislação Educacional/a - Nota Máxima: 9</v>
      </c>
    </row>
    <row r="8188">
      <c r="A8188" s="390" t="str">
        <f>IFERROR(__xludf.DUMMYFUNCTION("""COMPUTED_VALUE"""),"Pós-Graduação em Psicanálise - Pós-Graduação em Psicanálise - Fernanda Gabriel Seabra Pila - Legislação Educacional/a - Nota Máxima: 4")</f>
        <v>Pós-Graduação em Psicanálise - Pós-Graduação em Psicanálise - Fernanda Gabriel Seabra Pila - Legislação Educacional/a - Nota Máxima: 4</v>
      </c>
    </row>
    <row r="8189">
      <c r="A8189" s="390" t="str">
        <f>IFERROR(__xludf.DUMMYFUNCTION("""COMPUTED_VALUE"""),"Pós-Graduação em Psicanálise - Pós-Graduação em Psicanálise - Fernanda Gabriel Seabra Pila - Libido, Pulsões e Sexualidade – 50H - Nota Máxima: 9")</f>
        <v>Pós-Graduação em Psicanálise - Pós-Graduação em Psicanálise - Fernanda Gabriel Seabra Pila - Libido, Pulsões e Sexualidade – 50H - Nota Máxima: 9</v>
      </c>
    </row>
    <row r="8190">
      <c r="A8190" s="390" t="str">
        <f>IFERROR(__xludf.DUMMYFUNCTION("""COMPUTED_VALUE"""),"Pós-Graduação em Psicanálise - Pós-Graduação em Psicanálise - Fernanda Gabriel Seabra Pila - Libido, Pulsões e Sexualidade – 50H - Nota Máxima: 6")</f>
        <v>Pós-Graduação em Psicanálise - Pós-Graduação em Psicanálise - Fernanda Gabriel Seabra Pila - Libido, Pulsões e Sexualidade – 50H - Nota Máxima: 6</v>
      </c>
    </row>
    <row r="8191">
      <c r="A8191" s="390" t="str">
        <f>IFERROR(__xludf.DUMMYFUNCTION("""COMPUTED_VALUE"""),"Pós-Graduação em Psicanálise - Pós-Graduação em Psicanálise - Fernanda Gabriel Seabra Pila - Narcisismo e a Cultura da Indiferença – 40H - Nota Máxima: 9")</f>
        <v>Pós-Graduação em Psicanálise - Pós-Graduação em Psicanálise - Fernanda Gabriel Seabra Pila - Narcisismo e a Cultura da Indiferença – 40H - Nota Máxima: 9</v>
      </c>
    </row>
    <row r="8192">
      <c r="A8192" s="390" t="str">
        <f>IFERROR(__xludf.DUMMYFUNCTION("""COMPUTED_VALUE"""),"Pós-Graduação em Psicanálise - Pós-Graduação em Psicanálise - Fernanda Gabriel Seabra Pila - Narcisismo e a Cultura da Indiferença – 40H - Nota Máxima: 5")</f>
        <v>Pós-Graduação em Psicanálise - Pós-Graduação em Psicanálise - Fernanda Gabriel Seabra Pila - Narcisismo e a Cultura da Indiferença – 40H - Nota Máxima: 5</v>
      </c>
    </row>
    <row r="8193">
      <c r="A8193" s="390" t="str">
        <f>IFERROR(__xludf.DUMMYFUNCTION("""COMPUTED_VALUE"""),"Pós-Graduação em Psicanálise - Pós-Graduação em Psicanálise - Fernanda Gabriel Seabra Pila - O Aparelho psíquico, aspectos clínicos e Teóricos – 40H - Nota Máxima: 9")</f>
        <v>Pós-Graduação em Psicanálise - Pós-Graduação em Psicanálise - Fernanda Gabriel Seabra Pila - O Aparelho psíquico, aspectos clínicos e Teóricos – 40H - Nota Máxima: 9</v>
      </c>
    </row>
    <row r="8194">
      <c r="A8194" s="390" t="str">
        <f>IFERROR(__xludf.DUMMYFUNCTION("""COMPUTED_VALUE"""),"Pós-Graduação em Psicanálise - Pós-Graduação em Psicanálise - Fernanda Gabriel Seabra Pila - O Aparelho psíquico, aspectos clínicos e Teóricos – 40H - Nota Máxima: 6")</f>
        <v>Pós-Graduação em Psicanálise - Pós-Graduação em Psicanálise - Fernanda Gabriel Seabra Pila - O Aparelho psíquico, aspectos clínicos e Teóricos – 40H - Nota Máxima: 6</v>
      </c>
    </row>
    <row r="8195">
      <c r="A8195" s="390" t="str">
        <f>IFERROR(__xludf.DUMMYFUNCTION("""COMPUTED_VALUE"""),"Pós-Graduação em Psicanálise - Pós-Graduação em Psicanálise - Fernanda Gabriel Seabra Pila - O Método Psicanalítico – 50H - Nota Máxima: 8")</f>
        <v>Pós-Graduação em Psicanálise - Pós-Graduação em Psicanálise - Fernanda Gabriel Seabra Pila - O Método Psicanalítico – 50H - Nota Máxima: 8</v>
      </c>
    </row>
    <row r="8196">
      <c r="A8196" s="390" t="str">
        <f>IFERROR(__xludf.DUMMYFUNCTION("""COMPUTED_VALUE"""),"Pós-Graduação em Psicanálise - Pós-Graduação em Psicanálise - Fernanda Gabriel Seabra Pila - O Método Psicanalítico – 50H - Nota Máxima: 3")</f>
        <v>Pós-Graduação em Psicanálise - Pós-Graduação em Psicanálise - Fernanda Gabriel Seabra Pila - O Método Psicanalítico – 50H - Nota Máxima: 3</v>
      </c>
    </row>
    <row r="8197">
      <c r="A8197" s="390" t="str">
        <f>IFERROR(__xludf.DUMMYFUNCTION("""COMPUTED_VALUE"""),"Pós-Graduação em Psicanálise - Pós-Graduação em Psicanálise - Fernanda Gabriel Seabra Pila - Planejamento, Gestão Educacional e Currículo/a - Nota Máxima: 9")</f>
        <v>Pós-Graduação em Psicanálise - Pós-Graduação em Psicanálise - Fernanda Gabriel Seabra Pila - Planejamento, Gestão Educacional e Currículo/a - Nota Máxima: 9</v>
      </c>
    </row>
    <row r="8198">
      <c r="A8198" s="390" t="str">
        <f>IFERROR(__xludf.DUMMYFUNCTION("""COMPUTED_VALUE"""),"Pós-Graduação em Psicanálise - Pós-Graduação em Psicanálise - Fernanda Gabriel Seabra Pila - Planejamento, Gestão Educacional e Currículo/a - Nota Máxima: 9")</f>
        <v>Pós-Graduação em Psicanálise - Pós-Graduação em Psicanálise - Fernanda Gabriel Seabra Pila - Planejamento, Gestão Educacional e Currículo/a - Nota Máxima: 9</v>
      </c>
    </row>
    <row r="8199">
      <c r="A8199" s="390" t="str">
        <f>IFERROR(__xludf.DUMMYFUNCTION("""COMPUTED_VALUE"""),"Pós-Graduação em Psicanálise - Pós-Graduação em Psicanálise - Fernanda Gabriel Seabra Pila - Práticas e Procedimentos em Clínica – 30H - Nota Máxima: 10")</f>
        <v>Pós-Graduação em Psicanálise - Pós-Graduação em Psicanálise - Fernanda Gabriel Seabra Pila - Práticas e Procedimentos em Clínica – 30H - Nota Máxima: 10</v>
      </c>
    </row>
    <row r="8200">
      <c r="A8200" s="390" t="str">
        <f>IFERROR(__xludf.DUMMYFUNCTION("""COMPUTED_VALUE"""),"Pós-Graduação em Psicanálise - Pós-Graduação em Psicanálise - Fernanda Gabriel Seabra Pila - Práticas e Procedimentos em Clínica – 30H - Nota Máxima: 7")</f>
        <v>Pós-Graduação em Psicanálise - Pós-Graduação em Psicanálise - Fernanda Gabriel Seabra Pila - Práticas e Procedimentos em Clínica – 30H - Nota Máxima: 7</v>
      </c>
    </row>
    <row r="8201">
      <c r="A8201" s="390" t="str">
        <f>IFERROR(__xludf.DUMMYFUNCTION("""COMPUTED_VALUE"""),"Pós-Graduação em Psicanálise - Pós-Graduação em Psicanálise - Fernanda Gabriel Seabra Pila - Processos de Transferência e Resistência – 30H - Nota Máxima: 10")</f>
        <v>Pós-Graduação em Psicanálise - Pós-Graduação em Psicanálise - Fernanda Gabriel Seabra Pila - Processos de Transferência e Resistência – 30H - Nota Máxima: 10</v>
      </c>
    </row>
    <row r="8202">
      <c r="A8202" s="390" t="str">
        <f>IFERROR(__xludf.DUMMYFUNCTION("""COMPUTED_VALUE"""),"Pós-Graduação em Psicanálise - Pós-Graduação em Psicanálise - Fernanda Gabriel Seabra Pila - Processos de Transferência e Resistência – 30H - Nota Máxima: 5")</f>
        <v>Pós-Graduação em Psicanálise - Pós-Graduação em Psicanálise - Fernanda Gabriel Seabra Pila - Processos de Transferência e Resistência – 30H - Nota Máxima: 5</v>
      </c>
    </row>
    <row r="8203">
      <c r="A8203" s="390" t="str">
        <f>IFERROR(__xludf.DUMMYFUNCTION("""COMPUTED_VALUE"""),"Pós-Graduação em Psicanálise - Pós-Graduação em Psicanálise - Fernanda Gabriel Seabra Pila - Psicanálise da Criança e do Adolescente – 40H - Nota Máxima: 10")</f>
        <v>Pós-Graduação em Psicanálise - Pós-Graduação em Psicanálise - Fernanda Gabriel Seabra Pila - Psicanálise da Criança e do Adolescente – 40H - Nota Máxima: 10</v>
      </c>
    </row>
    <row r="8204">
      <c r="A8204" s="390" t="str">
        <f>IFERROR(__xludf.DUMMYFUNCTION("""COMPUTED_VALUE"""),"Pós-Graduação em Psicanálise - Pós-Graduação em Psicanálise - Fernanda Gabriel Seabra Pila - Psicanálise da Criança e do Adolescente – 40H - Nota Máxima: 7")</f>
        <v>Pós-Graduação em Psicanálise - Pós-Graduação em Psicanálise - Fernanda Gabriel Seabra Pila - Psicanálise da Criança e do Adolescente – 40H - Nota Máxima: 7</v>
      </c>
    </row>
    <row r="8205">
      <c r="A8205" s="390" t="str">
        <f>IFERROR(__xludf.DUMMYFUNCTION("""COMPUTED_VALUE"""),"Pós-Graduação em Psicanálise - Pós-Graduação em Psicanálise - Fernanda Gabriel Seabra Pila - Psicanálise II – 50H - Nota Máxima: 10")</f>
        <v>Pós-Graduação em Psicanálise - Pós-Graduação em Psicanálise - Fernanda Gabriel Seabra Pila - Psicanálise II – 50H - Nota Máxima: 10</v>
      </c>
    </row>
    <row r="8206">
      <c r="A8206" s="390" t="str">
        <f>IFERROR(__xludf.DUMMYFUNCTION("""COMPUTED_VALUE"""),"Pós-Graduação em Psicanálise - Pós-Graduação em Psicanálise - Fernanda Gabriel Seabra Pila - Psicanálise II – 50H - Nota Máxima: 6")</f>
        <v>Pós-Graduação em Psicanálise - Pós-Graduação em Psicanálise - Fernanda Gabriel Seabra Pila - Psicanálise II – 50H - Nota Máxima: 6</v>
      </c>
    </row>
    <row r="8207">
      <c r="A8207" s="390" t="str">
        <f>IFERROR(__xludf.DUMMYFUNCTION("""COMPUTED_VALUE"""),"Pós-Graduação em Psicanálise - Pós-Graduação em Psicanálise - Fernanda Gabriel Seabra Pila - Psicopatologias I – 40H - Nota Máxima: 10")</f>
        <v>Pós-Graduação em Psicanálise - Pós-Graduação em Psicanálise - Fernanda Gabriel Seabra Pila - Psicopatologias I – 40H - Nota Máxima: 10</v>
      </c>
    </row>
    <row r="8208">
      <c r="A8208" s="390" t="str">
        <f>IFERROR(__xludf.DUMMYFUNCTION("""COMPUTED_VALUE"""),"Pós-Graduação em Psicanálise - Pós-Graduação em Psicanálise - Fernanda Gabriel Seabra Pila - Psicopatologias I – 40H - Nota Máxima: 8")</f>
        <v>Pós-Graduação em Psicanálise - Pós-Graduação em Psicanálise - Fernanda Gabriel Seabra Pila - Psicopatologias I – 40H - Nota Máxima: 8</v>
      </c>
    </row>
    <row r="8209">
      <c r="A8209" s="390" t="str">
        <f>IFERROR(__xludf.DUMMYFUNCTION("""COMPUTED_VALUE"""),"Pós-Graduação em Psicanálise - Pós-Graduação em Psicanálise - Fernanda Gabriel Seabra Pila - Psicopatologias II – 50H - Nota Máxima: 10")</f>
        <v>Pós-Graduação em Psicanálise - Pós-Graduação em Psicanálise - Fernanda Gabriel Seabra Pila - Psicopatologias II – 50H - Nota Máxima: 10</v>
      </c>
    </row>
    <row r="8210">
      <c r="A8210" s="390" t="str">
        <f>IFERROR(__xludf.DUMMYFUNCTION("""COMPUTED_VALUE"""),"Pós-Graduação em Psicanálise - Pós-Graduação em Psicanálise - Fernanda Gabriel Seabra Pila - Psicopatologias II – 50H - Nota Máxima: 8")</f>
        <v>Pós-Graduação em Psicanálise - Pós-Graduação em Psicanálise - Fernanda Gabriel Seabra Pila - Psicopatologias II – 50H - Nota Máxima: 8</v>
      </c>
    </row>
    <row r="8211">
      <c r="A8211" s="390" t="str">
        <f>IFERROR(__xludf.DUMMYFUNCTION("""COMPUTED_VALUE"""),"Pós-Graduação em Psicanálise - Pós-Graduação em Psicanálise - Fernanda Gabriel Seabra Pila - Sonhos, Simbologia e Representação – 50H - Nota Máxima: 10")</f>
        <v>Pós-Graduação em Psicanálise - Pós-Graduação em Psicanálise - Fernanda Gabriel Seabra Pila - Sonhos, Simbologia e Representação – 50H - Nota Máxima: 10</v>
      </c>
    </row>
    <row r="8212">
      <c r="A8212" s="390" t="str">
        <f>IFERROR(__xludf.DUMMYFUNCTION("""COMPUTED_VALUE"""),"Pós-Graduação em Psicanálise - Pós-Graduação em Psicanálise - Fernanda Gabriel Seabra Pila - Sonhos, Simbologia e Representação – 50H - Nota Máxima: 4")</f>
        <v>Pós-Graduação em Psicanálise - Pós-Graduação em Psicanálise - Fernanda Gabriel Seabra Pila - Sonhos, Simbologia e Representação – 50H - Nota Máxima: 4</v>
      </c>
    </row>
    <row r="8213">
      <c r="A8213" s="390" t="str">
        <f>IFERROR(__xludf.DUMMYFUNCTION("""COMPUTED_VALUE"""),"Pós-Graduação em Psicanálise - Pós-Graduação em Psicanálise - Fernanda Gabriel Seabra Pila - Tópicos Avançados em Clínica – 40H - Nota Máxima: 10")</f>
        <v>Pós-Graduação em Psicanálise - Pós-Graduação em Psicanálise - Fernanda Gabriel Seabra Pila - Tópicos Avançados em Clínica – 40H - Nota Máxima: 10</v>
      </c>
    </row>
    <row r="8214">
      <c r="A8214" s="390" t="str">
        <f>IFERROR(__xludf.DUMMYFUNCTION("""COMPUTED_VALUE"""),"Pós-Graduação em Psicanálise - Pós-Graduação em Psicanálise - Fernanda Gabriel Seabra Pila - Tópicos Avançados em Clínica – 40H - Nota Máxima: 9")</f>
        <v>Pós-Graduação em Psicanálise - Pós-Graduação em Psicanálise - Fernanda Gabriel Seabra Pila - Tópicos Avançados em Clínica – 40H - Nota Máxima: 9</v>
      </c>
    </row>
    <row r="8215">
      <c r="A8215" s="390" t="str">
        <f>IFERROR(__xludf.DUMMYFUNCTION("""COMPUTED_VALUE"""),"Pós-Graduação em Psicanálise - Pós-Graduação em Psicanálise - Fernanda Gabriel Seabra Pila - Tópicos Avançados em Sexualidade – 40H - Nota Máxima: 9")</f>
        <v>Pós-Graduação em Psicanálise - Pós-Graduação em Psicanálise - Fernanda Gabriel Seabra Pila - Tópicos Avançados em Sexualidade – 40H - Nota Máxima: 9</v>
      </c>
    </row>
    <row r="8216">
      <c r="A8216" s="390" t="str">
        <f>IFERROR(__xludf.DUMMYFUNCTION("""COMPUTED_VALUE"""),"Pós-Graduação em Psicanálise - Pós-Graduação em Psicanálise - Fernanda Gabriel Seabra Pila - Tópicos Avançados em Sexualidade – 40H - Nota Máxima: 3")</f>
        <v>Pós-Graduação em Psicanálise - Pós-Graduação em Psicanálise - Fernanda Gabriel Seabra Pila - Tópicos Avançados em Sexualidade – 40H - Nota Máxima: 3</v>
      </c>
    </row>
    <row r="8217">
      <c r="A8217" s="390" t="str">
        <f>IFERROR(__xludf.DUMMYFUNCTION("""COMPUTED_VALUE"""),"Pós-Graduação em Psicanálise - Pós-Graduação em Psicanálise - Suelen s de Oliveira - Complexo de Édipo e Castração - Nota Máxima: 6")</f>
        <v>Pós-Graduação em Psicanálise - Pós-Graduação em Psicanálise - Suelen s de Oliveira - Complexo de Édipo e Castração - Nota Máxima: 6</v>
      </c>
    </row>
    <row r="8218">
      <c r="A8218" s="390" t="str">
        <f>IFERROR(__xludf.DUMMYFUNCTION("""COMPUTED_VALUE"""),"Pós-Graduação em Psicanálise - Pós-Graduação em Psicanálise - Suelen s de Oliveira - Complexo de Édipo e Castração - Nota Máxima: 8")</f>
        <v>Pós-Graduação em Psicanálise - Pós-Graduação em Psicanálise - Suelen s de Oliveira - Complexo de Édipo e Castração - Nota Máxima: 8</v>
      </c>
    </row>
    <row r="8219">
      <c r="A8219" s="390" t="str">
        <f>IFERROR(__xludf.DUMMYFUNCTION("""COMPUTED_VALUE"""),"Pós-Graduação em Psicanálise - Pós-Graduação em Psicanálise - Nadja Jeane Maria de Jesus Sampaio - Complexo de Édipo e Castração - Nota Máxima: 8")</f>
        <v>Pós-Graduação em Psicanálise - Pós-Graduação em Psicanálise - Nadja Jeane Maria de Jesus Sampaio - Complexo de Édipo e Castração - Nota Máxima: 8</v>
      </c>
    </row>
    <row r="8220">
      <c r="A8220" s="390" t="str">
        <f>IFERROR(__xludf.DUMMYFUNCTION("""COMPUTED_VALUE"""),"Pós-Graduação em Psicanálise - Pós-Graduação em Psicanálise - Nadja Jeane Maria de Jesus Sampaio - Complexo de Édipo e Castração - Nota Máxima: 0")</f>
        <v>Pós-Graduação em Psicanálise - Pós-Graduação em Psicanálise - Nadja Jeane Maria de Jesus Sampaio - Complexo de Édipo e Castração - Nota Máxima: 0</v>
      </c>
    </row>
    <row r="8221">
      <c r="A8221" s="390" t="str">
        <f>IFERROR(__xludf.DUMMYFUNCTION("""COMPUTED_VALUE"""),"Pós-Graduação em Psicanálise - Pós-Graduação em Psicanálise - Nadja Jeane Maria de Jesus Sampaio - Formação e Ética do Psicanalista – 30H - Nota Máxima: 9")</f>
        <v>Pós-Graduação em Psicanálise - Pós-Graduação em Psicanálise - Nadja Jeane Maria de Jesus Sampaio - Formação e Ética do Psicanalista – 30H - Nota Máxima: 9</v>
      </c>
    </row>
    <row r="8222">
      <c r="A8222" s="390" t="str">
        <f>IFERROR(__xludf.DUMMYFUNCTION("""COMPUTED_VALUE"""),"Pós-Graduação em Psicanálise - Pós-Graduação em Psicanálise - Nadja Jeane Maria de Jesus Sampaio - Formação e Ética do Psicanalista – 30H - Nota Máxima: 0")</f>
        <v>Pós-Graduação em Psicanálise - Pós-Graduação em Psicanálise - Nadja Jeane Maria de Jesus Sampaio - Formação e Ética do Psicanalista – 30H - Nota Máxima: 0</v>
      </c>
    </row>
    <row r="8223">
      <c r="A8223" s="390" t="str">
        <f>IFERROR(__xludf.DUMMYFUNCTION("""COMPUTED_VALUE"""),"Pós-Graduação em Psicanálise - Pós-Graduação em Psicanálise - Nadja Jeane Maria de Jesus Sampaio - Introdução à EAD - 30H - Nota Máxima: 9")</f>
        <v>Pós-Graduação em Psicanálise - Pós-Graduação em Psicanálise - Nadja Jeane Maria de Jesus Sampaio - Introdução à EAD - 30H - Nota Máxima: 9</v>
      </c>
    </row>
    <row r="8224">
      <c r="A8224" s="390" t="str">
        <f>IFERROR(__xludf.DUMMYFUNCTION("""COMPUTED_VALUE"""),"Pós-Graduação em Psicanálise - Pós-Graduação em Psicanálise - Nadja Jeane Maria de Jesus Sampaio - Introdução à EAD - 30H - Nota Máxima: 0")</f>
        <v>Pós-Graduação em Psicanálise - Pós-Graduação em Psicanálise - Nadja Jeane Maria de Jesus Sampaio - Introdução à EAD - 30H - Nota Máxima: 0</v>
      </c>
    </row>
    <row r="8225">
      <c r="A8225" s="390" t="str">
        <f>IFERROR(__xludf.DUMMYFUNCTION("""COMPUTED_VALUE"""),"Pós-Graduação em Psicanálise - Pós-Graduação em Psicanálise - Nadja Jeane Maria de Jesus Sampaio - Introdução à Psicanálise – 40H - Nota Máxima: 9")</f>
        <v>Pós-Graduação em Psicanálise - Pós-Graduação em Psicanálise - Nadja Jeane Maria de Jesus Sampaio - Introdução à Psicanálise – 40H - Nota Máxima: 9</v>
      </c>
    </row>
    <row r="8226">
      <c r="A8226" s="390" t="str">
        <f>IFERROR(__xludf.DUMMYFUNCTION("""COMPUTED_VALUE"""),"Pós-Graduação em Psicanálise - Pós-Graduação em Psicanálise - Nadja Jeane Maria de Jesus Sampaio - Introdução à Psicanálise – 40H - Nota Máxima: 0")</f>
        <v>Pós-Graduação em Psicanálise - Pós-Graduação em Psicanálise - Nadja Jeane Maria de Jesus Sampaio - Introdução à Psicanálise – 40H - Nota Máxima: 0</v>
      </c>
    </row>
    <row r="8227">
      <c r="A8227" s="390" t="str">
        <f>IFERROR(__xludf.DUMMYFUNCTION("""COMPUTED_VALUE"""),"Pós-Graduação em Psicanálise - Pós-Graduação em Psicanálise - Nadja Jeane Maria de Jesus Sampaio - Libido, Pulsões e Sexualidade – 50H - Nota Máxima: 9")</f>
        <v>Pós-Graduação em Psicanálise - Pós-Graduação em Psicanálise - Nadja Jeane Maria de Jesus Sampaio - Libido, Pulsões e Sexualidade – 50H - Nota Máxima: 9</v>
      </c>
    </row>
    <row r="8228">
      <c r="A8228" s="390" t="str">
        <f>IFERROR(__xludf.DUMMYFUNCTION("""COMPUTED_VALUE"""),"Pós-Graduação em Psicanálise - Pós-Graduação em Psicanálise - Nadja Jeane Maria de Jesus Sampaio - Libido, Pulsões e Sexualidade – 50H - Nota Máxima: 0")</f>
        <v>Pós-Graduação em Psicanálise - Pós-Graduação em Psicanálise - Nadja Jeane Maria de Jesus Sampaio - Libido, Pulsões e Sexualidade – 50H - Nota Máxima: 0</v>
      </c>
    </row>
    <row r="8229">
      <c r="A8229" s="390" t="str">
        <f>IFERROR(__xludf.DUMMYFUNCTION("""COMPUTED_VALUE"""),"Pós-Graduação em Psicanálise - Pós-Graduação em Psicanálise - Adriana Leite Salvione de Carvalho - Complexo de Édipo e Castração - Nota Máxima: 10")</f>
        <v>Pós-Graduação em Psicanálise - Pós-Graduação em Psicanálise - Adriana Leite Salvione de Carvalho - Complexo de Édipo e Castração - Nota Máxima: 10</v>
      </c>
    </row>
    <row r="8230">
      <c r="A8230" s="390" t="str">
        <f>IFERROR(__xludf.DUMMYFUNCTION("""COMPUTED_VALUE"""),"Pós-Graduação em Psicanálise - Pós-Graduação em Psicanálise - Adriana Leite Salvione de Carvalho - Formação e Ética do Psicanalista – 30H - Nota Máxima: 10")</f>
        <v>Pós-Graduação em Psicanálise - Pós-Graduação em Psicanálise - Adriana Leite Salvione de Carvalho - Formação e Ética do Psicanalista – 30H - Nota Máxima: 10</v>
      </c>
    </row>
    <row r="8231">
      <c r="A8231" s="390" t="str">
        <f>IFERROR(__xludf.DUMMYFUNCTION("""COMPUTED_VALUE"""),"Pós-Graduação em Psicanálise - Pós-Graduação em Psicanálise - Adriana Leite Salvione de Carvalho - Introdução à EAD - 30H - Nota Máxima: 10")</f>
        <v>Pós-Graduação em Psicanálise - Pós-Graduação em Psicanálise - Adriana Leite Salvione de Carvalho - Introdução à EAD - 30H - Nota Máxima: 10</v>
      </c>
    </row>
    <row r="8232">
      <c r="A8232" s="390" t="str">
        <f>IFERROR(__xludf.DUMMYFUNCTION("""COMPUTED_VALUE"""),"Pós-Graduação em Psicanálise - Pós-Graduação em Psicanálise - Adriana Leite Salvione de Carvalho - Introdução à Psicanálise – 40H - Nota Máxima: 10")</f>
        <v>Pós-Graduação em Psicanálise - Pós-Graduação em Psicanálise - Adriana Leite Salvione de Carvalho - Introdução à Psicanálise – 40H - Nota Máxima: 10</v>
      </c>
    </row>
    <row r="8233">
      <c r="A8233" s="390" t="str">
        <f>IFERROR(__xludf.DUMMYFUNCTION("""COMPUTED_VALUE"""),"Pós-Graduação em Psicanálise - Pós-Graduação em Psicanálise - Adriana Leite Salvione de Carvalho - Libido, Pulsões e Sexualidade – 50H - Nota Máxima: 10")</f>
        <v>Pós-Graduação em Psicanálise - Pós-Graduação em Psicanálise - Adriana Leite Salvione de Carvalho - Libido, Pulsões e Sexualidade – 50H - Nota Máxima: 10</v>
      </c>
    </row>
    <row r="8234">
      <c r="A8234" s="390" t="str">
        <f>IFERROR(__xludf.DUMMYFUNCTION("""COMPUTED_VALUE"""),"Pós-Graduação em Psicanálise - Pós-Graduação em Psicanálise - Adriana Leite Salvione de Carvalho - Narcisismo e a Cultura da Indiferença – 40H - Nota Máxima: 10")</f>
        <v>Pós-Graduação em Psicanálise - Pós-Graduação em Psicanálise - Adriana Leite Salvione de Carvalho - Narcisismo e a Cultura da Indiferença – 40H - Nota Máxima: 10</v>
      </c>
    </row>
    <row r="8235">
      <c r="A8235" s="390" t="str">
        <f>IFERROR(__xludf.DUMMYFUNCTION("""COMPUTED_VALUE"""),"Pós-Graduação em Psicanálise - Pós-Graduação em Psicanálise - Adriana Leite Salvione de Carvalho - O Aparelho psíquico, aspectos clínicos e Teóricos – 40H - Nota Máxima: 10")</f>
        <v>Pós-Graduação em Psicanálise - Pós-Graduação em Psicanálise - Adriana Leite Salvione de Carvalho - O Aparelho psíquico, aspectos clínicos e Teóricos – 40H - Nota Máxima: 10</v>
      </c>
    </row>
    <row r="8236">
      <c r="A8236" s="390" t="str">
        <f>IFERROR(__xludf.DUMMYFUNCTION("""COMPUTED_VALUE"""),"Pós-Graduação em Psicanálise - Pós-Graduação em Psicanálise - Adriana Leite Salvione de Carvalho - O Método Psicanalítico – 50H - Nota Máxima: 10")</f>
        <v>Pós-Graduação em Psicanálise - Pós-Graduação em Psicanálise - Adriana Leite Salvione de Carvalho - O Método Psicanalítico – 50H - Nota Máxima: 10</v>
      </c>
    </row>
    <row r="8237">
      <c r="A8237" s="390" t="str">
        <f>IFERROR(__xludf.DUMMYFUNCTION("""COMPUTED_VALUE"""),"Pós-Graduação em Psicanálise - Pós-Graduação em Psicanálise - Adriana Leite Salvione de Carvalho - Práticas e Procedimentos em Clínica – 30H - Nota Máxima: 10")</f>
        <v>Pós-Graduação em Psicanálise - Pós-Graduação em Psicanálise - Adriana Leite Salvione de Carvalho - Práticas e Procedimentos em Clínica – 30H - Nota Máxima: 10</v>
      </c>
    </row>
    <row r="8238">
      <c r="A8238" s="390" t="str">
        <f>IFERROR(__xludf.DUMMYFUNCTION("""COMPUTED_VALUE"""),"Pós-Graduação em Psicanálise - Pós-Graduação em Psicanálise - Adriana Leite Salvione de Carvalho - Processos de Transferência e Resistência – 30H - Nota Máxima: 10")</f>
        <v>Pós-Graduação em Psicanálise - Pós-Graduação em Psicanálise - Adriana Leite Salvione de Carvalho - Processos de Transferência e Resistência – 30H - Nota Máxima: 10</v>
      </c>
    </row>
    <row r="8239">
      <c r="A8239" s="390" t="str">
        <f>IFERROR(__xludf.DUMMYFUNCTION("""COMPUTED_VALUE"""),"Pós-Graduação em Psicanálise - Pós-Graduação em Psicanálise - Adriana Leite Salvione de Carvalho - Psicanálise da Criança e do Adolescente – 40H - Nota Máxima: 10")</f>
        <v>Pós-Graduação em Psicanálise - Pós-Graduação em Psicanálise - Adriana Leite Salvione de Carvalho - Psicanálise da Criança e do Adolescente – 40H - Nota Máxima: 10</v>
      </c>
    </row>
    <row r="8240">
      <c r="A8240" s="390" t="str">
        <f>IFERROR(__xludf.DUMMYFUNCTION("""COMPUTED_VALUE"""),"Pós-Graduação em Psicanálise - Pós-Graduação em Psicanálise - Adriana Leite Salvione de Carvalho - Psicanálise II – 50H - Nota Máxima: 10")</f>
        <v>Pós-Graduação em Psicanálise - Pós-Graduação em Psicanálise - Adriana Leite Salvione de Carvalho - Psicanálise II – 50H - Nota Máxima: 10</v>
      </c>
    </row>
    <row r="8241">
      <c r="A8241" s="390" t="str">
        <f>IFERROR(__xludf.DUMMYFUNCTION("""COMPUTED_VALUE"""),"Pós-Graduação em Psicanálise - Pós-Graduação em Psicanálise - Adriana Leite Salvione de Carvalho - Psicopatologias I – 40H - Nota Máxima: 10")</f>
        <v>Pós-Graduação em Psicanálise - Pós-Graduação em Psicanálise - Adriana Leite Salvione de Carvalho - Psicopatologias I – 40H - Nota Máxima: 10</v>
      </c>
    </row>
    <row r="8242">
      <c r="A8242" s="390" t="str">
        <f>IFERROR(__xludf.DUMMYFUNCTION("""COMPUTED_VALUE"""),"Pós-Graduação em Psicanálise - Pós-Graduação em Psicanálise - Adriana Leite Salvione de Carvalho - Psicopatologias II – 50H - Nota Máxima: 10")</f>
        <v>Pós-Graduação em Psicanálise - Pós-Graduação em Psicanálise - Adriana Leite Salvione de Carvalho - Psicopatologias II – 50H - Nota Máxima: 10</v>
      </c>
    </row>
    <row r="8243">
      <c r="A8243" s="390" t="str">
        <f>IFERROR(__xludf.DUMMYFUNCTION("""COMPUTED_VALUE"""),"Pós-Graduação em Psicanálise - Pós-Graduação em Psicanálise - Adriana Leite Salvione de Carvalho - Sonhos, Simbologia e Representação – 50H - Nota Máxima: 10")</f>
        <v>Pós-Graduação em Psicanálise - Pós-Graduação em Psicanálise - Adriana Leite Salvione de Carvalho - Sonhos, Simbologia e Representação – 50H - Nota Máxima: 10</v>
      </c>
    </row>
    <row r="8244">
      <c r="A8244" s="390" t="str">
        <f>IFERROR(__xludf.DUMMYFUNCTION("""COMPUTED_VALUE"""),"Pós-Graduação em Psicanálise - Pós-Graduação em Psicanálise - Adriana Leite Salvione de Carvalho - Tópicos Avançados em Clínica – 40H - Nota Máxima: 10")</f>
        <v>Pós-Graduação em Psicanálise - Pós-Graduação em Psicanálise - Adriana Leite Salvione de Carvalho - Tópicos Avançados em Clínica – 40H - Nota Máxima: 10</v>
      </c>
    </row>
    <row r="8245">
      <c r="A8245" s="390" t="str">
        <f>IFERROR(__xludf.DUMMYFUNCTION("""COMPUTED_VALUE"""),"Pós-Graduação em Psicanálise - Pós-Graduação em Psicanálise - Adriana Leite Salvione de Carvalho - Tópicos Avançados em Sexualidade – 40H - Nota Máxima: 9")</f>
        <v>Pós-Graduação em Psicanálise - Pós-Graduação em Psicanálise - Adriana Leite Salvione de Carvalho - Tópicos Avançados em Sexualidade – 40H - Nota Máxima: 9</v>
      </c>
    </row>
    <row r="8246">
      <c r="A8246" s="390" t="str">
        <f>IFERROR(__xludf.DUMMYFUNCTION("""COMPUTED_VALUE"""),"Pós-Graduação em Psicanálise - Pós-Graduação em Psicanálise - Joseph Junior Galdino Nunes - Introdução à EAD - 30H - Nota Máxima: 10")</f>
        <v>Pós-Graduação em Psicanálise - Pós-Graduação em Psicanálise - Joseph Junior Galdino Nunes - Introdução à EAD - 30H - Nota Máxima: 10</v>
      </c>
    </row>
    <row r="8247">
      <c r="A8247" s="390" t="str">
        <f>IFERROR(__xludf.DUMMYFUNCTION("""COMPUTED_VALUE"""),"Pós-Graduação em Psicanálise - Pós-Graduação em Psicanálise - Joseph Junior Galdino Nunes - O Método Psicanalítico – 50H - Nota Máxima: 8")</f>
        <v>Pós-Graduação em Psicanálise - Pós-Graduação em Psicanálise - Joseph Junior Galdino Nunes - O Método Psicanalítico – 50H - Nota Máxima: 8</v>
      </c>
    </row>
    <row r="8248">
      <c r="A8248" s="390" t="str">
        <f>IFERROR(__xludf.DUMMYFUNCTION("""COMPUTED_VALUE"""),"Pós-Graduação em Psicanálise - Pós-Graduação em Psicanálise - Joseph Junior Galdino Nunes - Práticas e Procedimentos em Clínica – 30H - Nota Máxima: 8")</f>
        <v>Pós-Graduação em Psicanálise - Pós-Graduação em Psicanálise - Joseph Junior Galdino Nunes - Práticas e Procedimentos em Clínica – 30H - Nota Máxima: 8</v>
      </c>
    </row>
    <row r="8249">
      <c r="A8249" s="390" t="str">
        <f>IFERROR(__xludf.DUMMYFUNCTION("""COMPUTED_VALUE"""),"Pós-Graduação em Psicanálise - Pós-Graduação em Psicanálise - Joseph Junior Galdino Nunes - Processos de Transferência e Resistência – 30H - Nota Máxima: 10")</f>
        <v>Pós-Graduação em Psicanálise - Pós-Graduação em Psicanálise - Joseph Junior Galdino Nunes - Processos de Transferência e Resistência – 30H - Nota Máxima: 10</v>
      </c>
    </row>
    <row r="8250">
      <c r="A8250" s="390" t="str">
        <f>IFERROR(__xludf.DUMMYFUNCTION("""COMPUTED_VALUE"""),"Pós-Graduação em Psicanálise - Pós-Graduação em Psicanálise - Joseph Junior Galdino Nunes - Psicanálise da Criança e do Adolescente – 40H - Nota Máxima: 10")</f>
        <v>Pós-Graduação em Psicanálise - Pós-Graduação em Psicanálise - Joseph Junior Galdino Nunes - Psicanálise da Criança e do Adolescente – 40H - Nota Máxima: 10</v>
      </c>
    </row>
    <row r="8251">
      <c r="A8251" s="390" t="str">
        <f>IFERROR(__xludf.DUMMYFUNCTION("""COMPUTED_VALUE"""),"Pós-Graduação em Psicanálise - Pós-Graduação em Psicanálise - Joseph Junior Galdino Nunes - Psicanálise da Criança e do Adolescente – 40H - Nota Máxima: 8")</f>
        <v>Pós-Graduação em Psicanálise - Pós-Graduação em Psicanálise - Joseph Junior Galdino Nunes - Psicanálise da Criança e do Adolescente – 40H - Nota Máxima: 8</v>
      </c>
    </row>
    <row r="8252">
      <c r="A8252" s="390" t="str">
        <f>IFERROR(__xludf.DUMMYFUNCTION("""COMPUTED_VALUE"""),"Pós-Graduação em Psicanálise - Pós-Graduação em Psicanálise - Joseph Junior Galdino Nunes - Psicanálise II – 50H - Nota Máxima: 10")</f>
        <v>Pós-Graduação em Psicanálise - Pós-Graduação em Psicanálise - Joseph Junior Galdino Nunes - Psicanálise II – 50H - Nota Máxima: 10</v>
      </c>
    </row>
    <row r="8253">
      <c r="A8253" s="390" t="str">
        <f>IFERROR(__xludf.DUMMYFUNCTION("""COMPUTED_VALUE"""),"Pós-Graduação em Psicanálise - Pós-Graduação em Psicanálise - Joseph Junior Galdino Nunes - Psicanálise II – 50H - Nota Máxima: 8")</f>
        <v>Pós-Graduação em Psicanálise - Pós-Graduação em Psicanálise - Joseph Junior Galdino Nunes - Psicanálise II – 50H - Nota Máxima: 8</v>
      </c>
    </row>
    <row r="8254">
      <c r="A8254" s="390" t="str">
        <f>IFERROR(__xludf.DUMMYFUNCTION("""COMPUTED_VALUE"""),"Pós-Graduação em Psicanálise - Pós-Graduação em Psicanálise - Joseph Junior Galdino Nunes - Psicopatologias I – 40H - Nota Máxima: 10")</f>
        <v>Pós-Graduação em Psicanálise - Pós-Graduação em Psicanálise - Joseph Junior Galdino Nunes - Psicopatologias I – 40H - Nota Máxima: 10</v>
      </c>
    </row>
    <row r="8255">
      <c r="A8255" s="390" t="str">
        <f>IFERROR(__xludf.DUMMYFUNCTION("""COMPUTED_VALUE"""),"Pós-Graduação em Psicanálise - Pós-Graduação em Psicanálise - Joseph Junior Galdino Nunes - Psicopatologias I – 40H - Nota Máxima: 8")</f>
        <v>Pós-Graduação em Psicanálise - Pós-Graduação em Psicanálise - Joseph Junior Galdino Nunes - Psicopatologias I – 40H - Nota Máxima: 8</v>
      </c>
    </row>
    <row r="8256">
      <c r="A8256" s="390" t="str">
        <f>IFERROR(__xludf.DUMMYFUNCTION("""COMPUTED_VALUE"""),"Pós-Graduação em Psicanálise - Pós-Graduação em Psicanálise - Joseph Junior Galdino Nunes - Psicopatologias II – 50H - Nota Máxima: 10")</f>
        <v>Pós-Graduação em Psicanálise - Pós-Graduação em Psicanálise - Joseph Junior Galdino Nunes - Psicopatologias II – 50H - Nota Máxima: 10</v>
      </c>
    </row>
    <row r="8257">
      <c r="A8257" s="390" t="str">
        <f>IFERROR(__xludf.DUMMYFUNCTION("""COMPUTED_VALUE"""),"Pós-Graduação em Psicanálise - Pós-Graduação em Psicanálise - Joseph Junior Galdino Nunes - Psicopatologias II – 50H - Nota Máxima: 8")</f>
        <v>Pós-Graduação em Psicanálise - Pós-Graduação em Psicanálise - Joseph Junior Galdino Nunes - Psicopatologias II – 50H - Nota Máxima: 8</v>
      </c>
    </row>
    <row r="8258">
      <c r="A8258" s="390" t="str">
        <f>IFERROR(__xludf.DUMMYFUNCTION("""COMPUTED_VALUE"""),"Pós-Graduação em Psicanálise - Pós-Graduação em Psicanálise - Joseph Junior Galdino Nunes - Sonhos, Simbologia e Representação – 50H - Nota Máxima: 10")</f>
        <v>Pós-Graduação em Psicanálise - Pós-Graduação em Psicanálise - Joseph Junior Galdino Nunes - Sonhos, Simbologia e Representação – 50H - Nota Máxima: 10</v>
      </c>
    </row>
    <row r="8259">
      <c r="A8259" s="390" t="str">
        <f>IFERROR(__xludf.DUMMYFUNCTION("""COMPUTED_VALUE"""),"Pós-Graduação em Psicanálise - Pós-Graduação em Psicanálise - Joseph Junior Galdino Nunes - Sonhos, Simbologia e Representação – 50H - Nota Máxima: 4")</f>
        <v>Pós-Graduação em Psicanálise - Pós-Graduação em Psicanálise - Joseph Junior Galdino Nunes - Sonhos, Simbologia e Representação – 50H - Nota Máxima: 4</v>
      </c>
    </row>
    <row r="8260">
      <c r="A8260" s="390" t="str">
        <f>IFERROR(__xludf.DUMMYFUNCTION("""COMPUTED_VALUE"""),"Pós-Graduação em Psicanálise - Pós-Graduação em Psicanálise - Joseph Junior Galdino Nunes - Tópicos Avançados em Clínica – 40H - Nota Máxima: 9")</f>
        <v>Pós-Graduação em Psicanálise - Pós-Graduação em Psicanálise - Joseph Junior Galdino Nunes - Tópicos Avançados em Clínica – 40H - Nota Máxima: 9</v>
      </c>
    </row>
    <row r="8261">
      <c r="A8261" s="390" t="str">
        <f>IFERROR(__xludf.DUMMYFUNCTION("""COMPUTED_VALUE"""),"Pós-Graduação em Psicanálise - Pós-Graduação em Psicanálise - Joseph Junior Galdino Nunes - Tópicos Avançados em Clínica – 40H - Nota Máxima: 7")</f>
        <v>Pós-Graduação em Psicanálise - Pós-Graduação em Psicanálise - Joseph Junior Galdino Nunes - Tópicos Avançados em Clínica – 40H - Nota Máxima: 7</v>
      </c>
    </row>
    <row r="8262">
      <c r="A8262" s="390" t="str">
        <f>IFERROR(__xludf.DUMMYFUNCTION("""COMPUTED_VALUE"""),"Pós-Graduação em Psicanálise - Pós-Graduação em Psicanálise - Joseph Junior Galdino Nunes - Tópicos Avançados em Sexualidade – 40H - Nota Máxima: 10")</f>
        <v>Pós-Graduação em Psicanálise - Pós-Graduação em Psicanálise - Joseph Junior Galdino Nunes - Tópicos Avançados em Sexualidade – 40H - Nota Máxima: 10</v>
      </c>
    </row>
    <row r="8263">
      <c r="A8263" s="390" t="str">
        <f>IFERROR(__xludf.DUMMYFUNCTION("""COMPUTED_VALUE"""),"Pós-Graduação em Psicanálise - Pós-Graduação em Psicanálise - Joseph Junior Galdino Nunes - Tópicos Avançados em Sexualidade – 40H - Nota Máxima: 3")</f>
        <v>Pós-Graduação em Psicanálise - Pós-Graduação em Psicanálise - Joseph Junior Galdino Nunes - Tópicos Avançados em Sexualidade – 40H - Nota Máxima: 3</v>
      </c>
    </row>
    <row r="8264">
      <c r="A8264" s="390" t="str">
        <f>IFERROR(__xludf.DUMMYFUNCTION("""COMPUTED_VALUE"""),"Pós-Graduação em Psicanálise - Pós-Graduação em Psicanálise - Gisele Martins pinheiro - Libido, Pulsões e Sexualidade – 50H - Nota Máxima: 6")</f>
        <v>Pós-Graduação em Psicanálise - Pós-Graduação em Psicanálise - Gisele Martins pinheiro - Libido, Pulsões e Sexualidade – 50H - Nota Máxima: 6</v>
      </c>
    </row>
    <row r="8265">
      <c r="A8265" s="390" t="str">
        <f>IFERROR(__xludf.DUMMYFUNCTION("""COMPUTED_VALUE"""),"Pós-Graduação em Psicanálise - Pós-Graduação em Psicanálise - Gisele Martins pinheiro - Práticas e Procedimentos em Clínica – 30H - Nota Máxima: 4")</f>
        <v>Pós-Graduação em Psicanálise - Pós-Graduação em Psicanálise - Gisele Martins pinheiro - Práticas e Procedimentos em Clínica – 30H - Nota Máxima: 4</v>
      </c>
    </row>
    <row r="8266">
      <c r="A8266" s="390" t="str">
        <f>IFERROR(__xludf.DUMMYFUNCTION("""COMPUTED_VALUE"""),"Pós-Graduação em Psicanálise - Pós-Graduação em Psicanálise - Gisele Martins pinheiro - Psicanálise da Criança e do Adolescente – 40H - Nota Máxima: 5")</f>
        <v>Pós-Graduação em Psicanálise - Pós-Graduação em Psicanálise - Gisele Martins pinheiro - Psicanálise da Criança e do Adolescente – 40H - Nota Máxima: 5</v>
      </c>
    </row>
    <row r="8267">
      <c r="A8267" s="390" t="str">
        <f>IFERROR(__xludf.DUMMYFUNCTION("""COMPUTED_VALUE"""),"Pós-Graduação em Psicanálise - Pós-Graduação em Psicanálise - Gisele Martins pinheiro - Tópicos Avançados em Clínica – 40H - Nota Máxima: 8")</f>
        <v>Pós-Graduação em Psicanálise - Pós-Graduação em Psicanálise - Gisele Martins pinheiro - Tópicos Avançados em Clínica – 40H - Nota Máxima: 8</v>
      </c>
    </row>
    <row r="8268">
      <c r="A8268" s="390" t="str">
        <f>IFERROR(__xludf.DUMMYFUNCTION("""COMPUTED_VALUE"""),"Pós-Graduação em Psicanálise - Pós-Graduação em Psicanálise - Gisele Martins pinheiro - Tópicos Avançados em Sexualidade – 40H - Nota Máxima: 3")</f>
        <v>Pós-Graduação em Psicanálise - Pós-Graduação em Psicanálise - Gisele Martins pinheiro - Tópicos Avançados em Sexualidade – 40H - Nota Máxima: 3</v>
      </c>
    </row>
    <row r="8269">
      <c r="A8269" s="390" t="str">
        <f>IFERROR(__xludf.DUMMYFUNCTION("""COMPUTED_VALUE"""),"Pós-Graduação em Psicanálise - Pós-Graduação em Psicanálise - Thamires Nayara da Silva Pavão - Complexo de Édipo e Castração - Nota Máxima: 7")</f>
        <v>Pós-Graduação em Psicanálise - Pós-Graduação em Psicanálise - Thamires Nayara da Silva Pavão - Complexo de Édipo e Castração - Nota Máxima: 7</v>
      </c>
    </row>
    <row r="8270">
      <c r="A8270" s="390" t="str">
        <f>IFERROR(__xludf.DUMMYFUNCTION("""COMPUTED_VALUE"""),"Pós-Graduação em Psicanálise - Pós-Graduação em Psicanálise - Thamires Nayara da Silva Pavão - Complexo de Édipo e Castração - Nota Máxima: 8")</f>
        <v>Pós-Graduação em Psicanálise - Pós-Graduação em Psicanálise - Thamires Nayara da Silva Pavão - Complexo de Édipo e Castração - Nota Máxima: 8</v>
      </c>
    </row>
    <row r="8271">
      <c r="A8271" s="390" t="str">
        <f>IFERROR(__xludf.DUMMYFUNCTION("""COMPUTED_VALUE"""),"Pós-Graduação em Psicanálise - Pós-Graduação em Psicanálise - Thamires Nayara da Silva Pavão - Formação e Ética do Psicanalista – 30H - Nota Máxima: 7")</f>
        <v>Pós-Graduação em Psicanálise - Pós-Graduação em Psicanálise - Thamires Nayara da Silva Pavão - Formação e Ética do Psicanalista – 30H - Nota Máxima: 7</v>
      </c>
    </row>
    <row r="8272">
      <c r="A8272" s="390" t="str">
        <f>IFERROR(__xludf.DUMMYFUNCTION("""COMPUTED_VALUE"""),"Pós-Graduação em Psicanálise - Pós-Graduação em Psicanálise - Thamires Nayara da Silva Pavão - Formação e Ética do Psicanalista – 30H - Nota Máxima: 5")</f>
        <v>Pós-Graduação em Psicanálise - Pós-Graduação em Psicanálise - Thamires Nayara da Silva Pavão - Formação e Ética do Psicanalista – 30H - Nota Máxima: 5</v>
      </c>
    </row>
    <row r="8273">
      <c r="A8273" s="390" t="str">
        <f>IFERROR(__xludf.DUMMYFUNCTION("""COMPUTED_VALUE"""),"Pós-Graduação em Psicanálise - Pós-Graduação em Psicanálise - Thamires Nayara da Silva Pavão - Introdução à Psicanálise – 40H - Nota Máxima: 8")</f>
        <v>Pós-Graduação em Psicanálise - Pós-Graduação em Psicanálise - Thamires Nayara da Silva Pavão - Introdução à Psicanálise – 40H - Nota Máxima: 8</v>
      </c>
    </row>
    <row r="8274">
      <c r="A8274" s="390" t="str">
        <f>IFERROR(__xludf.DUMMYFUNCTION("""COMPUTED_VALUE"""),"Pós-Graduação em Psicanálise - Pós-Graduação em Psicanálise - Thamires Nayara da Silva Pavão - Introdução à Psicanálise – 40H - Nota Máxima: 5")</f>
        <v>Pós-Graduação em Psicanálise - Pós-Graduação em Psicanálise - Thamires Nayara da Silva Pavão - Introdução à Psicanálise – 40H - Nota Máxima: 5</v>
      </c>
    </row>
    <row r="8275">
      <c r="A8275" s="390" t="str">
        <f>IFERROR(__xludf.DUMMYFUNCTION("""COMPUTED_VALUE"""),"Pós-Graduação em Psicanálise - Pós-Graduação em Psicanálise - Thamires Nayara da Silva Pavão - Libido, Pulsões e Sexualidade – 50H - Nota Máxima: 7")</f>
        <v>Pós-Graduação em Psicanálise - Pós-Graduação em Psicanálise - Thamires Nayara da Silva Pavão - Libido, Pulsões e Sexualidade – 50H - Nota Máxima: 7</v>
      </c>
    </row>
    <row r="8276">
      <c r="A8276" s="390" t="str">
        <f>IFERROR(__xludf.DUMMYFUNCTION("""COMPUTED_VALUE"""),"Pós-Graduação em Psicanálise - Pós-Graduação em Psicanálise - Thamires Nayara da Silva Pavão - Narcisismo e a Cultura da Indiferença – 40H - Nota Máxima: 5")</f>
        <v>Pós-Graduação em Psicanálise - Pós-Graduação em Psicanálise - Thamires Nayara da Silva Pavão - Narcisismo e a Cultura da Indiferença – 40H - Nota Máxima: 5</v>
      </c>
    </row>
    <row r="8277">
      <c r="A8277" s="390" t="str">
        <f>IFERROR(__xludf.DUMMYFUNCTION("""COMPUTED_VALUE"""),"Pós-Graduação em Psicanálise - Pós-Graduação em Psicanálise - Thamires Nayara da Silva Pavão - O Aparelho psíquico, aspectos clínicos e Teóricos – 40H - Nota Máxima: 8")</f>
        <v>Pós-Graduação em Psicanálise - Pós-Graduação em Psicanálise - Thamires Nayara da Silva Pavão - O Aparelho psíquico, aspectos clínicos e Teóricos – 40H - Nota Máxima: 8</v>
      </c>
    </row>
    <row r="8278">
      <c r="A8278" s="390" t="str">
        <f>IFERROR(__xludf.DUMMYFUNCTION("""COMPUTED_VALUE"""),"Pós-Graduação em Psicanálise - Pós-Graduação em Psicanálise - Thamires Nayara da Silva Pavão - O Método Psicanalítico – 50H - Nota Máxima: 8")</f>
        <v>Pós-Graduação em Psicanálise - Pós-Graduação em Psicanálise - Thamires Nayara da Silva Pavão - O Método Psicanalítico – 50H - Nota Máxima: 8</v>
      </c>
    </row>
    <row r="8279">
      <c r="A8279" s="390" t="str">
        <f>IFERROR(__xludf.DUMMYFUNCTION("""COMPUTED_VALUE"""),"Pós-Graduação em Psicanálise - Pós-Graduação em Psicanálise - Thamires Nayara da Silva Pavão - Práticas e Procedimentos em Clínica – 30H - Nota Máxima: 9")</f>
        <v>Pós-Graduação em Psicanálise - Pós-Graduação em Psicanálise - Thamires Nayara da Silva Pavão - Práticas e Procedimentos em Clínica – 30H - Nota Máxima: 9</v>
      </c>
    </row>
    <row r="8280">
      <c r="A8280" s="390" t="str">
        <f>IFERROR(__xludf.DUMMYFUNCTION("""COMPUTED_VALUE"""),"Pós-Graduação em Psicanálise - Pós-Graduação em Psicanálise - Thamires Nayara da Silva Pavão - Processos de Transferência e Resistência – 30H - Nota Máxima: 10")</f>
        <v>Pós-Graduação em Psicanálise - Pós-Graduação em Psicanálise - Thamires Nayara da Silva Pavão - Processos de Transferência e Resistência – 30H - Nota Máxima: 10</v>
      </c>
    </row>
    <row r="8281">
      <c r="A8281" s="390" t="str">
        <f>IFERROR(__xludf.DUMMYFUNCTION("""COMPUTED_VALUE"""),"Pós-Graduação em Psicanálise - Pós-Graduação em Psicanálise - Thamires Nayara da Silva Pavão - Psicanálise da Criança e do Adolescente – 40H - Nota Máxima: 10")</f>
        <v>Pós-Graduação em Psicanálise - Pós-Graduação em Psicanálise - Thamires Nayara da Silva Pavão - Psicanálise da Criança e do Adolescente – 40H - Nota Máxima: 10</v>
      </c>
    </row>
    <row r="8282">
      <c r="A8282" s="390" t="str">
        <f>IFERROR(__xludf.DUMMYFUNCTION("""COMPUTED_VALUE"""),"Pós-Graduação em Psicanálise - Pós-Graduação em Psicanálise - Thamires Nayara da Silva Pavão - Psicanálise II – 50H - Nota Máxima: 10")</f>
        <v>Pós-Graduação em Psicanálise - Pós-Graduação em Psicanálise - Thamires Nayara da Silva Pavão - Psicanálise II – 50H - Nota Máxima: 10</v>
      </c>
    </row>
    <row r="8283">
      <c r="A8283" s="390" t="str">
        <f>IFERROR(__xludf.DUMMYFUNCTION("""COMPUTED_VALUE"""),"Pós-Graduação em Psicanálise - Pós-Graduação em Psicanálise - Thamires Nayara da Silva Pavão - Psicopatologias I – 40H - Nota Máxima: 9")</f>
        <v>Pós-Graduação em Psicanálise - Pós-Graduação em Psicanálise - Thamires Nayara da Silva Pavão - Psicopatologias I – 40H - Nota Máxima: 9</v>
      </c>
    </row>
    <row r="8284">
      <c r="A8284" s="390" t="str">
        <f>IFERROR(__xludf.DUMMYFUNCTION("""COMPUTED_VALUE"""),"Pós-Graduação em Psicanálise - Pós-Graduação em Psicanálise - Thamires Nayara da Silva Pavão - Psicopatologias II – 50H - Nota Máxima: 10")</f>
        <v>Pós-Graduação em Psicanálise - Pós-Graduação em Psicanálise - Thamires Nayara da Silva Pavão - Psicopatologias II – 50H - Nota Máxima: 10</v>
      </c>
    </row>
    <row r="8285">
      <c r="A8285" s="390" t="str">
        <f>IFERROR(__xludf.DUMMYFUNCTION("""COMPUTED_VALUE"""),"Pós-Graduação em Psicanálise - Pós-Graduação em Psicanálise - Thamires Nayara da Silva Pavão - Sonhos, Simbologia e Representação – 50H - Nota Máxima: 7")</f>
        <v>Pós-Graduação em Psicanálise - Pós-Graduação em Psicanálise - Thamires Nayara da Silva Pavão - Sonhos, Simbologia e Representação – 50H - Nota Máxima: 7</v>
      </c>
    </row>
    <row r="8286">
      <c r="A8286" s="390" t="str">
        <f>IFERROR(__xludf.DUMMYFUNCTION("""COMPUTED_VALUE"""),"Pós-Graduação em Psicanálise - Pós-Graduação em Psicanálise - Thamires Nayara da Silva Pavão - Tópicos Avançados em Clínica – 40H - Nota Máxima: 7")</f>
        <v>Pós-Graduação em Psicanálise - Pós-Graduação em Psicanálise - Thamires Nayara da Silva Pavão - Tópicos Avançados em Clínica – 40H - Nota Máxima: 7</v>
      </c>
    </row>
    <row r="8287">
      <c r="A8287" s="390" t="str">
        <f>IFERROR(__xludf.DUMMYFUNCTION("""COMPUTED_VALUE"""),"Pós-Graduação em Psicanálise - Pós-Graduação em Psicanálise - Thamires Nayara da Silva Pavão - Tópicos Avançados em Sexualidade – 40H - Nota Máxima: 10")</f>
        <v>Pós-Graduação em Psicanálise - Pós-Graduação em Psicanálise - Thamires Nayara da Silva Pavão - Tópicos Avançados em Sexualidade – 40H - Nota Máxima: 10</v>
      </c>
    </row>
    <row r="8288">
      <c r="A8288" s="390" t="str">
        <f>IFERROR(__xludf.DUMMYFUNCTION("""COMPUTED_VALUE"""),"Pós-Graduação em Psicanálise - Pós-Graduação em Psicanálise - Maxwell Pereira dos Santos - Complexo de Édipo e Castração - Nota Máxima: 7")</f>
        <v>Pós-Graduação em Psicanálise - Pós-Graduação em Psicanálise - Maxwell Pereira dos Santos - Complexo de Édipo e Castração - Nota Máxima: 7</v>
      </c>
    </row>
    <row r="8289">
      <c r="A8289" s="390" t="str">
        <f>IFERROR(__xludf.DUMMYFUNCTION("""COMPUTED_VALUE"""),"Pós-Graduação em Psicanálise - Pós-Graduação em Psicanálise - Maxwell Pereira dos Santos - Formação e Ética do Psicanalista – 30H - Nota Máxima: 7")</f>
        <v>Pós-Graduação em Psicanálise - Pós-Graduação em Psicanálise - Maxwell Pereira dos Santos - Formação e Ética do Psicanalista – 30H - Nota Máxima: 7</v>
      </c>
    </row>
    <row r="8290">
      <c r="A8290" s="390" t="str">
        <f>IFERROR(__xludf.DUMMYFUNCTION("""COMPUTED_VALUE"""),"Pós-Graduação em Psicanálise - Pós-Graduação em Psicanálise - Maxwell Pereira dos Santos - Formação e Ética do Psicanalista – 30H - Nota Máxima: 4")</f>
        <v>Pós-Graduação em Psicanálise - Pós-Graduação em Psicanálise - Maxwell Pereira dos Santos - Formação e Ética do Psicanalista – 30H - Nota Máxima: 4</v>
      </c>
    </row>
    <row r="8291">
      <c r="A8291" s="390" t="str">
        <f>IFERROR(__xludf.DUMMYFUNCTION("""COMPUTED_VALUE"""),"Pós-Graduação em Psicanálise - Pós-Graduação em Psicanálise - Maxwell Pereira dos Santos - Introdução à EAD - 30H - Nota Máxima: 10")</f>
        <v>Pós-Graduação em Psicanálise - Pós-Graduação em Psicanálise - Maxwell Pereira dos Santos - Introdução à EAD - 30H - Nota Máxima: 10</v>
      </c>
    </row>
    <row r="8292">
      <c r="A8292" s="390" t="str">
        <f>IFERROR(__xludf.DUMMYFUNCTION("""COMPUTED_VALUE"""),"Pós-Graduação em Psicanálise - Pós-Graduação em Psicanálise - Maxwell Pereira dos Santos - Introdução à EAD - 30H - Nota Máxima: 10")</f>
        <v>Pós-Graduação em Psicanálise - Pós-Graduação em Psicanálise - Maxwell Pereira dos Santos - Introdução à EAD - 30H - Nota Máxima: 10</v>
      </c>
    </row>
    <row r="8293">
      <c r="A8293" s="390" t="str">
        <f>IFERROR(__xludf.DUMMYFUNCTION("""COMPUTED_VALUE"""),"Pós-Graduação em Psicanálise - Pós-Graduação em Psicanálise - Maxwell Pereira dos Santos - Introdução à Psicanálise – 40H - Nota Máxima: 10")</f>
        <v>Pós-Graduação em Psicanálise - Pós-Graduação em Psicanálise - Maxwell Pereira dos Santos - Introdução à Psicanálise – 40H - Nota Máxima: 10</v>
      </c>
    </row>
    <row r="8294">
      <c r="A8294" s="390" t="str">
        <f>IFERROR(__xludf.DUMMYFUNCTION("""COMPUTED_VALUE"""),"Pós-Graduação em Psicanálise - Pós-Graduação em Psicanálise - Maxwell Pereira dos Santos - Introdução à Psicanálise – 40H - Nota Máxima: 8")</f>
        <v>Pós-Graduação em Psicanálise - Pós-Graduação em Psicanálise - Maxwell Pereira dos Santos - Introdução à Psicanálise – 40H - Nota Máxima: 8</v>
      </c>
    </row>
    <row r="8295">
      <c r="A8295" s="390" t="str">
        <f>IFERROR(__xludf.DUMMYFUNCTION("""COMPUTED_VALUE"""),"Pós-Graduação em Psicanálise - Pós-Graduação em Psicanálise - Maxwell Pereira dos Santos - Libido, Pulsões e Sexualidade – 50H - Nota Máxima: 10")</f>
        <v>Pós-Graduação em Psicanálise - Pós-Graduação em Psicanálise - Maxwell Pereira dos Santos - Libido, Pulsões e Sexualidade – 50H - Nota Máxima: 10</v>
      </c>
    </row>
    <row r="8296">
      <c r="A8296" s="390" t="str">
        <f>IFERROR(__xludf.DUMMYFUNCTION("""COMPUTED_VALUE"""),"Pós-Graduação em Psicanálise - Pós-Graduação em Psicanálise - Maxwell Pereira dos Santos - Libido, Pulsões e Sexualidade – 50H - Nota Máxima: 6")</f>
        <v>Pós-Graduação em Psicanálise - Pós-Graduação em Psicanálise - Maxwell Pereira dos Santos - Libido, Pulsões e Sexualidade – 50H - Nota Máxima: 6</v>
      </c>
    </row>
    <row r="8297">
      <c r="A8297" s="390" t="str">
        <f>IFERROR(__xludf.DUMMYFUNCTION("""COMPUTED_VALUE"""),"Pós-Graduação em Psicanálise - Pós-Graduação em Psicanálise - Maxwell Pereira dos Santos - Narcisismo e a Cultura da Indiferença – 40H - Nota Máxima: 10")</f>
        <v>Pós-Graduação em Psicanálise - Pós-Graduação em Psicanálise - Maxwell Pereira dos Santos - Narcisismo e a Cultura da Indiferença – 40H - Nota Máxima: 10</v>
      </c>
    </row>
    <row r="8298">
      <c r="A8298" s="390" t="str">
        <f>IFERROR(__xludf.DUMMYFUNCTION("""COMPUTED_VALUE"""),"Pós-Graduação em Psicanálise - Pós-Graduação em Psicanálise - Maxwell Pereira dos Santos - Narcisismo e a Cultura da Indiferença – 40H - Nota Máxima: 7")</f>
        <v>Pós-Graduação em Psicanálise - Pós-Graduação em Psicanálise - Maxwell Pereira dos Santos - Narcisismo e a Cultura da Indiferença – 40H - Nota Máxima: 7</v>
      </c>
    </row>
    <row r="8299">
      <c r="A8299" s="390" t="str">
        <f>IFERROR(__xludf.DUMMYFUNCTION("""COMPUTED_VALUE"""),"Pós-Graduação em Psicanálise - Pós-Graduação em Psicanálise - Maxwell Pereira dos Santos - O Aparelho psíquico, aspectos clínicos e Teóricos – 40H - Nota Máxima: 9")</f>
        <v>Pós-Graduação em Psicanálise - Pós-Graduação em Psicanálise - Maxwell Pereira dos Santos - O Aparelho psíquico, aspectos clínicos e Teóricos – 40H - Nota Máxima: 9</v>
      </c>
    </row>
    <row r="8300">
      <c r="A8300" s="390" t="str">
        <f>IFERROR(__xludf.DUMMYFUNCTION("""COMPUTED_VALUE"""),"Pós-Graduação em Psicanálise - Pós-Graduação em Psicanálise - Maxwell Pereira dos Santos - O Aparelho psíquico, aspectos clínicos e Teóricos – 40H - Nota Máxima: 7")</f>
        <v>Pós-Graduação em Psicanálise - Pós-Graduação em Psicanálise - Maxwell Pereira dos Santos - O Aparelho psíquico, aspectos clínicos e Teóricos – 40H - Nota Máxima: 7</v>
      </c>
    </row>
    <row r="8301">
      <c r="A8301" s="390" t="str">
        <f>IFERROR(__xludf.DUMMYFUNCTION("""COMPUTED_VALUE"""),"Pós-Graduação em Psicanálise - Pós-Graduação em Psicanálise - Maxwell Pereira dos Santos - O Método Psicanalítico – 50H - Nota Máxima: 10")</f>
        <v>Pós-Graduação em Psicanálise - Pós-Graduação em Psicanálise - Maxwell Pereira dos Santos - O Método Psicanalítico – 50H - Nota Máxima: 10</v>
      </c>
    </row>
    <row r="8302">
      <c r="A8302" s="390" t="str">
        <f>IFERROR(__xludf.DUMMYFUNCTION("""COMPUTED_VALUE"""),"Pós-Graduação em Psicanálise - Pós-Graduação em Psicanálise - Maxwell Pereira dos Santos - O Método Psicanalítico – 50H - Nota Máxima: 10")</f>
        <v>Pós-Graduação em Psicanálise - Pós-Graduação em Psicanálise - Maxwell Pereira dos Santos - O Método Psicanalítico – 50H - Nota Máxima: 10</v>
      </c>
    </row>
    <row r="8303">
      <c r="A8303" s="390" t="str">
        <f>IFERROR(__xludf.DUMMYFUNCTION("""COMPUTED_VALUE"""),"Pós-Graduação em Psicanálise - Pós-Graduação em Psicanálise - Maxwell Pereira dos Santos - Planejamento, Gestão Educacional e Currículo/a - Nota Máxima: 9")</f>
        <v>Pós-Graduação em Psicanálise - Pós-Graduação em Psicanálise - Maxwell Pereira dos Santos - Planejamento, Gestão Educacional e Currículo/a - Nota Máxima: 9</v>
      </c>
    </row>
    <row r="8304">
      <c r="A8304" s="390" t="str">
        <f>IFERROR(__xludf.DUMMYFUNCTION("""COMPUTED_VALUE"""),"Pós-Graduação em Psicanálise - Pós-Graduação em Psicanálise - Maxwell Pereira dos Santos - Práticas e Procedimentos em Clínica – 30H - Nota Máxima: 10")</f>
        <v>Pós-Graduação em Psicanálise - Pós-Graduação em Psicanálise - Maxwell Pereira dos Santos - Práticas e Procedimentos em Clínica – 30H - Nota Máxima: 10</v>
      </c>
    </row>
    <row r="8305">
      <c r="A8305" s="390" t="str">
        <f>IFERROR(__xludf.DUMMYFUNCTION("""COMPUTED_VALUE"""),"Pós-Graduação em Psicanálise - Pós-Graduação em Psicanálise - Maxwell Pereira dos Santos - Práticas e Procedimentos em Clínica – 30H - Nota Máxima: 7")</f>
        <v>Pós-Graduação em Psicanálise - Pós-Graduação em Psicanálise - Maxwell Pereira dos Santos - Práticas e Procedimentos em Clínica – 30H - Nota Máxima: 7</v>
      </c>
    </row>
    <row r="8306">
      <c r="A8306" s="390" t="str">
        <f>IFERROR(__xludf.DUMMYFUNCTION("""COMPUTED_VALUE"""),"Pós-Graduação em Psicanálise - Pós-Graduação em Psicanálise - Maxwell Pereira dos Santos - Processos de Transferência e Resistência – 30H - Nota Máxima: 9")</f>
        <v>Pós-Graduação em Psicanálise - Pós-Graduação em Psicanálise - Maxwell Pereira dos Santos - Processos de Transferência e Resistência – 30H - Nota Máxima: 9</v>
      </c>
    </row>
    <row r="8307">
      <c r="A8307" s="390" t="str">
        <f>IFERROR(__xludf.DUMMYFUNCTION("""COMPUTED_VALUE"""),"Pós-Graduação em Psicanálise - Pós-Graduação em Psicanálise - Maxwell Pereira dos Santos - Processos de Transferência e Resistência – 30H - Nota Máxima: 5")</f>
        <v>Pós-Graduação em Psicanálise - Pós-Graduação em Psicanálise - Maxwell Pereira dos Santos - Processos de Transferência e Resistência – 30H - Nota Máxima: 5</v>
      </c>
    </row>
    <row r="8308">
      <c r="A8308" s="390" t="str">
        <f>IFERROR(__xludf.DUMMYFUNCTION("""COMPUTED_VALUE"""),"Pós-Graduação em Psicanálise - Pós-Graduação em Psicanálise - Maxwell Pereira dos Santos - Psicanálise da Criança e do Adolescente – 40H - Nota Máxima: 10")</f>
        <v>Pós-Graduação em Psicanálise - Pós-Graduação em Psicanálise - Maxwell Pereira dos Santos - Psicanálise da Criança e do Adolescente – 40H - Nota Máxima: 10</v>
      </c>
    </row>
    <row r="8309">
      <c r="A8309" s="390" t="str">
        <f>IFERROR(__xludf.DUMMYFUNCTION("""COMPUTED_VALUE"""),"Pós-Graduação em Psicanálise - Pós-Graduação em Psicanálise - Maxwell Pereira dos Santos - Psicanálise da Criança e do Adolescente – 40H - Nota Máxima: 8")</f>
        <v>Pós-Graduação em Psicanálise - Pós-Graduação em Psicanálise - Maxwell Pereira dos Santos - Psicanálise da Criança e do Adolescente – 40H - Nota Máxima: 8</v>
      </c>
    </row>
    <row r="8310">
      <c r="A8310" s="390" t="str">
        <f>IFERROR(__xludf.DUMMYFUNCTION("""COMPUTED_VALUE"""),"Pós-Graduação em Psicanálise - Pós-Graduação em Psicanálise - Maxwell Pereira dos Santos - Psicanálise II – 50H - Nota Máxima: 10")</f>
        <v>Pós-Graduação em Psicanálise - Pós-Graduação em Psicanálise - Maxwell Pereira dos Santos - Psicanálise II – 50H - Nota Máxima: 10</v>
      </c>
    </row>
    <row r="8311">
      <c r="A8311" s="390" t="str">
        <f>IFERROR(__xludf.DUMMYFUNCTION("""COMPUTED_VALUE"""),"Pós-Graduação em Psicanálise - Pós-Graduação em Psicanálise - Maxwell Pereira dos Santos - Psicanálise II – 50H - Nota Máxima: 7")</f>
        <v>Pós-Graduação em Psicanálise - Pós-Graduação em Psicanálise - Maxwell Pereira dos Santos - Psicanálise II – 50H - Nota Máxima: 7</v>
      </c>
    </row>
    <row r="8312">
      <c r="A8312" s="390" t="str">
        <f>IFERROR(__xludf.DUMMYFUNCTION("""COMPUTED_VALUE"""),"Pós-Graduação em Psicanálise - Pós-Graduação em Psicanálise - Maxwell Pereira dos Santos - Psicopatologias I – 40H - Nota Máxima: 7")</f>
        <v>Pós-Graduação em Psicanálise - Pós-Graduação em Psicanálise - Maxwell Pereira dos Santos - Psicopatologias I – 40H - Nota Máxima: 7</v>
      </c>
    </row>
    <row r="8313">
      <c r="A8313" s="390" t="str">
        <f>IFERROR(__xludf.DUMMYFUNCTION("""COMPUTED_VALUE"""),"Pós-Graduação em Psicanálise - Pós-Graduação em Psicanálise - Maxwell Pereira dos Santos - Psicopatologias I – 40H - Nota Máxima: 6")</f>
        <v>Pós-Graduação em Psicanálise - Pós-Graduação em Psicanálise - Maxwell Pereira dos Santos - Psicopatologias I – 40H - Nota Máxima: 6</v>
      </c>
    </row>
    <row r="8314">
      <c r="A8314" s="390" t="str">
        <f>IFERROR(__xludf.DUMMYFUNCTION("""COMPUTED_VALUE"""),"Pós-Graduação em Psicanálise - Pós-Graduação em Psicanálise - Maxwell Pereira dos Santos - Psicopatologias II – 50H - Nota Máxima: 10")</f>
        <v>Pós-Graduação em Psicanálise - Pós-Graduação em Psicanálise - Maxwell Pereira dos Santos - Psicopatologias II – 50H - Nota Máxima: 10</v>
      </c>
    </row>
    <row r="8315">
      <c r="A8315" s="390" t="str">
        <f>IFERROR(__xludf.DUMMYFUNCTION("""COMPUTED_VALUE"""),"Pós-Graduação em Psicanálise - Pós-Graduação em Psicanálise - Maxwell Pereira dos Santos - Psicopatologias II – 50H - Nota Máxima: 6")</f>
        <v>Pós-Graduação em Psicanálise - Pós-Graduação em Psicanálise - Maxwell Pereira dos Santos - Psicopatologias II – 50H - Nota Máxima: 6</v>
      </c>
    </row>
    <row r="8316">
      <c r="A8316" s="390" t="str">
        <f>IFERROR(__xludf.DUMMYFUNCTION("""COMPUTED_VALUE"""),"Pós-Graduação em Psicanálise - Pós-Graduação em Psicanálise - Maxwell Pereira dos Santos - Sonhos, Simbologia e Representação – 50H - Nota Máxima: 10")</f>
        <v>Pós-Graduação em Psicanálise - Pós-Graduação em Psicanálise - Maxwell Pereira dos Santos - Sonhos, Simbologia e Representação – 50H - Nota Máxima: 10</v>
      </c>
    </row>
    <row r="8317">
      <c r="A8317" s="390" t="str">
        <f>IFERROR(__xludf.DUMMYFUNCTION("""COMPUTED_VALUE"""),"Pós-Graduação em Psicanálise - Pós-Graduação em Psicanálise - Maxwell Pereira dos Santos - Sonhos, Simbologia e Representação – 50H - Nota Máxima: 5")</f>
        <v>Pós-Graduação em Psicanálise - Pós-Graduação em Psicanálise - Maxwell Pereira dos Santos - Sonhos, Simbologia e Representação – 50H - Nota Máxima: 5</v>
      </c>
    </row>
    <row r="8318">
      <c r="A8318" s="390" t="str">
        <f>IFERROR(__xludf.DUMMYFUNCTION("""COMPUTED_VALUE"""),"Pós-Graduação em Psicanálise - Pós-Graduação em Psicanálise - Maxwell Pereira dos Santos - Tópicos Avançados em Clínica – 40H - Nota Máxima: 10")</f>
        <v>Pós-Graduação em Psicanálise - Pós-Graduação em Psicanálise - Maxwell Pereira dos Santos - Tópicos Avançados em Clínica – 40H - Nota Máxima: 10</v>
      </c>
    </row>
    <row r="8319">
      <c r="A8319" s="390" t="str">
        <f>IFERROR(__xludf.DUMMYFUNCTION("""COMPUTED_VALUE"""),"Pós-Graduação em Psicanálise - Pós-Graduação em Psicanálise - Maxwell Pereira dos Santos - Tópicos Avançados em Clínica – 40H - Nota Máxima: 7")</f>
        <v>Pós-Graduação em Psicanálise - Pós-Graduação em Psicanálise - Maxwell Pereira dos Santos - Tópicos Avançados em Clínica – 40H - Nota Máxima: 7</v>
      </c>
    </row>
    <row r="8320">
      <c r="A8320" s="390" t="str">
        <f>IFERROR(__xludf.DUMMYFUNCTION("""COMPUTED_VALUE"""),"Pós-Graduação em Psicanálise - Pós-Graduação em Psicanálise - Maxwell Pereira dos Santos - Tópicos Avançados em Sexualidade – 40H - Nota Máxima: 10")</f>
        <v>Pós-Graduação em Psicanálise - Pós-Graduação em Psicanálise - Maxwell Pereira dos Santos - Tópicos Avançados em Sexualidade – 40H - Nota Máxima: 10</v>
      </c>
    </row>
    <row r="8321">
      <c r="A8321" s="390" t="str">
        <f>IFERROR(__xludf.DUMMYFUNCTION("""COMPUTED_VALUE"""),"Pós-Graduação em Psicanálise - Pós-Graduação em Psicanálise - Maxwell Pereira dos Santos - Tópicos Avançados em Sexualidade – 40H - Nota Máxima: 10")</f>
        <v>Pós-Graduação em Psicanálise - Pós-Graduação em Psicanálise - Maxwell Pereira dos Santos - Tópicos Avançados em Sexualidade – 40H - Nota Máxima: 10</v>
      </c>
    </row>
    <row r="8322">
      <c r="A8322" s="390" t="str">
        <f>IFERROR(__xludf.DUMMYFUNCTION("""COMPUTED_VALUE"""),"Pós-Graduação em Psicanálise - Pós-Graduação em Psicanálise - Rosicleide Teodoro - Introdução à Psicanálise – 40H - Nota Máxima: 7")</f>
        <v>Pós-Graduação em Psicanálise - Pós-Graduação em Psicanálise - Rosicleide Teodoro - Introdução à Psicanálise – 40H - Nota Máxima: 7</v>
      </c>
    </row>
    <row r="8323">
      <c r="A8323" s="390" t="str">
        <f>IFERROR(__xludf.DUMMYFUNCTION("""COMPUTED_VALUE"""),"Pós-Graduação em Psicanálise - Pós-Graduação em Psicanálise - Rosicleide Teodoro - Introdução à Psicanálise – 40H - Nota Máxima: 8")</f>
        <v>Pós-Graduação em Psicanálise - Pós-Graduação em Psicanálise - Rosicleide Teodoro - Introdução à Psicanálise – 40H - Nota Máxima: 8</v>
      </c>
    </row>
    <row r="8324">
      <c r="A8324" s="390" t="str">
        <f>IFERROR(__xludf.DUMMYFUNCTION("""COMPUTED_VALUE"""),"Pós-Graduação em Psicanálise - Pós-Graduação em Psicanálise - Rosicleide Teodoro - Narcisismo e a Cultura da Indiferença – 40H - Nota Máxima: 9")</f>
        <v>Pós-Graduação em Psicanálise - Pós-Graduação em Psicanálise - Rosicleide Teodoro - Narcisismo e a Cultura da Indiferença – 40H - Nota Máxima: 9</v>
      </c>
    </row>
    <row r="8325">
      <c r="A8325" s="390" t="str">
        <f>IFERROR(__xludf.DUMMYFUNCTION("""COMPUTED_VALUE"""),"Pós-Graduação em Psicanálise - Pós-Graduação em Psicanálise - Rosicleide Teodoro - Narcisismo e a Cultura da Indiferença – 40H - Nota Máxima: 8")</f>
        <v>Pós-Graduação em Psicanálise - Pós-Graduação em Psicanálise - Rosicleide Teodoro - Narcisismo e a Cultura da Indiferença – 40H - Nota Máxima: 8</v>
      </c>
    </row>
    <row r="8326">
      <c r="A8326" s="390" t="str">
        <f>IFERROR(__xludf.DUMMYFUNCTION("""COMPUTED_VALUE"""),"Pós-Graduação em Psicanálise - Pós-Graduação em Psicanálise - Rosicleide Teodoro - O Aparelho psíquico, aspectos clínicos e Teóricos – 40H - Nota Máxima: 10")</f>
        <v>Pós-Graduação em Psicanálise - Pós-Graduação em Psicanálise - Rosicleide Teodoro - O Aparelho psíquico, aspectos clínicos e Teóricos – 40H - Nota Máxima: 10</v>
      </c>
    </row>
    <row r="8327">
      <c r="A8327" s="390" t="str">
        <f>IFERROR(__xludf.DUMMYFUNCTION("""COMPUTED_VALUE"""),"Pós-Graduação em Psicanálise - Pós-Graduação em Psicanálise - Rosicleide Teodoro - O Aparelho psíquico, aspectos clínicos e Teóricos – 40H - Nota Máxima: 6")</f>
        <v>Pós-Graduação em Psicanálise - Pós-Graduação em Psicanálise - Rosicleide Teodoro - O Aparelho psíquico, aspectos clínicos e Teóricos – 40H - Nota Máxima: 6</v>
      </c>
    </row>
    <row r="8328">
      <c r="A8328" s="390" t="str">
        <f>IFERROR(__xludf.DUMMYFUNCTION("""COMPUTED_VALUE"""),"Pós-Graduação em Psicanálise - Pós-Graduação em Psicanálise - Rosicleide Teodoro - O Método Psicanalítico – 50H - Nota Máxima: 8")</f>
        <v>Pós-Graduação em Psicanálise - Pós-Graduação em Psicanálise - Rosicleide Teodoro - O Método Psicanalítico – 50H - Nota Máxima: 8</v>
      </c>
    </row>
    <row r="8329">
      <c r="A8329" s="390" t="str">
        <f>IFERROR(__xludf.DUMMYFUNCTION("""COMPUTED_VALUE"""),"Pós-Graduação em Psicanálise - Pós-Graduação em Psicanálise - Rosicleide Teodoro - Práticas e Procedimentos em Clínica – 30H - Nota Máxima: 10")</f>
        <v>Pós-Graduação em Psicanálise - Pós-Graduação em Psicanálise - Rosicleide Teodoro - Práticas e Procedimentos em Clínica – 30H - Nota Máxima: 10</v>
      </c>
    </row>
    <row r="8330">
      <c r="A8330" s="390" t="str">
        <f>IFERROR(__xludf.DUMMYFUNCTION("""COMPUTED_VALUE"""),"Pós-Graduação em Psicanálise - Pós-Graduação em Psicanálise - Rosicleide Teodoro - Práticas e Procedimentos em Clínica – 30H - Nota Máxima: 8")</f>
        <v>Pós-Graduação em Psicanálise - Pós-Graduação em Psicanálise - Rosicleide Teodoro - Práticas e Procedimentos em Clínica – 30H - Nota Máxima: 8</v>
      </c>
    </row>
    <row r="8331">
      <c r="A8331" s="390" t="str">
        <f>IFERROR(__xludf.DUMMYFUNCTION("""COMPUTED_VALUE"""),"Pós-Graduação em Psicanálise - Pós-Graduação em Psicanálise - Rosicleide Teodoro - Processos de Transferência e Resistência – 30H - Nota Máxima: 10")</f>
        <v>Pós-Graduação em Psicanálise - Pós-Graduação em Psicanálise - Rosicleide Teodoro - Processos de Transferência e Resistência – 30H - Nota Máxima: 10</v>
      </c>
    </row>
    <row r="8332">
      <c r="A8332" s="390" t="str">
        <f>IFERROR(__xludf.DUMMYFUNCTION("""COMPUTED_VALUE"""),"Pós-Graduação em Psicanálise - Pós-Graduação em Psicanálise - Rosicleide Teodoro - Psicanálise da Criança e do Adolescente – 40H - Nota Máxima: 10")</f>
        <v>Pós-Graduação em Psicanálise - Pós-Graduação em Psicanálise - Rosicleide Teodoro - Psicanálise da Criança e do Adolescente – 40H - Nota Máxima: 10</v>
      </c>
    </row>
    <row r="8333">
      <c r="A8333" s="390" t="str">
        <f>IFERROR(__xludf.DUMMYFUNCTION("""COMPUTED_VALUE"""),"Pós-Graduação em Psicanálise - Pós-Graduação em Psicanálise - Rosicleide Teodoro - Psicanálise da Criança e do Adolescente – 40H - Nota Máxima: 10")</f>
        <v>Pós-Graduação em Psicanálise - Pós-Graduação em Psicanálise - Rosicleide Teodoro - Psicanálise da Criança e do Adolescente – 40H - Nota Máxima: 10</v>
      </c>
    </row>
    <row r="8334">
      <c r="A8334" s="390" t="str">
        <f>IFERROR(__xludf.DUMMYFUNCTION("""COMPUTED_VALUE"""),"Pós-Graduação em Psicanálise - Pós-Graduação em Psicanálise - Rosicleide Teodoro - Psicanálise II – 50H - Nota Máxima: 10")</f>
        <v>Pós-Graduação em Psicanálise - Pós-Graduação em Psicanálise - Rosicleide Teodoro - Psicanálise II – 50H - Nota Máxima: 10</v>
      </c>
    </row>
    <row r="8335">
      <c r="A8335" s="390" t="str">
        <f>IFERROR(__xludf.DUMMYFUNCTION("""COMPUTED_VALUE"""),"Pós-Graduação em Psicanálise - Pós-Graduação em Psicanálise - Rosicleide Teodoro - Psicanálise II – 50H - Nota Máxima: 3")</f>
        <v>Pós-Graduação em Psicanálise - Pós-Graduação em Psicanálise - Rosicleide Teodoro - Psicanálise II – 50H - Nota Máxima: 3</v>
      </c>
    </row>
    <row r="8336">
      <c r="A8336" s="390" t="str">
        <f>IFERROR(__xludf.DUMMYFUNCTION("""COMPUTED_VALUE"""),"Pós-Graduação em Psicanálise - Pós-Graduação em Psicanálise - Rosicleide Teodoro - Psicopatologias II – 50H - Nota Máxima: 10")</f>
        <v>Pós-Graduação em Psicanálise - Pós-Graduação em Psicanálise - Rosicleide Teodoro - Psicopatologias II – 50H - Nota Máxima: 10</v>
      </c>
    </row>
    <row r="8337">
      <c r="A8337" s="390" t="str">
        <f>IFERROR(__xludf.DUMMYFUNCTION("""COMPUTED_VALUE"""),"Pós-Graduação em Psicanálise - Pós-Graduação em Psicanálise - Rosicleide Teodoro - Psicopatologias II – 50H - Nota Máxima: 6")</f>
        <v>Pós-Graduação em Psicanálise - Pós-Graduação em Psicanálise - Rosicleide Teodoro - Psicopatologias II – 50H - Nota Máxima: 6</v>
      </c>
    </row>
    <row r="8338">
      <c r="A8338" s="390" t="str">
        <f>IFERROR(__xludf.DUMMYFUNCTION("""COMPUTED_VALUE"""),"Pós-Graduação em Psicanálise - Pós-Graduação em Psicanálise - Rosicleide Teodoro - Sonhos, Simbologia e Representação – 50H - Nota Máxima: 8")</f>
        <v>Pós-Graduação em Psicanálise - Pós-Graduação em Psicanálise - Rosicleide Teodoro - Sonhos, Simbologia e Representação – 50H - Nota Máxima: 8</v>
      </c>
    </row>
    <row r="8339">
      <c r="A8339" s="390" t="str">
        <f>IFERROR(__xludf.DUMMYFUNCTION("""COMPUTED_VALUE"""),"Pós-Graduação em Psicanálise - Pós-Graduação em Psicanálise - Rosicleide Teodoro - Sonhos, Simbologia e Representação – 50H - Nota Máxima: 9")</f>
        <v>Pós-Graduação em Psicanálise - Pós-Graduação em Psicanálise - Rosicleide Teodoro - Sonhos, Simbologia e Representação – 50H - Nota Máxima: 9</v>
      </c>
    </row>
    <row r="8340">
      <c r="A8340" s="390" t="str">
        <f>IFERROR(__xludf.DUMMYFUNCTION("""COMPUTED_VALUE"""),"Pós-Graduação em Psicanálise - Pós-Graduação em Psicanálise - Rosicleide Teodoro - Tópicos Avançados em Clínica – 40H - Nota Máxima: 10")</f>
        <v>Pós-Graduação em Psicanálise - Pós-Graduação em Psicanálise - Rosicleide Teodoro - Tópicos Avançados em Clínica – 40H - Nota Máxima: 10</v>
      </c>
    </row>
    <row r="8341">
      <c r="A8341" s="390" t="str">
        <f>IFERROR(__xludf.DUMMYFUNCTION("""COMPUTED_VALUE"""),"Pós-Graduação em Psicanálise - Pós-Graduação em Psicanálise - Rosicleide Teodoro - Tópicos Avançados em Clínica – 40H - Nota Máxima: 9")</f>
        <v>Pós-Graduação em Psicanálise - Pós-Graduação em Psicanálise - Rosicleide Teodoro - Tópicos Avançados em Clínica – 40H - Nota Máxima: 9</v>
      </c>
    </row>
    <row r="8342">
      <c r="A8342" s="390" t="str">
        <f>IFERROR(__xludf.DUMMYFUNCTION("""COMPUTED_VALUE"""),"Pós-Graduação em Psicanálise - Pós-Graduação em Psicanálise - Rosicleide Teodoro - Tópicos Avançados em Sexualidade – 40H - Nota Máxima: 10")</f>
        <v>Pós-Graduação em Psicanálise - Pós-Graduação em Psicanálise - Rosicleide Teodoro - Tópicos Avançados em Sexualidade – 40H - Nota Máxima: 10</v>
      </c>
    </row>
    <row r="8343">
      <c r="A8343" s="390" t="str">
        <f>IFERROR(__xludf.DUMMYFUNCTION("""COMPUTED_VALUE"""),"Pós-Graduação em Psicanálise - Pós-Graduação em Psicanálise - Rosicleide Teodoro - Tópicos Avançados em Sexualidade – 40H - Nota Máxima: 2")</f>
        <v>Pós-Graduação em Psicanálise - Pós-Graduação em Psicanálise - Rosicleide Teodoro - Tópicos Avançados em Sexualidade – 40H - Nota Máxima: 2</v>
      </c>
    </row>
    <row r="8344">
      <c r="A8344" s="390" t="str">
        <f>IFERROR(__xludf.DUMMYFUNCTION("""COMPUTED_VALUE"""),"Pós-Graduação em Psicanálise - Pós-Graduação em Psicanálise - Maricelia de Souza Santana Silva - Narcisismo e a Cultura da Indiferença – 40H - Nota Máxima: 10")</f>
        <v>Pós-Graduação em Psicanálise - Pós-Graduação em Psicanálise - Maricelia de Souza Santana Silva - Narcisismo e a Cultura da Indiferença – 40H - Nota Máxima: 10</v>
      </c>
    </row>
    <row r="8345">
      <c r="A8345" s="390" t="str">
        <f>IFERROR(__xludf.DUMMYFUNCTION("""COMPUTED_VALUE"""),"Pós-Graduação em Psicanálise - Pós-Graduação em Psicanálise - Maricelia de Souza Santana Silva - Narcisismo e a Cultura da Indiferença – 40H - Nota Máxima: 10")</f>
        <v>Pós-Graduação em Psicanálise - Pós-Graduação em Psicanálise - Maricelia de Souza Santana Silva - Narcisismo e a Cultura da Indiferença – 40H - Nota Máxima: 10</v>
      </c>
    </row>
    <row r="8346">
      <c r="A8346" s="390" t="str">
        <f>IFERROR(__xludf.DUMMYFUNCTION("""COMPUTED_VALUE"""),"Pós-Graduação em Psicanálise - Pós-Graduação em Psicanálise - Maricelia de Souza Santana Silva - O Aparelho psíquico, aspectos clínicos e Teóricos – 40H - Nota Máxima: 10")</f>
        <v>Pós-Graduação em Psicanálise - Pós-Graduação em Psicanálise - Maricelia de Souza Santana Silva - O Aparelho psíquico, aspectos clínicos e Teóricos – 40H - Nota Máxima: 10</v>
      </c>
    </row>
    <row r="8347">
      <c r="A8347" s="390" t="str">
        <f>IFERROR(__xludf.DUMMYFUNCTION("""COMPUTED_VALUE"""),"Pós-Graduação em Psicanálise - Pós-Graduação em Psicanálise - Maricelia de Souza Santana Silva - O Aparelho psíquico, aspectos clínicos e Teóricos – 40H - Nota Máxima: 10")</f>
        <v>Pós-Graduação em Psicanálise - Pós-Graduação em Psicanálise - Maricelia de Souza Santana Silva - O Aparelho psíquico, aspectos clínicos e Teóricos – 40H - Nota Máxima: 10</v>
      </c>
    </row>
    <row r="8348">
      <c r="A8348" s="390" t="str">
        <f>IFERROR(__xludf.DUMMYFUNCTION("""COMPUTED_VALUE"""),"Pós-Graduação em Psicanálise - Pós-Graduação em Psicanálise - Maricelia de Souza Santana Silva - O Método Psicanalítico – 50H - Nota Máxima: 10")</f>
        <v>Pós-Graduação em Psicanálise - Pós-Graduação em Psicanálise - Maricelia de Souza Santana Silva - O Método Psicanalítico – 50H - Nota Máxima: 10</v>
      </c>
    </row>
    <row r="8349">
      <c r="A8349" s="390" t="str">
        <f>IFERROR(__xludf.DUMMYFUNCTION("""COMPUTED_VALUE"""),"Pós-Graduação em Psicanálise - Pós-Graduação em Psicanálise - Maricelia de Souza Santana Silva - O Método Psicanalítico – 50H - Nota Máxima: 10")</f>
        <v>Pós-Graduação em Psicanálise - Pós-Graduação em Psicanálise - Maricelia de Souza Santana Silva - O Método Psicanalítico – 50H - Nota Máxima: 10</v>
      </c>
    </row>
    <row r="8350">
      <c r="A8350" s="390" t="str">
        <f>IFERROR(__xludf.DUMMYFUNCTION("""COMPUTED_VALUE"""),"Pós-Graduação em Psicanálise - Pós-Graduação em Psicanálise - Maricelia de Souza Santana Silva - Práticas e Procedimentos em Clínica – 30H - Nota Máxima: 10")</f>
        <v>Pós-Graduação em Psicanálise - Pós-Graduação em Psicanálise - Maricelia de Souza Santana Silva - Práticas e Procedimentos em Clínica – 30H - Nota Máxima: 10</v>
      </c>
    </row>
    <row r="8351">
      <c r="A8351" s="390" t="str">
        <f>IFERROR(__xludf.DUMMYFUNCTION("""COMPUTED_VALUE"""),"Pós-Graduação em Psicanálise - Pós-Graduação em Psicanálise - Maricelia de Souza Santana Silva - Práticas e Procedimentos em Clínica – 30H - Nota Máxima: 4")</f>
        <v>Pós-Graduação em Psicanálise - Pós-Graduação em Psicanálise - Maricelia de Souza Santana Silva - Práticas e Procedimentos em Clínica – 30H - Nota Máxima: 4</v>
      </c>
    </row>
    <row r="8352">
      <c r="A8352" s="390" t="str">
        <f>IFERROR(__xludf.DUMMYFUNCTION("""COMPUTED_VALUE"""),"Pós-Graduação em Psicanálise - Pós-Graduação em Psicanálise - Maricelia de Souza Santana Silva - Processos de Transferência e Resistência – 30H - Nota Máxima: 10")</f>
        <v>Pós-Graduação em Psicanálise - Pós-Graduação em Psicanálise - Maricelia de Souza Santana Silva - Processos de Transferência e Resistência – 30H - Nota Máxima: 10</v>
      </c>
    </row>
    <row r="8353">
      <c r="A8353" s="390" t="str">
        <f>IFERROR(__xludf.DUMMYFUNCTION("""COMPUTED_VALUE"""),"Pós-Graduação em Psicanálise - Pós-Graduação em Psicanálise - Maricelia de Souza Santana Silva - Processos de Transferência e Resistência – 30H - Nota Máxima: 6")</f>
        <v>Pós-Graduação em Psicanálise - Pós-Graduação em Psicanálise - Maricelia de Souza Santana Silva - Processos de Transferência e Resistência – 30H - Nota Máxima: 6</v>
      </c>
    </row>
    <row r="8354">
      <c r="A8354" s="390" t="str">
        <f>IFERROR(__xludf.DUMMYFUNCTION("""COMPUTED_VALUE"""),"Pós-Graduação em Psicanálise - Pós-Graduação em Psicanálise - Maricelia de Souza Santana Silva - Psicanálise da Criança e do Adolescente – 40H - Nota Máxima: 10")</f>
        <v>Pós-Graduação em Psicanálise - Pós-Graduação em Psicanálise - Maricelia de Souza Santana Silva - Psicanálise da Criança e do Adolescente – 40H - Nota Máxima: 10</v>
      </c>
    </row>
    <row r="8355">
      <c r="A8355" s="390" t="str">
        <f>IFERROR(__xludf.DUMMYFUNCTION("""COMPUTED_VALUE"""),"Pós-Graduação em Psicanálise - Pós-Graduação em Psicanálise - Maricelia de Souza Santana Silva - Psicanálise da Criança e do Adolescente – 40H - Nota Máxima: 8")</f>
        <v>Pós-Graduação em Psicanálise - Pós-Graduação em Psicanálise - Maricelia de Souza Santana Silva - Psicanálise da Criança e do Adolescente – 40H - Nota Máxima: 8</v>
      </c>
    </row>
    <row r="8356">
      <c r="A8356" s="390" t="str">
        <f>IFERROR(__xludf.DUMMYFUNCTION("""COMPUTED_VALUE"""),"Pós-Graduação em Psicanálise - Pós-Graduação em Psicanálise - Maricelia de Souza Santana Silva - Psicanálise II – 50H - Nota Máxima: 10")</f>
        <v>Pós-Graduação em Psicanálise - Pós-Graduação em Psicanálise - Maricelia de Souza Santana Silva - Psicanálise II – 50H - Nota Máxima: 10</v>
      </c>
    </row>
    <row r="8357">
      <c r="A8357" s="390" t="str">
        <f>IFERROR(__xludf.DUMMYFUNCTION("""COMPUTED_VALUE"""),"Pós-Graduação em Psicanálise - Pós-Graduação em Psicanálise - Maricelia de Souza Santana Silva - Psicanálise II – 50H - Nota Máxima: 5")</f>
        <v>Pós-Graduação em Psicanálise - Pós-Graduação em Psicanálise - Maricelia de Souza Santana Silva - Psicanálise II – 50H - Nota Máxima: 5</v>
      </c>
    </row>
    <row r="8358">
      <c r="A8358" s="390" t="str">
        <f>IFERROR(__xludf.DUMMYFUNCTION("""COMPUTED_VALUE"""),"Pós-Graduação em Psicanálise - Pós-Graduação em Psicanálise - Maricelia de Souza Santana Silva - Psicopatologias I – 40H - Nota Máxima: 10")</f>
        <v>Pós-Graduação em Psicanálise - Pós-Graduação em Psicanálise - Maricelia de Souza Santana Silva - Psicopatologias I – 40H - Nota Máxima: 10</v>
      </c>
    </row>
    <row r="8359">
      <c r="A8359" s="390" t="str">
        <f>IFERROR(__xludf.DUMMYFUNCTION("""COMPUTED_VALUE"""),"Pós-Graduação em Psicanálise - Pós-Graduação em Psicanálise - Maricelia de Souza Santana Silva - Psicopatologias I – 40H - Nota Máxima: 5")</f>
        <v>Pós-Graduação em Psicanálise - Pós-Graduação em Psicanálise - Maricelia de Souza Santana Silva - Psicopatologias I – 40H - Nota Máxima: 5</v>
      </c>
    </row>
    <row r="8360">
      <c r="A8360" s="390" t="str">
        <f>IFERROR(__xludf.DUMMYFUNCTION("""COMPUTED_VALUE"""),"Pós-Graduação em Psicanálise - Pós-Graduação em Psicanálise - Maricelia de Souza Santana Silva - Psicopatologias II – 50H - Nota Máxima: 10")</f>
        <v>Pós-Graduação em Psicanálise - Pós-Graduação em Psicanálise - Maricelia de Souza Santana Silva - Psicopatologias II – 50H - Nota Máxima: 10</v>
      </c>
    </row>
    <row r="8361">
      <c r="A8361" s="390" t="str">
        <f>IFERROR(__xludf.DUMMYFUNCTION("""COMPUTED_VALUE"""),"Pós-Graduação em Psicanálise - Pós-Graduação em Psicanálise - Maricelia de Souza Santana Silva - Psicopatologias II – 50H - Nota Máxima: 8")</f>
        <v>Pós-Graduação em Psicanálise - Pós-Graduação em Psicanálise - Maricelia de Souza Santana Silva - Psicopatologias II – 50H - Nota Máxima: 8</v>
      </c>
    </row>
    <row r="8362">
      <c r="A8362" s="390" t="str">
        <f>IFERROR(__xludf.DUMMYFUNCTION("""COMPUTED_VALUE"""),"Pós-Graduação em Psicanálise - Pós-Graduação em Psicanálise - Maricelia de Souza Santana Silva - Sonhos, Simbologia e Representação – 50H - Nota Máxima: 10")</f>
        <v>Pós-Graduação em Psicanálise - Pós-Graduação em Psicanálise - Maricelia de Souza Santana Silva - Sonhos, Simbologia e Representação – 50H - Nota Máxima: 10</v>
      </c>
    </row>
    <row r="8363">
      <c r="A8363" s="390" t="str">
        <f>IFERROR(__xludf.DUMMYFUNCTION("""COMPUTED_VALUE"""),"Pós-Graduação em Psicanálise - Pós-Graduação em Psicanálise - Maricelia de Souza Santana Silva - Sonhos, Simbologia e Representação – 50H - Nota Máxima: 7")</f>
        <v>Pós-Graduação em Psicanálise - Pós-Graduação em Psicanálise - Maricelia de Souza Santana Silva - Sonhos, Simbologia e Representação – 50H - Nota Máxima: 7</v>
      </c>
    </row>
    <row r="8364">
      <c r="A8364" s="390" t="str">
        <f>IFERROR(__xludf.DUMMYFUNCTION("""COMPUTED_VALUE"""),"Pós-Graduação em Psicanálise - Pós-Graduação em Psicanálise - Maricelia de Souza Santana Silva - Tópicos Avançados em Clínica – 40H - Nota Máxima: 10")</f>
        <v>Pós-Graduação em Psicanálise - Pós-Graduação em Psicanálise - Maricelia de Souza Santana Silva - Tópicos Avançados em Clínica – 40H - Nota Máxima: 10</v>
      </c>
    </row>
    <row r="8365">
      <c r="A8365" s="390" t="str">
        <f>IFERROR(__xludf.DUMMYFUNCTION("""COMPUTED_VALUE"""),"Pós-Graduação em Psicanálise - Pós-Graduação em Psicanálise - Maricelia de Souza Santana Silva - Tópicos Avançados em Clínica – 40H - Nota Máxima: 8")</f>
        <v>Pós-Graduação em Psicanálise - Pós-Graduação em Psicanálise - Maricelia de Souza Santana Silva - Tópicos Avançados em Clínica – 40H - Nota Máxima: 8</v>
      </c>
    </row>
    <row r="8366">
      <c r="A8366" s="390" t="str">
        <f>IFERROR(__xludf.DUMMYFUNCTION("""COMPUTED_VALUE"""),"Pós-Graduação em Psicanálise - Pós-Graduação em Psicanálise - Maricelia de Souza Santana Silva - Tópicos Avançados em Sexualidade – 40H - Nota Máxima: 10")</f>
        <v>Pós-Graduação em Psicanálise - Pós-Graduação em Psicanálise - Maricelia de Souza Santana Silva - Tópicos Avançados em Sexualidade – 40H - Nota Máxima: 10</v>
      </c>
    </row>
    <row r="8367">
      <c r="A8367" s="390" t="str">
        <f>IFERROR(__xludf.DUMMYFUNCTION("""COMPUTED_VALUE"""),"Pós-Graduação em Psicanálise - Pós-Graduação em Psicanálise - Maricelia de Souza Santana Silva - Tópicos Avançados em Sexualidade – 40H - Nota Máxima: 1")</f>
        <v>Pós-Graduação em Psicanálise - Pós-Graduação em Psicanálise - Maricelia de Souza Santana Silva - Tópicos Avançados em Sexualidade – 40H - Nota Máxima: 1</v>
      </c>
    </row>
    <row r="8368">
      <c r="A8368" s="390" t="str">
        <f>IFERROR(__xludf.DUMMYFUNCTION("""COMPUTED_VALUE"""),"Pós-Graduação em Psicanálise - Pós-Graduação em Psicanálise - Ilma Maria do Nascimento - Complexo de Édipo e Castração - Nota Máxima: 4")</f>
        <v>Pós-Graduação em Psicanálise - Pós-Graduação em Psicanálise - Ilma Maria do Nascimento - Complexo de Édipo e Castração - Nota Máxima: 4</v>
      </c>
    </row>
    <row r="8369">
      <c r="A8369" s="390" t="str">
        <f>IFERROR(__xludf.DUMMYFUNCTION("""COMPUTED_VALUE"""),"Pós-Graduação em Psicanálise - Pós-Graduação em Psicanálise - Ilma Maria do Nascimento - Complexo de Édipo e Castração - Nota Máxima: 6")</f>
        <v>Pós-Graduação em Psicanálise - Pós-Graduação em Psicanálise - Ilma Maria do Nascimento - Complexo de Édipo e Castração - Nota Máxima: 6</v>
      </c>
    </row>
    <row r="8370">
      <c r="A8370" s="390" t="str">
        <f>IFERROR(__xludf.DUMMYFUNCTION("""COMPUTED_VALUE"""),"Pós-Graduação em Psicanálise - Pós-Graduação em Psicanálise - Ilma Maria do Nascimento - Formação e Ética do Psicanalista – 30H - Nota Máxima: 6")</f>
        <v>Pós-Graduação em Psicanálise - Pós-Graduação em Psicanálise - Ilma Maria do Nascimento - Formação e Ética do Psicanalista – 30H - Nota Máxima: 6</v>
      </c>
    </row>
    <row r="8371">
      <c r="A8371" s="390" t="str">
        <f>IFERROR(__xludf.DUMMYFUNCTION("""COMPUTED_VALUE"""),"Pós-Graduação em Psicanálise - Pós-Graduação em Psicanálise - Ilma Maria do Nascimento - Formação e Ética do Psicanalista – 30H - Nota Máxima: 7")</f>
        <v>Pós-Graduação em Psicanálise - Pós-Graduação em Psicanálise - Ilma Maria do Nascimento - Formação e Ética do Psicanalista – 30H - Nota Máxima: 7</v>
      </c>
    </row>
    <row r="8372">
      <c r="A8372" s="390" t="str">
        <f>IFERROR(__xludf.DUMMYFUNCTION("""COMPUTED_VALUE"""),"Pós-Graduação em Psicanálise - Pós-Graduação em Psicanálise - Ilma Maria do Nascimento - Introdução à EAD - 30H - Nota Máxima: 8")</f>
        <v>Pós-Graduação em Psicanálise - Pós-Graduação em Psicanálise - Ilma Maria do Nascimento - Introdução à EAD - 30H - Nota Máxima: 8</v>
      </c>
    </row>
    <row r="8373">
      <c r="A8373" s="390" t="str">
        <f>IFERROR(__xludf.DUMMYFUNCTION("""COMPUTED_VALUE"""),"Pós-Graduação em Psicanálise - Pós-Graduação em Psicanálise - Ilma Maria do Nascimento - Introdução à Psicanálise – 40H - Nota Máxima: 10")</f>
        <v>Pós-Graduação em Psicanálise - Pós-Graduação em Psicanálise - Ilma Maria do Nascimento - Introdução à Psicanálise – 40H - Nota Máxima: 10</v>
      </c>
    </row>
    <row r="8374">
      <c r="A8374" s="390" t="str">
        <f>IFERROR(__xludf.DUMMYFUNCTION("""COMPUTED_VALUE"""),"Pós-Graduação em Psicanálise - Pós-Graduação em Psicanálise - Ilma Maria do Nascimento - Introdução à Psicanálise – 40H - Nota Máxima: 7")</f>
        <v>Pós-Graduação em Psicanálise - Pós-Graduação em Psicanálise - Ilma Maria do Nascimento - Introdução à Psicanálise – 40H - Nota Máxima: 7</v>
      </c>
    </row>
    <row r="8375">
      <c r="A8375" s="390" t="str">
        <f>IFERROR(__xludf.DUMMYFUNCTION("""COMPUTED_VALUE"""),"Pós-Graduação em Psicanálise - Pós-Graduação em Psicanálise - Ilma Maria do Nascimento - Libido, Pulsões e Sexualidade – 50H - Nota Máxima: 7")</f>
        <v>Pós-Graduação em Psicanálise - Pós-Graduação em Psicanálise - Ilma Maria do Nascimento - Libido, Pulsões e Sexualidade – 50H - Nota Máxima: 7</v>
      </c>
    </row>
    <row r="8376">
      <c r="A8376" s="390" t="str">
        <f>IFERROR(__xludf.DUMMYFUNCTION("""COMPUTED_VALUE"""),"Pós-Graduação em Psicanálise - Pós-Graduação em Psicanálise - Ilma Maria do Nascimento - Libido, Pulsões e Sexualidade – 50H - Nota Máxima: 8")</f>
        <v>Pós-Graduação em Psicanálise - Pós-Graduação em Psicanálise - Ilma Maria do Nascimento - Libido, Pulsões e Sexualidade – 50H - Nota Máxima: 8</v>
      </c>
    </row>
    <row r="8377">
      <c r="A8377" s="390" t="str">
        <f>IFERROR(__xludf.DUMMYFUNCTION("""COMPUTED_VALUE"""),"Pós-Graduação em Psicanálise - Pós-Graduação em Psicanálise - Ilma Maria do Nascimento - Narcisismo e a Cultura da Indiferença – 40H - Nota Máxima: 5")</f>
        <v>Pós-Graduação em Psicanálise - Pós-Graduação em Psicanálise - Ilma Maria do Nascimento - Narcisismo e a Cultura da Indiferença – 40H - Nota Máxima: 5</v>
      </c>
    </row>
    <row r="8378">
      <c r="A8378" s="390" t="str">
        <f>IFERROR(__xludf.DUMMYFUNCTION("""COMPUTED_VALUE"""),"Pós-Graduação em Psicanálise - Pós-Graduação em Psicanálise - Ilma Maria do Nascimento - O Aparelho psíquico, aspectos clínicos e Teóricos – 40H - Nota Máxima: 6")</f>
        <v>Pós-Graduação em Psicanálise - Pós-Graduação em Psicanálise - Ilma Maria do Nascimento - O Aparelho psíquico, aspectos clínicos e Teóricos – 40H - Nota Máxima: 6</v>
      </c>
    </row>
    <row r="8379">
      <c r="A8379" s="390" t="str">
        <f>IFERROR(__xludf.DUMMYFUNCTION("""COMPUTED_VALUE"""),"Pós-Graduação em Psicanálise - Pós-Graduação em Psicanálise - Ilma Maria do Nascimento - O Aparelho psíquico, aspectos clínicos e Teóricos – 40H - Nota Máxima: 6")</f>
        <v>Pós-Graduação em Psicanálise - Pós-Graduação em Psicanálise - Ilma Maria do Nascimento - O Aparelho psíquico, aspectos clínicos e Teóricos – 40H - Nota Máxima: 6</v>
      </c>
    </row>
    <row r="8380">
      <c r="A8380" s="390" t="str">
        <f>IFERROR(__xludf.DUMMYFUNCTION("""COMPUTED_VALUE"""),"Pós-Graduação em Psicanálise - Pós-Graduação em Psicanálise - Ilma Maria do Nascimento - Práticas e Procedimentos em Clínica – 30H - Nota Máxima: 2")</f>
        <v>Pós-Graduação em Psicanálise - Pós-Graduação em Psicanálise - Ilma Maria do Nascimento - Práticas e Procedimentos em Clínica – 30H - Nota Máxima: 2</v>
      </c>
    </row>
    <row r="8381">
      <c r="A8381" s="390" t="str">
        <f>IFERROR(__xludf.DUMMYFUNCTION("""COMPUTED_VALUE"""),"Pós-Graduação em Psicanálise - Pós-Graduação em Psicanálise - Ilma Maria do Nascimento - Psicanálise da Criança e do Adolescente – 40H - Nota Máxima: 7")</f>
        <v>Pós-Graduação em Psicanálise - Pós-Graduação em Psicanálise - Ilma Maria do Nascimento - Psicanálise da Criança e do Adolescente – 40H - Nota Máxima: 7</v>
      </c>
    </row>
    <row r="8382">
      <c r="A8382" s="390" t="str">
        <f>IFERROR(__xludf.DUMMYFUNCTION("""COMPUTED_VALUE"""),"Pós-Graduação em Psicanálise - Pós-Graduação em Psicanálise - Ilma Maria do Nascimento - Sonhos, Simbologia e Representação – 50H - Nota Máxima: 3")</f>
        <v>Pós-Graduação em Psicanálise - Pós-Graduação em Psicanálise - Ilma Maria do Nascimento - Sonhos, Simbologia e Representação – 50H - Nota Máxima: 3</v>
      </c>
    </row>
    <row r="8383">
      <c r="A8383" s="390" t="str">
        <f>IFERROR(__xludf.DUMMYFUNCTION("""COMPUTED_VALUE"""),"Pós-Graduação em Psicanálise - Pós-Graduação em Psicanálise - Ilma Maria do Nascimento - Tópicos Avançados em Sexualidade – 40H - Nota Máxima: 2")</f>
        <v>Pós-Graduação em Psicanálise - Pós-Graduação em Psicanálise - Ilma Maria do Nascimento - Tópicos Avançados em Sexualidade – 40H - Nota Máxima: 2</v>
      </c>
    </row>
    <row r="8384">
      <c r="A8384" s="390" t="str">
        <f>IFERROR(__xludf.DUMMYFUNCTION("""COMPUTED_VALUE"""),"Pós-Graduação em Psicanálise - Pós-Graduação em Psicanálise - Maria Erilane Paula Tomé - Introdução à EAD - 30H - Nota Máxima: 8")</f>
        <v>Pós-Graduação em Psicanálise - Pós-Graduação em Psicanálise - Maria Erilane Paula Tomé - Introdução à EAD - 30H - Nota Máxima: 8</v>
      </c>
    </row>
    <row r="8385">
      <c r="A8385" s="390" t="str">
        <f>IFERROR(__xludf.DUMMYFUNCTION("""COMPUTED_VALUE"""),"Pós-Graduação em Psicanálise - Pós-Graduação em Psicanálise - Maria Erilane Paula Tomé - Introdução à Psicanálise – 40H - Nota Máxima: 8")</f>
        <v>Pós-Graduação em Psicanálise - Pós-Graduação em Psicanálise - Maria Erilane Paula Tomé - Introdução à Psicanálise – 40H - Nota Máxima: 8</v>
      </c>
    </row>
    <row r="8386">
      <c r="A8386" s="390" t="str">
        <f>IFERROR(__xludf.DUMMYFUNCTION("""COMPUTED_VALUE"""),"Pós-Graduação em Psicanálise - Pós-Graduação em Psicanálise - Maria Erilane Paula Tomé - Narcisismo e a Cultura da Indiferença – 40H - Nota Máxima: 9")</f>
        <v>Pós-Graduação em Psicanálise - Pós-Graduação em Psicanálise - Maria Erilane Paula Tomé - Narcisismo e a Cultura da Indiferença – 40H - Nota Máxima: 9</v>
      </c>
    </row>
    <row r="8387">
      <c r="A8387" s="390" t="str">
        <f>IFERROR(__xludf.DUMMYFUNCTION("""COMPUTED_VALUE"""),"Pós-Graduação em Psicanálise - Pós-Graduação em Psicanálise - Maria Erilane Paula Tomé - Narcisismo e a Cultura da Indiferença – 40H - Nota Máxima: 5")</f>
        <v>Pós-Graduação em Psicanálise - Pós-Graduação em Psicanálise - Maria Erilane Paula Tomé - Narcisismo e a Cultura da Indiferença – 40H - Nota Máxima: 5</v>
      </c>
    </row>
    <row r="8388">
      <c r="A8388" s="390" t="str">
        <f>IFERROR(__xludf.DUMMYFUNCTION("""COMPUTED_VALUE"""),"Pós-Graduação em Psicanálise - Pós-Graduação em Psicanálise - Maria Erilane Paula Tomé - O Aparelho psíquico, aspectos clínicos e Teóricos – 40H - Nota Máxima: 10")</f>
        <v>Pós-Graduação em Psicanálise - Pós-Graduação em Psicanálise - Maria Erilane Paula Tomé - O Aparelho psíquico, aspectos clínicos e Teóricos – 40H - Nota Máxima: 10</v>
      </c>
    </row>
    <row r="8389">
      <c r="A8389" s="390" t="str">
        <f>IFERROR(__xludf.DUMMYFUNCTION("""COMPUTED_VALUE"""),"Pós-Graduação em Psicanálise - Pós-Graduação em Psicanálise - Maria Erilane Paula Tomé - O Aparelho psíquico, aspectos clínicos e Teóricos – 40H - Nota Máxima: 5")</f>
        <v>Pós-Graduação em Psicanálise - Pós-Graduação em Psicanálise - Maria Erilane Paula Tomé - O Aparelho psíquico, aspectos clínicos e Teóricos – 40H - Nota Máxima: 5</v>
      </c>
    </row>
    <row r="8390">
      <c r="A8390" s="390" t="str">
        <f>IFERROR(__xludf.DUMMYFUNCTION("""COMPUTED_VALUE"""),"Pós-Graduação em Psicanálise - Pós-Graduação em Psicanálise - Maria Erilane Paula Tomé - O Método Psicanalítico – 50H - Nota Máxima: 9")</f>
        <v>Pós-Graduação em Psicanálise - Pós-Graduação em Psicanálise - Maria Erilane Paula Tomé - O Método Psicanalítico – 50H - Nota Máxima: 9</v>
      </c>
    </row>
    <row r="8391">
      <c r="A8391" s="390" t="str">
        <f>IFERROR(__xludf.DUMMYFUNCTION("""COMPUTED_VALUE"""),"Pós-Graduação em Psicanálise - Pós-Graduação em Psicanálise - Maria Erilane Paula Tomé - O Método Psicanalítico – 50H - Nota Máxima: 3")</f>
        <v>Pós-Graduação em Psicanálise - Pós-Graduação em Psicanálise - Maria Erilane Paula Tomé - O Método Psicanalítico – 50H - Nota Máxima: 3</v>
      </c>
    </row>
    <row r="8392">
      <c r="A8392" s="390" t="str">
        <f>IFERROR(__xludf.DUMMYFUNCTION("""COMPUTED_VALUE"""),"Pós-Graduação em Psicanálise - Pós-Graduação em Psicanálise - Maria Erilane Paula Tomé - Práticas e Procedimentos em Clínica – 30H - Nota Máxima: 10")</f>
        <v>Pós-Graduação em Psicanálise - Pós-Graduação em Psicanálise - Maria Erilane Paula Tomé - Práticas e Procedimentos em Clínica – 30H - Nota Máxima: 10</v>
      </c>
    </row>
    <row r="8393">
      <c r="A8393" s="390" t="str">
        <f>IFERROR(__xludf.DUMMYFUNCTION("""COMPUTED_VALUE"""),"Pós-Graduação em Psicanálise - Pós-Graduação em Psicanálise - Maria Erilane Paula Tomé - Práticas e Procedimentos em Clínica – 30H - Nota Máxima: 7")</f>
        <v>Pós-Graduação em Psicanálise - Pós-Graduação em Psicanálise - Maria Erilane Paula Tomé - Práticas e Procedimentos em Clínica – 30H - Nota Máxima: 7</v>
      </c>
    </row>
    <row r="8394">
      <c r="A8394" s="390" t="str">
        <f>IFERROR(__xludf.DUMMYFUNCTION("""COMPUTED_VALUE"""),"Pós-Graduação em Psicanálise - Pós-Graduação em Psicanálise - Maria Erilane Paula Tomé - Processos de Transferência e Resistência – 30H - Nota Máxima: 10")</f>
        <v>Pós-Graduação em Psicanálise - Pós-Graduação em Psicanálise - Maria Erilane Paula Tomé - Processos de Transferência e Resistência – 30H - Nota Máxima: 10</v>
      </c>
    </row>
    <row r="8395">
      <c r="A8395" s="390" t="str">
        <f>IFERROR(__xludf.DUMMYFUNCTION("""COMPUTED_VALUE"""),"Pós-Graduação em Psicanálise - Pós-Graduação em Psicanálise - Maria Erilane Paula Tomé - Processos de Transferência e Resistência – 30H - Nota Máxima: 9")</f>
        <v>Pós-Graduação em Psicanálise - Pós-Graduação em Psicanálise - Maria Erilane Paula Tomé - Processos de Transferência e Resistência – 30H - Nota Máxima: 9</v>
      </c>
    </row>
    <row r="8396">
      <c r="A8396" s="390" t="str">
        <f>IFERROR(__xludf.DUMMYFUNCTION("""COMPUTED_VALUE"""),"Pós-Graduação em Psicanálise - Pós-Graduação em Psicanálise - Maria Erilane Paula Tomé - Psicanálise da Criança e do Adolescente – 40H - Nota Máxima: 9")</f>
        <v>Pós-Graduação em Psicanálise - Pós-Graduação em Psicanálise - Maria Erilane Paula Tomé - Psicanálise da Criança e do Adolescente – 40H - Nota Máxima: 9</v>
      </c>
    </row>
    <row r="8397">
      <c r="A8397" s="390" t="str">
        <f>IFERROR(__xludf.DUMMYFUNCTION("""COMPUTED_VALUE"""),"Pós-Graduação em Psicanálise - Pós-Graduação em Psicanálise - Maria Erilane Paula Tomé - Psicanálise da Criança e do Adolescente – 40H - Nota Máxima: 7")</f>
        <v>Pós-Graduação em Psicanálise - Pós-Graduação em Psicanálise - Maria Erilane Paula Tomé - Psicanálise da Criança e do Adolescente – 40H - Nota Máxima: 7</v>
      </c>
    </row>
    <row r="8398">
      <c r="A8398" s="390" t="str">
        <f>IFERROR(__xludf.DUMMYFUNCTION("""COMPUTED_VALUE"""),"Pós-Graduação em Psicanálise - Pós-Graduação em Psicanálise - Maria Erilane Paula Tomé - Psicanálise II – 50H - Nota Máxima: 10")</f>
        <v>Pós-Graduação em Psicanálise - Pós-Graduação em Psicanálise - Maria Erilane Paula Tomé - Psicanálise II – 50H - Nota Máxima: 10</v>
      </c>
    </row>
    <row r="8399">
      <c r="A8399" s="390" t="str">
        <f>IFERROR(__xludf.DUMMYFUNCTION("""COMPUTED_VALUE"""),"Pós-Graduação em Psicanálise - Pós-Graduação em Psicanálise - Maria Erilane Paula Tomé - Psicanálise II – 50H - Nota Máxima: 4")</f>
        <v>Pós-Graduação em Psicanálise - Pós-Graduação em Psicanálise - Maria Erilane Paula Tomé - Psicanálise II – 50H - Nota Máxima: 4</v>
      </c>
    </row>
    <row r="8400">
      <c r="A8400" s="390" t="str">
        <f>IFERROR(__xludf.DUMMYFUNCTION("""COMPUTED_VALUE"""),"Pós-Graduação em Psicanálise - Pós-Graduação em Psicanálise - Maria Erilane Paula Tomé - Psicopatologias I – 40H - Nota Máxima: 10")</f>
        <v>Pós-Graduação em Psicanálise - Pós-Graduação em Psicanálise - Maria Erilane Paula Tomé - Psicopatologias I – 40H - Nota Máxima: 10</v>
      </c>
    </row>
    <row r="8401">
      <c r="A8401" s="390" t="str">
        <f>IFERROR(__xludf.DUMMYFUNCTION("""COMPUTED_VALUE"""),"Pós-Graduação em Psicanálise - Pós-Graduação em Psicanálise - Maria Erilane Paula Tomé - Psicopatologias I – 40H - Nota Máxima: 8")</f>
        <v>Pós-Graduação em Psicanálise - Pós-Graduação em Psicanálise - Maria Erilane Paula Tomé - Psicopatologias I – 40H - Nota Máxima: 8</v>
      </c>
    </row>
    <row r="8402">
      <c r="A8402" s="390" t="str">
        <f>IFERROR(__xludf.DUMMYFUNCTION("""COMPUTED_VALUE"""),"Pós-Graduação em Psicanálise - Pós-Graduação em Psicanálise - Maria Erilane Paula Tomé - Psicopatologias II – 50H - Nota Máxima: 10")</f>
        <v>Pós-Graduação em Psicanálise - Pós-Graduação em Psicanálise - Maria Erilane Paula Tomé - Psicopatologias II – 50H - Nota Máxima: 10</v>
      </c>
    </row>
    <row r="8403">
      <c r="A8403" s="390" t="str">
        <f>IFERROR(__xludf.DUMMYFUNCTION("""COMPUTED_VALUE"""),"Pós-Graduação em Psicanálise - Pós-Graduação em Psicanálise - Maria Erilane Paula Tomé - Psicopatologias II – 50H - Nota Máxima: 8")</f>
        <v>Pós-Graduação em Psicanálise - Pós-Graduação em Psicanálise - Maria Erilane Paula Tomé - Psicopatologias II – 50H - Nota Máxima: 8</v>
      </c>
    </row>
    <row r="8404">
      <c r="A8404" s="390" t="str">
        <f>IFERROR(__xludf.DUMMYFUNCTION("""COMPUTED_VALUE"""),"Pós-Graduação em Psicanálise - Pós-Graduação em Psicanálise - Maria Erilane Paula Tomé - Tópicos Avançados em Clínica – 40H - Nota Máxima: 10")</f>
        <v>Pós-Graduação em Psicanálise - Pós-Graduação em Psicanálise - Maria Erilane Paula Tomé - Tópicos Avançados em Clínica – 40H - Nota Máxima: 10</v>
      </c>
    </row>
    <row r="8405">
      <c r="A8405" s="390" t="str">
        <f>IFERROR(__xludf.DUMMYFUNCTION("""COMPUTED_VALUE"""),"Pós-Graduação em Psicanálise - Pós-Graduação em Psicanálise - Maria Erilane Paula Tomé - Tópicos Avançados em Clínica – 40H - Nota Máxima: 8")</f>
        <v>Pós-Graduação em Psicanálise - Pós-Graduação em Psicanálise - Maria Erilane Paula Tomé - Tópicos Avançados em Clínica – 40H - Nota Máxima: 8</v>
      </c>
    </row>
    <row r="8406">
      <c r="A8406" s="390" t="str">
        <f>IFERROR(__xludf.DUMMYFUNCTION("""COMPUTED_VALUE"""),"Pós-Graduação em Psicanálise - Pós-Graduação em Psicanálise - Maria Erilane Paula Tomé - Tópicos Avançados em Sexualidade – 40H - Nota Máxima: 8")</f>
        <v>Pós-Graduação em Psicanálise - Pós-Graduação em Psicanálise - Maria Erilane Paula Tomé - Tópicos Avançados em Sexualidade – 40H - Nota Máxima: 8</v>
      </c>
    </row>
    <row r="8407">
      <c r="A8407" s="390" t="str">
        <f>IFERROR(__xludf.DUMMYFUNCTION("""COMPUTED_VALUE"""),"Pós-Graduação em Psicanálise - Pós-Graduação em Psicanálise - Maria Erilane Paula Tomé - Tópicos Avançados em Sexualidade – 40H - Nota Máxima: 8")</f>
        <v>Pós-Graduação em Psicanálise - Pós-Graduação em Psicanálise - Maria Erilane Paula Tomé - Tópicos Avançados em Sexualidade – 40H - Nota Máxima: 8</v>
      </c>
    </row>
    <row r="8408">
      <c r="A8408" s="390" t="str">
        <f>IFERROR(__xludf.DUMMYFUNCTION("""COMPUTED_VALUE"""),"Pós-Graduação em Psicanálise - Pós-Graduação em Psicanálise - Luciana Aparecida dos Santos - Formação e Ética do Psicanalista – 30H - Nota Máxima: 10")</f>
        <v>Pós-Graduação em Psicanálise - Pós-Graduação em Psicanálise - Luciana Aparecida dos Santos - Formação e Ética do Psicanalista – 30H - Nota Máxima: 10</v>
      </c>
    </row>
    <row r="8409">
      <c r="A8409" s="390" t="str">
        <f>IFERROR(__xludf.DUMMYFUNCTION("""COMPUTED_VALUE"""),"Pós-Graduação em Psicanálise - Pós-Graduação em Psicanálise - Luciana Aparecida dos Santos - Introdução à Psicanálise – 40H - Nota Máxima: 9")</f>
        <v>Pós-Graduação em Psicanálise - Pós-Graduação em Psicanálise - Luciana Aparecida dos Santos - Introdução à Psicanálise – 40H - Nota Máxima: 9</v>
      </c>
    </row>
    <row r="8410">
      <c r="A8410" s="390" t="str">
        <f>IFERROR(__xludf.DUMMYFUNCTION("""COMPUTED_VALUE"""),"Pós-Graduação em Psicanálise - Pós-Graduação em Psicanálise - Luciana Aparecida dos Santos - Introdução à Psicanálise – 40H - Nota Máxima: 8")</f>
        <v>Pós-Graduação em Psicanálise - Pós-Graduação em Psicanálise - Luciana Aparecida dos Santos - Introdução à Psicanálise – 40H - Nota Máxima: 8</v>
      </c>
    </row>
    <row r="8411">
      <c r="A8411" s="390" t="str">
        <f>IFERROR(__xludf.DUMMYFUNCTION("""COMPUTED_VALUE"""),"Pós-Graduação em Psicanálise - Pós-Graduação em Psicanálise - Luciana Aparecida dos Santos - Narcisismo e a Cultura da Indiferença – 40H - Nota Máxima: 9")</f>
        <v>Pós-Graduação em Psicanálise - Pós-Graduação em Psicanálise - Luciana Aparecida dos Santos - Narcisismo e a Cultura da Indiferença – 40H - Nota Máxima: 9</v>
      </c>
    </row>
    <row r="8412">
      <c r="A8412" s="390" t="str">
        <f>IFERROR(__xludf.DUMMYFUNCTION("""COMPUTED_VALUE"""),"Pós-Graduação em Psicanálise - Pós-Graduação em Psicanálise - Luciana Aparecida dos Santos - Narcisismo e a Cultura da Indiferença – 40H - Nota Máxima: 7")</f>
        <v>Pós-Graduação em Psicanálise - Pós-Graduação em Psicanálise - Luciana Aparecida dos Santos - Narcisismo e a Cultura da Indiferença – 40H - Nota Máxima: 7</v>
      </c>
    </row>
    <row r="8413">
      <c r="A8413" s="390" t="str">
        <f>IFERROR(__xludf.DUMMYFUNCTION("""COMPUTED_VALUE"""),"Pós-Graduação em Psicanálise - Pós-Graduação em Psicanálise - Saara vieira de Souza Bastos - Complexo de Édipo e Castração - Nota Máxima: 7")</f>
        <v>Pós-Graduação em Psicanálise - Pós-Graduação em Psicanálise - Saara vieira de Souza Bastos - Complexo de Édipo e Castração - Nota Máxima: 7</v>
      </c>
    </row>
    <row r="8414">
      <c r="A8414" s="390" t="str">
        <f>IFERROR(__xludf.DUMMYFUNCTION("""COMPUTED_VALUE"""),"Pós-Graduação em Psicanálise - Pós-Graduação em Psicanálise - Saara vieira de Souza Bastos - Formação e Ética do Psicanalista – 30H - Nota Máxima: 7")</f>
        <v>Pós-Graduação em Psicanálise - Pós-Graduação em Psicanálise - Saara vieira de Souza Bastos - Formação e Ética do Psicanalista – 30H - Nota Máxima: 7</v>
      </c>
    </row>
    <row r="8415">
      <c r="A8415" s="390" t="str">
        <f>IFERROR(__xludf.DUMMYFUNCTION("""COMPUTED_VALUE"""),"Pós-Graduação em Psicanálise - Pós-Graduação em Psicanálise - Saara vieira de Souza Bastos - Introdução à Psicanálise – 40H - Nota Máxima: 9")</f>
        <v>Pós-Graduação em Psicanálise - Pós-Graduação em Psicanálise - Saara vieira de Souza Bastos - Introdução à Psicanálise – 40H - Nota Máxima: 9</v>
      </c>
    </row>
    <row r="8416">
      <c r="A8416" s="390" t="str">
        <f>IFERROR(__xludf.DUMMYFUNCTION("""COMPUTED_VALUE"""),"Pós-Graduação em Psicanálise - Pós-Graduação em Psicanálise - Saara vieira de Souza Bastos - Libido, Pulsões e Sexualidade – 50H - Nota Máxima: 7")</f>
        <v>Pós-Graduação em Psicanálise - Pós-Graduação em Psicanálise - Saara vieira de Souza Bastos - Libido, Pulsões e Sexualidade – 50H - Nota Máxima: 7</v>
      </c>
    </row>
    <row r="8417">
      <c r="A8417" s="390" t="str">
        <f>IFERROR(__xludf.DUMMYFUNCTION("""COMPUTED_VALUE"""),"Pós-Graduação em Psicanálise - Pós-Graduação em Psicanálise - Saara vieira de Souza Bastos - Narcisismo e a Cultura da Indiferença – 40H - Nota Máxima: 7")</f>
        <v>Pós-Graduação em Psicanálise - Pós-Graduação em Psicanálise - Saara vieira de Souza Bastos - Narcisismo e a Cultura da Indiferença – 40H - Nota Máxima: 7</v>
      </c>
    </row>
    <row r="8418">
      <c r="A8418" s="390" t="str">
        <f>IFERROR(__xludf.DUMMYFUNCTION("""COMPUTED_VALUE"""),"Pós-Graduação em Psicanálise - Pós-Graduação em Psicanálise - Saara vieira de Souza Bastos - O Aparelho psíquico, aspectos clínicos e Teóricos – 40H - Nota Máxima: 8")</f>
        <v>Pós-Graduação em Psicanálise - Pós-Graduação em Psicanálise - Saara vieira de Souza Bastos - O Aparelho psíquico, aspectos clínicos e Teóricos – 40H - Nota Máxima: 8</v>
      </c>
    </row>
    <row r="8419">
      <c r="A8419" s="390" t="str">
        <f>IFERROR(__xludf.DUMMYFUNCTION("""COMPUTED_VALUE"""),"Pós-Graduação em Psicanálise - Pós-Graduação em Psicanálise - Saara vieira de Souza Bastos - O Método Psicanalítico – 50H - Nota Máxima: 9")</f>
        <v>Pós-Graduação em Psicanálise - Pós-Graduação em Psicanálise - Saara vieira de Souza Bastos - O Método Psicanalítico – 50H - Nota Máxima: 9</v>
      </c>
    </row>
    <row r="8420">
      <c r="A8420" s="390" t="str">
        <f>IFERROR(__xludf.DUMMYFUNCTION("""COMPUTED_VALUE"""),"Pós-Graduação em Psicanálise - Pós-Graduação em Psicanálise - Saara vieira de Souza Bastos - Práticas e Procedimentos em Clínica – 30H - Nota Máxima: 6")</f>
        <v>Pós-Graduação em Psicanálise - Pós-Graduação em Psicanálise - Saara vieira de Souza Bastos - Práticas e Procedimentos em Clínica – 30H - Nota Máxima: 6</v>
      </c>
    </row>
    <row r="8421">
      <c r="A8421" s="390" t="str">
        <f>IFERROR(__xludf.DUMMYFUNCTION("""COMPUTED_VALUE"""),"Pós-Graduação em Psicanálise - Pós-Graduação em Psicanálise - Saara vieira de Souza Bastos - Psicanálise da Criança e do Adolescente – 40H - Nota Máxima: 9")</f>
        <v>Pós-Graduação em Psicanálise - Pós-Graduação em Psicanálise - Saara vieira de Souza Bastos - Psicanálise da Criança e do Adolescente – 40H - Nota Máxima: 9</v>
      </c>
    </row>
    <row r="8422">
      <c r="A8422" s="390" t="str">
        <f>IFERROR(__xludf.DUMMYFUNCTION("""COMPUTED_VALUE"""),"Pós-Graduação em Psicanálise - Pós-Graduação em Psicanálise - Saara vieira de Souza Bastos - Psicopatologias I – 40H - Nota Máxima: 6")</f>
        <v>Pós-Graduação em Psicanálise - Pós-Graduação em Psicanálise - Saara vieira de Souza Bastos - Psicopatologias I – 40H - Nota Máxima: 6</v>
      </c>
    </row>
    <row r="8423">
      <c r="A8423" s="390" t="str">
        <f>IFERROR(__xludf.DUMMYFUNCTION("""COMPUTED_VALUE"""),"Pós-Graduação em Psicanálise - Pós-Graduação em Psicanálise - Saara vieira de Souza Bastos - Psicopatologias II – 50H - Nota Máxima: 8")</f>
        <v>Pós-Graduação em Psicanálise - Pós-Graduação em Psicanálise - Saara vieira de Souza Bastos - Psicopatologias II – 50H - Nota Máxima: 8</v>
      </c>
    </row>
    <row r="8424">
      <c r="A8424" s="390" t="str">
        <f>IFERROR(__xludf.DUMMYFUNCTION("""COMPUTED_VALUE"""),"Pós-Graduação em Psicanálise - Pós-Graduação em Psicanálise - Saara vieira de Souza Bastos - Sonhos, Simbologia e Representação – 50H - Nota Máxima: 6")</f>
        <v>Pós-Graduação em Psicanálise - Pós-Graduação em Psicanálise - Saara vieira de Souza Bastos - Sonhos, Simbologia e Representação – 50H - Nota Máxima: 6</v>
      </c>
    </row>
    <row r="8425">
      <c r="A8425" s="390" t="str">
        <f>IFERROR(__xludf.DUMMYFUNCTION("""COMPUTED_VALUE"""),"Pós-Graduação em Psicanálise - Pós-Graduação em Psicanálise - Saara vieira de Souza Bastos - Tópicos Avançados em Clínica – 40H - Nota Máxima: 3")</f>
        <v>Pós-Graduação em Psicanálise - Pós-Graduação em Psicanálise - Saara vieira de Souza Bastos - Tópicos Avançados em Clínica – 40H - Nota Máxima: 3</v>
      </c>
    </row>
    <row r="8426">
      <c r="A8426" s="390" t="str">
        <f>IFERROR(__xludf.DUMMYFUNCTION("""COMPUTED_VALUE"""),"Pós-Graduação em Psicanálise - Pós-Graduação em Psicanálise - Ana Rosa Ribeiro da Silva - Introdução à EAD - 30H - Nota Máxima: 10")</f>
        <v>Pós-Graduação em Psicanálise - Pós-Graduação em Psicanálise - Ana Rosa Ribeiro da Silva - Introdução à EAD - 30H - Nota Máxima: 10</v>
      </c>
    </row>
    <row r="8427">
      <c r="A8427" s="390" t="str">
        <f>IFERROR(__xludf.DUMMYFUNCTION("""COMPUTED_VALUE"""),"Pós-Graduação em Psicanálise - Pós-Graduação em Psicanálise - Ana Rosa Ribeiro da Silva - Introdução à EAD - 30H - Nota Máxima: 8")</f>
        <v>Pós-Graduação em Psicanálise - Pós-Graduação em Psicanálise - Ana Rosa Ribeiro da Silva - Introdução à EAD - 30H - Nota Máxima: 8</v>
      </c>
    </row>
    <row r="8428">
      <c r="A8428" s="390" t="str">
        <f>IFERROR(__xludf.DUMMYFUNCTION("""COMPUTED_VALUE"""),"Pós-Graduação em Psicanálise - Pós-Graduação em Psicanálise - Ana Rosa Ribeiro da Silva - O Aparelho psíquico, aspectos clínicos e Teóricos – 40H - Nota Máxima: 9")</f>
        <v>Pós-Graduação em Psicanálise - Pós-Graduação em Psicanálise - Ana Rosa Ribeiro da Silva - O Aparelho psíquico, aspectos clínicos e Teóricos – 40H - Nota Máxima: 9</v>
      </c>
    </row>
    <row r="8429">
      <c r="A8429" s="390" t="str">
        <f>IFERROR(__xludf.DUMMYFUNCTION("""COMPUTED_VALUE"""),"Pós-Graduação em Psicanálise - Pós-Graduação em Psicanálise - Ana Rosa Ribeiro da Silva - O Aparelho psíquico, aspectos clínicos e Teóricos – 40H - Nota Máxima: 8")</f>
        <v>Pós-Graduação em Psicanálise - Pós-Graduação em Psicanálise - Ana Rosa Ribeiro da Silva - O Aparelho psíquico, aspectos clínicos e Teóricos – 40H - Nota Máxima: 8</v>
      </c>
    </row>
    <row r="8430">
      <c r="A8430" s="390" t="str">
        <f>IFERROR(__xludf.DUMMYFUNCTION("""COMPUTED_VALUE"""),"Pós-Graduação em Psicanálise - Pós-Graduação em Psicanálise - Ana Rosa Ribeiro da Silva - O Método Psicanalítico – 50H - Nota Máxima: 8")</f>
        <v>Pós-Graduação em Psicanálise - Pós-Graduação em Psicanálise - Ana Rosa Ribeiro da Silva - O Método Psicanalítico – 50H - Nota Máxima: 8</v>
      </c>
    </row>
    <row r="8431">
      <c r="A8431" s="390" t="str">
        <f>IFERROR(__xludf.DUMMYFUNCTION("""COMPUTED_VALUE"""),"Pós-Graduação em Psicanálise - Pós-Graduação em Psicanálise - Ana Rosa Ribeiro da Silva - Psicanálise II – 50H - Nota Máxima: 9")</f>
        <v>Pós-Graduação em Psicanálise - Pós-Graduação em Psicanálise - Ana Rosa Ribeiro da Silva - Psicanálise II – 50H - Nota Máxima: 9</v>
      </c>
    </row>
    <row r="8432">
      <c r="A8432" s="390" t="str">
        <f>IFERROR(__xludf.DUMMYFUNCTION("""COMPUTED_VALUE"""),"Pós-Graduação em Psicanálise - Pós-Graduação em Psicanálise - Ana Rosa Ribeiro da Silva - Psicopatologias I – 40H - Nota Máxima: 9")</f>
        <v>Pós-Graduação em Psicanálise - Pós-Graduação em Psicanálise - Ana Rosa Ribeiro da Silva - Psicopatologias I – 40H - Nota Máxima: 9</v>
      </c>
    </row>
    <row r="8433">
      <c r="A8433" s="390" t="str">
        <f>IFERROR(__xludf.DUMMYFUNCTION("""COMPUTED_VALUE"""),"Pós-Graduação em Psicanálise - Pós-Graduação em Psicanálise - Ana Rosa Ribeiro da Silva - Psicopatologias II – 50H - Nota Máxima: 10")</f>
        <v>Pós-Graduação em Psicanálise - Pós-Graduação em Psicanálise - Ana Rosa Ribeiro da Silva - Psicopatologias II – 50H - Nota Máxima: 10</v>
      </c>
    </row>
    <row r="8434">
      <c r="A8434" s="390" t="str">
        <f>IFERROR(__xludf.DUMMYFUNCTION("""COMPUTED_VALUE"""),"Pós-Graduação em Psicanálise - Pós-Graduação em Psicanálise - Ana Rosa Ribeiro da Silva - Psicopatologias II – 50H - Nota Máxima: 7")</f>
        <v>Pós-Graduação em Psicanálise - Pós-Graduação em Psicanálise - Ana Rosa Ribeiro da Silva - Psicopatologias II – 50H - Nota Máxima: 7</v>
      </c>
    </row>
    <row r="8435">
      <c r="A8435" s="390" t="str">
        <f>IFERROR(__xludf.DUMMYFUNCTION("""COMPUTED_VALUE"""),"Pós-Graduação em Psicanálise - Pós-Graduação em Psicanálise - Ana Rosa Ribeiro da Silva - Sonhos, Simbologia e Representação – 50H - Nota Máxima: 10")</f>
        <v>Pós-Graduação em Psicanálise - Pós-Graduação em Psicanálise - Ana Rosa Ribeiro da Silva - Sonhos, Simbologia e Representação – 50H - Nota Máxima: 10</v>
      </c>
    </row>
    <row r="8436">
      <c r="A8436" s="390" t="str">
        <f>IFERROR(__xludf.DUMMYFUNCTION("""COMPUTED_VALUE"""),"Pós-Graduação em Psicanálise - Pós-Graduação em Psicanálise - Ana Rosa Ribeiro da Silva - Sonhos, Simbologia e Representação – 50H - Nota Máxima: 5")</f>
        <v>Pós-Graduação em Psicanálise - Pós-Graduação em Psicanálise - Ana Rosa Ribeiro da Silva - Sonhos, Simbologia e Representação – 50H - Nota Máxima: 5</v>
      </c>
    </row>
    <row r="8437">
      <c r="A8437" s="390" t="str">
        <f>IFERROR(__xludf.DUMMYFUNCTION("""COMPUTED_VALUE"""),"Pós-Graduação em Psicanálise - Pós-Graduação em Psicanálise - Ana Rosa Ribeiro da Silva - Tópicos Avançados em Clínica – 40H - Nota Máxima: 10")</f>
        <v>Pós-Graduação em Psicanálise - Pós-Graduação em Psicanálise - Ana Rosa Ribeiro da Silva - Tópicos Avançados em Clínica – 40H - Nota Máxima: 10</v>
      </c>
    </row>
    <row r="8438">
      <c r="A8438" s="390" t="str">
        <f>IFERROR(__xludf.DUMMYFUNCTION("""COMPUTED_VALUE"""),"Pós-Graduação em Psicanálise - Pós-Graduação em Psicanálise - Ana Rosa Ribeiro da Silva - Tópicos Avançados em Clínica – 40H - Nota Máxima: 8")</f>
        <v>Pós-Graduação em Psicanálise - Pós-Graduação em Psicanálise - Ana Rosa Ribeiro da Silva - Tópicos Avançados em Clínica – 40H - Nota Máxima: 8</v>
      </c>
    </row>
    <row r="8439">
      <c r="A8439" s="390" t="str">
        <f>IFERROR(__xludf.DUMMYFUNCTION("""COMPUTED_VALUE"""),"Pós-Graduação em Psicanálise - Pós-Graduação em Psicanálise - Ana Rosa Ribeiro da Silva - Tópicos Avançados em Sexualidade – 40H - Nota Máxima: 8")</f>
        <v>Pós-Graduação em Psicanálise - Pós-Graduação em Psicanálise - Ana Rosa Ribeiro da Silva - Tópicos Avançados em Sexualidade – 40H - Nota Máxima: 8</v>
      </c>
    </row>
    <row r="8440">
      <c r="A8440" s="390" t="str">
        <f>IFERROR(__xludf.DUMMYFUNCTION("""COMPUTED_VALUE"""),"Pós-Graduação em Psicanálise - Pós-Graduação em Psicanálise - Ana Rosa Ribeiro da Silva - Tópicos Avançados em Sexualidade – 40H - Nota Máxima: 4")</f>
        <v>Pós-Graduação em Psicanálise - Pós-Graduação em Psicanálise - Ana Rosa Ribeiro da Silva - Tópicos Avançados em Sexualidade – 40H - Nota Máxima: 4</v>
      </c>
    </row>
    <row r="8441">
      <c r="A8441" s="390" t="str">
        <f>IFERROR(__xludf.DUMMYFUNCTION("""COMPUTED_VALUE"""),"Pós-Graduação em Psicanálise - Pós-Graduação em Psicanálise - Jaciana Alves Santana - Complexo de Édipo e Castração - Nota Máxima: 9")</f>
        <v>Pós-Graduação em Psicanálise - Pós-Graduação em Psicanálise - Jaciana Alves Santana - Complexo de Édipo e Castração - Nota Máxima: 9</v>
      </c>
    </row>
    <row r="8442">
      <c r="A8442" s="390" t="str">
        <f>IFERROR(__xludf.DUMMYFUNCTION("""COMPUTED_VALUE"""),"Pós-Graduação em Psicanálise - Pós-Graduação em Psicanálise - Jaciana Alves Santana - Complexo de Édipo e Castração - Nota Máxima: 8")</f>
        <v>Pós-Graduação em Psicanálise - Pós-Graduação em Psicanálise - Jaciana Alves Santana - Complexo de Édipo e Castração - Nota Máxima: 8</v>
      </c>
    </row>
    <row r="8443">
      <c r="A8443" s="390" t="str">
        <f>IFERROR(__xludf.DUMMYFUNCTION("""COMPUTED_VALUE"""),"Pós-Graduação em Psicanálise - Pós-Graduação em Psicanálise - Jaciana Alves Santana - Educação Especial, Inclusão Escolar e Adaptações Curriculares - Nota Máxima: 9")</f>
        <v>Pós-Graduação em Psicanálise - Pós-Graduação em Psicanálise - Jaciana Alves Santana - Educação Especial, Inclusão Escolar e Adaptações Curriculares - Nota Máxima: 9</v>
      </c>
    </row>
    <row r="8444">
      <c r="A8444" s="390" t="str">
        <f>IFERROR(__xludf.DUMMYFUNCTION("""COMPUTED_VALUE"""),"Pós-Graduação em Psicanálise - Pós-Graduação em Psicanálise - Jaciana Alves Santana - Educação Especial, Inclusão Escolar e Adaptações Curriculares - Nota Máxima: 9")</f>
        <v>Pós-Graduação em Psicanálise - Pós-Graduação em Psicanálise - Jaciana Alves Santana - Educação Especial, Inclusão Escolar e Adaptações Curriculares - Nota Máxima: 9</v>
      </c>
    </row>
    <row r="8445">
      <c r="A8445" s="390" t="str">
        <f>IFERROR(__xludf.DUMMYFUNCTION("""COMPUTED_VALUE"""),"Pós-Graduação em Psicanálise - Pós-Graduação em Psicanálise - Jaciana Alves Santana - Formação e Ética do Psicanalista – 30H - Nota Máxima: 9")</f>
        <v>Pós-Graduação em Psicanálise - Pós-Graduação em Psicanálise - Jaciana Alves Santana - Formação e Ética do Psicanalista – 30H - Nota Máxima: 9</v>
      </c>
    </row>
    <row r="8446">
      <c r="A8446" s="390" t="str">
        <f>IFERROR(__xludf.DUMMYFUNCTION("""COMPUTED_VALUE"""),"Pós-Graduação em Psicanálise - Pós-Graduação em Psicanálise - Jaciana Alves Santana - Formação e Ética do Psicanalista – 30H - Nota Máxima: 9")</f>
        <v>Pós-Graduação em Psicanálise - Pós-Graduação em Psicanálise - Jaciana Alves Santana - Formação e Ética do Psicanalista – 30H - Nota Máxima: 9</v>
      </c>
    </row>
    <row r="8447">
      <c r="A8447" s="390" t="str">
        <f>IFERROR(__xludf.DUMMYFUNCTION("""COMPUTED_VALUE"""),"Pós-Graduação em Psicanálise - Pós-Graduação em Psicanálise - Jaciana Alves Santana - Introdução à Psicanálise – 40H - Nota Máxima: 8")</f>
        <v>Pós-Graduação em Psicanálise - Pós-Graduação em Psicanálise - Jaciana Alves Santana - Introdução à Psicanálise – 40H - Nota Máxima: 8</v>
      </c>
    </row>
    <row r="8448">
      <c r="A8448" s="390" t="str">
        <f>IFERROR(__xludf.DUMMYFUNCTION("""COMPUTED_VALUE"""),"Pós-Graduação em Psicanálise - Pós-Graduação em Psicanálise - Jaciana Alves Santana - Legislação Educacional/a - Nota Máxima: 9")</f>
        <v>Pós-Graduação em Psicanálise - Pós-Graduação em Psicanálise - Jaciana Alves Santana - Legislação Educacional/a - Nota Máxima: 9</v>
      </c>
    </row>
    <row r="8449">
      <c r="A8449" s="390" t="str">
        <f>IFERROR(__xludf.DUMMYFUNCTION("""COMPUTED_VALUE"""),"Pós-Graduação em Psicanálise - Pós-Graduação em Psicanálise - Jaciana Alves Santana - Legislação Educacional/a - Nota Máxima: 8")</f>
        <v>Pós-Graduação em Psicanálise - Pós-Graduação em Psicanálise - Jaciana Alves Santana - Legislação Educacional/a - Nota Máxima: 8</v>
      </c>
    </row>
    <row r="8450">
      <c r="A8450" s="390" t="str">
        <f>IFERROR(__xludf.DUMMYFUNCTION("""COMPUTED_VALUE"""),"Pós-Graduação em Psicanálise - Pós-Graduação em Psicanálise - Jaciana Alves Santana - Libido, Pulsões e Sexualidade – 50H - Nota Máxima: 9")</f>
        <v>Pós-Graduação em Psicanálise - Pós-Graduação em Psicanálise - Jaciana Alves Santana - Libido, Pulsões e Sexualidade – 50H - Nota Máxima: 9</v>
      </c>
    </row>
    <row r="8451">
      <c r="A8451" s="390" t="str">
        <f>IFERROR(__xludf.DUMMYFUNCTION("""COMPUTED_VALUE"""),"Pós-Graduação em Psicanálise - Pós-Graduação em Psicanálise - Jaciana Alves Santana - Narcisismo e a Cultura da Indiferença – 40H - Nota Máxima: 7")</f>
        <v>Pós-Graduação em Psicanálise - Pós-Graduação em Psicanálise - Jaciana Alves Santana - Narcisismo e a Cultura da Indiferença – 40H - Nota Máxima: 7</v>
      </c>
    </row>
    <row r="8452">
      <c r="A8452" s="390" t="str">
        <f>IFERROR(__xludf.DUMMYFUNCTION("""COMPUTED_VALUE"""),"Pós-Graduação em Psicanálise - Pós-Graduação em Psicanálise - Jaciana Alves Santana - Narcisismo e a Cultura da Indiferença – 40H - Nota Máxima: 8")</f>
        <v>Pós-Graduação em Psicanálise - Pós-Graduação em Psicanálise - Jaciana Alves Santana - Narcisismo e a Cultura da Indiferença – 40H - Nota Máxima: 8</v>
      </c>
    </row>
    <row r="8453">
      <c r="A8453" s="390" t="str">
        <f>IFERROR(__xludf.DUMMYFUNCTION("""COMPUTED_VALUE"""),"Pós-Graduação em Psicanálise - Pós-Graduação em Psicanálise - Jaciana Alves Santana - O Aparelho psíquico, aspectos clínicos e Teóricos – 40H - Nota Máxima: 8")</f>
        <v>Pós-Graduação em Psicanálise - Pós-Graduação em Psicanálise - Jaciana Alves Santana - O Aparelho psíquico, aspectos clínicos e Teóricos – 40H - Nota Máxima: 8</v>
      </c>
    </row>
    <row r="8454">
      <c r="A8454" s="390" t="str">
        <f>IFERROR(__xludf.DUMMYFUNCTION("""COMPUTED_VALUE"""),"Pós-Graduação em Psicanálise - Pós-Graduação em Psicanálise - Jaciana Alves Santana - Planejamento, Gestão Educacional e Currículo/a - Nota Máxima: 9")</f>
        <v>Pós-Graduação em Psicanálise - Pós-Graduação em Psicanálise - Jaciana Alves Santana - Planejamento, Gestão Educacional e Currículo/a - Nota Máxima: 9</v>
      </c>
    </row>
    <row r="8455">
      <c r="A8455" s="390" t="str">
        <f>IFERROR(__xludf.DUMMYFUNCTION("""COMPUTED_VALUE"""),"Pós-Graduação em Psicanálise - Pós-Graduação em Psicanálise - Jaciana Alves Santana - Planejamento, Gestão Educacional e Currículo/a - Nota Máxima: 9")</f>
        <v>Pós-Graduação em Psicanálise - Pós-Graduação em Psicanálise - Jaciana Alves Santana - Planejamento, Gestão Educacional e Currículo/a - Nota Máxima: 9</v>
      </c>
    </row>
    <row r="8456">
      <c r="A8456" s="390" t="str">
        <f>IFERROR(__xludf.DUMMYFUNCTION("""COMPUTED_VALUE"""),"Pós-Graduação em Psicanálise - Pós-Graduação em Psicanálise - Jaciana Alves Santana - Tópicos Avançados em Clínica – 40H - Nota Máxima: 8")</f>
        <v>Pós-Graduação em Psicanálise - Pós-Graduação em Psicanálise - Jaciana Alves Santana - Tópicos Avançados em Clínica – 40H - Nota Máxima: 8</v>
      </c>
    </row>
    <row r="8457">
      <c r="A8457" s="390" t="str">
        <f>IFERROR(__xludf.DUMMYFUNCTION("""COMPUTED_VALUE"""),"Pós-Graduação em Psicanálise - Pós-Graduação em Psicanálise - Jaciana Alves Santana - Tópicos Avançados em Clínica – 40H - Nota Máxima: 8")</f>
        <v>Pós-Graduação em Psicanálise - Pós-Graduação em Psicanálise - Jaciana Alves Santana - Tópicos Avançados em Clínica – 40H - Nota Máxima: 8</v>
      </c>
    </row>
    <row r="8458">
      <c r="A8458" s="390" t="str">
        <f>IFERROR(__xludf.DUMMYFUNCTION("""COMPUTED_VALUE"""),"Pós-Graduação em Psicanálise - Pós-Graduação em Psicanálise - Jaciana Alves Santana - Tópicos Avançados em Sexualidade – 40H - Nota Máxima: 8")</f>
        <v>Pós-Graduação em Psicanálise - Pós-Graduação em Psicanálise - Jaciana Alves Santana - Tópicos Avançados em Sexualidade – 40H - Nota Máxima: 8</v>
      </c>
    </row>
    <row r="8459">
      <c r="A8459" s="390" t="str">
        <f>IFERROR(__xludf.DUMMYFUNCTION("""COMPUTED_VALUE"""),"Pós-Graduação em Psicanálise - Pós-Graduação em Psicanálise - Junia dos Santos - RADIANTE - Complexo de Édipo e Castração - Nota Máxima: 5")</f>
        <v>Pós-Graduação em Psicanálise - Pós-Graduação em Psicanálise - Junia dos Santos - RADIANTE - Complexo de Édipo e Castração - Nota Máxima: 5</v>
      </c>
    </row>
    <row r="8460">
      <c r="A8460" s="390" t="str">
        <f>IFERROR(__xludf.DUMMYFUNCTION("""COMPUTED_VALUE"""),"Pós-Graduação em Psicanálise - Pós-Graduação em Psicanálise - Stephannie de Oliveira Wanderley Pinto de Souza - Complexo de Édipo e Castração - Nota Máxima: 8")</f>
        <v>Pós-Graduação em Psicanálise - Pós-Graduação em Psicanálise - Stephannie de Oliveira Wanderley Pinto de Souza - Complexo de Édipo e Castração - Nota Máxima: 8</v>
      </c>
    </row>
    <row r="8461">
      <c r="A8461" s="390" t="str">
        <f>IFERROR(__xludf.DUMMYFUNCTION("""COMPUTED_VALUE"""),"Pós-Graduação em Psicanálise - Pós-Graduação em Psicanálise - Stephannie de Oliveira Wanderley Pinto de Souza - Complexo de Édipo e Castração - Nota Máxima: 5")</f>
        <v>Pós-Graduação em Psicanálise - Pós-Graduação em Psicanálise - Stephannie de Oliveira Wanderley Pinto de Souza - Complexo de Édipo e Castração - Nota Máxima: 5</v>
      </c>
    </row>
    <row r="8462">
      <c r="A8462" s="390" t="str">
        <f>IFERROR(__xludf.DUMMYFUNCTION("""COMPUTED_VALUE"""),"Pós-Graduação em Psicanálise - Pós-Graduação em Psicanálise - Stephannie de Oliveira Wanderley Pinto de Souza - Formação e Ética do Psicanalista – 30H - Nota Máxima: 9")</f>
        <v>Pós-Graduação em Psicanálise - Pós-Graduação em Psicanálise - Stephannie de Oliveira Wanderley Pinto de Souza - Formação e Ética do Psicanalista – 30H - Nota Máxima: 9</v>
      </c>
    </row>
    <row r="8463">
      <c r="A8463" s="390" t="str">
        <f>IFERROR(__xludf.DUMMYFUNCTION("""COMPUTED_VALUE"""),"Pós-Graduação em Psicanálise - Pós-Graduação em Psicanálise - Stephannie de Oliveira Wanderley Pinto de Souza - Introdução à EAD - 30H - Nota Máxima: 9")</f>
        <v>Pós-Graduação em Psicanálise - Pós-Graduação em Psicanálise - Stephannie de Oliveira Wanderley Pinto de Souza - Introdução à EAD - 30H - Nota Máxima: 9</v>
      </c>
    </row>
    <row r="8464">
      <c r="A8464" s="390" t="str">
        <f>IFERROR(__xludf.DUMMYFUNCTION("""COMPUTED_VALUE"""),"Pós-Graduação em Psicanálise - Pós-Graduação em Psicanálise - Stephannie de Oliveira Wanderley Pinto de Souza - Introdução à Psicanálise – 40H - Nota Máxima: 8")</f>
        <v>Pós-Graduação em Psicanálise - Pós-Graduação em Psicanálise - Stephannie de Oliveira Wanderley Pinto de Souza - Introdução à Psicanálise – 40H - Nota Máxima: 8</v>
      </c>
    </row>
    <row r="8465">
      <c r="A8465" s="390" t="str">
        <f>IFERROR(__xludf.DUMMYFUNCTION("""COMPUTED_VALUE"""),"Pós-Graduação em Psicanálise - Pós-Graduação em Psicanálise - Stephannie de Oliveira Wanderley Pinto de Souza - Introdução à Psicanálise – 40H - Nota Máxima: 7")</f>
        <v>Pós-Graduação em Psicanálise - Pós-Graduação em Psicanálise - Stephannie de Oliveira Wanderley Pinto de Souza - Introdução à Psicanálise – 40H - Nota Máxima: 7</v>
      </c>
    </row>
    <row r="8466">
      <c r="A8466" s="390" t="str">
        <f>IFERROR(__xludf.DUMMYFUNCTION("""COMPUTED_VALUE"""),"Pós-Graduação em Psicanálise - Pós-Graduação em Psicanálise - Stephannie de Oliveira Wanderley Pinto de Souza - Libido, Pulsões e Sexualidade – 50H - Nota Máxima: 9")</f>
        <v>Pós-Graduação em Psicanálise - Pós-Graduação em Psicanálise - Stephannie de Oliveira Wanderley Pinto de Souza - Libido, Pulsões e Sexualidade – 50H - Nota Máxima: 9</v>
      </c>
    </row>
    <row r="8467">
      <c r="A8467" s="390" t="str">
        <f>IFERROR(__xludf.DUMMYFUNCTION("""COMPUTED_VALUE"""),"Pós-Graduação em Psicanálise - Pós-Graduação em Psicanálise - Stephannie de Oliveira Wanderley Pinto de Souza - Libido, Pulsões e Sexualidade – 50H - Nota Máxima: 4")</f>
        <v>Pós-Graduação em Psicanálise - Pós-Graduação em Psicanálise - Stephannie de Oliveira Wanderley Pinto de Souza - Libido, Pulsões e Sexualidade – 50H - Nota Máxima: 4</v>
      </c>
    </row>
    <row r="8468">
      <c r="A8468" s="390" t="str">
        <f>IFERROR(__xludf.DUMMYFUNCTION("""COMPUTED_VALUE"""),"Pós-Graduação em Psicanálise - Pós-Graduação em Psicanálise - Stephannie de Oliveira Wanderley Pinto de Souza - Narcisismo e a Cultura da Indiferença – 40H - Nota Máxima: 9")</f>
        <v>Pós-Graduação em Psicanálise - Pós-Graduação em Psicanálise - Stephannie de Oliveira Wanderley Pinto de Souza - Narcisismo e a Cultura da Indiferença – 40H - Nota Máxima: 9</v>
      </c>
    </row>
    <row r="8469">
      <c r="A8469" s="390" t="str">
        <f>IFERROR(__xludf.DUMMYFUNCTION("""COMPUTED_VALUE"""),"Pós-Graduação em Psicanálise - Pós-Graduação em Psicanálise - Stephannie de Oliveira Wanderley Pinto de Souza - Narcisismo e a Cultura da Indiferença – 40H - Nota Máxima: 6")</f>
        <v>Pós-Graduação em Psicanálise - Pós-Graduação em Psicanálise - Stephannie de Oliveira Wanderley Pinto de Souza - Narcisismo e a Cultura da Indiferença – 40H - Nota Máxima: 6</v>
      </c>
    </row>
    <row r="8470">
      <c r="A8470" s="390" t="str">
        <f>IFERROR(__xludf.DUMMYFUNCTION("""COMPUTED_VALUE"""),"Pós-Graduação em Psicanálise - Pós-Graduação em Psicanálise - Stephannie de Oliveira Wanderley Pinto de Souza - O Aparelho psíquico, aspectos clínicos e Teóricos – 40H - Nota Máxima: 9")</f>
        <v>Pós-Graduação em Psicanálise - Pós-Graduação em Psicanálise - Stephannie de Oliveira Wanderley Pinto de Souza - O Aparelho psíquico, aspectos clínicos e Teóricos – 40H - Nota Máxima: 9</v>
      </c>
    </row>
    <row r="8471">
      <c r="A8471" s="390" t="str">
        <f>IFERROR(__xludf.DUMMYFUNCTION("""COMPUTED_VALUE"""),"Pós-Graduação em Psicanálise - Pós-Graduação em Psicanálise - Stephannie de Oliveira Wanderley Pinto de Souza - O Aparelho psíquico, aspectos clínicos e Teóricos – 40H - Nota Máxima: 6")</f>
        <v>Pós-Graduação em Psicanálise - Pós-Graduação em Psicanálise - Stephannie de Oliveira Wanderley Pinto de Souza - O Aparelho psíquico, aspectos clínicos e Teóricos – 40H - Nota Máxima: 6</v>
      </c>
    </row>
    <row r="8472">
      <c r="A8472" s="390" t="str">
        <f>IFERROR(__xludf.DUMMYFUNCTION("""COMPUTED_VALUE"""),"Pós-Graduação em Psicanálise - Pós-Graduação em Psicanálise - Stephannie de Oliveira Wanderley Pinto de Souza - O Método Psicanalítico – 50H - Nota Máxima: 10")</f>
        <v>Pós-Graduação em Psicanálise - Pós-Graduação em Psicanálise - Stephannie de Oliveira Wanderley Pinto de Souza - O Método Psicanalítico – 50H - Nota Máxima: 10</v>
      </c>
    </row>
    <row r="8473">
      <c r="A8473" s="390" t="str">
        <f>IFERROR(__xludf.DUMMYFUNCTION("""COMPUTED_VALUE"""),"Pós-Graduação em Psicanálise - Pós-Graduação em Psicanálise - Stephannie de Oliveira Wanderley Pinto de Souza - O Método Psicanalítico – 50H - Nota Máxima: 10")</f>
        <v>Pós-Graduação em Psicanálise - Pós-Graduação em Psicanálise - Stephannie de Oliveira Wanderley Pinto de Souza - O Método Psicanalítico – 50H - Nota Máxima: 10</v>
      </c>
    </row>
    <row r="8474">
      <c r="A8474" s="390" t="str">
        <f>IFERROR(__xludf.DUMMYFUNCTION("""COMPUTED_VALUE"""),"Pós-Graduação em Psicanálise - Pós-Graduação em Psicanálise - Stephannie de Oliveira Wanderley Pinto de Souza - Práticas e Procedimentos em Clínica – 30H - Nota Máxima: 10")</f>
        <v>Pós-Graduação em Psicanálise - Pós-Graduação em Psicanálise - Stephannie de Oliveira Wanderley Pinto de Souza - Práticas e Procedimentos em Clínica – 30H - Nota Máxima: 10</v>
      </c>
    </row>
    <row r="8475">
      <c r="A8475" s="390" t="str">
        <f>IFERROR(__xludf.DUMMYFUNCTION("""COMPUTED_VALUE"""),"Pós-Graduação em Psicanálise - Pós-Graduação em Psicanálise - Stephannie de Oliveira Wanderley Pinto de Souza - Práticas e Procedimentos em Clínica – 30H - Nota Máxima: 7")</f>
        <v>Pós-Graduação em Psicanálise - Pós-Graduação em Psicanálise - Stephannie de Oliveira Wanderley Pinto de Souza - Práticas e Procedimentos em Clínica – 30H - Nota Máxima: 7</v>
      </c>
    </row>
    <row r="8476">
      <c r="A8476" s="390" t="str">
        <f>IFERROR(__xludf.DUMMYFUNCTION("""COMPUTED_VALUE"""),"Pós-Graduação em Psicanálise - Pós-Graduação em Psicanálise - Stephannie de Oliveira Wanderley Pinto de Souza - Processos de Transferência e Resistência – 30H - Nota Máxima: 10")</f>
        <v>Pós-Graduação em Psicanálise - Pós-Graduação em Psicanálise - Stephannie de Oliveira Wanderley Pinto de Souza - Processos de Transferência e Resistência – 30H - Nota Máxima: 10</v>
      </c>
    </row>
    <row r="8477">
      <c r="A8477" s="390" t="str">
        <f>IFERROR(__xludf.DUMMYFUNCTION("""COMPUTED_VALUE"""),"Pós-Graduação em Psicanálise - Pós-Graduação em Psicanálise - Stephannie de Oliveira Wanderley Pinto de Souza - Psicanálise da Criança e do Adolescente – 40H - Nota Máxima: 10")</f>
        <v>Pós-Graduação em Psicanálise - Pós-Graduação em Psicanálise - Stephannie de Oliveira Wanderley Pinto de Souza - Psicanálise da Criança e do Adolescente – 40H - Nota Máxima: 10</v>
      </c>
    </row>
    <row r="8478">
      <c r="A8478" s="390" t="str">
        <f>IFERROR(__xludf.DUMMYFUNCTION("""COMPUTED_VALUE"""),"Pós-Graduação em Psicanálise - Pós-Graduação em Psicanálise - Stephannie de Oliveira Wanderley Pinto de Souza - Psicanálise da Criança e do Adolescente – 40H - Nota Máxima: 7")</f>
        <v>Pós-Graduação em Psicanálise - Pós-Graduação em Psicanálise - Stephannie de Oliveira Wanderley Pinto de Souza - Psicanálise da Criança e do Adolescente – 40H - Nota Máxima: 7</v>
      </c>
    </row>
    <row r="8479">
      <c r="A8479" s="390" t="str">
        <f>IFERROR(__xludf.DUMMYFUNCTION("""COMPUTED_VALUE"""),"Pós-Graduação em Psicanálise - Pós-Graduação em Psicanálise - Stephannie de Oliveira Wanderley Pinto de Souza - Psicanálise II – 50H - Nota Máxima: 9")</f>
        <v>Pós-Graduação em Psicanálise - Pós-Graduação em Psicanálise - Stephannie de Oliveira Wanderley Pinto de Souza - Psicanálise II – 50H - Nota Máxima: 9</v>
      </c>
    </row>
    <row r="8480">
      <c r="A8480" s="390" t="str">
        <f>IFERROR(__xludf.DUMMYFUNCTION("""COMPUTED_VALUE"""),"Pós-Graduação em Psicanálise - Pós-Graduação em Psicanálise - Stephannie de Oliveira Wanderley Pinto de Souza - Psicanálise II – 50H - Nota Máxima: 3")</f>
        <v>Pós-Graduação em Psicanálise - Pós-Graduação em Psicanálise - Stephannie de Oliveira Wanderley Pinto de Souza - Psicanálise II – 50H - Nota Máxima: 3</v>
      </c>
    </row>
    <row r="8481">
      <c r="A8481" s="390" t="str">
        <f>IFERROR(__xludf.DUMMYFUNCTION("""COMPUTED_VALUE"""),"Pós-Graduação em Psicanálise - Pós-Graduação em Psicanálise - Stephannie de Oliveira Wanderley Pinto de Souza - Psicopatologias I – 40H - Nota Máxima: 10")</f>
        <v>Pós-Graduação em Psicanálise - Pós-Graduação em Psicanálise - Stephannie de Oliveira Wanderley Pinto de Souza - Psicopatologias I – 40H - Nota Máxima: 10</v>
      </c>
    </row>
    <row r="8482">
      <c r="A8482" s="390" t="str">
        <f>IFERROR(__xludf.DUMMYFUNCTION("""COMPUTED_VALUE"""),"Pós-Graduação em Psicanálise - Pós-Graduação em Psicanálise - Stephannie de Oliveira Wanderley Pinto de Souza - Psicopatologias I – 40H - Nota Máxima: 7")</f>
        <v>Pós-Graduação em Psicanálise - Pós-Graduação em Psicanálise - Stephannie de Oliveira Wanderley Pinto de Souza - Psicopatologias I – 40H - Nota Máxima: 7</v>
      </c>
    </row>
    <row r="8483">
      <c r="A8483" s="390" t="str">
        <f>IFERROR(__xludf.DUMMYFUNCTION("""COMPUTED_VALUE"""),"Pós-Graduação em Psicanálise - Pós-Graduação em Psicanálise - Stephannie de Oliveira Wanderley Pinto de Souza - Psicopatologias II – 50H - Nota Máxima: 9")</f>
        <v>Pós-Graduação em Psicanálise - Pós-Graduação em Psicanálise - Stephannie de Oliveira Wanderley Pinto de Souza - Psicopatologias II – 50H - Nota Máxima: 9</v>
      </c>
    </row>
    <row r="8484">
      <c r="A8484" s="390" t="str">
        <f>IFERROR(__xludf.DUMMYFUNCTION("""COMPUTED_VALUE"""),"Pós-Graduação em Psicanálise - Pós-Graduação em Psicanálise - Stephannie de Oliveira Wanderley Pinto de Souza - Psicopatologias II – 50H - Nota Máxima: 6")</f>
        <v>Pós-Graduação em Psicanálise - Pós-Graduação em Psicanálise - Stephannie de Oliveira Wanderley Pinto de Souza - Psicopatologias II – 50H - Nota Máxima: 6</v>
      </c>
    </row>
    <row r="8485">
      <c r="A8485" s="390" t="str">
        <f>IFERROR(__xludf.DUMMYFUNCTION("""COMPUTED_VALUE"""),"Pós-Graduação em Psicanálise - Pós-Graduação em Psicanálise - Stephannie de Oliveira Wanderley Pinto de Souza - Sonhos, Simbologia e Representação – 50H - Nota Máxima: 10")</f>
        <v>Pós-Graduação em Psicanálise - Pós-Graduação em Psicanálise - Stephannie de Oliveira Wanderley Pinto de Souza - Sonhos, Simbologia e Representação – 50H - Nota Máxima: 10</v>
      </c>
    </row>
    <row r="8486">
      <c r="A8486" s="390" t="str">
        <f>IFERROR(__xludf.DUMMYFUNCTION("""COMPUTED_VALUE"""),"Pós-Graduação em Psicanálise - Pós-Graduação em Psicanálise - Stephannie de Oliveira Wanderley Pinto de Souza - Sonhos, Simbologia e Representação – 50H - Nota Máxima: 8")</f>
        <v>Pós-Graduação em Psicanálise - Pós-Graduação em Psicanálise - Stephannie de Oliveira Wanderley Pinto de Souza - Sonhos, Simbologia e Representação – 50H - Nota Máxima: 8</v>
      </c>
    </row>
    <row r="8487">
      <c r="A8487" s="390" t="str">
        <f>IFERROR(__xludf.DUMMYFUNCTION("""COMPUTED_VALUE"""),"Pós-Graduação em Psicanálise - Pós-Graduação em Psicanálise - Stephannie de Oliveira Wanderley Pinto de Souza - Tópicos Avançados em Clínica – 40H - Nota Máxima: 10")</f>
        <v>Pós-Graduação em Psicanálise - Pós-Graduação em Psicanálise - Stephannie de Oliveira Wanderley Pinto de Souza - Tópicos Avançados em Clínica – 40H - Nota Máxima: 10</v>
      </c>
    </row>
    <row r="8488">
      <c r="A8488" s="390" t="str">
        <f>IFERROR(__xludf.DUMMYFUNCTION("""COMPUTED_VALUE"""),"Pós-Graduação em Psicanálise - Pós-Graduação em Psicanálise - Stephannie de Oliveira Wanderley Pinto de Souza - Tópicos Avançados em Clínica – 40H - Nota Máxima: 9")</f>
        <v>Pós-Graduação em Psicanálise - Pós-Graduação em Psicanálise - Stephannie de Oliveira Wanderley Pinto de Souza - Tópicos Avançados em Clínica – 40H - Nota Máxima: 9</v>
      </c>
    </row>
    <row r="8489">
      <c r="A8489" s="390" t="str">
        <f>IFERROR(__xludf.DUMMYFUNCTION("""COMPUTED_VALUE"""),"Pós-Graduação em Psicanálise - Pós-Graduação em Psicanálise - Stephannie de Oliveira Wanderley Pinto de Souza - Tópicos Avançados em Sexualidade – 40H - Nota Máxima: 10")</f>
        <v>Pós-Graduação em Psicanálise - Pós-Graduação em Psicanálise - Stephannie de Oliveira Wanderley Pinto de Souza - Tópicos Avançados em Sexualidade – 40H - Nota Máxima: 10</v>
      </c>
    </row>
    <row r="8490">
      <c r="A8490" s="390" t="str">
        <f>IFERROR(__xludf.DUMMYFUNCTION("""COMPUTED_VALUE"""),"Pós-Graduação em Psicanálise - Pós-Graduação em Psicanálise - Stephannie de Oliveira Wanderley Pinto de Souza - Tópicos Avançados em Sexualidade – 40H - Nota Máxima: 3")</f>
        <v>Pós-Graduação em Psicanálise - Pós-Graduação em Psicanálise - Stephannie de Oliveira Wanderley Pinto de Souza - Tópicos Avançados em Sexualidade – 40H - Nota Máxima: 3</v>
      </c>
    </row>
    <row r="8491">
      <c r="A8491" s="390" t="str">
        <f>IFERROR(__xludf.DUMMYFUNCTION("""COMPUTED_VALUE"""),"Pós-Graduação em Psicanálise - Pós-Graduação em Psicanálise - Aline Aparecida de Campos - Complexo de Édipo e Castração - Nota Máxima: 5")</f>
        <v>Pós-Graduação em Psicanálise - Pós-Graduação em Psicanálise - Aline Aparecida de Campos - Complexo de Édipo e Castração - Nota Máxima: 5</v>
      </c>
    </row>
    <row r="8492">
      <c r="A8492" s="390" t="str">
        <f>IFERROR(__xludf.DUMMYFUNCTION("""COMPUTED_VALUE"""),"Pós-Graduação em Psicanálise - Pós-Graduação em Psicanálise - Aline Aparecida de Campos - Planejamento, Gestão Educacional e Currículo/a - Nota Máxima: 8")</f>
        <v>Pós-Graduação em Psicanálise - Pós-Graduação em Psicanálise - Aline Aparecida de Campos - Planejamento, Gestão Educacional e Currículo/a - Nota Máxima: 8</v>
      </c>
    </row>
    <row r="8493">
      <c r="A8493" s="390" t="str">
        <f>IFERROR(__xludf.DUMMYFUNCTION("""COMPUTED_VALUE"""),"Pós-Graduação em Psicanálise - Pós-Graduação em Psicanálise - Aline Aparecida de Campos - Sonhos, Simbologia e Representação – 50H - Nota Máxima: 5")</f>
        <v>Pós-Graduação em Psicanálise - Pós-Graduação em Psicanálise - Aline Aparecida de Campos - Sonhos, Simbologia e Representação – 50H - Nota Máxima: 5</v>
      </c>
    </row>
    <row r="8494">
      <c r="A8494" s="390" t="str">
        <f>IFERROR(__xludf.DUMMYFUNCTION("""COMPUTED_VALUE"""),"Pós-Graduação em Psicanálise - Pós-Graduação em Psicanálise - Ecicleide maria da silva - Introdução à EAD - 30H - Nota Máxima: 10")</f>
        <v>Pós-Graduação em Psicanálise - Pós-Graduação em Psicanálise - Ecicleide maria da silva - Introdução à EAD - 30H - Nota Máxima: 10</v>
      </c>
    </row>
    <row r="8495">
      <c r="A8495" s="390" t="str">
        <f>IFERROR(__xludf.DUMMYFUNCTION("""COMPUTED_VALUE"""),"Pós-Graduação em Psicanálise - Pós-Graduação em Psicanálise - Ecicleide maria da silva - Introdução à EAD - 30H - Nota Máxima: 5")</f>
        <v>Pós-Graduação em Psicanálise - Pós-Graduação em Psicanálise - Ecicleide maria da silva - Introdução à EAD - 30H - Nota Máxima: 5</v>
      </c>
    </row>
    <row r="8496">
      <c r="A8496" s="390" t="str">
        <f>IFERROR(__xludf.DUMMYFUNCTION("""COMPUTED_VALUE"""),"Pós-Graduação em Psicanálise - Pós-Graduação em Psicanálise - Ecicleide maria da silva - Introdução à Psicanálise – 40H - Nota Máxima: 8")</f>
        <v>Pós-Graduação em Psicanálise - Pós-Graduação em Psicanálise - Ecicleide maria da silva - Introdução à Psicanálise – 40H - Nota Máxima: 8</v>
      </c>
    </row>
    <row r="8497">
      <c r="A8497" s="390" t="str">
        <f>IFERROR(__xludf.DUMMYFUNCTION("""COMPUTED_VALUE"""),"Pós-Graduação em Psicanálise - Pós-Graduação em Psicanálise - Ecicleide maria da silva - Libido, Pulsões e Sexualidade – 50H - Nota Máxima: 10")</f>
        <v>Pós-Graduação em Psicanálise - Pós-Graduação em Psicanálise - Ecicleide maria da silva - Libido, Pulsões e Sexualidade – 50H - Nota Máxima: 10</v>
      </c>
    </row>
    <row r="8498">
      <c r="A8498" s="390" t="str">
        <f>IFERROR(__xludf.DUMMYFUNCTION("""COMPUTED_VALUE"""),"Pós-Graduação em Psicanálise - Pós-Graduação em Psicanálise - Ecicleide maria da silva - Libido, Pulsões e Sexualidade – 50H - Nota Máxima: 3")</f>
        <v>Pós-Graduação em Psicanálise - Pós-Graduação em Psicanálise - Ecicleide maria da silva - Libido, Pulsões e Sexualidade – 50H - Nota Máxima: 3</v>
      </c>
    </row>
    <row r="8499">
      <c r="A8499" s="390" t="str">
        <f>IFERROR(__xludf.DUMMYFUNCTION("""COMPUTED_VALUE"""),"Pós-Graduação em Psicanálise - Pós-Graduação em Psicanálise - Ecicleide maria da silva - Narcisismo e a Cultura da Indiferença – 40H - Nota Máxima: 10")</f>
        <v>Pós-Graduação em Psicanálise - Pós-Graduação em Psicanálise - Ecicleide maria da silva - Narcisismo e a Cultura da Indiferença – 40H - Nota Máxima: 10</v>
      </c>
    </row>
    <row r="8500">
      <c r="A8500" s="390" t="str">
        <f>IFERROR(__xludf.DUMMYFUNCTION("""COMPUTED_VALUE"""),"Pós-Graduação em Psicanálise - Pós-Graduação em Psicanálise - Ecicleide maria da silva - Narcisismo e a Cultura da Indiferença – 40H - Nota Máxima: 10")</f>
        <v>Pós-Graduação em Psicanálise - Pós-Graduação em Psicanálise - Ecicleide maria da silva - Narcisismo e a Cultura da Indiferença – 40H - Nota Máxima: 10</v>
      </c>
    </row>
    <row r="8501">
      <c r="A8501" s="390" t="str">
        <f>IFERROR(__xludf.DUMMYFUNCTION("""COMPUTED_VALUE"""),"Pós-Graduação em Psicanálise - Pós-Graduação em Psicanálise - Ecicleide maria da silva - O Aparelho psíquico, aspectos clínicos e Teóricos – 40H - Nota Máxima: 9")</f>
        <v>Pós-Graduação em Psicanálise - Pós-Graduação em Psicanálise - Ecicleide maria da silva - O Aparelho psíquico, aspectos clínicos e Teóricos – 40H - Nota Máxima: 9</v>
      </c>
    </row>
    <row r="8502">
      <c r="A8502" s="390" t="str">
        <f>IFERROR(__xludf.DUMMYFUNCTION("""COMPUTED_VALUE"""),"Pós-Graduação em Psicanálise - Pós-Graduação em Psicanálise - Ecicleide maria da silva - O Aparelho psíquico, aspectos clínicos e Teóricos – 40H - Nota Máxima: 2")</f>
        <v>Pós-Graduação em Psicanálise - Pós-Graduação em Psicanálise - Ecicleide maria da silva - O Aparelho psíquico, aspectos clínicos e Teóricos – 40H - Nota Máxima: 2</v>
      </c>
    </row>
    <row r="8503">
      <c r="A8503" s="390" t="str">
        <f>IFERROR(__xludf.DUMMYFUNCTION("""COMPUTED_VALUE"""),"Pós-Graduação em Psicanálise - Pós-Graduação em Psicanálise - Ecicleide maria da silva - O Método Psicanalítico – 50H - Nota Máxima: 10")</f>
        <v>Pós-Graduação em Psicanálise - Pós-Graduação em Psicanálise - Ecicleide maria da silva - O Método Psicanalítico – 50H - Nota Máxima: 10</v>
      </c>
    </row>
    <row r="8504">
      <c r="A8504" s="390" t="str">
        <f>IFERROR(__xludf.DUMMYFUNCTION("""COMPUTED_VALUE"""),"Pós-Graduação em Psicanálise - Pós-Graduação em Psicanálise - Ecicleide maria da silva - O Método Psicanalítico – 50H - Nota Máxima: 8")</f>
        <v>Pós-Graduação em Psicanálise - Pós-Graduação em Psicanálise - Ecicleide maria da silva - O Método Psicanalítico – 50H - Nota Máxima: 8</v>
      </c>
    </row>
    <row r="8505">
      <c r="A8505" s="390" t="str">
        <f>IFERROR(__xludf.DUMMYFUNCTION("""COMPUTED_VALUE"""),"Pós-Graduação em Psicanálise - Pós-Graduação em Psicanálise - Ecicleide maria da silva - Práticas e Procedimentos em Clínica – 30H - Nota Máxima: 10")</f>
        <v>Pós-Graduação em Psicanálise - Pós-Graduação em Psicanálise - Ecicleide maria da silva - Práticas e Procedimentos em Clínica – 30H - Nota Máxima: 10</v>
      </c>
    </row>
    <row r="8506">
      <c r="A8506" s="390" t="str">
        <f>IFERROR(__xludf.DUMMYFUNCTION("""COMPUTED_VALUE"""),"Pós-Graduação em Psicanálise - Pós-Graduação em Psicanálise - Ecicleide maria da silva - Práticas e Procedimentos em Clínica – 30H - Nota Máxima: 5")</f>
        <v>Pós-Graduação em Psicanálise - Pós-Graduação em Psicanálise - Ecicleide maria da silva - Práticas e Procedimentos em Clínica – 30H - Nota Máxima: 5</v>
      </c>
    </row>
    <row r="8507">
      <c r="A8507" s="390" t="str">
        <f>IFERROR(__xludf.DUMMYFUNCTION("""COMPUTED_VALUE"""),"Pós-Graduação em Psicanálise - Pós-Graduação em Psicanálise - Ecicleide maria da silva - Processos de Transferência e Resistência – 30H - Nota Máxima: 10")</f>
        <v>Pós-Graduação em Psicanálise - Pós-Graduação em Psicanálise - Ecicleide maria da silva - Processos de Transferência e Resistência – 30H - Nota Máxima: 10</v>
      </c>
    </row>
    <row r="8508">
      <c r="A8508" s="390" t="str">
        <f>IFERROR(__xludf.DUMMYFUNCTION("""COMPUTED_VALUE"""),"Pós-Graduação em Psicanálise - Pós-Graduação em Psicanálise - Ecicleide maria da silva - Processos de Transferência e Resistência – 30H - Nota Máxima: 6")</f>
        <v>Pós-Graduação em Psicanálise - Pós-Graduação em Psicanálise - Ecicleide maria da silva - Processos de Transferência e Resistência – 30H - Nota Máxima: 6</v>
      </c>
    </row>
    <row r="8509">
      <c r="A8509" s="390" t="str">
        <f>IFERROR(__xludf.DUMMYFUNCTION("""COMPUTED_VALUE"""),"Pós-Graduação em Psicanálise - Pós-Graduação em Psicanálise - Ecicleide maria da silva - Psicanálise da Criança e do Adolescente – 40H - Nota Máxima: 9")</f>
        <v>Pós-Graduação em Psicanálise - Pós-Graduação em Psicanálise - Ecicleide maria da silva - Psicanálise da Criança e do Adolescente – 40H - Nota Máxima: 9</v>
      </c>
    </row>
    <row r="8510">
      <c r="A8510" s="390" t="str">
        <f>IFERROR(__xludf.DUMMYFUNCTION("""COMPUTED_VALUE"""),"Pós-Graduação em Psicanálise - Pós-Graduação em Psicanálise - Ecicleide maria da silva - Psicanálise da Criança e do Adolescente – 40H - Nota Máxima: 8")</f>
        <v>Pós-Graduação em Psicanálise - Pós-Graduação em Psicanálise - Ecicleide maria da silva - Psicanálise da Criança e do Adolescente – 40H - Nota Máxima: 8</v>
      </c>
    </row>
    <row r="8511">
      <c r="A8511" s="390" t="str">
        <f>IFERROR(__xludf.DUMMYFUNCTION("""COMPUTED_VALUE"""),"Pós-Graduação em Psicanálise - Pós-Graduação em Psicanálise - Ecicleide maria da silva - Psicanálise II – 50H - Nota Máxima: 10")</f>
        <v>Pós-Graduação em Psicanálise - Pós-Graduação em Psicanálise - Ecicleide maria da silva - Psicanálise II – 50H - Nota Máxima: 10</v>
      </c>
    </row>
    <row r="8512">
      <c r="A8512" s="390" t="str">
        <f>IFERROR(__xludf.DUMMYFUNCTION("""COMPUTED_VALUE"""),"Pós-Graduação em Psicanálise - Pós-Graduação em Psicanálise - Ecicleide maria da silva - Psicanálise II – 50H - Nota Máxima: 5")</f>
        <v>Pós-Graduação em Psicanálise - Pós-Graduação em Psicanálise - Ecicleide maria da silva - Psicanálise II – 50H - Nota Máxima: 5</v>
      </c>
    </row>
    <row r="8513">
      <c r="A8513" s="390" t="str">
        <f>IFERROR(__xludf.DUMMYFUNCTION("""COMPUTED_VALUE"""),"Pós-Graduação em Psicanálise - Pós-Graduação em Psicanálise - Ecicleide maria da silva - Psicopatologias I – 40H - Nota Máxima: 10")</f>
        <v>Pós-Graduação em Psicanálise - Pós-Graduação em Psicanálise - Ecicleide maria da silva - Psicopatologias I – 40H - Nota Máxima: 10</v>
      </c>
    </row>
    <row r="8514">
      <c r="A8514" s="390" t="str">
        <f>IFERROR(__xludf.DUMMYFUNCTION("""COMPUTED_VALUE"""),"Pós-Graduação em Psicanálise - Pós-Graduação em Psicanálise - Ecicleide maria da silva - Psicopatologias I – 40H - Nota Máxima: 5")</f>
        <v>Pós-Graduação em Psicanálise - Pós-Graduação em Psicanálise - Ecicleide maria da silva - Psicopatologias I – 40H - Nota Máxima: 5</v>
      </c>
    </row>
    <row r="8515">
      <c r="A8515" s="390" t="str">
        <f>IFERROR(__xludf.DUMMYFUNCTION("""COMPUTED_VALUE"""),"Pós-Graduação em Psicanálise - Pós-Graduação em Psicanálise - Ecicleide maria da silva - Psicopatologias II – 50H - Nota Máxima: 9")</f>
        <v>Pós-Graduação em Psicanálise - Pós-Graduação em Psicanálise - Ecicleide maria da silva - Psicopatologias II – 50H - Nota Máxima: 9</v>
      </c>
    </row>
    <row r="8516">
      <c r="A8516" s="390" t="str">
        <f>IFERROR(__xludf.DUMMYFUNCTION("""COMPUTED_VALUE"""),"Pós-Graduação em Psicanálise - Pós-Graduação em Psicanálise - Ecicleide maria da silva - Psicopatologias II – 50H - Nota Máxima: 2")</f>
        <v>Pós-Graduação em Psicanálise - Pós-Graduação em Psicanálise - Ecicleide maria da silva - Psicopatologias II – 50H - Nota Máxima: 2</v>
      </c>
    </row>
    <row r="8517">
      <c r="A8517" s="390" t="str">
        <f>IFERROR(__xludf.DUMMYFUNCTION("""COMPUTED_VALUE"""),"Pós-Graduação em Psicanálise - Pós-Graduação em Psicanálise - Ecicleide maria da silva - Sonhos, Simbologia e Representação – 50H - Nota Máxima: 9")</f>
        <v>Pós-Graduação em Psicanálise - Pós-Graduação em Psicanálise - Ecicleide maria da silva - Sonhos, Simbologia e Representação – 50H - Nota Máxima: 9</v>
      </c>
    </row>
    <row r="8518">
      <c r="A8518" s="390" t="str">
        <f>IFERROR(__xludf.DUMMYFUNCTION("""COMPUTED_VALUE"""),"Pós-Graduação em Psicanálise - Pós-Graduação em Psicanálise - Ecicleide maria da silva - Sonhos, Simbologia e Representação – 50H - Nota Máxima: 3")</f>
        <v>Pós-Graduação em Psicanálise - Pós-Graduação em Psicanálise - Ecicleide maria da silva - Sonhos, Simbologia e Representação – 50H - Nota Máxima: 3</v>
      </c>
    </row>
    <row r="8519">
      <c r="A8519" s="390" t="str">
        <f>IFERROR(__xludf.DUMMYFUNCTION("""COMPUTED_VALUE"""),"Pós-Graduação em Psicanálise - Pós-Graduação em Psicanálise - Ecicleide maria da silva - Tópicos Avançados em Clínica – 40H - Nota Máxima: 10")</f>
        <v>Pós-Graduação em Psicanálise - Pós-Graduação em Psicanálise - Ecicleide maria da silva - Tópicos Avançados em Clínica – 40H - Nota Máxima: 10</v>
      </c>
    </row>
    <row r="8520">
      <c r="A8520" s="390" t="str">
        <f>IFERROR(__xludf.DUMMYFUNCTION("""COMPUTED_VALUE"""),"Pós-Graduação em Psicanálise - Pós-Graduação em Psicanálise - Ecicleide maria da silva - Tópicos Avançados em Clínica – 40H - Nota Máxima: 4")</f>
        <v>Pós-Graduação em Psicanálise - Pós-Graduação em Psicanálise - Ecicleide maria da silva - Tópicos Avançados em Clínica – 40H - Nota Máxima: 4</v>
      </c>
    </row>
    <row r="8521">
      <c r="A8521" s="390" t="str">
        <f>IFERROR(__xludf.DUMMYFUNCTION("""COMPUTED_VALUE"""),"Pós-Graduação em Psicanálise - Pós-Graduação em Psicanálise - Ecicleide maria da silva - Tópicos Avançados em Sexualidade – 40H - Nota Máxima: 10")</f>
        <v>Pós-Graduação em Psicanálise - Pós-Graduação em Psicanálise - Ecicleide maria da silva - Tópicos Avançados em Sexualidade – 40H - Nota Máxima: 10</v>
      </c>
    </row>
    <row r="8522">
      <c r="A8522" s="390" t="str">
        <f>IFERROR(__xludf.DUMMYFUNCTION("""COMPUTED_VALUE"""),"Pós-Graduação em Psicanálise - Pós-Graduação em Psicanálise - Ecicleide maria da silva - Tópicos Avançados em Sexualidade – 40H - Nota Máxima: 2")</f>
        <v>Pós-Graduação em Psicanálise - Pós-Graduação em Psicanálise - Ecicleide maria da silva - Tópicos Avançados em Sexualidade – 40H - Nota Máxima: 2</v>
      </c>
    </row>
    <row r="8523">
      <c r="A8523" s="390" t="str">
        <f>IFERROR(__xludf.DUMMYFUNCTION("""COMPUTED_VALUE"""),"Pós-Graduação em Psicanálise - Pós-Graduação em Psicanálise - Helenice Souza Barbosa - Complexo de Édipo e Castração - Nota Máxima: 8")</f>
        <v>Pós-Graduação em Psicanálise - Pós-Graduação em Psicanálise - Helenice Souza Barbosa - Complexo de Édipo e Castração - Nota Máxima: 8</v>
      </c>
    </row>
    <row r="8524">
      <c r="A8524" s="390" t="str">
        <f>IFERROR(__xludf.DUMMYFUNCTION("""COMPUTED_VALUE"""),"Pós-Graduação em Psicanálise - Pós-Graduação em Psicanálise - Helenice Souza Barbosa - Complexo de Édipo e Castração - Nota Máxima: 7")</f>
        <v>Pós-Graduação em Psicanálise - Pós-Graduação em Psicanálise - Helenice Souza Barbosa - Complexo de Édipo e Castração - Nota Máxima: 7</v>
      </c>
    </row>
    <row r="8525">
      <c r="A8525" s="390" t="str">
        <f>IFERROR(__xludf.DUMMYFUNCTION("""COMPUTED_VALUE"""),"Pós-Graduação em Psicanálise - Pós-Graduação em Psicanálise - Helenice Souza Barbosa - Educação Especial, Inclusão Escolar e Adaptações Curriculares - Nota Máxima: 9")</f>
        <v>Pós-Graduação em Psicanálise - Pós-Graduação em Psicanálise - Helenice Souza Barbosa - Educação Especial, Inclusão Escolar e Adaptações Curriculares - Nota Máxima: 9</v>
      </c>
    </row>
    <row r="8526">
      <c r="A8526" s="390" t="str">
        <f>IFERROR(__xludf.DUMMYFUNCTION("""COMPUTED_VALUE"""),"Pós-Graduação em Psicanálise - Pós-Graduação em Psicanálise - Helenice Souza Barbosa - Educação Especial, Inclusão Escolar e Adaptações Curriculares - Nota Máxima: 9")</f>
        <v>Pós-Graduação em Psicanálise - Pós-Graduação em Psicanálise - Helenice Souza Barbosa - Educação Especial, Inclusão Escolar e Adaptações Curriculares - Nota Máxima: 9</v>
      </c>
    </row>
    <row r="8527">
      <c r="A8527" s="390" t="str">
        <f>IFERROR(__xludf.DUMMYFUNCTION("""COMPUTED_VALUE"""),"Pós-Graduação em Psicanálise - Pós-Graduação em Psicanálise - Helenice Souza Barbosa - Formação e Ética do Psicanalista – 30H - Nota Máxima: 8")</f>
        <v>Pós-Graduação em Psicanálise - Pós-Graduação em Psicanálise - Helenice Souza Barbosa - Formação e Ética do Psicanalista – 30H - Nota Máxima: 8</v>
      </c>
    </row>
    <row r="8528">
      <c r="A8528" s="390" t="str">
        <f>IFERROR(__xludf.DUMMYFUNCTION("""COMPUTED_VALUE"""),"Pós-Graduação em Psicanálise - Pós-Graduação em Psicanálise - Helenice Souza Barbosa - Formação e Ética do Psicanalista – 30H - Nota Máxima: 5")</f>
        <v>Pós-Graduação em Psicanálise - Pós-Graduação em Psicanálise - Helenice Souza Barbosa - Formação e Ética do Psicanalista – 30H - Nota Máxima: 5</v>
      </c>
    </row>
    <row r="8529">
      <c r="A8529" s="390" t="str">
        <f>IFERROR(__xludf.DUMMYFUNCTION("""COMPUTED_VALUE"""),"Pós-Graduação em Psicanálise - Pós-Graduação em Psicanálise - Helenice Souza Barbosa - Introdução à EAD - 30H - Nota Máxima: 10")</f>
        <v>Pós-Graduação em Psicanálise - Pós-Graduação em Psicanálise - Helenice Souza Barbosa - Introdução à EAD - 30H - Nota Máxima: 10</v>
      </c>
    </row>
    <row r="8530">
      <c r="A8530" s="390" t="str">
        <f>IFERROR(__xludf.DUMMYFUNCTION("""COMPUTED_VALUE"""),"Pós-Graduação em Psicanálise - Pós-Graduação em Psicanálise - Helenice Souza Barbosa - Introdução à EAD - 30H - Nota Máxima: 6")</f>
        <v>Pós-Graduação em Psicanálise - Pós-Graduação em Psicanálise - Helenice Souza Barbosa - Introdução à EAD - 30H - Nota Máxima: 6</v>
      </c>
    </row>
    <row r="8531">
      <c r="A8531" s="390" t="str">
        <f>IFERROR(__xludf.DUMMYFUNCTION("""COMPUTED_VALUE"""),"Pós-Graduação em Psicanálise - Pós-Graduação em Psicanálise - Helenice Souza Barbosa - Introdução à Psicanálise – 40H - Nota Máxima: 6")</f>
        <v>Pós-Graduação em Psicanálise - Pós-Graduação em Psicanálise - Helenice Souza Barbosa - Introdução à Psicanálise – 40H - Nota Máxima: 6</v>
      </c>
    </row>
    <row r="8532">
      <c r="A8532" s="390" t="str">
        <f>IFERROR(__xludf.DUMMYFUNCTION("""COMPUTED_VALUE"""),"Pós-Graduação em Psicanálise - Pós-Graduação em Psicanálise - Helenice Souza Barbosa - Introdução à Psicanálise – 40H - Nota Máxima: 5")</f>
        <v>Pós-Graduação em Psicanálise - Pós-Graduação em Psicanálise - Helenice Souza Barbosa - Introdução à Psicanálise – 40H - Nota Máxima: 5</v>
      </c>
    </row>
    <row r="8533">
      <c r="A8533" s="390" t="str">
        <f>IFERROR(__xludf.DUMMYFUNCTION("""COMPUTED_VALUE"""),"Pós-Graduação em Psicanálise - Pós-Graduação em Psicanálise - Helenice Souza Barbosa - Legislação Educacional/a - Nota Máxima: 8")</f>
        <v>Pós-Graduação em Psicanálise - Pós-Graduação em Psicanálise - Helenice Souza Barbosa - Legislação Educacional/a - Nota Máxima: 8</v>
      </c>
    </row>
    <row r="8534">
      <c r="A8534" s="390" t="str">
        <f>IFERROR(__xludf.DUMMYFUNCTION("""COMPUTED_VALUE"""),"Pós-Graduação em Psicanálise - Pós-Graduação em Psicanálise - Helenice Souza Barbosa - Legislação Educacional/a - Nota Máxima: 7")</f>
        <v>Pós-Graduação em Psicanálise - Pós-Graduação em Psicanálise - Helenice Souza Barbosa - Legislação Educacional/a - Nota Máxima: 7</v>
      </c>
    </row>
    <row r="8535">
      <c r="A8535" s="390" t="str">
        <f>IFERROR(__xludf.DUMMYFUNCTION("""COMPUTED_VALUE"""),"Pós-Graduação em Psicanálise - Pós-Graduação em Psicanálise - Helenice Souza Barbosa - Libido, Pulsões e Sexualidade – 50H - Nota Máxima: 6")</f>
        <v>Pós-Graduação em Psicanálise - Pós-Graduação em Psicanálise - Helenice Souza Barbosa - Libido, Pulsões e Sexualidade – 50H - Nota Máxima: 6</v>
      </c>
    </row>
    <row r="8536">
      <c r="A8536" s="390" t="str">
        <f>IFERROR(__xludf.DUMMYFUNCTION("""COMPUTED_VALUE"""),"Pós-Graduação em Psicanálise - Pós-Graduação em Psicanálise - Helenice Souza Barbosa - Narcisismo e a Cultura da Indiferença – 40H - Nota Máxima: 9")</f>
        <v>Pós-Graduação em Psicanálise - Pós-Graduação em Psicanálise - Helenice Souza Barbosa - Narcisismo e a Cultura da Indiferença – 40H - Nota Máxima: 9</v>
      </c>
    </row>
    <row r="8537">
      <c r="A8537" s="390" t="str">
        <f>IFERROR(__xludf.DUMMYFUNCTION("""COMPUTED_VALUE"""),"Pós-Graduação em Psicanálise - Pós-Graduação em Psicanálise - Helenice Souza Barbosa - Narcisismo e a Cultura da Indiferença – 40H - Nota Máxima: 7")</f>
        <v>Pós-Graduação em Psicanálise - Pós-Graduação em Psicanálise - Helenice Souza Barbosa - Narcisismo e a Cultura da Indiferença – 40H - Nota Máxima: 7</v>
      </c>
    </row>
    <row r="8538">
      <c r="A8538" s="390" t="str">
        <f>IFERROR(__xludf.DUMMYFUNCTION("""COMPUTED_VALUE"""),"Pós-Graduação em Psicanálise - Pós-Graduação em Psicanálise - Helenice Souza Barbosa - O Aparelho psíquico, aspectos clínicos e Teóricos – 40H - Nota Máxima: 5")</f>
        <v>Pós-Graduação em Psicanálise - Pós-Graduação em Psicanálise - Helenice Souza Barbosa - O Aparelho psíquico, aspectos clínicos e Teóricos – 40H - Nota Máxima: 5</v>
      </c>
    </row>
    <row r="8539">
      <c r="A8539" s="390" t="str">
        <f>IFERROR(__xludf.DUMMYFUNCTION("""COMPUTED_VALUE"""),"Pós-Graduação em Psicanálise - Pós-Graduação em Psicanálise - Helenice Souza Barbosa - O Método Psicanalítico – 50H - Nota Máxima: 2")</f>
        <v>Pós-Graduação em Psicanálise - Pós-Graduação em Psicanálise - Helenice Souza Barbosa - O Método Psicanalítico – 50H - Nota Máxima: 2</v>
      </c>
    </row>
    <row r="8540">
      <c r="A8540" s="390" t="str">
        <f>IFERROR(__xludf.DUMMYFUNCTION("""COMPUTED_VALUE"""),"Pós-Graduação em Psicanálise - Pós-Graduação em Psicanálise - Helenice Souza Barbosa - Planejamento, Gestão Educacional e Currículo/a - Nota Máxima: 9")</f>
        <v>Pós-Graduação em Psicanálise - Pós-Graduação em Psicanálise - Helenice Souza Barbosa - Planejamento, Gestão Educacional e Currículo/a - Nota Máxima: 9</v>
      </c>
    </row>
    <row r="8541">
      <c r="A8541" s="390" t="str">
        <f>IFERROR(__xludf.DUMMYFUNCTION("""COMPUTED_VALUE"""),"Pós-Graduação em Psicanálise - Pós-Graduação em Psicanálise - Helenice Souza Barbosa - Práticas e Procedimentos em Clínica – 30H - Nota Máxima: 8")</f>
        <v>Pós-Graduação em Psicanálise - Pós-Graduação em Psicanálise - Helenice Souza Barbosa - Práticas e Procedimentos em Clínica – 30H - Nota Máxima: 8</v>
      </c>
    </row>
    <row r="8542">
      <c r="A8542" s="390" t="str">
        <f>IFERROR(__xludf.DUMMYFUNCTION("""COMPUTED_VALUE"""),"Pós-Graduação em Psicanálise - Pós-Graduação em Psicanálise - Helenice Souza Barbosa - Práticas e Procedimentos em Clínica – 30H - Nota Máxima: 6")</f>
        <v>Pós-Graduação em Psicanálise - Pós-Graduação em Psicanálise - Helenice Souza Barbosa - Práticas e Procedimentos em Clínica – 30H - Nota Máxima: 6</v>
      </c>
    </row>
    <row r="8543">
      <c r="A8543" s="390" t="str">
        <f>IFERROR(__xludf.DUMMYFUNCTION("""COMPUTED_VALUE"""),"Pós-Graduação em Psicanálise - Pós-Graduação em Psicanálise - Helenice Souza Barbosa - Processos de Transferência e Resistência – 30H - Nota Máxima: 9")</f>
        <v>Pós-Graduação em Psicanálise - Pós-Graduação em Psicanálise - Helenice Souza Barbosa - Processos de Transferência e Resistência – 30H - Nota Máxima: 9</v>
      </c>
    </row>
    <row r="8544">
      <c r="A8544" s="390" t="str">
        <f>IFERROR(__xludf.DUMMYFUNCTION("""COMPUTED_VALUE"""),"Pós-Graduação em Psicanálise - Pós-Graduação em Psicanálise - Helenice Souza Barbosa - Processos de Transferência e Resistência – 30H - Nota Máxima: 2")</f>
        <v>Pós-Graduação em Psicanálise - Pós-Graduação em Psicanálise - Helenice Souza Barbosa - Processos de Transferência e Resistência – 30H - Nota Máxima: 2</v>
      </c>
    </row>
    <row r="8545">
      <c r="A8545" s="390" t="str">
        <f>IFERROR(__xludf.DUMMYFUNCTION("""COMPUTED_VALUE"""),"Pós-Graduação em Psicanálise - Pós-Graduação em Psicanálise - Helenice Souza Barbosa - Psicanálise da Criança e do Adolescente – 40H - Nota Máxima: 8")</f>
        <v>Pós-Graduação em Psicanálise - Pós-Graduação em Psicanálise - Helenice Souza Barbosa - Psicanálise da Criança e do Adolescente – 40H - Nota Máxima: 8</v>
      </c>
    </row>
    <row r="8546">
      <c r="A8546" s="390" t="str">
        <f>IFERROR(__xludf.DUMMYFUNCTION("""COMPUTED_VALUE"""),"Pós-Graduação em Psicanálise - Pós-Graduação em Psicanálise - Helenice Souza Barbosa - Psicanálise da Criança e do Adolescente – 40H - Nota Máxima: 7")</f>
        <v>Pós-Graduação em Psicanálise - Pós-Graduação em Psicanálise - Helenice Souza Barbosa - Psicanálise da Criança e do Adolescente – 40H - Nota Máxima: 7</v>
      </c>
    </row>
    <row r="8547">
      <c r="A8547" s="390" t="str">
        <f>IFERROR(__xludf.DUMMYFUNCTION("""COMPUTED_VALUE"""),"Pós-Graduação em Psicanálise - Pós-Graduação em Psicanálise - Helenice Souza Barbosa - Psicanálise II – 50H - Nota Máxima: 10")</f>
        <v>Pós-Graduação em Psicanálise - Pós-Graduação em Psicanálise - Helenice Souza Barbosa - Psicanálise II – 50H - Nota Máxima: 10</v>
      </c>
    </row>
    <row r="8548">
      <c r="A8548" s="390" t="str">
        <f>IFERROR(__xludf.DUMMYFUNCTION("""COMPUTED_VALUE"""),"Pós-Graduação em Psicanálise - Pós-Graduação em Psicanálise - Helenice Souza Barbosa - Psicanálise II – 50H - Nota Máxima: 4")</f>
        <v>Pós-Graduação em Psicanálise - Pós-Graduação em Psicanálise - Helenice Souza Barbosa - Psicanálise II – 50H - Nota Máxima: 4</v>
      </c>
    </row>
    <row r="8549">
      <c r="A8549" s="390" t="str">
        <f>IFERROR(__xludf.DUMMYFUNCTION("""COMPUTED_VALUE"""),"Pós-Graduação em Psicanálise - Pós-Graduação em Psicanálise - Helenice Souza Barbosa - Psicopatologias I – 40H - Nota Máxima: 9")</f>
        <v>Pós-Graduação em Psicanálise - Pós-Graduação em Psicanálise - Helenice Souza Barbosa - Psicopatologias I – 40H - Nota Máxima: 9</v>
      </c>
    </row>
    <row r="8550">
      <c r="A8550" s="390" t="str">
        <f>IFERROR(__xludf.DUMMYFUNCTION("""COMPUTED_VALUE"""),"Pós-Graduação em Psicanálise - Pós-Graduação em Psicanálise - Helenice Souza Barbosa - Psicopatologias II – 50H - Nota Máxima: 8")</f>
        <v>Pós-Graduação em Psicanálise - Pós-Graduação em Psicanálise - Helenice Souza Barbosa - Psicopatologias II – 50H - Nota Máxima: 8</v>
      </c>
    </row>
    <row r="8551">
      <c r="A8551" s="390" t="str">
        <f>IFERROR(__xludf.DUMMYFUNCTION("""COMPUTED_VALUE"""),"Pós-Graduação em Psicanálise - Pós-Graduação em Psicanálise - Helenice Souza Barbosa - Sonhos, Simbologia e Representação – 50H - Nota Máxima: 9")</f>
        <v>Pós-Graduação em Psicanálise - Pós-Graduação em Psicanálise - Helenice Souza Barbosa - Sonhos, Simbologia e Representação – 50H - Nota Máxima: 9</v>
      </c>
    </row>
    <row r="8552">
      <c r="A8552" s="390" t="str">
        <f>IFERROR(__xludf.DUMMYFUNCTION("""COMPUTED_VALUE"""),"Pós-Graduação em Psicanálise - Pós-Graduação em Psicanálise - Helenice Souza Barbosa - Sonhos, Simbologia e Representação – 50H - Nota Máxima: 3")</f>
        <v>Pós-Graduação em Psicanálise - Pós-Graduação em Psicanálise - Helenice Souza Barbosa - Sonhos, Simbologia e Representação – 50H - Nota Máxima: 3</v>
      </c>
    </row>
    <row r="8553">
      <c r="A8553" s="390" t="str">
        <f>IFERROR(__xludf.DUMMYFUNCTION("""COMPUTED_VALUE"""),"Pós-Graduação em Psicanálise - Pós-Graduação em Psicanálise - Helenice Souza Barbosa - Tópicos Avançados em Clínica – 40H - Nota Máxima: 7")</f>
        <v>Pós-Graduação em Psicanálise - Pós-Graduação em Psicanálise - Helenice Souza Barbosa - Tópicos Avançados em Clínica – 40H - Nota Máxima: 7</v>
      </c>
    </row>
    <row r="8554">
      <c r="A8554" s="390" t="str">
        <f>IFERROR(__xludf.DUMMYFUNCTION("""COMPUTED_VALUE"""),"Pós-Graduação em Psicanálise - Pós-Graduação em Psicanálise - Helenice Souza Barbosa - Tópicos Avançados em Clínica – 40H - Nota Máxima: 7")</f>
        <v>Pós-Graduação em Psicanálise - Pós-Graduação em Psicanálise - Helenice Souza Barbosa - Tópicos Avançados em Clínica – 40H - Nota Máxima: 7</v>
      </c>
    </row>
    <row r="8555">
      <c r="A8555" s="390" t="str">
        <f>IFERROR(__xludf.DUMMYFUNCTION("""COMPUTED_VALUE"""),"Pós-Graduação em Psicanálise - Pós-Graduação em Psicanálise - Helenice Souza Barbosa - Tópicos Avançados em Sexualidade – 40H - Nota Máxima: 2")</f>
        <v>Pós-Graduação em Psicanálise - Pós-Graduação em Psicanálise - Helenice Souza Barbosa - Tópicos Avançados em Sexualidade – 40H - Nota Máxima: 2</v>
      </c>
    </row>
    <row r="8556">
      <c r="A8556" s="390" t="str">
        <f>IFERROR(__xludf.DUMMYFUNCTION("""COMPUTED_VALUE"""),"Pós-Graduação em Psicanálise - Pós-Graduação em Psicanálise - Jorge Ventura de Sena - Complexo de Édipo e Castração - Nota Máxima: 9")</f>
        <v>Pós-Graduação em Psicanálise - Pós-Graduação em Psicanálise - Jorge Ventura de Sena - Complexo de Édipo e Castração - Nota Máxima: 9</v>
      </c>
    </row>
    <row r="8557">
      <c r="A8557" s="390" t="str">
        <f>IFERROR(__xludf.DUMMYFUNCTION("""COMPUTED_VALUE"""),"Pós-Graduação em Psicanálise - Pós-Graduação em Psicanálise - Jorge Ventura de Sena - Introdução à EAD - 30H - Nota Máxima: 7")</f>
        <v>Pós-Graduação em Psicanálise - Pós-Graduação em Psicanálise - Jorge Ventura de Sena - Introdução à EAD - 30H - Nota Máxima: 7</v>
      </c>
    </row>
    <row r="8558">
      <c r="A8558" s="390" t="str">
        <f>IFERROR(__xludf.DUMMYFUNCTION("""COMPUTED_VALUE"""),"Pós-Graduação em Psicanálise - Pós-Graduação em Psicanálise - Jorge Ventura de Sena - Introdução à Psicanálise – 40H - Nota Máxima: 9")</f>
        <v>Pós-Graduação em Psicanálise - Pós-Graduação em Psicanálise - Jorge Ventura de Sena - Introdução à Psicanálise – 40H - Nota Máxima: 9</v>
      </c>
    </row>
    <row r="8559">
      <c r="A8559" s="390" t="str">
        <f>IFERROR(__xludf.DUMMYFUNCTION("""COMPUTED_VALUE"""),"Pós-Graduação em Psicanálise - Pós-Graduação em Psicanálise - Jorge Ventura de Sena - Introdução à Psicanálise – 40H - Nota Máxima: 8")</f>
        <v>Pós-Graduação em Psicanálise - Pós-Graduação em Psicanálise - Jorge Ventura de Sena - Introdução à Psicanálise – 40H - Nota Máxima: 8</v>
      </c>
    </row>
    <row r="8560">
      <c r="A8560" s="390" t="str">
        <f>IFERROR(__xludf.DUMMYFUNCTION("""COMPUTED_VALUE"""),"Pós-Graduação em Psicanálise - Pós-Graduação em Psicanálise - Jorge Ventura de Sena - Libido, Pulsões e Sexualidade – 50H - Nota Máxima: 9")</f>
        <v>Pós-Graduação em Psicanálise - Pós-Graduação em Psicanálise - Jorge Ventura de Sena - Libido, Pulsões e Sexualidade – 50H - Nota Máxima: 9</v>
      </c>
    </row>
    <row r="8561">
      <c r="A8561" s="390" t="str">
        <f>IFERROR(__xludf.DUMMYFUNCTION("""COMPUTED_VALUE"""),"Pós-Graduação em Psicanálise - Pós-Graduação em Psicanálise - Jorge Ventura de Sena - Narcisismo e a Cultura da Indiferença – 40H - Nota Máxima: 9")</f>
        <v>Pós-Graduação em Psicanálise - Pós-Graduação em Psicanálise - Jorge Ventura de Sena - Narcisismo e a Cultura da Indiferença – 40H - Nota Máxima: 9</v>
      </c>
    </row>
    <row r="8562">
      <c r="A8562" s="390" t="str">
        <f>IFERROR(__xludf.DUMMYFUNCTION("""COMPUTED_VALUE"""),"Pós-Graduação em Psicanálise - Pós-Graduação em Psicanálise - Jorge Ventura de Sena - O Aparelho psíquico, aspectos clínicos e Teóricos – 40H - Nota Máxima: 9")</f>
        <v>Pós-Graduação em Psicanálise - Pós-Graduação em Psicanálise - Jorge Ventura de Sena - O Aparelho psíquico, aspectos clínicos e Teóricos – 40H - Nota Máxima: 9</v>
      </c>
    </row>
    <row r="8563">
      <c r="A8563" s="390" t="str">
        <f>IFERROR(__xludf.DUMMYFUNCTION("""COMPUTED_VALUE"""),"Pós-Graduação em Psicanálise - Pós-Graduação em Psicanálise - Jorge Ventura de Sena - O Método Psicanalítico – 50H - Nota Máxima: 10")</f>
        <v>Pós-Graduação em Psicanálise - Pós-Graduação em Psicanálise - Jorge Ventura de Sena - O Método Psicanalítico – 50H - Nota Máxima: 10</v>
      </c>
    </row>
    <row r="8564">
      <c r="A8564" s="390" t="str">
        <f>IFERROR(__xludf.DUMMYFUNCTION("""COMPUTED_VALUE"""),"Pós-Graduação em Psicanálise - Pós-Graduação em Psicanálise - Jorge Ventura de Sena - Práticas e Procedimentos em Clínica – 30H - Nota Máxima: 8")</f>
        <v>Pós-Graduação em Psicanálise - Pós-Graduação em Psicanálise - Jorge Ventura de Sena - Práticas e Procedimentos em Clínica – 30H - Nota Máxima: 8</v>
      </c>
    </row>
    <row r="8565">
      <c r="A8565" s="390" t="str">
        <f>IFERROR(__xludf.DUMMYFUNCTION("""COMPUTED_VALUE"""),"Pós-Graduação em Psicanálise - Pós-Graduação em Psicanálise - Jorge Ventura de Sena - Processos de Transferência e Resistência – 30H - Nota Máxima: 10")</f>
        <v>Pós-Graduação em Psicanálise - Pós-Graduação em Psicanálise - Jorge Ventura de Sena - Processos de Transferência e Resistência – 30H - Nota Máxima: 10</v>
      </c>
    </row>
    <row r="8566">
      <c r="A8566" s="390" t="str">
        <f>IFERROR(__xludf.DUMMYFUNCTION("""COMPUTED_VALUE"""),"Pós-Graduação em Psicanálise - Pós-Graduação em Psicanálise - Jorge Ventura de Sena - Psicanálise da Criança e do Adolescente – 40H - Nota Máxima: 8")</f>
        <v>Pós-Graduação em Psicanálise - Pós-Graduação em Psicanálise - Jorge Ventura de Sena - Psicanálise da Criança e do Adolescente – 40H - Nota Máxima: 8</v>
      </c>
    </row>
    <row r="8567">
      <c r="A8567" s="390" t="str">
        <f>IFERROR(__xludf.DUMMYFUNCTION("""COMPUTED_VALUE"""),"Pós-Graduação em Psicanálise - Pós-Graduação em Psicanálise - Jorge Ventura de Sena - Psicanálise II – 50H - Nota Máxima: 7")</f>
        <v>Pós-Graduação em Psicanálise - Pós-Graduação em Psicanálise - Jorge Ventura de Sena - Psicanálise II – 50H - Nota Máxima: 7</v>
      </c>
    </row>
    <row r="8568">
      <c r="A8568" s="390" t="str">
        <f>IFERROR(__xludf.DUMMYFUNCTION("""COMPUTED_VALUE"""),"Pós-Graduação em Psicanálise - Pós-Graduação em Psicanálise - Jorge Ventura de Sena - Psicopatologias I – 40H - Nota Máxima: 8")</f>
        <v>Pós-Graduação em Psicanálise - Pós-Graduação em Psicanálise - Jorge Ventura de Sena - Psicopatologias I – 40H - Nota Máxima: 8</v>
      </c>
    </row>
    <row r="8569">
      <c r="A8569" s="390" t="str">
        <f>IFERROR(__xludf.DUMMYFUNCTION("""COMPUTED_VALUE"""),"Pós-Graduação em Psicanálise - Pós-Graduação em Psicanálise - Jorge Ventura de Sena - Psicopatologias II – 50H - Nota Máxima: 10")</f>
        <v>Pós-Graduação em Psicanálise - Pós-Graduação em Psicanálise - Jorge Ventura de Sena - Psicopatologias II – 50H - Nota Máxima: 10</v>
      </c>
    </row>
    <row r="8570">
      <c r="A8570" s="390" t="str">
        <f>IFERROR(__xludf.DUMMYFUNCTION("""COMPUTED_VALUE"""),"Pós-Graduação em Psicanálise - Pós-Graduação em Psicanálise - Jorge Ventura de Sena - Sonhos, Simbologia e Representação – 50H - Nota Máxima: 9")</f>
        <v>Pós-Graduação em Psicanálise - Pós-Graduação em Psicanálise - Jorge Ventura de Sena - Sonhos, Simbologia e Representação – 50H - Nota Máxima: 9</v>
      </c>
    </row>
    <row r="8571">
      <c r="A8571" s="390" t="str">
        <f>IFERROR(__xludf.DUMMYFUNCTION("""COMPUTED_VALUE"""),"Pós-Graduação em Psicanálise - Pós-Graduação em Psicanálise - Jorge Ventura de Sena - Tópicos Avançados em Clínica – 40H - Nota Máxima: 10")</f>
        <v>Pós-Graduação em Psicanálise - Pós-Graduação em Psicanálise - Jorge Ventura de Sena - Tópicos Avançados em Clínica – 40H - Nota Máxima: 10</v>
      </c>
    </row>
    <row r="8572">
      <c r="A8572" s="390" t="str">
        <f>IFERROR(__xludf.DUMMYFUNCTION("""COMPUTED_VALUE"""),"Pós-Graduação em Psicanálise - Pós-Graduação em Psicanálise - Jorge Ventura de Sena - Tópicos Avançados em Sexualidade – 40H - Nota Máxima: 10")</f>
        <v>Pós-Graduação em Psicanálise - Pós-Graduação em Psicanálise - Jorge Ventura de Sena - Tópicos Avançados em Sexualidade – 40H - Nota Máxima: 10</v>
      </c>
    </row>
    <row r="8573">
      <c r="A8573" s="390" t="str">
        <f>IFERROR(__xludf.DUMMYFUNCTION("""COMPUTED_VALUE"""),"Pós-Graduação em Psicanálise - Pós-Graduação em Psicanálise - Maria Tereza de Moraes Campos - Sonhos, Simbologia e Representação – 50H - Nota Máxima: 4")</f>
        <v>Pós-Graduação em Psicanálise - Pós-Graduação em Psicanálise - Maria Tereza de Moraes Campos - Sonhos, Simbologia e Representação – 50H - Nota Máxima: 4</v>
      </c>
    </row>
    <row r="8574">
      <c r="A8574" s="390" t="str">
        <f>IFERROR(__xludf.DUMMYFUNCTION("""COMPUTED_VALUE"""),"Pós-Graduação em Psicanálise - Pós-Graduação em Psicanálise - Maria Tereza de Moraes Campos - Sonhos, Simbologia e Representação – 50H - Nota Máxima: 3")</f>
        <v>Pós-Graduação em Psicanálise - Pós-Graduação em Psicanálise - Maria Tereza de Moraes Campos - Sonhos, Simbologia e Representação – 50H - Nota Máxima: 3</v>
      </c>
    </row>
    <row r="8575">
      <c r="A8575" s="390" t="str">
        <f>IFERROR(__xludf.DUMMYFUNCTION("""COMPUTED_VALUE"""),"Pós-Graduação em Psicanálise - Pós-Graduação em Psicanálise - Maria Tereza de Moraes Campos - Tópicos Avançados em Clínica – 40H - Nota Máxima: 10")</f>
        <v>Pós-Graduação em Psicanálise - Pós-Graduação em Psicanálise - Maria Tereza de Moraes Campos - Tópicos Avançados em Clínica – 40H - Nota Máxima: 10</v>
      </c>
    </row>
    <row r="8576">
      <c r="A8576" s="390" t="str">
        <f>IFERROR(__xludf.DUMMYFUNCTION("""COMPUTED_VALUE"""),"Pós-Graduação em Psicanálise - Pós-Graduação em Psicanálise - Maria Tereza de Moraes Campos - Tópicos Avançados em Clínica – 40H - Nota Máxima: 6")</f>
        <v>Pós-Graduação em Psicanálise - Pós-Graduação em Psicanálise - Maria Tereza de Moraes Campos - Tópicos Avançados em Clínica – 40H - Nota Máxima: 6</v>
      </c>
    </row>
    <row r="8577">
      <c r="A8577" s="390" t="str">
        <f>IFERROR(__xludf.DUMMYFUNCTION("""COMPUTED_VALUE"""),"Pós-Graduação em Psicanálise - Pós-Graduação em Psicanálise - Maria Tereza de Moraes Campos - Tópicos Avançados em Sexualidade – 40H - Nota Máxima: 10")</f>
        <v>Pós-Graduação em Psicanálise - Pós-Graduação em Psicanálise - Maria Tereza de Moraes Campos - Tópicos Avançados em Sexualidade – 40H - Nota Máxima: 10</v>
      </c>
    </row>
    <row r="8578">
      <c r="A8578" s="390" t="str">
        <f>IFERROR(__xludf.DUMMYFUNCTION("""COMPUTED_VALUE"""),"Pós-Graduação em Psicanálise - Pós-Graduação em Psicanálise - Welida Almeida Juliao - Introdução à Psicanálise – 40H - Nota Máxima: 9")</f>
        <v>Pós-Graduação em Psicanálise - Pós-Graduação em Psicanálise - Welida Almeida Juliao - Introdução à Psicanálise – 40H - Nota Máxima: 9</v>
      </c>
    </row>
    <row r="8579">
      <c r="A8579" s="390" t="str">
        <f>IFERROR(__xludf.DUMMYFUNCTION("""COMPUTED_VALUE"""),"Pós-Graduação em Psicanálise - Pós-Graduação em Psicanálise - Ednelson Júnior Souza da Silva - Complexo de Édipo e Castração - Nota Máxima: 5")</f>
        <v>Pós-Graduação em Psicanálise - Pós-Graduação em Psicanálise - Ednelson Júnior Souza da Silva - Complexo de Édipo e Castração - Nota Máxima: 5</v>
      </c>
    </row>
    <row r="8580">
      <c r="A8580" s="390" t="str">
        <f>IFERROR(__xludf.DUMMYFUNCTION("""COMPUTED_VALUE"""),"Pós-Graduação em Psicanálise - Pós-Graduação em Psicanálise - Ednelson Júnior Souza da Silva - Planejamento, Gestão Educacional e Currículo/a - Nota Máxima: 7")</f>
        <v>Pós-Graduação em Psicanálise - Pós-Graduação em Psicanálise - Ednelson Júnior Souza da Silva - Planejamento, Gestão Educacional e Currículo/a - Nota Máxima: 7</v>
      </c>
    </row>
    <row r="8581">
      <c r="A8581" s="390" t="str">
        <f>IFERROR(__xludf.DUMMYFUNCTION("""COMPUTED_VALUE"""),"Pós-Graduação em Psicanálise - Pós-Graduação em Psicanálise - Ednelson Júnior Souza da Silva - Práticas e Procedimentos em Clínica – 30H - Nota Máxima: 2")</f>
        <v>Pós-Graduação em Psicanálise - Pós-Graduação em Psicanálise - Ednelson Júnior Souza da Silva - Práticas e Procedimentos em Clínica – 30H - Nota Máxima: 2</v>
      </c>
    </row>
    <row r="8582">
      <c r="A8582" s="390" t="str">
        <f>IFERROR(__xludf.DUMMYFUNCTION("""COMPUTED_VALUE"""),"Pós-Graduação em Psicanálise - Pós-Graduação em Psicanálise - Janaína Pricíla de Almeida - Complexo de Édipo e Castração - Nota Máxima: 10")</f>
        <v>Pós-Graduação em Psicanálise - Pós-Graduação em Psicanálise - Janaína Pricíla de Almeida - Complexo de Édipo e Castração - Nota Máxima: 10</v>
      </c>
    </row>
    <row r="8583">
      <c r="A8583" s="390" t="str">
        <f>IFERROR(__xludf.DUMMYFUNCTION("""COMPUTED_VALUE"""),"Pós-Graduação em Psicanálise - Pós-Graduação em Psicanálise - Janaína Pricíla de Almeida - Formação e Ética do Psicanalista – 30H - Nota Máxima: 10")</f>
        <v>Pós-Graduação em Psicanálise - Pós-Graduação em Psicanálise - Janaína Pricíla de Almeida - Formação e Ética do Psicanalista – 30H - Nota Máxima: 10</v>
      </c>
    </row>
    <row r="8584">
      <c r="A8584" s="390" t="str">
        <f>IFERROR(__xludf.DUMMYFUNCTION("""COMPUTED_VALUE"""),"Pós-Graduação em Psicanálise - Pós-Graduação em Psicanálise - Janaína Pricíla de Almeida - Introdução à EAD - 30H - Nota Máxima: 8")</f>
        <v>Pós-Graduação em Psicanálise - Pós-Graduação em Psicanálise - Janaína Pricíla de Almeida - Introdução à EAD - 30H - Nota Máxima: 8</v>
      </c>
    </row>
    <row r="8585">
      <c r="A8585" s="390" t="str">
        <f>IFERROR(__xludf.DUMMYFUNCTION("""COMPUTED_VALUE"""),"Pós-Graduação em Psicanálise - Pós-Graduação em Psicanálise - Janaína Pricíla de Almeida - Introdução à Psicanálise – 40H - Nota Máxima: 7")</f>
        <v>Pós-Graduação em Psicanálise - Pós-Graduação em Psicanálise - Janaína Pricíla de Almeida - Introdução à Psicanálise – 40H - Nota Máxima: 7</v>
      </c>
    </row>
    <row r="8586">
      <c r="A8586" s="390" t="str">
        <f>IFERROR(__xludf.DUMMYFUNCTION("""COMPUTED_VALUE"""),"Pós-Graduação em Psicanálise - Pós-Graduação em Psicanálise - Janaína Pricíla de Almeida - Libido, Pulsões e Sexualidade – 50H - Nota Máxima: 7")</f>
        <v>Pós-Graduação em Psicanálise - Pós-Graduação em Psicanálise - Janaína Pricíla de Almeida - Libido, Pulsões e Sexualidade – 50H - Nota Máxima: 7</v>
      </c>
    </row>
    <row r="8587">
      <c r="A8587" s="390" t="str">
        <f>IFERROR(__xludf.DUMMYFUNCTION("""COMPUTED_VALUE"""),"Pós-Graduação em Psicanálise - Pós-Graduação em Psicanálise - Janaína Pricíla de Almeida - Narcisismo e a Cultura da Indiferença – 40H - Nota Máxima: 10")</f>
        <v>Pós-Graduação em Psicanálise - Pós-Graduação em Psicanálise - Janaína Pricíla de Almeida - Narcisismo e a Cultura da Indiferença – 40H - Nota Máxima: 10</v>
      </c>
    </row>
    <row r="8588">
      <c r="A8588" s="390" t="str">
        <f>IFERROR(__xludf.DUMMYFUNCTION("""COMPUTED_VALUE"""),"Pós-Graduação em Psicanálise - Pós-Graduação em Psicanálise - Janaína Pricíla de Almeida - O Aparelho psíquico, aspectos clínicos e Teóricos – 40H - Nota Máxima: 9")</f>
        <v>Pós-Graduação em Psicanálise - Pós-Graduação em Psicanálise - Janaína Pricíla de Almeida - O Aparelho psíquico, aspectos clínicos e Teóricos – 40H - Nota Máxima: 9</v>
      </c>
    </row>
    <row r="8589">
      <c r="A8589" s="390" t="str">
        <f>IFERROR(__xludf.DUMMYFUNCTION("""COMPUTED_VALUE"""),"Pós-Graduação em Psicanálise - Pós-Graduação em Psicanálise - Janaína Pricíla de Almeida - O Método Psicanalítico – 50H - Nota Máxima: 9")</f>
        <v>Pós-Graduação em Psicanálise - Pós-Graduação em Psicanálise - Janaína Pricíla de Almeida - O Método Psicanalítico – 50H - Nota Máxima: 9</v>
      </c>
    </row>
    <row r="8590">
      <c r="A8590" s="390" t="str">
        <f>IFERROR(__xludf.DUMMYFUNCTION("""COMPUTED_VALUE"""),"Pós-Graduação em Psicanálise - Pós-Graduação em Psicanálise - Janaína Pricíla de Almeida - Práticas e Procedimentos em Clínica – 30H - Nota Máxima: 10")</f>
        <v>Pós-Graduação em Psicanálise - Pós-Graduação em Psicanálise - Janaína Pricíla de Almeida - Práticas e Procedimentos em Clínica – 30H - Nota Máxima: 10</v>
      </c>
    </row>
    <row r="8591">
      <c r="A8591" s="390" t="str">
        <f>IFERROR(__xludf.DUMMYFUNCTION("""COMPUTED_VALUE"""),"Pós-Graduação em Psicanálise - Pós-Graduação em Psicanálise - Janaína Pricíla de Almeida - Processos de Transferência e Resistência – 30H - Nota Máxima: 8")</f>
        <v>Pós-Graduação em Psicanálise - Pós-Graduação em Psicanálise - Janaína Pricíla de Almeida - Processos de Transferência e Resistência – 30H - Nota Máxima: 8</v>
      </c>
    </row>
    <row r="8592">
      <c r="A8592" s="390" t="str">
        <f>IFERROR(__xludf.DUMMYFUNCTION("""COMPUTED_VALUE"""),"Pós-Graduação em Psicanálise - Pós-Graduação em Psicanálise - Janaína Pricíla de Almeida - Psicanálise da Criança e do Adolescente – 40H - Nota Máxima: 8")</f>
        <v>Pós-Graduação em Psicanálise - Pós-Graduação em Psicanálise - Janaína Pricíla de Almeida - Psicanálise da Criança e do Adolescente – 40H - Nota Máxima: 8</v>
      </c>
    </row>
    <row r="8593">
      <c r="A8593" s="390" t="str">
        <f>IFERROR(__xludf.DUMMYFUNCTION("""COMPUTED_VALUE"""),"Pós-Graduação em Psicanálise - Pós-Graduação em Psicanálise - Janaína Pricíla de Almeida - Psicanálise II – 50H - Nota Máxima: 10")</f>
        <v>Pós-Graduação em Psicanálise - Pós-Graduação em Psicanálise - Janaína Pricíla de Almeida - Psicanálise II – 50H - Nota Máxima: 10</v>
      </c>
    </row>
    <row r="8594">
      <c r="A8594" s="390" t="str">
        <f>IFERROR(__xludf.DUMMYFUNCTION("""COMPUTED_VALUE"""),"Pós-Graduação em Psicanálise - Pós-Graduação em Psicanálise - Janaína Pricíla de Almeida - Psicopatologias I – 40H - Nota Máxima: 10")</f>
        <v>Pós-Graduação em Psicanálise - Pós-Graduação em Psicanálise - Janaína Pricíla de Almeida - Psicopatologias I – 40H - Nota Máxima: 10</v>
      </c>
    </row>
    <row r="8595">
      <c r="A8595" s="390" t="str">
        <f>IFERROR(__xludf.DUMMYFUNCTION("""COMPUTED_VALUE"""),"Pós-Graduação em Psicanálise - Pós-Graduação em Psicanálise - Janaína Pricíla de Almeida - Psicopatologias II – 50H - Nota Máxima: 10")</f>
        <v>Pós-Graduação em Psicanálise - Pós-Graduação em Psicanálise - Janaína Pricíla de Almeida - Psicopatologias II – 50H - Nota Máxima: 10</v>
      </c>
    </row>
    <row r="8596">
      <c r="A8596" s="390" t="str">
        <f>IFERROR(__xludf.DUMMYFUNCTION("""COMPUTED_VALUE"""),"Pós-Graduação em Psicanálise - Pós-Graduação em Psicanálise - Janaína Pricíla de Almeida - Sonhos, Simbologia e Representação – 50H - Nota Máxima: 7")</f>
        <v>Pós-Graduação em Psicanálise - Pós-Graduação em Psicanálise - Janaína Pricíla de Almeida - Sonhos, Simbologia e Representação – 50H - Nota Máxima: 7</v>
      </c>
    </row>
    <row r="8597">
      <c r="A8597" s="390" t="str">
        <f>IFERROR(__xludf.DUMMYFUNCTION("""COMPUTED_VALUE"""),"Pós-Graduação em Psicanálise - Pós-Graduação em Psicanálise - Janaína Pricíla de Almeida - Tópicos Avançados em Clínica – 40H - Nota Máxima: 8")</f>
        <v>Pós-Graduação em Psicanálise - Pós-Graduação em Psicanálise - Janaína Pricíla de Almeida - Tópicos Avançados em Clínica – 40H - Nota Máxima: 8</v>
      </c>
    </row>
    <row r="8598">
      <c r="A8598" s="390" t="str">
        <f>IFERROR(__xludf.DUMMYFUNCTION("""COMPUTED_VALUE"""),"Pós-Graduação em Psicanálise - Pós-Graduação em Psicanálise - Janaína Pricíla de Almeida - Tópicos Avançados em Sexualidade – 40H - Nota Máxima: 9")</f>
        <v>Pós-Graduação em Psicanálise - Pós-Graduação em Psicanálise - Janaína Pricíla de Almeida - Tópicos Avançados em Sexualidade – 40H - Nota Máxima: 9</v>
      </c>
    </row>
    <row r="8599">
      <c r="A8599" s="390" t="str">
        <f>IFERROR(__xludf.DUMMYFUNCTION("""COMPUTED_VALUE"""),"Pós-Graduação em Psicanálise - Pós-Graduação em Psicanálise - Edna Jesus Ferreira dos Santos - Complexo de Édipo e Castração - Nota Máxima: 8")</f>
        <v>Pós-Graduação em Psicanálise - Pós-Graduação em Psicanálise - Edna Jesus Ferreira dos Santos - Complexo de Édipo e Castração - Nota Máxima: 8</v>
      </c>
    </row>
    <row r="8600">
      <c r="A8600" s="390" t="str">
        <f>IFERROR(__xludf.DUMMYFUNCTION("""COMPUTED_VALUE"""),"Pós-Graduação em Psicanálise - Pós-Graduação em Psicanálise - Edna Jesus Ferreira dos Santos - Formação e Ética do Psicanalista – 30H - Nota Máxima: 7")</f>
        <v>Pós-Graduação em Psicanálise - Pós-Graduação em Psicanálise - Edna Jesus Ferreira dos Santos - Formação e Ética do Psicanalista – 30H - Nota Máxima: 7</v>
      </c>
    </row>
    <row r="8601">
      <c r="A8601" s="390" t="str">
        <f>IFERROR(__xludf.DUMMYFUNCTION("""COMPUTED_VALUE"""),"Pós-Graduação em Psicanálise - Pós-Graduação em Psicanálise - Edna Jesus Ferreira dos Santos - Introdução à Psicanálise – 40H - Nota Máxima: 8")</f>
        <v>Pós-Graduação em Psicanálise - Pós-Graduação em Psicanálise - Edna Jesus Ferreira dos Santos - Introdução à Psicanálise – 40H - Nota Máxima: 8</v>
      </c>
    </row>
    <row r="8602">
      <c r="A8602" s="390" t="str">
        <f>IFERROR(__xludf.DUMMYFUNCTION("""COMPUTED_VALUE"""),"Pós-Graduação em Psicanálise - Pós-Graduação em Psicanálise - Edna Jesus Ferreira dos Santos - Libido, Pulsões e Sexualidade – 50H - Nota Máxima: 9")</f>
        <v>Pós-Graduação em Psicanálise - Pós-Graduação em Psicanálise - Edna Jesus Ferreira dos Santos - Libido, Pulsões e Sexualidade – 50H - Nota Máxima: 9</v>
      </c>
    </row>
    <row r="8603">
      <c r="A8603" s="390" t="str">
        <f>IFERROR(__xludf.DUMMYFUNCTION("""COMPUTED_VALUE"""),"Pós-Graduação em Psicanálise - Pós-Graduação em Psicanálise - Edna Jesus Ferreira dos Santos - Narcisismo e a Cultura da Indiferença – 40H - Nota Máxima: 9")</f>
        <v>Pós-Graduação em Psicanálise - Pós-Graduação em Psicanálise - Edna Jesus Ferreira dos Santos - Narcisismo e a Cultura da Indiferença – 40H - Nota Máxima: 9</v>
      </c>
    </row>
    <row r="8604">
      <c r="A8604" s="390" t="str">
        <f>IFERROR(__xludf.DUMMYFUNCTION("""COMPUTED_VALUE"""),"Pós-Graduação em Psicanálise - Pós-Graduação em Psicanálise - Edna Jesus Ferreira dos Santos - O Aparelho psíquico, aspectos clínicos e Teóricos – 40H - Nota Máxima: 10")</f>
        <v>Pós-Graduação em Psicanálise - Pós-Graduação em Psicanálise - Edna Jesus Ferreira dos Santos - O Aparelho psíquico, aspectos clínicos e Teóricos – 40H - Nota Máxima: 10</v>
      </c>
    </row>
    <row r="8605">
      <c r="A8605" s="390" t="str">
        <f>IFERROR(__xludf.DUMMYFUNCTION("""COMPUTED_VALUE"""),"Pós-Graduação em Psicanálise - Pós-Graduação em Psicanálise - Edna Jesus Ferreira dos Santos - O Método Psicanalítico – 50H - Nota Máxima: 9")</f>
        <v>Pós-Graduação em Psicanálise - Pós-Graduação em Psicanálise - Edna Jesus Ferreira dos Santos - O Método Psicanalítico – 50H - Nota Máxima: 9</v>
      </c>
    </row>
    <row r="8606">
      <c r="A8606" s="390" t="str">
        <f>IFERROR(__xludf.DUMMYFUNCTION("""COMPUTED_VALUE"""),"Pós-Graduação em Psicanálise - Pós-Graduação em Psicanálise - Edna Jesus Ferreira dos Santos - Práticas e Procedimentos em Clínica – 30H - Nota Máxima: 9")</f>
        <v>Pós-Graduação em Psicanálise - Pós-Graduação em Psicanálise - Edna Jesus Ferreira dos Santos - Práticas e Procedimentos em Clínica – 30H - Nota Máxima: 9</v>
      </c>
    </row>
    <row r="8607">
      <c r="A8607" s="390" t="str">
        <f>IFERROR(__xludf.DUMMYFUNCTION("""COMPUTED_VALUE"""),"Pós-Graduação em Psicanálise - Pós-Graduação em Psicanálise - Edna Jesus Ferreira dos Santos - Processos de Transferência e Resistência – 30H - Nota Máxima: 9")</f>
        <v>Pós-Graduação em Psicanálise - Pós-Graduação em Psicanálise - Edna Jesus Ferreira dos Santos - Processos de Transferência e Resistência – 30H - Nota Máxima: 9</v>
      </c>
    </row>
    <row r="8608">
      <c r="A8608" s="390" t="str">
        <f>IFERROR(__xludf.DUMMYFUNCTION("""COMPUTED_VALUE"""),"Pós-Graduação em Psicanálise - Pós-Graduação em Psicanálise - Edna Jesus Ferreira dos Santos - Psicanálise da Criança e do Adolescente – 40H - Nota Máxima: 9")</f>
        <v>Pós-Graduação em Psicanálise - Pós-Graduação em Psicanálise - Edna Jesus Ferreira dos Santos - Psicanálise da Criança e do Adolescente – 40H - Nota Máxima: 9</v>
      </c>
    </row>
    <row r="8609">
      <c r="A8609" s="390" t="str">
        <f>IFERROR(__xludf.DUMMYFUNCTION("""COMPUTED_VALUE"""),"Pós-Graduação em Psicanálise - Pós-Graduação em Psicanálise - Edna Jesus Ferreira dos Santos - Psicanálise II – 50H - Nota Máxima: 8")</f>
        <v>Pós-Graduação em Psicanálise - Pós-Graduação em Psicanálise - Edna Jesus Ferreira dos Santos - Psicanálise II – 50H - Nota Máxima: 8</v>
      </c>
    </row>
    <row r="8610">
      <c r="A8610" s="390" t="str">
        <f>IFERROR(__xludf.DUMMYFUNCTION("""COMPUTED_VALUE"""),"Pós-Graduação em Psicanálise - Pós-Graduação em Psicanálise - Edna Jesus Ferreira dos Santos - Psicopatologias I – 40H - Nota Máxima: 8")</f>
        <v>Pós-Graduação em Psicanálise - Pós-Graduação em Psicanálise - Edna Jesus Ferreira dos Santos - Psicopatologias I – 40H - Nota Máxima: 8</v>
      </c>
    </row>
    <row r="8611">
      <c r="A8611" s="390" t="str">
        <f>IFERROR(__xludf.DUMMYFUNCTION("""COMPUTED_VALUE"""),"Pós-Graduação em Psicanálise - Pós-Graduação em Psicanálise - Edna Jesus Ferreira dos Santos - Psicopatologias II – 50H - Nota Máxima: 7")</f>
        <v>Pós-Graduação em Psicanálise - Pós-Graduação em Psicanálise - Edna Jesus Ferreira dos Santos - Psicopatologias II – 50H - Nota Máxima: 7</v>
      </c>
    </row>
    <row r="8612">
      <c r="A8612" s="390" t="str">
        <f>IFERROR(__xludf.DUMMYFUNCTION("""COMPUTED_VALUE"""),"Pós-Graduação em Psicanálise - Pós-Graduação em Psicanálise - Edna Jesus Ferreira dos Santos - Sonhos, Simbologia e Representação – 50H - Nota Máxima: 8")</f>
        <v>Pós-Graduação em Psicanálise - Pós-Graduação em Psicanálise - Edna Jesus Ferreira dos Santos - Sonhos, Simbologia e Representação – 50H - Nota Máxima: 8</v>
      </c>
    </row>
    <row r="8613">
      <c r="A8613" s="390" t="str">
        <f>IFERROR(__xludf.DUMMYFUNCTION("""COMPUTED_VALUE"""),"Pós-Graduação em Psicanálise - Pós-Graduação em Psicanálise - Eliseu Venceslau de brito - Complexo de Édipo e Castração - Nota Máxima: 6")</f>
        <v>Pós-Graduação em Psicanálise - Pós-Graduação em Psicanálise - Eliseu Venceslau de brito - Complexo de Édipo e Castração - Nota Máxima: 6</v>
      </c>
    </row>
    <row r="8614">
      <c r="A8614" s="390" t="str">
        <f>IFERROR(__xludf.DUMMYFUNCTION("""COMPUTED_VALUE"""),"Pós-Graduação em Psicanálise - Pós-Graduação em Psicanálise - Eliseu Venceslau de brito - Formação e Ética do Psicanalista – 30H - Nota Máxima: 9")</f>
        <v>Pós-Graduação em Psicanálise - Pós-Graduação em Psicanálise - Eliseu Venceslau de brito - Formação e Ética do Psicanalista – 30H - Nota Máxima: 9</v>
      </c>
    </row>
    <row r="8615">
      <c r="A8615" s="390" t="str">
        <f>IFERROR(__xludf.DUMMYFUNCTION("""COMPUTED_VALUE"""),"Pós-Graduação em Psicanálise - Pós-Graduação em Psicanálise - Eliseu Venceslau de brito - Introdução à EAD - 30H - Nota Máxima: 8")</f>
        <v>Pós-Graduação em Psicanálise - Pós-Graduação em Psicanálise - Eliseu Venceslau de brito - Introdução à EAD - 30H - Nota Máxima: 8</v>
      </c>
    </row>
    <row r="8616">
      <c r="A8616" s="390" t="str">
        <f>IFERROR(__xludf.DUMMYFUNCTION("""COMPUTED_VALUE"""),"Pós-Graduação em Psicanálise - Pós-Graduação em Psicanálise - Eliseu Venceslau de brito - Libido, Pulsões e Sexualidade – 50H - Nota Máxima: 9")</f>
        <v>Pós-Graduação em Psicanálise - Pós-Graduação em Psicanálise - Eliseu Venceslau de brito - Libido, Pulsões e Sexualidade – 50H - Nota Máxima: 9</v>
      </c>
    </row>
    <row r="8617">
      <c r="A8617" s="390" t="str">
        <f>IFERROR(__xludf.DUMMYFUNCTION("""COMPUTED_VALUE"""),"Pós-Graduação em Psicanálise - Pós-Graduação em Psicanálise - Eliseu Venceslau de brito - Narcisismo e a Cultura da Indiferença – 40H - Nota Máxima: 9")</f>
        <v>Pós-Graduação em Psicanálise - Pós-Graduação em Psicanálise - Eliseu Venceslau de brito - Narcisismo e a Cultura da Indiferença – 40H - Nota Máxima: 9</v>
      </c>
    </row>
    <row r="8618">
      <c r="A8618" s="390" t="str">
        <f>IFERROR(__xludf.DUMMYFUNCTION("""COMPUTED_VALUE"""),"Pós-Graduação em Psicanálise - Pós-Graduação em Psicanálise - Eliseu Venceslau de brito - Processos de Transferência e Resistência – 30H - Nota Máxima: 10")</f>
        <v>Pós-Graduação em Psicanálise - Pós-Graduação em Psicanálise - Eliseu Venceslau de brito - Processos de Transferência e Resistência – 30H - Nota Máxima: 10</v>
      </c>
    </row>
    <row r="8619">
      <c r="A8619" s="390" t="str">
        <f>IFERROR(__xludf.DUMMYFUNCTION("""COMPUTED_VALUE"""),"Pós-Graduação em Psicanálise - Pós-Graduação em Psicanálise - Eliseu Venceslau de brito - Psicanálise da Criança e do Adolescente – 40H - Nota Máxima: 10")</f>
        <v>Pós-Graduação em Psicanálise - Pós-Graduação em Psicanálise - Eliseu Venceslau de brito - Psicanálise da Criança e do Adolescente – 40H - Nota Máxima: 10</v>
      </c>
    </row>
    <row r="8620">
      <c r="A8620" s="390" t="str">
        <f>IFERROR(__xludf.DUMMYFUNCTION("""COMPUTED_VALUE"""),"Pós-Graduação em Psicanálise - Pós-Graduação em Psicanálise - Eliseu Venceslau de brito - Psicanálise da Criança e do Adolescente – 40H - Nota Máxima: 4")</f>
        <v>Pós-Graduação em Psicanálise - Pós-Graduação em Psicanálise - Eliseu Venceslau de brito - Psicanálise da Criança e do Adolescente – 40H - Nota Máxima: 4</v>
      </c>
    </row>
    <row r="8621">
      <c r="A8621" s="390" t="str">
        <f>IFERROR(__xludf.DUMMYFUNCTION("""COMPUTED_VALUE"""),"Pós-Graduação em Psicanálise - Pós-Graduação em Psicanálise - Eliseu Venceslau de brito - Psicanálise II – 50H - Nota Máxima: 10")</f>
        <v>Pós-Graduação em Psicanálise - Pós-Graduação em Psicanálise - Eliseu Venceslau de brito - Psicanálise II – 50H - Nota Máxima: 10</v>
      </c>
    </row>
    <row r="8622">
      <c r="A8622" s="390" t="str">
        <f>IFERROR(__xludf.DUMMYFUNCTION("""COMPUTED_VALUE"""),"Pós-Graduação em Psicanálise - Pós-Graduação em Psicanálise - Eliseu Venceslau de brito - Psicanálise II – 50H - Nota Máxima: 3")</f>
        <v>Pós-Graduação em Psicanálise - Pós-Graduação em Psicanálise - Eliseu Venceslau de brito - Psicanálise II – 50H - Nota Máxima: 3</v>
      </c>
    </row>
    <row r="8623">
      <c r="A8623" s="390" t="str">
        <f>IFERROR(__xludf.DUMMYFUNCTION("""COMPUTED_VALUE"""),"Pós-Graduação em Psicanálise - Pós-Graduação em Psicanálise - Eliseu Venceslau de brito - Psicopatologias I – 40H - Nota Máxima: 10")</f>
        <v>Pós-Graduação em Psicanálise - Pós-Graduação em Psicanálise - Eliseu Venceslau de brito - Psicopatologias I – 40H - Nota Máxima: 10</v>
      </c>
    </row>
    <row r="8624">
      <c r="A8624" s="390" t="str">
        <f>IFERROR(__xludf.DUMMYFUNCTION("""COMPUTED_VALUE"""),"Pós-Graduação em Psicanálise - Pós-Graduação em Psicanálise - Eliseu Venceslau de brito - Psicopatologias I – 40H - Nota Máxima: 6")</f>
        <v>Pós-Graduação em Psicanálise - Pós-Graduação em Psicanálise - Eliseu Venceslau de brito - Psicopatologias I – 40H - Nota Máxima: 6</v>
      </c>
    </row>
    <row r="8625">
      <c r="A8625" s="390" t="str">
        <f>IFERROR(__xludf.DUMMYFUNCTION("""COMPUTED_VALUE"""),"Pós-Graduação em Psicanálise - Pós-Graduação em Psicanálise - Eliseu Venceslau de brito - Psicopatologias II – 50H - Nota Máxima: 10")</f>
        <v>Pós-Graduação em Psicanálise - Pós-Graduação em Psicanálise - Eliseu Venceslau de brito - Psicopatologias II – 50H - Nota Máxima: 10</v>
      </c>
    </row>
    <row r="8626">
      <c r="A8626" s="390" t="str">
        <f>IFERROR(__xludf.DUMMYFUNCTION("""COMPUTED_VALUE"""),"Pós-Graduação em Psicanálise - Pós-Graduação em Psicanálise - Eliseu Venceslau de brito - Psicopatologias II – 50H - Nota Máxima: 6")</f>
        <v>Pós-Graduação em Psicanálise - Pós-Graduação em Psicanálise - Eliseu Venceslau de brito - Psicopatologias II – 50H - Nota Máxima: 6</v>
      </c>
    </row>
    <row r="8627">
      <c r="A8627" s="390" t="str">
        <f>IFERROR(__xludf.DUMMYFUNCTION("""COMPUTED_VALUE"""),"Pós-Graduação em Psicanálise - Pós-Graduação em Psicanálise - Eliseu Venceslau de brito - Sonhos, Simbologia e Representação – 50H - Nota Máxima: 9")</f>
        <v>Pós-Graduação em Psicanálise - Pós-Graduação em Psicanálise - Eliseu Venceslau de brito - Sonhos, Simbologia e Representação – 50H - Nota Máxima: 9</v>
      </c>
    </row>
    <row r="8628">
      <c r="A8628" s="390" t="str">
        <f>IFERROR(__xludf.DUMMYFUNCTION("""COMPUTED_VALUE"""),"Pós-Graduação em Psicanálise - Pós-Graduação em Psicanálise - Eliseu Venceslau de brito - Sonhos, Simbologia e Representação – 50H - Nota Máxima: 1")</f>
        <v>Pós-Graduação em Psicanálise - Pós-Graduação em Psicanálise - Eliseu Venceslau de brito - Sonhos, Simbologia e Representação – 50H - Nota Máxima: 1</v>
      </c>
    </row>
    <row r="8629">
      <c r="A8629" s="390" t="str">
        <f>IFERROR(__xludf.DUMMYFUNCTION("""COMPUTED_VALUE"""),"Pós-Graduação em Psicanálise - Pós-Graduação em Psicanálise - Eliseu Venceslau de brito - Tópicos Avançados em Clínica – 40H - Nota Máxima: 10")</f>
        <v>Pós-Graduação em Psicanálise - Pós-Graduação em Psicanálise - Eliseu Venceslau de brito - Tópicos Avançados em Clínica – 40H - Nota Máxima: 10</v>
      </c>
    </row>
    <row r="8630">
      <c r="A8630" s="390" t="str">
        <f>IFERROR(__xludf.DUMMYFUNCTION("""COMPUTED_VALUE"""),"Pós-Graduação em Psicanálise - Pós-Graduação em Psicanálise - Eliseu Venceslau de brito - Tópicos Avançados em Clínica – 40H - Nota Máxima: 4")</f>
        <v>Pós-Graduação em Psicanálise - Pós-Graduação em Psicanálise - Eliseu Venceslau de brito - Tópicos Avançados em Clínica – 40H - Nota Máxima: 4</v>
      </c>
    </row>
    <row r="8631">
      <c r="A8631" s="390" t="str">
        <f>IFERROR(__xludf.DUMMYFUNCTION("""COMPUTED_VALUE"""),"Pós-Graduação em Psicanálise - Pós-Graduação em Psicanálise - Eliseu Venceslau de brito - Tópicos Avançados em Sexualidade – 40H - Nota Máxima: 9")</f>
        <v>Pós-Graduação em Psicanálise - Pós-Graduação em Psicanálise - Eliseu Venceslau de brito - Tópicos Avançados em Sexualidade – 40H - Nota Máxima: 9</v>
      </c>
    </row>
    <row r="8632">
      <c r="A8632" s="390" t="str">
        <f>IFERROR(__xludf.DUMMYFUNCTION("""COMPUTED_VALUE"""),"Pós-Graduação em Psicanálise - Pós-Graduação em Psicanálise - Eliseu Venceslau de brito - Tópicos Avançados em Sexualidade – 40H - Nota Máxima: 1")</f>
        <v>Pós-Graduação em Psicanálise - Pós-Graduação em Psicanálise - Eliseu Venceslau de brito - Tópicos Avançados em Sexualidade – 40H - Nota Máxima: 1</v>
      </c>
    </row>
    <row r="8633">
      <c r="A8633" s="390" t="str">
        <f>IFERROR(__xludf.DUMMYFUNCTION("""COMPUTED_VALUE"""),"Pós-Graduação em Psicanálise - Pós-Graduação em Psicanálise - Robson Franco das Virgens - Complexo de Édipo e Castração - Nota Máxima: 10")</f>
        <v>Pós-Graduação em Psicanálise - Pós-Graduação em Psicanálise - Robson Franco das Virgens - Complexo de Édipo e Castração - Nota Máxima: 10</v>
      </c>
    </row>
    <row r="8634">
      <c r="A8634" s="390" t="str">
        <f>IFERROR(__xludf.DUMMYFUNCTION("""COMPUTED_VALUE"""),"Pós-Graduação em Psicanálise - Pós-Graduação em Psicanálise - Robson Franco das Virgens - Introdução à EAD - 30H - Nota Máxima: 7")</f>
        <v>Pós-Graduação em Psicanálise - Pós-Graduação em Psicanálise - Robson Franco das Virgens - Introdução à EAD - 30H - Nota Máxima: 7</v>
      </c>
    </row>
    <row r="8635">
      <c r="A8635" s="390" t="str">
        <f>IFERROR(__xludf.DUMMYFUNCTION("""COMPUTED_VALUE"""),"Pós-Graduação em Psicanálise - Pós-Graduação em Psicanálise - Robson Franco das Virgens - Narcisismo e a Cultura da Indiferença – 40H - Nota Máxima: 8")</f>
        <v>Pós-Graduação em Psicanálise - Pós-Graduação em Psicanálise - Robson Franco das Virgens - Narcisismo e a Cultura da Indiferença – 40H - Nota Máxima: 8</v>
      </c>
    </row>
    <row r="8636">
      <c r="A8636" s="390" t="str">
        <f>IFERROR(__xludf.DUMMYFUNCTION("""COMPUTED_VALUE"""),"Pós-Graduação em Psicanálise - Pós-Graduação em Psicanálise - Robson Franco das Virgens - Psicanálise da Criança e do Adolescente – 40H - Nota Máxima: 9")</f>
        <v>Pós-Graduação em Psicanálise - Pós-Graduação em Psicanálise - Robson Franco das Virgens - Psicanálise da Criança e do Adolescente – 40H - Nota Máxima: 9</v>
      </c>
    </row>
    <row r="8637">
      <c r="A8637" s="390" t="str">
        <f>IFERROR(__xludf.DUMMYFUNCTION("""COMPUTED_VALUE"""),"Pós-Graduação em Psicanálise - Pós-Graduação em Psicanálise - Robson Franco das Virgens - Psicanálise II – 50H - Nota Máxima: 8")</f>
        <v>Pós-Graduação em Psicanálise - Pós-Graduação em Psicanálise - Robson Franco das Virgens - Psicanálise II – 50H - Nota Máxima: 8</v>
      </c>
    </row>
    <row r="8638">
      <c r="A8638" s="390" t="str">
        <f>IFERROR(__xludf.DUMMYFUNCTION("""COMPUTED_VALUE"""),"Pós-Graduação em Psicanálise - Pós-Graduação em Psicanálise - Robson Franco das Virgens - Psicopatologias I – 40H - Nota Máxima: 10")</f>
        <v>Pós-Graduação em Psicanálise - Pós-Graduação em Psicanálise - Robson Franco das Virgens - Psicopatologias I – 40H - Nota Máxima: 10</v>
      </c>
    </row>
    <row r="8639">
      <c r="A8639" s="390" t="str">
        <f>IFERROR(__xludf.DUMMYFUNCTION("""COMPUTED_VALUE"""),"Pós-Graduação em Psicanálise - Pós-Graduação em Psicanálise - Robson Franco das Virgens - Psicopatologias II – 50H - Nota Máxima: 10")</f>
        <v>Pós-Graduação em Psicanálise - Pós-Graduação em Psicanálise - Robson Franco das Virgens - Psicopatologias II – 50H - Nota Máxima: 10</v>
      </c>
    </row>
    <row r="8640">
      <c r="A8640" s="390" t="str">
        <f>IFERROR(__xludf.DUMMYFUNCTION("""COMPUTED_VALUE"""),"Pós-Graduação em Psicanálise - Pós-Graduação em Psicanálise - Robson Franco das Virgens - Sonhos, Simbologia e Representação – 50H - Nota Máxima: 8")</f>
        <v>Pós-Graduação em Psicanálise - Pós-Graduação em Psicanálise - Robson Franco das Virgens - Sonhos, Simbologia e Representação – 50H - Nota Máxima: 8</v>
      </c>
    </row>
    <row r="8641">
      <c r="A8641" s="390" t="str">
        <f>IFERROR(__xludf.DUMMYFUNCTION("""COMPUTED_VALUE"""),"Pós-Graduação em Psicanálise - Pós-Graduação em Psicanálise - Robson Franco das Virgens - Tópicos Avançados em Clínica – 40H - Nota Máxima: 8")</f>
        <v>Pós-Graduação em Psicanálise - Pós-Graduação em Psicanálise - Robson Franco das Virgens - Tópicos Avançados em Clínica – 40H - Nota Máxima: 8</v>
      </c>
    </row>
    <row r="8642">
      <c r="A8642" s="390" t="str">
        <f>IFERROR(__xludf.DUMMYFUNCTION("""COMPUTED_VALUE"""),"Pós-Graduação em Psicanálise - Pós-Graduação em Psicanálise - Robson Franco das Virgens - Tópicos Avançados em Sexualidade – 40H - Nota Máxima: 9")</f>
        <v>Pós-Graduação em Psicanálise - Pós-Graduação em Psicanálise - Robson Franco das Virgens - Tópicos Avançados em Sexualidade – 40H - Nota Máxima: 9</v>
      </c>
    </row>
    <row r="8643">
      <c r="A8643" s="390" t="str">
        <f>IFERROR(__xludf.DUMMYFUNCTION("""COMPUTED_VALUE"""),"Pós-Graduação em Psicanálise - Pós-Graduação em Psicanálise - Franciene de Morais Sena Dutra - Complexo de Édipo e Castração - Nota Máxima: 9")</f>
        <v>Pós-Graduação em Psicanálise - Pós-Graduação em Psicanálise - Franciene de Morais Sena Dutra - Complexo de Édipo e Castração - Nota Máxima: 9</v>
      </c>
    </row>
    <row r="8644">
      <c r="A8644" s="390" t="str">
        <f>IFERROR(__xludf.DUMMYFUNCTION("""COMPUTED_VALUE"""),"Pós-Graduação em Psicanálise - Pós-Graduação em Psicanálise - Franciene de Morais Sena Dutra - Educação Especial, Inclusão Escolar e Adaptações Curriculares - Nota Máxima: 9")</f>
        <v>Pós-Graduação em Psicanálise - Pós-Graduação em Psicanálise - Franciene de Morais Sena Dutra - Educação Especial, Inclusão Escolar e Adaptações Curriculares - Nota Máxima: 9</v>
      </c>
    </row>
    <row r="8645">
      <c r="A8645" s="390" t="str">
        <f>IFERROR(__xludf.DUMMYFUNCTION("""COMPUTED_VALUE"""),"Pós-Graduação em Psicanálise - Pós-Graduação em Psicanálise - Franciene de Morais Sena Dutra - Formação e Ética do Psicanalista – 30H - Nota Máxima: 9")</f>
        <v>Pós-Graduação em Psicanálise - Pós-Graduação em Psicanálise - Franciene de Morais Sena Dutra - Formação e Ética do Psicanalista – 30H - Nota Máxima: 9</v>
      </c>
    </row>
    <row r="8646">
      <c r="A8646" s="390" t="str">
        <f>IFERROR(__xludf.DUMMYFUNCTION("""COMPUTED_VALUE"""),"Pós-Graduação em Psicanálise - Pós-Graduação em Psicanálise - Franciene de Morais Sena Dutra - Introdução à Psicanálise – 40H - Nota Máxima: 9")</f>
        <v>Pós-Graduação em Psicanálise - Pós-Graduação em Psicanálise - Franciene de Morais Sena Dutra - Introdução à Psicanálise – 40H - Nota Máxima: 9</v>
      </c>
    </row>
    <row r="8647">
      <c r="A8647" s="390" t="str">
        <f>IFERROR(__xludf.DUMMYFUNCTION("""COMPUTED_VALUE"""),"Pós-Graduação em Psicanálise - Pós-Graduação em Psicanálise - Franciene de Morais Sena Dutra - Legislação Educacional/a - Nota Máxima: 8")</f>
        <v>Pós-Graduação em Psicanálise - Pós-Graduação em Psicanálise - Franciene de Morais Sena Dutra - Legislação Educacional/a - Nota Máxima: 8</v>
      </c>
    </row>
    <row r="8648">
      <c r="A8648" s="390" t="str">
        <f>IFERROR(__xludf.DUMMYFUNCTION("""COMPUTED_VALUE"""),"Pós-Graduação em Psicanálise - Pós-Graduação em Psicanálise - Franciene de Morais Sena Dutra - Planejamento, Gestão Educacional e Currículo/a - Nota Máxima: 9")</f>
        <v>Pós-Graduação em Psicanálise - Pós-Graduação em Psicanálise - Franciene de Morais Sena Dutra - Planejamento, Gestão Educacional e Currículo/a - Nota Máxima: 9</v>
      </c>
    </row>
    <row r="8649">
      <c r="A8649" s="390" t="str">
        <f>IFERROR(__xludf.DUMMYFUNCTION("""COMPUTED_VALUE"""),"Pós-Graduação em Psicanálise - Pós-Graduação em Psicanálise - Maria Inês Bezerril de Melo - Complexo de Édipo e Castração - Nota Máxima: 5")</f>
        <v>Pós-Graduação em Psicanálise - Pós-Graduação em Psicanálise - Maria Inês Bezerril de Melo - Complexo de Édipo e Castração - Nota Máxima: 5</v>
      </c>
    </row>
    <row r="8650">
      <c r="A8650" s="390" t="str">
        <f>IFERROR(__xludf.DUMMYFUNCTION("""COMPUTED_VALUE"""),"Pós-Graduação em Psicanálise - Pós-Graduação em Psicanálise - Maria Inês Bezerril de Melo - Complexo de Édipo e Castração - Nota Máxima: 3")</f>
        <v>Pós-Graduação em Psicanálise - Pós-Graduação em Psicanálise - Maria Inês Bezerril de Melo - Complexo de Édipo e Castração - Nota Máxima: 3</v>
      </c>
    </row>
    <row r="8651">
      <c r="A8651" s="390" t="str">
        <f>IFERROR(__xludf.DUMMYFUNCTION("""COMPUTED_VALUE"""),"Pós-Graduação em Psicanálise - Pós-Graduação em Psicanálise - Maria Inês Bezerril de Melo - Formação e Ética do Psicanalista – 30H - Nota Máxima: 7")</f>
        <v>Pós-Graduação em Psicanálise - Pós-Graduação em Psicanálise - Maria Inês Bezerril de Melo - Formação e Ética do Psicanalista – 30H - Nota Máxima: 7</v>
      </c>
    </row>
    <row r="8652">
      <c r="A8652" s="390" t="str">
        <f>IFERROR(__xludf.DUMMYFUNCTION("""COMPUTED_VALUE"""),"Pós-Graduação em Psicanálise - Pós-Graduação em Psicanálise - Maria Inês Bezerril de Melo - Formação e Ética do Psicanalista – 30H - Nota Máxima: 4")</f>
        <v>Pós-Graduação em Psicanálise - Pós-Graduação em Psicanálise - Maria Inês Bezerril de Melo - Formação e Ética do Psicanalista – 30H - Nota Máxima: 4</v>
      </c>
    </row>
    <row r="8653">
      <c r="A8653" s="390" t="str">
        <f>IFERROR(__xludf.DUMMYFUNCTION("""COMPUTED_VALUE"""),"Pós-Graduação em Psicanálise - Pós-Graduação em Psicanálise - Maria Inês Bezerril de Melo - Introdução à Psicanálise – 40H - Nota Máxima: 8")</f>
        <v>Pós-Graduação em Psicanálise - Pós-Graduação em Psicanálise - Maria Inês Bezerril de Melo - Introdução à Psicanálise – 40H - Nota Máxima: 8</v>
      </c>
    </row>
    <row r="8654">
      <c r="A8654" s="390" t="str">
        <f>IFERROR(__xludf.DUMMYFUNCTION("""COMPUTED_VALUE"""),"Pós-Graduação em Psicanálise - Pós-Graduação em Psicanálise - Maria Inês Bezerril de Melo - Introdução à Psicanálise – 40H - Nota Máxima: 6")</f>
        <v>Pós-Graduação em Psicanálise - Pós-Graduação em Psicanálise - Maria Inês Bezerril de Melo - Introdução à Psicanálise – 40H - Nota Máxima: 6</v>
      </c>
    </row>
    <row r="8655">
      <c r="A8655" s="390" t="str">
        <f>IFERROR(__xludf.DUMMYFUNCTION("""COMPUTED_VALUE"""),"Pós-Graduação em Psicanálise - Pós-Graduação em Psicanálise - Maria Inês Bezerril de Melo - Libido, Pulsões e Sexualidade – 50H - Nota Máxima: 7")</f>
        <v>Pós-Graduação em Psicanálise - Pós-Graduação em Psicanálise - Maria Inês Bezerril de Melo - Libido, Pulsões e Sexualidade – 50H - Nota Máxima: 7</v>
      </c>
    </row>
    <row r="8656">
      <c r="A8656" s="390" t="str">
        <f>IFERROR(__xludf.DUMMYFUNCTION("""COMPUTED_VALUE"""),"Pós-Graduação em Psicanálise - Pós-Graduação em Psicanálise - Maria Inês Bezerril de Melo - Narcisismo e a Cultura da Indiferença – 40H - Nota Máxima: 7")</f>
        <v>Pós-Graduação em Psicanálise - Pós-Graduação em Psicanálise - Maria Inês Bezerril de Melo - Narcisismo e a Cultura da Indiferença – 40H - Nota Máxima: 7</v>
      </c>
    </row>
    <row r="8657">
      <c r="A8657" s="390" t="str">
        <f>IFERROR(__xludf.DUMMYFUNCTION("""COMPUTED_VALUE"""),"Pós-Graduação em Psicanálise - Pós-Graduação em Psicanálise - Maria Inês Bezerril de Melo - O Aparelho psíquico, aspectos clínicos e Teóricos – 40H - Nota Máxima: 6")</f>
        <v>Pós-Graduação em Psicanálise - Pós-Graduação em Psicanálise - Maria Inês Bezerril de Melo - O Aparelho psíquico, aspectos clínicos e Teóricos – 40H - Nota Máxima: 6</v>
      </c>
    </row>
    <row r="8658">
      <c r="A8658" s="390" t="str">
        <f>IFERROR(__xludf.DUMMYFUNCTION("""COMPUTED_VALUE"""),"Pós-Graduação em Psicanálise - Pós-Graduação em Psicanálise - Maria Inês Bezerril de Melo - O Método Psicanalítico – 50H - Nota Máxima: 9")</f>
        <v>Pós-Graduação em Psicanálise - Pós-Graduação em Psicanálise - Maria Inês Bezerril de Melo - O Método Psicanalítico – 50H - Nota Máxima: 9</v>
      </c>
    </row>
    <row r="8659">
      <c r="A8659" s="390" t="str">
        <f>IFERROR(__xludf.DUMMYFUNCTION("""COMPUTED_VALUE"""),"Pós-Graduação em Psicanálise - Pós-Graduação em Psicanálise - Maria Inês Bezerril de Melo - Práticas e Procedimentos em Clínica – 30H - Nota Máxima: 7")</f>
        <v>Pós-Graduação em Psicanálise - Pós-Graduação em Psicanálise - Maria Inês Bezerril de Melo - Práticas e Procedimentos em Clínica – 30H - Nota Máxima: 7</v>
      </c>
    </row>
    <row r="8660">
      <c r="A8660" s="390" t="str">
        <f>IFERROR(__xludf.DUMMYFUNCTION("""COMPUTED_VALUE"""),"Pós-Graduação em Psicanálise - Pós-Graduação em Psicanálise - Maria Inês Bezerril de Melo - Processos de Transferência e Resistência – 30H - Nota Máxima: 4")</f>
        <v>Pós-Graduação em Psicanálise - Pós-Graduação em Psicanálise - Maria Inês Bezerril de Melo - Processos de Transferência e Resistência – 30H - Nota Máxima: 4</v>
      </c>
    </row>
    <row r="8661">
      <c r="A8661" s="390" t="str">
        <f>IFERROR(__xludf.DUMMYFUNCTION("""COMPUTED_VALUE"""),"Pós-Graduação em Psicanálise - Pós-Graduação em Psicanálise - Maria Inês Bezerril de Melo - Psicanálise da Criança e do Adolescente – 40H - Nota Máxima: 7")</f>
        <v>Pós-Graduação em Psicanálise - Pós-Graduação em Psicanálise - Maria Inês Bezerril de Melo - Psicanálise da Criança e do Adolescente – 40H - Nota Máxima: 7</v>
      </c>
    </row>
    <row r="8662">
      <c r="A8662" s="390" t="str">
        <f>IFERROR(__xludf.DUMMYFUNCTION("""COMPUTED_VALUE"""),"Pós-Graduação em Psicanálise - Pós-Graduação em Psicanálise - Maria Inês Bezerril de Melo - Psicanálise II – 50H - Nota Máxima: 5")</f>
        <v>Pós-Graduação em Psicanálise - Pós-Graduação em Psicanálise - Maria Inês Bezerril de Melo - Psicanálise II – 50H - Nota Máxima: 5</v>
      </c>
    </row>
    <row r="8663">
      <c r="A8663" s="390" t="str">
        <f>IFERROR(__xludf.DUMMYFUNCTION("""COMPUTED_VALUE"""),"Pós-Graduação em Psicanálise - Pós-Graduação em Psicanálise - Maria Inês Bezerril de Melo - Psicopatologias I – 40H - Nota Máxima: 5")</f>
        <v>Pós-Graduação em Psicanálise - Pós-Graduação em Psicanálise - Maria Inês Bezerril de Melo - Psicopatologias I – 40H - Nota Máxima: 5</v>
      </c>
    </row>
    <row r="8664">
      <c r="A8664" s="390" t="str">
        <f>IFERROR(__xludf.DUMMYFUNCTION("""COMPUTED_VALUE"""),"Pós-Graduação em Psicanálise - Pós-Graduação em Psicanálise - Maria Inês Bezerril de Melo - Psicopatologias I – 40H - Nota Máxima: 9")</f>
        <v>Pós-Graduação em Psicanálise - Pós-Graduação em Psicanálise - Maria Inês Bezerril de Melo - Psicopatologias I – 40H - Nota Máxima: 9</v>
      </c>
    </row>
    <row r="8665">
      <c r="A8665" s="390" t="str">
        <f>IFERROR(__xludf.DUMMYFUNCTION("""COMPUTED_VALUE"""),"Pós-Graduação em Psicanálise - Pós-Graduação em Psicanálise - Maria Inês Bezerril de Melo - Psicopatologias II – 50H - Nota Máxima: 10")</f>
        <v>Pós-Graduação em Psicanálise - Pós-Graduação em Psicanálise - Maria Inês Bezerril de Melo - Psicopatologias II – 50H - Nota Máxima: 10</v>
      </c>
    </row>
    <row r="8666">
      <c r="A8666" s="390" t="str">
        <f>IFERROR(__xludf.DUMMYFUNCTION("""COMPUTED_VALUE"""),"Pós-Graduação em Psicanálise - Pós-Graduação em Psicanálise - Maria Inês Bezerril de Melo - Sonhos, Simbologia e Representação – 50H - Nota Máxima: 4")</f>
        <v>Pós-Graduação em Psicanálise - Pós-Graduação em Psicanálise - Maria Inês Bezerril de Melo - Sonhos, Simbologia e Representação – 50H - Nota Máxima: 4</v>
      </c>
    </row>
    <row r="8667">
      <c r="A8667" s="390" t="str">
        <f>IFERROR(__xludf.DUMMYFUNCTION("""COMPUTED_VALUE"""),"Pós-Graduação em Psicanálise - Pós-Graduação em Psicanálise - Maria Inês Bezerril de Melo - Tópicos Avançados em Clínica – 40H - Nota Máxima: 8")</f>
        <v>Pós-Graduação em Psicanálise - Pós-Graduação em Psicanálise - Maria Inês Bezerril de Melo - Tópicos Avançados em Clínica – 40H - Nota Máxima: 8</v>
      </c>
    </row>
    <row r="8668">
      <c r="A8668" s="390" t="str">
        <f>IFERROR(__xludf.DUMMYFUNCTION("""COMPUTED_VALUE"""),"Pós-Graduação em Psicanálise - Pós-Graduação em Psicanálise - Maria Inês Bezerril de Melo - Tópicos Avançados em Sexualidade – 40H - Nota Máxima: 4")</f>
        <v>Pós-Graduação em Psicanálise - Pós-Graduação em Psicanálise - Maria Inês Bezerril de Melo - Tópicos Avançados em Sexualidade – 40H - Nota Máxima: 4</v>
      </c>
    </row>
    <row r="8669">
      <c r="A8669" s="390" t="str">
        <f>IFERROR(__xludf.DUMMYFUNCTION("""COMPUTED_VALUE"""),"Pós-Graduação em Psicanálise - Pós-Graduação em Psicanálise - Alex Sandro dos Santos - Complexo de Édipo e Castração - Nota Máxima: 5")</f>
        <v>Pós-Graduação em Psicanálise - Pós-Graduação em Psicanálise - Alex Sandro dos Santos - Complexo de Édipo e Castração - Nota Máxima: 5</v>
      </c>
    </row>
    <row r="8670">
      <c r="A8670" s="390" t="str">
        <f>IFERROR(__xludf.DUMMYFUNCTION("""COMPUTED_VALUE"""),"Pós-Graduação em Psicanálise - Pós-Graduação em Psicanálise - Alex Sandro dos Santos - Formação e Ética do Psicanalista – 30H - Nota Máxima: 8")</f>
        <v>Pós-Graduação em Psicanálise - Pós-Graduação em Psicanálise - Alex Sandro dos Santos - Formação e Ética do Psicanalista – 30H - Nota Máxima: 8</v>
      </c>
    </row>
    <row r="8671">
      <c r="A8671" s="390" t="str">
        <f>IFERROR(__xludf.DUMMYFUNCTION("""COMPUTED_VALUE"""),"Pós-Graduação em Psicanálise - Pós-Graduação em Psicanálise - Alex Sandro dos Santos - Introdução à Psicanálise – 40H - Nota Máxima: 1")</f>
        <v>Pós-Graduação em Psicanálise - Pós-Graduação em Psicanálise - Alex Sandro dos Santos - Introdução à Psicanálise – 40H - Nota Máxima: 1</v>
      </c>
    </row>
    <row r="8672">
      <c r="A8672" s="390" t="str">
        <f>IFERROR(__xludf.DUMMYFUNCTION("""COMPUTED_VALUE"""),"Pós-Graduação em Psicanálise - Pós-Graduação em Psicanálise - Alex Sandro dos Santos - Libido, Pulsões e Sexualidade – 50H - Nota Máxima: 0")</f>
        <v>Pós-Graduação em Psicanálise - Pós-Graduação em Psicanálise - Alex Sandro dos Santos - Libido, Pulsões e Sexualidade – 50H - Nota Máxima: 0</v>
      </c>
    </row>
    <row r="8673">
      <c r="A8673" s="390" t="str">
        <f>IFERROR(__xludf.DUMMYFUNCTION("""COMPUTED_VALUE"""),"Pós-Graduação em Psicanálise - Pós-Graduação em Psicanálise - Alex Sandro dos Santos - Narcisismo e a Cultura da Indiferença – 40H - Nota Máxima: 7")</f>
        <v>Pós-Graduação em Psicanálise - Pós-Graduação em Psicanálise - Alex Sandro dos Santos - Narcisismo e a Cultura da Indiferença – 40H - Nota Máxima: 7</v>
      </c>
    </row>
    <row r="8674">
      <c r="A8674" s="390" t="str">
        <f>IFERROR(__xludf.DUMMYFUNCTION("""COMPUTED_VALUE"""),"Pós-Graduação em Psicanálise - Pós-Graduação em Psicanálise - Maiara Daiane Calmon Souza - Complexo de Édipo e Castração - Nota Máxima: 7")</f>
        <v>Pós-Graduação em Psicanálise - Pós-Graduação em Psicanálise - Maiara Daiane Calmon Souza - Complexo de Édipo e Castração - Nota Máxima: 7</v>
      </c>
    </row>
    <row r="8675">
      <c r="A8675" s="390" t="str">
        <f>IFERROR(__xludf.DUMMYFUNCTION("""COMPUTED_VALUE"""),"Pós-Graduação em Psicanálise - Pós-Graduação em Psicanálise - Maiara Daiane Calmon Souza - Formação e Ética do Psicanalista – 30H - Nota Máxima: 9")</f>
        <v>Pós-Graduação em Psicanálise - Pós-Graduação em Psicanálise - Maiara Daiane Calmon Souza - Formação e Ética do Psicanalista – 30H - Nota Máxima: 9</v>
      </c>
    </row>
    <row r="8676">
      <c r="A8676" s="390" t="str">
        <f>IFERROR(__xludf.DUMMYFUNCTION("""COMPUTED_VALUE"""),"Pós-Graduação em Psicanálise - Pós-Graduação em Psicanálise - Adenilton Reis Lima - Complexo de Édipo e Castração - Nota Máxima: 10")</f>
        <v>Pós-Graduação em Psicanálise - Pós-Graduação em Psicanálise - Adenilton Reis Lima - Complexo de Édipo e Castração - Nota Máxima: 10</v>
      </c>
    </row>
    <row r="8677">
      <c r="A8677" s="390" t="str">
        <f>IFERROR(__xludf.DUMMYFUNCTION("""COMPUTED_VALUE"""),"Pós-Graduação em Psicanálise - Pós-Graduação em Psicanálise - Adenilton Reis Lima - Formação e Ética do Psicanalista – 30H - Nota Máxima: 7")</f>
        <v>Pós-Graduação em Psicanálise - Pós-Graduação em Psicanálise - Adenilton Reis Lima - Formação e Ética do Psicanalista – 30H - Nota Máxima: 7</v>
      </c>
    </row>
    <row r="8678">
      <c r="A8678" s="390" t="str">
        <f>IFERROR(__xludf.DUMMYFUNCTION("""COMPUTED_VALUE"""),"Pós-Graduação em Psicanálise - Pós-Graduação em Psicanálise - Adenilton Reis Lima - Introdução à EAD - 30H - Nota Máxima: 8")</f>
        <v>Pós-Graduação em Psicanálise - Pós-Graduação em Psicanálise - Adenilton Reis Lima - Introdução à EAD - 30H - Nota Máxima: 8</v>
      </c>
    </row>
    <row r="8679">
      <c r="A8679" s="390" t="str">
        <f>IFERROR(__xludf.DUMMYFUNCTION("""COMPUTED_VALUE"""),"Pós-Graduação em Psicanálise - Pós-Graduação em Psicanálise - Adenilton Reis Lima - Introdução à EAD - 30H - Nota Máxima: 0")</f>
        <v>Pós-Graduação em Psicanálise - Pós-Graduação em Psicanálise - Adenilton Reis Lima - Introdução à EAD - 30H - Nota Máxima: 0</v>
      </c>
    </row>
    <row r="8680">
      <c r="A8680" s="390" t="str">
        <f>IFERROR(__xludf.DUMMYFUNCTION("""COMPUTED_VALUE"""),"Pós-Graduação em Psicanálise - Pós-Graduação em Psicanálise - Adenilton Reis Lima - Introdução à Psicanálise – 40H - Nota Máxima: 10")</f>
        <v>Pós-Graduação em Psicanálise - Pós-Graduação em Psicanálise - Adenilton Reis Lima - Introdução à Psicanálise – 40H - Nota Máxima: 10</v>
      </c>
    </row>
    <row r="8681">
      <c r="A8681" s="390" t="str">
        <f>IFERROR(__xludf.DUMMYFUNCTION("""COMPUTED_VALUE"""),"Pós-Graduação em Psicanálise - Pós-Graduação em Psicanálise - Adenilton Reis Lima - Libido, Pulsões e Sexualidade – 50H - Nota Máxima: 9")</f>
        <v>Pós-Graduação em Psicanálise - Pós-Graduação em Psicanálise - Adenilton Reis Lima - Libido, Pulsões e Sexualidade – 50H - Nota Máxima: 9</v>
      </c>
    </row>
    <row r="8682">
      <c r="A8682" s="390" t="str">
        <f>IFERROR(__xludf.DUMMYFUNCTION("""COMPUTED_VALUE"""),"Pós-Graduação em Psicanálise - Pós-Graduação em Psicanálise - Adenilton Reis Lima - Narcisismo e a Cultura da Indiferença – 40H - Nota Máxima: 7")</f>
        <v>Pós-Graduação em Psicanálise - Pós-Graduação em Psicanálise - Adenilton Reis Lima - Narcisismo e a Cultura da Indiferença – 40H - Nota Máxima: 7</v>
      </c>
    </row>
    <row r="8683">
      <c r="A8683" s="390" t="str">
        <f>IFERROR(__xludf.DUMMYFUNCTION("""COMPUTED_VALUE"""),"Pós-Graduação em Psicanálise - Pós-Graduação em Psicanálise - Adenilton Reis Lima - O Aparelho psíquico, aspectos clínicos e Teóricos – 40H - Nota Máxima: 7")</f>
        <v>Pós-Graduação em Psicanálise - Pós-Graduação em Psicanálise - Adenilton Reis Lima - O Aparelho psíquico, aspectos clínicos e Teóricos – 40H - Nota Máxima: 7</v>
      </c>
    </row>
    <row r="8684">
      <c r="A8684" s="390" t="str">
        <f>IFERROR(__xludf.DUMMYFUNCTION("""COMPUTED_VALUE"""),"Pós-Graduação em Psicanálise - Pós-Graduação em Psicanálise - Adenilton Reis Lima - O Método Psicanalítico – 50H - Nota Máxima: 9")</f>
        <v>Pós-Graduação em Psicanálise - Pós-Graduação em Psicanálise - Adenilton Reis Lima - O Método Psicanalítico – 50H - Nota Máxima: 9</v>
      </c>
    </row>
    <row r="8685">
      <c r="A8685" s="390" t="str">
        <f>IFERROR(__xludf.DUMMYFUNCTION("""COMPUTED_VALUE"""),"Pós-Graduação em Psicanálise - Pós-Graduação em Psicanálise - Adenilton Reis Lima - Práticas e Procedimentos em Clínica – 30H - Nota Máxima: 7")</f>
        <v>Pós-Graduação em Psicanálise - Pós-Graduação em Psicanálise - Adenilton Reis Lima - Práticas e Procedimentos em Clínica – 30H - Nota Máxima: 7</v>
      </c>
    </row>
    <row r="8686">
      <c r="A8686" s="390" t="str">
        <f>IFERROR(__xludf.DUMMYFUNCTION("""COMPUTED_VALUE"""),"Pós-Graduação em Psicanálise - Pós-Graduação em Psicanálise - Adenilton Reis Lima - Processos de Transferência e Resistência – 30H - Nota Máxima: 10")</f>
        <v>Pós-Graduação em Psicanálise - Pós-Graduação em Psicanálise - Adenilton Reis Lima - Processos de Transferência e Resistência – 30H - Nota Máxima: 10</v>
      </c>
    </row>
    <row r="8687">
      <c r="A8687" s="390" t="str">
        <f>IFERROR(__xludf.DUMMYFUNCTION("""COMPUTED_VALUE"""),"Pós-Graduação em Psicanálise - Pós-Graduação em Psicanálise - Adenilton Reis Lima - Psicanálise da Criança e do Adolescente – 40H - Nota Máxima: 10")</f>
        <v>Pós-Graduação em Psicanálise - Pós-Graduação em Psicanálise - Adenilton Reis Lima - Psicanálise da Criança e do Adolescente – 40H - Nota Máxima: 10</v>
      </c>
    </row>
    <row r="8688">
      <c r="A8688" s="390" t="str">
        <f>IFERROR(__xludf.DUMMYFUNCTION("""COMPUTED_VALUE"""),"Pós-Graduação em Psicanálise - Pós-Graduação em Psicanálise - Adenilton Reis Lima - Psicanálise II – 50H - Nota Máxima: 10")</f>
        <v>Pós-Graduação em Psicanálise - Pós-Graduação em Psicanálise - Adenilton Reis Lima - Psicanálise II – 50H - Nota Máxima: 10</v>
      </c>
    </row>
    <row r="8689">
      <c r="A8689" s="390" t="str">
        <f>IFERROR(__xludf.DUMMYFUNCTION("""COMPUTED_VALUE"""),"Pós-Graduação em Psicanálise - Pós-Graduação em Psicanálise - Adenilton Reis Lima - Psicopatologias I – 40H - Nota Máxima: 10")</f>
        <v>Pós-Graduação em Psicanálise - Pós-Graduação em Psicanálise - Adenilton Reis Lima - Psicopatologias I – 40H - Nota Máxima: 10</v>
      </c>
    </row>
    <row r="8690">
      <c r="A8690" s="390" t="str">
        <f>IFERROR(__xludf.DUMMYFUNCTION("""COMPUTED_VALUE"""),"Pós-Graduação em Psicanálise - Pós-Graduação em Psicanálise - Adenilton Reis Lima - Psicopatologias II – 50H - Nota Máxima: 10")</f>
        <v>Pós-Graduação em Psicanálise - Pós-Graduação em Psicanálise - Adenilton Reis Lima - Psicopatologias II – 50H - Nota Máxima: 10</v>
      </c>
    </row>
    <row r="8691">
      <c r="A8691" s="390" t="str">
        <f>IFERROR(__xludf.DUMMYFUNCTION("""COMPUTED_VALUE"""),"Pós-Graduação em Psicanálise - Pós-Graduação em Psicanálise - Adenilton Reis Lima - Sonhos, Simbologia e Representação – 50H - Nota Máxima: 10")</f>
        <v>Pós-Graduação em Psicanálise - Pós-Graduação em Psicanálise - Adenilton Reis Lima - Sonhos, Simbologia e Representação – 50H - Nota Máxima: 10</v>
      </c>
    </row>
    <row r="8692">
      <c r="A8692" s="390" t="str">
        <f>IFERROR(__xludf.DUMMYFUNCTION("""COMPUTED_VALUE"""),"Pós-Graduação em Psicanálise - Pós-Graduação em Psicanálise - Adenilton Reis Lima - Tópicos Avançados em Clínica – 40H - Nota Máxima: 10")</f>
        <v>Pós-Graduação em Psicanálise - Pós-Graduação em Psicanálise - Adenilton Reis Lima - Tópicos Avançados em Clínica – 40H - Nota Máxima: 10</v>
      </c>
    </row>
    <row r="8693">
      <c r="A8693" s="390" t="str">
        <f>IFERROR(__xludf.DUMMYFUNCTION("""COMPUTED_VALUE"""),"Pós-Graduação em Psicanálise - Pós-Graduação em Psicanálise - Adenilton Reis Lima - Tópicos Avançados em Sexualidade – 40H - Nota Máxima: 10")</f>
        <v>Pós-Graduação em Psicanálise - Pós-Graduação em Psicanálise - Adenilton Reis Lima - Tópicos Avançados em Sexualidade – 40H - Nota Máxima: 10</v>
      </c>
    </row>
    <row r="8694">
      <c r="A8694" s="390" t="str">
        <f>IFERROR(__xludf.DUMMYFUNCTION("""COMPUTED_VALUE"""),"Pós-Graduação em Psicanálise - Pós-Graduação em Psicanálise - Carla Magna da Costa Ribeiro Lopes - Práticas e Procedimentos em Clínica – 30H - Nota Máxima: 9")</f>
        <v>Pós-Graduação em Psicanálise - Pós-Graduação em Psicanálise - Carla Magna da Costa Ribeiro Lopes - Práticas e Procedimentos em Clínica – 30H - Nota Máxima: 9</v>
      </c>
    </row>
    <row r="8695">
      <c r="A8695" s="390" t="str">
        <f>IFERROR(__xludf.DUMMYFUNCTION("""COMPUTED_VALUE"""),"Pós-Graduação em Psicanálise - Pós-Graduação em Psicanálise - Carla Magna da Costa Ribeiro Lopes - Psicopatologias I – 40H - Nota Máxima: 7")</f>
        <v>Pós-Graduação em Psicanálise - Pós-Graduação em Psicanálise - Carla Magna da Costa Ribeiro Lopes - Psicopatologias I – 40H - Nota Máxima: 7</v>
      </c>
    </row>
    <row r="8696">
      <c r="A8696" s="390" t="str">
        <f>IFERROR(__xludf.DUMMYFUNCTION("""COMPUTED_VALUE"""),"Pós-Graduação em Psicanálise - Pós-Graduação em Psicanálise - Carla Magna da Costa Ribeiro Lopes - Sonhos, Simbologia e Representação – 50H - Nota Máxima: 10")</f>
        <v>Pós-Graduação em Psicanálise - Pós-Graduação em Psicanálise - Carla Magna da Costa Ribeiro Lopes - Sonhos, Simbologia e Representação – 50H - Nota Máxima: 10</v>
      </c>
    </row>
    <row r="8697">
      <c r="A8697" s="390" t="str">
        <f>IFERROR(__xludf.DUMMYFUNCTION("""COMPUTED_VALUE"""),"Pós-Graduação em Psicanálise - Pós-Graduação em Psicanálise - Carla Magna da Costa Ribeiro Lopes - Tópicos Avançados em Clínica – 40H - Nota Máxima: 9")</f>
        <v>Pós-Graduação em Psicanálise - Pós-Graduação em Psicanálise - Carla Magna da Costa Ribeiro Lopes - Tópicos Avançados em Clínica – 40H - Nota Máxima: 9</v>
      </c>
    </row>
    <row r="8698">
      <c r="A8698" s="390" t="str">
        <f>IFERROR(__xludf.DUMMYFUNCTION("""COMPUTED_VALUE"""),"Pós-Graduação em Psicanálise - Pós-Graduação em Psicanálise - Francisca Paulina Goulart Tozzi - Complexo de Édipo e Castração - Nota Máxima: 9")</f>
        <v>Pós-Graduação em Psicanálise - Pós-Graduação em Psicanálise - Francisca Paulina Goulart Tozzi - Complexo de Édipo e Castração - Nota Máxima: 9</v>
      </c>
    </row>
    <row r="8699">
      <c r="A8699" s="390" t="str">
        <f>IFERROR(__xludf.DUMMYFUNCTION("""COMPUTED_VALUE"""),"Pós-Graduação em Psicanálise - Pós-Graduação em Psicanálise - Francisca Paulina Goulart Tozzi - Formação e Ética do Psicanalista – 30H - Nota Máxima: 10")</f>
        <v>Pós-Graduação em Psicanálise - Pós-Graduação em Psicanálise - Francisca Paulina Goulart Tozzi - Formação e Ética do Psicanalista – 30H - Nota Máxima: 10</v>
      </c>
    </row>
    <row r="8700">
      <c r="A8700" s="390" t="str">
        <f>IFERROR(__xludf.DUMMYFUNCTION("""COMPUTED_VALUE"""),"Pós-Graduação em Psicanálise - Pós-Graduação em Psicanálise - Francisca Paulina Goulart Tozzi - Introdução à EAD - 30H - Nota Máxima: 8")</f>
        <v>Pós-Graduação em Psicanálise - Pós-Graduação em Psicanálise - Francisca Paulina Goulart Tozzi - Introdução à EAD - 30H - Nota Máxima: 8</v>
      </c>
    </row>
    <row r="8701">
      <c r="A8701" s="390" t="str">
        <f>IFERROR(__xludf.DUMMYFUNCTION("""COMPUTED_VALUE"""),"Pós-Graduação em Psicanálise - Pós-Graduação em Psicanálise - Francisca Paulina Goulart Tozzi - Introdução à Psicanálise – 40H - Nota Máxima: 8")</f>
        <v>Pós-Graduação em Psicanálise - Pós-Graduação em Psicanálise - Francisca Paulina Goulart Tozzi - Introdução à Psicanálise – 40H - Nota Máxima: 8</v>
      </c>
    </row>
    <row r="8702">
      <c r="A8702" s="390" t="str">
        <f>IFERROR(__xludf.DUMMYFUNCTION("""COMPUTED_VALUE"""),"Pós-Graduação em Psicanálise - Pós-Graduação em Psicanálise - Francisca Paulina Goulart Tozzi - Libido, Pulsões e Sexualidade – 50H - Nota Máxima: 10")</f>
        <v>Pós-Graduação em Psicanálise - Pós-Graduação em Psicanálise - Francisca Paulina Goulart Tozzi - Libido, Pulsões e Sexualidade – 50H - Nota Máxima: 10</v>
      </c>
    </row>
    <row r="8703">
      <c r="A8703" s="390" t="str">
        <f>IFERROR(__xludf.DUMMYFUNCTION("""COMPUTED_VALUE"""),"Pós-Graduação em Psicanálise - Pós-Graduação em Psicanálise - Francisca Paulina Goulart Tozzi - Narcisismo e a Cultura da Indiferença – 40H - Nota Máxima: 9")</f>
        <v>Pós-Graduação em Psicanálise - Pós-Graduação em Psicanálise - Francisca Paulina Goulart Tozzi - Narcisismo e a Cultura da Indiferença – 40H - Nota Máxima: 9</v>
      </c>
    </row>
    <row r="8704">
      <c r="A8704" s="390" t="str">
        <f>IFERROR(__xludf.DUMMYFUNCTION("""COMPUTED_VALUE"""),"Pós-Graduação em Psicanálise - Pós-Graduação em Psicanálise - Francisca Paulina Goulart Tozzi - O Aparelho psíquico, aspectos clínicos e Teóricos – 40H - Nota Máxima: 10")</f>
        <v>Pós-Graduação em Psicanálise - Pós-Graduação em Psicanálise - Francisca Paulina Goulart Tozzi - O Aparelho psíquico, aspectos clínicos e Teóricos – 40H - Nota Máxima: 10</v>
      </c>
    </row>
    <row r="8705">
      <c r="A8705" s="390" t="str">
        <f>IFERROR(__xludf.DUMMYFUNCTION("""COMPUTED_VALUE"""),"Pós-Graduação em Psicanálise - Pós-Graduação em Psicanálise - Francisca Paulina Goulart Tozzi - O Método Psicanalítico – 50H - Nota Máxima: 8")</f>
        <v>Pós-Graduação em Psicanálise - Pós-Graduação em Psicanálise - Francisca Paulina Goulart Tozzi - O Método Psicanalítico – 50H - Nota Máxima: 8</v>
      </c>
    </row>
    <row r="8706">
      <c r="A8706" s="390" t="str">
        <f>IFERROR(__xludf.DUMMYFUNCTION("""COMPUTED_VALUE"""),"Pós-Graduação em Psicanálise - Pós-Graduação em Psicanálise - Francisca Paulina Goulart Tozzi - Práticas e Procedimentos em Clínica – 30H - Nota Máxima: 7")</f>
        <v>Pós-Graduação em Psicanálise - Pós-Graduação em Psicanálise - Francisca Paulina Goulart Tozzi - Práticas e Procedimentos em Clínica – 30H - Nota Máxima: 7</v>
      </c>
    </row>
    <row r="8707">
      <c r="A8707" s="390" t="str">
        <f>IFERROR(__xludf.DUMMYFUNCTION("""COMPUTED_VALUE"""),"Pós-Graduação em Psicanálise - Pós-Graduação em Psicanálise - Francisca Paulina Goulart Tozzi - Processos de Transferência e Resistência – 30H - Nota Máxima: 7")</f>
        <v>Pós-Graduação em Psicanálise - Pós-Graduação em Psicanálise - Francisca Paulina Goulart Tozzi - Processos de Transferência e Resistência – 30H - Nota Máxima: 7</v>
      </c>
    </row>
    <row r="8708">
      <c r="A8708" s="390" t="str">
        <f>IFERROR(__xludf.DUMMYFUNCTION("""COMPUTED_VALUE"""),"Pós-Graduação em Psicanálise - Pós-Graduação em Psicanálise - Francisca Paulina Goulart Tozzi - Psicanálise da Criança e do Adolescente – 40H - Nota Máxima: 10")</f>
        <v>Pós-Graduação em Psicanálise - Pós-Graduação em Psicanálise - Francisca Paulina Goulart Tozzi - Psicanálise da Criança e do Adolescente – 40H - Nota Máxima: 10</v>
      </c>
    </row>
    <row r="8709">
      <c r="A8709" s="390" t="str">
        <f>IFERROR(__xludf.DUMMYFUNCTION("""COMPUTED_VALUE"""),"Pós-Graduação em Psicanálise - Pós-Graduação em Psicanálise - Francisca Paulina Goulart Tozzi - Psicanálise II – 50H - Nota Máxima: 10")</f>
        <v>Pós-Graduação em Psicanálise - Pós-Graduação em Psicanálise - Francisca Paulina Goulart Tozzi - Psicanálise II – 50H - Nota Máxima: 10</v>
      </c>
    </row>
    <row r="8710">
      <c r="A8710" s="390" t="str">
        <f>IFERROR(__xludf.DUMMYFUNCTION("""COMPUTED_VALUE"""),"Pós-Graduação em Psicanálise - Pós-Graduação em Psicanálise - Francisca Paulina Goulart Tozzi - Psicopatologias I – 40H - Nota Máxima: 9")</f>
        <v>Pós-Graduação em Psicanálise - Pós-Graduação em Psicanálise - Francisca Paulina Goulart Tozzi - Psicopatologias I – 40H - Nota Máxima: 9</v>
      </c>
    </row>
    <row r="8711">
      <c r="A8711" s="390" t="str">
        <f>IFERROR(__xludf.DUMMYFUNCTION("""COMPUTED_VALUE"""),"Pós-Graduação em Psicanálise - Pós-Graduação em Psicanálise - Francisca Paulina Goulart Tozzi - Psicopatologias II – 50H - Nota Máxima: 9")</f>
        <v>Pós-Graduação em Psicanálise - Pós-Graduação em Psicanálise - Francisca Paulina Goulart Tozzi - Psicopatologias II – 50H - Nota Máxima: 9</v>
      </c>
    </row>
    <row r="8712">
      <c r="A8712" s="390" t="str">
        <f>IFERROR(__xludf.DUMMYFUNCTION("""COMPUTED_VALUE"""),"Pós-Graduação em Psicanálise - Pós-Graduação em Psicanálise - Francisca Paulina Goulart Tozzi - Sonhos, Simbologia e Representação – 50H - Nota Máxima: 10")</f>
        <v>Pós-Graduação em Psicanálise - Pós-Graduação em Psicanálise - Francisca Paulina Goulart Tozzi - Sonhos, Simbologia e Representação – 50H - Nota Máxima: 10</v>
      </c>
    </row>
    <row r="8713">
      <c r="A8713" s="390" t="str">
        <f>IFERROR(__xludf.DUMMYFUNCTION("""COMPUTED_VALUE"""),"Pós-Graduação em Psicanálise - Pós-Graduação em Psicanálise - Francisca Paulina Goulart Tozzi - Tópicos Avançados em Clínica – 40H - Nota Máxima: 10")</f>
        <v>Pós-Graduação em Psicanálise - Pós-Graduação em Psicanálise - Francisca Paulina Goulart Tozzi - Tópicos Avançados em Clínica – 40H - Nota Máxima: 10</v>
      </c>
    </row>
    <row r="8714">
      <c r="A8714" s="390" t="str">
        <f>IFERROR(__xludf.DUMMYFUNCTION("""COMPUTED_VALUE"""),"Pós-Graduação em Psicanálise - Pós-Graduação em Psicanálise - Francisca Paulina Goulart Tozzi - Tópicos Avançados em Sexualidade – 40H - Nota Máxima: 9")</f>
        <v>Pós-Graduação em Psicanálise - Pós-Graduação em Psicanálise - Francisca Paulina Goulart Tozzi - Tópicos Avançados em Sexualidade – 40H - Nota Máxima: 9</v>
      </c>
    </row>
    <row r="8715">
      <c r="A8715" s="390" t="str">
        <f>IFERROR(__xludf.DUMMYFUNCTION("""COMPUTED_VALUE"""),"Pós-Graduação em Psicanálise - Pós-Graduação em Psicanálise - Ivana Quadros Viana de Sousa - Complexo de Édipo e Castração - Nota Máxima: 9")</f>
        <v>Pós-Graduação em Psicanálise - Pós-Graduação em Psicanálise - Ivana Quadros Viana de Sousa - Complexo de Édipo e Castração - Nota Máxima: 9</v>
      </c>
    </row>
    <row r="8716">
      <c r="A8716" s="390" t="str">
        <f>IFERROR(__xludf.DUMMYFUNCTION("""COMPUTED_VALUE"""),"Pós-Graduação em Psicanálise - Pós-Graduação em Psicanálise - Ivana Quadros Viana de Sousa - Formação e Ética do Psicanalista – 30H - Nota Máxima: 9")</f>
        <v>Pós-Graduação em Psicanálise - Pós-Graduação em Psicanálise - Ivana Quadros Viana de Sousa - Formação e Ética do Psicanalista – 30H - Nota Máxima: 9</v>
      </c>
    </row>
    <row r="8717">
      <c r="A8717" s="390" t="str">
        <f>IFERROR(__xludf.DUMMYFUNCTION("""COMPUTED_VALUE"""),"Pós-Graduação em Psicanálise - Pós-Graduação em Psicanálise - Ivana Quadros Viana de Sousa - Introdução à EAD - 30H - Nota Máxima: 10")</f>
        <v>Pós-Graduação em Psicanálise - Pós-Graduação em Psicanálise - Ivana Quadros Viana de Sousa - Introdução à EAD - 30H - Nota Máxima: 10</v>
      </c>
    </row>
    <row r="8718">
      <c r="A8718" s="390" t="str">
        <f>IFERROR(__xludf.DUMMYFUNCTION("""COMPUTED_VALUE"""),"Pós-Graduação em Psicanálise - Pós-Graduação em Psicanálise - Ivana Quadros Viana de Sousa - Libido, Pulsões e Sexualidade – 50H - Nota Máxima: 10")</f>
        <v>Pós-Graduação em Psicanálise - Pós-Graduação em Psicanálise - Ivana Quadros Viana de Sousa - Libido, Pulsões e Sexualidade – 50H - Nota Máxima: 10</v>
      </c>
    </row>
    <row r="8719">
      <c r="A8719" s="390" t="str">
        <f>IFERROR(__xludf.DUMMYFUNCTION("""COMPUTED_VALUE"""),"Pós-Graduação em Psicanálise - Pós-Graduação em Psicanálise - Ivana Quadros Viana de Sousa - Narcisismo e a Cultura da Indiferença – 40H - Nota Máxima: 9")</f>
        <v>Pós-Graduação em Psicanálise - Pós-Graduação em Psicanálise - Ivana Quadros Viana de Sousa - Narcisismo e a Cultura da Indiferença – 40H - Nota Máxima: 9</v>
      </c>
    </row>
    <row r="8720">
      <c r="A8720" s="390" t="str">
        <f>IFERROR(__xludf.DUMMYFUNCTION("""COMPUTED_VALUE"""),"Pós-Graduação em Psicanálise - Pós-Graduação em Psicanálise - Ivana Quadros Viana de Sousa - O Aparelho psíquico, aspectos clínicos e Teóricos – 40H - Nota Máxima: 10")</f>
        <v>Pós-Graduação em Psicanálise - Pós-Graduação em Psicanálise - Ivana Quadros Viana de Sousa - O Aparelho psíquico, aspectos clínicos e Teóricos – 40H - Nota Máxima: 10</v>
      </c>
    </row>
    <row r="8721">
      <c r="A8721" s="390" t="str">
        <f>IFERROR(__xludf.DUMMYFUNCTION("""COMPUTED_VALUE"""),"Pós-Graduação em Psicanálise - Pós-Graduação em Psicanálise - Ivana Quadros Viana de Sousa - O Método Psicanalítico – 50H - Nota Máxima: 10")</f>
        <v>Pós-Graduação em Psicanálise - Pós-Graduação em Psicanálise - Ivana Quadros Viana de Sousa - O Método Psicanalítico – 50H - Nota Máxima: 10</v>
      </c>
    </row>
    <row r="8722">
      <c r="A8722" s="390" t="str">
        <f>IFERROR(__xludf.DUMMYFUNCTION("""COMPUTED_VALUE"""),"Pós-Graduação em Psicanálise - Pós-Graduação em Psicanálise - Ivana Quadros Viana de Sousa - Práticas e Procedimentos em Clínica – 30H - Nota Máxima: 10")</f>
        <v>Pós-Graduação em Psicanálise - Pós-Graduação em Psicanálise - Ivana Quadros Viana de Sousa - Práticas e Procedimentos em Clínica – 30H - Nota Máxima: 10</v>
      </c>
    </row>
    <row r="8723">
      <c r="A8723" s="390" t="str">
        <f>IFERROR(__xludf.DUMMYFUNCTION("""COMPUTED_VALUE"""),"Pós-Graduação em Psicanálise - Pós-Graduação em Psicanálise - Ivana Quadros Viana de Sousa - Processos de Transferência e Resistência – 30H - Nota Máxima: 9")</f>
        <v>Pós-Graduação em Psicanálise - Pós-Graduação em Psicanálise - Ivana Quadros Viana de Sousa - Processos de Transferência e Resistência – 30H - Nota Máxima: 9</v>
      </c>
    </row>
    <row r="8724">
      <c r="A8724" s="390" t="str">
        <f>IFERROR(__xludf.DUMMYFUNCTION("""COMPUTED_VALUE"""),"Pós-Graduação em Psicanálise - Pós-Graduação em Psicanálise - Ivana Quadros Viana de Sousa - Psicanálise da Criança e do Adolescente – 40H - Nota Máxima: 10")</f>
        <v>Pós-Graduação em Psicanálise - Pós-Graduação em Psicanálise - Ivana Quadros Viana de Sousa - Psicanálise da Criança e do Adolescente – 40H - Nota Máxima: 10</v>
      </c>
    </row>
    <row r="8725">
      <c r="A8725" s="390" t="str">
        <f>IFERROR(__xludf.DUMMYFUNCTION("""COMPUTED_VALUE"""),"Pós-Graduação em Psicanálise - Pós-Graduação em Psicanálise - Ivana Quadros Viana de Sousa - Psicanálise II – 50H - Nota Máxima: 9")</f>
        <v>Pós-Graduação em Psicanálise - Pós-Graduação em Psicanálise - Ivana Quadros Viana de Sousa - Psicanálise II – 50H - Nota Máxima: 9</v>
      </c>
    </row>
    <row r="8726">
      <c r="A8726" s="390" t="str">
        <f>IFERROR(__xludf.DUMMYFUNCTION("""COMPUTED_VALUE"""),"Pós-Graduação em Psicanálise - Pós-Graduação em Psicanálise - Ivana Quadros Viana de Sousa - Psicopatologias I – 40H - Nota Máxima: 10")</f>
        <v>Pós-Graduação em Psicanálise - Pós-Graduação em Psicanálise - Ivana Quadros Viana de Sousa - Psicopatologias I – 40H - Nota Máxima: 10</v>
      </c>
    </row>
    <row r="8727">
      <c r="A8727" s="390" t="str">
        <f>IFERROR(__xludf.DUMMYFUNCTION("""COMPUTED_VALUE"""),"Pós-Graduação em Psicanálise - Pós-Graduação em Psicanálise - Ivana Quadros Viana de Sousa - Psicopatologias II – 50H - Nota Máxima: 10")</f>
        <v>Pós-Graduação em Psicanálise - Pós-Graduação em Psicanálise - Ivana Quadros Viana de Sousa - Psicopatologias II – 50H - Nota Máxima: 10</v>
      </c>
    </row>
    <row r="8728">
      <c r="A8728" s="390" t="str">
        <f>IFERROR(__xludf.DUMMYFUNCTION("""COMPUTED_VALUE"""),"Pós-Graduação em Psicanálise - Pós-Graduação em Psicanálise - Ivana Quadros Viana de Sousa - Sonhos, Simbologia e Representação – 50H - Nota Máxima: 10")</f>
        <v>Pós-Graduação em Psicanálise - Pós-Graduação em Psicanálise - Ivana Quadros Viana de Sousa - Sonhos, Simbologia e Representação – 50H - Nota Máxima: 10</v>
      </c>
    </row>
    <row r="8729">
      <c r="A8729" s="390" t="str">
        <f>IFERROR(__xludf.DUMMYFUNCTION("""COMPUTED_VALUE"""),"Pós-Graduação em Psicanálise - Pós-Graduação em Psicanálise - Ivana Quadros Viana de Sousa - Tópicos Avançados em Clínica – 40H - Nota Máxima: 10")</f>
        <v>Pós-Graduação em Psicanálise - Pós-Graduação em Psicanálise - Ivana Quadros Viana de Sousa - Tópicos Avançados em Clínica – 40H - Nota Máxima: 10</v>
      </c>
    </row>
    <row r="8730">
      <c r="A8730" s="390" t="str">
        <f>IFERROR(__xludf.DUMMYFUNCTION("""COMPUTED_VALUE"""),"Pós-Graduação em Psicanálise - Pós-Graduação em Psicanálise - Ivana Quadros Viana de Sousa - Tópicos Avançados em Sexualidade – 40H - Nota Máxima: 10")</f>
        <v>Pós-Graduação em Psicanálise - Pós-Graduação em Psicanálise - Ivana Quadros Viana de Sousa - Tópicos Avançados em Sexualidade – 40H - Nota Máxima: 10</v>
      </c>
    </row>
    <row r="8731">
      <c r="A8731" s="390" t="str">
        <f>IFERROR(__xludf.DUMMYFUNCTION("""COMPUTED_VALUE"""),"Pós-Graduação em Psicanálise - Pós-Graduação em Psicanálise - Luana Moreira de Souza - Complexo de Édipo e Castração - Nota Máxima: 8")</f>
        <v>Pós-Graduação em Psicanálise - Pós-Graduação em Psicanálise - Luana Moreira de Souza - Complexo de Édipo e Castração - Nota Máxima: 8</v>
      </c>
    </row>
    <row r="8732">
      <c r="A8732" s="390" t="str">
        <f>IFERROR(__xludf.DUMMYFUNCTION("""COMPUTED_VALUE"""),"Pós-Graduação em Psicanálise - Pós-Graduação em Psicanálise - Luana Moreira de Souza - Formação e Ética do Psicanalista – 30H - Nota Máxima: 9")</f>
        <v>Pós-Graduação em Psicanálise - Pós-Graduação em Psicanálise - Luana Moreira de Souza - Formação e Ética do Psicanalista – 30H - Nota Máxima: 9</v>
      </c>
    </row>
    <row r="8733">
      <c r="A8733" s="390" t="str">
        <f>IFERROR(__xludf.DUMMYFUNCTION("""COMPUTED_VALUE"""),"Pós-Graduação em Psicanálise - Pós-Graduação em Psicanálise - Luana Moreira de Souza - Planejamento, Gestão Educacional e Currículo/a - Nota Máxima: 9")</f>
        <v>Pós-Graduação em Psicanálise - Pós-Graduação em Psicanálise - Luana Moreira de Souza - Planejamento, Gestão Educacional e Currículo/a - Nota Máxima: 9</v>
      </c>
    </row>
    <row r="8734">
      <c r="A8734" s="390" t="str">
        <f>IFERROR(__xludf.DUMMYFUNCTION("""COMPUTED_VALUE"""),"Pós-Graduação em Psicanálise - Pós-Graduação em Psicanálise - Marcos Lattuca da Silva - Formação e Ética do Psicanalista – 30H - Nota Máxima: 10")</f>
        <v>Pós-Graduação em Psicanálise - Pós-Graduação em Psicanálise - Marcos Lattuca da Silva - Formação e Ética do Psicanalista – 30H - Nota Máxima: 10</v>
      </c>
    </row>
    <row r="8735">
      <c r="A8735" s="390" t="str">
        <f>IFERROR(__xludf.DUMMYFUNCTION("""COMPUTED_VALUE"""),"Pós-Graduação em Psicanálise - Pós-Graduação em Psicanálise - Marcos Lattuca da Silva - Formação e Ética do Psicanalista – 30H - Nota Máxima: 7")</f>
        <v>Pós-Graduação em Psicanálise - Pós-Graduação em Psicanálise - Marcos Lattuca da Silva - Formação e Ética do Psicanalista – 30H - Nota Máxima: 7</v>
      </c>
    </row>
    <row r="8736">
      <c r="A8736" s="390" t="str">
        <f>IFERROR(__xludf.DUMMYFUNCTION("""COMPUTED_VALUE"""),"Pós-Graduação em Psicanálise - Pós-Graduação em Psicanálise - Marcos Lattuca da Silva - Libido, Pulsões e Sexualidade – 50H - Nota Máxima: 10")</f>
        <v>Pós-Graduação em Psicanálise - Pós-Graduação em Psicanálise - Marcos Lattuca da Silva - Libido, Pulsões e Sexualidade – 50H - Nota Máxima: 10</v>
      </c>
    </row>
    <row r="8737">
      <c r="A8737" s="390" t="str">
        <f>IFERROR(__xludf.DUMMYFUNCTION("""COMPUTED_VALUE"""),"Pós-Graduação em Psicanálise - Pós-Graduação em Psicanálise - Marcos Lattuca da Silva - Libido, Pulsões e Sexualidade – 50H - Nota Máxima: 5")</f>
        <v>Pós-Graduação em Psicanálise - Pós-Graduação em Psicanálise - Marcos Lattuca da Silva - Libido, Pulsões e Sexualidade – 50H - Nota Máxima: 5</v>
      </c>
    </row>
    <row r="8738">
      <c r="A8738" s="390" t="str">
        <f>IFERROR(__xludf.DUMMYFUNCTION("""COMPUTED_VALUE"""),"Pós-Graduação em Psicanálise - Pós-Graduação em Psicanálise - Marcos Lattuca da Silva - Narcisismo e a Cultura da Indiferença – 40H - Nota Máxima: 10")</f>
        <v>Pós-Graduação em Psicanálise - Pós-Graduação em Psicanálise - Marcos Lattuca da Silva - Narcisismo e a Cultura da Indiferença – 40H - Nota Máxima: 10</v>
      </c>
    </row>
    <row r="8739">
      <c r="A8739" s="390" t="str">
        <f>IFERROR(__xludf.DUMMYFUNCTION("""COMPUTED_VALUE"""),"Pós-Graduação em Psicanálise - Pós-Graduação em Psicanálise - Marcos Lattuca da Silva - Narcisismo e a Cultura da Indiferença – 40H - Nota Máxima: 7")</f>
        <v>Pós-Graduação em Psicanálise - Pós-Graduação em Psicanálise - Marcos Lattuca da Silva - Narcisismo e a Cultura da Indiferença – 40H - Nota Máxima: 7</v>
      </c>
    </row>
    <row r="8740">
      <c r="A8740" s="390" t="str">
        <f>IFERROR(__xludf.DUMMYFUNCTION("""COMPUTED_VALUE"""),"Pós-Graduação em Psicanálise - Pós-Graduação em Psicanálise - Marcos Lattuca da Silva - O Aparelho psíquico, aspectos clínicos e Teóricos – 40H - Nota Máxima: 10")</f>
        <v>Pós-Graduação em Psicanálise - Pós-Graduação em Psicanálise - Marcos Lattuca da Silva - O Aparelho psíquico, aspectos clínicos e Teóricos – 40H - Nota Máxima: 10</v>
      </c>
    </row>
    <row r="8741">
      <c r="A8741" s="390" t="str">
        <f>IFERROR(__xludf.DUMMYFUNCTION("""COMPUTED_VALUE"""),"Pós-Graduação em Psicanálise - Pós-Graduação em Psicanálise - Marcos Lattuca da Silva - O Aparelho psíquico, aspectos clínicos e Teóricos – 40H - Nota Máxima: 8")</f>
        <v>Pós-Graduação em Psicanálise - Pós-Graduação em Psicanálise - Marcos Lattuca da Silva - O Aparelho psíquico, aspectos clínicos e Teóricos – 40H - Nota Máxima: 8</v>
      </c>
    </row>
    <row r="8742">
      <c r="A8742" s="390" t="str">
        <f>IFERROR(__xludf.DUMMYFUNCTION("""COMPUTED_VALUE"""),"Pós-Graduação em Psicanálise - Pós-Graduação em Psicanálise - Marcos Lattuca da Silva - O Método Psicanalítico – 50H - Nota Máxima: 10")</f>
        <v>Pós-Graduação em Psicanálise - Pós-Graduação em Psicanálise - Marcos Lattuca da Silva - O Método Psicanalítico – 50H - Nota Máxima: 10</v>
      </c>
    </row>
    <row r="8743">
      <c r="A8743" s="390" t="str">
        <f>IFERROR(__xludf.DUMMYFUNCTION("""COMPUTED_VALUE"""),"Pós-Graduação em Psicanálise - Pós-Graduação em Psicanálise - Marcos Lattuca da Silva - O Método Psicanalítico – 50H - Nota Máxima: 9")</f>
        <v>Pós-Graduação em Psicanálise - Pós-Graduação em Psicanálise - Marcos Lattuca da Silva - O Método Psicanalítico – 50H - Nota Máxima: 9</v>
      </c>
    </row>
    <row r="8744">
      <c r="A8744" s="390" t="str">
        <f>IFERROR(__xludf.DUMMYFUNCTION("""COMPUTED_VALUE"""),"Pós-Graduação em Psicanálise - Pós-Graduação em Psicanálise - Marcos Lattuca da Silva - Práticas e Procedimentos em Clínica – 30H - Nota Máxima: 9")</f>
        <v>Pós-Graduação em Psicanálise - Pós-Graduação em Psicanálise - Marcos Lattuca da Silva - Práticas e Procedimentos em Clínica – 30H - Nota Máxima: 9</v>
      </c>
    </row>
    <row r="8745">
      <c r="A8745" s="390" t="str">
        <f>IFERROR(__xludf.DUMMYFUNCTION("""COMPUTED_VALUE"""),"Pós-Graduação em Psicanálise - Pós-Graduação em Psicanálise - Marcos Lattuca da Silva - Práticas e Procedimentos em Clínica – 30H - Nota Máxima: 7")</f>
        <v>Pós-Graduação em Psicanálise - Pós-Graduação em Psicanálise - Marcos Lattuca da Silva - Práticas e Procedimentos em Clínica – 30H - Nota Máxima: 7</v>
      </c>
    </row>
    <row r="8746">
      <c r="A8746" s="390" t="str">
        <f>IFERROR(__xludf.DUMMYFUNCTION("""COMPUTED_VALUE"""),"Pós-Graduação em Psicanálise - Pós-Graduação em Psicanálise - Marcos Lattuca da Silva - Processos de Transferência e Resistência – 30H - Nota Máxima: 10")</f>
        <v>Pós-Graduação em Psicanálise - Pós-Graduação em Psicanálise - Marcos Lattuca da Silva - Processos de Transferência e Resistência – 30H - Nota Máxima: 10</v>
      </c>
    </row>
    <row r="8747">
      <c r="A8747" s="390" t="str">
        <f>IFERROR(__xludf.DUMMYFUNCTION("""COMPUTED_VALUE"""),"Pós-Graduação em Psicanálise - Pós-Graduação em Psicanálise - Marcos Lattuca da Silva - Processos de Transferência e Resistência – 30H - Nota Máxima: 6")</f>
        <v>Pós-Graduação em Psicanálise - Pós-Graduação em Psicanálise - Marcos Lattuca da Silva - Processos de Transferência e Resistência – 30H - Nota Máxima: 6</v>
      </c>
    </row>
    <row r="8748">
      <c r="A8748" s="390" t="str">
        <f>IFERROR(__xludf.DUMMYFUNCTION("""COMPUTED_VALUE"""),"Pós-Graduação em Psicanálise - Pós-Graduação em Psicanálise - Marcos Lattuca da Silva - Psicanálise da Criança e do Adolescente – 40H - Nota Máxima: 9")</f>
        <v>Pós-Graduação em Psicanálise - Pós-Graduação em Psicanálise - Marcos Lattuca da Silva - Psicanálise da Criança e do Adolescente – 40H - Nota Máxima: 9</v>
      </c>
    </row>
    <row r="8749">
      <c r="A8749" s="390" t="str">
        <f>IFERROR(__xludf.DUMMYFUNCTION("""COMPUTED_VALUE"""),"Pós-Graduação em Psicanálise - Pós-Graduação em Psicanálise - Marcos Lattuca da Silva - Psicanálise da Criança e do Adolescente – 40H - Nota Máxima: 8")</f>
        <v>Pós-Graduação em Psicanálise - Pós-Graduação em Psicanálise - Marcos Lattuca da Silva - Psicanálise da Criança e do Adolescente – 40H - Nota Máxima: 8</v>
      </c>
    </row>
    <row r="8750">
      <c r="A8750" s="390" t="str">
        <f>IFERROR(__xludf.DUMMYFUNCTION("""COMPUTED_VALUE"""),"Pós-Graduação em Psicanálise - Pós-Graduação em Psicanálise - Marcos Lattuca da Silva - Psicanálise II – 50H - Nota Máxima: 9")</f>
        <v>Pós-Graduação em Psicanálise - Pós-Graduação em Psicanálise - Marcos Lattuca da Silva - Psicanálise II – 50H - Nota Máxima: 9</v>
      </c>
    </row>
    <row r="8751">
      <c r="A8751" s="390" t="str">
        <f>IFERROR(__xludf.DUMMYFUNCTION("""COMPUTED_VALUE"""),"Pós-Graduação em Psicanálise - Pós-Graduação em Psicanálise - Marcos Lattuca da Silva - Psicanálise II – 50H - Nota Máxima: 6")</f>
        <v>Pós-Graduação em Psicanálise - Pós-Graduação em Psicanálise - Marcos Lattuca da Silva - Psicanálise II – 50H - Nota Máxima: 6</v>
      </c>
    </row>
    <row r="8752">
      <c r="A8752" s="390" t="str">
        <f>IFERROR(__xludf.DUMMYFUNCTION("""COMPUTED_VALUE"""),"Pós-Graduação em Psicanálise - Pós-Graduação em Psicanálise - Marcos Lattuca da Silva - Psicopatologias I – 40H - Nota Máxima: 10")</f>
        <v>Pós-Graduação em Psicanálise - Pós-Graduação em Psicanálise - Marcos Lattuca da Silva - Psicopatologias I – 40H - Nota Máxima: 10</v>
      </c>
    </row>
    <row r="8753">
      <c r="A8753" s="390" t="str">
        <f>IFERROR(__xludf.DUMMYFUNCTION("""COMPUTED_VALUE"""),"Pós-Graduação em Psicanálise - Pós-Graduação em Psicanálise - Marcos Lattuca da Silva - Psicopatologias I – 40H - Nota Máxima: 5")</f>
        <v>Pós-Graduação em Psicanálise - Pós-Graduação em Psicanálise - Marcos Lattuca da Silva - Psicopatologias I – 40H - Nota Máxima: 5</v>
      </c>
    </row>
    <row r="8754">
      <c r="A8754" s="390" t="str">
        <f>IFERROR(__xludf.DUMMYFUNCTION("""COMPUTED_VALUE"""),"Pós-Graduação em Psicanálise - Pós-Graduação em Psicanálise - Marcos Lattuca da Silva - Psicopatologias II – 50H - Nota Máxima: 10")</f>
        <v>Pós-Graduação em Psicanálise - Pós-Graduação em Psicanálise - Marcos Lattuca da Silva - Psicopatologias II – 50H - Nota Máxima: 10</v>
      </c>
    </row>
    <row r="8755">
      <c r="A8755" s="390" t="str">
        <f>IFERROR(__xludf.DUMMYFUNCTION("""COMPUTED_VALUE"""),"Pós-Graduação em Psicanálise - Pós-Graduação em Psicanálise - Marcos Lattuca da Silva - Psicopatologias II – 50H - Nota Máxima: 6")</f>
        <v>Pós-Graduação em Psicanálise - Pós-Graduação em Psicanálise - Marcos Lattuca da Silva - Psicopatologias II – 50H - Nota Máxima: 6</v>
      </c>
    </row>
    <row r="8756">
      <c r="A8756" s="390" t="str">
        <f>IFERROR(__xludf.DUMMYFUNCTION("""COMPUTED_VALUE"""),"Pós-Graduação em Psicanálise - Pós-Graduação em Psicanálise - Marcos Lattuca da Silva - Sonhos, Simbologia e Representação – 50H - Nota Máxima: 10")</f>
        <v>Pós-Graduação em Psicanálise - Pós-Graduação em Psicanálise - Marcos Lattuca da Silva - Sonhos, Simbologia e Representação – 50H - Nota Máxima: 10</v>
      </c>
    </row>
    <row r="8757">
      <c r="A8757" s="390" t="str">
        <f>IFERROR(__xludf.DUMMYFUNCTION("""COMPUTED_VALUE"""),"Pós-Graduação em Psicanálise - Pós-Graduação em Psicanálise - Marcos Lattuca da Silva - Sonhos, Simbologia e Representação – 50H - Nota Máxima: 4")</f>
        <v>Pós-Graduação em Psicanálise - Pós-Graduação em Psicanálise - Marcos Lattuca da Silva - Sonhos, Simbologia e Representação – 50H - Nota Máxima: 4</v>
      </c>
    </row>
    <row r="8758">
      <c r="A8758" s="390" t="str">
        <f>IFERROR(__xludf.DUMMYFUNCTION("""COMPUTED_VALUE"""),"Pós-Graduação em Psicanálise - Pós-Graduação em Psicanálise - Marcos Lattuca da Silva - Tópicos Avançados em Clínica – 40H - Nota Máxima: 9")</f>
        <v>Pós-Graduação em Psicanálise - Pós-Graduação em Psicanálise - Marcos Lattuca da Silva - Tópicos Avançados em Clínica – 40H - Nota Máxima: 9</v>
      </c>
    </row>
    <row r="8759">
      <c r="A8759" s="390" t="str">
        <f>IFERROR(__xludf.DUMMYFUNCTION("""COMPUTED_VALUE"""),"Pós-Graduação em Psicanálise - Pós-Graduação em Psicanálise - Marcos Lattuca da Silva - Tópicos Avançados em Clínica – 40H - Nota Máxima: 7")</f>
        <v>Pós-Graduação em Psicanálise - Pós-Graduação em Psicanálise - Marcos Lattuca da Silva - Tópicos Avançados em Clínica – 40H - Nota Máxima: 7</v>
      </c>
    </row>
    <row r="8760">
      <c r="A8760" s="390" t="str">
        <f>IFERROR(__xludf.DUMMYFUNCTION("""COMPUTED_VALUE"""),"Pós-Graduação em Psicanálise - Pós-Graduação em Psicanálise - Marcos Lattuca da Silva - Tópicos Avançados em Sexualidade – 40H - Nota Máxima: 10")</f>
        <v>Pós-Graduação em Psicanálise - Pós-Graduação em Psicanálise - Marcos Lattuca da Silva - Tópicos Avançados em Sexualidade – 40H - Nota Máxima: 10</v>
      </c>
    </row>
    <row r="8761">
      <c r="A8761" s="390" t="str">
        <f>IFERROR(__xludf.DUMMYFUNCTION("""COMPUTED_VALUE"""),"Pós-Graduação em Psicanálise - Pós-Graduação em Psicanálise - Marcos Lattuca da Silva - Tópicos Avançados em Sexualidade – 40H - Nota Máxima: 4")</f>
        <v>Pós-Graduação em Psicanálise - Pós-Graduação em Psicanálise - Marcos Lattuca da Silva - Tópicos Avançados em Sexualidade – 40H - Nota Máxima: 4</v>
      </c>
    </row>
    <row r="8762">
      <c r="A8762" s="390" t="str">
        <f>IFERROR(__xludf.DUMMYFUNCTION("""COMPUTED_VALUE"""),"Pós-Graduação em Psicanálise - Pós-Graduação em Psicanálise - Maria Aparecida Oliveira Lima - Introdução à EAD - 30H - Nota Máxima: 10")</f>
        <v>Pós-Graduação em Psicanálise - Pós-Graduação em Psicanálise - Maria Aparecida Oliveira Lima - Introdução à EAD - 30H - Nota Máxima: 10</v>
      </c>
    </row>
    <row r="8763">
      <c r="A8763" s="390" t="str">
        <f>IFERROR(__xludf.DUMMYFUNCTION("""COMPUTED_VALUE"""),"Pós-Graduação em Psicanálise - Pós-Graduação em Psicanálise - Maria Aparecida Oliveira Lima - Libido, Pulsões e Sexualidade – 50H - Nota Máxima: 9")</f>
        <v>Pós-Graduação em Psicanálise - Pós-Graduação em Psicanálise - Maria Aparecida Oliveira Lima - Libido, Pulsões e Sexualidade – 50H - Nota Máxima: 9</v>
      </c>
    </row>
    <row r="8764">
      <c r="A8764" s="390" t="str">
        <f>IFERROR(__xludf.DUMMYFUNCTION("""COMPUTED_VALUE"""),"Pós-Graduação em Psicanálise - Pós-Graduação em Psicanálise - Maria Aparecida Oliveira Lima - O Aparelho psíquico, aspectos clínicos e Teóricos – 40H - Nota Máxima: 8")</f>
        <v>Pós-Graduação em Psicanálise - Pós-Graduação em Psicanálise - Maria Aparecida Oliveira Lima - O Aparelho psíquico, aspectos clínicos e Teóricos – 40H - Nota Máxima: 8</v>
      </c>
    </row>
    <row r="8765">
      <c r="A8765" s="390" t="str">
        <f>IFERROR(__xludf.DUMMYFUNCTION("""COMPUTED_VALUE"""),"Pós-Graduação em Psicanálise - Pós-Graduação em Psicanálise - Maria Aparecida Oliveira Lima - O Método Psicanalítico – 50H - Nota Máxima: 9")</f>
        <v>Pós-Graduação em Psicanálise - Pós-Graduação em Psicanálise - Maria Aparecida Oliveira Lima - O Método Psicanalítico – 50H - Nota Máxima: 9</v>
      </c>
    </row>
    <row r="8766">
      <c r="A8766" s="390" t="str">
        <f>IFERROR(__xludf.DUMMYFUNCTION("""COMPUTED_VALUE"""),"Pós-Graduação em Psicanálise - Pós-Graduação em Psicanálise - Maria Aparecida Oliveira Lima - Práticas e Procedimentos em Clínica – 30H - Nota Máxima: 8")</f>
        <v>Pós-Graduação em Psicanálise - Pós-Graduação em Psicanálise - Maria Aparecida Oliveira Lima - Práticas e Procedimentos em Clínica – 30H - Nota Máxima: 8</v>
      </c>
    </row>
    <row r="8767">
      <c r="A8767" s="390" t="str">
        <f>IFERROR(__xludf.DUMMYFUNCTION("""COMPUTED_VALUE"""),"Pós-Graduação em Psicanálise - Pós-Graduação em Psicanálise - Maria Aparecida Oliveira Lima - Processos de Transferência e Resistência – 30H - Nota Máxima: 10")</f>
        <v>Pós-Graduação em Psicanálise - Pós-Graduação em Psicanálise - Maria Aparecida Oliveira Lima - Processos de Transferência e Resistência – 30H - Nota Máxima: 10</v>
      </c>
    </row>
    <row r="8768">
      <c r="A8768" s="390" t="str">
        <f>IFERROR(__xludf.DUMMYFUNCTION("""COMPUTED_VALUE"""),"Pós-Graduação em Psicanálise - Pós-Graduação em Psicanálise - Maria Aparecida Oliveira Lima - Psicanálise da Criança e do Adolescente – 40H - Nota Máxima: 9")</f>
        <v>Pós-Graduação em Psicanálise - Pós-Graduação em Psicanálise - Maria Aparecida Oliveira Lima - Psicanálise da Criança e do Adolescente – 40H - Nota Máxima: 9</v>
      </c>
    </row>
    <row r="8769">
      <c r="A8769" s="390" t="str">
        <f>IFERROR(__xludf.DUMMYFUNCTION("""COMPUTED_VALUE"""),"Pós-Graduação em Psicanálise - Pós-Graduação em Psicanálise - Maria Aparecida Oliveira Lima - Psicanálise II – 50H - Nota Máxima: 10")</f>
        <v>Pós-Graduação em Psicanálise - Pós-Graduação em Psicanálise - Maria Aparecida Oliveira Lima - Psicanálise II – 50H - Nota Máxima: 10</v>
      </c>
    </row>
    <row r="8770">
      <c r="A8770" s="390" t="str">
        <f>IFERROR(__xludf.DUMMYFUNCTION("""COMPUTED_VALUE"""),"Pós-Graduação em Psicanálise - Pós-Graduação em Psicanálise - Maria Aparecida Oliveira Lima - Psicopatologias I – 40H - Nota Máxima: 10")</f>
        <v>Pós-Graduação em Psicanálise - Pós-Graduação em Psicanálise - Maria Aparecida Oliveira Lima - Psicopatologias I – 40H - Nota Máxima: 10</v>
      </c>
    </row>
    <row r="8771">
      <c r="A8771" s="390" t="str">
        <f>IFERROR(__xludf.DUMMYFUNCTION("""COMPUTED_VALUE"""),"Pós-Graduação em Psicanálise - Pós-Graduação em Psicanálise - Maria Aparecida Oliveira Lima - Psicopatologias II – 50H - Nota Máxima: 10")</f>
        <v>Pós-Graduação em Psicanálise - Pós-Graduação em Psicanálise - Maria Aparecida Oliveira Lima - Psicopatologias II – 50H - Nota Máxima: 10</v>
      </c>
    </row>
    <row r="8772">
      <c r="A8772" s="390" t="str">
        <f>IFERROR(__xludf.DUMMYFUNCTION("""COMPUTED_VALUE"""),"Pós-Graduação em Psicanálise - Pós-Graduação em Psicanálise - Maria Aparecida Oliveira Lima - Sonhos, Simbologia e Representação – 50H - Nota Máxima: 10")</f>
        <v>Pós-Graduação em Psicanálise - Pós-Graduação em Psicanálise - Maria Aparecida Oliveira Lima - Sonhos, Simbologia e Representação – 50H - Nota Máxima: 10</v>
      </c>
    </row>
    <row r="8773">
      <c r="A8773" s="390" t="str">
        <f>IFERROR(__xludf.DUMMYFUNCTION("""COMPUTED_VALUE"""),"Pós-Graduação em Psicanálise - Pós-Graduação em Psicanálise - Maria Aparecida Oliveira Lima - Tópicos Avançados em Clínica – 40H - Nota Máxima: 10")</f>
        <v>Pós-Graduação em Psicanálise - Pós-Graduação em Psicanálise - Maria Aparecida Oliveira Lima - Tópicos Avançados em Clínica – 40H - Nota Máxima: 10</v>
      </c>
    </row>
    <row r="8774">
      <c r="A8774" s="390" t="str">
        <f>IFERROR(__xludf.DUMMYFUNCTION("""COMPUTED_VALUE"""),"Pós-Graduação em Psicanálise - Pós-Graduação em Psicanálise - Maria Aparecida Oliveira Lima - Tópicos Avançados em Sexualidade – 40H - Nota Máxima: 10")</f>
        <v>Pós-Graduação em Psicanálise - Pós-Graduação em Psicanálise - Maria Aparecida Oliveira Lima - Tópicos Avançados em Sexualidade – 40H - Nota Máxima: 10</v>
      </c>
    </row>
    <row r="8775">
      <c r="A8775" s="390" t="str">
        <f>IFERROR(__xludf.DUMMYFUNCTION("""COMPUTED_VALUE"""),"Pós-Graduação em Psicanálise - Pós-Graduação em Psicanálise - Sergivano Antonio dos Santos - Complexo de Édipo e Castração - Nota Máxima: 10")</f>
        <v>Pós-Graduação em Psicanálise - Pós-Graduação em Psicanálise - Sergivano Antonio dos Santos - Complexo de Édipo e Castração - Nota Máxima: 10</v>
      </c>
    </row>
    <row r="8776">
      <c r="A8776" s="390" t="str">
        <f>IFERROR(__xludf.DUMMYFUNCTION("""COMPUTED_VALUE"""),"Pós-Graduação em Psicanálise - Pós-Graduação em Psicanálise - Sergivano Antonio dos Santos - Formação e Ética do Psicanalista – 30H - Nota Máxima: 10")</f>
        <v>Pós-Graduação em Psicanálise - Pós-Graduação em Psicanálise - Sergivano Antonio dos Santos - Formação e Ética do Psicanalista – 30H - Nota Máxima: 10</v>
      </c>
    </row>
    <row r="8777">
      <c r="A8777" s="390" t="str">
        <f>IFERROR(__xludf.DUMMYFUNCTION("""COMPUTED_VALUE"""),"Pós-Graduação em Psicanálise - Pós-Graduação em Psicanálise - Sergivano Antonio dos Santos - Introdução à EAD - 30H - Nota Máxima: 9")</f>
        <v>Pós-Graduação em Psicanálise - Pós-Graduação em Psicanálise - Sergivano Antonio dos Santos - Introdução à EAD - 30H - Nota Máxima: 9</v>
      </c>
    </row>
    <row r="8778">
      <c r="A8778" s="390" t="str">
        <f>IFERROR(__xludf.DUMMYFUNCTION("""COMPUTED_VALUE"""),"Pós-Graduação em Psicanálise - Pós-Graduação em Psicanálise - Sergivano Antonio dos Santos - Introdução à Psicanálise – 40H - Nota Máxima: 10")</f>
        <v>Pós-Graduação em Psicanálise - Pós-Graduação em Psicanálise - Sergivano Antonio dos Santos - Introdução à Psicanálise – 40H - Nota Máxima: 10</v>
      </c>
    </row>
    <row r="8779">
      <c r="A8779" s="390" t="str">
        <f>IFERROR(__xludf.DUMMYFUNCTION("""COMPUTED_VALUE"""),"Pós-Graduação em Psicanálise - Pós-Graduação em Psicanálise - Sergivano Antonio dos Santos - Libido, Pulsões e Sexualidade – 50H - Nota Máxima: 9")</f>
        <v>Pós-Graduação em Psicanálise - Pós-Graduação em Psicanálise - Sergivano Antonio dos Santos - Libido, Pulsões e Sexualidade – 50H - Nota Máxima: 9</v>
      </c>
    </row>
    <row r="8780">
      <c r="A8780" s="390" t="str">
        <f>IFERROR(__xludf.DUMMYFUNCTION("""COMPUTED_VALUE"""),"Pós-Graduação em Psicanálise - Pós-Graduação em Psicanálise - Sergivano Antonio dos Santos - Narcisismo e a Cultura da Indiferença – 40H - Nota Máxima: 9")</f>
        <v>Pós-Graduação em Psicanálise - Pós-Graduação em Psicanálise - Sergivano Antonio dos Santos - Narcisismo e a Cultura da Indiferença – 40H - Nota Máxima: 9</v>
      </c>
    </row>
    <row r="8781">
      <c r="A8781" s="390" t="str">
        <f>IFERROR(__xludf.DUMMYFUNCTION("""COMPUTED_VALUE"""),"Pós-Graduação em Psicanálise - Pós-Graduação em Psicanálise - Sergivano Antonio dos Santos - O Aparelho psíquico, aspectos clínicos e Teóricos – 40H - Nota Máxima: 10")</f>
        <v>Pós-Graduação em Psicanálise - Pós-Graduação em Psicanálise - Sergivano Antonio dos Santos - O Aparelho psíquico, aspectos clínicos e Teóricos – 40H - Nota Máxima: 10</v>
      </c>
    </row>
    <row r="8782">
      <c r="A8782" s="390" t="str">
        <f>IFERROR(__xludf.DUMMYFUNCTION("""COMPUTED_VALUE"""),"Pós-Graduação em Psicanálise - Pós-Graduação em Psicanálise - Sergivano Antonio dos Santos - O Método Psicanalítico – 50H - Nota Máxima: 9")</f>
        <v>Pós-Graduação em Psicanálise - Pós-Graduação em Psicanálise - Sergivano Antonio dos Santos - O Método Psicanalítico – 50H - Nota Máxima: 9</v>
      </c>
    </row>
    <row r="8783">
      <c r="A8783" s="390" t="str">
        <f>IFERROR(__xludf.DUMMYFUNCTION("""COMPUTED_VALUE"""),"Pós-Graduação em Psicanálise - Pós-Graduação em Psicanálise - Sergivano Antonio dos Santos - Práticas e Procedimentos em Clínica – 30H - Nota Máxima: 10")</f>
        <v>Pós-Graduação em Psicanálise - Pós-Graduação em Psicanálise - Sergivano Antonio dos Santos - Práticas e Procedimentos em Clínica – 30H - Nota Máxima: 10</v>
      </c>
    </row>
    <row r="8784">
      <c r="A8784" s="390" t="str">
        <f>IFERROR(__xludf.DUMMYFUNCTION("""COMPUTED_VALUE"""),"Pós-Graduação em Psicanálise - Pós-Graduação em Psicanálise - Sergivano Antonio dos Santos - Processos de Transferência e Resistência – 30H - Nota Máxima: 10")</f>
        <v>Pós-Graduação em Psicanálise - Pós-Graduação em Psicanálise - Sergivano Antonio dos Santos - Processos de Transferência e Resistência – 30H - Nota Máxima: 10</v>
      </c>
    </row>
    <row r="8785">
      <c r="A8785" s="390" t="str">
        <f>IFERROR(__xludf.DUMMYFUNCTION("""COMPUTED_VALUE"""),"Pós-Graduação em Psicanálise - Pós-Graduação em Psicanálise - Sergivano Antonio dos Santos - Psicanálise da Criança e do Adolescente – 40H - Nota Máxima: 10")</f>
        <v>Pós-Graduação em Psicanálise - Pós-Graduação em Psicanálise - Sergivano Antonio dos Santos - Psicanálise da Criança e do Adolescente – 40H - Nota Máxima: 10</v>
      </c>
    </row>
    <row r="8786">
      <c r="A8786" s="390" t="str">
        <f>IFERROR(__xludf.DUMMYFUNCTION("""COMPUTED_VALUE"""),"Pós-Graduação em Psicanálise - Pós-Graduação em Psicanálise - Sergivano Antonio dos Santos - Psicanálise II – 50H - Nota Máxima: 10")</f>
        <v>Pós-Graduação em Psicanálise - Pós-Graduação em Psicanálise - Sergivano Antonio dos Santos - Psicanálise II – 50H - Nota Máxima: 10</v>
      </c>
    </row>
    <row r="8787">
      <c r="A8787" s="390" t="str">
        <f>IFERROR(__xludf.DUMMYFUNCTION("""COMPUTED_VALUE"""),"Pós-Graduação em Psicanálise - Pós-Graduação em Psicanálise - Sergivano Antonio dos Santos - Psicopatologias I – 40H - Nota Máxima: 9")</f>
        <v>Pós-Graduação em Psicanálise - Pós-Graduação em Psicanálise - Sergivano Antonio dos Santos - Psicopatologias I – 40H - Nota Máxima: 9</v>
      </c>
    </row>
    <row r="8788">
      <c r="A8788" s="390" t="str">
        <f>IFERROR(__xludf.DUMMYFUNCTION("""COMPUTED_VALUE"""),"Pós-Graduação em Psicanálise - Pós-Graduação em Psicanálise - Sergivano Antonio dos Santos - Psicopatologias II – 50H - Nota Máxima: 9")</f>
        <v>Pós-Graduação em Psicanálise - Pós-Graduação em Psicanálise - Sergivano Antonio dos Santos - Psicopatologias II – 50H - Nota Máxima: 9</v>
      </c>
    </row>
    <row r="8789">
      <c r="A8789" s="390" t="str">
        <f>IFERROR(__xludf.DUMMYFUNCTION("""COMPUTED_VALUE"""),"Pós-Graduação em Psicanálise - Pós-Graduação em Psicanálise - Sergivano Antonio dos Santos - Sonhos, Simbologia e Representação – 50H - Nota Máxima: 10")</f>
        <v>Pós-Graduação em Psicanálise - Pós-Graduação em Psicanálise - Sergivano Antonio dos Santos - Sonhos, Simbologia e Representação – 50H - Nota Máxima: 10</v>
      </c>
    </row>
    <row r="8790">
      <c r="A8790" s="390" t="str">
        <f>IFERROR(__xludf.DUMMYFUNCTION("""COMPUTED_VALUE"""),"Pós-Graduação em Psicanálise - Pós-Graduação em Psicanálise - Sergivano Antonio dos Santos - Tópicos Avançados em Clínica – 40H - Nota Máxima: 9")</f>
        <v>Pós-Graduação em Psicanálise - Pós-Graduação em Psicanálise - Sergivano Antonio dos Santos - Tópicos Avançados em Clínica – 40H - Nota Máxima: 9</v>
      </c>
    </row>
    <row r="8791">
      <c r="A8791" s="390" t="str">
        <f>IFERROR(__xludf.DUMMYFUNCTION("""COMPUTED_VALUE"""),"Pós-Graduação em Psicanálise - Pós-Graduação em Psicanálise - Sergivano Antonio dos Santos - Tópicos Avançados em Sexualidade – 40H - Nota Máxima: 10")</f>
        <v>Pós-Graduação em Psicanálise - Pós-Graduação em Psicanálise - Sergivano Antonio dos Santos - Tópicos Avançados em Sexualidade – 40H - Nota Máxima: 10</v>
      </c>
    </row>
    <row r="8792">
      <c r="A8792" s="390" t="str">
        <f>IFERROR(__xludf.DUMMYFUNCTION("""COMPUTED_VALUE"""),"Pós-Graduação em Psicanálise - Pós-Graduação em Psicanálise - Sérgio Luiz Gonçalves Félix - Complexo de Édipo e Castração - Nota Máxima: 6")</f>
        <v>Pós-Graduação em Psicanálise - Pós-Graduação em Psicanálise - Sérgio Luiz Gonçalves Félix - Complexo de Édipo e Castração - Nota Máxima: 6</v>
      </c>
    </row>
    <row r="8793">
      <c r="A8793" s="390" t="str">
        <f>IFERROR(__xludf.DUMMYFUNCTION("""COMPUTED_VALUE"""),"Pós-Graduação em Psicanálise - Pós-Graduação em Psicanálise - Patrícia Oliveira A. de Souza - Complexo de Édipo e Castração - Nota Máxima: 9")</f>
        <v>Pós-Graduação em Psicanálise - Pós-Graduação em Psicanálise - Patrícia Oliveira A. de Souza - Complexo de Édipo e Castração - Nota Máxima: 9</v>
      </c>
    </row>
    <row r="8794">
      <c r="A8794" s="390" t="str">
        <f>IFERROR(__xludf.DUMMYFUNCTION("""COMPUTED_VALUE"""),"Pós-Graduação em Psicanálise - Pós-Graduação em Psicanálise - Patrícia Oliveira A. de Souza - Complexo de Édipo e Castração - Nota Máxima: 3")</f>
        <v>Pós-Graduação em Psicanálise - Pós-Graduação em Psicanálise - Patrícia Oliveira A. de Souza - Complexo de Édipo e Castração - Nota Máxima: 3</v>
      </c>
    </row>
    <row r="8795">
      <c r="A8795" s="390" t="str">
        <f>IFERROR(__xludf.DUMMYFUNCTION("""COMPUTED_VALUE"""),"Pós-Graduação em Psicanálise - Pós-Graduação em Psicanálise - Patrícia Oliveira A. de Souza - Libido, Pulsões e Sexualidade – 50H - Nota Máxima: 8")</f>
        <v>Pós-Graduação em Psicanálise - Pós-Graduação em Psicanálise - Patrícia Oliveira A. de Souza - Libido, Pulsões e Sexualidade – 50H - Nota Máxima: 8</v>
      </c>
    </row>
    <row r="8796">
      <c r="A8796" s="390" t="str">
        <f>IFERROR(__xludf.DUMMYFUNCTION("""COMPUTED_VALUE"""),"Pós-Graduação em Psicanálise - Pós-Graduação em Psicanálise - Patrícia Oliveira A. de Souza - Narcisismo e a Cultura da Indiferença – 40H - Nota Máxima: 9")</f>
        <v>Pós-Graduação em Psicanálise - Pós-Graduação em Psicanálise - Patrícia Oliveira A. de Souza - Narcisismo e a Cultura da Indiferença – 40H - Nota Máxima: 9</v>
      </c>
    </row>
    <row r="8797">
      <c r="A8797" s="390" t="str">
        <f>IFERROR(__xludf.DUMMYFUNCTION("""COMPUTED_VALUE"""),"Pós-Graduação em Psicanálise - Pós-Graduação em Psicanálise - Patrícia Oliveira A. de Souza - O Aparelho psíquico, aspectos clínicos e Teóricos – 40H - Nota Máxima: 9")</f>
        <v>Pós-Graduação em Psicanálise - Pós-Graduação em Psicanálise - Patrícia Oliveira A. de Souza - O Aparelho psíquico, aspectos clínicos e Teóricos – 40H - Nota Máxima: 9</v>
      </c>
    </row>
    <row r="8798">
      <c r="A8798" s="390" t="str">
        <f>IFERROR(__xludf.DUMMYFUNCTION("""COMPUTED_VALUE"""),"Pós-Graduação em Psicanálise - Pós-Graduação em Psicanálise - Patrícia Oliveira A. de Souza - O Aparelho psíquico, aspectos clínicos e Teóricos – 40H - Nota Máxima: 8")</f>
        <v>Pós-Graduação em Psicanálise - Pós-Graduação em Psicanálise - Patrícia Oliveira A. de Souza - O Aparelho psíquico, aspectos clínicos e Teóricos – 40H - Nota Máxima: 8</v>
      </c>
    </row>
    <row r="8799">
      <c r="A8799" s="390" t="str">
        <f>IFERROR(__xludf.DUMMYFUNCTION("""COMPUTED_VALUE"""),"Pós-Graduação em Psicanálise - Pós-Graduação em Psicanálise - Patrícia Oliveira A. de Souza - O Método Psicanalítico – 50H - Nota Máxima: 9")</f>
        <v>Pós-Graduação em Psicanálise - Pós-Graduação em Psicanálise - Patrícia Oliveira A. de Souza - O Método Psicanalítico – 50H - Nota Máxima: 9</v>
      </c>
    </row>
    <row r="8800">
      <c r="A8800" s="390" t="str">
        <f>IFERROR(__xludf.DUMMYFUNCTION("""COMPUTED_VALUE"""),"Pós-Graduação em Psicanálise - Pós-Graduação em Psicanálise - Patrícia Oliveira A. de Souza - O Método Psicanalítico – 50H - Nota Máxima: 4")</f>
        <v>Pós-Graduação em Psicanálise - Pós-Graduação em Psicanálise - Patrícia Oliveira A. de Souza - O Método Psicanalítico – 50H - Nota Máxima: 4</v>
      </c>
    </row>
    <row r="8801">
      <c r="A8801" s="390" t="str">
        <f>IFERROR(__xludf.DUMMYFUNCTION("""COMPUTED_VALUE"""),"Pós-Graduação em Psicanálise - Pós-Graduação em Psicanálise - Patrícia Oliveira A. de Souza - Práticas e Procedimentos em Clínica – 30H - Nota Máxima: 10")</f>
        <v>Pós-Graduação em Psicanálise - Pós-Graduação em Psicanálise - Patrícia Oliveira A. de Souza - Práticas e Procedimentos em Clínica – 30H - Nota Máxima: 10</v>
      </c>
    </row>
    <row r="8802">
      <c r="A8802" s="390" t="str">
        <f>IFERROR(__xludf.DUMMYFUNCTION("""COMPUTED_VALUE"""),"Pós-Graduação em Psicanálise - Pós-Graduação em Psicanálise - Patrícia Oliveira A. de Souza - Práticas e Procedimentos em Clínica – 30H - Nota Máxima: 9")</f>
        <v>Pós-Graduação em Psicanálise - Pós-Graduação em Psicanálise - Patrícia Oliveira A. de Souza - Práticas e Procedimentos em Clínica – 30H - Nota Máxima: 9</v>
      </c>
    </row>
    <row r="8803">
      <c r="A8803" s="390" t="str">
        <f>IFERROR(__xludf.DUMMYFUNCTION("""COMPUTED_VALUE"""),"Pós-Graduação em Psicanálise - Pós-Graduação em Psicanálise - Patrícia Oliveira A. de Souza - Processos de Transferência e Resistência – 30H - Nota Máxima: 8")</f>
        <v>Pós-Graduação em Psicanálise - Pós-Graduação em Psicanálise - Patrícia Oliveira A. de Souza - Processos de Transferência e Resistência – 30H - Nota Máxima: 8</v>
      </c>
    </row>
    <row r="8804">
      <c r="A8804" s="390" t="str">
        <f>IFERROR(__xludf.DUMMYFUNCTION("""COMPUTED_VALUE"""),"Pós-Graduação em Psicanálise - Pós-Graduação em Psicanálise - Patrícia Oliveira A. de Souza - Psicanálise da Criança e do Adolescente – 40H - Nota Máxima: 5")</f>
        <v>Pós-Graduação em Psicanálise - Pós-Graduação em Psicanálise - Patrícia Oliveira A. de Souza - Psicanálise da Criança e do Adolescente – 40H - Nota Máxima: 5</v>
      </c>
    </row>
    <row r="8805">
      <c r="A8805" s="390" t="str">
        <f>IFERROR(__xludf.DUMMYFUNCTION("""COMPUTED_VALUE"""),"Pós-Graduação em Psicanálise - Pós-Graduação em Psicanálise - Patrícia Oliveira A. de Souza - Psicopatologias I – 40H - Nota Máxima: 3")</f>
        <v>Pós-Graduação em Psicanálise - Pós-Graduação em Psicanálise - Patrícia Oliveira A. de Souza - Psicopatologias I – 40H - Nota Máxima: 3</v>
      </c>
    </row>
    <row r="8806">
      <c r="A8806" s="390" t="str">
        <f>IFERROR(__xludf.DUMMYFUNCTION("""COMPUTED_VALUE"""),"Pós-Graduação em Psicanálise - Pós-Graduação em Psicanálise - Patrícia Oliveira A. de Souza - Psicopatologias II – 50H - Nota Máxima: 9")</f>
        <v>Pós-Graduação em Psicanálise - Pós-Graduação em Psicanálise - Patrícia Oliveira A. de Souza - Psicopatologias II – 50H - Nota Máxima: 9</v>
      </c>
    </row>
    <row r="8807">
      <c r="A8807" s="390" t="str">
        <f>IFERROR(__xludf.DUMMYFUNCTION("""COMPUTED_VALUE"""),"Pós-Graduação em Psicanálise - Pós-Graduação em Psicanálise - Patrícia Oliveira A. de Souza - Psicopatologias II – 50H - Nota Máxima: 10")</f>
        <v>Pós-Graduação em Psicanálise - Pós-Graduação em Psicanálise - Patrícia Oliveira A. de Souza - Psicopatologias II – 50H - Nota Máxima: 10</v>
      </c>
    </row>
    <row r="8808">
      <c r="A8808" s="390" t="str">
        <f>IFERROR(__xludf.DUMMYFUNCTION("""COMPUTED_VALUE"""),"Pós-Graduação em Psicanálise - Pós-Graduação em Psicanálise - Patrícia Oliveira A. de Souza - Sonhos, Simbologia e Representação – 50H - Nota Máxima: 4")</f>
        <v>Pós-Graduação em Psicanálise - Pós-Graduação em Psicanálise - Patrícia Oliveira A. de Souza - Sonhos, Simbologia e Representação – 50H - Nota Máxima: 4</v>
      </c>
    </row>
    <row r="8809">
      <c r="A8809" s="390" t="str">
        <f>IFERROR(__xludf.DUMMYFUNCTION("""COMPUTED_VALUE"""),"Pós-Graduação em Psicanálise - Pós-Graduação em Psicanálise - Patrícia Oliveira A. de Souza - Tópicos Avançados em Clínica – 40H - Nota Máxima: 9")</f>
        <v>Pós-Graduação em Psicanálise - Pós-Graduação em Psicanálise - Patrícia Oliveira A. de Souza - Tópicos Avançados em Clínica – 40H - Nota Máxima: 9</v>
      </c>
    </row>
    <row r="8810">
      <c r="A8810" s="390" t="str">
        <f>IFERROR(__xludf.DUMMYFUNCTION("""COMPUTED_VALUE"""),"Pós-Graduação em Psicanálise - Pós-Graduação em Psicanálise - Patrícia Oliveira A. de Souza - Tópicos Avançados em Sexualidade – 40H - Nota Máxima: 2")</f>
        <v>Pós-Graduação em Psicanálise - Pós-Graduação em Psicanálise - Patrícia Oliveira A. de Souza - Tópicos Avançados em Sexualidade – 40H - Nota Máxima: 2</v>
      </c>
    </row>
    <row r="8811">
      <c r="A8811" s="390" t="str">
        <f>IFERROR(__xludf.DUMMYFUNCTION("""COMPUTED_VALUE"""),"Pós-Graduação em Psicanálise - Pós-Graduação em Psicanálise - Andrea Patrícia Fernandes Kapeny da Silveira - Complexo de Édipo e Castração - Nota Máxima: 10")</f>
        <v>Pós-Graduação em Psicanálise - Pós-Graduação em Psicanálise - Andrea Patrícia Fernandes Kapeny da Silveira - Complexo de Édipo e Castração - Nota Máxima: 10</v>
      </c>
    </row>
    <row r="8812">
      <c r="A8812" s="390" t="str">
        <f>IFERROR(__xludf.DUMMYFUNCTION("""COMPUTED_VALUE"""),"Pós-Graduação em Psicanálise - Pós-Graduação em Psicanálise - Andrea Patrícia Fernandes Kapeny da Silveira - Formação e Ética do Psicanalista – 30H - Nota Máxima: 8")</f>
        <v>Pós-Graduação em Psicanálise - Pós-Graduação em Psicanálise - Andrea Patrícia Fernandes Kapeny da Silveira - Formação e Ética do Psicanalista – 30H - Nota Máxima: 8</v>
      </c>
    </row>
    <row r="8813">
      <c r="A8813" s="390" t="str">
        <f>IFERROR(__xludf.DUMMYFUNCTION("""COMPUTED_VALUE"""),"Pós-Graduação em Psicanálise - Pós-Graduação em Psicanálise - Andrea Patrícia Fernandes Kapeny da Silveira - Introdução à Psicanálise – 40H - Nota Máxima: 8")</f>
        <v>Pós-Graduação em Psicanálise - Pós-Graduação em Psicanálise - Andrea Patrícia Fernandes Kapeny da Silveira - Introdução à Psicanálise – 40H - Nota Máxima: 8</v>
      </c>
    </row>
    <row r="8814">
      <c r="A8814" s="390" t="str">
        <f>IFERROR(__xludf.DUMMYFUNCTION("""COMPUTED_VALUE"""),"Pós-Graduação em Psicanálise - Pós-Graduação em Psicanálise - Andrea Patrícia Fernandes Kapeny da Silveira - Libido, Pulsões e Sexualidade – 50H - Nota Máxima: 10")</f>
        <v>Pós-Graduação em Psicanálise - Pós-Graduação em Psicanálise - Andrea Patrícia Fernandes Kapeny da Silveira - Libido, Pulsões e Sexualidade – 50H - Nota Máxima: 10</v>
      </c>
    </row>
    <row r="8815">
      <c r="A8815" s="390" t="str">
        <f>IFERROR(__xludf.DUMMYFUNCTION("""COMPUTED_VALUE"""),"Pós-Graduação em Psicanálise - Pós-Graduação em Psicanálise - Andrea Patrícia Fernandes Kapeny da Silveira - Narcisismo e a Cultura da Indiferença – 40H - Nota Máxima: 9")</f>
        <v>Pós-Graduação em Psicanálise - Pós-Graduação em Psicanálise - Andrea Patrícia Fernandes Kapeny da Silveira - Narcisismo e a Cultura da Indiferença – 40H - Nota Máxima: 9</v>
      </c>
    </row>
    <row r="8816">
      <c r="A8816" s="390" t="str">
        <f>IFERROR(__xludf.DUMMYFUNCTION("""COMPUTED_VALUE"""),"Pós-Graduação em Psicanálise - Pós-Graduação em Psicanálise - Andrea Patrícia Fernandes Kapeny da Silveira - O Aparelho psíquico, aspectos clínicos e Teóricos – 40H - Nota Máxima: 8")</f>
        <v>Pós-Graduação em Psicanálise - Pós-Graduação em Psicanálise - Andrea Patrícia Fernandes Kapeny da Silveira - O Aparelho psíquico, aspectos clínicos e Teóricos – 40H - Nota Máxima: 8</v>
      </c>
    </row>
    <row r="8817">
      <c r="A8817" s="390" t="str">
        <f>IFERROR(__xludf.DUMMYFUNCTION("""COMPUTED_VALUE"""),"Pós-Graduação em Psicanálise - Pós-Graduação em Psicanálise - Andrea Patrícia Fernandes Kapeny da Silveira - O Método Psicanalítico – 50H - Nota Máxima: 8")</f>
        <v>Pós-Graduação em Psicanálise - Pós-Graduação em Psicanálise - Andrea Patrícia Fernandes Kapeny da Silveira - O Método Psicanalítico – 50H - Nota Máxima: 8</v>
      </c>
    </row>
    <row r="8818">
      <c r="A8818" s="390" t="str">
        <f>IFERROR(__xludf.DUMMYFUNCTION("""COMPUTED_VALUE"""),"Pós-Graduação em Psicanálise - Pós-Graduação em Psicanálise - Andrea Patrícia Fernandes Kapeny da Silveira - Práticas e Procedimentos em Clínica – 30H - Nota Máxima: 9")</f>
        <v>Pós-Graduação em Psicanálise - Pós-Graduação em Psicanálise - Andrea Patrícia Fernandes Kapeny da Silveira - Práticas e Procedimentos em Clínica – 30H - Nota Máxima: 9</v>
      </c>
    </row>
    <row r="8819">
      <c r="A8819" s="390" t="str">
        <f>IFERROR(__xludf.DUMMYFUNCTION("""COMPUTED_VALUE"""),"Pós-Graduação em Psicanálise - Pós-Graduação em Psicanálise - Andrea Patrícia Fernandes Kapeny da Silveira - Processos de Transferência e Resistência – 30H - Nota Máxima: 9")</f>
        <v>Pós-Graduação em Psicanálise - Pós-Graduação em Psicanálise - Andrea Patrícia Fernandes Kapeny da Silveira - Processos de Transferência e Resistência – 30H - Nota Máxima: 9</v>
      </c>
    </row>
    <row r="8820">
      <c r="A8820" s="390" t="str">
        <f>IFERROR(__xludf.DUMMYFUNCTION("""COMPUTED_VALUE"""),"Pós-Graduação em Psicanálise - Pós-Graduação em Psicanálise - Andrea Patrícia Fernandes Kapeny da Silveira - Psicanálise da Criança e do Adolescente – 40H - Nota Máxima: 8")</f>
        <v>Pós-Graduação em Psicanálise - Pós-Graduação em Psicanálise - Andrea Patrícia Fernandes Kapeny da Silveira - Psicanálise da Criança e do Adolescente – 40H - Nota Máxima: 8</v>
      </c>
    </row>
    <row r="8821">
      <c r="A8821" s="390" t="str">
        <f>IFERROR(__xludf.DUMMYFUNCTION("""COMPUTED_VALUE"""),"Pós-Graduação em Psicanálise - Pós-Graduação em Psicanálise - Andrea Patrícia Fernandes Kapeny da Silveira - Psicanálise II – 50H - Nota Máxima: 9")</f>
        <v>Pós-Graduação em Psicanálise - Pós-Graduação em Psicanálise - Andrea Patrícia Fernandes Kapeny da Silveira - Psicanálise II – 50H - Nota Máxima: 9</v>
      </c>
    </row>
    <row r="8822">
      <c r="A8822" s="390" t="str">
        <f>IFERROR(__xludf.DUMMYFUNCTION("""COMPUTED_VALUE"""),"Pós-Graduação em Psicanálise - Pós-Graduação em Psicanálise - Andrea Patrícia Fernandes Kapeny da Silveira - Psicopatologias I – 40H - Nota Máxima: 9")</f>
        <v>Pós-Graduação em Psicanálise - Pós-Graduação em Psicanálise - Andrea Patrícia Fernandes Kapeny da Silveira - Psicopatologias I – 40H - Nota Máxima: 9</v>
      </c>
    </row>
    <row r="8823">
      <c r="A8823" s="390" t="str">
        <f>IFERROR(__xludf.DUMMYFUNCTION("""COMPUTED_VALUE"""),"Pós-Graduação em Psicanálise - Pós-Graduação em Psicanálise - Andrea Patrícia Fernandes Kapeny da Silveira - Psicopatologias II – 50H - Nota Máxima: 8")</f>
        <v>Pós-Graduação em Psicanálise - Pós-Graduação em Psicanálise - Andrea Patrícia Fernandes Kapeny da Silveira - Psicopatologias II – 50H - Nota Máxima: 8</v>
      </c>
    </row>
    <row r="8824">
      <c r="A8824" s="390" t="str">
        <f>IFERROR(__xludf.DUMMYFUNCTION("""COMPUTED_VALUE"""),"Pós-Graduação em Psicanálise - Pós-Graduação em Psicanálise - Andrea Patrícia Fernandes Kapeny da Silveira - Sonhos, Simbologia e Representação – 50H - Nota Máxima: 8")</f>
        <v>Pós-Graduação em Psicanálise - Pós-Graduação em Psicanálise - Andrea Patrícia Fernandes Kapeny da Silveira - Sonhos, Simbologia e Representação – 50H - Nota Máxima: 8</v>
      </c>
    </row>
    <row r="8825">
      <c r="A8825" s="390" t="str">
        <f>IFERROR(__xludf.DUMMYFUNCTION("""COMPUTED_VALUE"""),"Pós-Graduação em Psicanálise - Pós-Graduação em Psicanálise - Andrea Patrícia Fernandes Kapeny da Silveira - Tópicos Avançados em Clínica – 40H - Nota Máxima: 9")</f>
        <v>Pós-Graduação em Psicanálise - Pós-Graduação em Psicanálise - Andrea Patrícia Fernandes Kapeny da Silveira - Tópicos Avançados em Clínica – 40H - Nota Máxima: 9</v>
      </c>
    </row>
    <row r="8826">
      <c r="A8826" s="390" t="str">
        <f>IFERROR(__xludf.DUMMYFUNCTION("""COMPUTED_VALUE"""),"Pós-Graduação em Psicanálise - Pós-Graduação em Psicanálise - Andrea Patrícia Fernandes Kapeny da Silveira - Tópicos Avançados em Sexualidade – 40H - Nota Máxima: 9")</f>
        <v>Pós-Graduação em Psicanálise - Pós-Graduação em Psicanálise - Andrea Patrícia Fernandes Kapeny da Silveira - Tópicos Avançados em Sexualidade – 40H - Nota Máxima: 9</v>
      </c>
    </row>
    <row r="8827">
      <c r="A8827" s="390" t="str">
        <f>IFERROR(__xludf.DUMMYFUNCTION("""COMPUTED_VALUE"""),"Pós-Graduação em Psicanálise - Pós-Graduação em Psicanálise - Pamela Lopes Vieira - Introdução à EAD - 30H - Nota Máxima: 9")</f>
        <v>Pós-Graduação em Psicanálise - Pós-Graduação em Psicanálise - Pamela Lopes Vieira - Introdução à EAD - 30H - Nota Máxima: 9</v>
      </c>
    </row>
    <row r="8828">
      <c r="A8828" s="390" t="str">
        <f>IFERROR(__xludf.DUMMYFUNCTION("""COMPUTED_VALUE"""),"Pós-Graduação em Psicanálise - Pós-Graduação em Psicanálise - Pamela Lopes Vieira - Narcisismo e a Cultura da Indiferença – 40H - Nota Máxima: 9")</f>
        <v>Pós-Graduação em Psicanálise - Pós-Graduação em Psicanálise - Pamela Lopes Vieira - Narcisismo e a Cultura da Indiferença – 40H - Nota Máxima: 9</v>
      </c>
    </row>
    <row r="8829">
      <c r="A8829" s="390" t="str">
        <f>IFERROR(__xludf.DUMMYFUNCTION("""COMPUTED_VALUE"""),"Pós-Graduação em Psicanálise - Pós-Graduação em Psicanálise - Pamela Lopes Vieira - O Aparelho psíquico, aspectos clínicos e Teóricos – 40H - Nota Máxima: 9")</f>
        <v>Pós-Graduação em Psicanálise - Pós-Graduação em Psicanálise - Pamela Lopes Vieira - O Aparelho psíquico, aspectos clínicos e Teóricos – 40H - Nota Máxima: 9</v>
      </c>
    </row>
    <row r="8830">
      <c r="A8830" s="390" t="str">
        <f>IFERROR(__xludf.DUMMYFUNCTION("""COMPUTED_VALUE"""),"Pós-Graduação em Psicanálise - Pós-Graduação em Psicanálise - Pamela Lopes Vieira - O Método Psicanalítico – 50H - Nota Máxima: 9")</f>
        <v>Pós-Graduação em Psicanálise - Pós-Graduação em Psicanálise - Pamela Lopes Vieira - O Método Psicanalítico – 50H - Nota Máxima: 9</v>
      </c>
    </row>
    <row r="8831">
      <c r="A8831" s="390" t="str">
        <f>IFERROR(__xludf.DUMMYFUNCTION("""COMPUTED_VALUE"""),"Pós-Graduação em Psicanálise - Pós-Graduação em Psicanálise - Pamela Lopes Vieira - Práticas e Procedimentos em Clínica – 30H - Nota Máxima: 8")</f>
        <v>Pós-Graduação em Psicanálise - Pós-Graduação em Psicanálise - Pamela Lopes Vieira - Práticas e Procedimentos em Clínica – 30H - Nota Máxima: 8</v>
      </c>
    </row>
    <row r="8832">
      <c r="A8832" s="390" t="str">
        <f>IFERROR(__xludf.DUMMYFUNCTION("""COMPUTED_VALUE"""),"Pós-Graduação em Psicanálise - Pós-Graduação em Psicanálise - Pamela Lopes Vieira - Processos de Transferência e Resistência – 30H - Nota Máxima: 10")</f>
        <v>Pós-Graduação em Psicanálise - Pós-Graduação em Psicanálise - Pamela Lopes Vieira - Processos de Transferência e Resistência – 30H - Nota Máxima: 10</v>
      </c>
    </row>
    <row r="8833">
      <c r="A8833" s="390" t="str">
        <f>IFERROR(__xludf.DUMMYFUNCTION("""COMPUTED_VALUE"""),"Pós-Graduação em Psicanálise - Pós-Graduação em Psicanálise - Pamela Lopes Vieira - Psicanálise da Criança e do Adolescente – 40H - Nota Máxima: 9")</f>
        <v>Pós-Graduação em Psicanálise - Pós-Graduação em Psicanálise - Pamela Lopes Vieira - Psicanálise da Criança e do Adolescente – 40H - Nota Máxima: 9</v>
      </c>
    </row>
    <row r="8834">
      <c r="A8834" s="390" t="str">
        <f>IFERROR(__xludf.DUMMYFUNCTION("""COMPUTED_VALUE"""),"Pós-Graduação em Psicanálise - Pós-Graduação em Psicanálise - Pamela Lopes Vieira - Psicanálise II – 50H - Nota Máxima: 8")</f>
        <v>Pós-Graduação em Psicanálise - Pós-Graduação em Psicanálise - Pamela Lopes Vieira - Psicanálise II – 50H - Nota Máxima: 8</v>
      </c>
    </row>
    <row r="8835">
      <c r="A8835" s="390" t="str">
        <f>IFERROR(__xludf.DUMMYFUNCTION("""COMPUTED_VALUE"""),"Pós-Graduação em Psicanálise - Pós-Graduação em Psicanálise - Pamela Lopes Vieira - Psicopatologias I – 40H - Nota Máxima: 8")</f>
        <v>Pós-Graduação em Psicanálise - Pós-Graduação em Psicanálise - Pamela Lopes Vieira - Psicopatologias I – 40H - Nota Máxima: 8</v>
      </c>
    </row>
    <row r="8836">
      <c r="A8836" s="390" t="str">
        <f>IFERROR(__xludf.DUMMYFUNCTION("""COMPUTED_VALUE"""),"Pós-Graduação em Psicanálise - Pós-Graduação em Psicanálise - Pamela Lopes Vieira - Psicopatologias II – 50H - Nota Máxima: 9")</f>
        <v>Pós-Graduação em Psicanálise - Pós-Graduação em Psicanálise - Pamela Lopes Vieira - Psicopatologias II – 50H - Nota Máxima: 9</v>
      </c>
    </row>
    <row r="8837">
      <c r="A8837" s="390" t="str">
        <f>IFERROR(__xludf.DUMMYFUNCTION("""COMPUTED_VALUE"""),"Pós-Graduação em Psicanálise - Pós-Graduação em Psicanálise - Pamela Lopes Vieira - Sonhos, Simbologia e Representação – 50H - Nota Máxima: 10")</f>
        <v>Pós-Graduação em Psicanálise - Pós-Graduação em Psicanálise - Pamela Lopes Vieira - Sonhos, Simbologia e Representação – 50H - Nota Máxima: 10</v>
      </c>
    </row>
    <row r="8838">
      <c r="A8838" s="390" t="str">
        <f>IFERROR(__xludf.DUMMYFUNCTION("""COMPUTED_VALUE"""),"Pós-Graduação em Psicanálise - Pós-Graduação em Psicanálise - Pamela Lopes Vieira - Tópicos Avançados em Clínica – 40H - Nota Máxima: 10")</f>
        <v>Pós-Graduação em Psicanálise - Pós-Graduação em Psicanálise - Pamela Lopes Vieira - Tópicos Avançados em Clínica – 40H - Nota Máxima: 10</v>
      </c>
    </row>
    <row r="8839">
      <c r="A8839" s="390" t="str">
        <f>IFERROR(__xludf.DUMMYFUNCTION("""COMPUTED_VALUE"""),"Pós-Graduação em Psicanálise - Pós-Graduação em Psicanálise - Pamela Lopes Vieira - Tópicos Avançados em Sexualidade – 40H - Nota Máxima: 8")</f>
        <v>Pós-Graduação em Psicanálise - Pós-Graduação em Psicanálise - Pamela Lopes Vieira - Tópicos Avançados em Sexualidade – 40H - Nota Máxima: 8</v>
      </c>
    </row>
    <row r="8840">
      <c r="A8840" s="390" t="str">
        <f>IFERROR(__xludf.DUMMYFUNCTION("""COMPUTED_VALUE"""),"Pós-Graduação em Psicanálise - Pós-Graduação em Psicanálise - ROSELY DOS SANTOS COSTA - Complexo de Édipo e Castração - Nota Máxima: 7")</f>
        <v>Pós-Graduação em Psicanálise - Pós-Graduação em Psicanálise - ROSELY DOS SANTOS COSTA - Complexo de Édipo e Castração - Nota Máxima: 7</v>
      </c>
    </row>
    <row r="8841">
      <c r="A8841" s="390" t="str">
        <f>IFERROR(__xludf.DUMMYFUNCTION("""COMPUTED_VALUE"""),"Pós-Graduação em Psicanálise - Pós-Graduação em Psicanálise - ROSELY DOS SANTOS COSTA - Formação e Ética do Psicanalista – 30H - Nota Máxima: 8")</f>
        <v>Pós-Graduação em Psicanálise - Pós-Graduação em Psicanálise - ROSELY DOS SANTOS COSTA - Formação e Ética do Psicanalista – 30H - Nota Máxima: 8</v>
      </c>
    </row>
    <row r="8842">
      <c r="A8842" s="390" t="str">
        <f>IFERROR(__xludf.DUMMYFUNCTION("""COMPUTED_VALUE"""),"Pós-Graduação em Psicanálise - Pós-Graduação em Psicanálise - ROSELY DOS SANTOS COSTA - Introdução à EAD - 30H - Nota Máxima: 9")</f>
        <v>Pós-Graduação em Psicanálise - Pós-Graduação em Psicanálise - ROSELY DOS SANTOS COSTA - Introdução à EAD - 30H - Nota Máxima: 9</v>
      </c>
    </row>
    <row r="8843">
      <c r="A8843" s="390" t="str">
        <f>IFERROR(__xludf.DUMMYFUNCTION("""COMPUTED_VALUE"""),"Pós-Graduação em Psicanálise - Pós-Graduação em Psicanálise - ROSELY DOS SANTOS COSTA - Introdução à Psicanálise – 40H - Nota Máxima: 8")</f>
        <v>Pós-Graduação em Psicanálise - Pós-Graduação em Psicanálise - ROSELY DOS SANTOS COSTA - Introdução à Psicanálise – 40H - Nota Máxima: 8</v>
      </c>
    </row>
    <row r="8844">
      <c r="A8844" s="390" t="str">
        <f>IFERROR(__xludf.DUMMYFUNCTION("""COMPUTED_VALUE"""),"Pós-Graduação em Psicanálise - Pós-Graduação em Psicanálise - ROSELY DOS SANTOS COSTA - Planejamento, Gestão Educacional e Currículo/a - Nota Máxima: 9")</f>
        <v>Pós-Graduação em Psicanálise - Pós-Graduação em Psicanálise - ROSELY DOS SANTOS COSTA - Planejamento, Gestão Educacional e Currículo/a - Nota Máxima: 9</v>
      </c>
    </row>
    <row r="8845">
      <c r="A8845" s="390" t="str">
        <f>IFERROR(__xludf.DUMMYFUNCTION("""COMPUTED_VALUE"""),"Pós-Graduação em Psicanálise - Pós-Graduação em Psicanálise - Tamires Fernandes De Oliveira - Complexo de Édipo e Castração - Nota Máxima: 9")</f>
        <v>Pós-Graduação em Psicanálise - Pós-Graduação em Psicanálise - Tamires Fernandes De Oliveira - Complexo de Édipo e Castração - Nota Máxima: 9</v>
      </c>
    </row>
    <row r="8846">
      <c r="A8846" s="390" t="str">
        <f>IFERROR(__xludf.DUMMYFUNCTION("""COMPUTED_VALUE"""),"Pós-Graduação em Psicanálise - Pós-Graduação em Psicanálise - Tamires Fernandes De Oliveira - Formação e Ética do Psicanalista – 30H - Nota Máxima: 9")</f>
        <v>Pós-Graduação em Psicanálise - Pós-Graduação em Psicanálise - Tamires Fernandes De Oliveira - Formação e Ética do Psicanalista – 30H - Nota Máxima: 9</v>
      </c>
    </row>
    <row r="8847">
      <c r="A8847" s="390" t="str">
        <f>IFERROR(__xludf.DUMMYFUNCTION("""COMPUTED_VALUE"""),"Pós-Graduação em Psicanálise - Pós-Graduação em Psicanálise - Jaqueline Carin Leote Segovia - Complexo de Édipo e Castração - Nota Máxima: 6")</f>
        <v>Pós-Graduação em Psicanálise - Pós-Graduação em Psicanálise - Jaqueline Carin Leote Segovia - Complexo de Édipo e Castração - Nota Máxima: 6</v>
      </c>
    </row>
    <row r="8848">
      <c r="A8848" s="390" t="str">
        <f>IFERROR(__xludf.DUMMYFUNCTION("""COMPUTED_VALUE"""),"Pós-Graduação em Psicanálise - Pós-Graduação em Psicanálise - Jaqueline Carin Leote Segovia - Introdução à EAD - 30H - Nota Máxima: 6")</f>
        <v>Pós-Graduação em Psicanálise - Pós-Graduação em Psicanálise - Jaqueline Carin Leote Segovia - Introdução à EAD - 30H - Nota Máxima: 6</v>
      </c>
    </row>
    <row r="8849">
      <c r="A8849" s="390" t="str">
        <f>IFERROR(__xludf.DUMMYFUNCTION("""COMPUTED_VALUE"""),"Pós-Graduação em Psicanálise - Pós-Graduação em Psicanálise - Elen Cristina Rodrigues - Complexo de Édipo e Castração - Nota Máxima: 3")</f>
        <v>Pós-Graduação em Psicanálise - Pós-Graduação em Psicanálise - Elen Cristina Rodrigues - Complexo de Édipo e Castração - Nota Máxima: 3</v>
      </c>
    </row>
    <row r="8850">
      <c r="A8850" s="390" t="str">
        <f>IFERROR(__xludf.DUMMYFUNCTION("""COMPUTED_VALUE"""),"Pós-Graduação em Psicanálise - Pós-Graduação em Psicanálise - Elen Cristina Rodrigues - Psicopatologias I – 40H - Nota Máxima: 9")</f>
        <v>Pós-Graduação em Psicanálise - Pós-Graduação em Psicanálise - Elen Cristina Rodrigues - Psicopatologias I – 40H - Nota Máxima: 9</v>
      </c>
    </row>
    <row r="8851">
      <c r="A8851" s="390" t="str">
        <f>IFERROR(__xludf.DUMMYFUNCTION("""COMPUTED_VALUE"""),"Pós-Graduação em Psicanálise - Pós-Graduação em Psicanálise - Elen Cristina Rodrigues - Tópicos Avançados em Sexualidade – 40H - Nota Máxima: 8")</f>
        <v>Pós-Graduação em Psicanálise - Pós-Graduação em Psicanálise - Elen Cristina Rodrigues - Tópicos Avançados em Sexualidade – 40H - Nota Máxima: 8</v>
      </c>
    </row>
    <row r="8852">
      <c r="A8852" s="390" t="str">
        <f>IFERROR(__xludf.DUMMYFUNCTION("""COMPUTED_VALUE"""),"Pós-Graduação em Psicanálise - Pós-Graduação em Psicanálise - Claudete Aparecida Pereira - Complexo de Édipo e Castração - Nota Máxima: 10")</f>
        <v>Pós-Graduação em Psicanálise - Pós-Graduação em Psicanálise - Claudete Aparecida Pereira - Complexo de Édipo e Castração - Nota Máxima: 10</v>
      </c>
    </row>
    <row r="8853">
      <c r="A8853" s="390" t="str">
        <f>IFERROR(__xludf.DUMMYFUNCTION("""COMPUTED_VALUE"""),"Pós-Graduação em Psicanálise - Pós-Graduação em Psicanálise - Claudete Aparecida Pereira - Formação e Ética do Psicanalista – 30H - Nota Máxima: 10")</f>
        <v>Pós-Graduação em Psicanálise - Pós-Graduação em Psicanálise - Claudete Aparecida Pereira - Formação e Ética do Psicanalista – 30H - Nota Máxima: 10</v>
      </c>
    </row>
    <row r="8854">
      <c r="A8854" s="390" t="str">
        <f>IFERROR(__xludf.DUMMYFUNCTION("""COMPUTED_VALUE"""),"Pós-Graduação em Psicanálise - Pós-Graduação em Psicanálise - Claudete Aparecida Pereira - Introdução à EAD - 30H - Nota Máxima: 10")</f>
        <v>Pós-Graduação em Psicanálise - Pós-Graduação em Psicanálise - Claudete Aparecida Pereira - Introdução à EAD - 30H - Nota Máxima: 10</v>
      </c>
    </row>
    <row r="8855">
      <c r="A8855" s="390" t="str">
        <f>IFERROR(__xludf.DUMMYFUNCTION("""COMPUTED_VALUE"""),"Pós-Graduação em Psicanálise - Pós-Graduação em Psicanálise - Claudete Aparecida Pereira - Introdução à Psicanálise – 40H - Nota Máxima: 10")</f>
        <v>Pós-Graduação em Psicanálise - Pós-Graduação em Psicanálise - Claudete Aparecida Pereira - Introdução à Psicanálise – 40H - Nota Máxima: 10</v>
      </c>
    </row>
    <row r="8856">
      <c r="A8856" s="390" t="str">
        <f>IFERROR(__xludf.DUMMYFUNCTION("""COMPUTED_VALUE"""),"Pós-Graduação em Psicanálise - Pós-Graduação em Psicanálise - Claudete Aparecida Pereira - Libido, Pulsões e Sexualidade – 50H - Nota Máxima: 10")</f>
        <v>Pós-Graduação em Psicanálise - Pós-Graduação em Psicanálise - Claudete Aparecida Pereira - Libido, Pulsões e Sexualidade – 50H - Nota Máxima: 10</v>
      </c>
    </row>
    <row r="8857">
      <c r="A8857" s="390" t="str">
        <f>IFERROR(__xludf.DUMMYFUNCTION("""COMPUTED_VALUE"""),"Pós-Graduação em Psicanálise - Pós-Graduação em Psicanálise - Claudete Aparecida Pereira - Narcisismo e a Cultura da Indiferença – 40H - Nota Máxima: 10")</f>
        <v>Pós-Graduação em Psicanálise - Pós-Graduação em Psicanálise - Claudete Aparecida Pereira - Narcisismo e a Cultura da Indiferença – 40H - Nota Máxima: 10</v>
      </c>
    </row>
    <row r="8858">
      <c r="A8858" s="390" t="str">
        <f>IFERROR(__xludf.DUMMYFUNCTION("""COMPUTED_VALUE"""),"Pós-Graduação em Psicanálise - Pós-Graduação em Psicanálise - Claudete Aparecida Pereira - O Aparelho psíquico, aspectos clínicos e Teóricos – 40H - Nota Máxima: 10")</f>
        <v>Pós-Graduação em Psicanálise - Pós-Graduação em Psicanálise - Claudete Aparecida Pereira - O Aparelho psíquico, aspectos clínicos e Teóricos – 40H - Nota Máxima: 10</v>
      </c>
    </row>
    <row r="8859">
      <c r="A8859" s="390" t="str">
        <f>IFERROR(__xludf.DUMMYFUNCTION("""COMPUTED_VALUE"""),"Pós-Graduação em Psicanálise - Pós-Graduação em Psicanálise - Claudete Aparecida Pereira - O Método Psicanalítico – 50H - Nota Máxima: 10")</f>
        <v>Pós-Graduação em Psicanálise - Pós-Graduação em Psicanálise - Claudete Aparecida Pereira - O Método Psicanalítico – 50H - Nota Máxima: 10</v>
      </c>
    </row>
    <row r="8860">
      <c r="A8860" s="390" t="str">
        <f>IFERROR(__xludf.DUMMYFUNCTION("""COMPUTED_VALUE"""),"Pós-Graduação em Psicanálise - Pós-Graduação em Psicanálise - Claudete Aparecida Pereira - Práticas e Procedimentos em Clínica – 30H - Nota Máxima: 10")</f>
        <v>Pós-Graduação em Psicanálise - Pós-Graduação em Psicanálise - Claudete Aparecida Pereira - Práticas e Procedimentos em Clínica – 30H - Nota Máxima: 10</v>
      </c>
    </row>
    <row r="8861">
      <c r="A8861" s="390" t="str">
        <f>IFERROR(__xludf.DUMMYFUNCTION("""COMPUTED_VALUE"""),"Pós-Graduação em Psicanálise - Pós-Graduação em Psicanálise - Claudete Aparecida Pereira - Processos de Transferência e Resistência – 30H - Nota Máxima: 9")</f>
        <v>Pós-Graduação em Psicanálise - Pós-Graduação em Psicanálise - Claudete Aparecida Pereira - Processos de Transferência e Resistência – 30H - Nota Máxima: 9</v>
      </c>
    </row>
    <row r="8862">
      <c r="A8862" s="390" t="str">
        <f>IFERROR(__xludf.DUMMYFUNCTION("""COMPUTED_VALUE"""),"Pós-Graduação em Psicanálise - Pós-Graduação em Psicanálise - Claudete Aparecida Pereira - Psicanálise da Criança e do Adolescente – 40H - Nota Máxima: 10")</f>
        <v>Pós-Graduação em Psicanálise - Pós-Graduação em Psicanálise - Claudete Aparecida Pereira - Psicanálise da Criança e do Adolescente – 40H - Nota Máxima: 10</v>
      </c>
    </row>
    <row r="8863">
      <c r="A8863" s="390" t="str">
        <f>IFERROR(__xludf.DUMMYFUNCTION("""COMPUTED_VALUE"""),"Pós-Graduação em Psicanálise - Pós-Graduação em Psicanálise - Claudete Aparecida Pereira - Psicanálise II – 50H - Nota Máxima: 9")</f>
        <v>Pós-Graduação em Psicanálise - Pós-Graduação em Psicanálise - Claudete Aparecida Pereira - Psicanálise II – 50H - Nota Máxima: 9</v>
      </c>
    </row>
    <row r="8864">
      <c r="A8864" s="390" t="str">
        <f>IFERROR(__xludf.DUMMYFUNCTION("""COMPUTED_VALUE"""),"Pós-Graduação em Psicanálise - Pós-Graduação em Psicanálise - Claudete Aparecida Pereira - Psicopatologias I – 40H - Nota Máxima: 8")</f>
        <v>Pós-Graduação em Psicanálise - Pós-Graduação em Psicanálise - Claudete Aparecida Pereira - Psicopatologias I – 40H - Nota Máxima: 8</v>
      </c>
    </row>
    <row r="8865">
      <c r="A8865" s="390" t="str">
        <f>IFERROR(__xludf.DUMMYFUNCTION("""COMPUTED_VALUE"""),"Pós-Graduação em Psicanálise - Pós-Graduação em Psicanálise - Claudete Aparecida Pereira - Psicopatologias II – 50H - Nota Máxima: 8")</f>
        <v>Pós-Graduação em Psicanálise - Pós-Graduação em Psicanálise - Claudete Aparecida Pereira - Psicopatologias II – 50H - Nota Máxima: 8</v>
      </c>
    </row>
    <row r="8866">
      <c r="A8866" s="390" t="str">
        <f>IFERROR(__xludf.DUMMYFUNCTION("""COMPUTED_VALUE"""),"Pós-Graduação em Psicanálise - Pós-Graduação em Psicanálise - Claudete Aparecida Pereira - Sonhos, Simbologia e Representação – 50H - Nota Máxima: 8")</f>
        <v>Pós-Graduação em Psicanálise - Pós-Graduação em Psicanálise - Claudete Aparecida Pereira - Sonhos, Simbologia e Representação – 50H - Nota Máxima: 8</v>
      </c>
    </row>
    <row r="8867">
      <c r="A8867" s="390" t="str">
        <f>IFERROR(__xludf.DUMMYFUNCTION("""COMPUTED_VALUE"""),"Pós-Graduação em Psicanálise - Pós-Graduação em Psicanálise - Claudete Aparecida Pereira - Tópicos Avançados em Clínica – 40H - Nota Máxima: 9")</f>
        <v>Pós-Graduação em Psicanálise - Pós-Graduação em Psicanálise - Claudete Aparecida Pereira - Tópicos Avançados em Clínica – 40H - Nota Máxima: 9</v>
      </c>
    </row>
    <row r="8868">
      <c r="A8868" s="390" t="str">
        <f>IFERROR(__xludf.DUMMYFUNCTION("""COMPUTED_VALUE"""),"Pós-Graduação em Psicanálise - Pós-Graduação em Psicanálise - Claudete Aparecida Pereira - Tópicos Avançados em Sexualidade – 40H - Nota Máxima: 9")</f>
        <v>Pós-Graduação em Psicanálise - Pós-Graduação em Psicanálise - Claudete Aparecida Pereira - Tópicos Avançados em Sexualidade – 40H - Nota Máxima: 9</v>
      </c>
    </row>
    <row r="8869">
      <c r="A8869" s="390" t="str">
        <f>IFERROR(__xludf.DUMMYFUNCTION("""COMPUTED_VALUE"""),"Pós-Graduação em Psicanálise - Pós-Graduação em Psicanálise - Nayara Helena de Araújo Oliveira - Complexo de Édipo e Castração - Nota Máxima: 8")</f>
        <v>Pós-Graduação em Psicanálise - Pós-Graduação em Psicanálise - Nayara Helena de Araújo Oliveira - Complexo de Édipo e Castração - Nota Máxima: 8</v>
      </c>
    </row>
    <row r="8870">
      <c r="A8870" s="390" t="str">
        <f>IFERROR(__xludf.DUMMYFUNCTION("""COMPUTED_VALUE"""),"Pós-Graduação em Psicanálise - Pós-Graduação em Psicanálise - Nayara Helena de Araújo Oliveira - Complexo de Édipo e Castração - Nota Máxima: 7")</f>
        <v>Pós-Graduação em Psicanálise - Pós-Graduação em Psicanálise - Nayara Helena de Araújo Oliveira - Complexo de Édipo e Castração - Nota Máxima: 7</v>
      </c>
    </row>
    <row r="8871">
      <c r="A8871" s="390" t="str">
        <f>IFERROR(__xludf.DUMMYFUNCTION("""COMPUTED_VALUE"""),"Pós-Graduação em Psicanálise - Pós-Graduação em Psicanálise - Nayara Helena de Araújo Oliveira - Formação e Ética do Psicanalista – 30H - Nota Máxima: 9")</f>
        <v>Pós-Graduação em Psicanálise - Pós-Graduação em Psicanálise - Nayara Helena de Araújo Oliveira - Formação e Ética do Psicanalista – 30H - Nota Máxima: 9</v>
      </c>
    </row>
    <row r="8872">
      <c r="A8872" s="390" t="str">
        <f>IFERROR(__xludf.DUMMYFUNCTION("""COMPUTED_VALUE"""),"Pós-Graduação em Psicanálise - Pós-Graduação em Psicanálise - Nayara Helena de Araújo Oliveira - Introdução à EAD - 30H - Nota Máxima: 10")</f>
        <v>Pós-Graduação em Psicanálise - Pós-Graduação em Psicanálise - Nayara Helena de Araújo Oliveira - Introdução à EAD - 30H - Nota Máxima: 10</v>
      </c>
    </row>
    <row r="8873">
      <c r="A8873" s="390" t="str">
        <f>IFERROR(__xludf.DUMMYFUNCTION("""COMPUTED_VALUE"""),"Pós-Graduação em Psicanálise - Pós-Graduação em Psicanálise - Nayara Helena de Araújo Oliveira - Introdução à EAD - 30H - Nota Máxima: 9")</f>
        <v>Pós-Graduação em Psicanálise - Pós-Graduação em Psicanálise - Nayara Helena de Araújo Oliveira - Introdução à EAD - 30H - Nota Máxima: 9</v>
      </c>
    </row>
    <row r="8874">
      <c r="A8874" s="390" t="str">
        <f>IFERROR(__xludf.DUMMYFUNCTION("""COMPUTED_VALUE"""),"Pós-Graduação em Psicanálise - Pós-Graduação em Psicanálise - Nayara Helena de Araújo Oliveira - O Aparelho psíquico, aspectos clínicos e Teóricos – 40H - Nota Máxima: 8")</f>
        <v>Pós-Graduação em Psicanálise - Pós-Graduação em Psicanálise - Nayara Helena de Araújo Oliveira - O Aparelho psíquico, aspectos clínicos e Teóricos – 40H - Nota Máxima: 8</v>
      </c>
    </row>
    <row r="8875">
      <c r="A8875" s="390" t="str">
        <f>IFERROR(__xludf.DUMMYFUNCTION("""COMPUTED_VALUE"""),"Pós-Graduação em Psicanálise - Pós-Graduação em Psicanálise - Nayara Helena de Araújo Oliveira - O Método Psicanalítico – 50H - Nota Máxima: 10")</f>
        <v>Pós-Graduação em Psicanálise - Pós-Graduação em Psicanálise - Nayara Helena de Araújo Oliveira - O Método Psicanalítico – 50H - Nota Máxima: 10</v>
      </c>
    </row>
    <row r="8876">
      <c r="A8876" s="390" t="str">
        <f>IFERROR(__xludf.DUMMYFUNCTION("""COMPUTED_VALUE"""),"Pós-Graduação em Psicanálise - Pós-Graduação em Psicanálise - Nayara Helena de Araújo Oliveira - Práticas e Procedimentos em Clínica – 30H - Nota Máxima: 10")</f>
        <v>Pós-Graduação em Psicanálise - Pós-Graduação em Psicanálise - Nayara Helena de Araújo Oliveira - Práticas e Procedimentos em Clínica – 30H - Nota Máxima: 10</v>
      </c>
    </row>
    <row r="8877">
      <c r="A8877" s="390" t="str">
        <f>IFERROR(__xludf.DUMMYFUNCTION("""COMPUTED_VALUE"""),"Pós-Graduação em Psicanálise - Pós-Graduação em Psicanálise - Nayara Helena de Araújo Oliveira - Processos de Transferência e Resistência – 30H - Nota Máxima: 8")</f>
        <v>Pós-Graduação em Psicanálise - Pós-Graduação em Psicanálise - Nayara Helena de Araújo Oliveira - Processos de Transferência e Resistência – 30H - Nota Máxima: 8</v>
      </c>
    </row>
    <row r="8878">
      <c r="A8878" s="390" t="str">
        <f>IFERROR(__xludf.DUMMYFUNCTION("""COMPUTED_VALUE"""),"Pós-Graduação em Psicanálise - Pós-Graduação em Psicanálise - Nayara Helena de Araújo Oliveira - Psicanálise da Criança e do Adolescente – 40H - Nota Máxima: 8")</f>
        <v>Pós-Graduação em Psicanálise - Pós-Graduação em Psicanálise - Nayara Helena de Araújo Oliveira - Psicanálise da Criança e do Adolescente – 40H - Nota Máxima: 8</v>
      </c>
    </row>
    <row r="8879">
      <c r="A8879" s="390" t="str">
        <f>IFERROR(__xludf.DUMMYFUNCTION("""COMPUTED_VALUE"""),"Pós-Graduação em Psicanálise - Pós-Graduação em Psicanálise - Nayara Helena de Araújo Oliveira - Psicopatologias I – 40H - Nota Máxima: 9")</f>
        <v>Pós-Graduação em Psicanálise - Pós-Graduação em Psicanálise - Nayara Helena de Araújo Oliveira - Psicopatologias I – 40H - Nota Máxima: 9</v>
      </c>
    </row>
    <row r="8880">
      <c r="A8880" s="390" t="str">
        <f>IFERROR(__xludf.DUMMYFUNCTION("""COMPUTED_VALUE"""),"Pós-Graduação em Psicanálise - Pós-Graduação em Psicanálise - Nayara Helena de Araújo Oliveira - Psicopatologias II – 50H - Nota Máxima: 9")</f>
        <v>Pós-Graduação em Psicanálise - Pós-Graduação em Psicanálise - Nayara Helena de Araújo Oliveira - Psicopatologias II – 50H - Nota Máxima: 9</v>
      </c>
    </row>
    <row r="8881">
      <c r="A8881" s="390" t="str">
        <f>IFERROR(__xludf.DUMMYFUNCTION("""COMPUTED_VALUE"""),"Pós-Graduação em Psicanálise - Pós-Graduação em Psicanálise - Nayara Helena de Araújo Oliveira - Tópicos Avançados em Clínica – 40H - Nota Máxima: 8")</f>
        <v>Pós-Graduação em Psicanálise - Pós-Graduação em Psicanálise - Nayara Helena de Araújo Oliveira - Tópicos Avançados em Clínica – 40H - Nota Máxima: 8</v>
      </c>
    </row>
    <row r="8882">
      <c r="A8882" s="390" t="str">
        <f>IFERROR(__xludf.DUMMYFUNCTION("""COMPUTED_VALUE"""),"Pós-Graduação em Psicanálise - Pós-Graduação em Psicanálise - Rosana Ferreira de Oliveira - O Método Psicanalítico – 50H - Nota Máxima: 4")</f>
        <v>Pós-Graduação em Psicanálise - Pós-Graduação em Psicanálise - Rosana Ferreira de Oliveira - O Método Psicanalítico – 50H - Nota Máxima: 4</v>
      </c>
    </row>
    <row r="8883">
      <c r="A8883" s="390" t="str">
        <f>IFERROR(__xludf.DUMMYFUNCTION("""COMPUTED_VALUE"""),"Pós-Graduação em Psicanálise - Pós-Graduação em Psicanálise - Rosana Ferreira de Oliveira - Psicanálise da Criança e do Adolescente – 40H - Nota Máxima: 7")</f>
        <v>Pós-Graduação em Psicanálise - Pós-Graduação em Psicanálise - Rosana Ferreira de Oliveira - Psicanálise da Criança e do Adolescente – 40H - Nota Máxima: 7</v>
      </c>
    </row>
    <row r="8884">
      <c r="A8884" s="390" t="str">
        <f>IFERROR(__xludf.DUMMYFUNCTION("""COMPUTED_VALUE"""),"Pós-Graduação em Psicanálise - Pós-Graduação em Psicanálise - Rosinei Macali - Complexo de Édipo e Castração - Nota Máxima: 9")</f>
        <v>Pós-Graduação em Psicanálise - Pós-Graduação em Psicanálise - Rosinei Macali - Complexo de Édipo e Castração - Nota Máxima: 9</v>
      </c>
    </row>
    <row r="8885">
      <c r="A8885" s="390" t="str">
        <f>IFERROR(__xludf.DUMMYFUNCTION("""COMPUTED_VALUE"""),"Pós-Graduação em Psicanálise - Pós-Graduação em Psicanálise - Rosinei Macali - Formação e Ética do Psicanalista – 30H - Nota Máxima: 8")</f>
        <v>Pós-Graduação em Psicanálise - Pós-Graduação em Psicanálise - Rosinei Macali - Formação e Ética do Psicanalista – 30H - Nota Máxima: 8</v>
      </c>
    </row>
    <row r="8886">
      <c r="A8886" s="390" t="str">
        <f>IFERROR(__xludf.DUMMYFUNCTION("""COMPUTED_VALUE"""),"Pós-Graduação em Psicanálise - Pós-Graduação em Psicanálise - Rosinei Macali - Introdução à EAD - 30H - Nota Máxima: 9")</f>
        <v>Pós-Graduação em Psicanálise - Pós-Graduação em Psicanálise - Rosinei Macali - Introdução à EAD - 30H - Nota Máxima: 9</v>
      </c>
    </row>
    <row r="8887">
      <c r="A8887" s="390" t="str">
        <f>IFERROR(__xludf.DUMMYFUNCTION("""COMPUTED_VALUE"""),"Pós-Graduação em Psicanálise - Pós-Graduação em Psicanálise - Rosinei Macali - Narcisismo e a Cultura da Indiferença – 40H - Nota Máxima: 9")</f>
        <v>Pós-Graduação em Psicanálise - Pós-Graduação em Psicanálise - Rosinei Macali - Narcisismo e a Cultura da Indiferença – 40H - Nota Máxima: 9</v>
      </c>
    </row>
    <row r="8888">
      <c r="A8888" s="390" t="str">
        <f>IFERROR(__xludf.DUMMYFUNCTION("""COMPUTED_VALUE"""),"Pós-Graduação em Psicanálise - Pós-Graduação em Psicanálise - Rosinei Macali - O Aparelho psíquico, aspectos clínicos e Teóricos – 40H - Nota Máxima: 10")</f>
        <v>Pós-Graduação em Psicanálise - Pós-Graduação em Psicanálise - Rosinei Macali - O Aparelho psíquico, aspectos clínicos e Teóricos – 40H - Nota Máxima: 10</v>
      </c>
    </row>
    <row r="8889">
      <c r="A8889" s="390" t="str">
        <f>IFERROR(__xludf.DUMMYFUNCTION("""COMPUTED_VALUE"""),"Pós-Graduação em Psicanálise - Pós-Graduação em Psicanálise - Rosinei Macali - O Método Psicanalítico – 50H - Nota Máxima: 10")</f>
        <v>Pós-Graduação em Psicanálise - Pós-Graduação em Psicanálise - Rosinei Macali - O Método Psicanalítico – 50H - Nota Máxima: 10</v>
      </c>
    </row>
    <row r="8890">
      <c r="A8890" s="390" t="str">
        <f>IFERROR(__xludf.DUMMYFUNCTION("""COMPUTED_VALUE"""),"Pós-Graduação em Psicanálise - Pós-Graduação em Psicanálise - Rosinei Macali - Práticas e Procedimentos em Clínica – 30H - Nota Máxima: 10")</f>
        <v>Pós-Graduação em Psicanálise - Pós-Graduação em Psicanálise - Rosinei Macali - Práticas e Procedimentos em Clínica – 30H - Nota Máxima: 10</v>
      </c>
    </row>
    <row r="8891">
      <c r="A8891" s="390" t="str">
        <f>IFERROR(__xludf.DUMMYFUNCTION("""COMPUTED_VALUE"""),"Pós-Graduação em Psicanálise - Pós-Graduação em Psicanálise - Rosinei Macali - Processos de Transferência e Resistência – 30H - Nota Máxima: 10")</f>
        <v>Pós-Graduação em Psicanálise - Pós-Graduação em Psicanálise - Rosinei Macali - Processos de Transferência e Resistência – 30H - Nota Máxima: 10</v>
      </c>
    </row>
    <row r="8892">
      <c r="A8892" s="390" t="str">
        <f>IFERROR(__xludf.DUMMYFUNCTION("""COMPUTED_VALUE"""),"Pós-Graduação em Psicanálise - Pós-Graduação em Psicanálise - Rosinei Macali - Psicanálise da Criança e do Adolescente – 40H - Nota Máxima: 10")</f>
        <v>Pós-Graduação em Psicanálise - Pós-Graduação em Psicanálise - Rosinei Macali - Psicanálise da Criança e do Adolescente – 40H - Nota Máxima: 10</v>
      </c>
    </row>
    <row r="8893">
      <c r="A8893" s="390" t="str">
        <f>IFERROR(__xludf.DUMMYFUNCTION("""COMPUTED_VALUE"""),"Pós-Graduação em Psicanálise - Pós-Graduação em Psicanálise - Rosinei Macali - Psicopatologias I – 40H - Nota Máxima: 10")</f>
        <v>Pós-Graduação em Psicanálise - Pós-Graduação em Psicanálise - Rosinei Macali - Psicopatologias I – 40H - Nota Máxima: 10</v>
      </c>
    </row>
    <row r="8894">
      <c r="A8894" s="390" t="str">
        <f>IFERROR(__xludf.DUMMYFUNCTION("""COMPUTED_VALUE"""),"Pós-Graduação em Psicanálise - Pós-Graduação em Psicanálise - Rosinei Macali - Psicopatologias II – 50H - Nota Máxima: 10")</f>
        <v>Pós-Graduação em Psicanálise - Pós-Graduação em Psicanálise - Rosinei Macali - Psicopatologias II – 50H - Nota Máxima: 10</v>
      </c>
    </row>
    <row r="8895">
      <c r="A8895" s="390" t="str">
        <f>IFERROR(__xludf.DUMMYFUNCTION("""COMPUTED_VALUE"""),"Pós-Graduação em Psicanálise - Pós-Graduação em Psicanálise - Rosinei Macali - Sonhos, Simbologia e Representação – 50H - Nota Máxima: 10")</f>
        <v>Pós-Graduação em Psicanálise - Pós-Graduação em Psicanálise - Rosinei Macali - Sonhos, Simbologia e Representação – 50H - Nota Máxima: 10</v>
      </c>
    </row>
    <row r="8896">
      <c r="A8896" s="390" t="str">
        <f>IFERROR(__xludf.DUMMYFUNCTION("""COMPUTED_VALUE"""),"Pós-Graduação em Psicanálise - Pós-Graduação em Psicanálise - Rosinei Macali - Tópicos Avançados em Clínica – 40H - Nota Máxima: 10")</f>
        <v>Pós-Graduação em Psicanálise - Pós-Graduação em Psicanálise - Rosinei Macali - Tópicos Avançados em Clínica – 40H - Nota Máxima: 10</v>
      </c>
    </row>
    <row r="8897">
      <c r="A8897" s="390" t="str">
        <f>IFERROR(__xludf.DUMMYFUNCTION("""COMPUTED_VALUE"""),"Pós-Graduação em Psicanálise - Pós-Graduação em Psicanálise - Rosinei Macali - Tópicos Avançados em Sexualidade – 40H - Nota Máxima: 10")</f>
        <v>Pós-Graduação em Psicanálise - Pós-Graduação em Psicanálise - Rosinei Macali - Tópicos Avançados em Sexualidade – 40H - Nota Máxima: 10</v>
      </c>
    </row>
    <row r="8898">
      <c r="A8898" s="390" t="str">
        <f>IFERROR(__xludf.DUMMYFUNCTION("""COMPUTED_VALUE"""),"Pós-Graduação em Psicanálise - Pós-Graduação em Psicanálise - Antonio da Silva Paixão - Complexo de Édipo e Castração - Nota Máxima: 10")</f>
        <v>Pós-Graduação em Psicanálise - Pós-Graduação em Psicanálise - Antonio da Silva Paixão - Complexo de Édipo e Castração - Nota Máxima: 10</v>
      </c>
    </row>
    <row r="8899">
      <c r="A8899" s="390" t="str">
        <f>IFERROR(__xludf.DUMMYFUNCTION("""COMPUTED_VALUE"""),"Pós-Graduação em Psicanálise - Pós-Graduação em Psicanálise - Antonio da Silva Paixão - Complexo de Édipo e Castração - Nota Máxima: 6")</f>
        <v>Pós-Graduação em Psicanálise - Pós-Graduação em Psicanálise - Antonio da Silva Paixão - Complexo de Édipo e Castração - Nota Máxima: 6</v>
      </c>
    </row>
    <row r="8900">
      <c r="A8900" s="390" t="str">
        <f>IFERROR(__xludf.DUMMYFUNCTION("""COMPUTED_VALUE"""),"Pós-Graduação em Psicanálise - Pós-Graduação em Psicanálise - Antonio da Silva Paixão - Formação e Ética do Psicanalista – 30H - Nota Máxima: 10")</f>
        <v>Pós-Graduação em Psicanálise - Pós-Graduação em Psicanálise - Antonio da Silva Paixão - Formação e Ética do Psicanalista – 30H - Nota Máxima: 10</v>
      </c>
    </row>
    <row r="8901">
      <c r="A8901" s="390" t="str">
        <f>IFERROR(__xludf.DUMMYFUNCTION("""COMPUTED_VALUE"""),"Pós-Graduação em Psicanálise - Pós-Graduação em Psicanálise - Antonio da Silva Paixão - Formação e Ética do Psicanalista – 30H - Nota Máxima: 9")</f>
        <v>Pós-Graduação em Psicanálise - Pós-Graduação em Psicanálise - Antonio da Silva Paixão - Formação e Ética do Psicanalista – 30H - Nota Máxima: 9</v>
      </c>
    </row>
    <row r="8902">
      <c r="A8902" s="390" t="str">
        <f>IFERROR(__xludf.DUMMYFUNCTION("""COMPUTED_VALUE"""),"Pós-Graduação em Psicanálise - Pós-Graduação em Psicanálise - Antonio da Silva Paixão - Introdução à EAD - 30H - Nota Máxima: 10")</f>
        <v>Pós-Graduação em Psicanálise - Pós-Graduação em Psicanálise - Antonio da Silva Paixão - Introdução à EAD - 30H - Nota Máxima: 10</v>
      </c>
    </row>
    <row r="8903">
      <c r="A8903" s="390" t="str">
        <f>IFERROR(__xludf.DUMMYFUNCTION("""COMPUTED_VALUE"""),"Pós-Graduação em Psicanálise - Pós-Graduação em Psicanálise - Antonio da Silva Paixão - Introdução à EAD - 30H - Nota Máxima: 0")</f>
        <v>Pós-Graduação em Psicanálise - Pós-Graduação em Psicanálise - Antonio da Silva Paixão - Introdução à EAD - 30H - Nota Máxima: 0</v>
      </c>
    </row>
    <row r="8904">
      <c r="A8904" s="390" t="str">
        <f>IFERROR(__xludf.DUMMYFUNCTION("""COMPUTED_VALUE"""),"Pós-Graduação em Psicanálise - Pós-Graduação em Psicanálise - Antonio da Silva Paixão - Introdução à Psicanálise – 40H - Nota Máxima: 10")</f>
        <v>Pós-Graduação em Psicanálise - Pós-Graduação em Psicanálise - Antonio da Silva Paixão - Introdução à Psicanálise – 40H - Nota Máxima: 10</v>
      </c>
    </row>
    <row r="8905">
      <c r="A8905" s="390" t="str">
        <f>IFERROR(__xludf.DUMMYFUNCTION("""COMPUTED_VALUE"""),"Pós-Graduação em Psicanálise - Pós-Graduação em Psicanálise - Antonio da Silva Paixão - Introdução à Psicanálise – 40H - Nota Máxima: 9")</f>
        <v>Pós-Graduação em Psicanálise - Pós-Graduação em Psicanálise - Antonio da Silva Paixão - Introdução à Psicanálise – 40H - Nota Máxima: 9</v>
      </c>
    </row>
    <row r="8906">
      <c r="A8906" s="390" t="str">
        <f>IFERROR(__xludf.DUMMYFUNCTION("""COMPUTED_VALUE"""),"Pós-Graduação em Psicanálise - Pós-Graduação em Psicanálise - Antonio da Silva Paixão - Libido, Pulsões e Sexualidade – 50H - Nota Máxima: 10")</f>
        <v>Pós-Graduação em Psicanálise - Pós-Graduação em Psicanálise - Antonio da Silva Paixão - Libido, Pulsões e Sexualidade – 50H - Nota Máxima: 10</v>
      </c>
    </row>
    <row r="8907">
      <c r="A8907" s="390" t="str">
        <f>IFERROR(__xludf.DUMMYFUNCTION("""COMPUTED_VALUE"""),"Pós-Graduação em Psicanálise - Pós-Graduação em Psicanálise - Antonio da Silva Paixão - Libido, Pulsões e Sexualidade – 50H - Nota Máxima: 8")</f>
        <v>Pós-Graduação em Psicanálise - Pós-Graduação em Psicanálise - Antonio da Silva Paixão - Libido, Pulsões e Sexualidade – 50H - Nota Máxima: 8</v>
      </c>
    </row>
    <row r="8908">
      <c r="A8908" s="390" t="str">
        <f>IFERROR(__xludf.DUMMYFUNCTION("""COMPUTED_VALUE"""),"Pós-Graduação em Psicanálise - Pós-Graduação em Psicanálise - Antonio da Silva Paixão - Narcisismo e a Cultura da Indiferença – 40H - Nota Máxima: 9")</f>
        <v>Pós-Graduação em Psicanálise - Pós-Graduação em Psicanálise - Antonio da Silva Paixão - Narcisismo e a Cultura da Indiferença – 40H - Nota Máxima: 9</v>
      </c>
    </row>
    <row r="8909">
      <c r="A8909" s="390" t="str">
        <f>IFERROR(__xludf.DUMMYFUNCTION("""COMPUTED_VALUE"""),"Pós-Graduação em Psicanálise - Pós-Graduação em Psicanálise - Antonio da Silva Paixão - Narcisismo e a Cultura da Indiferença – 40H - Nota Máxima: 7")</f>
        <v>Pós-Graduação em Psicanálise - Pós-Graduação em Psicanálise - Antonio da Silva Paixão - Narcisismo e a Cultura da Indiferença – 40H - Nota Máxima: 7</v>
      </c>
    </row>
    <row r="8910">
      <c r="A8910" s="390" t="str">
        <f>IFERROR(__xludf.DUMMYFUNCTION("""COMPUTED_VALUE"""),"Pós-Graduação em Psicanálise - Pós-Graduação em Psicanálise - Antonio da Silva Paixão - O Aparelho psíquico, aspectos clínicos e Teóricos – 40H - Nota Máxima: 10")</f>
        <v>Pós-Graduação em Psicanálise - Pós-Graduação em Psicanálise - Antonio da Silva Paixão - O Aparelho psíquico, aspectos clínicos e Teóricos – 40H - Nota Máxima: 10</v>
      </c>
    </row>
    <row r="8911">
      <c r="A8911" s="390" t="str">
        <f>IFERROR(__xludf.DUMMYFUNCTION("""COMPUTED_VALUE"""),"Pós-Graduação em Psicanálise - Pós-Graduação em Psicanálise - Antonio da Silva Paixão - O Aparelho psíquico, aspectos clínicos e Teóricos – 40H - Nota Máxima: 9")</f>
        <v>Pós-Graduação em Psicanálise - Pós-Graduação em Psicanálise - Antonio da Silva Paixão - O Aparelho psíquico, aspectos clínicos e Teóricos – 40H - Nota Máxima: 9</v>
      </c>
    </row>
    <row r="8912">
      <c r="A8912" s="390" t="str">
        <f>IFERROR(__xludf.DUMMYFUNCTION("""COMPUTED_VALUE"""),"Pós-Graduação em Psicanálise - Pós-Graduação em Psicanálise - Antonio da Silva Paixão - O Método Psicanalítico – 50H - Nota Máxima: 10")</f>
        <v>Pós-Graduação em Psicanálise - Pós-Graduação em Psicanálise - Antonio da Silva Paixão - O Método Psicanalítico – 50H - Nota Máxima: 10</v>
      </c>
    </row>
    <row r="8913">
      <c r="A8913" s="390" t="str">
        <f>IFERROR(__xludf.DUMMYFUNCTION("""COMPUTED_VALUE"""),"Pós-Graduação em Psicanálise - Pós-Graduação em Psicanálise - Antonio da Silva Paixão - O Método Psicanalítico – 50H - Nota Máxima: 10")</f>
        <v>Pós-Graduação em Psicanálise - Pós-Graduação em Psicanálise - Antonio da Silva Paixão - O Método Psicanalítico – 50H - Nota Máxima: 10</v>
      </c>
    </row>
    <row r="8914">
      <c r="A8914" s="390" t="str">
        <f>IFERROR(__xludf.DUMMYFUNCTION("""COMPUTED_VALUE"""),"Pós-Graduação em Psicanálise - Pós-Graduação em Psicanálise - Antonio da Silva Paixão - Práticas e Procedimentos em Clínica – 30H - Nota Máxima: 10")</f>
        <v>Pós-Graduação em Psicanálise - Pós-Graduação em Psicanálise - Antonio da Silva Paixão - Práticas e Procedimentos em Clínica – 30H - Nota Máxima: 10</v>
      </c>
    </row>
    <row r="8915">
      <c r="A8915" s="390" t="str">
        <f>IFERROR(__xludf.DUMMYFUNCTION("""COMPUTED_VALUE"""),"Pós-Graduação em Psicanálise - Pós-Graduação em Psicanálise - Antonio da Silva Paixão - Práticas e Procedimentos em Clínica – 30H - Nota Máxima: 7")</f>
        <v>Pós-Graduação em Psicanálise - Pós-Graduação em Psicanálise - Antonio da Silva Paixão - Práticas e Procedimentos em Clínica – 30H - Nota Máxima: 7</v>
      </c>
    </row>
    <row r="8916">
      <c r="A8916" s="390" t="str">
        <f>IFERROR(__xludf.DUMMYFUNCTION("""COMPUTED_VALUE"""),"Pós-Graduação em Psicanálise - Pós-Graduação em Psicanálise - Antonio da Silva Paixão - Processos de Transferência e Resistência – 30H - Nota Máxima: 10")</f>
        <v>Pós-Graduação em Psicanálise - Pós-Graduação em Psicanálise - Antonio da Silva Paixão - Processos de Transferência e Resistência – 30H - Nota Máxima: 10</v>
      </c>
    </row>
    <row r="8917">
      <c r="A8917" s="390" t="str">
        <f>IFERROR(__xludf.DUMMYFUNCTION("""COMPUTED_VALUE"""),"Pós-Graduação em Psicanálise - Pós-Graduação em Psicanálise - Antonio da Silva Paixão - Processos de Transferência e Resistência – 30H - Nota Máxima: 9")</f>
        <v>Pós-Graduação em Psicanálise - Pós-Graduação em Psicanálise - Antonio da Silva Paixão - Processos de Transferência e Resistência – 30H - Nota Máxima: 9</v>
      </c>
    </row>
    <row r="8918">
      <c r="A8918" s="390" t="str">
        <f>IFERROR(__xludf.DUMMYFUNCTION("""COMPUTED_VALUE"""),"Pós-Graduação em Psicanálise - Pós-Graduação em Psicanálise - Antonio da Silva Paixão - Psicanálise da Criança e do Adolescente – 40H - Nota Máxima: 10")</f>
        <v>Pós-Graduação em Psicanálise - Pós-Graduação em Psicanálise - Antonio da Silva Paixão - Psicanálise da Criança e do Adolescente – 40H - Nota Máxima: 10</v>
      </c>
    </row>
    <row r="8919">
      <c r="A8919" s="390" t="str">
        <f>IFERROR(__xludf.DUMMYFUNCTION("""COMPUTED_VALUE"""),"Pós-Graduação em Psicanálise - Pós-Graduação em Psicanálise - Antonio da Silva Paixão - Psicanálise da Criança e do Adolescente – 40H - Nota Máxima: 8")</f>
        <v>Pós-Graduação em Psicanálise - Pós-Graduação em Psicanálise - Antonio da Silva Paixão - Psicanálise da Criança e do Adolescente – 40H - Nota Máxima: 8</v>
      </c>
    </row>
    <row r="8920">
      <c r="A8920" s="390" t="str">
        <f>IFERROR(__xludf.DUMMYFUNCTION("""COMPUTED_VALUE"""),"Pós-Graduação em Psicanálise - Pós-Graduação em Psicanálise - Antonio da Silva Paixão - Psicanálise II – 50H - Nota Máxima: 10")</f>
        <v>Pós-Graduação em Psicanálise - Pós-Graduação em Psicanálise - Antonio da Silva Paixão - Psicanálise II – 50H - Nota Máxima: 10</v>
      </c>
    </row>
    <row r="8921">
      <c r="A8921" s="390" t="str">
        <f>IFERROR(__xludf.DUMMYFUNCTION("""COMPUTED_VALUE"""),"Pós-Graduação em Psicanálise - Pós-Graduação em Psicanálise - Antonio da Silva Paixão - Psicanálise II – 50H - Nota Máxima: 8")</f>
        <v>Pós-Graduação em Psicanálise - Pós-Graduação em Psicanálise - Antonio da Silva Paixão - Psicanálise II – 50H - Nota Máxima: 8</v>
      </c>
    </row>
    <row r="8922">
      <c r="A8922" s="390" t="str">
        <f>IFERROR(__xludf.DUMMYFUNCTION("""COMPUTED_VALUE"""),"Pós-Graduação em Psicanálise - Pós-Graduação em Psicanálise - Antonio da Silva Paixão - Psicopatologias I – 40H - Nota Máxima: 10")</f>
        <v>Pós-Graduação em Psicanálise - Pós-Graduação em Psicanálise - Antonio da Silva Paixão - Psicopatologias I – 40H - Nota Máxima: 10</v>
      </c>
    </row>
    <row r="8923">
      <c r="A8923" s="390" t="str">
        <f>IFERROR(__xludf.DUMMYFUNCTION("""COMPUTED_VALUE"""),"Pós-Graduação em Psicanálise - Pós-Graduação em Psicanálise - Antonio da Silva Paixão - Psicopatologias I – 40H - Nota Máxima: 9")</f>
        <v>Pós-Graduação em Psicanálise - Pós-Graduação em Psicanálise - Antonio da Silva Paixão - Psicopatologias I – 40H - Nota Máxima: 9</v>
      </c>
    </row>
    <row r="8924">
      <c r="A8924" s="390" t="str">
        <f>IFERROR(__xludf.DUMMYFUNCTION("""COMPUTED_VALUE"""),"Pós-Graduação em Psicanálise - Pós-Graduação em Psicanálise - Antonio da Silva Paixão - Psicopatologias II – 50H - Nota Máxima: 10")</f>
        <v>Pós-Graduação em Psicanálise - Pós-Graduação em Psicanálise - Antonio da Silva Paixão - Psicopatologias II – 50H - Nota Máxima: 10</v>
      </c>
    </row>
    <row r="8925">
      <c r="A8925" s="390" t="str">
        <f>IFERROR(__xludf.DUMMYFUNCTION("""COMPUTED_VALUE"""),"Pós-Graduação em Psicanálise - Pós-Graduação em Psicanálise - Antonio da Silva Paixão - Psicopatologias II – 50H - Nota Máxima: 5")</f>
        <v>Pós-Graduação em Psicanálise - Pós-Graduação em Psicanálise - Antonio da Silva Paixão - Psicopatologias II – 50H - Nota Máxima: 5</v>
      </c>
    </row>
    <row r="8926">
      <c r="A8926" s="390" t="str">
        <f>IFERROR(__xludf.DUMMYFUNCTION("""COMPUTED_VALUE"""),"Pós-Graduação em Psicanálise - Pós-Graduação em Psicanálise - Antonio da Silva Paixão - Sonhos, Simbologia e Representação – 50H - Nota Máxima: 10")</f>
        <v>Pós-Graduação em Psicanálise - Pós-Graduação em Psicanálise - Antonio da Silva Paixão - Sonhos, Simbologia e Representação – 50H - Nota Máxima: 10</v>
      </c>
    </row>
    <row r="8927">
      <c r="A8927" s="390" t="str">
        <f>IFERROR(__xludf.DUMMYFUNCTION("""COMPUTED_VALUE"""),"Pós-Graduação em Psicanálise - Pós-Graduação em Psicanálise - Antonio da Silva Paixão - Sonhos, Simbologia e Representação – 50H - Nota Máxima: 5")</f>
        <v>Pós-Graduação em Psicanálise - Pós-Graduação em Psicanálise - Antonio da Silva Paixão - Sonhos, Simbologia e Representação – 50H - Nota Máxima: 5</v>
      </c>
    </row>
    <row r="8928">
      <c r="A8928" s="390" t="str">
        <f>IFERROR(__xludf.DUMMYFUNCTION("""COMPUTED_VALUE"""),"Pós-Graduação em Psicanálise - Pós-Graduação em Psicanálise - Antonio da Silva Paixão - Tópicos Avançados em Clínica – 40H - Nota Máxima: 10")</f>
        <v>Pós-Graduação em Psicanálise - Pós-Graduação em Psicanálise - Antonio da Silva Paixão - Tópicos Avançados em Clínica – 40H - Nota Máxima: 10</v>
      </c>
    </row>
    <row r="8929">
      <c r="A8929" s="390" t="str">
        <f>IFERROR(__xludf.DUMMYFUNCTION("""COMPUTED_VALUE"""),"Pós-Graduação em Psicanálise - Pós-Graduação em Psicanálise - Antonio da Silva Paixão - Tópicos Avançados em Clínica – 40H - Nota Máxima: 9")</f>
        <v>Pós-Graduação em Psicanálise - Pós-Graduação em Psicanálise - Antonio da Silva Paixão - Tópicos Avançados em Clínica – 40H - Nota Máxima: 9</v>
      </c>
    </row>
    <row r="8930">
      <c r="A8930" s="390" t="str">
        <f>IFERROR(__xludf.DUMMYFUNCTION("""COMPUTED_VALUE"""),"Pós-Graduação em Psicanálise - Pós-Graduação em Psicanálise - Antonio da Silva Paixão - Tópicos Avançados em Sexualidade – 40H - Nota Máxima: 10")</f>
        <v>Pós-Graduação em Psicanálise - Pós-Graduação em Psicanálise - Antonio da Silva Paixão - Tópicos Avançados em Sexualidade – 40H - Nota Máxima: 10</v>
      </c>
    </row>
    <row r="8931">
      <c r="A8931" s="390" t="str">
        <f>IFERROR(__xludf.DUMMYFUNCTION("""COMPUTED_VALUE"""),"Pós-Graduação em Psicanálise - Pós-Graduação em Psicanálise - Antonio da Silva Paixão - Tópicos Avançados em Sexualidade – 40H - Nota Máxima: 7")</f>
        <v>Pós-Graduação em Psicanálise - Pós-Graduação em Psicanálise - Antonio da Silva Paixão - Tópicos Avançados em Sexualidade – 40H - Nota Máxima: 7</v>
      </c>
    </row>
    <row r="8932">
      <c r="A8932" s="390" t="str">
        <f>IFERROR(__xludf.DUMMYFUNCTION("""COMPUTED_VALUE"""),"Pós-Graduação em Psicanálise - Pós-Graduação em Psicanálise - Gilson Araujo - Complexo de Édipo e Castração - Nota Máxima: 9")</f>
        <v>Pós-Graduação em Psicanálise - Pós-Graduação em Psicanálise - Gilson Araujo - Complexo de Édipo e Castração - Nota Máxima: 9</v>
      </c>
    </row>
    <row r="8933">
      <c r="A8933" s="390" t="str">
        <f>IFERROR(__xludf.DUMMYFUNCTION("""COMPUTED_VALUE"""),"Pós-Graduação em Psicanálise - Pós-Graduação em Psicanálise - Gilson Araujo - Complexo de Édipo e Castração - Nota Máxima: 7")</f>
        <v>Pós-Graduação em Psicanálise - Pós-Graduação em Psicanálise - Gilson Araujo - Complexo de Édipo e Castração - Nota Máxima: 7</v>
      </c>
    </row>
    <row r="8934">
      <c r="A8934" s="390" t="str">
        <f>IFERROR(__xludf.DUMMYFUNCTION("""COMPUTED_VALUE"""),"Pós-Graduação em Psicanálise - Pós-Graduação em Psicanálise - Gilson Araujo - Formação e Ética do Psicanalista – 30H - Nota Máxima: 10")</f>
        <v>Pós-Graduação em Psicanálise - Pós-Graduação em Psicanálise - Gilson Araujo - Formação e Ética do Psicanalista – 30H - Nota Máxima: 10</v>
      </c>
    </row>
    <row r="8935">
      <c r="A8935" s="390" t="str">
        <f>IFERROR(__xludf.DUMMYFUNCTION("""COMPUTED_VALUE"""),"Pós-Graduação em Psicanálise - Pós-Graduação em Psicanálise - Gilson Araujo - Formação e Ética do Psicanalista – 30H - Nota Máxima: 5")</f>
        <v>Pós-Graduação em Psicanálise - Pós-Graduação em Psicanálise - Gilson Araujo - Formação e Ética do Psicanalista – 30H - Nota Máxima: 5</v>
      </c>
    </row>
    <row r="8936">
      <c r="A8936" s="390" t="str">
        <f>IFERROR(__xludf.DUMMYFUNCTION("""COMPUTED_VALUE"""),"Pós-Graduação em Psicanálise - Pós-Graduação em Psicanálise - Gilson Araujo - Introdução à Psicanálise – 40H - Nota Máxima: 8")</f>
        <v>Pós-Graduação em Psicanálise - Pós-Graduação em Psicanálise - Gilson Araujo - Introdução à Psicanálise – 40H - Nota Máxima: 8</v>
      </c>
    </row>
    <row r="8937">
      <c r="A8937" s="390" t="str">
        <f>IFERROR(__xludf.DUMMYFUNCTION("""COMPUTED_VALUE"""),"Pós-Graduação em Psicanálise - Pós-Graduação em Psicanálise - Gilson Araujo - Libido, Pulsões e Sexualidade – 50H - Nota Máxima: 10")</f>
        <v>Pós-Graduação em Psicanálise - Pós-Graduação em Psicanálise - Gilson Araujo - Libido, Pulsões e Sexualidade – 50H - Nota Máxima: 10</v>
      </c>
    </row>
    <row r="8938">
      <c r="A8938" s="390" t="str">
        <f>IFERROR(__xludf.DUMMYFUNCTION("""COMPUTED_VALUE"""),"Pós-Graduação em Psicanálise - Pós-Graduação em Psicanálise - Gilson Araujo - Libido, Pulsões e Sexualidade – 50H - Nota Máxima: 8")</f>
        <v>Pós-Graduação em Psicanálise - Pós-Graduação em Psicanálise - Gilson Araujo - Libido, Pulsões e Sexualidade – 50H - Nota Máxima: 8</v>
      </c>
    </row>
    <row r="8939">
      <c r="A8939" s="390" t="str">
        <f>IFERROR(__xludf.DUMMYFUNCTION("""COMPUTED_VALUE"""),"Pós-Graduação em Psicanálise - Pós-Graduação em Psicanálise - Gilson Araujo - Narcisismo e a Cultura da Indiferença – 40H - Nota Máxima: 9")</f>
        <v>Pós-Graduação em Psicanálise - Pós-Graduação em Psicanálise - Gilson Araujo - Narcisismo e a Cultura da Indiferença – 40H - Nota Máxima: 9</v>
      </c>
    </row>
    <row r="8940">
      <c r="A8940" s="390" t="str">
        <f>IFERROR(__xludf.DUMMYFUNCTION("""COMPUTED_VALUE"""),"Pós-Graduação em Psicanálise - Pós-Graduação em Psicanálise - Gilson Araujo - Narcisismo e a Cultura da Indiferença – 40H - Nota Máxima: 10")</f>
        <v>Pós-Graduação em Psicanálise - Pós-Graduação em Psicanálise - Gilson Araujo - Narcisismo e a Cultura da Indiferença – 40H - Nota Máxima: 10</v>
      </c>
    </row>
    <row r="8941">
      <c r="A8941" s="390" t="str">
        <f>IFERROR(__xludf.DUMMYFUNCTION("""COMPUTED_VALUE"""),"Pós-Graduação em Psicanálise - Pós-Graduação em Psicanálise - Gilson Araujo - O Aparelho psíquico, aspectos clínicos e Teóricos – 40H - Nota Máxima: 9")</f>
        <v>Pós-Graduação em Psicanálise - Pós-Graduação em Psicanálise - Gilson Araujo - O Aparelho psíquico, aspectos clínicos e Teóricos – 40H - Nota Máxima: 9</v>
      </c>
    </row>
    <row r="8942">
      <c r="A8942" s="390" t="str">
        <f>IFERROR(__xludf.DUMMYFUNCTION("""COMPUTED_VALUE"""),"Pós-Graduação em Psicanálise - Pós-Graduação em Psicanálise - Gilson Araujo - O Aparelho psíquico, aspectos clínicos e Teóricos – 40H - Nota Máxima: 10")</f>
        <v>Pós-Graduação em Psicanálise - Pós-Graduação em Psicanálise - Gilson Araujo - O Aparelho psíquico, aspectos clínicos e Teóricos – 40H - Nota Máxima: 10</v>
      </c>
    </row>
    <row r="8943">
      <c r="A8943" s="390" t="str">
        <f>IFERROR(__xludf.DUMMYFUNCTION("""COMPUTED_VALUE"""),"Pós-Graduação em Psicanálise - Pós-Graduação em Psicanálise - Gilson Araujo - O Método Psicanalítico – 50H - Nota Máxima: 10")</f>
        <v>Pós-Graduação em Psicanálise - Pós-Graduação em Psicanálise - Gilson Araujo - O Método Psicanalítico – 50H - Nota Máxima: 10</v>
      </c>
    </row>
    <row r="8944">
      <c r="A8944" s="390" t="str">
        <f>IFERROR(__xludf.DUMMYFUNCTION("""COMPUTED_VALUE"""),"Pós-Graduação em Psicanálise - Pós-Graduação em Psicanálise - Gilson Araujo - O Método Psicanalítico – 50H - Nota Máxima: 8")</f>
        <v>Pós-Graduação em Psicanálise - Pós-Graduação em Psicanálise - Gilson Araujo - O Método Psicanalítico – 50H - Nota Máxima: 8</v>
      </c>
    </row>
    <row r="8945">
      <c r="A8945" s="390" t="str">
        <f>IFERROR(__xludf.DUMMYFUNCTION("""COMPUTED_VALUE"""),"Pós-Graduação em Psicanálise - Pós-Graduação em Psicanálise - Gilson Araujo - Práticas e Procedimentos em Clínica – 30H - Nota Máxima: 10")</f>
        <v>Pós-Graduação em Psicanálise - Pós-Graduação em Psicanálise - Gilson Araujo - Práticas e Procedimentos em Clínica – 30H - Nota Máxima: 10</v>
      </c>
    </row>
    <row r="8946">
      <c r="A8946" s="390" t="str">
        <f>IFERROR(__xludf.DUMMYFUNCTION("""COMPUTED_VALUE"""),"Pós-Graduação em Psicanálise - Pós-Graduação em Psicanálise - Gilson Araujo - Práticas e Procedimentos em Clínica – 30H - Nota Máxima: 10")</f>
        <v>Pós-Graduação em Psicanálise - Pós-Graduação em Psicanálise - Gilson Araujo - Práticas e Procedimentos em Clínica – 30H - Nota Máxima: 10</v>
      </c>
    </row>
    <row r="8947">
      <c r="A8947" s="390" t="str">
        <f>IFERROR(__xludf.DUMMYFUNCTION("""COMPUTED_VALUE"""),"Pós-Graduação em Psicanálise - Pós-Graduação em Psicanálise - Gilson Araujo - Processos de Transferência e Resistência – 30H - Nota Máxima: 9")</f>
        <v>Pós-Graduação em Psicanálise - Pós-Graduação em Psicanálise - Gilson Araujo - Processos de Transferência e Resistência – 30H - Nota Máxima: 9</v>
      </c>
    </row>
    <row r="8948">
      <c r="A8948" s="390" t="str">
        <f>IFERROR(__xludf.DUMMYFUNCTION("""COMPUTED_VALUE"""),"Pós-Graduação em Psicanálise - Pós-Graduação em Psicanálise - Gilson Araujo - Processos de Transferência e Resistência – 30H - Nota Máxima: 7")</f>
        <v>Pós-Graduação em Psicanálise - Pós-Graduação em Psicanálise - Gilson Araujo - Processos de Transferência e Resistência – 30H - Nota Máxima: 7</v>
      </c>
    </row>
    <row r="8949">
      <c r="A8949" s="390" t="str">
        <f>IFERROR(__xludf.DUMMYFUNCTION("""COMPUTED_VALUE"""),"Pós-Graduação em Psicanálise - Pós-Graduação em Psicanálise - Gilson Araujo - Psicanálise da Criança e do Adolescente – 40H - Nota Máxima: 10")</f>
        <v>Pós-Graduação em Psicanálise - Pós-Graduação em Psicanálise - Gilson Araujo - Psicanálise da Criança e do Adolescente – 40H - Nota Máxima: 10</v>
      </c>
    </row>
    <row r="8950">
      <c r="A8950" s="390" t="str">
        <f>IFERROR(__xludf.DUMMYFUNCTION("""COMPUTED_VALUE"""),"Pós-Graduação em Psicanálise - Pós-Graduação em Psicanálise - Gilson Araujo - Psicanálise II – 50H - Nota Máxima: 10")</f>
        <v>Pós-Graduação em Psicanálise - Pós-Graduação em Psicanálise - Gilson Araujo - Psicanálise II – 50H - Nota Máxima: 10</v>
      </c>
    </row>
    <row r="8951">
      <c r="A8951" s="390" t="str">
        <f>IFERROR(__xludf.DUMMYFUNCTION("""COMPUTED_VALUE"""),"Pós-Graduação em Psicanálise - Pós-Graduação em Psicanálise - Gilson Araujo - Psicanálise II – 50H - Nota Máxima: 5")</f>
        <v>Pós-Graduação em Psicanálise - Pós-Graduação em Psicanálise - Gilson Araujo - Psicanálise II – 50H - Nota Máxima: 5</v>
      </c>
    </row>
    <row r="8952">
      <c r="A8952" s="390" t="str">
        <f>IFERROR(__xludf.DUMMYFUNCTION("""COMPUTED_VALUE"""),"Pós-Graduação em Psicanálise - Pós-Graduação em Psicanálise - Gilson Araujo - Psicopatologias I – 40H - Nota Máxima: 10")</f>
        <v>Pós-Graduação em Psicanálise - Pós-Graduação em Psicanálise - Gilson Araujo - Psicopatologias I – 40H - Nota Máxima: 10</v>
      </c>
    </row>
    <row r="8953">
      <c r="A8953" s="390" t="str">
        <f>IFERROR(__xludf.DUMMYFUNCTION("""COMPUTED_VALUE"""),"Pós-Graduação em Psicanálise - Pós-Graduação em Psicanálise - Gilson Araujo - Psicopatologias I – 40H - Nota Máxima: 9")</f>
        <v>Pós-Graduação em Psicanálise - Pós-Graduação em Psicanálise - Gilson Araujo - Psicopatologias I – 40H - Nota Máxima: 9</v>
      </c>
    </row>
    <row r="8954">
      <c r="A8954" s="390" t="str">
        <f>IFERROR(__xludf.DUMMYFUNCTION("""COMPUTED_VALUE"""),"Pós-Graduação em Psicanálise - Pós-Graduação em Psicanálise - Gilson Araujo - Psicopatologias II – 50H - Nota Máxima: 10")</f>
        <v>Pós-Graduação em Psicanálise - Pós-Graduação em Psicanálise - Gilson Araujo - Psicopatologias II – 50H - Nota Máxima: 10</v>
      </c>
    </row>
    <row r="8955">
      <c r="A8955" s="390" t="str">
        <f>IFERROR(__xludf.DUMMYFUNCTION("""COMPUTED_VALUE"""),"Pós-Graduação em Psicanálise - Pós-Graduação em Psicanálise - Gilson Araujo - Psicopatologias II – 50H - Nota Máxima: 6")</f>
        <v>Pós-Graduação em Psicanálise - Pós-Graduação em Psicanálise - Gilson Araujo - Psicopatologias II – 50H - Nota Máxima: 6</v>
      </c>
    </row>
    <row r="8956">
      <c r="A8956" s="390" t="str">
        <f>IFERROR(__xludf.DUMMYFUNCTION("""COMPUTED_VALUE"""),"Pós-Graduação em Psicanálise - Pós-Graduação em Psicanálise - Gilson Araujo - Sonhos, Simbologia e Representação – 50H - Nota Máxima: 10")</f>
        <v>Pós-Graduação em Psicanálise - Pós-Graduação em Psicanálise - Gilson Araujo - Sonhos, Simbologia e Representação – 50H - Nota Máxima: 10</v>
      </c>
    </row>
    <row r="8957">
      <c r="A8957" s="390" t="str">
        <f>IFERROR(__xludf.DUMMYFUNCTION("""COMPUTED_VALUE"""),"Pós-Graduação em Psicanálise - Pós-Graduação em Psicanálise - Gilson Araujo - Tópicos Avançados em Clínica – 40H - Nota Máxima: 10")</f>
        <v>Pós-Graduação em Psicanálise - Pós-Graduação em Psicanálise - Gilson Araujo - Tópicos Avançados em Clínica – 40H - Nota Máxima: 10</v>
      </c>
    </row>
    <row r="8958">
      <c r="A8958" s="390" t="str">
        <f>IFERROR(__xludf.DUMMYFUNCTION("""COMPUTED_VALUE"""),"Pós-Graduação em Psicanálise - Pós-Graduação em Psicanálise - Gilson Araujo - Tópicos Avançados em Sexualidade – 40H - Nota Máxima: 10")</f>
        <v>Pós-Graduação em Psicanálise - Pós-Graduação em Psicanálise - Gilson Araujo - Tópicos Avançados em Sexualidade – 40H - Nota Máxima: 10</v>
      </c>
    </row>
    <row r="8959">
      <c r="A8959" s="390" t="str">
        <f>IFERROR(__xludf.DUMMYFUNCTION("""COMPUTED_VALUE"""),"Pós-Graduação em Psicanálise - Pós-Graduação em Psicanálise - Jose Fabiano Ascendino - Complexo de Édipo e Castração - Nota Máxima: 10")</f>
        <v>Pós-Graduação em Psicanálise - Pós-Graduação em Psicanálise - Jose Fabiano Ascendino - Complexo de Édipo e Castração - Nota Máxima: 10</v>
      </c>
    </row>
    <row r="8960">
      <c r="A8960" s="390" t="str">
        <f>IFERROR(__xludf.DUMMYFUNCTION("""COMPUTED_VALUE"""),"Pós-Graduação em Psicanálise - Pós-Graduação em Psicanálise - Jose Fabiano Ascendino - Complexo de Édipo e Castração - Nota Máxima: 4")</f>
        <v>Pós-Graduação em Psicanálise - Pós-Graduação em Psicanálise - Jose Fabiano Ascendino - Complexo de Édipo e Castração - Nota Máxima: 4</v>
      </c>
    </row>
    <row r="8961">
      <c r="A8961" s="390" t="str">
        <f>IFERROR(__xludf.DUMMYFUNCTION("""COMPUTED_VALUE"""),"Pós-Graduação em Psicanálise - Pós-Graduação em Psicanálise - Jose Fabiano Ascendino - Formação e Ética do Psicanalista – 30H - Nota Máxima: 10")</f>
        <v>Pós-Graduação em Psicanálise - Pós-Graduação em Psicanálise - Jose Fabiano Ascendino - Formação e Ética do Psicanalista – 30H - Nota Máxima: 10</v>
      </c>
    </row>
    <row r="8962">
      <c r="A8962" s="390" t="str">
        <f>IFERROR(__xludf.DUMMYFUNCTION("""COMPUTED_VALUE"""),"Pós-Graduação em Psicanálise - Pós-Graduação em Psicanálise - Jose Fabiano Ascendino - Formação e Ética do Psicanalista – 30H - Nota Máxima: 4")</f>
        <v>Pós-Graduação em Psicanálise - Pós-Graduação em Psicanálise - Jose Fabiano Ascendino - Formação e Ética do Psicanalista – 30H - Nota Máxima: 4</v>
      </c>
    </row>
    <row r="8963">
      <c r="A8963" s="390" t="str">
        <f>IFERROR(__xludf.DUMMYFUNCTION("""COMPUTED_VALUE"""),"Pós-Graduação em Psicanálise - Pós-Graduação em Psicanálise - Jose Fabiano Ascendino - Introdução à EAD - 30H - Nota Máxima: 10")</f>
        <v>Pós-Graduação em Psicanálise - Pós-Graduação em Psicanálise - Jose Fabiano Ascendino - Introdução à EAD - 30H - Nota Máxima: 10</v>
      </c>
    </row>
    <row r="8964">
      <c r="A8964" s="390" t="str">
        <f>IFERROR(__xludf.DUMMYFUNCTION("""COMPUTED_VALUE"""),"Pós-Graduação em Psicanálise - Pós-Graduação em Psicanálise - Jose Fabiano Ascendino - Introdução à EAD - 30H - Nota Máxima: 7")</f>
        <v>Pós-Graduação em Psicanálise - Pós-Graduação em Psicanálise - Jose Fabiano Ascendino - Introdução à EAD - 30H - Nota Máxima: 7</v>
      </c>
    </row>
    <row r="8965">
      <c r="A8965" s="390" t="str">
        <f>IFERROR(__xludf.DUMMYFUNCTION("""COMPUTED_VALUE"""),"Pós-Graduação em Psicanálise - Pós-Graduação em Psicanálise - Jose Fabiano Ascendino - Introdução à Psicanálise – 40H - Nota Máxima: 10")</f>
        <v>Pós-Graduação em Psicanálise - Pós-Graduação em Psicanálise - Jose Fabiano Ascendino - Introdução à Psicanálise – 40H - Nota Máxima: 10</v>
      </c>
    </row>
    <row r="8966">
      <c r="A8966" s="390" t="str">
        <f>IFERROR(__xludf.DUMMYFUNCTION("""COMPUTED_VALUE"""),"Pós-Graduação em Psicanálise - Pós-Graduação em Psicanálise - Jose Fabiano Ascendino - Introdução à Psicanálise – 40H - Nota Máxima: 8")</f>
        <v>Pós-Graduação em Psicanálise - Pós-Graduação em Psicanálise - Jose Fabiano Ascendino - Introdução à Psicanálise – 40H - Nota Máxima: 8</v>
      </c>
    </row>
    <row r="8967">
      <c r="A8967" s="390" t="str">
        <f>IFERROR(__xludf.DUMMYFUNCTION("""COMPUTED_VALUE"""),"Pós-Graduação em Psicanálise - Pós-Graduação em Psicanálise - Jose Fabiano Ascendino - Libido, Pulsões e Sexualidade – 50H - Nota Máxima: 9")</f>
        <v>Pós-Graduação em Psicanálise - Pós-Graduação em Psicanálise - Jose Fabiano Ascendino - Libido, Pulsões e Sexualidade – 50H - Nota Máxima: 9</v>
      </c>
    </row>
    <row r="8968">
      <c r="A8968" s="390" t="str">
        <f>IFERROR(__xludf.DUMMYFUNCTION("""COMPUTED_VALUE"""),"Pós-Graduação em Psicanálise - Pós-Graduação em Psicanálise - Jose Fabiano Ascendino - Libido, Pulsões e Sexualidade – 50H - Nota Máxima: 7")</f>
        <v>Pós-Graduação em Psicanálise - Pós-Graduação em Psicanálise - Jose Fabiano Ascendino - Libido, Pulsões e Sexualidade – 50H - Nota Máxima: 7</v>
      </c>
    </row>
    <row r="8969">
      <c r="A8969" s="390" t="str">
        <f>IFERROR(__xludf.DUMMYFUNCTION("""COMPUTED_VALUE"""),"Pós-Graduação em Psicanálise - Pós-Graduação em Psicanálise - Jose Fabiano Ascendino - Narcisismo e a Cultura da Indiferença – 40H - Nota Máxima: 10")</f>
        <v>Pós-Graduação em Psicanálise - Pós-Graduação em Psicanálise - Jose Fabiano Ascendino - Narcisismo e a Cultura da Indiferença – 40H - Nota Máxima: 10</v>
      </c>
    </row>
    <row r="8970">
      <c r="A8970" s="390" t="str">
        <f>IFERROR(__xludf.DUMMYFUNCTION("""COMPUTED_VALUE"""),"Pós-Graduação em Psicanálise - Pós-Graduação em Psicanálise - Jose Fabiano Ascendino - Narcisismo e a Cultura da Indiferença – 40H - Nota Máxima: 8")</f>
        <v>Pós-Graduação em Psicanálise - Pós-Graduação em Psicanálise - Jose Fabiano Ascendino - Narcisismo e a Cultura da Indiferença – 40H - Nota Máxima: 8</v>
      </c>
    </row>
    <row r="8971">
      <c r="A8971" s="390" t="str">
        <f>IFERROR(__xludf.DUMMYFUNCTION("""COMPUTED_VALUE"""),"Pós-Graduação em Psicanálise - Pós-Graduação em Psicanálise - Jose Fabiano Ascendino - O Aparelho psíquico, aspectos clínicos e Teóricos – 40H - Nota Máxima: 10")</f>
        <v>Pós-Graduação em Psicanálise - Pós-Graduação em Psicanálise - Jose Fabiano Ascendino - O Aparelho psíquico, aspectos clínicos e Teóricos – 40H - Nota Máxima: 10</v>
      </c>
    </row>
    <row r="8972">
      <c r="A8972" s="390" t="str">
        <f>IFERROR(__xludf.DUMMYFUNCTION("""COMPUTED_VALUE"""),"Pós-Graduação em Psicanálise - Pós-Graduação em Psicanálise - Jose Fabiano Ascendino - O Aparelho psíquico, aspectos clínicos e Teóricos – 40H - Nota Máxima: 5")</f>
        <v>Pós-Graduação em Psicanálise - Pós-Graduação em Psicanálise - Jose Fabiano Ascendino - O Aparelho psíquico, aspectos clínicos e Teóricos – 40H - Nota Máxima: 5</v>
      </c>
    </row>
    <row r="8973">
      <c r="A8973" s="390" t="str">
        <f>IFERROR(__xludf.DUMMYFUNCTION("""COMPUTED_VALUE"""),"Pós-Graduação em Psicanálise - Pós-Graduação em Psicanálise - Jose Fabiano Ascendino - O Método Psicanalítico – 50H - Nota Máxima: 10")</f>
        <v>Pós-Graduação em Psicanálise - Pós-Graduação em Psicanálise - Jose Fabiano Ascendino - O Método Psicanalítico – 50H - Nota Máxima: 10</v>
      </c>
    </row>
    <row r="8974">
      <c r="A8974" s="390" t="str">
        <f>IFERROR(__xludf.DUMMYFUNCTION("""COMPUTED_VALUE"""),"Pós-Graduação em Psicanálise - Pós-Graduação em Psicanálise - Jose Fabiano Ascendino - O Método Psicanalítico – 50H - Nota Máxima: 9")</f>
        <v>Pós-Graduação em Psicanálise - Pós-Graduação em Psicanálise - Jose Fabiano Ascendino - O Método Psicanalítico – 50H - Nota Máxima: 9</v>
      </c>
    </row>
    <row r="8975">
      <c r="A8975" s="390" t="str">
        <f>IFERROR(__xludf.DUMMYFUNCTION("""COMPUTED_VALUE"""),"Pós-Graduação em Psicanálise - Pós-Graduação em Psicanálise - Jose Fabiano Ascendino - Práticas e Procedimentos em Clínica – 30H - Nota Máxima: 9")</f>
        <v>Pós-Graduação em Psicanálise - Pós-Graduação em Psicanálise - Jose Fabiano Ascendino - Práticas e Procedimentos em Clínica – 30H - Nota Máxima: 9</v>
      </c>
    </row>
    <row r="8976">
      <c r="A8976" s="390" t="str">
        <f>IFERROR(__xludf.DUMMYFUNCTION("""COMPUTED_VALUE"""),"Pós-Graduação em Psicanálise - Pós-Graduação em Psicanálise - Jose Fabiano Ascendino - Práticas e Procedimentos em Clínica – 30H - Nota Máxima: 3")</f>
        <v>Pós-Graduação em Psicanálise - Pós-Graduação em Psicanálise - Jose Fabiano Ascendino - Práticas e Procedimentos em Clínica – 30H - Nota Máxima: 3</v>
      </c>
    </row>
    <row r="8977">
      <c r="A8977" s="390" t="str">
        <f>IFERROR(__xludf.DUMMYFUNCTION("""COMPUTED_VALUE"""),"Pós-Graduação em Psicanálise - Pós-Graduação em Psicanálise - Jose Fabiano Ascendino - Processos de Transferência e Resistência – 30H - Nota Máxima: 10")</f>
        <v>Pós-Graduação em Psicanálise - Pós-Graduação em Psicanálise - Jose Fabiano Ascendino - Processos de Transferência e Resistência – 30H - Nota Máxima: 10</v>
      </c>
    </row>
    <row r="8978">
      <c r="A8978" s="390" t="str">
        <f>IFERROR(__xludf.DUMMYFUNCTION("""COMPUTED_VALUE"""),"Pós-Graduação em Psicanálise - Pós-Graduação em Psicanálise - Jose Fabiano Ascendino - Processos de Transferência e Resistência – 30H - Nota Máxima: 5")</f>
        <v>Pós-Graduação em Psicanálise - Pós-Graduação em Psicanálise - Jose Fabiano Ascendino - Processos de Transferência e Resistência – 30H - Nota Máxima: 5</v>
      </c>
    </row>
    <row r="8979">
      <c r="A8979" s="390" t="str">
        <f>IFERROR(__xludf.DUMMYFUNCTION("""COMPUTED_VALUE"""),"Pós-Graduação em Psicanálise - Pós-Graduação em Psicanálise - Jose Fabiano Ascendino - Psicanálise da Criança e do Adolescente – 40H - Nota Máxima: 10")</f>
        <v>Pós-Graduação em Psicanálise - Pós-Graduação em Psicanálise - Jose Fabiano Ascendino - Psicanálise da Criança e do Adolescente – 40H - Nota Máxima: 10</v>
      </c>
    </row>
    <row r="8980">
      <c r="A8980" s="390" t="str">
        <f>IFERROR(__xludf.DUMMYFUNCTION("""COMPUTED_VALUE"""),"Pós-Graduação em Psicanálise - Pós-Graduação em Psicanálise - Jose Fabiano Ascendino - Psicanálise da Criança e do Adolescente – 40H - Nota Máxima: 5")</f>
        <v>Pós-Graduação em Psicanálise - Pós-Graduação em Psicanálise - Jose Fabiano Ascendino - Psicanálise da Criança e do Adolescente – 40H - Nota Máxima: 5</v>
      </c>
    </row>
    <row r="8981">
      <c r="A8981" s="390" t="str">
        <f>IFERROR(__xludf.DUMMYFUNCTION("""COMPUTED_VALUE"""),"Pós-Graduação em Psicanálise - Pós-Graduação em Psicanálise - Jose Fabiano Ascendino - Psicanálise II – 50H - Nota Máxima: 10")</f>
        <v>Pós-Graduação em Psicanálise - Pós-Graduação em Psicanálise - Jose Fabiano Ascendino - Psicanálise II – 50H - Nota Máxima: 10</v>
      </c>
    </row>
    <row r="8982">
      <c r="A8982" s="390" t="str">
        <f>IFERROR(__xludf.DUMMYFUNCTION("""COMPUTED_VALUE"""),"Pós-Graduação em Psicanálise - Pós-Graduação em Psicanálise - Jose Fabiano Ascendino - Psicanálise II – 50H - Nota Máxima: 6")</f>
        <v>Pós-Graduação em Psicanálise - Pós-Graduação em Psicanálise - Jose Fabiano Ascendino - Psicanálise II – 50H - Nota Máxima: 6</v>
      </c>
    </row>
    <row r="8983">
      <c r="A8983" s="390" t="str">
        <f>IFERROR(__xludf.DUMMYFUNCTION("""COMPUTED_VALUE"""),"Pós-Graduação em Psicanálise - Pós-Graduação em Psicanálise - Jose Fabiano Ascendino - Psicopatologias I – 40H - Nota Máxima: 10")</f>
        <v>Pós-Graduação em Psicanálise - Pós-Graduação em Psicanálise - Jose Fabiano Ascendino - Psicopatologias I – 40H - Nota Máxima: 10</v>
      </c>
    </row>
    <row r="8984">
      <c r="A8984" s="390" t="str">
        <f>IFERROR(__xludf.DUMMYFUNCTION("""COMPUTED_VALUE"""),"Pós-Graduação em Psicanálise - Pós-Graduação em Psicanálise - Jose Fabiano Ascendino - Psicopatologias II – 50H - Nota Máxima: 10")</f>
        <v>Pós-Graduação em Psicanálise - Pós-Graduação em Psicanálise - Jose Fabiano Ascendino - Psicopatologias II – 50H - Nota Máxima: 10</v>
      </c>
    </row>
    <row r="8985">
      <c r="A8985" s="390" t="str">
        <f>IFERROR(__xludf.DUMMYFUNCTION("""COMPUTED_VALUE"""),"Pós-Graduação em Psicanálise - Pós-Graduação em Psicanálise - Jose Fabiano Ascendino - Psicopatologias II – 50H - Nota Máxima: 6")</f>
        <v>Pós-Graduação em Psicanálise - Pós-Graduação em Psicanálise - Jose Fabiano Ascendino - Psicopatologias II – 50H - Nota Máxima: 6</v>
      </c>
    </row>
    <row r="8986">
      <c r="A8986" s="390" t="str">
        <f>IFERROR(__xludf.DUMMYFUNCTION("""COMPUTED_VALUE"""),"Pós-Graduação em Psicanálise - Pós-Graduação em Psicanálise - Jose Fabiano Ascendino - Sonhos, Simbologia e Representação – 50H - Nota Máxima: 9")</f>
        <v>Pós-Graduação em Psicanálise - Pós-Graduação em Psicanálise - Jose Fabiano Ascendino - Sonhos, Simbologia e Representação – 50H - Nota Máxima: 9</v>
      </c>
    </row>
    <row r="8987">
      <c r="A8987" s="390" t="str">
        <f>IFERROR(__xludf.DUMMYFUNCTION("""COMPUTED_VALUE"""),"Pós-Graduação em Psicanálise - Pós-Graduação em Psicanálise - Jose Fabiano Ascendino - Sonhos, Simbologia e Representação – 50H - Nota Máxima: 3")</f>
        <v>Pós-Graduação em Psicanálise - Pós-Graduação em Psicanálise - Jose Fabiano Ascendino - Sonhos, Simbologia e Representação – 50H - Nota Máxima: 3</v>
      </c>
    </row>
    <row r="8988">
      <c r="A8988" s="390" t="str">
        <f>IFERROR(__xludf.DUMMYFUNCTION("""COMPUTED_VALUE"""),"Pós-Graduação em Psicanálise - Pós-Graduação em Psicanálise - Jose Fabiano Ascendino - Tópicos Avançados em Clínica – 40H - Nota Máxima: 10")</f>
        <v>Pós-Graduação em Psicanálise - Pós-Graduação em Psicanálise - Jose Fabiano Ascendino - Tópicos Avançados em Clínica – 40H - Nota Máxima: 10</v>
      </c>
    </row>
    <row r="8989">
      <c r="A8989" s="390" t="str">
        <f>IFERROR(__xludf.DUMMYFUNCTION("""COMPUTED_VALUE"""),"Pós-Graduação em Psicanálise - Pós-Graduação em Psicanálise - Jose Fabiano Ascendino - Tópicos Avançados em Clínica – 40H - Nota Máxima: 4")</f>
        <v>Pós-Graduação em Psicanálise - Pós-Graduação em Psicanálise - Jose Fabiano Ascendino - Tópicos Avançados em Clínica – 40H - Nota Máxima: 4</v>
      </c>
    </row>
    <row r="8990">
      <c r="A8990" s="390" t="str">
        <f>IFERROR(__xludf.DUMMYFUNCTION("""COMPUTED_VALUE"""),"Pós-Graduação em Psicanálise - Pós-Graduação em Psicanálise - Jose Fabiano Ascendino - Tópicos Avançados em Sexualidade – 40H - Nota Máxima: 10")</f>
        <v>Pós-Graduação em Psicanálise - Pós-Graduação em Psicanálise - Jose Fabiano Ascendino - Tópicos Avançados em Sexualidade – 40H - Nota Máxima: 10</v>
      </c>
    </row>
    <row r="8991">
      <c r="A8991" s="390" t="str">
        <f>IFERROR(__xludf.DUMMYFUNCTION("""COMPUTED_VALUE"""),"Pós-Graduação em Psicanálise - Pós-Graduação em Psicanálise - Jose Fabiano Ascendino - Tópicos Avançados em Sexualidade – 40H - Nota Máxima: 2")</f>
        <v>Pós-Graduação em Psicanálise - Pós-Graduação em Psicanálise - Jose Fabiano Ascendino - Tópicos Avançados em Sexualidade – 40H - Nota Máxima: 2</v>
      </c>
    </row>
    <row r="8992">
      <c r="A8992" s="390" t="str">
        <f>IFERROR(__xludf.DUMMYFUNCTION("""COMPUTED_VALUE"""),"Pós-Graduação em Psicanálise - Pós-Graduação em Psicanálise - Ângela Fátima da Silva Souza - Complexo de Édipo e Castração - Nota Máxima: 3")</f>
        <v>Pós-Graduação em Psicanálise - Pós-Graduação em Psicanálise - Ângela Fátima da Silva Souza - Complexo de Édipo e Castração - Nota Máxima: 3</v>
      </c>
    </row>
    <row r="8993">
      <c r="A8993" s="390" t="str">
        <f>IFERROR(__xludf.DUMMYFUNCTION("""COMPUTED_VALUE"""),"Pós-Graduação em Psicanálise - Pós-Graduação em Psicanálise - Ângela Fátima da Silva Souza - Introdução à EAD - 30H - Nota Máxima: 9")</f>
        <v>Pós-Graduação em Psicanálise - Pós-Graduação em Psicanálise - Ângela Fátima da Silva Souza - Introdução à EAD - 30H - Nota Máxima: 9</v>
      </c>
    </row>
    <row r="8994">
      <c r="A8994" s="390" t="str">
        <f>IFERROR(__xludf.DUMMYFUNCTION("""COMPUTED_VALUE"""),"Pós-Graduação em Psicanálise - Pós-Graduação em Psicanálise - Ângela Fátima da Silva Souza - Introdução à EAD - 30H - Nota Máxima: 7")</f>
        <v>Pós-Graduação em Psicanálise - Pós-Graduação em Psicanálise - Ângela Fátima da Silva Souza - Introdução à EAD - 30H - Nota Máxima: 7</v>
      </c>
    </row>
    <row r="8995">
      <c r="A8995" s="390" t="str">
        <f>IFERROR(__xludf.DUMMYFUNCTION("""COMPUTED_VALUE"""),"Pós-Graduação em Psicanálise - Pós-Graduação em Psicanálise - Ângela Fátima da Silva Souza - Narcisismo e a Cultura da Indiferença – 40H - Nota Máxima: 10")</f>
        <v>Pós-Graduação em Psicanálise - Pós-Graduação em Psicanálise - Ângela Fátima da Silva Souza - Narcisismo e a Cultura da Indiferença – 40H - Nota Máxima: 10</v>
      </c>
    </row>
    <row r="8996">
      <c r="A8996" s="390" t="str">
        <f>IFERROR(__xludf.DUMMYFUNCTION("""COMPUTED_VALUE"""),"Pós-Graduação em Psicanálise - Pós-Graduação em Psicanálise - Ângela Fátima da Silva Souza - Narcisismo e a Cultura da Indiferença – 40H - Nota Máxima: 3")</f>
        <v>Pós-Graduação em Psicanálise - Pós-Graduação em Psicanálise - Ângela Fátima da Silva Souza - Narcisismo e a Cultura da Indiferença – 40H - Nota Máxima: 3</v>
      </c>
    </row>
    <row r="8997">
      <c r="A8997" s="390" t="str">
        <f>IFERROR(__xludf.DUMMYFUNCTION("""COMPUTED_VALUE"""),"Pós-Graduação em Psicanálise - Pós-Graduação em Psicanálise - Ângela Fátima da Silva Souza - O Aparelho psíquico, aspectos clínicos e Teóricos – 40H - Nota Máxima: 8")</f>
        <v>Pós-Graduação em Psicanálise - Pós-Graduação em Psicanálise - Ângela Fátima da Silva Souza - O Aparelho psíquico, aspectos clínicos e Teóricos – 40H - Nota Máxima: 8</v>
      </c>
    </row>
    <row r="8998">
      <c r="A8998" s="390" t="str">
        <f>IFERROR(__xludf.DUMMYFUNCTION("""COMPUTED_VALUE"""),"Pós-Graduação em Psicanálise - Pós-Graduação em Psicanálise - Ângela Fátima da Silva Souza - O Método Psicanalítico – 50H - Nota Máxima: 9")</f>
        <v>Pós-Graduação em Psicanálise - Pós-Graduação em Psicanálise - Ângela Fátima da Silva Souza - O Método Psicanalítico – 50H - Nota Máxima: 9</v>
      </c>
    </row>
    <row r="8999">
      <c r="A8999" s="390" t="str">
        <f>IFERROR(__xludf.DUMMYFUNCTION("""COMPUTED_VALUE"""),"Pós-Graduação em Psicanálise - Pós-Graduação em Psicanálise - Ângela Fátima da Silva Souza - O Método Psicanalítico – 50H - Nota Máxima: 5")</f>
        <v>Pós-Graduação em Psicanálise - Pós-Graduação em Psicanálise - Ângela Fátima da Silva Souza - O Método Psicanalítico – 50H - Nota Máxima: 5</v>
      </c>
    </row>
    <row r="9000">
      <c r="A9000" s="390" t="str">
        <f>IFERROR(__xludf.DUMMYFUNCTION("""COMPUTED_VALUE"""),"Pós-Graduação em Psicanálise - Pós-Graduação em Psicanálise - Ângela Fátima da Silva Souza - Práticas e Procedimentos em Clínica – 30H - Nota Máxima: 10")</f>
        <v>Pós-Graduação em Psicanálise - Pós-Graduação em Psicanálise - Ângela Fátima da Silva Souza - Práticas e Procedimentos em Clínica – 30H - Nota Máxima: 10</v>
      </c>
    </row>
    <row r="9001">
      <c r="A9001" s="390" t="str">
        <f>IFERROR(__xludf.DUMMYFUNCTION("""COMPUTED_VALUE"""),"Pós-Graduação em Psicanálise - Pós-Graduação em Psicanálise - Ângela Fátima da Silva Souza - Práticas e Procedimentos em Clínica – 30H - Nota Máxima: 3")</f>
        <v>Pós-Graduação em Psicanálise - Pós-Graduação em Psicanálise - Ângela Fátima da Silva Souza - Práticas e Procedimentos em Clínica – 30H - Nota Máxima: 3</v>
      </c>
    </row>
    <row r="9002">
      <c r="A9002" s="390" t="str">
        <f>IFERROR(__xludf.DUMMYFUNCTION("""COMPUTED_VALUE"""),"Pós-Graduação em Psicanálise - Pós-Graduação em Psicanálise - Ângela Fátima da Silva Souza - Processos de Transferência e Resistência – 30H - Nota Máxima: 10")</f>
        <v>Pós-Graduação em Psicanálise - Pós-Graduação em Psicanálise - Ângela Fátima da Silva Souza - Processos de Transferência e Resistência – 30H - Nota Máxima: 10</v>
      </c>
    </row>
    <row r="9003">
      <c r="A9003" s="390" t="str">
        <f>IFERROR(__xludf.DUMMYFUNCTION("""COMPUTED_VALUE"""),"Pós-Graduação em Psicanálise - Pós-Graduação em Psicanálise - Ângela Fátima da Silva Souza - Processos de Transferência e Resistência – 30H - Nota Máxima: 4")</f>
        <v>Pós-Graduação em Psicanálise - Pós-Graduação em Psicanálise - Ângela Fátima da Silva Souza - Processos de Transferência e Resistência – 30H - Nota Máxima: 4</v>
      </c>
    </row>
    <row r="9004">
      <c r="A9004" s="390" t="str">
        <f>IFERROR(__xludf.DUMMYFUNCTION("""COMPUTED_VALUE"""),"Pós-Graduação em Psicanálise - Pós-Graduação em Psicanálise - Ângela Fátima da Silva Souza - Psicanálise da Criança e do Adolescente – 40H - Nota Máxima: 10")</f>
        <v>Pós-Graduação em Psicanálise - Pós-Graduação em Psicanálise - Ângela Fátima da Silva Souza - Psicanálise da Criança e do Adolescente – 40H - Nota Máxima: 10</v>
      </c>
    </row>
    <row r="9005">
      <c r="A9005" s="390" t="str">
        <f>IFERROR(__xludf.DUMMYFUNCTION("""COMPUTED_VALUE"""),"Pós-Graduação em Psicanálise - Pós-Graduação em Psicanálise - Ângela Fátima da Silva Souza - Psicanálise da Criança e do Adolescente – 40H - Nota Máxima: 5")</f>
        <v>Pós-Graduação em Psicanálise - Pós-Graduação em Psicanálise - Ângela Fátima da Silva Souza - Psicanálise da Criança e do Adolescente – 40H - Nota Máxima: 5</v>
      </c>
    </row>
    <row r="9006">
      <c r="A9006" s="390" t="str">
        <f>IFERROR(__xludf.DUMMYFUNCTION("""COMPUTED_VALUE"""),"Pós-Graduação em Psicanálise - Pós-Graduação em Psicanálise - Ângela Fátima da Silva Souza - Psicanálise II – 50H - Nota Máxima: 9")</f>
        <v>Pós-Graduação em Psicanálise - Pós-Graduação em Psicanálise - Ângela Fátima da Silva Souza - Psicanálise II – 50H - Nota Máxima: 9</v>
      </c>
    </row>
    <row r="9007">
      <c r="A9007" s="390" t="str">
        <f>IFERROR(__xludf.DUMMYFUNCTION("""COMPUTED_VALUE"""),"Pós-Graduação em Psicanálise - Pós-Graduação em Psicanálise - Ângela Fátima da Silva Souza - Psicanálise II – 50H - Nota Máxima: 4")</f>
        <v>Pós-Graduação em Psicanálise - Pós-Graduação em Psicanálise - Ângela Fátima da Silva Souza - Psicanálise II – 50H - Nota Máxima: 4</v>
      </c>
    </row>
    <row r="9008">
      <c r="A9008" s="390" t="str">
        <f>IFERROR(__xludf.DUMMYFUNCTION("""COMPUTED_VALUE"""),"Pós-Graduação em Psicanálise - Pós-Graduação em Psicanálise - Ângela Fátima da Silva Souza - Psicopatologias I – 40H - Nota Máxima: 10")</f>
        <v>Pós-Graduação em Psicanálise - Pós-Graduação em Psicanálise - Ângela Fátima da Silva Souza - Psicopatologias I – 40H - Nota Máxima: 10</v>
      </c>
    </row>
    <row r="9009">
      <c r="A9009" s="390" t="str">
        <f>IFERROR(__xludf.DUMMYFUNCTION("""COMPUTED_VALUE"""),"Pós-Graduação em Psicanálise - Pós-Graduação em Psicanálise - Ângela Fátima da Silva Souza - Psicopatologias I – 40H - Nota Máxima: 3")</f>
        <v>Pós-Graduação em Psicanálise - Pós-Graduação em Psicanálise - Ângela Fátima da Silva Souza - Psicopatologias I – 40H - Nota Máxima: 3</v>
      </c>
    </row>
    <row r="9010">
      <c r="A9010" s="390" t="str">
        <f>IFERROR(__xludf.DUMMYFUNCTION("""COMPUTED_VALUE"""),"Pós-Graduação em Psicanálise - Pós-Graduação em Psicanálise - Ângela Fátima da Silva Souza - Psicopatologias II – 50H - Nota Máxima: 8")</f>
        <v>Pós-Graduação em Psicanálise - Pós-Graduação em Psicanálise - Ângela Fátima da Silva Souza - Psicopatologias II – 50H - Nota Máxima: 8</v>
      </c>
    </row>
    <row r="9011">
      <c r="A9011" s="390" t="str">
        <f>IFERROR(__xludf.DUMMYFUNCTION("""COMPUTED_VALUE"""),"Pós-Graduação em Psicanálise - Pós-Graduação em Psicanálise - Ângela Fátima da Silva Souza - Psicopatologias II – 50H - Nota Máxima: 5")</f>
        <v>Pós-Graduação em Psicanálise - Pós-Graduação em Psicanálise - Ângela Fátima da Silva Souza - Psicopatologias II – 50H - Nota Máxima: 5</v>
      </c>
    </row>
    <row r="9012">
      <c r="A9012" s="390" t="str">
        <f>IFERROR(__xludf.DUMMYFUNCTION("""COMPUTED_VALUE"""),"Pós-Graduação em Psicanálise - Pós-Graduação em Psicanálise - Ângela Fátima da Silva Souza - Sonhos, Simbologia e Representação – 50H - Nota Máxima: 8")</f>
        <v>Pós-Graduação em Psicanálise - Pós-Graduação em Psicanálise - Ângela Fátima da Silva Souza - Sonhos, Simbologia e Representação – 50H - Nota Máxima: 8</v>
      </c>
    </row>
    <row r="9013">
      <c r="A9013" s="390" t="str">
        <f>IFERROR(__xludf.DUMMYFUNCTION("""COMPUTED_VALUE"""),"Pós-Graduação em Psicanálise - Pós-Graduação em Psicanálise - Ângela Fátima da Silva Souza - Sonhos, Simbologia e Representação – 50H - Nota Máxima: 4")</f>
        <v>Pós-Graduação em Psicanálise - Pós-Graduação em Psicanálise - Ângela Fátima da Silva Souza - Sonhos, Simbologia e Representação – 50H - Nota Máxima: 4</v>
      </c>
    </row>
    <row r="9014">
      <c r="A9014" s="390" t="str">
        <f>IFERROR(__xludf.DUMMYFUNCTION("""COMPUTED_VALUE"""),"Pós-Graduação em Psicanálise - Pós-Graduação em Psicanálise - Ângela Fátima da Silva Souza - Tópicos Avançados em Clínica – 40H - Nota Máxima: 8")</f>
        <v>Pós-Graduação em Psicanálise - Pós-Graduação em Psicanálise - Ângela Fátima da Silva Souza - Tópicos Avançados em Clínica – 40H - Nota Máxima: 8</v>
      </c>
    </row>
    <row r="9015">
      <c r="A9015" s="390" t="str">
        <f>IFERROR(__xludf.DUMMYFUNCTION("""COMPUTED_VALUE"""),"Pós-Graduação em Psicanálise - Pós-Graduação em Psicanálise - Ângela Fátima da Silva Souza - Tópicos Avançados em Clínica – 40H - Nota Máxima: 2")</f>
        <v>Pós-Graduação em Psicanálise - Pós-Graduação em Psicanálise - Ângela Fátima da Silva Souza - Tópicos Avançados em Clínica – 40H - Nota Máxima: 2</v>
      </c>
    </row>
    <row r="9016">
      <c r="A9016" s="390" t="str">
        <f>IFERROR(__xludf.DUMMYFUNCTION("""COMPUTED_VALUE"""),"Pós-Graduação em Psicanálise - Pós-Graduação em Psicanálise - Ângela Fátima da Silva Souza - Tópicos Avançados em Sexualidade – 40H - Nota Máxima: 10")</f>
        <v>Pós-Graduação em Psicanálise - Pós-Graduação em Psicanálise - Ângela Fátima da Silva Souza - Tópicos Avançados em Sexualidade – 40H - Nota Máxima: 10</v>
      </c>
    </row>
    <row r="9017">
      <c r="A9017" s="390" t="str">
        <f>IFERROR(__xludf.DUMMYFUNCTION("""COMPUTED_VALUE"""),"Pós-Graduação em Psicanálise - Pós-Graduação em Psicanálise - Ângela Fátima da Silva Souza - Tópicos Avançados em Sexualidade – 40H - Nota Máxima: 3")</f>
        <v>Pós-Graduação em Psicanálise - Pós-Graduação em Psicanálise - Ângela Fátima da Silva Souza - Tópicos Avançados em Sexualidade – 40H - Nota Máxima: 3</v>
      </c>
    </row>
    <row r="9018">
      <c r="A9018" s="390" t="str">
        <f>IFERROR(__xludf.DUMMYFUNCTION("""COMPUTED_VALUE"""),"Pós-Graduação em Psicanálise - Pós-Graduação em Psicanálise - Alex da Silva Bonfim - Psicanálise II – 50H - Nota Máxima: 9")</f>
        <v>Pós-Graduação em Psicanálise - Pós-Graduação em Psicanálise - Alex da Silva Bonfim - Psicanálise II – 50H - Nota Máxima: 9</v>
      </c>
    </row>
    <row r="9019">
      <c r="A9019" s="390" t="str">
        <f>IFERROR(__xludf.DUMMYFUNCTION("""COMPUTED_VALUE"""),"Pós-Graduação em Psicanálise - Pós-Graduação em Psicanálise - Alex da Silva Bonfim - Psicopatologias I – 40H - Nota Máxima: 9")</f>
        <v>Pós-Graduação em Psicanálise - Pós-Graduação em Psicanálise - Alex da Silva Bonfim - Psicopatologias I – 40H - Nota Máxima: 9</v>
      </c>
    </row>
    <row r="9020">
      <c r="A9020" s="390" t="str">
        <f>IFERROR(__xludf.DUMMYFUNCTION("""COMPUTED_VALUE"""),"Pós-Graduação em Psicanálise - Pós-Graduação em Psicanálise - Alex da Silva Bonfim - Psicopatologias II – 50H - Nota Máxima: 7")</f>
        <v>Pós-Graduação em Psicanálise - Pós-Graduação em Psicanálise - Alex da Silva Bonfim - Psicopatologias II – 50H - Nota Máxima: 7</v>
      </c>
    </row>
    <row r="9021">
      <c r="A9021" s="390" t="str">
        <f>IFERROR(__xludf.DUMMYFUNCTION("""COMPUTED_VALUE"""),"Pós-Graduação em Psicanálise - Pós-Graduação em Psicanálise - Alex da Silva Bonfim - Sonhos, Simbologia e Representação – 50H - Nota Máxima: 10")</f>
        <v>Pós-Graduação em Psicanálise - Pós-Graduação em Psicanálise - Alex da Silva Bonfim - Sonhos, Simbologia e Representação – 50H - Nota Máxima: 10</v>
      </c>
    </row>
    <row r="9022">
      <c r="A9022" s="390" t="str">
        <f>IFERROR(__xludf.DUMMYFUNCTION("""COMPUTED_VALUE"""),"Pós-Graduação em Psicanálise - Pós-Graduação em Psicanálise - Alex da Silva Bonfim - Tópicos Avançados em Clínica – 40H - Nota Máxima: 10")</f>
        <v>Pós-Graduação em Psicanálise - Pós-Graduação em Psicanálise - Alex da Silva Bonfim - Tópicos Avançados em Clínica – 40H - Nota Máxima: 10</v>
      </c>
    </row>
    <row r="9023">
      <c r="A9023" s="390" t="str">
        <f>IFERROR(__xludf.DUMMYFUNCTION("""COMPUTED_VALUE"""),"Pós-Graduação em Psicanálise - Pós-Graduação em Psicanálise - Alex da Silva Bonfim - Tópicos Avançados em Sexualidade – 40H - Nota Máxima: 10")</f>
        <v>Pós-Graduação em Psicanálise - Pós-Graduação em Psicanálise - Alex da Silva Bonfim - Tópicos Avançados em Sexualidade – 40H - Nota Máxima: 10</v>
      </c>
    </row>
    <row r="9024">
      <c r="A9024" s="390" t="str">
        <f>IFERROR(__xludf.DUMMYFUNCTION("""COMPUTED_VALUE"""),"Pós-Graduação em Psicanálise - Pós-Graduação em Psicanálise - Claudio Antônio Fernandes Vitoriano - Introdução à EAD - 30H - Nota Máxima: 6")</f>
        <v>Pós-Graduação em Psicanálise - Pós-Graduação em Psicanálise - Claudio Antônio Fernandes Vitoriano - Introdução à EAD - 30H - Nota Máxima: 6</v>
      </c>
    </row>
    <row r="9025">
      <c r="A9025" s="390" t="str">
        <f>IFERROR(__xludf.DUMMYFUNCTION("""COMPUTED_VALUE"""),"Pós-Graduação em Psicanálise - Pós-Graduação em Psicanálise - Flavia Bortolaia de Miranda - Narcisismo e a Cultura da Indiferença – 40H - Nota Máxima: 8")</f>
        <v>Pós-Graduação em Psicanálise - Pós-Graduação em Psicanálise - Flavia Bortolaia de Miranda - Narcisismo e a Cultura da Indiferença – 40H - Nota Máxima: 8</v>
      </c>
    </row>
    <row r="9026">
      <c r="A9026" s="390" t="str">
        <f>IFERROR(__xludf.DUMMYFUNCTION("""COMPUTED_VALUE"""),"Pós-Graduação em Psicanálise - Pós-Graduação em Psicanálise - Flavia Bortolaia de Miranda - O Método Psicanalítico – 50H - Nota Máxima: 10")</f>
        <v>Pós-Graduação em Psicanálise - Pós-Graduação em Psicanálise - Flavia Bortolaia de Miranda - O Método Psicanalítico – 50H - Nota Máxima: 10</v>
      </c>
    </row>
    <row r="9027">
      <c r="A9027" s="390" t="str">
        <f>IFERROR(__xludf.DUMMYFUNCTION("""COMPUTED_VALUE"""),"Pós-Graduação em Psicanálise - Pós-Graduação em Psicanálise - Flavia Bortolaia de Miranda - O Método Psicanalítico – 50H - Nota Máxima: 3")</f>
        <v>Pós-Graduação em Psicanálise - Pós-Graduação em Psicanálise - Flavia Bortolaia de Miranda - O Método Psicanalítico – 50H - Nota Máxima: 3</v>
      </c>
    </row>
    <row r="9028">
      <c r="A9028" s="390" t="str">
        <f>IFERROR(__xludf.DUMMYFUNCTION("""COMPUTED_VALUE"""),"Pós-Graduação em Psicanálise - Pós-Graduação em Psicanálise - Flavia Bortolaia de Miranda - Práticas e Procedimentos em Clínica – 30H - Nota Máxima: 10")</f>
        <v>Pós-Graduação em Psicanálise - Pós-Graduação em Psicanálise - Flavia Bortolaia de Miranda - Práticas e Procedimentos em Clínica – 30H - Nota Máxima: 10</v>
      </c>
    </row>
    <row r="9029">
      <c r="A9029" s="390" t="str">
        <f>IFERROR(__xludf.DUMMYFUNCTION("""COMPUTED_VALUE"""),"Pós-Graduação em Psicanálise - Pós-Graduação em Psicanálise - Flavia Bortolaia de Miranda - Processos de Transferência e Resistência – 30H - Nota Máxima: 8")</f>
        <v>Pós-Graduação em Psicanálise - Pós-Graduação em Psicanálise - Flavia Bortolaia de Miranda - Processos de Transferência e Resistência – 30H - Nota Máxima: 8</v>
      </c>
    </row>
    <row r="9030">
      <c r="A9030" s="390" t="str">
        <f>IFERROR(__xludf.DUMMYFUNCTION("""COMPUTED_VALUE"""),"Pós-Graduação em Psicanálise - Pós-Graduação em Psicanálise - Flavia Bortolaia de Miranda - Psicanálise da Criança e do Adolescente – 40H - Nota Máxima: 8")</f>
        <v>Pós-Graduação em Psicanálise - Pós-Graduação em Psicanálise - Flavia Bortolaia de Miranda - Psicanálise da Criança e do Adolescente – 40H - Nota Máxima: 8</v>
      </c>
    </row>
    <row r="9031">
      <c r="A9031" s="390" t="str">
        <f>IFERROR(__xludf.DUMMYFUNCTION("""COMPUTED_VALUE"""),"Pós-Graduação em Psicanálise - Pós-Graduação em Psicanálise - Flavia Bortolaia de Miranda - Psicanálise II – 50H - Nota Máxima: 7")</f>
        <v>Pós-Graduação em Psicanálise - Pós-Graduação em Psicanálise - Flavia Bortolaia de Miranda - Psicanálise II – 50H - Nota Máxima: 7</v>
      </c>
    </row>
    <row r="9032">
      <c r="A9032" s="390" t="str">
        <f>IFERROR(__xludf.DUMMYFUNCTION("""COMPUTED_VALUE"""),"Pós-Graduação em Psicanálise - Pós-Graduação em Psicanálise - Flavia Bortolaia de Miranda - Sonhos, Simbologia e Representação – 50H - Nota Máxima: 10")</f>
        <v>Pós-Graduação em Psicanálise - Pós-Graduação em Psicanálise - Flavia Bortolaia de Miranda - Sonhos, Simbologia e Representação – 50H - Nota Máxima: 10</v>
      </c>
    </row>
    <row r="9033">
      <c r="A9033" s="390" t="str">
        <f>IFERROR(__xludf.DUMMYFUNCTION("""COMPUTED_VALUE"""),"Pós-Graduação em Psicanálise - Pós-Graduação em Psicanálise - Flavia Bortolaia de Miranda - Sonhos, Simbologia e Representação – 50H - Nota Máxima: 5")</f>
        <v>Pós-Graduação em Psicanálise - Pós-Graduação em Psicanálise - Flavia Bortolaia de Miranda - Sonhos, Simbologia e Representação – 50H - Nota Máxima: 5</v>
      </c>
    </row>
    <row r="9034">
      <c r="A9034" s="390" t="str">
        <f>IFERROR(__xludf.DUMMYFUNCTION("""COMPUTED_VALUE"""),"Pós-Graduação em Psicanálise - Pós-Graduação em Psicanálise - Kelcilene Lagasse Brites Curado - Complexo de Édipo e Castração - Nota Máxima: 8")</f>
        <v>Pós-Graduação em Psicanálise - Pós-Graduação em Psicanálise - Kelcilene Lagasse Brites Curado - Complexo de Édipo e Castração - Nota Máxima: 8</v>
      </c>
    </row>
    <row r="9035">
      <c r="A9035" s="390" t="str">
        <f>IFERROR(__xludf.DUMMYFUNCTION("""COMPUTED_VALUE"""),"Pós-Graduação em Psicanálise - Pós-Graduação em Psicanálise - Kelcilene Lagasse Brites Curado - Complexo de Édipo e Castração - Nota Máxima: 7")</f>
        <v>Pós-Graduação em Psicanálise - Pós-Graduação em Psicanálise - Kelcilene Lagasse Brites Curado - Complexo de Édipo e Castração - Nota Máxima: 7</v>
      </c>
    </row>
    <row r="9036">
      <c r="A9036" s="390" t="str">
        <f>IFERROR(__xludf.DUMMYFUNCTION("""COMPUTED_VALUE"""),"Pós-Graduação em Psicanálise - Pós-Graduação em Psicanálise - Kelcilene Lagasse Brites Curado - Formação e Ética do Psicanalista – 30H - Nota Máxima: 10")</f>
        <v>Pós-Graduação em Psicanálise - Pós-Graduação em Psicanálise - Kelcilene Lagasse Brites Curado - Formação e Ética do Psicanalista – 30H - Nota Máxima: 10</v>
      </c>
    </row>
    <row r="9037">
      <c r="A9037" s="390" t="str">
        <f>IFERROR(__xludf.DUMMYFUNCTION("""COMPUTED_VALUE"""),"Pós-Graduação em Psicanálise - Pós-Graduação em Psicanálise - Kelcilene Lagasse Brites Curado - Introdução à EAD - 30H - Nota Máxima: 8")</f>
        <v>Pós-Graduação em Psicanálise - Pós-Graduação em Psicanálise - Kelcilene Lagasse Brites Curado - Introdução à EAD - 30H - Nota Máxima: 8</v>
      </c>
    </row>
    <row r="9038">
      <c r="A9038" s="390" t="str">
        <f>IFERROR(__xludf.DUMMYFUNCTION("""COMPUTED_VALUE"""),"Pós-Graduação em Psicanálise - Pós-Graduação em Psicanálise - Kelcilene Lagasse Brites Curado - Introdução à EAD - 30H - Nota Máxima: 10")</f>
        <v>Pós-Graduação em Psicanálise - Pós-Graduação em Psicanálise - Kelcilene Lagasse Brites Curado - Introdução à EAD - 30H - Nota Máxima: 10</v>
      </c>
    </row>
    <row r="9039">
      <c r="A9039" s="390" t="str">
        <f>IFERROR(__xludf.DUMMYFUNCTION("""COMPUTED_VALUE"""),"Pós-Graduação em Psicanálise - Pós-Graduação em Psicanálise - Kelcilene Lagasse Brites Curado - Introdução à Psicanálise – 40H - Nota Máxima: 10")</f>
        <v>Pós-Graduação em Psicanálise - Pós-Graduação em Psicanálise - Kelcilene Lagasse Brites Curado - Introdução à Psicanálise – 40H - Nota Máxima: 10</v>
      </c>
    </row>
    <row r="9040">
      <c r="A9040" s="390" t="str">
        <f>IFERROR(__xludf.DUMMYFUNCTION("""COMPUTED_VALUE"""),"Pós-Graduação em Psicanálise - Pós-Graduação em Psicanálise - Kelcilene Lagasse Brites Curado - Libido, Pulsões e Sexualidade – 50H - Nota Máxima: 9")</f>
        <v>Pós-Graduação em Psicanálise - Pós-Graduação em Psicanálise - Kelcilene Lagasse Brites Curado - Libido, Pulsões e Sexualidade – 50H - Nota Máxima: 9</v>
      </c>
    </row>
    <row r="9041">
      <c r="A9041" s="390" t="str">
        <f>IFERROR(__xludf.DUMMYFUNCTION("""COMPUTED_VALUE"""),"Pós-Graduação em Psicanálise - Pós-Graduação em Psicanálise - Kelcilene Lagasse Brites Curado - Narcisismo e a Cultura da Indiferença – 40H - Nota Máxima: 8")</f>
        <v>Pós-Graduação em Psicanálise - Pós-Graduação em Psicanálise - Kelcilene Lagasse Brites Curado - Narcisismo e a Cultura da Indiferença – 40H - Nota Máxima: 8</v>
      </c>
    </row>
    <row r="9042">
      <c r="A9042" s="390" t="str">
        <f>IFERROR(__xludf.DUMMYFUNCTION("""COMPUTED_VALUE"""),"Pós-Graduação em Psicanálise - Pós-Graduação em Psicanálise - Kelcilene Lagasse Brites Curado - Psicanálise da Criança e do Adolescente – 40H - Nota Máxima: 9")</f>
        <v>Pós-Graduação em Psicanálise - Pós-Graduação em Psicanálise - Kelcilene Lagasse Brites Curado - Psicanálise da Criança e do Adolescente – 40H - Nota Máxima: 9</v>
      </c>
    </row>
    <row r="9043">
      <c r="A9043" s="390" t="str">
        <f>IFERROR(__xludf.DUMMYFUNCTION("""COMPUTED_VALUE"""),"Pós-Graduação em Psicanálise - Pós-Graduação em Psicanálise - Kelcilene Lagasse Brites Curado - Psicanálise II – 50H - Nota Máxima: 9")</f>
        <v>Pós-Graduação em Psicanálise - Pós-Graduação em Psicanálise - Kelcilene Lagasse Brites Curado - Psicanálise II – 50H - Nota Máxima: 9</v>
      </c>
    </row>
    <row r="9044">
      <c r="A9044" s="390" t="str">
        <f>IFERROR(__xludf.DUMMYFUNCTION("""COMPUTED_VALUE"""),"Pós-Graduação em Psicanálise - Pós-Graduação em Psicanálise - Kelcilene Lagasse Brites Curado - Psicopatologias I – 40H - Nota Máxima: 9")</f>
        <v>Pós-Graduação em Psicanálise - Pós-Graduação em Psicanálise - Kelcilene Lagasse Brites Curado - Psicopatologias I – 40H - Nota Máxima: 9</v>
      </c>
    </row>
    <row r="9045">
      <c r="A9045" s="390" t="str">
        <f>IFERROR(__xludf.DUMMYFUNCTION("""COMPUTED_VALUE"""),"Pós-Graduação em Psicanálise - Pós-Graduação em Psicanálise - Kelcilene Lagasse Brites Curado - Psicopatologias II – 50H - Nota Máxima: 10")</f>
        <v>Pós-Graduação em Psicanálise - Pós-Graduação em Psicanálise - Kelcilene Lagasse Brites Curado - Psicopatologias II – 50H - Nota Máxima: 10</v>
      </c>
    </row>
    <row r="9046">
      <c r="A9046" s="390" t="str">
        <f>IFERROR(__xludf.DUMMYFUNCTION("""COMPUTED_VALUE"""),"Pós-Graduação em Psicanálise - Pós-Graduação em Psicanálise - Kelcilene Lagasse Brites Curado - Sonhos, Simbologia e Representação – 50H - Nota Máxima: 9")</f>
        <v>Pós-Graduação em Psicanálise - Pós-Graduação em Psicanálise - Kelcilene Lagasse Brites Curado - Sonhos, Simbologia e Representação – 50H - Nota Máxima: 9</v>
      </c>
    </row>
    <row r="9047">
      <c r="A9047" s="390" t="str">
        <f>IFERROR(__xludf.DUMMYFUNCTION("""COMPUTED_VALUE"""),"Pós-Graduação em Psicanálise - Pós-Graduação em Psicanálise - Kelcilene Lagasse Brites Curado - Tópicos Avançados em Clínica – 40H - Nota Máxima: 10")</f>
        <v>Pós-Graduação em Psicanálise - Pós-Graduação em Psicanálise - Kelcilene Lagasse Brites Curado - Tópicos Avançados em Clínica – 40H - Nota Máxima: 10</v>
      </c>
    </row>
    <row r="9048">
      <c r="A9048" s="390" t="str">
        <f>IFERROR(__xludf.DUMMYFUNCTION("""COMPUTED_VALUE"""),"Pós-Graduação em Psicanálise - Pós-Graduação em Psicanálise - Kelcilene Lagasse Brites Curado - Tópicos Avançados em Sexualidade – 40H - Nota Máxima: 10")</f>
        <v>Pós-Graduação em Psicanálise - Pós-Graduação em Psicanálise - Kelcilene Lagasse Brites Curado - Tópicos Avançados em Sexualidade – 40H - Nota Máxima: 10</v>
      </c>
    </row>
    <row r="9049">
      <c r="A9049" s="390" t="str">
        <f>IFERROR(__xludf.DUMMYFUNCTION("""COMPUTED_VALUE"""),"Pós-Graduação em Psicanálise - Pós-Graduação em Psicanálise - Thiago de Souza Moura - Complexo de Édipo e Castração - Nota Máxima: 7")</f>
        <v>Pós-Graduação em Psicanálise - Pós-Graduação em Psicanálise - Thiago de Souza Moura - Complexo de Édipo e Castração - Nota Máxima: 7</v>
      </c>
    </row>
    <row r="9050">
      <c r="A9050" s="390" t="str">
        <f>IFERROR(__xludf.DUMMYFUNCTION("""COMPUTED_VALUE"""),"Pós-Graduação em Psicanálise - Pós-Graduação em Psicanálise - Thiago de Souza Moura - Formação e Ética do Psicanalista – 30H - Nota Máxima: 9")</f>
        <v>Pós-Graduação em Psicanálise - Pós-Graduação em Psicanálise - Thiago de Souza Moura - Formação e Ética do Psicanalista – 30H - Nota Máxima: 9</v>
      </c>
    </row>
    <row r="9051">
      <c r="A9051" s="390" t="str">
        <f>IFERROR(__xludf.DUMMYFUNCTION("""COMPUTED_VALUE"""),"Pós-Graduação em Psicanálise - Pós-Graduação em Psicanálise - Thiago de Souza Moura - Introdução à EAD - 30H - Nota Máxima: 8")</f>
        <v>Pós-Graduação em Psicanálise - Pós-Graduação em Psicanálise - Thiago de Souza Moura - Introdução à EAD - 30H - Nota Máxima: 8</v>
      </c>
    </row>
    <row r="9052">
      <c r="A9052" s="390" t="str">
        <f>IFERROR(__xludf.DUMMYFUNCTION("""COMPUTED_VALUE"""),"Pós-Graduação em Psicanálise - Pós-Graduação em Psicanálise - Thiago de Souza Moura - Introdução à Psicanálise – 40H - Nota Máxima: 9")</f>
        <v>Pós-Graduação em Psicanálise - Pós-Graduação em Psicanálise - Thiago de Souza Moura - Introdução à Psicanálise – 40H - Nota Máxima: 9</v>
      </c>
    </row>
    <row r="9053">
      <c r="A9053" s="390" t="str">
        <f>IFERROR(__xludf.DUMMYFUNCTION("""COMPUTED_VALUE"""),"Pós-Graduação em Psicanálise - Pós-Graduação em Psicanálise - Thiago de Souza Moura - Libido, Pulsões e Sexualidade – 50H - Nota Máxima: 8")</f>
        <v>Pós-Graduação em Psicanálise - Pós-Graduação em Psicanálise - Thiago de Souza Moura - Libido, Pulsões e Sexualidade – 50H - Nota Máxima: 8</v>
      </c>
    </row>
    <row r="9054">
      <c r="A9054" s="390" t="str">
        <f>IFERROR(__xludf.DUMMYFUNCTION("""COMPUTED_VALUE"""),"Pós-Graduação em Psicanálise - Pós-Graduação em Psicanálise - Thiago de Souza Moura - Narcisismo e a Cultura da Indiferença – 40H - Nota Máxima: 8")</f>
        <v>Pós-Graduação em Psicanálise - Pós-Graduação em Psicanálise - Thiago de Souza Moura - Narcisismo e a Cultura da Indiferença – 40H - Nota Máxima: 8</v>
      </c>
    </row>
    <row r="9055">
      <c r="A9055" s="390" t="str">
        <f>IFERROR(__xludf.DUMMYFUNCTION("""COMPUTED_VALUE"""),"Pós-Graduação em Psicanálise - Pós-Graduação em Psicanálise - Thiago de Souza Moura - O Aparelho psíquico, aspectos clínicos e Teóricos – 40H - Nota Máxima: 7")</f>
        <v>Pós-Graduação em Psicanálise - Pós-Graduação em Psicanálise - Thiago de Souza Moura - O Aparelho psíquico, aspectos clínicos e Teóricos – 40H - Nota Máxima: 7</v>
      </c>
    </row>
    <row r="9056">
      <c r="A9056" s="390" t="str">
        <f>IFERROR(__xludf.DUMMYFUNCTION("""COMPUTED_VALUE"""),"Pós-Graduação em Psicanálise - Pós-Graduação em Psicanálise - Thiago de Souza Moura - O Método Psicanalítico – 50H - Nota Máxima: 10")</f>
        <v>Pós-Graduação em Psicanálise - Pós-Graduação em Psicanálise - Thiago de Souza Moura - O Método Psicanalítico – 50H - Nota Máxima: 10</v>
      </c>
    </row>
    <row r="9057">
      <c r="A9057" s="390" t="str">
        <f>IFERROR(__xludf.DUMMYFUNCTION("""COMPUTED_VALUE"""),"Pós-Graduação em Psicanálise - Pós-Graduação em Psicanálise - Thiago de Souza Moura - Práticas e Procedimentos em Clínica – 30H - Nota Máxima: 8")</f>
        <v>Pós-Graduação em Psicanálise - Pós-Graduação em Psicanálise - Thiago de Souza Moura - Práticas e Procedimentos em Clínica – 30H - Nota Máxima: 8</v>
      </c>
    </row>
    <row r="9058">
      <c r="A9058" s="390" t="str">
        <f>IFERROR(__xludf.DUMMYFUNCTION("""COMPUTED_VALUE"""),"Pós-Graduação em Psicanálise - Pós-Graduação em Psicanálise - Thiago de Souza Moura - Processos de Transferência e Resistência – 30H - Nota Máxima: 8")</f>
        <v>Pós-Graduação em Psicanálise - Pós-Graduação em Psicanálise - Thiago de Souza Moura - Processos de Transferência e Resistência – 30H - Nota Máxima: 8</v>
      </c>
    </row>
    <row r="9059">
      <c r="A9059" s="390" t="str">
        <f>IFERROR(__xludf.DUMMYFUNCTION("""COMPUTED_VALUE"""),"Pós-Graduação em Psicanálise - Pós-Graduação em Psicanálise - Thiago de Souza Moura - Psicanálise da Criança e do Adolescente – 40H - Nota Máxima: 8")</f>
        <v>Pós-Graduação em Psicanálise - Pós-Graduação em Psicanálise - Thiago de Souza Moura - Psicanálise da Criança e do Adolescente – 40H - Nota Máxima: 8</v>
      </c>
    </row>
    <row r="9060">
      <c r="A9060" s="390" t="str">
        <f>IFERROR(__xludf.DUMMYFUNCTION("""COMPUTED_VALUE"""),"Pós-Graduação em Psicanálise - Pós-Graduação em Psicanálise - Thiago de Souza Moura - Psicanálise II – 50H - Nota Máxima: 9")</f>
        <v>Pós-Graduação em Psicanálise - Pós-Graduação em Psicanálise - Thiago de Souza Moura - Psicanálise II – 50H - Nota Máxima: 9</v>
      </c>
    </row>
    <row r="9061">
      <c r="A9061" s="390" t="str">
        <f>IFERROR(__xludf.DUMMYFUNCTION("""COMPUTED_VALUE"""),"Pós-Graduação em Psicanálise - Pós-Graduação em Psicanálise - Thiago de Souza Moura - Psicopatologias I – 40H - Nota Máxima: 9")</f>
        <v>Pós-Graduação em Psicanálise - Pós-Graduação em Psicanálise - Thiago de Souza Moura - Psicopatologias I – 40H - Nota Máxima: 9</v>
      </c>
    </row>
    <row r="9062">
      <c r="A9062" s="390" t="str">
        <f>IFERROR(__xludf.DUMMYFUNCTION("""COMPUTED_VALUE"""),"Pós-Graduação em Psicanálise - Pós-Graduação em Psicanálise - Thiago de Souza Moura - Psicopatologias II – 50H - Nota Máxima: 8")</f>
        <v>Pós-Graduação em Psicanálise - Pós-Graduação em Psicanálise - Thiago de Souza Moura - Psicopatologias II – 50H - Nota Máxima: 8</v>
      </c>
    </row>
    <row r="9063">
      <c r="A9063" s="390" t="str">
        <f>IFERROR(__xludf.DUMMYFUNCTION("""COMPUTED_VALUE"""),"Pós-Graduação em Psicanálise - Pós-Graduação em Psicanálise - Thiago de Souza Moura - Sonhos, Simbologia e Representação – 50H - Nota Máxima: 7")</f>
        <v>Pós-Graduação em Psicanálise - Pós-Graduação em Psicanálise - Thiago de Souza Moura - Sonhos, Simbologia e Representação – 50H - Nota Máxima: 7</v>
      </c>
    </row>
    <row r="9064">
      <c r="A9064" s="390" t="str">
        <f>IFERROR(__xludf.DUMMYFUNCTION("""COMPUTED_VALUE"""),"Pós-Graduação em Psicanálise - Pós-Graduação em Psicanálise - Thiago de Souza Moura - Tópicos Avançados em Clínica – 40H - Nota Máxima: 9")</f>
        <v>Pós-Graduação em Psicanálise - Pós-Graduação em Psicanálise - Thiago de Souza Moura - Tópicos Avançados em Clínica – 40H - Nota Máxima: 9</v>
      </c>
    </row>
    <row r="9065">
      <c r="A9065" s="390" t="str">
        <f>IFERROR(__xludf.DUMMYFUNCTION("""COMPUTED_VALUE"""),"Pós-Graduação em Psicanálise - Pós-Graduação em Psicanálise - Thiago de Souza Moura - Tópicos Avançados em Sexualidade – 40H - Nota Máxima: 7")</f>
        <v>Pós-Graduação em Psicanálise - Pós-Graduação em Psicanálise - Thiago de Souza Moura - Tópicos Avançados em Sexualidade – 40H - Nota Máxima: 7</v>
      </c>
    </row>
    <row r="9066">
      <c r="A9066" s="390" t="str">
        <f>IFERROR(__xludf.DUMMYFUNCTION("""COMPUTED_VALUE"""),"Pós-Graduação em Psicanálise - Pós-Graduação em Psicanálise - Aline Ferreira Netto - Introdução à EAD - 30H - Nota Máxima: 7")</f>
        <v>Pós-Graduação em Psicanálise - Pós-Graduação em Psicanálise - Aline Ferreira Netto - Introdução à EAD - 30H - Nota Máxima: 7</v>
      </c>
    </row>
    <row r="9067">
      <c r="A9067" s="390" t="str">
        <f>IFERROR(__xludf.DUMMYFUNCTION("""COMPUTED_VALUE"""),"Pós-Graduação em Psicanálise - Pós-Graduação em Psicanálise - Aline Ferreira Netto - Planejamento, Gestão Educacional e Currículo/a - Nota Máxima: 8")</f>
        <v>Pós-Graduação em Psicanálise - Pós-Graduação em Psicanálise - Aline Ferreira Netto - Planejamento, Gestão Educacional e Currículo/a - Nota Máxima: 8</v>
      </c>
    </row>
    <row r="9068">
      <c r="A9068" s="390" t="str">
        <f>IFERROR(__xludf.DUMMYFUNCTION("""COMPUTED_VALUE"""),"Pós-Graduação em Psicanálise - Pós-Graduação em Psicanálise - Aline Ferreira Netto - Psicanálise II – 50H - Nota Máxima: 8")</f>
        <v>Pós-Graduação em Psicanálise - Pós-Graduação em Psicanálise - Aline Ferreira Netto - Psicanálise II – 50H - Nota Máxima: 8</v>
      </c>
    </row>
    <row r="9069">
      <c r="A9069" s="390" t="str">
        <f>IFERROR(__xludf.DUMMYFUNCTION("""COMPUTED_VALUE"""),"Pós-Graduação em Psicanálise - Pós-Graduação em Psicanálise - Aline Ferreira Netto - Psicopatologias I – 40H - Nota Máxima: 7")</f>
        <v>Pós-Graduação em Psicanálise - Pós-Graduação em Psicanálise - Aline Ferreira Netto - Psicopatologias I – 40H - Nota Máxima: 7</v>
      </c>
    </row>
    <row r="9070">
      <c r="A9070" s="390" t="str">
        <f>IFERROR(__xludf.DUMMYFUNCTION("""COMPUTED_VALUE"""),"Pós-Graduação em Psicanálise - Pós-Graduação em Psicanálise - Aline Ferreira Netto - Psicopatologias II – 50H - Nota Máxima: 9")</f>
        <v>Pós-Graduação em Psicanálise - Pós-Graduação em Psicanálise - Aline Ferreira Netto - Psicopatologias II – 50H - Nota Máxima: 9</v>
      </c>
    </row>
    <row r="9071">
      <c r="A9071" s="390" t="str">
        <f>IFERROR(__xludf.DUMMYFUNCTION("""COMPUTED_VALUE"""),"Pós-Graduação em Psicanálise - Pós-Graduação em Psicanálise - Aline Ferreira Netto - Sonhos, Simbologia e Representação – 50H - Nota Máxima: 9")</f>
        <v>Pós-Graduação em Psicanálise - Pós-Graduação em Psicanálise - Aline Ferreira Netto - Sonhos, Simbologia e Representação – 50H - Nota Máxima: 9</v>
      </c>
    </row>
    <row r="9072">
      <c r="A9072" s="390" t="str">
        <f>IFERROR(__xludf.DUMMYFUNCTION("""COMPUTED_VALUE"""),"Pós-Graduação em Psicanálise - Pós-Graduação em Psicanálise - Monica Camargo Pigato - Complexo de Édipo e Castração - Nota Máxima: 7")</f>
        <v>Pós-Graduação em Psicanálise - Pós-Graduação em Psicanálise - Monica Camargo Pigato - Complexo de Édipo e Castração - Nota Máxima: 7</v>
      </c>
    </row>
    <row r="9073">
      <c r="A9073" s="390" t="str">
        <f>IFERROR(__xludf.DUMMYFUNCTION("""COMPUTED_VALUE"""),"Pós-Graduação em Psicanálise - Pós-Graduação em Psicanálise - Vera Denise Nunes Borba - Complexo de Édipo e Castração - Nota Máxima: 7")</f>
        <v>Pós-Graduação em Psicanálise - Pós-Graduação em Psicanálise - Vera Denise Nunes Borba - Complexo de Édipo e Castração - Nota Máxima: 7</v>
      </c>
    </row>
    <row r="9074">
      <c r="A9074" s="390" t="str">
        <f>IFERROR(__xludf.DUMMYFUNCTION("""COMPUTED_VALUE"""),"Pós-Graduação em Psicanálise - Pós-Graduação em Psicanálise - Vera Denise Nunes Borba - Formação e Ética do Psicanalista – 30H - Nota Máxima: 7")</f>
        <v>Pós-Graduação em Psicanálise - Pós-Graduação em Psicanálise - Vera Denise Nunes Borba - Formação e Ética do Psicanalista – 30H - Nota Máxima: 7</v>
      </c>
    </row>
    <row r="9075">
      <c r="A9075" s="390" t="str">
        <f>IFERROR(__xludf.DUMMYFUNCTION("""COMPUTED_VALUE"""),"Pós-Graduação em Psicanálise - Pós-Graduação em Psicanálise - Vera Denise Nunes Borba - Introdução à EAD - 30H - Nota Máxima: 10")</f>
        <v>Pós-Graduação em Psicanálise - Pós-Graduação em Psicanálise - Vera Denise Nunes Borba - Introdução à EAD - 30H - Nota Máxima: 10</v>
      </c>
    </row>
    <row r="9076">
      <c r="A9076" s="390" t="str">
        <f>IFERROR(__xludf.DUMMYFUNCTION("""COMPUTED_VALUE"""),"Pós-Graduação em Psicanálise - Pós-Graduação em Psicanálise - Vera Denise Nunes Borba - Introdução à EAD - 30H - Nota Máxima: 7")</f>
        <v>Pós-Graduação em Psicanálise - Pós-Graduação em Psicanálise - Vera Denise Nunes Borba - Introdução à EAD - 30H - Nota Máxima: 7</v>
      </c>
    </row>
    <row r="9077">
      <c r="A9077" s="390" t="str">
        <f>IFERROR(__xludf.DUMMYFUNCTION("""COMPUTED_VALUE"""),"Pós-Graduação em Psicanálise - Pós-Graduação em Psicanálise - Vera Denise Nunes Borba - Introdução à Psicanálise – 40H - Nota Máxima: 10")</f>
        <v>Pós-Graduação em Psicanálise - Pós-Graduação em Psicanálise - Vera Denise Nunes Borba - Introdução à Psicanálise – 40H - Nota Máxima: 10</v>
      </c>
    </row>
    <row r="9078">
      <c r="A9078" s="390" t="str">
        <f>IFERROR(__xludf.DUMMYFUNCTION("""COMPUTED_VALUE"""),"Pós-Graduação em Psicanálise - Pós-Graduação em Psicanálise - Vera Denise Nunes Borba - Introdução à Psicanálise – 40H - Nota Máxima: 5")</f>
        <v>Pós-Graduação em Psicanálise - Pós-Graduação em Psicanálise - Vera Denise Nunes Borba - Introdução à Psicanálise – 40H - Nota Máxima: 5</v>
      </c>
    </row>
    <row r="9079">
      <c r="A9079" s="390" t="str">
        <f>IFERROR(__xludf.DUMMYFUNCTION("""COMPUTED_VALUE"""),"Pós-Graduação em Psicanálise - Pós-Graduação em Psicanálise - Vera Denise Nunes Borba - Libido, Pulsões e Sexualidade – 50H - Nota Máxima: 10")</f>
        <v>Pós-Graduação em Psicanálise - Pós-Graduação em Psicanálise - Vera Denise Nunes Borba - Libido, Pulsões e Sexualidade – 50H - Nota Máxima: 10</v>
      </c>
    </row>
    <row r="9080">
      <c r="A9080" s="390" t="str">
        <f>IFERROR(__xludf.DUMMYFUNCTION("""COMPUTED_VALUE"""),"Pós-Graduação em Psicanálise - Pós-Graduação em Psicanálise - Vera Denise Nunes Borba - Libido, Pulsões e Sexualidade – 50H - Nota Máxima: 7")</f>
        <v>Pós-Graduação em Psicanálise - Pós-Graduação em Psicanálise - Vera Denise Nunes Borba - Libido, Pulsões e Sexualidade – 50H - Nota Máxima: 7</v>
      </c>
    </row>
    <row r="9081">
      <c r="A9081" s="390" t="str">
        <f>IFERROR(__xludf.DUMMYFUNCTION("""COMPUTED_VALUE"""),"Pós-Graduação em Psicanálise - Pós-Graduação em Psicanálise - Vera Denise Nunes Borba - Narcisismo e a Cultura da Indiferença – 40H - Nota Máxima: 10")</f>
        <v>Pós-Graduação em Psicanálise - Pós-Graduação em Psicanálise - Vera Denise Nunes Borba - Narcisismo e a Cultura da Indiferença – 40H - Nota Máxima: 10</v>
      </c>
    </row>
    <row r="9082">
      <c r="A9082" s="390" t="str">
        <f>IFERROR(__xludf.DUMMYFUNCTION("""COMPUTED_VALUE"""),"Pós-Graduação em Psicanálise - Pós-Graduação em Psicanálise - Vera Denise Nunes Borba - Narcisismo e a Cultura da Indiferença – 40H - Nota Máxima: 6")</f>
        <v>Pós-Graduação em Psicanálise - Pós-Graduação em Psicanálise - Vera Denise Nunes Borba - Narcisismo e a Cultura da Indiferença – 40H - Nota Máxima: 6</v>
      </c>
    </row>
    <row r="9083">
      <c r="A9083" s="390" t="str">
        <f>IFERROR(__xludf.DUMMYFUNCTION("""COMPUTED_VALUE"""),"Pós-Graduação em Psicanálise - Pós-Graduação em Psicanálise - Vera Denise Nunes Borba - O Aparelho psíquico, aspectos clínicos e Teóricos – 40H - Nota Máxima: 10")</f>
        <v>Pós-Graduação em Psicanálise - Pós-Graduação em Psicanálise - Vera Denise Nunes Borba - O Aparelho psíquico, aspectos clínicos e Teóricos – 40H - Nota Máxima: 10</v>
      </c>
    </row>
    <row r="9084">
      <c r="A9084" s="390" t="str">
        <f>IFERROR(__xludf.DUMMYFUNCTION("""COMPUTED_VALUE"""),"Pós-Graduação em Psicanálise - Pós-Graduação em Psicanálise - Vera Denise Nunes Borba - O Aparelho psíquico, aspectos clínicos e Teóricos – 40H - Nota Máxima: 7")</f>
        <v>Pós-Graduação em Psicanálise - Pós-Graduação em Psicanálise - Vera Denise Nunes Borba - O Aparelho psíquico, aspectos clínicos e Teóricos – 40H - Nota Máxima: 7</v>
      </c>
    </row>
    <row r="9085">
      <c r="A9085" s="390" t="str">
        <f>IFERROR(__xludf.DUMMYFUNCTION("""COMPUTED_VALUE"""),"Pós-Graduação em Psicanálise - Pós-Graduação em Psicanálise - Vera Denise Nunes Borba - O Método Psicanalítico – 50H - Nota Máxima: 10")</f>
        <v>Pós-Graduação em Psicanálise - Pós-Graduação em Psicanálise - Vera Denise Nunes Borba - O Método Psicanalítico – 50H - Nota Máxima: 10</v>
      </c>
    </row>
    <row r="9086">
      <c r="A9086" s="390" t="str">
        <f>IFERROR(__xludf.DUMMYFUNCTION("""COMPUTED_VALUE"""),"Pós-Graduação em Psicanálise - Pós-Graduação em Psicanálise - Vera Denise Nunes Borba - O Método Psicanalítico – 50H - Nota Máxima: 7")</f>
        <v>Pós-Graduação em Psicanálise - Pós-Graduação em Psicanálise - Vera Denise Nunes Borba - O Método Psicanalítico – 50H - Nota Máxima: 7</v>
      </c>
    </row>
    <row r="9087">
      <c r="A9087" s="390" t="str">
        <f>IFERROR(__xludf.DUMMYFUNCTION("""COMPUTED_VALUE"""),"Pós-Graduação em Psicanálise - Pós-Graduação em Psicanálise - Vera Denise Nunes Borba - Práticas e Procedimentos em Clínica – 30H - Nota Máxima: 10")</f>
        <v>Pós-Graduação em Psicanálise - Pós-Graduação em Psicanálise - Vera Denise Nunes Borba - Práticas e Procedimentos em Clínica – 30H - Nota Máxima: 10</v>
      </c>
    </row>
    <row r="9088">
      <c r="A9088" s="390" t="str">
        <f>IFERROR(__xludf.DUMMYFUNCTION("""COMPUTED_VALUE"""),"Pós-Graduação em Psicanálise - Pós-Graduação em Psicanálise - Vera Denise Nunes Borba - Práticas e Procedimentos em Clínica – 30H - Nota Máxima: 7")</f>
        <v>Pós-Graduação em Psicanálise - Pós-Graduação em Psicanálise - Vera Denise Nunes Borba - Práticas e Procedimentos em Clínica – 30H - Nota Máxima: 7</v>
      </c>
    </row>
    <row r="9089">
      <c r="A9089" s="390" t="str">
        <f>IFERROR(__xludf.DUMMYFUNCTION("""COMPUTED_VALUE"""),"Pós-Graduação em Psicanálise - Pós-Graduação em Psicanálise - Vera Denise Nunes Borba - Processos de Transferência e Resistência – 30H - Nota Máxima: 10")</f>
        <v>Pós-Graduação em Psicanálise - Pós-Graduação em Psicanálise - Vera Denise Nunes Borba - Processos de Transferência e Resistência – 30H - Nota Máxima: 10</v>
      </c>
    </row>
    <row r="9090">
      <c r="A9090" s="390" t="str">
        <f>IFERROR(__xludf.DUMMYFUNCTION("""COMPUTED_VALUE"""),"Pós-Graduação em Psicanálise - Pós-Graduação em Psicanálise - Vera Denise Nunes Borba - Processos de Transferência e Resistência – 30H - Nota Máxima: 5")</f>
        <v>Pós-Graduação em Psicanálise - Pós-Graduação em Psicanálise - Vera Denise Nunes Borba - Processos de Transferência e Resistência – 30H - Nota Máxima: 5</v>
      </c>
    </row>
    <row r="9091">
      <c r="A9091" s="390" t="str">
        <f>IFERROR(__xludf.DUMMYFUNCTION("""COMPUTED_VALUE"""),"Pós-Graduação em Psicanálise - Pós-Graduação em Psicanálise - Vera Denise Nunes Borba - Psicanálise da Criança e do Adolescente – 40H - Nota Máxima: 10")</f>
        <v>Pós-Graduação em Psicanálise - Pós-Graduação em Psicanálise - Vera Denise Nunes Borba - Psicanálise da Criança e do Adolescente – 40H - Nota Máxima: 10</v>
      </c>
    </row>
    <row r="9092">
      <c r="A9092" s="390" t="str">
        <f>IFERROR(__xludf.DUMMYFUNCTION("""COMPUTED_VALUE"""),"Pós-Graduação em Psicanálise - Pós-Graduação em Psicanálise - Vera Denise Nunes Borba - Psicanálise da Criança e do Adolescente – 40H - Nota Máxima: 9")</f>
        <v>Pós-Graduação em Psicanálise - Pós-Graduação em Psicanálise - Vera Denise Nunes Borba - Psicanálise da Criança e do Adolescente – 40H - Nota Máxima: 9</v>
      </c>
    </row>
    <row r="9093">
      <c r="A9093" s="390"/>
    </row>
    <row r="9094">
      <c r="A9094" s="390"/>
    </row>
    <row r="9095">
      <c r="A9095" s="390"/>
    </row>
    <row r="9096">
      <c r="A9096" s="390"/>
    </row>
    <row r="9097">
      <c r="A9097" s="390"/>
    </row>
    <row r="9098">
      <c r="A9098" s="390"/>
    </row>
    <row r="9099">
      <c r="A9099" s="390"/>
    </row>
    <row r="9100">
      <c r="A9100" s="390"/>
    </row>
    <row r="9101">
      <c r="A9101" s="390"/>
    </row>
    <row r="9102">
      <c r="A9102" s="390"/>
    </row>
    <row r="9103">
      <c r="A9103" s="390"/>
    </row>
    <row r="9104">
      <c r="A9104" s="390"/>
    </row>
    <row r="9105">
      <c r="A9105" s="390"/>
    </row>
    <row r="9106">
      <c r="A9106" s="390"/>
    </row>
    <row r="9107">
      <c r="A9107" s="390"/>
    </row>
    <row r="9108">
      <c r="A9108" s="390"/>
    </row>
    <row r="9109">
      <c r="A9109" s="390"/>
    </row>
    <row r="9110">
      <c r="A9110" s="390"/>
    </row>
    <row r="9111">
      <c r="A9111" s="390"/>
    </row>
    <row r="9112">
      <c r="A9112" s="390"/>
    </row>
    <row r="9113">
      <c r="A9113" s="390"/>
    </row>
    <row r="9114">
      <c r="A9114" s="390"/>
    </row>
    <row r="9115">
      <c r="A9115" s="390"/>
    </row>
    <row r="9116">
      <c r="A9116" s="390"/>
    </row>
    <row r="9117">
      <c r="A9117" s="390"/>
    </row>
    <row r="9118">
      <c r="A9118" s="390"/>
    </row>
    <row r="9119">
      <c r="A9119" s="390"/>
    </row>
    <row r="9120">
      <c r="A9120" s="390"/>
    </row>
    <row r="9121">
      <c r="A9121" s="390"/>
    </row>
    <row r="9122">
      <c r="A9122" s="390"/>
    </row>
    <row r="9123">
      <c r="A9123" s="390"/>
    </row>
    <row r="9124">
      <c r="A9124" s="390"/>
    </row>
    <row r="9125">
      <c r="A9125" s="390"/>
    </row>
    <row r="9126">
      <c r="A9126" s="390"/>
    </row>
    <row r="9127">
      <c r="A9127" s="390"/>
    </row>
    <row r="9128">
      <c r="A9128" s="390"/>
    </row>
    <row r="9129">
      <c r="A9129" s="390"/>
    </row>
    <row r="9130">
      <c r="A9130" s="390"/>
    </row>
    <row r="9131">
      <c r="A9131" s="390"/>
    </row>
    <row r="9132">
      <c r="A9132" s="390"/>
    </row>
    <row r="9133">
      <c r="A9133" s="390"/>
    </row>
    <row r="9134">
      <c r="A9134" s="390"/>
    </row>
    <row r="9135">
      <c r="A9135" s="390"/>
    </row>
    <row r="9136">
      <c r="A9136" s="390"/>
    </row>
    <row r="9137">
      <c r="A9137" s="390"/>
    </row>
    <row r="9138">
      <c r="A9138" s="390"/>
    </row>
    <row r="9139">
      <c r="A9139" s="390"/>
    </row>
    <row r="9140">
      <c r="A9140" s="390"/>
    </row>
    <row r="9141">
      <c r="A9141" s="390"/>
    </row>
    <row r="9142">
      <c r="A9142" s="390"/>
    </row>
    <row r="9143">
      <c r="A9143" s="390"/>
    </row>
    <row r="9144">
      <c r="A9144" s="390"/>
    </row>
    <row r="9145">
      <c r="A9145" s="390"/>
    </row>
    <row r="9146">
      <c r="A9146" s="390"/>
    </row>
    <row r="9147">
      <c r="A9147" s="390"/>
    </row>
    <row r="9148">
      <c r="A9148" s="390"/>
    </row>
    <row r="9149">
      <c r="A9149" s="390"/>
    </row>
    <row r="9150">
      <c r="A9150" s="390"/>
    </row>
    <row r="9151">
      <c r="A9151" s="390"/>
    </row>
    <row r="9152">
      <c r="A9152" s="390"/>
    </row>
    <row r="9153">
      <c r="A9153" s="390"/>
    </row>
    <row r="9154">
      <c r="A9154" s="390"/>
    </row>
    <row r="9155">
      <c r="A9155" s="390"/>
    </row>
    <row r="9156">
      <c r="A9156" s="390"/>
    </row>
    <row r="9157">
      <c r="A9157" s="390"/>
    </row>
    <row r="9158">
      <c r="A9158" s="390"/>
    </row>
    <row r="9159">
      <c r="A9159" s="390"/>
    </row>
    <row r="9160">
      <c r="A9160" s="390"/>
    </row>
    <row r="9161">
      <c r="A9161" s="390"/>
    </row>
    <row r="9162">
      <c r="A9162" s="390"/>
    </row>
    <row r="9163">
      <c r="A9163" s="390"/>
    </row>
    <row r="9164">
      <c r="A9164" s="390"/>
    </row>
    <row r="9165">
      <c r="A9165" s="390"/>
    </row>
    <row r="9166">
      <c r="A9166" s="390"/>
    </row>
    <row r="9167">
      <c r="A9167" s="390"/>
    </row>
    <row r="9168">
      <c r="A9168" s="390"/>
    </row>
    <row r="9169">
      <c r="A9169" s="390"/>
    </row>
    <row r="9170">
      <c r="A9170" s="390"/>
    </row>
    <row r="9171">
      <c r="A9171" s="390"/>
    </row>
    <row r="9172">
      <c r="A9172" s="390"/>
    </row>
    <row r="9173">
      <c r="A9173" s="390"/>
    </row>
    <row r="9174">
      <c r="A9174" s="390"/>
    </row>
    <row r="9175">
      <c r="A9175" s="390"/>
    </row>
    <row r="9176">
      <c r="A9176" s="390"/>
    </row>
    <row r="9177">
      <c r="A9177" s="390"/>
    </row>
    <row r="9178">
      <c r="A9178" s="390"/>
    </row>
    <row r="9179">
      <c r="A9179" s="390"/>
    </row>
    <row r="9180">
      <c r="A9180" s="390"/>
    </row>
    <row r="9181">
      <c r="A9181" s="390"/>
    </row>
    <row r="9182">
      <c r="A9182" s="390"/>
    </row>
    <row r="9183">
      <c r="A9183" s="390"/>
    </row>
    <row r="9184">
      <c r="A9184" s="390"/>
    </row>
    <row r="9185">
      <c r="A9185" s="390"/>
    </row>
    <row r="9186">
      <c r="A9186" s="390"/>
    </row>
    <row r="9187">
      <c r="A9187" s="390"/>
    </row>
    <row r="9188">
      <c r="A9188" s="390"/>
    </row>
    <row r="9189">
      <c r="A9189" s="390"/>
    </row>
    <row r="9190">
      <c r="A9190" s="390"/>
    </row>
    <row r="9191">
      <c r="A9191" s="390"/>
    </row>
    <row r="9192">
      <c r="A9192" s="390"/>
    </row>
    <row r="9193">
      <c r="A9193" s="390"/>
    </row>
    <row r="9194">
      <c r="A9194" s="390"/>
    </row>
    <row r="9195">
      <c r="A9195" s="390"/>
    </row>
    <row r="9196">
      <c r="A9196" s="390"/>
    </row>
    <row r="9197">
      <c r="A9197" s="390"/>
    </row>
    <row r="9198">
      <c r="A9198" s="390"/>
    </row>
    <row r="9199">
      <c r="A9199" s="390"/>
    </row>
    <row r="9200">
      <c r="A9200" s="390"/>
    </row>
    <row r="9201">
      <c r="A9201" s="390"/>
    </row>
    <row r="9202">
      <c r="A9202" s="390"/>
    </row>
    <row r="9203">
      <c r="A9203" s="390"/>
    </row>
    <row r="9204">
      <c r="A9204" s="390"/>
    </row>
    <row r="9205">
      <c r="A9205" s="390"/>
    </row>
    <row r="9206">
      <c r="A9206" s="390"/>
    </row>
    <row r="9207">
      <c r="A9207" s="390"/>
    </row>
    <row r="9208">
      <c r="A9208" s="390"/>
    </row>
    <row r="9209">
      <c r="A9209" s="390"/>
    </row>
    <row r="9210">
      <c r="A9210" s="390"/>
    </row>
    <row r="9211">
      <c r="A9211" s="390"/>
    </row>
    <row r="9212">
      <c r="A9212" s="390"/>
    </row>
    <row r="9213">
      <c r="A9213" s="390"/>
    </row>
    <row r="9214">
      <c r="A9214" s="390"/>
    </row>
    <row r="9215">
      <c r="A9215" s="390"/>
    </row>
    <row r="9216">
      <c r="A9216" s="390"/>
    </row>
    <row r="9217">
      <c r="A9217" s="390"/>
    </row>
    <row r="9218">
      <c r="A9218" s="390"/>
    </row>
    <row r="9219">
      <c r="A9219" s="390"/>
    </row>
    <row r="9220">
      <c r="A9220" s="390"/>
    </row>
    <row r="9221">
      <c r="A9221" s="390"/>
    </row>
    <row r="9222">
      <c r="A9222" s="390"/>
    </row>
    <row r="9223">
      <c r="A9223" s="390"/>
    </row>
    <row r="9224">
      <c r="A9224" s="390"/>
    </row>
    <row r="9225">
      <c r="A9225" s="390"/>
    </row>
    <row r="9226">
      <c r="A9226" s="390"/>
    </row>
    <row r="9227">
      <c r="A9227" s="390"/>
    </row>
    <row r="9228">
      <c r="A9228" s="390"/>
    </row>
    <row r="9229">
      <c r="A9229" s="390"/>
    </row>
    <row r="9230">
      <c r="A9230" s="390"/>
    </row>
    <row r="9231">
      <c r="A9231" s="390"/>
    </row>
    <row r="9232">
      <c r="A9232" s="390"/>
    </row>
    <row r="9233">
      <c r="A9233" s="390"/>
    </row>
    <row r="9234">
      <c r="A9234" s="390"/>
    </row>
    <row r="9235">
      <c r="A9235" s="390"/>
    </row>
    <row r="9236">
      <c r="A9236" s="390"/>
    </row>
    <row r="9237">
      <c r="A9237" s="390"/>
    </row>
    <row r="9238">
      <c r="A9238" s="390"/>
    </row>
    <row r="9239">
      <c r="A9239" s="390"/>
    </row>
    <row r="9240">
      <c r="A9240" s="390"/>
    </row>
    <row r="9241">
      <c r="A9241" s="390"/>
    </row>
    <row r="9242">
      <c r="A9242" s="390"/>
    </row>
    <row r="9243">
      <c r="A9243" s="390"/>
    </row>
    <row r="9244">
      <c r="A9244" s="390"/>
    </row>
    <row r="9245">
      <c r="A9245" s="390"/>
    </row>
    <row r="9246">
      <c r="A9246" s="390"/>
    </row>
    <row r="9247">
      <c r="A9247" s="390"/>
    </row>
    <row r="9248">
      <c r="A9248" s="390"/>
    </row>
    <row r="9249">
      <c r="A9249" s="390"/>
    </row>
    <row r="9250">
      <c r="A9250" s="390"/>
    </row>
    <row r="9251">
      <c r="A9251" s="390"/>
    </row>
    <row r="9252">
      <c r="A9252" s="390"/>
    </row>
    <row r="9253">
      <c r="A9253" s="390"/>
    </row>
    <row r="9254">
      <c r="A9254" s="390"/>
    </row>
    <row r="9255">
      <c r="A9255" s="390"/>
    </row>
    <row r="9256">
      <c r="A9256" s="390"/>
    </row>
    <row r="9257">
      <c r="A9257" s="390"/>
    </row>
    <row r="9258">
      <c r="A9258" s="390"/>
    </row>
    <row r="9259">
      <c r="A9259" s="390"/>
    </row>
    <row r="9260">
      <c r="A9260" s="390"/>
    </row>
    <row r="9261">
      <c r="A9261" s="390"/>
    </row>
    <row r="9262">
      <c r="A9262" s="390"/>
    </row>
    <row r="9263">
      <c r="A9263" s="390"/>
    </row>
    <row r="9264">
      <c r="A9264" s="390"/>
    </row>
    <row r="9265">
      <c r="A9265" s="390"/>
    </row>
    <row r="9266">
      <c r="A9266" s="390"/>
    </row>
    <row r="9267">
      <c r="A9267" s="390"/>
    </row>
    <row r="9268">
      <c r="A9268" s="390"/>
    </row>
    <row r="9269">
      <c r="A9269" s="390"/>
    </row>
    <row r="9270">
      <c r="A9270" s="390"/>
    </row>
    <row r="9271">
      <c r="A9271" s="390"/>
    </row>
    <row r="9272">
      <c r="A9272" s="390"/>
    </row>
    <row r="9273">
      <c r="A9273" s="390"/>
    </row>
    <row r="9274">
      <c r="A9274" s="390"/>
    </row>
    <row r="9275">
      <c r="A9275" s="390"/>
    </row>
    <row r="9276">
      <c r="A9276" s="390"/>
    </row>
    <row r="9277">
      <c r="A9277" s="390"/>
    </row>
    <row r="9278">
      <c r="A9278" s="390"/>
    </row>
    <row r="9279">
      <c r="A9279" s="390"/>
    </row>
    <row r="9280">
      <c r="A9280" s="390"/>
    </row>
    <row r="9281">
      <c r="A9281" s="390"/>
    </row>
    <row r="9282">
      <c r="A9282" s="390"/>
    </row>
    <row r="9283">
      <c r="A9283" s="390"/>
    </row>
    <row r="9284">
      <c r="A9284" s="390"/>
    </row>
    <row r="9285">
      <c r="A9285" s="390"/>
    </row>
    <row r="9286">
      <c r="A9286" s="390"/>
    </row>
    <row r="9287">
      <c r="A9287" s="390"/>
    </row>
    <row r="9288">
      <c r="A9288" s="390"/>
    </row>
    <row r="9289">
      <c r="A9289" s="390"/>
    </row>
    <row r="9290">
      <c r="A9290" s="390"/>
    </row>
    <row r="9291">
      <c r="A9291" s="390"/>
    </row>
    <row r="9292">
      <c r="A9292" s="390"/>
    </row>
    <row r="9293">
      <c r="A9293" s="390"/>
    </row>
    <row r="9294">
      <c r="A9294" s="390"/>
    </row>
    <row r="9295">
      <c r="A9295" s="390"/>
    </row>
    <row r="9296">
      <c r="A9296" s="390"/>
    </row>
    <row r="9297">
      <c r="A9297" s="390"/>
    </row>
    <row r="9298">
      <c r="A9298" s="390"/>
    </row>
    <row r="9299">
      <c r="A9299" s="390"/>
    </row>
    <row r="9300">
      <c r="A9300" s="390"/>
    </row>
    <row r="9301">
      <c r="A9301" s="390"/>
    </row>
    <row r="9302">
      <c r="A9302" s="390"/>
    </row>
    <row r="9303">
      <c r="A9303" s="390"/>
    </row>
    <row r="9304">
      <c r="A9304" s="390"/>
    </row>
    <row r="9305">
      <c r="A9305" s="390"/>
    </row>
    <row r="9306">
      <c r="A9306" s="390"/>
    </row>
    <row r="9307">
      <c r="A9307" s="390"/>
    </row>
    <row r="9308">
      <c r="A9308" s="390"/>
    </row>
    <row r="9309">
      <c r="A9309" s="390"/>
    </row>
    <row r="9310">
      <c r="A9310" s="390"/>
    </row>
    <row r="9311">
      <c r="A9311" s="390"/>
    </row>
    <row r="9312">
      <c r="A9312" s="390"/>
    </row>
    <row r="9313">
      <c r="A9313" s="390"/>
    </row>
    <row r="9314">
      <c r="A9314" s="390"/>
    </row>
    <row r="9315">
      <c r="A9315" s="390"/>
    </row>
    <row r="9316">
      <c r="A9316" s="390"/>
    </row>
    <row r="9317">
      <c r="A9317" s="390"/>
    </row>
    <row r="9318">
      <c r="A9318" s="390"/>
    </row>
    <row r="9319">
      <c r="A9319" s="390"/>
    </row>
    <row r="9320">
      <c r="A9320" s="390"/>
    </row>
    <row r="9321">
      <c r="A9321" s="390"/>
    </row>
    <row r="9322">
      <c r="A9322" s="390"/>
    </row>
    <row r="9323">
      <c r="A9323" s="390"/>
    </row>
    <row r="9324">
      <c r="A9324" s="390"/>
    </row>
    <row r="9325">
      <c r="A9325" s="390"/>
    </row>
    <row r="9326">
      <c r="A9326" s="390"/>
    </row>
    <row r="9327">
      <c r="A9327" s="390"/>
    </row>
    <row r="9328">
      <c r="A9328" s="390"/>
    </row>
    <row r="9329">
      <c r="A9329" s="390"/>
    </row>
    <row r="9330">
      <c r="A9330" s="390"/>
    </row>
    <row r="9331">
      <c r="A9331" s="390"/>
    </row>
    <row r="9332">
      <c r="A9332" s="390"/>
    </row>
    <row r="9333">
      <c r="A9333" s="390"/>
    </row>
    <row r="9334">
      <c r="A9334" s="390"/>
    </row>
    <row r="9335">
      <c r="A9335" s="390"/>
    </row>
    <row r="9336">
      <c r="A9336" s="390"/>
    </row>
    <row r="9337">
      <c r="A9337" s="390"/>
    </row>
    <row r="9338">
      <c r="A9338" s="390"/>
    </row>
    <row r="9339">
      <c r="A9339" s="390"/>
    </row>
    <row r="9340">
      <c r="A9340" s="390"/>
    </row>
    <row r="9341">
      <c r="A9341" s="390"/>
    </row>
    <row r="9342">
      <c r="A9342" s="390"/>
    </row>
    <row r="9343">
      <c r="A9343" s="390"/>
    </row>
    <row r="9344">
      <c r="A9344" s="390"/>
    </row>
    <row r="9345">
      <c r="A9345" s="390"/>
    </row>
    <row r="9346">
      <c r="A9346" s="390"/>
    </row>
    <row r="9347">
      <c r="A9347" s="390"/>
    </row>
    <row r="9348">
      <c r="A9348" s="390"/>
    </row>
    <row r="9349">
      <c r="A9349" s="390"/>
    </row>
    <row r="9350">
      <c r="A9350" s="390"/>
    </row>
    <row r="9351">
      <c r="A9351" s="390"/>
    </row>
    <row r="9352">
      <c r="A9352" s="390"/>
    </row>
    <row r="9353">
      <c r="A9353" s="390"/>
    </row>
    <row r="9354">
      <c r="A9354" s="390"/>
    </row>
    <row r="9355">
      <c r="A9355" s="390"/>
    </row>
    <row r="9356">
      <c r="A9356" s="390"/>
    </row>
    <row r="9357">
      <c r="A9357" s="390"/>
    </row>
    <row r="9358">
      <c r="A9358" s="390"/>
    </row>
    <row r="9359">
      <c r="A9359" s="390"/>
    </row>
    <row r="9360">
      <c r="A9360" s="390"/>
    </row>
    <row r="9361">
      <c r="A9361" s="390"/>
    </row>
    <row r="9362">
      <c r="A9362" s="390"/>
    </row>
    <row r="9363">
      <c r="A9363" s="390"/>
    </row>
    <row r="9364">
      <c r="A9364" s="390"/>
    </row>
    <row r="9365">
      <c r="A9365" s="390"/>
    </row>
    <row r="9366">
      <c r="A9366" s="390"/>
    </row>
    <row r="9367">
      <c r="A9367" s="390"/>
    </row>
    <row r="9368">
      <c r="A9368" s="390"/>
    </row>
    <row r="9369">
      <c r="A9369" s="390"/>
    </row>
    <row r="9370">
      <c r="A9370" s="390"/>
    </row>
    <row r="9371">
      <c r="A9371" s="390"/>
    </row>
    <row r="9372">
      <c r="A9372" s="390"/>
    </row>
    <row r="9373">
      <c r="A9373" s="390"/>
    </row>
    <row r="9374">
      <c r="A9374" s="390"/>
    </row>
    <row r="9375">
      <c r="A9375" s="390"/>
    </row>
    <row r="9376">
      <c r="A9376" s="390"/>
    </row>
    <row r="9377">
      <c r="A9377" s="390"/>
    </row>
    <row r="9378">
      <c r="A9378" s="390"/>
    </row>
    <row r="9379">
      <c r="A9379" s="390"/>
    </row>
    <row r="9380">
      <c r="A9380" s="390"/>
    </row>
    <row r="9381">
      <c r="A9381" s="390"/>
    </row>
    <row r="9382">
      <c r="A9382" s="390"/>
    </row>
    <row r="9383">
      <c r="A9383" s="390"/>
    </row>
    <row r="9384">
      <c r="A9384" s="390"/>
    </row>
    <row r="9385">
      <c r="A9385" s="390"/>
    </row>
    <row r="9386">
      <c r="A9386" s="390"/>
    </row>
    <row r="9387">
      <c r="A9387" s="390"/>
    </row>
    <row r="9388">
      <c r="A9388" s="390"/>
    </row>
    <row r="9389">
      <c r="A9389" s="390"/>
    </row>
    <row r="9390">
      <c r="A9390" s="390"/>
    </row>
    <row r="9391">
      <c r="A9391" s="390"/>
    </row>
    <row r="9392">
      <c r="A9392" s="390"/>
    </row>
    <row r="9393">
      <c r="A9393" s="390"/>
    </row>
    <row r="9394">
      <c r="A9394" s="390"/>
    </row>
    <row r="9395">
      <c r="A9395" s="390"/>
    </row>
    <row r="9396">
      <c r="A9396" s="390"/>
    </row>
    <row r="9397">
      <c r="A9397" s="390"/>
    </row>
    <row r="9398">
      <c r="A9398" s="390"/>
    </row>
    <row r="9399">
      <c r="A9399" s="390"/>
    </row>
    <row r="9400">
      <c r="A9400" s="390"/>
    </row>
    <row r="9401">
      <c r="A9401" s="390"/>
    </row>
    <row r="9402">
      <c r="A9402" s="390"/>
    </row>
    <row r="9403">
      <c r="A9403" s="390"/>
    </row>
    <row r="9404">
      <c r="A9404" s="390"/>
    </row>
    <row r="9405">
      <c r="A9405" s="390"/>
    </row>
    <row r="9406">
      <c r="A9406" s="390"/>
    </row>
    <row r="9407">
      <c r="A9407" s="390"/>
    </row>
    <row r="9408">
      <c r="A9408" s="390"/>
    </row>
    <row r="9409">
      <c r="A9409" s="390"/>
    </row>
    <row r="9410">
      <c r="A9410" s="390"/>
    </row>
    <row r="9411">
      <c r="A9411" s="390"/>
    </row>
    <row r="9412">
      <c r="A9412" s="390"/>
    </row>
    <row r="9413">
      <c r="A9413" s="390"/>
    </row>
    <row r="9414">
      <c r="A9414" s="390"/>
    </row>
    <row r="9415">
      <c r="A9415" s="390"/>
    </row>
    <row r="9416">
      <c r="A9416" s="390"/>
    </row>
    <row r="9417">
      <c r="A9417" s="390"/>
    </row>
    <row r="9418">
      <c r="A9418" s="390"/>
    </row>
    <row r="9419">
      <c r="A9419" s="390"/>
    </row>
    <row r="9420">
      <c r="A9420" s="390"/>
    </row>
    <row r="9421">
      <c r="A9421" s="390"/>
    </row>
    <row r="9422">
      <c r="A9422" s="390"/>
    </row>
    <row r="9423">
      <c r="A9423" s="390"/>
    </row>
    <row r="9424">
      <c r="A9424" s="390"/>
    </row>
    <row r="9425">
      <c r="A9425" s="390"/>
    </row>
    <row r="9426">
      <c r="A9426" s="390"/>
    </row>
    <row r="9427">
      <c r="A9427" s="390"/>
    </row>
    <row r="9428">
      <c r="A9428" s="390"/>
    </row>
    <row r="9429">
      <c r="A9429" s="390"/>
    </row>
    <row r="9430">
      <c r="A9430" s="390"/>
    </row>
    <row r="9431">
      <c r="A9431" s="390"/>
    </row>
    <row r="9432">
      <c r="A9432" s="390"/>
    </row>
    <row r="9433">
      <c r="A9433" s="390"/>
    </row>
    <row r="9434">
      <c r="A9434" s="390"/>
    </row>
    <row r="9435">
      <c r="A9435" s="390"/>
    </row>
    <row r="9436">
      <c r="A9436" s="390"/>
    </row>
    <row r="9437">
      <c r="A9437" s="390"/>
    </row>
    <row r="9438">
      <c r="A9438" s="390"/>
    </row>
    <row r="9439">
      <c r="A9439" s="390"/>
    </row>
    <row r="9440">
      <c r="A9440" s="390"/>
    </row>
    <row r="9441">
      <c r="A9441" s="390"/>
    </row>
    <row r="9442">
      <c r="A9442" s="390"/>
    </row>
    <row r="9443">
      <c r="A9443" s="390"/>
    </row>
    <row r="9444">
      <c r="A9444" s="390"/>
    </row>
    <row r="9445">
      <c r="A9445" s="390"/>
    </row>
    <row r="9446">
      <c r="A9446" s="390"/>
    </row>
    <row r="9447">
      <c r="A9447" s="390"/>
    </row>
    <row r="9448">
      <c r="A9448" s="390"/>
    </row>
    <row r="9449">
      <c r="A9449" s="390"/>
    </row>
    <row r="9450">
      <c r="A9450" s="390"/>
    </row>
    <row r="9451">
      <c r="A9451" s="390"/>
    </row>
    <row r="9452">
      <c r="A9452" s="390"/>
    </row>
    <row r="9453">
      <c r="A9453" s="390"/>
    </row>
    <row r="9454">
      <c r="A9454" s="390"/>
    </row>
    <row r="9455">
      <c r="A9455" s="390"/>
    </row>
    <row r="9456">
      <c r="A9456" s="390"/>
    </row>
    <row r="9457">
      <c r="A9457" s="390"/>
    </row>
    <row r="9458">
      <c r="A9458" s="390"/>
    </row>
    <row r="9459">
      <c r="A9459" s="390"/>
    </row>
    <row r="9460">
      <c r="A9460" s="390"/>
    </row>
    <row r="9461">
      <c r="A9461" s="390"/>
    </row>
    <row r="9462">
      <c r="A9462" s="390"/>
    </row>
    <row r="9463">
      <c r="A9463" s="390"/>
    </row>
    <row r="9464">
      <c r="A9464" s="390"/>
    </row>
    <row r="9465">
      <c r="A9465" s="390"/>
    </row>
    <row r="9466">
      <c r="A9466" s="390"/>
    </row>
    <row r="9467">
      <c r="A9467" s="390"/>
    </row>
    <row r="9468">
      <c r="A9468" s="390"/>
    </row>
    <row r="9469">
      <c r="A9469" s="390"/>
    </row>
    <row r="9470">
      <c r="A9470" s="390"/>
    </row>
    <row r="9471">
      <c r="A9471" s="390"/>
    </row>
    <row r="9472">
      <c r="A9472" s="390"/>
    </row>
    <row r="9473">
      <c r="A9473" s="390"/>
    </row>
    <row r="9474">
      <c r="A9474" s="390"/>
    </row>
    <row r="9475">
      <c r="A9475" s="390"/>
    </row>
    <row r="9476">
      <c r="A9476" s="390"/>
    </row>
    <row r="9477">
      <c r="A9477" s="390"/>
    </row>
    <row r="9478">
      <c r="A9478" s="390"/>
    </row>
    <row r="9479">
      <c r="A9479" s="390"/>
    </row>
    <row r="9480">
      <c r="A9480" s="390"/>
    </row>
    <row r="9481">
      <c r="A9481" s="390"/>
    </row>
    <row r="9482">
      <c r="A9482" s="390"/>
    </row>
    <row r="9483">
      <c r="A9483" s="390"/>
    </row>
    <row r="9484">
      <c r="A9484" s="390"/>
    </row>
    <row r="9485">
      <c r="A9485" s="390"/>
    </row>
    <row r="9486">
      <c r="A9486" s="390"/>
    </row>
    <row r="9487">
      <c r="A9487" s="390"/>
    </row>
    <row r="9488">
      <c r="A9488" s="390"/>
    </row>
    <row r="9489">
      <c r="A9489" s="390"/>
    </row>
    <row r="9490">
      <c r="A9490" s="390"/>
    </row>
    <row r="9491">
      <c r="A9491" s="390"/>
    </row>
    <row r="9492">
      <c r="A9492" s="390"/>
    </row>
    <row r="9493">
      <c r="A9493" s="390"/>
    </row>
    <row r="9494">
      <c r="A9494" s="390"/>
    </row>
    <row r="9495">
      <c r="A9495" s="390"/>
    </row>
    <row r="9496">
      <c r="A9496" s="390"/>
    </row>
    <row r="9497">
      <c r="A9497" s="390"/>
    </row>
    <row r="9498">
      <c r="A9498" s="390"/>
    </row>
    <row r="9499">
      <c r="A9499" s="390"/>
    </row>
    <row r="9500">
      <c r="A9500" s="390"/>
    </row>
    <row r="9501">
      <c r="A9501" s="390"/>
    </row>
    <row r="9502">
      <c r="A9502" s="390"/>
    </row>
    <row r="9503">
      <c r="A9503" s="390"/>
    </row>
    <row r="9504">
      <c r="A9504" s="390"/>
    </row>
    <row r="9505">
      <c r="A9505" s="390"/>
    </row>
    <row r="9506">
      <c r="A9506" s="390"/>
    </row>
    <row r="9507">
      <c r="A9507" s="390"/>
    </row>
    <row r="9508">
      <c r="A9508" s="390"/>
    </row>
    <row r="9509">
      <c r="A9509" s="390"/>
    </row>
    <row r="9510">
      <c r="A9510" s="390"/>
    </row>
    <row r="9511">
      <c r="A9511" s="390"/>
    </row>
    <row r="9512">
      <c r="A9512" s="390"/>
    </row>
    <row r="9513">
      <c r="A9513" s="390"/>
    </row>
    <row r="9514">
      <c r="A9514" s="390"/>
    </row>
    <row r="9515">
      <c r="A9515" s="390"/>
    </row>
    <row r="9516">
      <c r="A9516" s="390"/>
    </row>
    <row r="9517">
      <c r="A9517" s="390"/>
    </row>
    <row r="9518">
      <c r="A9518" s="390"/>
    </row>
    <row r="9519">
      <c r="A9519" s="390"/>
    </row>
    <row r="9520">
      <c r="A9520" s="390"/>
    </row>
    <row r="9521">
      <c r="A9521" s="390"/>
    </row>
    <row r="9522">
      <c r="A9522" s="390"/>
    </row>
    <row r="9523">
      <c r="A9523" s="390"/>
    </row>
    <row r="9524">
      <c r="A9524" s="390"/>
    </row>
    <row r="9525">
      <c r="A9525" s="390"/>
    </row>
    <row r="9526">
      <c r="A9526" s="390"/>
    </row>
    <row r="9527">
      <c r="A9527" s="390"/>
    </row>
    <row r="9528">
      <c r="A9528" s="390"/>
    </row>
    <row r="9529">
      <c r="A9529" s="390"/>
    </row>
    <row r="9530">
      <c r="A9530" s="390"/>
    </row>
    <row r="9531">
      <c r="A9531" s="390"/>
    </row>
    <row r="9532">
      <c r="A9532" s="390"/>
    </row>
    <row r="9533">
      <c r="A9533" s="390"/>
    </row>
    <row r="9534">
      <c r="A9534" s="390"/>
    </row>
    <row r="9535">
      <c r="A9535" s="390"/>
    </row>
    <row r="9536">
      <c r="A9536" s="390"/>
    </row>
    <row r="9537">
      <c r="A9537" s="390"/>
    </row>
    <row r="9538">
      <c r="A9538" s="390"/>
    </row>
    <row r="9539">
      <c r="A9539" s="390"/>
    </row>
    <row r="9540">
      <c r="A9540" s="390"/>
    </row>
    <row r="9541">
      <c r="A9541" s="390"/>
    </row>
    <row r="9542">
      <c r="A9542" s="390"/>
    </row>
    <row r="9543">
      <c r="A9543" s="390"/>
    </row>
    <row r="9544">
      <c r="A9544" s="390"/>
    </row>
    <row r="9545">
      <c r="A9545" s="390"/>
    </row>
    <row r="9546">
      <c r="A9546" s="390"/>
    </row>
    <row r="9547">
      <c r="A9547" s="390"/>
    </row>
    <row r="9548">
      <c r="A9548" s="390"/>
    </row>
    <row r="9549">
      <c r="A9549" s="390"/>
    </row>
    <row r="9550">
      <c r="A9550" s="390"/>
    </row>
    <row r="9551">
      <c r="A9551" s="390"/>
    </row>
    <row r="9552">
      <c r="A9552" s="390"/>
    </row>
    <row r="9553">
      <c r="A9553" s="390"/>
    </row>
    <row r="9554">
      <c r="A9554" s="390"/>
    </row>
    <row r="9555">
      <c r="A9555" s="390"/>
    </row>
    <row r="9556">
      <c r="A9556" s="390"/>
    </row>
    <row r="9557">
      <c r="A9557" s="390"/>
    </row>
    <row r="9558">
      <c r="A9558" s="390"/>
    </row>
    <row r="9559">
      <c r="A9559" s="390"/>
    </row>
    <row r="9560">
      <c r="A9560" s="390"/>
    </row>
    <row r="9561">
      <c r="A9561" s="390"/>
    </row>
    <row r="9562">
      <c r="A9562" s="390"/>
    </row>
    <row r="9563">
      <c r="A9563" s="390"/>
    </row>
    <row r="9564">
      <c r="A9564" s="390"/>
    </row>
    <row r="9565">
      <c r="A9565" s="390"/>
    </row>
    <row r="9566">
      <c r="A9566" s="390"/>
    </row>
    <row r="9567">
      <c r="A9567" s="390"/>
    </row>
    <row r="9568">
      <c r="A9568" s="390"/>
    </row>
    <row r="9569">
      <c r="A9569" s="390"/>
    </row>
    <row r="9570">
      <c r="A9570" s="390"/>
    </row>
    <row r="9571">
      <c r="A9571" s="390"/>
    </row>
    <row r="9572">
      <c r="A9572" s="390"/>
    </row>
    <row r="9573">
      <c r="A9573" s="390"/>
    </row>
    <row r="9574">
      <c r="A9574" s="390"/>
    </row>
    <row r="9575">
      <c r="A9575" s="390"/>
    </row>
    <row r="9576">
      <c r="A9576" s="390"/>
    </row>
    <row r="9577">
      <c r="A9577" s="390"/>
    </row>
    <row r="9578">
      <c r="A9578" s="390"/>
    </row>
    <row r="9579">
      <c r="A9579" s="390"/>
    </row>
    <row r="9580">
      <c r="A9580" s="390"/>
    </row>
    <row r="9581">
      <c r="A9581" s="390"/>
    </row>
    <row r="9582">
      <c r="A9582" s="390"/>
    </row>
    <row r="9583">
      <c r="A9583" s="390"/>
    </row>
    <row r="9584">
      <c r="A9584" s="390"/>
    </row>
    <row r="9585">
      <c r="A9585" s="390"/>
    </row>
    <row r="9586">
      <c r="A9586" s="390"/>
    </row>
    <row r="9587">
      <c r="A9587" s="390"/>
    </row>
    <row r="9588">
      <c r="A9588" s="390"/>
    </row>
    <row r="9589">
      <c r="A9589" s="390"/>
    </row>
    <row r="9590">
      <c r="A9590" s="390"/>
    </row>
    <row r="9591">
      <c r="A9591" s="390"/>
    </row>
    <row r="9592">
      <c r="A9592" s="390"/>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workbookViewId="0"/>
  </sheetViews>
  <sheetFormatPr customHeight="1" defaultColWidth="12.63" defaultRowHeight="15.75"/>
  <cols>
    <col customWidth="1" min="1" max="1" width="116.88"/>
  </cols>
  <sheetData>
    <row r="1" ht="39.75" customHeight="1">
      <c r="A1" s="391" t="str">
        <f>IFERROR(__xludf.DUMMYFUNCTION("IMPORTRANGE(""https://docs.google.com/spreadsheets/d/12ZODpp63dHkgmzdIvU1HtAWZ5By5Sv_l-XxH8dKK0hQ/edit"", ""ALUNOS X CURSO -Simple!I:I"")
"),"Dados Completos ")</f>
        <v>Dados Completos </v>
      </c>
    </row>
    <row r="2">
      <c r="A2" s="390" t="str">
        <f>IFERROR(__xludf.DUMMYFUNCTION("""COMPUTED_VALUE"""),"Evandro dos Santos Carlos - #SLCBA - Segunda Licenciatura em Ciências Biológicas")</f>
        <v>Evandro dos Santos Carlos - #SLCBA - Segunda Licenciatura em Ciências Biológicas</v>
      </c>
    </row>
    <row r="3">
      <c r="A3" s="390" t="str">
        <f>IFERROR(__xludf.DUMMYFUNCTION("""COMPUTED_VALUE"""),"Evandro dos Santos Carlos - #SLEEF- Segunda Licenciatura Educação Física")</f>
        <v>Evandro dos Santos Carlos - #SLEEF- Segunda Licenciatura Educação Física</v>
      </c>
    </row>
    <row r="4">
      <c r="A4" s="390" t="str">
        <f>IFERROR(__xludf.DUMMYFUNCTION("""COMPUTED_VALUE"""),"Evandro dos Santos Carlos - Bacharelado em Psicopedagogia")</f>
        <v>Evandro dos Santos Carlos - Bacharelado em Psicopedagogia</v>
      </c>
    </row>
    <row r="5">
      <c r="A5" s="390" t="str">
        <f>IFERROR(__xludf.DUMMYFUNCTION("""COMPUTED_VALUE"""),"Evandro dos Santos Carlos - Pós-Graduação em TDAH – Transtorno do Déficit de Atenção e Hiperatividade")</f>
        <v>Evandro dos Santos Carlos - Pós-Graduação em TDAH – Transtorno do Déficit de Atenção e Hiperatividade</v>
      </c>
    </row>
    <row r="6">
      <c r="A6" s="390" t="str">
        <f>IFERROR(__xludf.DUMMYFUNCTION("""COMPUTED_VALUE"""),"Evandro dos Santos Carlos - #SLUEF - Segunda Licenciatura em Educação Física")</f>
        <v>Evandro dos Santos Carlos - #SLUEF - Segunda Licenciatura em Educação Física</v>
      </c>
    </row>
    <row r="7">
      <c r="A7" s="390" t="str">
        <f>IFERROR(__xludf.DUMMYFUNCTION("""COMPUTED_VALUE"""),"Evandro dos Santos Carlos - Pós-Graduação em TDAH – Transtorno do Déficit de Atenção e Hiperatividade")</f>
        <v>Evandro dos Santos Carlos - Pós-Graduação em TDAH – Transtorno do Déficit de Atenção e Hiperatividade</v>
      </c>
    </row>
    <row r="8">
      <c r="A8" s="390" t="str">
        <f>IFERROR(__xludf.DUMMYFUNCTION("""COMPUTED_VALUE"""),"Evandro dos Santos Carlos - #SLUEE - SEGUNDA LICENCIATURA EM EDUCAÇÃO ESPECIAL")</f>
        <v>Evandro dos Santos Carlos - #SLUEE - SEGUNDA LICENCIATURA EM EDUCAÇÃO ESPECIAL</v>
      </c>
    </row>
    <row r="9">
      <c r="A9" s="390" t="str">
        <f>IFERROR(__xludf.DUMMYFUNCTION("""COMPUTED_VALUE"""),"Fernanda de Araujo Moraes Massari - #SLLPA - Segunda Licenciatura Letras - Português")</f>
        <v>Fernanda de Araujo Moraes Massari - #SLLPA - Segunda Licenciatura Letras - Português</v>
      </c>
    </row>
    <row r="10">
      <c r="A10" s="390" t="str">
        <f>IFERROR(__xludf.DUMMYFUNCTION("""COMPUTED_VALUE"""),"Ênio Chrystian Goulart de Oliveira - #SLFA - Segunda Licenciatura em Física")</f>
        <v>Ênio Chrystian Goulart de Oliveira - #SLFA - Segunda Licenciatura em Física</v>
      </c>
    </row>
    <row r="11">
      <c r="A11" s="390" t="str">
        <f>IFERROR(__xludf.DUMMYFUNCTION("""COMPUTED_VALUE"""),"Ênio Chrystian Goulart de Oliveira - Práticas Pedagógicas")</f>
        <v>Ênio Chrystian Goulart de Oliveira - Práticas Pedagógicas</v>
      </c>
    </row>
    <row r="12">
      <c r="A12" s="390" t="str">
        <f>IFERROR(__xludf.DUMMYFUNCTION("""COMPUTED_VALUE"""),"Ênio Richard Goulart de Oliveira - #FPEEF- Formação Pedagógica Educação Física")</f>
        <v>Ênio Richard Goulart de Oliveira - #FPEEF- Formação Pedagógica Educação Física</v>
      </c>
    </row>
    <row r="13">
      <c r="A13" s="390" t="str">
        <f>IFERROR(__xludf.DUMMYFUNCTION("""COMPUTED_VALUE"""),"Ênio Richard Goulart de Oliveira - Pós-Graduação em Nutrição Esportiva")</f>
        <v>Ênio Richard Goulart de Oliveira - Pós-Graduação em Nutrição Esportiva</v>
      </c>
    </row>
    <row r="14">
      <c r="A14" s="390" t="str">
        <f>IFERROR(__xludf.DUMMYFUNCTION("""COMPUTED_VALUE"""),"Elisangela dos Santos Teixeira - #SLUEE - SEGUNDA LICENCIATURA EM EDUCAÇÃO ESPECIAL")</f>
        <v>Elisangela dos Santos Teixeira - #SLUEE - SEGUNDA LICENCIATURA EM EDUCAÇÃO ESPECIAL</v>
      </c>
    </row>
    <row r="15">
      <c r="A15" s="390" t="str">
        <f>IFERROR(__xludf.DUMMYFUNCTION("""COMPUTED_VALUE"""),"Elisangela dos Santos Teixeira - #SLEEA - Segunda Licenciatura em Educação Especial")</f>
        <v>Elisangela dos Santos Teixeira - #SLEEA - Segunda Licenciatura em Educação Especial</v>
      </c>
    </row>
    <row r="16">
      <c r="A16" s="390" t="str">
        <f>IFERROR(__xludf.DUMMYFUNCTION("""COMPUTED_VALUE"""),"Julia Lopes Munhoz - #SLQA - Segunda Licenciatura em Química")</f>
        <v>Julia Lopes Munhoz - #SLQA - Segunda Licenciatura em Química</v>
      </c>
    </row>
    <row r="17">
      <c r="A17" s="390" t="str">
        <f>IFERROR(__xludf.DUMMYFUNCTION("""COMPUTED_VALUE"""),"João Alexandre da Silva Almeida Canuto - #SLQA - Segunda Licenciatura em Química")</f>
        <v>João Alexandre da Silva Almeida Canuto - #SLQA - Segunda Licenciatura em Química</v>
      </c>
    </row>
    <row r="18">
      <c r="A18" s="390" t="str">
        <f>IFERROR(__xludf.DUMMYFUNCTION("""COMPUTED_VALUE"""),"João Alexandre da Silva Almeida Canuto - Pós-Graduação em Neuropsicopedagogia Clínica e Institucional")</f>
        <v>João Alexandre da Silva Almeida Canuto - Pós-Graduação em Neuropsicopedagogia Clínica e Institucional</v>
      </c>
    </row>
    <row r="19">
      <c r="A19" s="390" t="str">
        <f>IFERROR(__xludf.DUMMYFUNCTION("""COMPUTED_VALUE"""),"Nangis Liedke Bernardes dos Santos - #SLGA - Segunda Licenciatura em Geografia")</f>
        <v>Nangis Liedke Bernardes dos Santos - #SLGA - Segunda Licenciatura em Geografia</v>
      </c>
    </row>
    <row r="20">
      <c r="A20" s="390" t="str">
        <f>IFERROR(__xludf.DUMMYFUNCTION("""COMPUTED_VALUE"""),"Ênio Filipe Goulart de Oliveira - #SLCSA - Segunda Licenciatura em Ciências Sociais")</f>
        <v>Ênio Filipe Goulart de Oliveira - #SLCSA - Segunda Licenciatura em Ciências Sociais</v>
      </c>
    </row>
    <row r="21">
      <c r="A21" s="390" t="str">
        <f>IFERROR(__xludf.DUMMYFUNCTION("""COMPUTED_VALUE"""),"Reginaldo Nonato dos Santos - Formação Pedagógica em Filosofia")</f>
        <v>Reginaldo Nonato dos Santos - Formação Pedagógica em Filosofia</v>
      </c>
    </row>
    <row r="22">
      <c r="A22" s="390" t="str">
        <f>IFERROR(__xludf.DUMMYFUNCTION("""COMPUTED_VALUE"""),"RODRIGO MAIA SILVESTRE - Formação Pedagogica em Geografia")</f>
        <v>RODRIGO MAIA SILVESTRE - Formação Pedagogica em Geografia</v>
      </c>
    </row>
    <row r="23">
      <c r="A23" s="390" t="str">
        <f>IFERROR(__xludf.DUMMYFUNCTION("""COMPUTED_VALUE"""),"RODRIGO MAIA SILVESTRE - #FPEEF- Formação Pedagógica Educação Física")</f>
        <v>RODRIGO MAIA SILVESTRE - #FPEEF- Formação Pedagógica Educação Física</v>
      </c>
    </row>
    <row r="24">
      <c r="A24" s="390" t="str">
        <f>IFERROR(__xludf.DUMMYFUNCTION("""COMPUTED_VALUE"""),"Álifer Cristian Ribeiro - #SLCBA - Segunda Licenciatura em Ciências Biológicas")</f>
        <v>Álifer Cristian Ribeiro - #SLCBA - Segunda Licenciatura em Ciências Biológicas</v>
      </c>
    </row>
    <row r="25">
      <c r="A25" s="390" t="str">
        <f>IFERROR(__xludf.DUMMYFUNCTION("""COMPUTED_VALUE"""),"Kely Cristina Ferreira - #FPEEF- Formação Pedagógica Educação Física")</f>
        <v>Kely Cristina Ferreira - #FPEEF- Formação Pedagógica Educação Física</v>
      </c>
    </row>
    <row r="26">
      <c r="A26" s="390" t="str">
        <f>IFERROR(__xludf.DUMMYFUNCTION("""COMPUTED_VALUE"""),"Kivia Cristina Menezes de Medeiros - #SLGA - Segunda Licenciatura em Geografia")</f>
        <v>Kivia Cristina Menezes de Medeiros - #SLGA - Segunda Licenciatura em Geografia</v>
      </c>
    </row>
    <row r="27">
      <c r="A27" s="390" t="str">
        <f>IFERROR(__xludf.DUMMYFUNCTION("""COMPUTED_VALUE"""),"Elias Junior Ribeiro - Formação Pedagógica em Ciências Sociais")</f>
        <v>Elias Junior Ribeiro - Formação Pedagógica em Ciências Sociais</v>
      </c>
    </row>
    <row r="28">
      <c r="A28" s="390" t="str">
        <f>IFERROR(__xludf.DUMMYFUNCTION("""COMPUTED_VALUE"""),"SIDNEY DE SOUZA CUNHA - Formação Pedagógica em Física")</f>
        <v>SIDNEY DE SOUZA CUNHA - Formação Pedagógica em Física</v>
      </c>
    </row>
    <row r="29">
      <c r="A29" s="390" t="str">
        <f>IFERROR(__xludf.DUMMYFUNCTION("""COMPUTED_VALUE"""),"Arnaldo Barros dos Santos - Formação Pedagogica em Geografia")</f>
        <v>Arnaldo Barros dos Santos - Formação Pedagogica em Geografia</v>
      </c>
    </row>
    <row r="30">
      <c r="A30" s="390" t="str">
        <f>IFERROR(__xludf.DUMMYFUNCTION("""COMPUTED_VALUE"""),"Luciana Schmidt - Formação pedagógica Letras - Português")</f>
        <v>Luciana Schmidt - Formação pedagógica Letras - Português</v>
      </c>
    </row>
    <row r="31">
      <c r="A31" s="390" t="str">
        <f>IFERROR(__xludf.DUMMYFUNCTION("""COMPUTED_VALUE"""),"Luciana Schmidt - #FPUP-FORMAÇÃO PEDAGÓGICA EM PEDAGOGIA- U")</f>
        <v>Luciana Schmidt - #FPUP-FORMAÇÃO PEDAGÓGICA EM PEDAGOGIA- U</v>
      </c>
    </row>
    <row r="32">
      <c r="A32" s="390" t="str">
        <f>IFERROR(__xludf.DUMMYFUNCTION("""COMPUTED_VALUE"""),"Luciana Schmidt - Pós-Graduação em Administração Pública")</f>
        <v>Luciana Schmidt - Pós-Graduação em Administração Pública</v>
      </c>
    </row>
    <row r="33">
      <c r="A33" s="390" t="str">
        <f>IFERROR(__xludf.DUMMYFUNCTION("""COMPUTED_VALUE"""),"Felipe Rodrigues Borges - #SLSEA - Segunda Licenciatura Letras - Espanhol")</f>
        <v>Felipe Rodrigues Borges - #SLSEA - Segunda Licenciatura Letras - Espanhol</v>
      </c>
    </row>
    <row r="34">
      <c r="A34" s="390" t="str">
        <f>IFERROR(__xludf.DUMMYFUNCTION("""COMPUTED_VALUE"""),"Felipe Rodrigues Borges - #SLAA - Segunda Licenciatura em Artes Visuais")</f>
        <v>Felipe Rodrigues Borges - #SLAA - Segunda Licenciatura em Artes Visuais</v>
      </c>
    </row>
    <row r="35">
      <c r="A35" s="390" t="str">
        <f>IFERROR(__xludf.DUMMYFUNCTION("""COMPUTED_VALUE"""),"Teresa Cristina Hersen Monteiro - Formação Pedagógica em Artes Visuais")</f>
        <v>Teresa Cristina Hersen Monteiro - Formação Pedagógica em Artes Visuais</v>
      </c>
    </row>
    <row r="36">
      <c r="A36" s="390" t="str">
        <f>IFERROR(__xludf.DUMMYFUNCTION("""COMPUTED_VALUE"""),"Leonara Oliveira Barbosa - #SLLPA - Segunda Licenciatura Letras - Português")</f>
        <v>Leonara Oliveira Barbosa - #SLLPA - Segunda Licenciatura Letras - Português</v>
      </c>
    </row>
    <row r="37">
      <c r="A37" s="390" t="str">
        <f>IFERROR(__xludf.DUMMYFUNCTION("""COMPUTED_VALUE"""),"Tatiane Tamires de Oliveira Cunha Pereira - #SLEEA - Segunda Licenciatura em Educação Especial")</f>
        <v>Tatiane Tamires de Oliveira Cunha Pereira - #SLEEA - Segunda Licenciatura em Educação Especial</v>
      </c>
    </row>
    <row r="38">
      <c r="A38" s="390" t="str">
        <f>IFERROR(__xludf.DUMMYFUNCTION("""COMPUTED_VALUE"""),"Milva Maria de Souza Moriya - #SLLPA - Segunda Licenciatura Letras - Português")</f>
        <v>Milva Maria de Souza Moriya - #SLLPA - Segunda Licenciatura Letras - Português</v>
      </c>
    </row>
    <row r="39">
      <c r="A39" s="390" t="str">
        <f>IFERROR(__xludf.DUMMYFUNCTION("""COMPUTED_VALUE"""),"Adriano Ferreira Sandaniel - #SLCBA - Segunda Licenciatura em Ciências Biológicas")</f>
        <v>Adriano Ferreira Sandaniel - #SLCBA - Segunda Licenciatura em Ciências Biológicas</v>
      </c>
    </row>
    <row r="40">
      <c r="A40" s="390" t="str">
        <f>IFERROR(__xludf.DUMMYFUNCTION("""COMPUTED_VALUE"""),"Daniel Frederico Fagundes De Lima Andrade - Formação Pedagógica em Ciências Sociais")</f>
        <v>Daniel Frederico Fagundes De Lima Andrade - Formação Pedagógica em Ciências Sociais</v>
      </c>
    </row>
    <row r="41">
      <c r="A41" s="390" t="str">
        <f>IFERROR(__xludf.DUMMYFUNCTION("""COMPUTED_VALUE"""),"Maria Gislene de Souza - Formação Pedagógica História")</f>
        <v>Maria Gislene de Souza - Formação Pedagógica História</v>
      </c>
    </row>
    <row r="42">
      <c r="A42" s="390" t="str">
        <f>IFERROR(__xludf.DUMMYFUNCTION("""COMPUTED_VALUE"""),"Glauce Ariane Dias Barbara - Formação Pedagógica em Ciências Sociais")</f>
        <v>Glauce Ariane Dias Barbara - Formação Pedagógica em Ciências Sociais</v>
      </c>
    </row>
    <row r="43">
      <c r="A43" s="390" t="str">
        <f>IFERROR(__xludf.DUMMYFUNCTION("""COMPUTED_VALUE"""),"Valéria Oliveira de Macedo - #SLCBA - Segunda Licenciatura em Ciências Biológicas")</f>
        <v>Valéria Oliveira de Macedo - #SLCBA - Segunda Licenciatura em Ciências Biológicas</v>
      </c>
    </row>
    <row r="44">
      <c r="A44" s="390" t="str">
        <f>IFERROR(__xludf.DUMMYFUNCTION("""COMPUTED_VALUE"""),"Raícza Victória Tricarico Ferreira Tancredo - #FPEEF- Formação Pedagógica Educação Física")</f>
        <v>Raícza Victória Tricarico Ferreira Tancredo - #FPEEF- Formação Pedagógica Educação Física</v>
      </c>
    </row>
    <row r="45">
      <c r="A45" s="390" t="str">
        <f>IFERROR(__xludf.DUMMYFUNCTION("""COMPUTED_VALUE"""),"Raícza Victória Tricarico Ferreira Tancredo - #FPMF- Formação Pedagógica em Música 1200Horas")</f>
        <v>Raícza Victória Tricarico Ferreira Tancredo - #FPMF- Formação Pedagógica em Música 1200Horas</v>
      </c>
    </row>
    <row r="46">
      <c r="A46" s="390" t="str">
        <f>IFERROR(__xludf.DUMMYFUNCTION("""COMPUTED_VALUE"""),"Raícza Victória Tricarico Ferreira Tancredo - #SLLPI- Segunda Licenciatura em Letras-Português/Inglês")</f>
        <v>Raícza Victória Tricarico Ferreira Tancredo - #SLLPI- Segunda Licenciatura em Letras-Português/Inglês</v>
      </c>
    </row>
    <row r="47">
      <c r="A47" s="390" t="str">
        <f>IFERROR(__xludf.DUMMYFUNCTION("""COMPUTED_VALUE"""),"Antonio Clesivan da Silva - #FPEEF- Formação Pedagógica Educação Física")</f>
        <v>Antonio Clesivan da Silva - #FPEEF- Formação Pedagógica Educação Física</v>
      </c>
    </row>
    <row r="48">
      <c r="A48" s="390" t="str">
        <f>IFERROR(__xludf.DUMMYFUNCTION("""COMPUTED_VALUE"""),"Aline Graziela Costa Rezende - #SLEEA - Segunda Licenciatura em Educação Especial")</f>
        <v>Aline Graziela Costa Rezende - #SLEEA - Segunda Licenciatura em Educação Especial</v>
      </c>
    </row>
    <row r="49">
      <c r="A49" s="390" t="str">
        <f>IFERROR(__xludf.DUMMYFUNCTION("""COMPUTED_VALUE"""),"Aline Graziela Costa Rezende - #SLEEA - Segunda Licenciatura em Educação Especial")</f>
        <v>Aline Graziela Costa Rezende - #SLEEA - Segunda Licenciatura em Educação Especial</v>
      </c>
    </row>
    <row r="50">
      <c r="A50" s="390" t="str">
        <f>IFERROR(__xludf.DUMMYFUNCTION("""COMPUTED_VALUE"""),"Matheus Bezerra do Nascimento - Formação Pedagógica em Artes Visuais")</f>
        <v>Matheus Bezerra do Nascimento - Formação Pedagógica em Artes Visuais</v>
      </c>
    </row>
    <row r="51">
      <c r="A51" s="390" t="str">
        <f>IFERROR(__xludf.DUMMYFUNCTION("""COMPUTED_VALUE"""),"Arelle Aparecida Abreu Azevedo Batista - Formação Pedagógica Letras - Libras")</f>
        <v>Arelle Aparecida Abreu Azevedo Batista - Formação Pedagógica Letras - Libras</v>
      </c>
    </row>
    <row r="52">
      <c r="A52" s="390" t="str">
        <f>IFERROR(__xludf.DUMMYFUNCTION("""COMPUTED_VALUE"""),"Aloisio João Scandolara - #SLMA - Segunda Licenciatura Matemática")</f>
        <v>Aloisio João Scandolara - #SLMA - Segunda Licenciatura Matemática</v>
      </c>
    </row>
    <row r="53">
      <c r="A53" s="390" t="str">
        <f>IFERROR(__xludf.DUMMYFUNCTION("""COMPUTED_VALUE"""),"Arelle Aparecida Abreu Azevedo Batista - Formação Pedagógica Letras - Libras")</f>
        <v>Arelle Aparecida Abreu Azevedo Batista - Formação Pedagógica Letras - Libras</v>
      </c>
    </row>
    <row r="54">
      <c r="A54" s="390" t="str">
        <f>IFERROR(__xludf.DUMMYFUNCTION("""COMPUTED_VALUE"""),"Arelle Aparecida Abreu Azevedo Batista - Formação Pedagógica Letras - Libras")</f>
        <v>Arelle Aparecida Abreu Azevedo Batista - Formação Pedagógica Letras - Libras</v>
      </c>
    </row>
    <row r="55">
      <c r="A55" s="390" t="str">
        <f>IFERROR(__xludf.DUMMYFUNCTION("""COMPUTED_VALUE"""),"Aline Graziela Costa Rezende - #SLEEA - Segunda Licenciatura em Educação Especial")</f>
        <v>Aline Graziela Costa Rezende - #SLEEA - Segunda Licenciatura em Educação Especial</v>
      </c>
    </row>
    <row r="56">
      <c r="A56" s="390" t="str">
        <f>IFERROR(__xludf.DUMMYFUNCTION("""COMPUTED_VALUE"""),"Rosana Gonçalves de Almeida - #SLCBA - Segunda Licenciatura em Ciências Biológicas")</f>
        <v>Rosana Gonçalves de Almeida - #SLCBA - Segunda Licenciatura em Ciências Biológicas</v>
      </c>
    </row>
    <row r="57">
      <c r="A57" s="390" t="str">
        <f>IFERROR(__xludf.DUMMYFUNCTION("""COMPUTED_VALUE"""),"JOSY MICHELLY FERREIRA DA COSTA NUNES - Formação Pedagógica em Educação Especial")</f>
        <v>JOSY MICHELLY FERREIRA DA COSTA NUNES - Formação Pedagógica em Educação Especial</v>
      </c>
    </row>
    <row r="58">
      <c r="A58" s="390" t="str">
        <f>IFERROR(__xludf.DUMMYFUNCTION("""COMPUTED_VALUE"""),"JOSY MICHELLY FERREIRA DA COSTA NUNES - Pós-Graduação em MBA em Gestão Pública")</f>
        <v>JOSY MICHELLY FERREIRA DA COSTA NUNES - Pós-Graduação em MBA em Gestão Pública</v>
      </c>
    </row>
    <row r="59">
      <c r="A59" s="390" t="str">
        <f>IFERROR(__xludf.DUMMYFUNCTION("""COMPUTED_VALUE"""),"JOSY MICHELLY FERREIRA DA COSTA NUNES - PÓS-GRADUAÇÃO EM MBA EM GESTÃO SOCIAL")</f>
        <v>JOSY MICHELLY FERREIRA DA COSTA NUNES - PÓS-GRADUAÇÃO EM MBA EM GESTÃO SOCIAL</v>
      </c>
    </row>
    <row r="60">
      <c r="A60" s="390" t="str">
        <f>IFERROR(__xludf.DUMMYFUNCTION("""COMPUTED_VALUE"""),"Jamile oliveira de jesus - #SLHA - Segunda Licenciatura em História")</f>
        <v>Jamile oliveira de jesus - #SLHA - Segunda Licenciatura em História</v>
      </c>
    </row>
    <row r="61">
      <c r="A61" s="390" t="str">
        <f>IFERROR(__xludf.DUMMYFUNCTION("""COMPUTED_VALUE"""),"Denise Andrea Nobre Lopes - #SLLPA - Segunda Licenciatura Letras - Português")</f>
        <v>Denise Andrea Nobre Lopes - #SLLPA - Segunda Licenciatura Letras - Português</v>
      </c>
    </row>
    <row r="62">
      <c r="A62" s="390" t="str">
        <f>IFERROR(__xludf.DUMMYFUNCTION("""COMPUTED_VALUE"""),"Denise Andrea Nobre Lopes - Pós-graduação em Gestão Escolar Integradora com Ênfase em Supervisão, Orientação, Administração e Inspeção 740Horas")</f>
        <v>Denise Andrea Nobre Lopes - Pós-graduação em Gestão Escolar Integradora com Ênfase em Supervisão, Orientação, Administração e Inspeção 740Horas</v>
      </c>
    </row>
    <row r="63">
      <c r="A63" s="390" t="str">
        <f>IFERROR(__xludf.DUMMYFUNCTION("""COMPUTED_VALUE"""),"Denise Andrea Nobre Lopes - Pós-graduação em Gestão Escolar Integradora com Ênfase em Supervisão, Orientação, Administração e Inspeção 740Horas")</f>
        <v>Denise Andrea Nobre Lopes - Pós-graduação em Gestão Escolar Integradora com Ênfase em Supervisão, Orientação, Administração e Inspeção 740Horas</v>
      </c>
    </row>
    <row r="64">
      <c r="A64" s="390" t="str">
        <f>IFERROR(__xludf.DUMMYFUNCTION("""COMPUTED_VALUE"""),"José Edilson Da Costa - #SLFA  - Segunda Licenciatura em Filosofia")</f>
        <v>José Edilson Da Costa - #SLFA  - Segunda Licenciatura em Filosofia</v>
      </c>
    </row>
    <row r="65">
      <c r="A65" s="390" t="str">
        <f>IFERROR(__xludf.DUMMYFUNCTION("""COMPUTED_VALUE"""),"José Edilson Da Costa - Pós-Graduação em Direito Previdenciário")</f>
        <v>José Edilson Da Costa - Pós-Graduação em Direito Previdenciário</v>
      </c>
    </row>
    <row r="66">
      <c r="A66" s="390" t="str">
        <f>IFERROR(__xludf.DUMMYFUNCTION("""COMPUTED_VALUE"""),"José Edilson Da Costa - #FPUF- Formação Pedagógica em Filosofia")</f>
        <v>José Edilson Da Costa - #FPUF- Formação Pedagógica em Filosofia</v>
      </c>
    </row>
    <row r="67">
      <c r="A67" s="390" t="str">
        <f>IFERROR(__xludf.DUMMYFUNCTION("""COMPUTED_VALUE"""),"Marcilene Kuhsler - #SLEEF- Segunda Licenciatura Educação Física")</f>
        <v>Marcilene Kuhsler - #SLEEF- Segunda Licenciatura Educação Física</v>
      </c>
    </row>
    <row r="68">
      <c r="A68" s="390" t="str">
        <f>IFERROR(__xludf.DUMMYFUNCTION("""COMPUTED_VALUE"""),"José Araújo Lopes - Formação Pedagógica em Artes Visuais")</f>
        <v>José Araújo Lopes - Formação Pedagógica em Artes Visuais</v>
      </c>
    </row>
    <row r="69">
      <c r="A69" s="390" t="str">
        <f>IFERROR(__xludf.DUMMYFUNCTION("""COMPUTED_VALUE"""),"Denise Andrea Nobre Lopes - #SLLPA - Segunda Licenciatura Letras - Português")</f>
        <v>Denise Andrea Nobre Lopes - #SLLPA - Segunda Licenciatura Letras - Português</v>
      </c>
    </row>
    <row r="70">
      <c r="A70" s="390" t="str">
        <f>IFERROR(__xludf.DUMMYFUNCTION("""COMPUTED_VALUE"""),"Tatiane Pereira Feitosa - #SLCSA - Segunda Licenciatura em Ciências Sociais")</f>
        <v>Tatiane Pereira Feitosa - #SLCSA - Segunda Licenciatura em Ciências Sociais</v>
      </c>
    </row>
    <row r="71">
      <c r="A71" s="390" t="str">
        <f>IFERROR(__xludf.DUMMYFUNCTION("""COMPUTED_VALUE"""),"Renato Sirqueira de Sousa - #SLHA - Segunda Licenciatura em História")</f>
        <v>Renato Sirqueira de Sousa - #SLHA - Segunda Licenciatura em História</v>
      </c>
    </row>
    <row r="72">
      <c r="A72" s="390" t="str">
        <f>IFERROR(__xludf.DUMMYFUNCTION("""COMPUTED_VALUE"""),"Vanessa Konig Ritter - #SLLPA - Segunda Licenciatura Letras - Português")</f>
        <v>Vanessa Konig Ritter - #SLLPA - Segunda Licenciatura Letras - Português</v>
      </c>
    </row>
    <row r="73">
      <c r="A73" s="390" t="str">
        <f>IFERROR(__xludf.DUMMYFUNCTION("""COMPUTED_VALUE"""),"Ademir Marques Ramos - Formação Pedagógica em Letras - Inglês")</f>
        <v>Ademir Marques Ramos - Formação Pedagógica em Letras - Inglês</v>
      </c>
    </row>
    <row r="74">
      <c r="A74" s="390" t="str">
        <f>IFERROR(__xludf.DUMMYFUNCTION("""COMPUTED_VALUE"""),"Hailton Brito da silva - Formação Pedagógica em Matemática")</f>
        <v>Hailton Brito da silva - Formação Pedagógica em Matemática</v>
      </c>
    </row>
    <row r="75">
      <c r="A75" s="390" t="str">
        <f>IFERROR(__xludf.DUMMYFUNCTION("""COMPUTED_VALUE"""),"Luciano de Oliveira - #SLEEF- Segunda Licenciatura Educação Física")</f>
        <v>Luciano de Oliveira - #SLEEF- Segunda Licenciatura Educação Física</v>
      </c>
    </row>
    <row r="76">
      <c r="A76" s="390" t="str">
        <f>IFERROR(__xludf.DUMMYFUNCTION("""COMPUTED_VALUE"""),"Daniel Landi - #SLIA - Segunda Licenciatura Letras - Inglês")</f>
        <v>Daniel Landi - #SLIA - Segunda Licenciatura Letras - Inglês</v>
      </c>
    </row>
    <row r="77">
      <c r="A77" s="390" t="str">
        <f>IFERROR(__xludf.DUMMYFUNCTION("""COMPUTED_VALUE"""),"Jeferson de Oliveira Pessoa - Formação Pedagógica em Ciências Biológicas")</f>
        <v>Jeferson de Oliveira Pessoa - Formação Pedagógica em Ciências Biológicas</v>
      </c>
    </row>
    <row r="78">
      <c r="A78" s="390" t="str">
        <f>IFERROR(__xludf.DUMMYFUNCTION("""COMPUTED_VALUE"""),"Jeferson de Oliveira Pessoa - Pós-Graduação em Atendimento Educacional Especializado Com Ênfase Em Educação Especial e Inclusiva")</f>
        <v>Jeferson de Oliveira Pessoa - Pós-Graduação em Atendimento Educacional Especializado Com Ênfase Em Educação Especial e Inclusiva</v>
      </c>
    </row>
    <row r="79">
      <c r="A79" s="390" t="str">
        <f>IFERROR(__xludf.DUMMYFUNCTION("""COMPUTED_VALUE"""),"MAURICIO DE SOUSA DIAS - Pós-Graduação em Atendimento Educacional Especializado Com Ênfase Em Educação Especial e Inclusiva")</f>
        <v>MAURICIO DE SOUSA DIAS - Pós-Graduação em Atendimento Educacional Especializado Com Ênfase Em Educação Especial e Inclusiva</v>
      </c>
    </row>
    <row r="80">
      <c r="A80" s="390" t="str">
        <f>IFERROR(__xludf.DUMMYFUNCTION("""COMPUTED_VALUE"""),"MAURICIO DE SOUSA DIAS - Formação Pedagógica em Ciências Biológicas")</f>
        <v>MAURICIO DE SOUSA DIAS - Formação Pedagógica em Ciências Biológicas</v>
      </c>
    </row>
    <row r="81">
      <c r="A81" s="390" t="str">
        <f>IFERROR(__xludf.DUMMYFUNCTION("""COMPUTED_VALUE"""),"Nedyr Venus de Souza Assumpção - #SLAA - Segunda Licenciatura em Artes Visuais")</f>
        <v>Nedyr Venus de Souza Assumpção - #SLAA - Segunda Licenciatura em Artes Visuais</v>
      </c>
    </row>
    <row r="82">
      <c r="A82" s="390" t="str">
        <f>IFERROR(__xludf.DUMMYFUNCTION("""COMPUTED_VALUE"""),"Nedyr Venus de Souza Assumpção - Pós-Graduação em Libras")</f>
        <v>Nedyr Venus de Souza Assumpção - Pós-Graduação em Libras</v>
      </c>
    </row>
    <row r="83">
      <c r="A83" s="390" t="str">
        <f>IFERROR(__xludf.DUMMYFUNCTION("""COMPUTED_VALUE"""),"Luciana de Oliveira Neto - Pós-Graduação em Ensino de Artes")</f>
        <v>Luciana de Oliveira Neto - Pós-Graduação em Ensino de Artes</v>
      </c>
    </row>
    <row r="84">
      <c r="A84" s="390" t="str">
        <f>IFERROR(__xludf.DUMMYFUNCTION("""COMPUTED_VALUE"""),"Luciana de Oliveira Neto - #SLEEF- Segunda Licenciatura Educação Física")</f>
        <v>Luciana de Oliveira Neto - #SLEEF- Segunda Licenciatura Educação Física</v>
      </c>
    </row>
    <row r="85">
      <c r="A85" s="390" t="str">
        <f>IFERROR(__xludf.DUMMYFUNCTION("""COMPUTED_VALUE"""),"Mara Gonçalves Marchesin. - #SLAA - Segunda Licenciatura em Artes Visuais")</f>
        <v>Mara Gonçalves Marchesin. - #SLAA - Segunda Licenciatura em Artes Visuais</v>
      </c>
    </row>
    <row r="86">
      <c r="A86" s="390" t="str">
        <f>IFERROR(__xludf.DUMMYFUNCTION("""COMPUTED_VALUE"""),"Grisiele Silverio Costa - Formação Pedagógica em Artes Visuais")</f>
        <v>Grisiele Silverio Costa - Formação Pedagógica em Artes Visuais</v>
      </c>
    </row>
    <row r="87">
      <c r="A87" s="390" t="str">
        <f>IFERROR(__xludf.DUMMYFUNCTION("""COMPUTED_VALUE"""),"Grisiele Silverio Costa - #FPUA- Formação Pedagógica em Artes Visuais")</f>
        <v>Grisiele Silverio Costa - #FPUA- Formação Pedagógica em Artes Visuais</v>
      </c>
    </row>
    <row r="88">
      <c r="A88" s="390" t="str">
        <f>IFERROR(__xludf.DUMMYFUNCTION("""COMPUTED_VALUE"""),"Amanda Aparecida Maciel - #SLLLA - Segunda Licenciatura em Letras - Libras")</f>
        <v>Amanda Aparecida Maciel - #SLLLA - Segunda Licenciatura em Letras - Libras</v>
      </c>
    </row>
    <row r="89">
      <c r="A89" s="390" t="str">
        <f>IFERROR(__xludf.DUMMYFUNCTION("""COMPUTED_VALUE"""),"Amanda Aparecida Maciel - #SLULPL- Segunda Licenciatura em Letras – Língua Portuguesa e Libras")</f>
        <v>Amanda Aparecida Maciel - #SLULPL- Segunda Licenciatura em Letras – Língua Portuguesa e Libras</v>
      </c>
    </row>
    <row r="90">
      <c r="A90" s="390" t="str">
        <f>IFERROR(__xludf.DUMMYFUNCTION("""COMPUTED_VALUE"""),"Marli de Freitas Silva - #SLULPL- Segunda Licenciatura em Letras – Língua Portuguesa e Libras")</f>
        <v>Marli de Freitas Silva - #SLULPL- Segunda Licenciatura em Letras – Língua Portuguesa e Libras</v>
      </c>
    </row>
    <row r="91">
      <c r="A91" s="390" t="str">
        <f>IFERROR(__xludf.DUMMYFUNCTION("""COMPUTED_VALUE"""),"Marli de Freitas Silva - #SLLLA - Segunda Licenciatura em Letras - Libras")</f>
        <v>Marli de Freitas Silva - #SLLLA - Segunda Licenciatura em Letras - Libras</v>
      </c>
    </row>
    <row r="92">
      <c r="A92" s="390" t="str">
        <f>IFERROR(__xludf.DUMMYFUNCTION("""COMPUTED_VALUE"""),"Juliana Gonçalves de Camargo - #SLLPA - Segunda Licenciatura Letras - Português")</f>
        <v>Juliana Gonçalves de Camargo - #SLLPA - Segunda Licenciatura Letras - Português</v>
      </c>
    </row>
    <row r="93">
      <c r="A93" s="390" t="str">
        <f>IFERROR(__xludf.DUMMYFUNCTION("""COMPUTED_VALUE"""),"David Alves De Menezes - #SLHA - Segunda Licenciatura em História")</f>
        <v>David Alves De Menezes - #SLHA - Segunda Licenciatura em História</v>
      </c>
    </row>
    <row r="94">
      <c r="A94" s="390" t="str">
        <f>IFERROR(__xludf.DUMMYFUNCTION("""COMPUTED_VALUE"""),"Paulo Henrique Teixeira - #SLGA - Segunda Licenciatura em Geografia")</f>
        <v>Paulo Henrique Teixeira - #SLGA - Segunda Licenciatura em Geografia</v>
      </c>
    </row>
    <row r="95">
      <c r="A95" s="390" t="str">
        <f>IFERROR(__xludf.DUMMYFUNCTION("""COMPUTED_VALUE"""),"Paulo Henrique Teixeira - #SLUG - SEGUNDA LICENCIATURA EM GEOGRAFIA")</f>
        <v>Paulo Henrique Teixeira - #SLUG - SEGUNDA LICENCIATURA EM GEOGRAFIA</v>
      </c>
    </row>
    <row r="96">
      <c r="A96" s="390" t="str">
        <f>IFERROR(__xludf.DUMMYFUNCTION("""COMPUTED_VALUE"""),"Vaulenir Resende Bernado - Formação Pedagógica em Educação Especial")</f>
        <v>Vaulenir Resende Bernado - Formação Pedagógica em Educação Especial</v>
      </c>
    </row>
    <row r="97">
      <c r="A97" s="390" t="str">
        <f>IFERROR(__xludf.DUMMYFUNCTION("""COMPUTED_VALUE"""),"Darleny Monte Matos - Formação Pedagógica em Ciências Sociais")</f>
        <v>Darleny Monte Matos - Formação Pedagógica em Ciências Sociais</v>
      </c>
    </row>
    <row r="98">
      <c r="A98" s="390" t="str">
        <f>IFERROR(__xludf.DUMMYFUNCTION("""COMPUTED_VALUE"""),"Ronny Menezes Marques - Formação Pedagógica em Matemática")</f>
        <v>Ronny Menezes Marques - Formação Pedagógica em Matemática</v>
      </c>
    </row>
    <row r="99">
      <c r="A99" s="390" t="str">
        <f>IFERROR(__xludf.DUMMYFUNCTION("""COMPUTED_VALUE"""),"Ronny Menezes Marques - Pós-graduação em Gestão Escolar Integradora com Ênfase em Supervisão, Orientação, Administração e Inspeção 740Horas")</f>
        <v>Ronny Menezes Marques - Pós-graduação em Gestão Escolar Integradora com Ênfase em Supervisão, Orientação, Administração e Inspeção 740Horas</v>
      </c>
    </row>
    <row r="100">
      <c r="A100" s="390" t="str">
        <f>IFERROR(__xludf.DUMMYFUNCTION("""COMPUTED_VALUE"""),"Gilmar Sousa da Silva - #FPEEF- Formação Pedagógica Educação Física")</f>
        <v>Gilmar Sousa da Silva - #FPEEF- Formação Pedagógica Educação Física</v>
      </c>
    </row>
    <row r="101">
      <c r="A101" s="390" t="str">
        <f>IFERROR(__xludf.DUMMYFUNCTION("""COMPUTED_VALUE"""),"Camila Nascimento Neri - Formação Pedagógica em Matemática")</f>
        <v>Camila Nascimento Neri - Formação Pedagógica em Matemática</v>
      </c>
    </row>
    <row r="102">
      <c r="A102" s="390" t="str">
        <f>IFERROR(__xludf.DUMMYFUNCTION("""COMPUTED_VALUE"""),"José Lopes de Lima - #SLAA - Segunda Licenciatura em Artes Visuais")</f>
        <v>José Lopes de Lima - #SLAA - Segunda Licenciatura em Artes Visuais</v>
      </c>
    </row>
    <row r="103">
      <c r="A103" s="390" t="str">
        <f>IFERROR(__xludf.DUMMYFUNCTION("""COMPUTED_VALUE"""),"Flávia Rita dos Santos Lopes - Formação Pedagógica em Filosofia")</f>
        <v>Flávia Rita dos Santos Lopes - Formação Pedagógica em Filosofia</v>
      </c>
    </row>
    <row r="104">
      <c r="A104" s="390" t="str">
        <f>IFERROR(__xludf.DUMMYFUNCTION("""COMPUTED_VALUE"""),"Flávia Rita dos Santos Lopes - Pós-Graduação em Gestão Escolar Integrada com Ênfase em Supervisão, Orientação, Administração e Inspeção")</f>
        <v>Flávia Rita dos Santos Lopes - Pós-Graduação em Gestão Escolar Integrada com Ênfase em Supervisão, Orientação, Administração e Inspeção</v>
      </c>
    </row>
    <row r="105">
      <c r="A105" s="390" t="str">
        <f>IFERROR(__xludf.DUMMYFUNCTION("""COMPUTED_VALUE"""),"Guilherme Alves Barbosa - Formação Pedagógica Letras - Libras")</f>
        <v>Guilherme Alves Barbosa - Formação Pedagógica Letras - Libras</v>
      </c>
    </row>
    <row r="106">
      <c r="A106" s="390" t="str">
        <f>IFERROR(__xludf.DUMMYFUNCTION("""COMPUTED_VALUE"""),"Heloisa woelke dos reis - #SLGA - Segunda Licenciatura em Geografia")</f>
        <v>Heloisa woelke dos reis - #SLGA - Segunda Licenciatura em Geografia</v>
      </c>
    </row>
    <row r="107">
      <c r="A107" s="390" t="str">
        <f>IFERROR(__xludf.DUMMYFUNCTION("""COMPUTED_VALUE"""),"Jercenia Correia dos Santos - #SLCBA - Segunda Licenciatura em Ciências Biológicas")</f>
        <v>Jercenia Correia dos Santos - #SLCBA - Segunda Licenciatura em Ciências Biológicas</v>
      </c>
    </row>
    <row r="108">
      <c r="A108" s="390" t="str">
        <f>IFERROR(__xludf.DUMMYFUNCTION("""COMPUTED_VALUE"""),"Patrícia Bernardi Antonialli Mehler - #SLGA - Segunda Licenciatura em Geografia")</f>
        <v>Patrícia Bernardi Antonialli Mehler - #SLGA - Segunda Licenciatura em Geografia</v>
      </c>
    </row>
    <row r="109">
      <c r="A109" s="390" t="str">
        <f>IFERROR(__xludf.DUMMYFUNCTION("""COMPUTED_VALUE"""),"Arlindo da Cunha Pereira Neto - Formação Pedagógica em Matemática")</f>
        <v>Arlindo da Cunha Pereira Neto - Formação Pedagógica em Matemática</v>
      </c>
    </row>
    <row r="110">
      <c r="A110" s="390" t="str">
        <f>IFERROR(__xludf.DUMMYFUNCTION("""COMPUTED_VALUE"""),"Vanderli Corrêa Macedo - #SLHA - Segunda Licenciatura em História")</f>
        <v>Vanderli Corrêa Macedo - #SLHA - Segunda Licenciatura em História</v>
      </c>
    </row>
    <row r="111">
      <c r="A111" s="390" t="str">
        <f>IFERROR(__xludf.DUMMYFUNCTION("""COMPUTED_VALUE"""),"Iris de Azevedo Pereira - #SLAA - Segunda Licenciatura em Artes Visuais")</f>
        <v>Iris de Azevedo Pereira - #SLAA - Segunda Licenciatura em Artes Visuais</v>
      </c>
    </row>
    <row r="112">
      <c r="A112" s="390" t="str">
        <f>IFERROR(__xludf.DUMMYFUNCTION("""COMPUTED_VALUE"""),"Rita de Cássia Guimarães Rodrigues Martins - #SLCBA - Segunda Licenciatura em Ciências Biológicas")</f>
        <v>Rita de Cássia Guimarães Rodrigues Martins - #SLCBA - Segunda Licenciatura em Ciências Biológicas</v>
      </c>
    </row>
    <row r="113">
      <c r="A113" s="390" t="str">
        <f>IFERROR(__xludf.DUMMYFUNCTION("""COMPUTED_VALUE"""),"Lincio Júnior Assunção Nogueira - Formação Pedagógica em Educação Especial")</f>
        <v>Lincio Júnior Assunção Nogueira - Formação Pedagógica em Educação Especial</v>
      </c>
    </row>
    <row r="114">
      <c r="A114" s="390" t="str">
        <f>IFERROR(__xludf.DUMMYFUNCTION("""COMPUTED_VALUE"""),"Jônatas Silva - #SLHA - Segunda Licenciatura em História")</f>
        <v>Jônatas Silva - #SLHA - Segunda Licenciatura em História</v>
      </c>
    </row>
    <row r="115">
      <c r="A115" s="390" t="str">
        <f>IFERROR(__xludf.DUMMYFUNCTION("""COMPUTED_VALUE"""),"Emanuele Alexandra de Jesus Touça - #SLFA  - Segunda Licenciatura em Filosofia")</f>
        <v>Emanuele Alexandra de Jesus Touça - #SLFA  - Segunda Licenciatura em Filosofia</v>
      </c>
    </row>
    <row r="116">
      <c r="A116" s="390" t="str">
        <f>IFERROR(__xludf.DUMMYFUNCTION("""COMPUTED_VALUE"""),"Kelly omena de Souza Oliveira - #SLHA - Segunda Licenciatura em História")</f>
        <v>Kelly omena de Souza Oliveira - #SLHA - Segunda Licenciatura em História</v>
      </c>
    </row>
    <row r="117">
      <c r="A117" s="390" t="str">
        <f>IFERROR(__xludf.DUMMYFUNCTION("""COMPUTED_VALUE"""),"Higor Ricardo Ferreira Diaz - #SLEEF- Segunda Licenciatura Educação Física")</f>
        <v>Higor Ricardo Ferreira Diaz - #SLEEF- Segunda Licenciatura Educação Física</v>
      </c>
    </row>
    <row r="118">
      <c r="A118" s="390" t="str">
        <f>IFERROR(__xludf.DUMMYFUNCTION("""COMPUTED_VALUE"""),"Isabely Franco Escóssia - Formação Pedagógica em Artes Visuais")</f>
        <v>Isabely Franco Escóssia - Formação Pedagógica em Artes Visuais</v>
      </c>
    </row>
    <row r="119">
      <c r="A119" s="390" t="str">
        <f>IFERROR(__xludf.DUMMYFUNCTION("""COMPUTED_VALUE"""),"Isabely Franco Escóssia - Pós-Graduação em Ensino de Artes-2022")</f>
        <v>Isabely Franco Escóssia - Pós-Graduação em Ensino de Artes-2022</v>
      </c>
    </row>
    <row r="120">
      <c r="A120" s="390" t="str">
        <f>IFERROR(__xludf.DUMMYFUNCTION("""COMPUTED_VALUE"""),"Kelly omena de Souza Oliveira - #SLHA - Segunda Licenciatura em História")</f>
        <v>Kelly omena de Souza Oliveira - #SLHA - Segunda Licenciatura em História</v>
      </c>
    </row>
    <row r="121">
      <c r="A121" s="390" t="str">
        <f>IFERROR(__xludf.DUMMYFUNCTION("""COMPUTED_VALUE"""),"Jeú Geber Brandão de Oliveira - #FPEEF- Formação Pedagógica Educação Física")</f>
        <v>Jeú Geber Brandão de Oliveira - #FPEEF- Formação Pedagógica Educação Física</v>
      </c>
    </row>
    <row r="122">
      <c r="A122" s="390" t="str">
        <f>IFERROR(__xludf.DUMMYFUNCTION("""COMPUTED_VALUE"""),"Poliana Maciel Capanema - #SLEEA - Segunda Licenciatura em Educação Especial")</f>
        <v>Poliana Maciel Capanema - #SLEEA - Segunda Licenciatura em Educação Especial</v>
      </c>
    </row>
    <row r="123">
      <c r="A123" s="390" t="str">
        <f>IFERROR(__xludf.DUMMYFUNCTION("""COMPUTED_VALUE"""),"Poliana Maciel Capanema - Pós-Graduação em Psicopedagogia Escolar")</f>
        <v>Poliana Maciel Capanema - Pós-Graduação em Psicopedagogia Escolar</v>
      </c>
    </row>
    <row r="124">
      <c r="A124" s="390" t="str">
        <f>IFERROR(__xludf.DUMMYFUNCTION("""COMPUTED_VALUE"""),"Poliana Maciel Capanema - Pós-graduação em Gestão Escolar Integradora com Ênfase em Supervisão, Orientação, Administração e Inspeção 740Horas")</f>
        <v>Poliana Maciel Capanema - Pós-graduação em Gestão Escolar Integradora com Ênfase em Supervisão, Orientação, Administração e Inspeção 740Horas</v>
      </c>
    </row>
    <row r="125">
      <c r="A125" s="390" t="str">
        <f>IFERROR(__xludf.DUMMYFUNCTION("""COMPUTED_VALUE"""),"Poliana Maciel Capanema - Pós-Graduação em Gestão Escolar Integradora com Ênfase em Supervisão, Orientação, Administração e Inspeção 870Horas")</f>
        <v>Poliana Maciel Capanema - Pós-Graduação em Gestão Escolar Integradora com Ênfase em Supervisão, Orientação, Administração e Inspeção 870Horas</v>
      </c>
    </row>
    <row r="126">
      <c r="A126" s="390" t="str">
        <f>IFERROR(__xludf.DUMMYFUNCTION("""COMPUTED_VALUE"""),"Rosemeire Vanni Cremonesi - #SLCBA - Segunda Licenciatura em Ciências Biológicas")</f>
        <v>Rosemeire Vanni Cremonesi - #SLCBA - Segunda Licenciatura em Ciências Biológicas</v>
      </c>
    </row>
    <row r="127">
      <c r="A127" s="390" t="str">
        <f>IFERROR(__xludf.DUMMYFUNCTION("""COMPUTED_VALUE"""),"Eliane Dantas Silva - Formação Pedagogica em Geografia")</f>
        <v>Eliane Dantas Silva - Formação Pedagogica em Geografia</v>
      </c>
    </row>
    <row r="128">
      <c r="A128" s="390" t="str">
        <f>IFERROR(__xludf.DUMMYFUNCTION("""COMPUTED_VALUE"""),"Eliane Dantas Silva - #FPP- Formação Pedagógica em Pedagogia R2")</f>
        <v>Eliane Dantas Silva - #FPP- Formação Pedagógica em Pedagogia R2</v>
      </c>
    </row>
    <row r="129">
      <c r="A129" s="390" t="str">
        <f>IFERROR(__xludf.DUMMYFUNCTION("""COMPUTED_VALUE"""),"Rute Maria dos Santos Lira - #SLEEA - Segunda Licenciatura em Educação Especial")</f>
        <v>Rute Maria dos Santos Lira - #SLEEA - Segunda Licenciatura em Educação Especial</v>
      </c>
    </row>
    <row r="130">
      <c r="A130" s="390" t="str">
        <f>IFERROR(__xludf.DUMMYFUNCTION("""COMPUTED_VALUE"""),"Antonio Gonçalves Neto - Formação Pedagógica História")</f>
        <v>Antonio Gonçalves Neto - Formação Pedagógica História</v>
      </c>
    </row>
    <row r="131">
      <c r="A131" s="390" t="str">
        <f>IFERROR(__xludf.DUMMYFUNCTION("""COMPUTED_VALUE"""),"Rosemeire Vanni Cremonesi - #SLCBA - Segunda Licenciatura em Ciências Biológicas")</f>
        <v>Rosemeire Vanni Cremonesi - #SLCBA - Segunda Licenciatura em Ciências Biológicas</v>
      </c>
    </row>
    <row r="132">
      <c r="A132" s="390" t="str">
        <f>IFERROR(__xludf.DUMMYFUNCTION("""COMPUTED_VALUE"""),"Ricardo Militão de Lima - #FPEEF- Formação Pedagógica Educação Física")</f>
        <v>Ricardo Militão de Lima - #FPEEF- Formação Pedagógica Educação Física</v>
      </c>
    </row>
    <row r="133">
      <c r="A133" s="390" t="str">
        <f>IFERROR(__xludf.DUMMYFUNCTION("""COMPUTED_VALUE"""),"Helio Lucio da Silva - #SLEEF- Segunda Licenciatura Educação Física")</f>
        <v>Helio Lucio da Silva - #SLEEF- Segunda Licenciatura Educação Física</v>
      </c>
    </row>
    <row r="134">
      <c r="A134" s="390" t="str">
        <f>IFERROR(__xludf.DUMMYFUNCTION("""COMPUTED_VALUE"""),"welhyngton Ribeiro Teodoro - #SLFA - Segunda Licenciatura em Física")</f>
        <v>welhyngton Ribeiro Teodoro - #SLFA - Segunda Licenciatura em Física</v>
      </c>
    </row>
    <row r="135">
      <c r="A135" s="390" t="str">
        <f>IFERROR(__xludf.DUMMYFUNCTION("""COMPUTED_VALUE"""),"welhyngton Ribeiro Teodoro - #SLUEF - Segunda Licenciatura em Educação Física")</f>
        <v>welhyngton Ribeiro Teodoro - #SLUEF - Segunda Licenciatura em Educação Física</v>
      </c>
    </row>
    <row r="136">
      <c r="A136" s="390" t="str">
        <f>IFERROR(__xludf.DUMMYFUNCTION("""COMPUTED_VALUE"""),"Alberto Silva dos Santos Louvera - Formação pedagógica Letras - Português")</f>
        <v>Alberto Silva dos Santos Louvera - Formação pedagógica Letras - Português</v>
      </c>
    </row>
    <row r="137">
      <c r="A137" s="390" t="str">
        <f>IFERROR(__xludf.DUMMYFUNCTION("""COMPUTED_VALUE"""),"Mariane Soares Lage - Formação Pedagógica em Ciências Sociais")</f>
        <v>Mariane Soares Lage - Formação Pedagógica em Ciências Sociais</v>
      </c>
    </row>
    <row r="138">
      <c r="A138" s="390" t="str">
        <f>IFERROR(__xludf.DUMMYFUNCTION("""COMPUTED_VALUE"""),"Mariane Soares Lage - Pós-Graduação Metodologia Do Ensino de Sociologia")</f>
        <v>Mariane Soares Lage - Pós-Graduação Metodologia Do Ensino de Sociologia</v>
      </c>
    </row>
    <row r="139">
      <c r="A139" s="390" t="str">
        <f>IFERROR(__xludf.DUMMYFUNCTION("""COMPUTED_VALUE"""),"Caio Reis de Araújo - #SLAA - Segunda Licenciatura em Artes Visuais")</f>
        <v>Caio Reis de Araújo - #SLAA - Segunda Licenciatura em Artes Visuais</v>
      </c>
    </row>
    <row r="140">
      <c r="A140" s="390" t="str">
        <f>IFERROR(__xludf.DUMMYFUNCTION("""COMPUTED_VALUE"""),"Wagner Giongo - Formação Pedagógica em Educação Especial")</f>
        <v>Wagner Giongo - Formação Pedagógica em Educação Especial</v>
      </c>
    </row>
    <row r="141">
      <c r="A141" s="390" t="str">
        <f>IFERROR(__xludf.DUMMYFUNCTION("""COMPUTED_VALUE"""),"Flávia Cristina Rodrigues de Carvalho - #SLCBA - Segunda Licenciatura em Ciências Biológicas")</f>
        <v>Flávia Cristina Rodrigues de Carvalho - #SLCBA - Segunda Licenciatura em Ciências Biológicas</v>
      </c>
    </row>
    <row r="142">
      <c r="A142" s="390" t="str">
        <f>IFERROR(__xludf.DUMMYFUNCTION("""COMPUTED_VALUE"""),"Clayton Marcelo de Lima - Formação Pedagogica em Geografia")</f>
        <v>Clayton Marcelo de Lima - Formação Pedagogica em Geografia</v>
      </c>
    </row>
    <row r="143">
      <c r="A143" s="390" t="str">
        <f>IFERROR(__xludf.DUMMYFUNCTION("""COMPUTED_VALUE"""),"Michel Guilherme Martins Gonçalves - Formação Pedagógica em Ciências Biológicas")</f>
        <v>Michel Guilherme Martins Gonçalves - Formação Pedagógica em Ciências Biológicas</v>
      </c>
    </row>
    <row r="144">
      <c r="A144" s="390" t="str">
        <f>IFERROR(__xludf.DUMMYFUNCTION("""COMPUTED_VALUE"""),"Michel Guilherme Martins Gonçalves - Formação Pedagógica em Ciências Sociais")</f>
        <v>Michel Guilherme Martins Gonçalves - Formação Pedagógica em Ciências Sociais</v>
      </c>
    </row>
    <row r="145">
      <c r="A145" s="390" t="str">
        <f>IFERROR(__xludf.DUMMYFUNCTION("""COMPUTED_VALUE"""),"Genilda Silva Pires - #SLAA - Segunda Licenciatura em Artes Visuais")</f>
        <v>Genilda Silva Pires - #SLAA - Segunda Licenciatura em Artes Visuais</v>
      </c>
    </row>
    <row r="146">
      <c r="A146" s="390" t="str">
        <f>IFERROR(__xludf.DUMMYFUNCTION("""COMPUTED_VALUE"""),"Genilda Silva Pires - #SLAA - Segunda Licenciatura em Artes Visuais")</f>
        <v>Genilda Silva Pires - #SLAA - Segunda Licenciatura em Artes Visuais</v>
      </c>
    </row>
    <row r="147">
      <c r="A147" s="390" t="str">
        <f>IFERROR(__xludf.DUMMYFUNCTION("""COMPUTED_VALUE"""),"Fábio Lopes De Souza - #SLEEF- Segunda Licenciatura Educação Física")</f>
        <v>Fábio Lopes De Souza - #SLEEF- Segunda Licenciatura Educação Física</v>
      </c>
    </row>
    <row r="148">
      <c r="A148" s="390" t="str">
        <f>IFERROR(__xludf.DUMMYFUNCTION("""COMPUTED_VALUE"""),"Lutecia Pereira Franca - #SLEEA - Segunda Licenciatura em Educação Especial")</f>
        <v>Lutecia Pereira Franca - #SLEEA - Segunda Licenciatura em Educação Especial</v>
      </c>
    </row>
    <row r="149">
      <c r="A149" s="390" t="str">
        <f>IFERROR(__xludf.DUMMYFUNCTION("""COMPUTED_VALUE"""),"Samuel Elói dos Santos - #SLAA - Segunda Licenciatura em Artes Visuais")</f>
        <v>Samuel Elói dos Santos - #SLAA - Segunda Licenciatura em Artes Visuais</v>
      </c>
    </row>
    <row r="150">
      <c r="A150" s="390" t="str">
        <f>IFERROR(__xludf.DUMMYFUNCTION("""COMPUTED_VALUE"""),"Samuel Elói dos Santos - #SLCSA - Segunda Licenciatura em Ciências Sociais")</f>
        <v>Samuel Elói dos Santos - #SLCSA - Segunda Licenciatura em Ciências Sociais</v>
      </c>
    </row>
    <row r="151">
      <c r="A151" s="390" t="str">
        <f>IFERROR(__xludf.DUMMYFUNCTION("""COMPUTED_VALUE"""),"Samuel Elói dos Santos - SEGUNDA LICENCIATURA EM HISTÓRIA - 2024")</f>
        <v>Samuel Elói dos Santos - SEGUNDA LICENCIATURA EM HISTÓRIA - 2024</v>
      </c>
    </row>
    <row r="152">
      <c r="A152" s="390" t="str">
        <f>IFERROR(__xludf.DUMMYFUNCTION("""COMPUTED_VALUE"""),"Priscila Almeida da Cruz Brito - #SLLPA - Segunda Licenciatura Letras - Português")</f>
        <v>Priscila Almeida da Cruz Brito - #SLLPA - Segunda Licenciatura Letras - Português</v>
      </c>
    </row>
    <row r="153">
      <c r="A153" s="390" t="str">
        <f>IFERROR(__xludf.DUMMYFUNCTION("""COMPUTED_VALUE"""),"Priscila Almeida da Cruz Brito - #SLAA - Segunda Licenciatura em Artes Visuais")</f>
        <v>Priscila Almeida da Cruz Brito - #SLAA - Segunda Licenciatura em Artes Visuais</v>
      </c>
    </row>
    <row r="154">
      <c r="A154" s="390" t="str">
        <f>IFERROR(__xludf.DUMMYFUNCTION("""COMPUTED_VALUE"""),"Lorena Luiza de Jesus Machado - #FPEEF- Formação Pedagógica Educação Física")</f>
        <v>Lorena Luiza de Jesus Machado - #FPEEF- Formação Pedagógica Educação Física</v>
      </c>
    </row>
    <row r="155">
      <c r="A155" s="390" t="str">
        <f>IFERROR(__xludf.DUMMYFUNCTION("""COMPUTED_VALUE"""),"Jacqueline Cristina Vieira - #SLEEF- Segunda Licenciatura Educação Física")</f>
        <v>Jacqueline Cristina Vieira - #SLEEF- Segunda Licenciatura Educação Física</v>
      </c>
    </row>
    <row r="156">
      <c r="A156" s="390" t="str">
        <f>IFERROR(__xludf.DUMMYFUNCTION("""COMPUTED_VALUE"""),"Celyte Raquel Ferreira Santana Silva - #SLLPA - Segunda Licenciatura Letras - Português")</f>
        <v>Celyte Raquel Ferreira Santana Silva - #SLLPA - Segunda Licenciatura Letras - Português</v>
      </c>
    </row>
    <row r="157">
      <c r="A157" s="390" t="str">
        <f>IFERROR(__xludf.DUMMYFUNCTION("""COMPUTED_VALUE"""),"Magna Gomes dos Santos - Formação Pedagógica em Ciências Sociais")</f>
        <v>Magna Gomes dos Santos - Formação Pedagógica em Ciências Sociais</v>
      </c>
    </row>
    <row r="158">
      <c r="A158" s="390" t="str">
        <f>IFERROR(__xludf.DUMMYFUNCTION("""COMPUTED_VALUE"""),"Wagner Giongo - #FPEEF- Formação Pedagógica Educação Física")</f>
        <v>Wagner Giongo - #FPEEF- Formação Pedagógica Educação Física</v>
      </c>
    </row>
    <row r="159">
      <c r="A159" s="390" t="str">
        <f>IFERROR(__xludf.DUMMYFUNCTION("""COMPUTED_VALUE"""),"Lutecia Pereira Franca - #SLEEA - Segunda Licenciatura em Educação Especial")</f>
        <v>Lutecia Pereira Franca - #SLEEA - Segunda Licenciatura em Educação Especial</v>
      </c>
    </row>
    <row r="160">
      <c r="A160" s="390" t="str">
        <f>IFERROR(__xludf.DUMMYFUNCTION("""COMPUTED_VALUE"""),"Angela de Jesus Brito Silva - #SLGA - Segunda Licenciatura em Geografia")</f>
        <v>Angela de Jesus Brito Silva - #SLGA - Segunda Licenciatura em Geografia</v>
      </c>
    </row>
    <row r="161">
      <c r="A161" s="390" t="str">
        <f>IFERROR(__xludf.DUMMYFUNCTION("""COMPUTED_VALUE"""),"Antonia Mary dos Santos Souza - #SLGA - Segunda Licenciatura em Geografia")</f>
        <v>Antonia Mary dos Santos Souza - #SLGA - Segunda Licenciatura em Geografia</v>
      </c>
    </row>
    <row r="162">
      <c r="A162" s="390" t="str">
        <f>IFERROR(__xludf.DUMMYFUNCTION("""COMPUTED_VALUE"""),"Jônatas Silva - Formação Pedagógica História")</f>
        <v>Jônatas Silva - Formação Pedagógica História</v>
      </c>
    </row>
    <row r="163">
      <c r="A163" s="390" t="str">
        <f>IFERROR(__xludf.DUMMYFUNCTION("""COMPUTED_VALUE"""),"Jônatas Silva - Pós-Graduação em Metodologia do Ensino de Filosofia")</f>
        <v>Jônatas Silva - Pós-Graduação em Metodologia do Ensino de Filosofia</v>
      </c>
    </row>
    <row r="164">
      <c r="A164" s="390" t="str">
        <f>IFERROR(__xludf.DUMMYFUNCTION("""COMPUTED_VALUE"""),"Arlete Maria dos Santos - #SLAA - Segunda Licenciatura em Artes Visuais")</f>
        <v>Arlete Maria dos Santos - #SLAA - Segunda Licenciatura em Artes Visuais</v>
      </c>
    </row>
    <row r="165">
      <c r="A165" s="390" t="str">
        <f>IFERROR(__xludf.DUMMYFUNCTION("""COMPUTED_VALUE"""),"Lorenza da Silva Ferreira - #SLEEF- Segunda Licenciatura Educação Física")</f>
        <v>Lorenza da Silva Ferreira - #SLEEF- Segunda Licenciatura Educação Física</v>
      </c>
    </row>
    <row r="166">
      <c r="A166" s="390" t="str">
        <f>IFERROR(__xludf.DUMMYFUNCTION("""COMPUTED_VALUE"""),"Natalia Cristina Silva - #SLAA - Segunda Licenciatura em Artes Visuais")</f>
        <v>Natalia Cristina Silva - #SLAA - Segunda Licenciatura em Artes Visuais</v>
      </c>
    </row>
    <row r="167">
      <c r="A167" s="390" t="str">
        <f>IFERROR(__xludf.DUMMYFUNCTION("""COMPUTED_VALUE"""),"Marcos Rogério Andrade do Nascimento - #SLIA - Segunda Licenciatura Letras - Inglês")</f>
        <v>Marcos Rogério Andrade do Nascimento - #SLIA - Segunda Licenciatura Letras - Inglês</v>
      </c>
    </row>
    <row r="168">
      <c r="A168" s="390" t="str">
        <f>IFERROR(__xludf.DUMMYFUNCTION("""COMPUTED_VALUE"""),"Ednelson hilario souza - #FPEEF- Formação Pedagógica Educação Física")</f>
        <v>Ednelson hilario souza - #FPEEF- Formação Pedagógica Educação Física</v>
      </c>
    </row>
    <row r="169">
      <c r="A169" s="390" t="str">
        <f>IFERROR(__xludf.DUMMYFUNCTION("""COMPUTED_VALUE"""),"Douglas Vitorino Cabral - #SLAA - Segunda Licenciatura em Artes Visuais")</f>
        <v>Douglas Vitorino Cabral - #SLAA - Segunda Licenciatura em Artes Visuais</v>
      </c>
    </row>
    <row r="170">
      <c r="A170" s="390" t="str">
        <f>IFERROR(__xludf.DUMMYFUNCTION("""COMPUTED_VALUE"""),"Givaldo Cristiniano dos Santos Junior - Formação Pedagógica História")</f>
        <v>Givaldo Cristiniano dos Santos Junior - Formação Pedagógica História</v>
      </c>
    </row>
    <row r="171">
      <c r="A171" s="390" t="str">
        <f>IFERROR(__xludf.DUMMYFUNCTION("""COMPUTED_VALUE"""),"Givaldo Cristiniano dos Santos Junior - #FPUH- Formação Pedagógica em História")</f>
        <v>Givaldo Cristiniano dos Santos Junior - #FPUH- Formação Pedagógica em História</v>
      </c>
    </row>
    <row r="172">
      <c r="A172" s="390" t="str">
        <f>IFERROR(__xludf.DUMMYFUNCTION("""COMPUTED_VALUE"""),"Paulo Roberto Maciel dos Santos - Formação Pedagógica em Ciências Biológicas")</f>
        <v>Paulo Roberto Maciel dos Santos - Formação Pedagógica em Ciências Biológicas</v>
      </c>
    </row>
    <row r="173">
      <c r="A173" s="390" t="str">
        <f>IFERROR(__xludf.DUMMYFUNCTION("""COMPUTED_VALUE"""),"Dayane Soares da Silva - #SLLPA - Segunda Licenciatura Letras - Português")</f>
        <v>Dayane Soares da Silva - #SLLPA - Segunda Licenciatura Letras - Português</v>
      </c>
    </row>
    <row r="174">
      <c r="A174" s="390" t="str">
        <f>IFERROR(__xludf.DUMMYFUNCTION("""COMPUTED_VALUE"""),"Alexandre Nogueira Souza - Formação Pedagógica História")</f>
        <v>Alexandre Nogueira Souza - Formação Pedagógica História</v>
      </c>
    </row>
    <row r="175">
      <c r="A175" s="390" t="str">
        <f>IFERROR(__xludf.DUMMYFUNCTION("""COMPUTED_VALUE"""),"José Lopes de Lima - #SLAA - Segunda Licenciatura em Artes Visuais")</f>
        <v>José Lopes de Lima - #SLAA - Segunda Licenciatura em Artes Visuais</v>
      </c>
    </row>
    <row r="176">
      <c r="A176" s="390" t="str">
        <f>IFERROR(__xludf.DUMMYFUNCTION("""COMPUTED_VALUE"""),"Vânia da Silva Moreira - #SLAA - Segunda Licenciatura em Artes Visuais")</f>
        <v>Vânia da Silva Moreira - #SLAA - Segunda Licenciatura em Artes Visuais</v>
      </c>
    </row>
    <row r="177">
      <c r="A177" s="390" t="str">
        <f>IFERROR(__xludf.DUMMYFUNCTION("""COMPUTED_VALUE"""),"Vânia da Silva Moreira - #SLAA - Segunda Licenciatura em Artes Visuais")</f>
        <v>Vânia da Silva Moreira - #SLAA - Segunda Licenciatura em Artes Visuais</v>
      </c>
    </row>
    <row r="178">
      <c r="A178" s="390" t="str">
        <f>IFERROR(__xludf.DUMMYFUNCTION("""COMPUTED_VALUE"""),"Vânia da Silva Moreira - #SLAA - Segunda Licenciatura em Artes Visuais")</f>
        <v>Vânia da Silva Moreira - #SLAA - Segunda Licenciatura em Artes Visuais</v>
      </c>
    </row>
    <row r="179">
      <c r="A179" s="390" t="str">
        <f>IFERROR(__xludf.DUMMYFUNCTION("""COMPUTED_VALUE"""),"Vânia da Silva Moreira - #SLAA - Segunda Licenciatura em Artes Visuais")</f>
        <v>Vânia da Silva Moreira - #SLAA - Segunda Licenciatura em Artes Visuais</v>
      </c>
    </row>
    <row r="180">
      <c r="A180" s="390" t="str">
        <f>IFERROR(__xludf.DUMMYFUNCTION("""COMPUTED_VALUE"""),"CAMILLA EVELYN DOS SANTOS RODRIGUES MARQUES - #SLIA - Segunda Licenciatura Letras - Inglês")</f>
        <v>CAMILLA EVELYN DOS SANTOS RODRIGUES MARQUES - #SLIA - Segunda Licenciatura Letras - Inglês</v>
      </c>
    </row>
    <row r="181">
      <c r="A181" s="390" t="str">
        <f>IFERROR(__xludf.DUMMYFUNCTION("""COMPUTED_VALUE"""),"Jociane Tavares de Andrade Pimentel - Formação pedagógica Letras - Português")</f>
        <v>Jociane Tavares de Andrade Pimentel - Formação pedagógica Letras - Português</v>
      </c>
    </row>
    <row r="182">
      <c r="A182" s="390" t="str">
        <f>IFERROR(__xludf.DUMMYFUNCTION("""COMPUTED_VALUE"""),"Guilherme Miranda - #SLSEA - Segunda Licenciatura Letras - Espanhol")</f>
        <v>Guilherme Miranda - #SLSEA - Segunda Licenciatura Letras - Espanhol</v>
      </c>
    </row>
    <row r="183">
      <c r="A183" s="390" t="str">
        <f>IFERROR(__xludf.DUMMYFUNCTION("""COMPUTED_VALUE"""),"Guilherme Miranda - #SLSEA - Segunda Licenciatura Letras - Espanhol")</f>
        <v>Guilherme Miranda - #SLSEA - Segunda Licenciatura Letras - Espanhol</v>
      </c>
    </row>
    <row r="184">
      <c r="A184" s="390" t="str">
        <f>IFERROR(__xludf.DUMMYFUNCTION("""COMPUTED_VALUE"""),"Saloed Correia Leandro - #FPEEF- Formação Pedagógica Educação Física")</f>
        <v>Saloed Correia Leandro - #FPEEF- Formação Pedagógica Educação Física</v>
      </c>
    </row>
    <row r="185">
      <c r="A185" s="390" t="str">
        <f>IFERROR(__xludf.DUMMYFUNCTION("""COMPUTED_VALUE"""),"Maria Regina Rodrigues Ferronatto - #SLLPA - Segunda Licenciatura Letras - Português")</f>
        <v>Maria Regina Rodrigues Ferronatto - #SLLPA - Segunda Licenciatura Letras - Português</v>
      </c>
    </row>
    <row r="186">
      <c r="A186" s="390" t="str">
        <f>IFERROR(__xludf.DUMMYFUNCTION("""COMPUTED_VALUE"""),"Maria Regina Rodrigues Ferronatto - Pós-Graduação em Neuropsicopedagogia")</f>
        <v>Maria Regina Rodrigues Ferronatto - Pós-Graduação em Neuropsicopedagogia</v>
      </c>
    </row>
    <row r="187">
      <c r="A187" s="390" t="str">
        <f>IFERROR(__xludf.DUMMYFUNCTION("""COMPUTED_VALUE"""),"JUBSON WILLIAN DE MATOS ARAGÃO - #SLGA - Segunda Licenciatura em Geografia")</f>
        <v>JUBSON WILLIAN DE MATOS ARAGÃO - #SLGA - Segunda Licenciatura em Geografia</v>
      </c>
    </row>
    <row r="188">
      <c r="A188" s="390" t="str">
        <f>IFERROR(__xludf.DUMMYFUNCTION("""COMPUTED_VALUE"""),"Edaildes Brandão de Sousa - #SLAA - Segunda Licenciatura em Artes Visuais")</f>
        <v>Edaildes Brandão de Sousa - #SLAA - Segunda Licenciatura em Artes Visuais</v>
      </c>
    </row>
    <row r="189">
      <c r="A189" s="390" t="str">
        <f>IFERROR(__xludf.DUMMYFUNCTION("""COMPUTED_VALUE"""),"Edaildes Brandão de Sousa - SEGUNDA LICENCIATURA EM FILOSOFIA - 2024")</f>
        <v>Edaildes Brandão de Sousa - SEGUNDA LICENCIATURA EM FILOSOFIA - 2024</v>
      </c>
    </row>
    <row r="190">
      <c r="A190" s="390" t="str">
        <f>IFERROR(__xludf.DUMMYFUNCTION("""COMPUTED_VALUE"""),"Edaildes Brandão de Sousa - Pós-Graduação Educação Especial e Inclusiva")</f>
        <v>Edaildes Brandão de Sousa - Pós-Graduação Educação Especial e Inclusiva</v>
      </c>
    </row>
    <row r="191">
      <c r="A191" s="390" t="str">
        <f>IFERROR(__xludf.DUMMYFUNCTION("""COMPUTED_VALUE"""),"Eli Cristiane Aparecida de Oliveira - Formação Pedagógica em Física")</f>
        <v>Eli Cristiane Aparecida de Oliveira - Formação Pedagógica em Física</v>
      </c>
    </row>
    <row r="192">
      <c r="A192" s="390" t="str">
        <f>IFERROR(__xludf.DUMMYFUNCTION("""COMPUTED_VALUE"""),"Renan Aparecido Vigaro - Formação Pedagógica em Ciências Biológicas")</f>
        <v>Renan Aparecido Vigaro - Formação Pedagógica em Ciências Biológicas</v>
      </c>
    </row>
    <row r="193">
      <c r="A193" s="390" t="str">
        <f>IFERROR(__xludf.DUMMYFUNCTION("""COMPUTED_VALUE"""),"Joaquim Dantas de Sousa - #SLMA - Segunda Licenciatura Matemática")</f>
        <v>Joaquim Dantas de Sousa - #SLMA - Segunda Licenciatura Matemática</v>
      </c>
    </row>
    <row r="194">
      <c r="A194" s="390" t="str">
        <f>IFERROR(__xludf.DUMMYFUNCTION("""COMPUTED_VALUE"""),"MARIA DAS DORES SOUSA MELO - #SLCBA - Segunda Licenciatura em Ciências Biológicas")</f>
        <v>MARIA DAS DORES SOUSA MELO - #SLCBA - Segunda Licenciatura em Ciências Biológicas</v>
      </c>
    </row>
    <row r="195">
      <c r="A195" s="390" t="str">
        <f>IFERROR(__xludf.DUMMYFUNCTION("""COMPUTED_VALUE"""),"Loraine Ferreira da Silva - #SLMA - Segunda Licenciatura Matemática")</f>
        <v>Loraine Ferreira da Silva - #SLMA - Segunda Licenciatura Matemática</v>
      </c>
    </row>
    <row r="196">
      <c r="A196" s="390" t="str">
        <f>IFERROR(__xludf.DUMMYFUNCTION("""COMPUTED_VALUE"""),"Ana Catarina Soares Villas Boas - #SLIA - Segunda Licenciatura Letras - Inglês")</f>
        <v>Ana Catarina Soares Villas Boas - #SLIA - Segunda Licenciatura Letras - Inglês</v>
      </c>
    </row>
    <row r="197">
      <c r="A197" s="390" t="str">
        <f>IFERROR(__xludf.DUMMYFUNCTION("""COMPUTED_VALUE"""),"Sthefany Silva - Formação Pedagógica em Matemática")</f>
        <v>Sthefany Silva - Formação Pedagógica em Matemática</v>
      </c>
    </row>
    <row r="198">
      <c r="A198" s="390" t="str">
        <f>IFERROR(__xludf.DUMMYFUNCTION("""COMPUTED_VALUE"""),"Luciana Aparecida Cassiano Reimberg de Siqueira - #SLIA - Segunda Licenciatura Letras - Inglês")</f>
        <v>Luciana Aparecida Cassiano Reimberg de Siqueira - #SLIA - Segunda Licenciatura Letras - Inglês</v>
      </c>
    </row>
    <row r="199">
      <c r="A199" s="390" t="str">
        <f>IFERROR(__xludf.DUMMYFUNCTION("""COMPUTED_VALUE"""),"Luciana Aparecida Cassiano Reimberg de Siqueira - #SLLPIT1 - Segunda Licenciatura em Letras/Português-Inglês - 1310 Horas")</f>
        <v>Luciana Aparecida Cassiano Reimberg de Siqueira - #SLLPIT1 - Segunda Licenciatura em Letras/Português-Inglês - 1310 Horas</v>
      </c>
    </row>
    <row r="200">
      <c r="A200" s="390" t="str">
        <f>IFERROR(__xludf.DUMMYFUNCTION("""COMPUTED_VALUE"""),"Luciana Aparecida Cassiano Reimberg de Siqueira - Pós-Graduação em Biblioteconomia")</f>
        <v>Luciana Aparecida Cassiano Reimberg de Siqueira - Pós-Graduação em Biblioteconomia</v>
      </c>
    </row>
    <row r="201">
      <c r="A201" s="390" t="str">
        <f>IFERROR(__xludf.DUMMYFUNCTION("""COMPUTED_VALUE"""),"Luciana Aparecida Cassiano Reimberg de Siqueira - Pós-Graduação em Biblioteconomia")</f>
        <v>Luciana Aparecida Cassiano Reimberg de Siqueira - Pós-Graduação em Biblioteconomia</v>
      </c>
    </row>
    <row r="202">
      <c r="A202" s="390" t="str">
        <f>IFERROR(__xludf.DUMMYFUNCTION("""COMPUTED_VALUE"""),"Luciana Aparecida Cassiano Reimberg de Siqueira - Pós-Graduação em Biblioteconomia")</f>
        <v>Luciana Aparecida Cassiano Reimberg de Siqueira - Pós-Graduação em Biblioteconomia</v>
      </c>
    </row>
    <row r="203">
      <c r="A203" s="390" t="str">
        <f>IFERROR(__xludf.DUMMYFUNCTION("""COMPUTED_VALUE"""),"LUIZ DOS SANTOS - #SLFA  - Segunda Licenciatura em Filosofia")</f>
        <v>LUIZ DOS SANTOS - #SLFA  - Segunda Licenciatura em Filosofia</v>
      </c>
    </row>
    <row r="204">
      <c r="A204" s="390" t="str">
        <f>IFERROR(__xludf.DUMMYFUNCTION("""COMPUTED_VALUE"""),"Jonathan Rosario da Silva - #SLAA - Segunda Licenciatura em Artes Visuais")</f>
        <v>Jonathan Rosario da Silva - #SLAA - Segunda Licenciatura em Artes Visuais</v>
      </c>
    </row>
    <row r="205">
      <c r="A205" s="390" t="str">
        <f>IFERROR(__xludf.DUMMYFUNCTION("""COMPUTED_VALUE"""),"Ely Clayton Fernandes da Silva - Formação Pedagogica em Geografia")</f>
        <v>Ely Clayton Fernandes da Silva - Formação Pedagogica em Geografia</v>
      </c>
    </row>
    <row r="206">
      <c r="A206" s="390" t="str">
        <f>IFERROR(__xludf.DUMMYFUNCTION("""COMPUTED_VALUE"""),"Liliane ribeiro de campos oliveira - Formação Pedagógica em Artes Visuais")</f>
        <v>Liliane ribeiro de campos oliveira - Formação Pedagógica em Artes Visuais</v>
      </c>
    </row>
    <row r="207">
      <c r="A207" s="390" t="str">
        <f>IFERROR(__xludf.DUMMYFUNCTION("""COMPUTED_VALUE"""),"SERGIO LUIZ AUGUSTO DIAS - #SLCBA - Segunda Licenciatura em Ciências Biológicas")</f>
        <v>SERGIO LUIZ AUGUSTO DIAS - #SLCBA - Segunda Licenciatura em Ciências Biológicas</v>
      </c>
    </row>
    <row r="208">
      <c r="A208" s="390" t="str">
        <f>IFERROR(__xludf.DUMMYFUNCTION("""COMPUTED_VALUE"""),"SERGIO LUIZ AUGUSTO DIAS - #SLMF- Segunda Licenciatura em Música 2022 880Horas")</f>
        <v>SERGIO LUIZ AUGUSTO DIAS - #SLMF- Segunda Licenciatura em Música 2022 880Horas</v>
      </c>
    </row>
    <row r="209">
      <c r="A209" s="390" t="str">
        <f>IFERROR(__xludf.DUMMYFUNCTION("""COMPUTED_VALUE"""),"Lucilene Miranda de Sousa vaz - #FPEEF- Formação Pedagógica Educação Física")</f>
        <v>Lucilene Miranda de Sousa vaz - #FPEEF- Formação Pedagógica Educação Física</v>
      </c>
    </row>
    <row r="210">
      <c r="A210" s="390" t="str">
        <f>IFERROR(__xludf.DUMMYFUNCTION("""COMPUTED_VALUE"""),"Samuel Elói dos Santos - #SLCSA - Segunda Licenciatura em Ciências Sociais")</f>
        <v>Samuel Elói dos Santos - #SLCSA - Segunda Licenciatura em Ciências Sociais</v>
      </c>
    </row>
    <row r="211">
      <c r="A211" s="390" t="str">
        <f>IFERROR(__xludf.DUMMYFUNCTION("""COMPUTED_VALUE"""),"Valeria Oliveira de Jesus - #SLIA - Segunda Licenciatura Letras - Inglês")</f>
        <v>Valeria Oliveira de Jesus - #SLIA - Segunda Licenciatura Letras - Inglês</v>
      </c>
    </row>
    <row r="212">
      <c r="A212" s="390" t="str">
        <f>IFERROR(__xludf.DUMMYFUNCTION("""COMPUTED_VALUE"""),"Valeria Oliveira de Jesus - #SLLIT - Segunda Licenciatura em Letras-Inglês 1090Horas")</f>
        <v>Valeria Oliveira de Jesus - #SLLIT - Segunda Licenciatura em Letras-Inglês 1090Horas</v>
      </c>
    </row>
    <row r="213">
      <c r="A213" s="390" t="str">
        <f>IFERROR(__xludf.DUMMYFUNCTION("""COMPUTED_VALUE"""),"Iury de Oliveira Amorim - Formação Pedagógica Letras - Português")</f>
        <v>Iury de Oliveira Amorim - Formação Pedagógica Letras - Português</v>
      </c>
    </row>
    <row r="214">
      <c r="A214" s="390" t="str">
        <f>IFERROR(__xludf.DUMMYFUNCTION("""COMPUTED_VALUE"""),"Marilene Alves Guimarães - #SLEEA - Segunda Licenciatura em Educação Especial")</f>
        <v>Marilene Alves Guimarães - #SLEEA - Segunda Licenciatura em Educação Especial</v>
      </c>
    </row>
    <row r="215">
      <c r="A215" s="390" t="str">
        <f>IFERROR(__xludf.DUMMYFUNCTION("""COMPUTED_VALUE"""),"Marilene Alves Guimarães - Pós-Graduação em Gestão Escolar Integrada com Ênfase em Supervisão, Orientação, Administração e Inspeção")</f>
        <v>Marilene Alves Guimarães - Pós-Graduação em Gestão Escolar Integrada com Ênfase em Supervisão, Orientação, Administração e Inspeção</v>
      </c>
    </row>
    <row r="216">
      <c r="A216" s="390" t="str">
        <f>IFERROR(__xludf.DUMMYFUNCTION("""COMPUTED_VALUE"""),"Amanda Aparecida Maciel - #SLCBA - Segunda Licenciatura em Ciências Biológicas")</f>
        <v>Amanda Aparecida Maciel - #SLCBA - Segunda Licenciatura em Ciências Biológicas</v>
      </c>
    </row>
    <row r="217">
      <c r="A217" s="390" t="str">
        <f>IFERROR(__xludf.DUMMYFUNCTION("""COMPUTED_VALUE"""),"Amanda Aparecida Maciel - #SLLLA - Segunda Licenciatura em Letras - Libras")</f>
        <v>Amanda Aparecida Maciel - #SLLLA - Segunda Licenciatura em Letras - Libras</v>
      </c>
    </row>
    <row r="218">
      <c r="A218" s="390" t="str">
        <f>IFERROR(__xludf.DUMMYFUNCTION("""COMPUTED_VALUE"""),"Euride Gonçalves - #SLAA - Segunda Licenciatura em Artes Visuais")</f>
        <v>Euride Gonçalves - #SLAA - Segunda Licenciatura em Artes Visuais</v>
      </c>
    </row>
    <row r="219">
      <c r="A219" s="390" t="str">
        <f>IFERROR(__xludf.DUMMYFUNCTION("""COMPUTED_VALUE"""),"Miriam Fernanda Matozo de Oliveira - #SLCBA - Segunda Licenciatura em Ciências Biológicas")</f>
        <v>Miriam Fernanda Matozo de Oliveira - #SLCBA - Segunda Licenciatura em Ciências Biológicas</v>
      </c>
    </row>
    <row r="220">
      <c r="A220" s="390" t="str">
        <f>IFERROR(__xludf.DUMMYFUNCTION("""COMPUTED_VALUE"""),"Daiany Cristine Martins Araujo - #SLGA - Segunda Licenciatura em Geografia")</f>
        <v>Daiany Cristine Martins Araujo - #SLGA - Segunda Licenciatura em Geografia</v>
      </c>
    </row>
    <row r="221">
      <c r="A221" s="390" t="str">
        <f>IFERROR(__xludf.DUMMYFUNCTION("""COMPUTED_VALUE"""),"Tatiane Aparecida Maria dos Santos Marques - #SLAA - Segunda Licenciatura em Artes Visuais")</f>
        <v>Tatiane Aparecida Maria dos Santos Marques - #SLAA - Segunda Licenciatura em Artes Visuais</v>
      </c>
    </row>
    <row r="222">
      <c r="A222" s="390" t="str">
        <f>IFERROR(__xludf.DUMMYFUNCTION("""COMPUTED_VALUE"""),"Tatiane Aparecida Maria dos Santos Marques - Pós-Graduação Educação Especial e Inclusiva")</f>
        <v>Tatiane Aparecida Maria dos Santos Marques - Pós-Graduação Educação Especial e Inclusiva</v>
      </c>
    </row>
    <row r="223">
      <c r="A223" s="390" t="str">
        <f>IFERROR(__xludf.DUMMYFUNCTION("""COMPUTED_VALUE"""),"Luiz Henrique Solis Silva - Formação Pedagógica Letras - Espanhol")</f>
        <v>Luiz Henrique Solis Silva - Formação Pedagógica Letras - Espanhol</v>
      </c>
    </row>
    <row r="224">
      <c r="A224" s="390" t="str">
        <f>IFERROR(__xludf.DUMMYFUNCTION("""COMPUTED_VALUE"""),"Lenita Anjo de Oliveira Souza - #SLAA - Segunda Licenciatura em Artes Visuais")</f>
        <v>Lenita Anjo de Oliveira Souza - #SLAA - Segunda Licenciatura em Artes Visuais</v>
      </c>
    </row>
    <row r="225">
      <c r="A225" s="390" t="str">
        <f>IFERROR(__xludf.DUMMYFUNCTION("""COMPUTED_VALUE"""),"Geane Pereira Lopes - #SLLPA - Segunda Licenciatura Letras - Português")</f>
        <v>Geane Pereira Lopes - #SLLPA - Segunda Licenciatura Letras - Português</v>
      </c>
    </row>
    <row r="226">
      <c r="A226" s="390" t="str">
        <f>IFERROR(__xludf.DUMMYFUNCTION("""COMPUTED_VALUE"""),"Geane Pereira Lopes - Formação Pedagógica em Química")</f>
        <v>Geane Pereira Lopes - Formação Pedagógica em Química</v>
      </c>
    </row>
    <row r="227">
      <c r="A227" s="390" t="str">
        <f>IFERROR(__xludf.DUMMYFUNCTION("""COMPUTED_VALUE"""),"Giuliano Rosa sales - #SLCSA - Segunda Licenciatura em Ciências Sociais")</f>
        <v>Giuliano Rosa sales - #SLCSA - Segunda Licenciatura em Ciências Sociais</v>
      </c>
    </row>
    <row r="228">
      <c r="A228" s="390" t="str">
        <f>IFERROR(__xludf.DUMMYFUNCTION("""COMPUTED_VALUE"""),"José Joselio da Conceição da Silva - #SLEEA - Segunda Licenciatura em Educação Especial")</f>
        <v>José Joselio da Conceição da Silva - #SLEEA - Segunda Licenciatura em Educação Especial</v>
      </c>
    </row>
    <row r="229">
      <c r="A229" s="390" t="str">
        <f>IFERROR(__xludf.DUMMYFUNCTION("""COMPUTED_VALUE"""),"José Joselio da Conceição da Silva - #SLUEE - SEGUNDA LICENCIATURA EM EDUCAÇÃO ESPECIAL")</f>
        <v>José Joselio da Conceição da Silva - #SLUEE - SEGUNDA LICENCIATURA EM EDUCAÇÃO ESPECIAL</v>
      </c>
    </row>
    <row r="230">
      <c r="A230" s="390" t="str">
        <f>IFERROR(__xludf.DUMMYFUNCTION("""COMPUTED_VALUE"""),"José Joselio da Conceição da Silva - #SLUP - SEGUNDA LICENCIATURA EM PEDAGOGIA")</f>
        <v>José Joselio da Conceição da Silva - #SLUP - SEGUNDA LICENCIATURA EM PEDAGOGIA</v>
      </c>
    </row>
    <row r="231">
      <c r="A231" s="390" t="str">
        <f>IFERROR(__xludf.DUMMYFUNCTION("""COMPUTED_VALUE"""),"Tatiane Freitas da Silva - Pós-Graduação em Ensino de Artes")</f>
        <v>Tatiane Freitas da Silva - Pós-Graduação em Ensino de Artes</v>
      </c>
    </row>
    <row r="232">
      <c r="A232" s="390" t="str">
        <f>IFERROR(__xludf.DUMMYFUNCTION("""COMPUTED_VALUE"""),"Tatiane Freitas da Silva - Pós-Graduação História da Arte")</f>
        <v>Tatiane Freitas da Silva - Pós-Graduação História da Arte</v>
      </c>
    </row>
    <row r="233">
      <c r="A233" s="390" t="str">
        <f>IFERROR(__xludf.DUMMYFUNCTION("""COMPUTED_VALUE"""),"Tatiane Freitas da Silva - Pós-Graduação em Autismo")</f>
        <v>Tatiane Freitas da Silva - Pós-Graduação em Autismo</v>
      </c>
    </row>
    <row r="234">
      <c r="A234" s="390" t="str">
        <f>IFERROR(__xludf.DUMMYFUNCTION("""COMPUTED_VALUE"""),"Tatiane Freitas da Silva - Pós-Graduação em TDAH – Transtorno do Déficit de Atenção e Hiperatividade")</f>
        <v>Tatiane Freitas da Silva - Pós-Graduação em TDAH – Transtorno do Déficit de Atenção e Hiperatividade</v>
      </c>
    </row>
    <row r="235">
      <c r="A235" s="390" t="str">
        <f>IFERROR(__xludf.DUMMYFUNCTION("""COMPUTED_VALUE"""),"Tatiane Freitas da Silva - #SLEEA - Segunda Licenciatura em Educação Especial")</f>
        <v>Tatiane Freitas da Silva - #SLEEA - Segunda Licenciatura em Educação Especial</v>
      </c>
    </row>
    <row r="236">
      <c r="A236" s="390" t="str">
        <f>IFERROR(__xludf.DUMMYFUNCTION("""COMPUTED_VALUE"""),"Luciana Aparecida Cassiano Reimberg de Siqueira - #SLIA - Segunda Licenciatura Letras - Inglês")</f>
        <v>Luciana Aparecida Cassiano Reimberg de Siqueira - #SLIA - Segunda Licenciatura Letras - Inglês</v>
      </c>
    </row>
    <row r="237">
      <c r="A237" s="390" t="str">
        <f>IFERROR(__xludf.DUMMYFUNCTION("""COMPUTED_VALUE"""),"Luciana Aparecida Cassiano Reimberg de Siqueira - Pós-Graduação em Biblioteconomia")</f>
        <v>Luciana Aparecida Cassiano Reimberg de Siqueira - Pós-Graduação em Biblioteconomia</v>
      </c>
    </row>
    <row r="238">
      <c r="A238" s="390" t="str">
        <f>IFERROR(__xludf.DUMMYFUNCTION("""COMPUTED_VALUE"""),"Luciana Aparecida Cassiano Reimberg de Siqueira - #SLLPIT1 - Segunda Licenciatura em Letras/Português-Inglês - 1310 Horas")</f>
        <v>Luciana Aparecida Cassiano Reimberg de Siqueira - #SLLPIT1 - Segunda Licenciatura em Letras/Português-Inglês - 1310 Horas</v>
      </c>
    </row>
    <row r="239">
      <c r="A239" s="390" t="str">
        <f>IFERROR(__xludf.DUMMYFUNCTION("""COMPUTED_VALUE"""),"Rosângela Menezes de Souza - #SLUA- Segunda Licenciatura em Artes Visuais")</f>
        <v>Rosângela Menezes de Souza - #SLUA- Segunda Licenciatura em Artes Visuais</v>
      </c>
    </row>
    <row r="240">
      <c r="A240" s="390" t="str">
        <f>IFERROR(__xludf.DUMMYFUNCTION("""COMPUTED_VALUE"""),"Rosângela Menezes de Souza - #SLAA - Segunda Licenciatura em Artes Visuais")</f>
        <v>Rosângela Menezes de Souza - #SLAA - Segunda Licenciatura em Artes Visuais</v>
      </c>
    </row>
    <row r="241">
      <c r="A241" s="390" t="str">
        <f>IFERROR(__xludf.DUMMYFUNCTION("""COMPUTED_VALUE"""),"Adriano Rodrigues Real - #SLAA - Segunda Licenciatura em Artes Visuais")</f>
        <v>Adriano Rodrigues Real - #SLAA - Segunda Licenciatura em Artes Visuais</v>
      </c>
    </row>
    <row r="242">
      <c r="A242" s="390" t="str">
        <f>IFERROR(__xludf.DUMMYFUNCTION("""COMPUTED_VALUE"""),"Fabíola Aline da Silva - Pós-Graduação Terapia Cognitiva Comportamental")</f>
        <v>Fabíola Aline da Silva - Pós-Graduação Terapia Cognitiva Comportamental</v>
      </c>
    </row>
    <row r="243">
      <c r="A243" s="390" t="str">
        <f>IFERROR(__xludf.DUMMYFUNCTION("""COMPUTED_VALUE"""),"Gislaine Cristina da Silva Santos - #SLEEF- Segunda Licenciatura Educação Física")</f>
        <v>Gislaine Cristina da Silva Santos - #SLEEF- Segunda Licenciatura Educação Física</v>
      </c>
    </row>
    <row r="244">
      <c r="A244" s="390" t="str">
        <f>IFERROR(__xludf.DUMMYFUNCTION("""COMPUTED_VALUE"""),"Gislaine Cristina da Silva Santos - #SLUEF - Segunda Licenciatura em Educação Física")</f>
        <v>Gislaine Cristina da Silva Santos - #SLUEF - Segunda Licenciatura em Educação Física</v>
      </c>
    </row>
    <row r="245">
      <c r="A245" s="390" t="str">
        <f>IFERROR(__xludf.DUMMYFUNCTION("""COMPUTED_VALUE"""),"Gislaine Cristina da Silva Santos - #SLAA - Segunda Licenciatura em Artes Visuais")</f>
        <v>Gislaine Cristina da Silva Santos - #SLAA - Segunda Licenciatura em Artes Visuais</v>
      </c>
    </row>
    <row r="246">
      <c r="A246" s="390" t="str">
        <f>IFERROR(__xludf.DUMMYFUNCTION("""COMPUTED_VALUE"""),"Luciana Andreia de Arruda - Pós-Graduação em Educação Especial 720Horas")</f>
        <v>Luciana Andreia de Arruda - Pós-Graduação em Educação Especial 720Horas</v>
      </c>
    </row>
    <row r="247">
      <c r="A247" s="390" t="str">
        <f>IFERROR(__xludf.DUMMYFUNCTION("""COMPUTED_VALUE"""),"Luciana Andreia de Arruda - #SLAA - Segunda Licenciatura em Artes Visuais")</f>
        <v>Luciana Andreia de Arruda - #SLAA - Segunda Licenciatura em Artes Visuais</v>
      </c>
    </row>
    <row r="248">
      <c r="A248" s="390" t="str">
        <f>IFERROR(__xludf.DUMMYFUNCTION("""COMPUTED_VALUE"""),"Luciana Andreia de Arruda - Pós-Graduação Psicopedagogia Clínica, Institucional e Hospitalar")</f>
        <v>Luciana Andreia de Arruda - Pós-Graduação Psicopedagogia Clínica, Institucional e Hospitalar</v>
      </c>
    </row>
    <row r="249">
      <c r="A249" s="390" t="str">
        <f>IFERROR(__xludf.DUMMYFUNCTION("""COMPUTED_VALUE"""),"Luciana Andreia de Arruda - Pós-graduação em Gestão Escolar Integradora com Ênfase em Supervisão, Orientação, Administração e Inspeção 740Horas")</f>
        <v>Luciana Andreia de Arruda - Pós-graduação em Gestão Escolar Integradora com Ênfase em Supervisão, Orientação, Administração e Inspeção 740Horas</v>
      </c>
    </row>
    <row r="250">
      <c r="A250" s="390" t="str">
        <f>IFERROR(__xludf.DUMMYFUNCTION("""COMPUTED_VALUE"""),"Adão do Carmo Muniz - #SLEEA - Segunda Licenciatura em Educação Especial")</f>
        <v>Adão do Carmo Muniz - #SLEEA - Segunda Licenciatura em Educação Especial</v>
      </c>
    </row>
    <row r="251">
      <c r="A251" s="390" t="str">
        <f>IFERROR(__xludf.DUMMYFUNCTION("""COMPUTED_VALUE"""),"Adão do Carmo Muniz - #SLLPA - Segunda Licenciatura Letras - Português")</f>
        <v>Adão do Carmo Muniz - #SLLPA - Segunda Licenciatura Letras - Português</v>
      </c>
    </row>
    <row r="252">
      <c r="A252" s="390" t="str">
        <f>IFERROR(__xludf.DUMMYFUNCTION("""COMPUTED_VALUE"""),"Regina Costa Spindola Morais - #SLCBA - Segunda Licenciatura em Ciências Biológicas")</f>
        <v>Regina Costa Spindola Morais - #SLCBA - Segunda Licenciatura em Ciências Biológicas</v>
      </c>
    </row>
    <row r="253">
      <c r="A253" s="390" t="str">
        <f>IFERROR(__xludf.DUMMYFUNCTION("""COMPUTED_VALUE"""),"Regina Barros Guimarães - #SLCBA - Segunda Licenciatura em Ciências Biológicas")</f>
        <v>Regina Barros Guimarães - #SLCBA - Segunda Licenciatura em Ciências Biológicas</v>
      </c>
    </row>
    <row r="254">
      <c r="A254" s="390" t="str">
        <f>IFERROR(__xludf.DUMMYFUNCTION("""COMPUTED_VALUE"""),"Elaine Aparecida Rodrigues - #SLGA - Segunda Licenciatura em Geografia")</f>
        <v>Elaine Aparecida Rodrigues - #SLGA - Segunda Licenciatura em Geografia</v>
      </c>
    </row>
    <row r="255">
      <c r="A255" s="390" t="str">
        <f>IFERROR(__xludf.DUMMYFUNCTION("""COMPUTED_VALUE"""),"Adao do Carmo Muniz - #SLLPA - Segunda Licenciatura Letras - Português")</f>
        <v>Adao do Carmo Muniz - #SLLPA - Segunda Licenciatura Letras - Português</v>
      </c>
    </row>
    <row r="256">
      <c r="A256" s="390" t="str">
        <f>IFERROR(__xludf.DUMMYFUNCTION("""COMPUTED_VALUE"""),"Esteves Douglas de Souza - #SLIA - Segunda Licenciatura Letras - Inglês")</f>
        <v>Esteves Douglas de Souza - #SLIA - Segunda Licenciatura Letras - Inglês</v>
      </c>
    </row>
    <row r="257">
      <c r="A257" s="390" t="str">
        <f>IFERROR(__xludf.DUMMYFUNCTION("""COMPUTED_VALUE"""),"Esteves Douglas de Souza - #SLUP - SEGUNDA LICENCIATURA EM PEDAGOGIA")</f>
        <v>Esteves Douglas de Souza - #SLUP - SEGUNDA LICENCIATURA EM PEDAGOGIA</v>
      </c>
    </row>
    <row r="258">
      <c r="A258" s="390" t="str">
        <f>IFERROR(__xludf.DUMMYFUNCTION("""COMPUTED_VALUE"""),"Esteves Douglas de Souza - #SLIA - Segunda Licenciatura Letras - Inglês")</f>
        <v>Esteves Douglas de Souza - #SLIA - Segunda Licenciatura Letras - Inglês</v>
      </c>
    </row>
    <row r="259">
      <c r="A259" s="390" t="str">
        <f>IFERROR(__xludf.DUMMYFUNCTION("""COMPUTED_VALUE"""),"Esteves Douglas de Souza - #SLCBA - Segunda Licenciatura em Ciências Biológicas")</f>
        <v>Esteves Douglas de Souza - #SLCBA - Segunda Licenciatura em Ciências Biológicas</v>
      </c>
    </row>
    <row r="260">
      <c r="A260" s="390" t="str">
        <f>IFERROR(__xludf.DUMMYFUNCTION("""COMPUTED_VALUE"""),"Esteves Douglas de Souza - #SLGA - Segunda Licenciatura em Geografia")</f>
        <v>Esteves Douglas de Souza - #SLGA - Segunda Licenciatura em Geografia</v>
      </c>
    </row>
    <row r="261">
      <c r="A261" s="390" t="str">
        <f>IFERROR(__xludf.DUMMYFUNCTION("""COMPUTED_VALUE"""),"Esteves Douglas de Souza - #SLHA - Segunda Licenciatura em História")</f>
        <v>Esteves Douglas de Souza - #SLHA - Segunda Licenciatura em História</v>
      </c>
    </row>
    <row r="262">
      <c r="A262" s="390" t="str">
        <f>IFERROR(__xludf.DUMMYFUNCTION("""COMPUTED_VALUE"""),"Esteves Douglas de Souza - #SLUP - SEGUNDA LICENCIATURA EM PEDAGOGIA")</f>
        <v>Esteves Douglas de Souza - #SLUP - SEGUNDA LICENCIATURA EM PEDAGOGIA</v>
      </c>
    </row>
    <row r="263">
      <c r="A263" s="390" t="str">
        <f>IFERROR(__xludf.DUMMYFUNCTION("""COMPUTED_VALUE"""),"Esteves Douglas de Souza - #SLUC - SEGUNDA LICENCIATURA EM CIÊNCIAS DA RELIGIÃO- U")</f>
        <v>Esteves Douglas de Souza - #SLUC - SEGUNDA LICENCIATURA EM CIÊNCIAS DA RELIGIÃO- U</v>
      </c>
    </row>
    <row r="264">
      <c r="A264" s="390" t="str">
        <f>IFERROR(__xludf.DUMMYFUNCTION("""COMPUTED_VALUE"""),"Esteves Douglas de Souza - #SLUG - SEGUNDA LICENCIATURA EM GEOGRAFIA")</f>
        <v>Esteves Douglas de Souza - #SLUG - SEGUNDA LICENCIATURA EM GEOGRAFIA</v>
      </c>
    </row>
    <row r="265">
      <c r="A265" s="390" t="str">
        <f>IFERROR(__xludf.DUMMYFUNCTION("""COMPUTED_VALUE"""),"Esteves Douglas de Souza - #SLUH- Segunda Licenciatura em História")</f>
        <v>Esteves Douglas de Souza - #SLUH- Segunda Licenciatura em História</v>
      </c>
    </row>
    <row r="266">
      <c r="A266" s="390" t="str">
        <f>IFERROR(__xludf.DUMMYFUNCTION("""COMPUTED_VALUE"""),"Esteves Douglas de Souza - Formação Pedagógica em Letras - Inglês")</f>
        <v>Esteves Douglas de Souza - Formação Pedagógica em Letras - Inglês</v>
      </c>
    </row>
    <row r="267">
      <c r="A267" s="390" t="str">
        <f>IFERROR(__xludf.DUMMYFUNCTION("""COMPUTED_VALUE"""),"Cristiane Santiago Amaru - Pós-Graduação em Musicoterapia")</f>
        <v>Cristiane Santiago Amaru - Pós-Graduação em Musicoterapia</v>
      </c>
    </row>
    <row r="268">
      <c r="A268" s="390" t="str">
        <f>IFERROR(__xludf.DUMMYFUNCTION("""COMPUTED_VALUE"""),"LEONICE APARECIDA DE FATIMA ALVES PEREIRA MOURAD - #SLEEA - Segunda Licenciatura em Educação Especial")</f>
        <v>LEONICE APARECIDA DE FATIMA ALVES PEREIRA MOURAD - #SLEEA - Segunda Licenciatura em Educação Especial</v>
      </c>
    </row>
    <row r="269">
      <c r="A269" s="390" t="str">
        <f>IFERROR(__xludf.DUMMYFUNCTION("""COMPUTED_VALUE"""),"Fernanda Silva da Cruz Oliveira - #SLGA - Segunda Licenciatura em Geografia")</f>
        <v>Fernanda Silva da Cruz Oliveira - #SLGA - Segunda Licenciatura em Geografia</v>
      </c>
    </row>
    <row r="270">
      <c r="A270" s="390" t="str">
        <f>IFERROR(__xludf.DUMMYFUNCTION("""COMPUTED_VALUE"""),"Ana Ruth Silva - #SLCBA - Segunda Licenciatura em Ciências Biológicas")</f>
        <v>Ana Ruth Silva - #SLCBA - Segunda Licenciatura em Ciências Biológicas</v>
      </c>
    </row>
    <row r="271">
      <c r="A271" s="390" t="str">
        <f>IFERROR(__xludf.DUMMYFUNCTION("""COMPUTED_VALUE"""),"Ana Ruth Silva - Pós-Graduação Educação Especial e Inclusiva")</f>
        <v>Ana Ruth Silva - Pós-Graduação Educação Especial e Inclusiva</v>
      </c>
    </row>
    <row r="272">
      <c r="A272" s="390" t="str">
        <f>IFERROR(__xludf.DUMMYFUNCTION("""COMPUTED_VALUE"""),"Marcos Aurélio de Oliveira - Formação Pedagógica em Matemática")</f>
        <v>Marcos Aurélio de Oliveira - Formação Pedagógica em Matemática</v>
      </c>
    </row>
    <row r="273">
      <c r="A273" s="390" t="str">
        <f>IFERROR(__xludf.DUMMYFUNCTION("""COMPUTED_VALUE"""),"Rodrigo Aquiyama Coppede - Formação Pedagogica em Geografia")</f>
        <v>Rodrigo Aquiyama Coppede - Formação Pedagogica em Geografia</v>
      </c>
    </row>
    <row r="274">
      <c r="A274" s="390" t="str">
        <f>IFERROR(__xludf.DUMMYFUNCTION("""COMPUTED_VALUE"""),"Eduarda Carlos de Lima - Formação Pedagógica em Ciências Biológicas")</f>
        <v>Eduarda Carlos de Lima - Formação Pedagógica em Ciências Biológicas</v>
      </c>
    </row>
    <row r="275">
      <c r="A275" s="390" t="str">
        <f>IFERROR(__xludf.DUMMYFUNCTION("""COMPUTED_VALUE"""),"Eduarda Carlos de Lima - Formação pedagógica Letras - Português")</f>
        <v>Eduarda Carlos de Lima - Formação pedagógica Letras - Português</v>
      </c>
    </row>
    <row r="276">
      <c r="A276" s="390" t="str">
        <f>IFERROR(__xludf.DUMMYFUNCTION("""COMPUTED_VALUE"""),"Naor Alves Esteves - Pós-Graduação em Musicoterapia")</f>
        <v>Naor Alves Esteves - Pós-Graduação em Musicoterapia</v>
      </c>
    </row>
    <row r="277">
      <c r="A277" s="390" t="str">
        <f>IFERROR(__xludf.DUMMYFUNCTION("""COMPUTED_VALUE"""),"Naor Alves Esteves - #SLMF - Segunda Licenciatura em Música 1320Horas")</f>
        <v>Naor Alves Esteves - #SLMF - Segunda Licenciatura em Música 1320Horas</v>
      </c>
    </row>
    <row r="278">
      <c r="A278" s="390" t="str">
        <f>IFERROR(__xludf.DUMMYFUNCTION("""COMPUTED_VALUE"""),"Israel Quiroga Botelho - #SLGA - Segunda Licenciatura em Geografia")</f>
        <v>Israel Quiroga Botelho - #SLGA - Segunda Licenciatura em Geografia</v>
      </c>
    </row>
    <row r="279">
      <c r="A279" s="390" t="str">
        <f>IFERROR(__xludf.DUMMYFUNCTION("""COMPUTED_VALUE"""),"Cheila Camargos Capanema - #SLEEA - Segunda Licenciatura em Educação Especial")</f>
        <v>Cheila Camargos Capanema - #SLEEA - Segunda Licenciatura em Educação Especial</v>
      </c>
    </row>
    <row r="280">
      <c r="A280" s="390" t="str">
        <f>IFERROR(__xludf.DUMMYFUNCTION("""COMPUTED_VALUE"""),"Ariana Reis - Formação Livre Psicanálise")</f>
        <v>Ariana Reis - Formação Livre Psicanálise</v>
      </c>
    </row>
    <row r="281">
      <c r="A281" s="390" t="str">
        <f>IFERROR(__xludf.DUMMYFUNCTION("""COMPUTED_VALUE"""),"Carla Cristina Dal Vesco - Pós-Graduação em Psicanálise")</f>
        <v>Carla Cristina Dal Vesco - Pós-Graduação em Psicanálise</v>
      </c>
    </row>
    <row r="282">
      <c r="A282" s="390" t="str">
        <f>IFERROR(__xludf.DUMMYFUNCTION("""COMPUTED_VALUE"""),"Carla Cristina Dal Vesco - Pós-Graduação em Psicanálise")</f>
        <v>Carla Cristina Dal Vesco - Pós-Graduação em Psicanálise</v>
      </c>
    </row>
    <row r="283">
      <c r="A283" s="390" t="str">
        <f>IFERROR(__xludf.DUMMYFUNCTION("""COMPUTED_VALUE"""),"Edjenane Ozório - Pós-Graduação em Psicanálise")</f>
        <v>Edjenane Ozório - Pós-Graduação em Psicanálise</v>
      </c>
    </row>
    <row r="284">
      <c r="A284" s="390" t="str">
        <f>IFERROR(__xludf.DUMMYFUNCTION("""COMPUTED_VALUE"""),"Leila Costa Castro - #SLEEA - Segunda Licenciatura em Educação Especial")</f>
        <v>Leila Costa Castro - #SLEEA - Segunda Licenciatura em Educação Especial</v>
      </c>
    </row>
    <row r="285">
      <c r="A285" s="390" t="str">
        <f>IFERROR(__xludf.DUMMYFUNCTION("""COMPUTED_VALUE"""),"Tatiane Cristina leiva Pereira - Formação Livre Psicanálise")</f>
        <v>Tatiane Cristina leiva Pereira - Formação Livre Psicanálise</v>
      </c>
    </row>
    <row r="286">
      <c r="A286" s="390" t="str">
        <f>IFERROR(__xludf.DUMMYFUNCTION("""COMPUTED_VALUE"""),"Erlane Santos Vila Nova - Formação Livre Psicanálise")</f>
        <v>Erlane Santos Vila Nova - Formação Livre Psicanálise</v>
      </c>
    </row>
    <row r="287">
      <c r="A287" s="390" t="str">
        <f>IFERROR(__xludf.DUMMYFUNCTION("""COMPUTED_VALUE"""),"Jean Magno Rodrigues - Pós-Graduação em Psicanálise")</f>
        <v>Jean Magno Rodrigues - Pós-Graduação em Psicanálise</v>
      </c>
    </row>
    <row r="288">
      <c r="A288" s="390" t="str">
        <f>IFERROR(__xludf.DUMMYFUNCTION("""COMPUTED_VALUE"""),"Dariane Darc Oliveira Donato - Formação Livre Psicanálise")</f>
        <v>Dariane Darc Oliveira Donato - Formação Livre Psicanálise</v>
      </c>
    </row>
    <row r="289">
      <c r="A289" s="390" t="str">
        <f>IFERROR(__xludf.DUMMYFUNCTION("""COMPUTED_VALUE"""),"Patrício Anselmo Borges Moreira de Oliveira - Formação Livre Psicanálise")</f>
        <v>Patrício Anselmo Borges Moreira de Oliveira - Formação Livre Psicanálise</v>
      </c>
    </row>
    <row r="290">
      <c r="A290" s="390" t="str">
        <f>IFERROR(__xludf.DUMMYFUNCTION("""COMPUTED_VALUE"""),"Cinthia Silva Raslan - Formação Livre Psicanálise")</f>
        <v>Cinthia Silva Raslan - Formação Livre Psicanálise</v>
      </c>
    </row>
    <row r="291">
      <c r="A291" s="390" t="str">
        <f>IFERROR(__xludf.DUMMYFUNCTION("""COMPUTED_VALUE"""),"Anderson Augusto Silva Oliveira - Pós-Graduação em Musicoterapia")</f>
        <v>Anderson Augusto Silva Oliveira - Pós-Graduação em Musicoterapia</v>
      </c>
    </row>
    <row r="292">
      <c r="A292" s="390" t="str">
        <f>IFERROR(__xludf.DUMMYFUNCTION("""COMPUTED_VALUE"""),"Anderson Augusto Silva Oliveira - FORMAÇÃO PEDAGÓGICA EM MÚSICA - 2024")</f>
        <v>Anderson Augusto Silva Oliveira - FORMAÇÃO PEDAGÓGICA EM MÚSICA - 2024</v>
      </c>
    </row>
    <row r="293">
      <c r="A293" s="390" t="str">
        <f>IFERROR(__xludf.DUMMYFUNCTION("""COMPUTED_VALUE"""),"Jucileia Paula Coelho - #SLCBA - Segunda Licenciatura em Ciências Biológicas")</f>
        <v>Jucileia Paula Coelho - #SLCBA - Segunda Licenciatura em Ciências Biológicas</v>
      </c>
    </row>
    <row r="294">
      <c r="A294" s="390" t="str">
        <f>IFERROR(__xludf.DUMMYFUNCTION("""COMPUTED_VALUE"""),"Jucileia Paula Coelho - Formação Pedagógica em Ciências Biológicas")</f>
        <v>Jucileia Paula Coelho - Formação Pedagógica em Ciências Biológicas</v>
      </c>
    </row>
    <row r="295">
      <c r="A295" s="390" t="str">
        <f>IFERROR(__xludf.DUMMYFUNCTION("""COMPUTED_VALUE"""),"Jucileia Paula Coelho - Pós-Graduação Inspeção Escolar")</f>
        <v>Jucileia Paula Coelho - Pós-Graduação Inspeção Escolar</v>
      </c>
    </row>
    <row r="296">
      <c r="A296" s="390" t="str">
        <f>IFERROR(__xludf.DUMMYFUNCTION("""COMPUTED_VALUE"""),"Flaviane Soares Pazeto - #SLLLA - Segunda Licenciatura em Letras - Libras")</f>
        <v>Flaviane Soares Pazeto - #SLLLA - Segunda Licenciatura em Letras - Libras</v>
      </c>
    </row>
    <row r="297">
      <c r="A297" s="390" t="str">
        <f>IFERROR(__xludf.DUMMYFUNCTION("""COMPUTED_VALUE"""),"Alessandra de Oliveira Silva - Formação Livre Psicanálise")</f>
        <v>Alessandra de Oliveira Silva - Formação Livre Psicanálise</v>
      </c>
    </row>
    <row r="298">
      <c r="A298" s="390" t="str">
        <f>IFERROR(__xludf.DUMMYFUNCTION("""COMPUTED_VALUE"""),"Alessandra de Oliveira Silva - #SLHA - Segunda Licenciatura em História")</f>
        <v>Alessandra de Oliveira Silva - #SLHA - Segunda Licenciatura em História</v>
      </c>
    </row>
    <row r="299">
      <c r="A299" s="390" t="str">
        <f>IFERROR(__xludf.DUMMYFUNCTION("""COMPUTED_VALUE"""),"Alessandra de Oliveira Silva - #SLH+1- Segunda Licenciatura em História")</f>
        <v>Alessandra de Oliveira Silva - #SLH+1- Segunda Licenciatura em História</v>
      </c>
    </row>
    <row r="300">
      <c r="A300" s="390" t="str">
        <f>IFERROR(__xludf.DUMMYFUNCTION("""COMPUTED_VALUE"""),"Antônio Alberto Prata Teodoro - Formação Pedagógica História")</f>
        <v>Antônio Alberto Prata Teodoro - Formação Pedagógica História</v>
      </c>
    </row>
    <row r="301">
      <c r="A301" s="390" t="str">
        <f>IFERROR(__xludf.DUMMYFUNCTION("""COMPUTED_VALUE"""),"Antônio Alberto Prata Teodoro - Pós-graduação em DIREITO PENAL 480h")</f>
        <v>Antônio Alberto Prata Teodoro - Pós-graduação em DIREITO PENAL 480h</v>
      </c>
    </row>
    <row r="302">
      <c r="A302" s="390" t="str">
        <f>IFERROR(__xludf.DUMMYFUNCTION("""COMPUTED_VALUE"""),"Farley Junior Chaves da Rocha - Formação Pedagógica História")</f>
        <v>Farley Junior Chaves da Rocha - Formação Pedagógica História</v>
      </c>
    </row>
    <row r="303">
      <c r="A303" s="390" t="str">
        <f>IFERROR(__xludf.DUMMYFUNCTION("""COMPUTED_VALUE"""),"Farley Junior Chaves da Rocha - Formação Pedagógica História")</f>
        <v>Farley Junior Chaves da Rocha - Formação Pedagógica História</v>
      </c>
    </row>
    <row r="304">
      <c r="A304" s="390" t="str">
        <f>IFERROR(__xludf.DUMMYFUNCTION("""COMPUTED_VALUE"""),"Farley Junior Chaves da Rocha - Pós-graduação em DIREITO PENAL 480h")</f>
        <v>Farley Junior Chaves da Rocha - Pós-graduação em DIREITO PENAL 480h</v>
      </c>
    </row>
    <row r="305">
      <c r="A305" s="390" t="str">
        <f>IFERROR(__xludf.DUMMYFUNCTION("""COMPUTED_VALUE"""),"Farley Junior Chaves da Rocha - #FPP- Formação Pedagógica em Pedagogia R2")</f>
        <v>Farley Junior Chaves da Rocha - #FPP- Formação Pedagógica em Pedagogia R2</v>
      </c>
    </row>
    <row r="306">
      <c r="A306" s="390" t="str">
        <f>IFERROR(__xludf.DUMMYFUNCTION("""COMPUTED_VALUE"""),"Farley Junior Chaves da Rocha - Pós-Graduação em Direito Civil e Processual Civil")</f>
        <v>Farley Junior Chaves da Rocha - Pós-Graduação em Direito Civil e Processual Civil</v>
      </c>
    </row>
    <row r="307">
      <c r="A307" s="390" t="str">
        <f>IFERROR(__xludf.DUMMYFUNCTION("""COMPUTED_VALUE"""),"Patrícia Gomes de Sousa - #FPP- Formação Pedagógica em Pedagogia R2")</f>
        <v>Patrícia Gomes de Sousa - #FPP- Formação Pedagógica em Pedagogia R2</v>
      </c>
    </row>
    <row r="308">
      <c r="A308" s="390" t="str">
        <f>IFERROR(__xludf.DUMMYFUNCTION("""COMPUTED_VALUE"""),"Patrícia Gomes de Sousa - Pós-graduação em DIREITO PENAL 480h")</f>
        <v>Patrícia Gomes de Sousa - Pós-graduação em DIREITO PENAL 480h</v>
      </c>
    </row>
    <row r="309">
      <c r="A309" s="390" t="str">
        <f>IFERROR(__xludf.DUMMYFUNCTION("""COMPUTED_VALUE"""),"Patrícia Gomes de Sousa - Formação Pedagógica em Artes Visuais")</f>
        <v>Patrícia Gomes de Sousa - Formação Pedagógica em Artes Visuais</v>
      </c>
    </row>
    <row r="310">
      <c r="A310" s="390" t="str">
        <f>IFERROR(__xludf.DUMMYFUNCTION("""COMPUTED_VALUE"""),"Patrícia Gomes de Sousa - Pós-Graduação em Direito Civil e Processual Civil")</f>
        <v>Patrícia Gomes de Sousa - Pós-Graduação em Direito Civil e Processual Civil</v>
      </c>
    </row>
    <row r="311">
      <c r="A311" s="390" t="str">
        <f>IFERROR(__xludf.DUMMYFUNCTION("""COMPUTED_VALUE"""),"Isabel Luiz Garcia - #SLCBA - Segunda Licenciatura em Ciências Biológicas")</f>
        <v>Isabel Luiz Garcia - #SLCBA - Segunda Licenciatura em Ciências Biológicas</v>
      </c>
    </row>
    <row r="312">
      <c r="A312" s="390" t="str">
        <f>IFERROR(__xludf.DUMMYFUNCTION("""COMPUTED_VALUE"""),"Célia Cristina Dias Garcia - Formação Livre Psicanálise")</f>
        <v>Célia Cristina Dias Garcia - Formação Livre Psicanálise</v>
      </c>
    </row>
    <row r="313">
      <c r="A313" s="390" t="str">
        <f>IFERROR(__xludf.DUMMYFUNCTION("""COMPUTED_VALUE"""),"João Batista Paixão Dos Santos - Formação Livre em Terapia Cognitiva Comportamental")</f>
        <v>João Batista Paixão Dos Santos - Formação Livre em Terapia Cognitiva Comportamental</v>
      </c>
    </row>
    <row r="314">
      <c r="A314" s="390" t="str">
        <f>IFERROR(__xludf.DUMMYFUNCTION("""COMPUTED_VALUE"""),"Evandro dos Santos Carlos - #SLEEF- Segunda Licenciatura Educação Física")</f>
        <v>Evandro dos Santos Carlos - #SLEEF- Segunda Licenciatura Educação Física</v>
      </c>
    </row>
    <row r="315">
      <c r="A315" s="390" t="str">
        <f>IFERROR(__xludf.DUMMYFUNCTION("""COMPUTED_VALUE"""),"João Paulo Bernardo - Formação Pedagogica em Geografia")</f>
        <v>João Paulo Bernardo - Formação Pedagogica em Geografia</v>
      </c>
    </row>
    <row r="316">
      <c r="A316" s="390" t="str">
        <f>IFERROR(__xludf.DUMMYFUNCTION("""COMPUTED_VALUE"""),"Renildo Lopes da Costa - #SLAA - Segunda Licenciatura em Artes Visuais")</f>
        <v>Renildo Lopes da Costa - #SLAA - Segunda Licenciatura em Artes Visuais</v>
      </c>
    </row>
    <row r="317">
      <c r="A317" s="390" t="str">
        <f>IFERROR(__xludf.DUMMYFUNCTION("""COMPUTED_VALUE"""),"Karen Macedo Firmo - #SLAA - Segunda Licenciatura em Artes Visuais")</f>
        <v>Karen Macedo Firmo - #SLAA - Segunda Licenciatura em Artes Visuais</v>
      </c>
    </row>
    <row r="318">
      <c r="A318" s="390" t="str">
        <f>IFERROR(__xludf.DUMMYFUNCTION("""COMPUTED_VALUE"""),"Rozilda Almeida Neves Magalhães - #SLAA - Segunda Licenciatura em Artes Visuais")</f>
        <v>Rozilda Almeida Neves Magalhães - #SLAA - Segunda Licenciatura em Artes Visuais</v>
      </c>
    </row>
    <row r="319">
      <c r="A319" s="390" t="str">
        <f>IFERROR(__xludf.DUMMYFUNCTION("""COMPUTED_VALUE"""),"Juliany Romilda Modesto de Lima - #SLAA - Segunda Licenciatura em Artes Visuais")</f>
        <v>Juliany Romilda Modesto de Lima - #SLAA - Segunda Licenciatura em Artes Visuais</v>
      </c>
    </row>
    <row r="320">
      <c r="A320" s="390" t="str">
        <f>IFERROR(__xludf.DUMMYFUNCTION("""COMPUTED_VALUE"""),"Edineia Aparecida Da Silva - Pós-Graduação Terapia Cognitiva Comportamental")</f>
        <v>Edineia Aparecida Da Silva - Pós-Graduação Terapia Cognitiva Comportamental</v>
      </c>
    </row>
    <row r="321">
      <c r="A321" s="390" t="str">
        <f>IFERROR(__xludf.DUMMYFUNCTION("""COMPUTED_VALUE"""),"Edineia Aparecida Da Silva - NOVO-Pós-Graduação em Psicanálise 800 Horas")</f>
        <v>Edineia Aparecida Da Silva - NOVO-Pós-Graduação em Psicanálise 800 Horas</v>
      </c>
    </row>
    <row r="322">
      <c r="A322" s="390" t="str">
        <f>IFERROR(__xludf.DUMMYFUNCTION("""COMPUTED_VALUE"""),"Karla Renata da Silva - Formação Livre em Terapia Cognitiva Comportamental")</f>
        <v>Karla Renata da Silva - Formação Livre em Terapia Cognitiva Comportamental</v>
      </c>
    </row>
    <row r="323">
      <c r="A323" s="390" t="str">
        <f>IFERROR(__xludf.DUMMYFUNCTION("""COMPUTED_VALUE"""),"Karla Renata da Silva - Formação Livre Psicanálise")</f>
        <v>Karla Renata da Silva - Formação Livre Psicanálise</v>
      </c>
    </row>
    <row r="324">
      <c r="A324" s="390" t="str">
        <f>IFERROR(__xludf.DUMMYFUNCTION("""COMPUTED_VALUE"""),"Karla Renata da Silva - Pós-Graduação em Neuropsicopedagogia Institucional, Clínica e Hospitalar 850h")</f>
        <v>Karla Renata da Silva - Pós-Graduação em Neuropsicopedagogia Institucional, Clínica e Hospitalar 850h</v>
      </c>
    </row>
    <row r="325">
      <c r="A325" s="390" t="str">
        <f>IFERROR(__xludf.DUMMYFUNCTION("""COMPUTED_VALUE"""),"Alexsandra Martins - Pós-Graduação em Psicanálise")</f>
        <v>Alexsandra Martins - Pós-Graduação em Psicanálise</v>
      </c>
    </row>
    <row r="326">
      <c r="A326" s="390" t="str">
        <f>IFERROR(__xludf.DUMMYFUNCTION("""COMPUTED_VALUE"""),"Alexsandra Martins - Formação Livre Psicanálise")</f>
        <v>Alexsandra Martins - Formação Livre Psicanálise</v>
      </c>
    </row>
    <row r="327">
      <c r="A327" s="390" t="str">
        <f>IFERROR(__xludf.DUMMYFUNCTION("""COMPUTED_VALUE"""),"Daniela Lunardi Camargo Barazzetti - #SLGA - Segunda Licenciatura em Geografia")</f>
        <v>Daniela Lunardi Camargo Barazzetti - #SLGA - Segunda Licenciatura em Geografia</v>
      </c>
    </row>
    <row r="328">
      <c r="A328" s="390" t="str">
        <f>IFERROR(__xludf.DUMMYFUNCTION("""COMPUTED_VALUE"""),"Rogerio Marcos da Silva - #SLAA - Segunda Licenciatura em Artes Visuais")</f>
        <v>Rogerio Marcos da Silva - #SLAA - Segunda Licenciatura em Artes Visuais</v>
      </c>
    </row>
    <row r="329">
      <c r="A329" s="390" t="str">
        <f>IFERROR(__xludf.DUMMYFUNCTION("""COMPUTED_VALUE"""),"Roni Raggi Teixeira - Pós-Graduação em Musicoterapia")</f>
        <v>Roni Raggi Teixeira - Pós-Graduação em Musicoterapia</v>
      </c>
    </row>
    <row r="330">
      <c r="A330" s="390" t="str">
        <f>IFERROR(__xludf.DUMMYFUNCTION("""COMPUTED_VALUE"""),"Estéfane Dantas Cabral Alexandre - Formação Pedagógica em Artes Visuais")</f>
        <v>Estéfane Dantas Cabral Alexandre - Formação Pedagógica em Artes Visuais</v>
      </c>
    </row>
    <row r="331">
      <c r="A331" s="390" t="str">
        <f>IFERROR(__xludf.DUMMYFUNCTION("""COMPUTED_VALUE"""),"William Donizete Nunes - #SLEEF- Segunda Licenciatura Educação Física")</f>
        <v>William Donizete Nunes - #SLEEF- Segunda Licenciatura Educação Física</v>
      </c>
    </row>
    <row r="332">
      <c r="A332" s="390" t="str">
        <f>IFERROR(__xludf.DUMMYFUNCTION("""COMPUTED_VALUE"""),"William Donizete Nunes - #SLMF - Segunda Licenciatura em Música 1320Horas")</f>
        <v>William Donizete Nunes - #SLMF - Segunda Licenciatura em Música 1320Horas</v>
      </c>
    </row>
    <row r="333">
      <c r="A333" s="390" t="str">
        <f>IFERROR(__xludf.DUMMYFUNCTION("""COMPUTED_VALUE"""),"Rodrigo Santana de Oliveira - #FPEEF- Formação Pedagógica Educação Física")</f>
        <v>Rodrigo Santana de Oliveira - #FPEEF- Formação Pedagógica Educação Física</v>
      </c>
    </row>
    <row r="334">
      <c r="A334" s="390" t="str">
        <f>IFERROR(__xludf.DUMMYFUNCTION("""COMPUTED_VALUE"""),"Olinda Martins Messias - Pós-Graduação em Musicoterapia")</f>
        <v>Olinda Martins Messias - Pós-Graduação em Musicoterapia</v>
      </c>
    </row>
    <row r="335">
      <c r="A335" s="390" t="str">
        <f>IFERROR(__xludf.DUMMYFUNCTION("""COMPUTED_VALUE"""),"Mauro Eustaquio dos Santos - #FPEEF- Formação Pedagógica Educação Física")</f>
        <v>Mauro Eustaquio dos Santos - #FPEEF- Formação Pedagógica Educação Física</v>
      </c>
    </row>
    <row r="336">
      <c r="A336" s="390" t="str">
        <f>IFERROR(__xludf.DUMMYFUNCTION("""COMPUTED_VALUE"""),"Jéssica dias Garcia - Formação Livre Psicanálise")</f>
        <v>Jéssica dias Garcia - Formação Livre Psicanálise</v>
      </c>
    </row>
    <row r="337">
      <c r="A337" s="390" t="str">
        <f>IFERROR(__xludf.DUMMYFUNCTION("""COMPUTED_VALUE"""),"Guilherme Martinez Freire - #FPEEF- Formação Pedagógica Educação Física")</f>
        <v>Guilherme Martinez Freire - #FPEEF- Formação Pedagógica Educação Física</v>
      </c>
    </row>
    <row r="338">
      <c r="A338" s="390" t="str">
        <f>IFERROR(__xludf.DUMMYFUNCTION("""COMPUTED_VALUE"""),"Guilherme Martinez Freire - Pós-Graduação em Educação Física Escolar e Treinamento Desportivo")</f>
        <v>Guilherme Martinez Freire - Pós-Graduação em Educação Física Escolar e Treinamento Desportivo</v>
      </c>
    </row>
    <row r="339">
      <c r="A339" s="390" t="str">
        <f>IFERROR(__xludf.DUMMYFUNCTION("""COMPUTED_VALUE"""),"Cinthia Santos Vilhena Ferreira - Formação Livre em Terapia Cognitiva Comportamental")</f>
        <v>Cinthia Santos Vilhena Ferreira - Formação Livre em Terapia Cognitiva Comportamental</v>
      </c>
    </row>
    <row r="340">
      <c r="A340" s="390" t="str">
        <f>IFERROR(__xludf.DUMMYFUNCTION("""COMPUTED_VALUE"""),"Vitória Rodrigues Montalvao - #SLAA - Segunda Licenciatura em Artes Visuais")</f>
        <v>Vitória Rodrigues Montalvao - #SLAA - Segunda Licenciatura em Artes Visuais</v>
      </c>
    </row>
    <row r="341">
      <c r="A341" s="390" t="str">
        <f>IFERROR(__xludf.DUMMYFUNCTION("""COMPUTED_VALUE"""),"Vitória Rodrigues Montalvao - Pós-Graduação Educação Especial e Inclusiva")</f>
        <v>Vitória Rodrigues Montalvao - Pós-Graduação Educação Especial e Inclusiva</v>
      </c>
    </row>
    <row r="342">
      <c r="A342" s="390" t="str">
        <f>IFERROR(__xludf.DUMMYFUNCTION("""COMPUTED_VALUE"""),"Dulcilene Barrere Resende - Formação Livre Psicanálise")</f>
        <v>Dulcilene Barrere Resende - Formação Livre Psicanálise</v>
      </c>
    </row>
    <row r="343">
      <c r="A343" s="390" t="str">
        <f>IFERROR(__xludf.DUMMYFUNCTION("""COMPUTED_VALUE"""),"Joilson Quintela Angelo - Pós-Graduação em Psicanálise")</f>
        <v>Joilson Quintela Angelo - Pós-Graduação em Psicanálise</v>
      </c>
    </row>
    <row r="344">
      <c r="A344" s="390" t="str">
        <f>IFERROR(__xludf.DUMMYFUNCTION("""COMPUTED_VALUE"""),"Lucilene Miranda de Sousa vaz - #SLEEF- Segunda Licenciatura Educação Física")</f>
        <v>Lucilene Miranda de Sousa vaz - #SLEEF- Segunda Licenciatura Educação Física</v>
      </c>
    </row>
    <row r="345">
      <c r="A345" s="390" t="str">
        <f>IFERROR(__xludf.DUMMYFUNCTION("""COMPUTED_VALUE"""),"Igor Tavares farias costa - Formação Pedagogica em Geografia")</f>
        <v>Igor Tavares farias costa - Formação Pedagogica em Geografia</v>
      </c>
    </row>
    <row r="346">
      <c r="A346" s="390" t="str">
        <f>IFERROR(__xludf.DUMMYFUNCTION("""COMPUTED_VALUE"""),"Igor Tavares farias costa - SEGUNDA LICENCIATURA PEDAGOGIA - 2024")</f>
        <v>Igor Tavares farias costa - SEGUNDA LICENCIATURA PEDAGOGIA - 2024</v>
      </c>
    </row>
    <row r="347">
      <c r="A347" s="390" t="str">
        <f>IFERROR(__xludf.DUMMYFUNCTION("""COMPUTED_VALUE"""),"Alexsandra Martins - Formação Livre Psicanálise")</f>
        <v>Alexsandra Martins - Formação Livre Psicanálise</v>
      </c>
    </row>
    <row r="348">
      <c r="A348" s="390" t="str">
        <f>IFERROR(__xludf.DUMMYFUNCTION("""COMPUTED_VALUE"""),"Alinne Maria Vasconcelos Bezerra - Formação Livre Psicanálise")</f>
        <v>Alinne Maria Vasconcelos Bezerra - Formação Livre Psicanálise</v>
      </c>
    </row>
    <row r="349">
      <c r="A349" s="390" t="str">
        <f>IFERROR(__xludf.DUMMYFUNCTION("""COMPUTED_VALUE"""),"Lorena Maura Ramos Novaes Lima - Formação Livre Psicanálise")</f>
        <v>Lorena Maura Ramos Novaes Lima - Formação Livre Psicanálise</v>
      </c>
    </row>
    <row r="350">
      <c r="A350" s="390" t="str">
        <f>IFERROR(__xludf.DUMMYFUNCTION("""COMPUTED_VALUE"""),"Alexsandra Martins - Formação Livre Psicanálise")</f>
        <v>Alexsandra Martins - Formação Livre Psicanálise</v>
      </c>
    </row>
    <row r="351">
      <c r="A351" s="390" t="str">
        <f>IFERROR(__xludf.DUMMYFUNCTION("""COMPUTED_VALUE"""),"Alexsandra Martins - Formação Livre Psicanálise")</f>
        <v>Alexsandra Martins - Formação Livre Psicanálise</v>
      </c>
    </row>
    <row r="352">
      <c r="A352" s="390" t="str">
        <f>IFERROR(__xludf.DUMMYFUNCTION("""COMPUTED_VALUE"""),"Alexsandra Martins - Formação Livre Psicanálise")</f>
        <v>Alexsandra Martins - Formação Livre Psicanálise</v>
      </c>
    </row>
    <row r="353">
      <c r="A353" s="390" t="str">
        <f>IFERROR(__xludf.DUMMYFUNCTION("""COMPUTED_VALUE"""),"Diego da Rosa Pereira - #SLCBA - Segunda Licenciatura em Ciências Biológicas")</f>
        <v>Diego da Rosa Pereira - #SLCBA - Segunda Licenciatura em Ciências Biológicas</v>
      </c>
    </row>
    <row r="354">
      <c r="A354" s="390" t="str">
        <f>IFERROR(__xludf.DUMMYFUNCTION("""COMPUTED_VALUE"""),"Alexsandra Martins - Formação Livre Psicanálise")</f>
        <v>Alexsandra Martins - Formação Livre Psicanálise</v>
      </c>
    </row>
    <row r="355">
      <c r="A355" s="390" t="str">
        <f>IFERROR(__xludf.DUMMYFUNCTION("""COMPUTED_VALUE"""),"Lorena Maura Ramos Novaes Lima - Formação Livre Psicanálise")</f>
        <v>Lorena Maura Ramos Novaes Lima - Formação Livre Psicanálise</v>
      </c>
    </row>
    <row r="356">
      <c r="A356" s="390" t="str">
        <f>IFERROR(__xludf.DUMMYFUNCTION("""COMPUTED_VALUE"""),"Leonardo Medeiros wilbert - Formação Livre Psicanálise")</f>
        <v>Leonardo Medeiros wilbert - Formação Livre Psicanálise</v>
      </c>
    </row>
    <row r="357">
      <c r="A357" s="390" t="str">
        <f>IFERROR(__xludf.DUMMYFUNCTION("""COMPUTED_VALUE"""),"Paulo Roberto Costa Rodrigues - Formação Livre Psicanálise")</f>
        <v>Paulo Roberto Costa Rodrigues - Formação Livre Psicanálise</v>
      </c>
    </row>
    <row r="358">
      <c r="A358" s="390" t="str">
        <f>IFERROR(__xludf.DUMMYFUNCTION("""COMPUTED_VALUE"""),"Augusto César da Silveira Azevedo - Formação Pedagógica em Artes Visuais")</f>
        <v>Augusto César da Silveira Azevedo - Formação Pedagógica em Artes Visuais</v>
      </c>
    </row>
    <row r="359">
      <c r="A359" s="390" t="str">
        <f>IFERROR(__xludf.DUMMYFUNCTION("""COMPUTED_VALUE"""),"Elaine Januario Guedes - Formação Livre em Terapia Cognitiva Comportamental")</f>
        <v>Elaine Januario Guedes - Formação Livre em Terapia Cognitiva Comportamental</v>
      </c>
    </row>
    <row r="360">
      <c r="A360" s="390" t="str">
        <f>IFERROR(__xludf.DUMMYFUNCTION("""COMPUTED_VALUE"""),"Vaulenir Resende Bernado - Formação Pedagógica em Educação Especial")</f>
        <v>Vaulenir Resende Bernado - Formação Pedagógica em Educação Especial</v>
      </c>
    </row>
    <row r="361">
      <c r="A361" s="390" t="str">
        <f>IFERROR(__xludf.DUMMYFUNCTION("""COMPUTED_VALUE"""),"LAURIANNE CAMARGO FERREIRA DE SOUZA SANTOS - #FPEEF- Formação Pedagógica Educação Física")</f>
        <v>LAURIANNE CAMARGO FERREIRA DE SOUZA SANTOS - #FPEEF- Formação Pedagógica Educação Física</v>
      </c>
    </row>
    <row r="362">
      <c r="A362" s="390" t="str">
        <f>IFERROR(__xludf.DUMMYFUNCTION("""COMPUTED_VALUE"""),"James Correa Moreira - Formação Pedagógica em Filosofia")</f>
        <v>James Correa Moreira - Formação Pedagógica em Filosofia</v>
      </c>
    </row>
    <row r="363">
      <c r="A363" s="390" t="str">
        <f>IFERROR(__xludf.DUMMYFUNCTION("""COMPUTED_VALUE"""),"ELOIR FRAGA - Formação Pedagógica em Ciências Biológicas")</f>
        <v>ELOIR FRAGA - Formação Pedagógica em Ciências Biológicas</v>
      </c>
    </row>
    <row r="364">
      <c r="A364" s="390" t="str">
        <f>IFERROR(__xludf.DUMMYFUNCTION("""COMPUTED_VALUE"""),"Eloir Fraga - Formação Pedagógica em Ciências Biológicas")</f>
        <v>Eloir Fraga - Formação Pedagógica em Ciências Biológicas</v>
      </c>
    </row>
    <row r="365">
      <c r="A365" s="390" t="str">
        <f>IFERROR(__xludf.DUMMYFUNCTION("""COMPUTED_VALUE"""),"Jercenia Correia dos Santos - #SLCBA - Segunda Licenciatura em Ciências Biológicas")</f>
        <v>Jercenia Correia dos Santos - #SLCBA - Segunda Licenciatura em Ciências Biológicas</v>
      </c>
    </row>
    <row r="366">
      <c r="A366" s="390" t="str">
        <f>IFERROR(__xludf.DUMMYFUNCTION("""COMPUTED_VALUE"""),"Patrícia Bernardi Antonialli Mehler - #SLGA - Segunda Licenciatura em Geografia")</f>
        <v>Patrícia Bernardi Antonialli Mehler - #SLGA - Segunda Licenciatura em Geografia</v>
      </c>
    </row>
    <row r="367">
      <c r="A367" s="390" t="str">
        <f>IFERROR(__xludf.DUMMYFUNCTION("""COMPUTED_VALUE"""),"Renato Sirqueira de Sousa - #SLHA - Segunda Licenciatura em História")</f>
        <v>Renato Sirqueira de Sousa - #SLHA - Segunda Licenciatura em História</v>
      </c>
    </row>
    <row r="368">
      <c r="A368" s="390" t="str">
        <f>IFERROR(__xludf.DUMMYFUNCTION("""COMPUTED_VALUE"""),"Cristiano Rosa Marciano - Formação Pedagógica em Filosofia")</f>
        <v>Cristiano Rosa Marciano - Formação Pedagógica em Filosofia</v>
      </c>
    </row>
    <row r="369">
      <c r="A369" s="390" t="str">
        <f>IFERROR(__xludf.DUMMYFUNCTION("""COMPUTED_VALUE"""),"Cristiano Rosa Marciano - #FPEEF- Formação Pedagógica Educação Física")</f>
        <v>Cristiano Rosa Marciano - #FPEEF- Formação Pedagógica Educação Física</v>
      </c>
    </row>
    <row r="370">
      <c r="A370" s="390" t="str">
        <f>IFERROR(__xludf.DUMMYFUNCTION("""COMPUTED_VALUE"""),"Cristiano Rosa Marciano - #FPUEF - Formação Pedagógica em Educação Física - 1200 Horas")</f>
        <v>Cristiano Rosa Marciano - #FPUEF - Formação Pedagógica em Educação Física - 1200 Horas</v>
      </c>
    </row>
    <row r="371">
      <c r="A371" s="390" t="str">
        <f>IFERROR(__xludf.DUMMYFUNCTION("""COMPUTED_VALUE"""),"Cristiano Rosa Marciano - #FPUF- Formação Pedagógica em Filosofia")</f>
        <v>Cristiano Rosa Marciano - #FPUF- Formação Pedagógica em Filosofia</v>
      </c>
    </row>
    <row r="372">
      <c r="A372" s="390" t="str">
        <f>IFERROR(__xludf.DUMMYFUNCTION("""COMPUTED_VALUE"""),"Marcos Pereira de Sales - Pós-Graduação em Psicanálise")</f>
        <v>Marcos Pereira de Sales - Pós-Graduação em Psicanálise</v>
      </c>
    </row>
    <row r="373">
      <c r="A373" s="390" t="str">
        <f>IFERROR(__xludf.DUMMYFUNCTION("""COMPUTED_VALUE"""),"Jéssica dias Garcia - Formação Livre Psicanálise")</f>
        <v>Jéssica dias Garcia - Formação Livre Psicanálise</v>
      </c>
    </row>
    <row r="374">
      <c r="A374" s="390" t="str">
        <f>IFERROR(__xludf.DUMMYFUNCTION("""COMPUTED_VALUE"""),"JOÃO PAULO BERNARDO - Formação Pedagogica em Geografia")</f>
        <v>JOÃO PAULO BERNARDO - Formação Pedagogica em Geografia</v>
      </c>
    </row>
    <row r="375">
      <c r="A375" s="390" t="str">
        <f>IFERROR(__xludf.DUMMYFUNCTION("""COMPUTED_VALUE"""),"ELISIANE PILAR GREGORIO DE MATOS - #SLHA - Segunda Licenciatura em História")</f>
        <v>ELISIANE PILAR GREGORIO DE MATOS - #SLHA - Segunda Licenciatura em História</v>
      </c>
    </row>
    <row r="376">
      <c r="A376" s="390" t="str">
        <f>IFERROR(__xludf.DUMMYFUNCTION("""COMPUTED_VALUE"""),"MARILU NUNES ROCHA - Formação Livre Psicanálise")</f>
        <v>MARILU NUNES ROCHA - Formação Livre Psicanálise</v>
      </c>
    </row>
    <row r="377">
      <c r="A377" s="390" t="str">
        <f>IFERROR(__xludf.DUMMYFUNCTION("""COMPUTED_VALUE"""),"Eloir Fraga - Formação Pedagógica em Ciências Biológicas")</f>
        <v>Eloir Fraga - Formação Pedagógica em Ciências Biológicas</v>
      </c>
    </row>
    <row r="378">
      <c r="A378" s="390" t="str">
        <f>IFERROR(__xludf.DUMMYFUNCTION("""COMPUTED_VALUE"""),"Vera Lúcia Leoni - Formação Livre Psicanálise")</f>
        <v>Vera Lúcia Leoni - Formação Livre Psicanálise</v>
      </c>
    </row>
    <row r="379">
      <c r="A379" s="390" t="str">
        <f>IFERROR(__xludf.DUMMYFUNCTION("""COMPUTED_VALUE"""),"Vera Lúcia Leoni - Formação Livre em Psicanálise-2022")</f>
        <v>Vera Lúcia Leoni - Formação Livre em Psicanálise-2022</v>
      </c>
    </row>
    <row r="380">
      <c r="A380" s="390" t="str">
        <f>IFERROR(__xludf.DUMMYFUNCTION("""COMPUTED_VALUE"""),"Cristiano Rosa Marciano - #FPEEF- Formação Pedagógica Educação Física")</f>
        <v>Cristiano Rosa Marciano - #FPEEF- Formação Pedagógica Educação Física</v>
      </c>
    </row>
    <row r="381">
      <c r="A381" s="390" t="str">
        <f>IFERROR(__xludf.DUMMYFUNCTION("""COMPUTED_VALUE"""),"Cristiano Rosa Marciano - #FPEEF- Formação Pedagógica Educação Física")</f>
        <v>Cristiano Rosa Marciano - #FPEEF- Formação Pedagógica Educação Física</v>
      </c>
    </row>
    <row r="382">
      <c r="A382" s="390" t="str">
        <f>IFERROR(__xludf.DUMMYFUNCTION("""COMPUTED_VALUE"""),"LAURIANNE CAMARGO FERREIRA DE SOUZA SANTOS - #FPEEF- Formação Pedagógica Educação Física")</f>
        <v>LAURIANNE CAMARGO FERREIRA DE SOUZA SANTOS - #FPEEF- Formação Pedagógica Educação Física</v>
      </c>
    </row>
    <row r="383">
      <c r="A383" s="390" t="str">
        <f>IFERROR(__xludf.DUMMYFUNCTION("""COMPUTED_VALUE"""),"Mara Rubia Soares Braga Oviedo - Formação Livre Psicanálise")</f>
        <v>Mara Rubia Soares Braga Oviedo - Formação Livre Psicanálise</v>
      </c>
    </row>
    <row r="384">
      <c r="A384" s="390" t="str">
        <f>IFERROR(__xludf.DUMMYFUNCTION("""COMPUTED_VALUE"""),"Eclayr Luiz González Junior - Formação Pedagógica em Ciências Biológicas")</f>
        <v>Eclayr Luiz González Junior - Formação Pedagógica em Ciências Biológicas</v>
      </c>
    </row>
    <row r="385">
      <c r="A385" s="390" t="str">
        <f>IFERROR(__xludf.DUMMYFUNCTION("""COMPUTED_VALUE"""),"José Edilson da Costa - Formação Pedagógica em Filosofia")</f>
        <v>José Edilson da Costa - Formação Pedagógica em Filosofia</v>
      </c>
    </row>
    <row r="386">
      <c r="A386" s="390" t="str">
        <f>IFERROR(__xludf.DUMMYFUNCTION("""COMPUTED_VALUE"""),"Vera Leoni - Formação Livre Psicanálise")</f>
        <v>Vera Leoni - Formação Livre Psicanálise</v>
      </c>
    </row>
    <row r="387">
      <c r="A387" s="390" t="str">
        <f>IFERROR(__xludf.DUMMYFUNCTION("""COMPUTED_VALUE"""),"Alfredo Samuel Serradourada Wutzke - Pós-Graduação em Arteterapia")</f>
        <v>Alfredo Samuel Serradourada Wutzke - Pós-Graduação em Arteterapia</v>
      </c>
    </row>
    <row r="388">
      <c r="A388" s="390" t="str">
        <f>IFERROR(__xludf.DUMMYFUNCTION("""COMPUTED_VALUE"""),"Catiel Ferreira da silva - #FPEEF- Formação Pedagógica Educação Física")</f>
        <v>Catiel Ferreira da silva - #FPEEF- Formação Pedagógica Educação Física</v>
      </c>
    </row>
    <row r="389">
      <c r="A389" s="390" t="str">
        <f>IFERROR(__xludf.DUMMYFUNCTION("""COMPUTED_VALUE"""),"Maria Helena Leite - Pós-Graduação em Psicanálise")</f>
        <v>Maria Helena Leite - Pós-Graduação em Psicanálise</v>
      </c>
    </row>
    <row r="390">
      <c r="A390" s="390" t="str">
        <f>IFERROR(__xludf.DUMMYFUNCTION("""COMPUTED_VALUE"""),"Davi Gomes de Souza dos Santos - Pós-Graduação em Musicoterapia")</f>
        <v>Davi Gomes de Souza dos Santos - Pós-Graduação em Musicoterapia</v>
      </c>
    </row>
    <row r="391">
      <c r="A391" s="390" t="str">
        <f>IFERROR(__xludf.DUMMYFUNCTION("""COMPUTED_VALUE"""),"Davi Gomes de Souza dos Santos - #FPMF- Formação Pedagógica em Música 1200Horas")</f>
        <v>Davi Gomes de Souza dos Santos - #FPMF- Formação Pedagógica em Música 1200Horas</v>
      </c>
    </row>
    <row r="392">
      <c r="A392" s="390" t="str">
        <f>IFERROR(__xludf.DUMMYFUNCTION("""COMPUTED_VALUE"""),"Eclayr Luiz González Junior - Formação Pedagógica em Ciências Biológicas")</f>
        <v>Eclayr Luiz González Junior - Formação Pedagógica em Ciências Biológicas</v>
      </c>
    </row>
    <row r="393">
      <c r="A393" s="390" t="str">
        <f>IFERROR(__xludf.DUMMYFUNCTION("""COMPUTED_VALUE"""),"Joel Machado de Lima - Formação Livre Psicanálise")</f>
        <v>Joel Machado de Lima - Formação Livre Psicanálise</v>
      </c>
    </row>
    <row r="394">
      <c r="A394" s="390" t="str">
        <f>IFERROR(__xludf.DUMMYFUNCTION("""COMPUTED_VALUE"""),"Cristiano Rosa Marciano - #FPEEF- Formação Pedagógica Educação Física")</f>
        <v>Cristiano Rosa Marciano - #FPEEF- Formação Pedagógica Educação Física</v>
      </c>
    </row>
    <row r="395">
      <c r="A395" s="390" t="str">
        <f>IFERROR(__xludf.DUMMYFUNCTION("""COMPUTED_VALUE"""),"Cristiano Rosa Marciano - #FPEEF- Formação Pedagógica Educação Física")</f>
        <v>Cristiano Rosa Marciano - #FPEEF- Formação Pedagógica Educação Física</v>
      </c>
    </row>
    <row r="396">
      <c r="A396" s="390" t="str">
        <f>IFERROR(__xludf.DUMMYFUNCTION("""COMPUTED_VALUE"""),"Viviane Santos Natal Silva - Formação Pedagógica em Educação Especial")</f>
        <v>Viviane Santos Natal Silva - Formação Pedagógica em Educação Especial</v>
      </c>
    </row>
    <row r="397">
      <c r="A397" s="390" t="str">
        <f>IFERROR(__xludf.DUMMYFUNCTION("""COMPUTED_VALUE"""),"Cristiano Rosa Marciano - #FPEEF- Formação Pedagógica Educação Física")</f>
        <v>Cristiano Rosa Marciano - #FPEEF- Formação Pedagógica Educação Física</v>
      </c>
    </row>
    <row r="398">
      <c r="A398" s="390" t="str">
        <f>IFERROR(__xludf.DUMMYFUNCTION("""COMPUTED_VALUE"""),"Cristiano Rosa Marciano - Formação Pedagógica em Filosofia")</f>
        <v>Cristiano Rosa Marciano - Formação Pedagógica em Filosofia</v>
      </c>
    </row>
    <row r="399">
      <c r="A399" s="390" t="str">
        <f>IFERROR(__xludf.DUMMYFUNCTION("""COMPUTED_VALUE"""),"Francisco Oliveira de Souza - Formação Pedagógica em Ciências Biológicas")</f>
        <v>Francisco Oliveira de Souza - Formação Pedagógica em Ciências Biológicas</v>
      </c>
    </row>
    <row r="400">
      <c r="A400" s="390" t="str">
        <f>IFERROR(__xludf.DUMMYFUNCTION("""COMPUTED_VALUE"""),"Adriane Ferreira Carvalho Costa - Formação Pedagógica em Artes Visuais")</f>
        <v>Adriane Ferreira Carvalho Costa - Formação Pedagógica em Artes Visuais</v>
      </c>
    </row>
    <row r="401">
      <c r="A401" s="390" t="str">
        <f>IFERROR(__xludf.DUMMYFUNCTION("""COMPUTED_VALUE"""),"Aparecida Silva de Jesus Oliveira - Formação Livre em Terapia Cognitiva Comportamental")</f>
        <v>Aparecida Silva de Jesus Oliveira - Formação Livre em Terapia Cognitiva Comportamental</v>
      </c>
    </row>
    <row r="402">
      <c r="A402" s="390" t="str">
        <f>IFERROR(__xludf.DUMMYFUNCTION("""COMPUTED_VALUE"""),"Tieze Emiliano Marques Ferreira - Formação Livre Psicanálise")</f>
        <v>Tieze Emiliano Marques Ferreira - Formação Livre Psicanálise</v>
      </c>
    </row>
    <row r="403">
      <c r="A403" s="390" t="str">
        <f>IFERROR(__xludf.DUMMYFUNCTION("""COMPUTED_VALUE"""),"Aparecida Silva de Jesus Oliveira - Formação Livre em Terapia Cognitiva Comportamental")</f>
        <v>Aparecida Silva de Jesus Oliveira - Formação Livre em Terapia Cognitiva Comportamental</v>
      </c>
    </row>
    <row r="404">
      <c r="A404" s="390" t="str">
        <f>IFERROR(__xludf.DUMMYFUNCTION("""COMPUTED_VALUE"""),"Aparecida Silva de Jesus Oliveira - Formação Livre em Terapia Cognitiva Comportamental")</f>
        <v>Aparecida Silva de Jesus Oliveira - Formação Livre em Terapia Cognitiva Comportamental</v>
      </c>
    </row>
    <row r="405">
      <c r="A405" s="390" t="str">
        <f>IFERROR(__xludf.DUMMYFUNCTION("""COMPUTED_VALUE"""),"Bruna Gomes Lovatti - Pós-Graduação em Musicoterapia")</f>
        <v>Bruna Gomes Lovatti - Pós-Graduação em Musicoterapia</v>
      </c>
    </row>
    <row r="406">
      <c r="A406" s="390" t="str">
        <f>IFERROR(__xludf.DUMMYFUNCTION("""COMPUTED_VALUE"""),"Bruna Gomes Lovatti - #FPMF- Formação Pedagógica em Música 1200Horas")</f>
        <v>Bruna Gomes Lovatti - #FPMF- Formação Pedagógica em Música 1200Horas</v>
      </c>
    </row>
    <row r="407">
      <c r="A407" s="390" t="str">
        <f>IFERROR(__xludf.DUMMYFUNCTION("""COMPUTED_VALUE"""),"ELISIANE PILAR GREGORIO DE MATOS - #SLHA - Segunda Licenciatura em História")</f>
        <v>ELISIANE PILAR GREGORIO DE MATOS - #SLHA - Segunda Licenciatura em História</v>
      </c>
    </row>
    <row r="408">
      <c r="A408" s="390" t="str">
        <f>IFERROR(__xludf.DUMMYFUNCTION("""COMPUTED_VALUE"""),"Cristiano Rosa Marciano - #FPEEF- Formação Pedagógica Educação Física")</f>
        <v>Cristiano Rosa Marciano - #FPEEF- Formação Pedagógica Educação Física</v>
      </c>
    </row>
    <row r="409">
      <c r="A409" s="390" t="str">
        <f>IFERROR(__xludf.DUMMYFUNCTION("""COMPUTED_VALUE"""),"Suelyn Laranjeira Pimentel - Formação Livre Psicanálise")</f>
        <v>Suelyn Laranjeira Pimentel - Formação Livre Psicanálise</v>
      </c>
    </row>
    <row r="410">
      <c r="A410" s="390" t="str">
        <f>IFERROR(__xludf.DUMMYFUNCTION("""COMPUTED_VALUE"""),"Cristiano Rosa Marciano - #FPEEF- Formação Pedagógica Educação Física")</f>
        <v>Cristiano Rosa Marciano - #FPEEF- Formação Pedagógica Educação Física</v>
      </c>
    </row>
    <row r="411">
      <c r="A411" s="390" t="str">
        <f>IFERROR(__xludf.DUMMYFUNCTION("""COMPUTED_VALUE"""),"Liliane ribeiro de campos oliveira - Formação Pedagógica em Artes Visuais")</f>
        <v>Liliane ribeiro de campos oliveira - Formação Pedagógica em Artes Visuais</v>
      </c>
    </row>
    <row r="412">
      <c r="A412" s="390" t="str">
        <f>IFERROR(__xludf.DUMMYFUNCTION("""COMPUTED_VALUE"""),"Jonathan rosario da silva - #SLAA - Segunda Licenciatura em Artes Visuais")</f>
        <v>Jonathan rosario da silva - #SLAA - Segunda Licenciatura em Artes Visuais</v>
      </c>
    </row>
    <row r="413">
      <c r="A413" s="390" t="str">
        <f>IFERROR(__xludf.DUMMYFUNCTION("""COMPUTED_VALUE"""),"Givaldo Cristiniano dos Santos Junior - Formação Pedagógica História")</f>
        <v>Givaldo Cristiniano dos Santos Junior - Formação Pedagógica História</v>
      </c>
    </row>
    <row r="414">
      <c r="A414" s="390" t="str">
        <f>IFERROR(__xludf.DUMMYFUNCTION("""COMPUTED_VALUE"""),"Fabíola Aline da Silva - Pós-Graduação Terapia Cognitiva Comportamental")</f>
        <v>Fabíola Aline da Silva - Pós-Graduação Terapia Cognitiva Comportamental</v>
      </c>
    </row>
    <row r="415">
      <c r="A415" s="390" t="str">
        <f>IFERROR(__xludf.DUMMYFUNCTION("""COMPUTED_VALUE"""),"Tatiane Aparecida Maria dos Santos Marques - #SLAA - Segunda Licenciatura em Artes Visuais")</f>
        <v>Tatiane Aparecida Maria dos Santos Marques - #SLAA - Segunda Licenciatura em Artes Visuais</v>
      </c>
    </row>
    <row r="416">
      <c r="A416" s="390" t="str">
        <f>IFERROR(__xludf.DUMMYFUNCTION("""COMPUTED_VALUE"""),"Lorena Maura Ramos Novaes Lima - Formação Livre Psicanálise")</f>
        <v>Lorena Maura Ramos Novaes Lima - Formação Livre Psicanálise</v>
      </c>
    </row>
    <row r="417">
      <c r="A417" s="390" t="str">
        <f>IFERROR(__xludf.DUMMYFUNCTION("""COMPUTED_VALUE"""),"Cristiano Rosa Marciano - #FPEEF- Formação Pedagógica Educação Física")</f>
        <v>Cristiano Rosa Marciano - #FPEEF- Formação Pedagógica Educação Física</v>
      </c>
    </row>
    <row r="418">
      <c r="A418" s="390" t="str">
        <f>IFERROR(__xludf.DUMMYFUNCTION("""COMPUTED_VALUE"""),"Tieze Emiliano Marques Ferreira - Formação Livre Psicanálise")</f>
        <v>Tieze Emiliano Marques Ferreira - Formação Livre Psicanálise</v>
      </c>
    </row>
    <row r="419">
      <c r="A419" s="390" t="str">
        <f>IFERROR(__xludf.DUMMYFUNCTION("""COMPUTED_VALUE"""),"Aparecida Silva de Jesus Oliveira - Formação Livre em Terapia Cognitiva Comportamental")</f>
        <v>Aparecida Silva de Jesus Oliveira - Formação Livre em Terapia Cognitiva Comportamental</v>
      </c>
    </row>
    <row r="420">
      <c r="A420" s="390" t="str">
        <f>IFERROR(__xludf.DUMMYFUNCTION("""COMPUTED_VALUE"""),"Welington Gomes - #FPEEF- Formação Pedagógica Educação Física")</f>
        <v>Welington Gomes - #FPEEF- Formação Pedagógica Educação Física</v>
      </c>
    </row>
    <row r="421">
      <c r="A421" s="390" t="str">
        <f>IFERROR(__xludf.DUMMYFUNCTION("""COMPUTED_VALUE"""),"Aline Araujo dos Santos - Formação Pedagógica em Ciências Sociais")</f>
        <v>Aline Araujo dos Santos - Formação Pedagógica em Ciências Sociais</v>
      </c>
    </row>
    <row r="422">
      <c r="A422" s="390" t="str">
        <f>IFERROR(__xludf.DUMMYFUNCTION("""COMPUTED_VALUE"""),"Monica Cristina Almeida Fusco de Souza Ferreira - Formação Pedagogica em Geografia")</f>
        <v>Monica Cristina Almeida Fusco de Souza Ferreira - Formação Pedagogica em Geografia</v>
      </c>
    </row>
    <row r="423">
      <c r="A423" s="390" t="str">
        <f>IFERROR(__xludf.DUMMYFUNCTION("""COMPUTED_VALUE"""),"Monica Cristina Almeida Fusco de Souza Ferreira - Pós-Graduação em História da Arte-2022")</f>
        <v>Monica Cristina Almeida Fusco de Souza Ferreira - Pós-Graduação em História da Arte-2022</v>
      </c>
    </row>
    <row r="424">
      <c r="A424" s="390" t="str">
        <f>IFERROR(__xludf.DUMMYFUNCTION("""COMPUTED_VALUE"""),"Monica Cristina Almeida Fusco de Souza Ferreira - Pós-Graduação em História da Arte-2022")</f>
        <v>Monica Cristina Almeida Fusco de Souza Ferreira - Pós-Graduação em História da Arte-2022</v>
      </c>
    </row>
    <row r="425">
      <c r="A425" s="390" t="str">
        <f>IFERROR(__xludf.DUMMYFUNCTION("""COMPUTED_VALUE"""),"Monica Cristina Almeida Fusco de Souza Ferreira - PÓS-GRADUAÇÃO EM METODOLOGIA DO ENSINO DE GEOGRAFIA")</f>
        <v>Monica Cristina Almeida Fusco de Souza Ferreira - PÓS-GRADUAÇÃO EM METODOLOGIA DO ENSINO DE GEOGRAFIA</v>
      </c>
    </row>
    <row r="426">
      <c r="A426" s="390" t="str">
        <f>IFERROR(__xludf.DUMMYFUNCTION("""COMPUTED_VALUE"""),"Ádila Maria Guimarães Ribeiro - Formação Livre em Terapia Cognitiva Comportamental")</f>
        <v>Ádila Maria Guimarães Ribeiro - Formação Livre em Terapia Cognitiva Comportamental</v>
      </c>
    </row>
    <row r="427">
      <c r="A427" s="390" t="str">
        <f>IFERROR(__xludf.DUMMYFUNCTION("""COMPUTED_VALUE"""),"Wesley Souza de Oliveira - Formação Pedagógica Letras - Libras")</f>
        <v>Wesley Souza de Oliveira - Formação Pedagógica Letras - Libras</v>
      </c>
    </row>
    <row r="428">
      <c r="A428" s="390" t="str">
        <f>IFERROR(__xludf.DUMMYFUNCTION("""COMPUTED_VALUE"""),"Adila Maria Guimarães Ribeiro - Formação Livre em Terapia Cognitiva Comportamental")</f>
        <v>Adila Maria Guimarães Ribeiro - Formação Livre em Terapia Cognitiva Comportamental</v>
      </c>
    </row>
    <row r="429">
      <c r="A429" s="390" t="str">
        <f>IFERROR(__xludf.DUMMYFUNCTION("""COMPUTED_VALUE"""),"REGINA COSTA SPINDOLA MORAIS - #SLCBA - Segunda Licenciatura em Ciências Biológicas")</f>
        <v>REGINA COSTA SPINDOLA MORAIS - #SLCBA - Segunda Licenciatura em Ciências Biológicas</v>
      </c>
    </row>
    <row r="430">
      <c r="A430" s="390" t="str">
        <f>IFERROR(__xludf.DUMMYFUNCTION("""COMPUTED_VALUE"""),"Nairiza Dias - #SLAA - Segunda Licenciatura em Artes Visuais")</f>
        <v>Nairiza Dias - #SLAA - Segunda Licenciatura em Artes Visuais</v>
      </c>
    </row>
    <row r="431">
      <c r="A431" s="390" t="str">
        <f>IFERROR(__xludf.DUMMYFUNCTION("""COMPUTED_VALUE"""),"Adila Maria Guimarães Ribeiro - Formação Livre em Terapia Cognitiva Comportamental")</f>
        <v>Adila Maria Guimarães Ribeiro - Formação Livre em Terapia Cognitiva Comportamental</v>
      </c>
    </row>
    <row r="432">
      <c r="A432" s="390" t="str">
        <f>IFERROR(__xludf.DUMMYFUNCTION("""COMPUTED_VALUE"""),"Ana Lúcia Moreira - Formação Livre em Terapia Cognitiva Comportamental")</f>
        <v>Ana Lúcia Moreira - Formação Livre em Terapia Cognitiva Comportamental</v>
      </c>
    </row>
    <row r="433">
      <c r="A433" s="390" t="str">
        <f>IFERROR(__xludf.DUMMYFUNCTION("""COMPUTED_VALUE"""),"Mychael Paranhos - Formação Livre em Terapia Cognitiva Comportamental")</f>
        <v>Mychael Paranhos - Formação Livre em Terapia Cognitiva Comportamental</v>
      </c>
    </row>
    <row r="434">
      <c r="A434" s="390" t="str">
        <f>IFERROR(__xludf.DUMMYFUNCTION("""COMPUTED_VALUE"""),"Rogerio Marcos da Silva - #SLAA - Segunda Licenciatura em Artes Visuais")</f>
        <v>Rogerio Marcos da Silva - #SLAA - Segunda Licenciatura em Artes Visuais</v>
      </c>
    </row>
    <row r="435">
      <c r="A435" s="390" t="str">
        <f>IFERROR(__xludf.DUMMYFUNCTION("""COMPUTED_VALUE"""),"Genice ferreira silva - Pós-Graduação em Psicanálise")</f>
        <v>Genice ferreira silva - Pós-Graduação em Psicanálise</v>
      </c>
    </row>
    <row r="436">
      <c r="A436" s="390" t="str">
        <f>IFERROR(__xludf.DUMMYFUNCTION("""COMPUTED_VALUE"""),"Gilmar Sousa da Silva - #FPEEF- Formação Pedagógica Educação Física")</f>
        <v>Gilmar Sousa da Silva - #FPEEF- Formação Pedagógica Educação Física</v>
      </c>
    </row>
    <row r="437">
      <c r="A437" s="390" t="str">
        <f>IFERROR(__xludf.DUMMYFUNCTION("""COMPUTED_VALUE"""),"Paulo Roberto Costa Rodrigues - Formação Livre Psicanálise")</f>
        <v>Paulo Roberto Costa Rodrigues - Formação Livre Psicanálise</v>
      </c>
    </row>
    <row r="438">
      <c r="A438" s="390" t="str">
        <f>IFERROR(__xludf.DUMMYFUNCTION("""COMPUTED_VALUE"""),"Amanda Aparecida Maciel - #SLLLA - Segunda Licenciatura em Letras - Libras")</f>
        <v>Amanda Aparecida Maciel - #SLLLA - Segunda Licenciatura em Letras - Libras</v>
      </c>
    </row>
    <row r="439">
      <c r="A439" s="390" t="str">
        <f>IFERROR(__xludf.DUMMYFUNCTION("""COMPUTED_VALUE"""),"Elson Guedes dos Santos - Formação Pedagógica História")</f>
        <v>Elson Guedes dos Santos - Formação Pedagógica História</v>
      </c>
    </row>
    <row r="440">
      <c r="A440" s="390" t="str">
        <f>IFERROR(__xludf.DUMMYFUNCTION("""COMPUTED_VALUE"""),"Christian Raphael de Almeida Silva - #SLCBA - Segunda Licenciatura em Ciências Biológicas")</f>
        <v>Christian Raphael de Almeida Silva - #SLCBA - Segunda Licenciatura em Ciências Biológicas</v>
      </c>
    </row>
    <row r="441">
      <c r="A441" s="390" t="str">
        <f>IFERROR(__xludf.DUMMYFUNCTION("""COMPUTED_VALUE"""),"Ângela Aparecida Costa - Formação Livre em Terapia Cognitiva Comportamental")</f>
        <v>Ângela Aparecida Costa - Formação Livre em Terapia Cognitiva Comportamental</v>
      </c>
    </row>
    <row r="442">
      <c r="A442" s="390" t="str">
        <f>IFERROR(__xludf.DUMMYFUNCTION("""COMPUTED_VALUE"""),"Ângela Aparecida Costa - Formação Livre em Psicanálise-2022")</f>
        <v>Ângela Aparecida Costa - Formação Livre em Psicanálise-2022</v>
      </c>
    </row>
    <row r="443">
      <c r="A443" s="390" t="str">
        <f>IFERROR(__xludf.DUMMYFUNCTION("""COMPUTED_VALUE"""),"Andre de Abreu Rodrigues - Formação Pedagógica História")</f>
        <v>Andre de Abreu Rodrigues - Formação Pedagógica História</v>
      </c>
    </row>
    <row r="444">
      <c r="A444" s="390" t="str">
        <f>IFERROR(__xludf.DUMMYFUNCTION("""COMPUTED_VALUE"""),"Adeilson Vicente Sampaio Franco - Formação Pedagógica Letras - Libras")</f>
        <v>Adeilson Vicente Sampaio Franco - Formação Pedagógica Letras - Libras</v>
      </c>
    </row>
    <row r="445">
      <c r="A445" s="390" t="str">
        <f>IFERROR(__xludf.DUMMYFUNCTION("""COMPUTED_VALUE"""),"Adeilson Vicente Sampaio Franco - #SLULPL- Segunda Licenciatura em Letras – Língua Portuguesa e Libras")</f>
        <v>Adeilson Vicente Sampaio Franco - #SLULPL- Segunda Licenciatura em Letras – Língua Portuguesa e Libras</v>
      </c>
    </row>
    <row r="446">
      <c r="A446" s="390" t="str">
        <f>IFERROR(__xludf.DUMMYFUNCTION("""COMPUTED_VALUE"""),"Érica Monique santos Beserra - Formação Livre Psicanálise")</f>
        <v>Érica Monique santos Beserra - Formação Livre Psicanálise</v>
      </c>
    </row>
    <row r="447">
      <c r="A447" s="390" t="str">
        <f>IFERROR(__xludf.DUMMYFUNCTION("""COMPUTED_VALUE"""),"Viviane Santos Natal Silva - Formação Pedagógica em Educação Especial")</f>
        <v>Viviane Santos Natal Silva - Formação Pedagógica em Educação Especial</v>
      </c>
    </row>
    <row r="448">
      <c r="A448" s="390" t="str">
        <f>IFERROR(__xludf.DUMMYFUNCTION("""COMPUTED_VALUE"""),"Andre de Abreu Rodrigues - Formação Pedagógica História")</f>
        <v>Andre de Abreu Rodrigues - Formação Pedagógica História</v>
      </c>
    </row>
    <row r="449">
      <c r="A449" s="390" t="str">
        <f>IFERROR(__xludf.DUMMYFUNCTION("""COMPUTED_VALUE"""),"Guilherme Miranda Andrade - #SLQA - Segunda Licenciatura em Química")</f>
        <v>Guilherme Miranda Andrade - #SLQA - Segunda Licenciatura em Química</v>
      </c>
    </row>
    <row r="450">
      <c r="A450" s="390" t="str">
        <f>IFERROR(__xludf.DUMMYFUNCTION("""COMPUTED_VALUE"""),"Guilherme Miranda Andrade - Pós-Graduação em Psicanálise")</f>
        <v>Guilherme Miranda Andrade - Pós-Graduação em Psicanálise</v>
      </c>
    </row>
    <row r="451">
      <c r="A451" s="390" t="str">
        <f>IFERROR(__xludf.DUMMYFUNCTION("""COMPUTED_VALUE"""),"Guilherme Miranda Andrade - Curso UniCV")</f>
        <v>Guilherme Miranda Andrade - Curso UniCV</v>
      </c>
    </row>
    <row r="452">
      <c r="A452" s="390" t="str">
        <f>IFERROR(__xludf.DUMMYFUNCTION("""COMPUTED_VALUE"""),"Leonardo da Silva Oliveira dos Santos - #FPEEF- Formação Pedagógica Educação Física")</f>
        <v>Leonardo da Silva Oliveira dos Santos - #FPEEF- Formação Pedagógica Educação Física</v>
      </c>
    </row>
    <row r="453">
      <c r="A453" s="390" t="str">
        <f>IFERROR(__xludf.DUMMYFUNCTION("""COMPUTED_VALUE"""),"Leonardo da Silva Oliveira dos Santos - Bacharelado em Educação Física")</f>
        <v>Leonardo da Silva Oliveira dos Santos - Bacharelado em Educação Física</v>
      </c>
    </row>
    <row r="454">
      <c r="A454" s="390" t="str">
        <f>IFERROR(__xludf.DUMMYFUNCTION("""COMPUTED_VALUE"""),"Leonardo da Silva Oliveira dos Santos - #FPUP-FORMAÇÃO PEDAGÓGICA EM PEDAGOGIA- U")</f>
        <v>Leonardo da Silva Oliveira dos Santos - #FPUP-FORMAÇÃO PEDAGÓGICA EM PEDAGOGIA- U</v>
      </c>
    </row>
    <row r="455">
      <c r="A455" s="390" t="str">
        <f>IFERROR(__xludf.DUMMYFUNCTION("""COMPUTED_VALUE"""),"Leonardo da Silva Oliveira dos Santos - Pós-Graduação em Orientação Educacional")</f>
        <v>Leonardo da Silva Oliveira dos Santos - Pós-Graduação em Orientação Educacional</v>
      </c>
    </row>
    <row r="456">
      <c r="A456" s="390" t="str">
        <f>IFERROR(__xludf.DUMMYFUNCTION("""COMPUTED_VALUE"""),"Juliana Aline Lara Lenço - Pós-Graduação em Psicanálise")</f>
        <v>Juliana Aline Lara Lenço - Pós-Graduação em Psicanálise</v>
      </c>
    </row>
    <row r="457">
      <c r="A457" s="390" t="str">
        <f>IFERROR(__xludf.DUMMYFUNCTION("""COMPUTED_VALUE"""),"Juliana Aline Lara Lenço - #FPUP-FORMAÇÃO PEDAGÓGICA EM PEDAGOGIA- U")</f>
        <v>Juliana Aline Lara Lenço - #FPUP-FORMAÇÃO PEDAGÓGICA EM PEDAGOGIA- U</v>
      </c>
    </row>
    <row r="458">
      <c r="A458" s="390" t="str">
        <f>IFERROR(__xludf.DUMMYFUNCTION("""COMPUTED_VALUE"""),"Juliana Aline Lara Lenço - #FPP- Formação Pedagógica em Pedagogia R2")</f>
        <v>Juliana Aline Lara Lenço - #FPP- Formação Pedagógica em Pedagogia R2</v>
      </c>
    </row>
    <row r="459">
      <c r="A459" s="390" t="str">
        <f>IFERROR(__xludf.DUMMYFUNCTION("""COMPUTED_VALUE"""),"José Silva Ribeiro - #SLAA - Segunda Licenciatura em Artes Visuais")</f>
        <v>José Silva Ribeiro - #SLAA - Segunda Licenciatura em Artes Visuais</v>
      </c>
    </row>
    <row r="460">
      <c r="A460" s="390" t="str">
        <f>IFERROR(__xludf.DUMMYFUNCTION("""COMPUTED_VALUE"""),"Ronaldo Rodrigues Rezende - Formação Livre Psicanálise")</f>
        <v>Ronaldo Rodrigues Rezende - Formação Livre Psicanálise</v>
      </c>
    </row>
    <row r="461">
      <c r="A461" s="390" t="str">
        <f>IFERROR(__xludf.DUMMYFUNCTION("""COMPUTED_VALUE"""),"Elaine Cristina Guimarães da Silva - #SLAA - Segunda Licenciatura em Artes Visuais")</f>
        <v>Elaine Cristina Guimarães da Silva - #SLAA - Segunda Licenciatura em Artes Visuais</v>
      </c>
    </row>
    <row r="462">
      <c r="A462" s="390" t="str">
        <f>IFERROR(__xludf.DUMMYFUNCTION("""COMPUTED_VALUE"""),"Elaine Cristina Guimarães da Silva - #SLUA- Segunda Licenciatura em Artes Visuais")</f>
        <v>Elaine Cristina Guimarães da Silva - #SLUA- Segunda Licenciatura em Artes Visuais</v>
      </c>
    </row>
    <row r="463">
      <c r="A463" s="390" t="str">
        <f>IFERROR(__xludf.DUMMYFUNCTION("""COMPUTED_VALUE"""),"Welhyngton Ribeiro Teodoro - #SLFA - Segunda Licenciatura em Física")</f>
        <v>Welhyngton Ribeiro Teodoro - #SLFA - Segunda Licenciatura em Física</v>
      </c>
    </row>
    <row r="464">
      <c r="A464" s="390" t="str">
        <f>IFERROR(__xludf.DUMMYFUNCTION("""COMPUTED_VALUE"""),"Wagner Giongo - #FPEEF- Formação Pedagógica Educação Física")</f>
        <v>Wagner Giongo - #FPEEF- Formação Pedagógica Educação Física</v>
      </c>
    </row>
    <row r="465">
      <c r="A465" s="390" t="str">
        <f>IFERROR(__xludf.DUMMYFUNCTION("""COMPUTED_VALUE"""),"Darleny Monte Matos - Formação Pedagógica em Ciências Sociais")</f>
        <v>Darleny Monte Matos - Formação Pedagógica em Ciências Sociais</v>
      </c>
    </row>
    <row r="466">
      <c r="A466" s="390" t="str">
        <f>IFERROR(__xludf.DUMMYFUNCTION("""COMPUTED_VALUE"""),"Adriano Toledo Paiva - #SLFA  - Segunda Licenciatura em Filosofia")</f>
        <v>Adriano Toledo Paiva - #SLFA  - Segunda Licenciatura em Filosofia</v>
      </c>
    </row>
    <row r="467">
      <c r="A467" s="390" t="str">
        <f>IFERROR(__xludf.DUMMYFUNCTION("""COMPUTED_VALUE"""),"Adriano Toledo Paiva - Pós-Graduação em Psicanálise")</f>
        <v>Adriano Toledo Paiva - Pós-Graduação em Psicanálise</v>
      </c>
    </row>
    <row r="468">
      <c r="A468" s="390" t="str">
        <f>IFERROR(__xludf.DUMMYFUNCTION("""COMPUTED_VALUE"""),"Michel Guilherme Martins Gonçalves - Formação Pedagógica em Ciências Sociais")</f>
        <v>Michel Guilherme Martins Gonçalves - Formação Pedagógica em Ciências Sociais</v>
      </c>
    </row>
    <row r="469">
      <c r="A469" s="390" t="str">
        <f>IFERROR(__xludf.DUMMYFUNCTION("""COMPUTED_VALUE"""),"Ariana Reis - Formação Livre Psicanálise")</f>
        <v>Ariana Reis - Formação Livre Psicanálise</v>
      </c>
    </row>
    <row r="470">
      <c r="A470" s="390" t="str">
        <f>IFERROR(__xludf.DUMMYFUNCTION("""COMPUTED_VALUE"""),"Ana Ruth Silva - #SLCBA - Segunda Licenciatura em Ciências Biológicas")</f>
        <v>Ana Ruth Silva - #SLCBA - Segunda Licenciatura em Ciências Biológicas</v>
      </c>
    </row>
    <row r="471">
      <c r="A471" s="390" t="str">
        <f>IFERROR(__xludf.DUMMYFUNCTION("""COMPUTED_VALUE"""),"Jean magno Rodrigues Silva - Pós-Graduação em Psicanálise")</f>
        <v>Jean magno Rodrigues Silva - Pós-Graduação em Psicanálise</v>
      </c>
    </row>
    <row r="472">
      <c r="A472" s="390" t="str">
        <f>IFERROR(__xludf.DUMMYFUNCTION("""COMPUTED_VALUE"""),"Adão do Carmo Muniz - #SLEEA - Segunda Licenciatura em Educação Especial")</f>
        <v>Adão do Carmo Muniz - #SLEEA - Segunda Licenciatura em Educação Especial</v>
      </c>
    </row>
    <row r="473">
      <c r="A473" s="390" t="str">
        <f>IFERROR(__xludf.DUMMYFUNCTION("""COMPUTED_VALUE"""),"Israel Quiroga Botelho - #SLGA - Segunda Licenciatura em Geografia")</f>
        <v>Israel Quiroga Botelho - #SLGA - Segunda Licenciatura em Geografia</v>
      </c>
    </row>
    <row r="474">
      <c r="A474" s="390" t="str">
        <f>IFERROR(__xludf.DUMMYFUNCTION("""COMPUTED_VALUE"""),"Gislaine cristina da silva santos - #SLEEF- Segunda Licenciatura Educação Física")</f>
        <v>Gislaine cristina da silva santos - #SLEEF- Segunda Licenciatura Educação Física</v>
      </c>
    </row>
    <row r="475">
      <c r="A475" s="390" t="str">
        <f>IFERROR(__xludf.DUMMYFUNCTION("""COMPUTED_VALUE"""),"Gislaine cristina da silva santos - #SLAA - Segunda Licenciatura em Artes Visuais")</f>
        <v>Gislaine cristina da silva santos - #SLAA - Segunda Licenciatura em Artes Visuais</v>
      </c>
    </row>
    <row r="476">
      <c r="A476" s="390" t="str">
        <f>IFERROR(__xludf.DUMMYFUNCTION("""COMPUTED_VALUE"""),"Edjenane Ozório - Pós-Graduação em Psicanálise")</f>
        <v>Edjenane Ozório - Pós-Graduação em Psicanálise</v>
      </c>
    </row>
    <row r="477">
      <c r="A477" s="390" t="str">
        <f>IFERROR(__xludf.DUMMYFUNCTION("""COMPUTED_VALUE"""),"Ana Paula de Freitas Gonçalves Silva - #SLEEA - Segunda Licenciatura em Educação Especial")</f>
        <v>Ana Paula de Freitas Gonçalves Silva - #SLEEA - Segunda Licenciatura em Educação Especial</v>
      </c>
    </row>
    <row r="478">
      <c r="A478" s="390" t="str">
        <f>IFERROR(__xludf.DUMMYFUNCTION("""COMPUTED_VALUE"""),"Heloisa woelke dos reis - #SLGA - Segunda Licenciatura em Geografia")</f>
        <v>Heloisa woelke dos reis - #SLGA - Segunda Licenciatura em Geografia</v>
      </c>
    </row>
    <row r="479">
      <c r="A479" s="390" t="str">
        <f>IFERROR(__xludf.DUMMYFUNCTION("""COMPUTED_VALUE"""),"Carla Cristina Dal Vesco - Pós-Graduação em Psicanálise")</f>
        <v>Carla Cristina Dal Vesco - Pós-Graduação em Psicanálise</v>
      </c>
    </row>
    <row r="480">
      <c r="A480" s="390" t="str">
        <f>IFERROR(__xludf.DUMMYFUNCTION("""COMPUTED_VALUE"""),"Tatiane Cristina leiva Pereira - Formação Livre Psicanálise")</f>
        <v>Tatiane Cristina leiva Pereira - Formação Livre Psicanálise</v>
      </c>
    </row>
    <row r="481">
      <c r="A481" s="390" t="str">
        <f>IFERROR(__xludf.DUMMYFUNCTION("""COMPUTED_VALUE"""),"Naor Alves Esteves - Pós-Graduação em Musicoterapia")</f>
        <v>Naor Alves Esteves - Pós-Graduação em Musicoterapia</v>
      </c>
    </row>
    <row r="482">
      <c r="A482" s="390" t="str">
        <f>IFERROR(__xludf.DUMMYFUNCTION("""COMPUTED_VALUE"""),"Daiany Cristine Martins Araujo - #SLGA - Segunda Licenciatura em Geografia")</f>
        <v>Daiany Cristine Martins Araujo - #SLGA - Segunda Licenciatura em Geografia</v>
      </c>
    </row>
    <row r="483">
      <c r="A483" s="390" t="str">
        <f>IFERROR(__xludf.DUMMYFUNCTION("""COMPUTED_VALUE"""),"Shirley Paula Santos Silva murcia - Formação Livre Psicanálise")</f>
        <v>Shirley Paula Santos Silva murcia - Formação Livre Psicanálise</v>
      </c>
    </row>
    <row r="484">
      <c r="A484" s="390" t="str">
        <f>IFERROR(__xludf.DUMMYFUNCTION("""COMPUTED_VALUE"""),"Murilo dias dos santos - Formação Pedagógica em Ciências Biológicas")</f>
        <v>Murilo dias dos santos - Formação Pedagógica em Ciências Biológicas</v>
      </c>
    </row>
    <row r="485">
      <c r="A485" s="390" t="str">
        <f>IFERROR(__xludf.DUMMYFUNCTION("""COMPUTED_VALUE"""),"Murilo dias dos santos - Pós-Graduação em Microbiologia 580h")</f>
        <v>Murilo dias dos santos - Pós-Graduação em Microbiologia 580h</v>
      </c>
    </row>
    <row r="486">
      <c r="A486" s="390" t="str">
        <f>IFERROR(__xludf.DUMMYFUNCTION("""COMPUTED_VALUE"""),"Felipe Batista De Cesare - Formação Livre Psicanálise")</f>
        <v>Felipe Batista De Cesare - Formação Livre Psicanálise</v>
      </c>
    </row>
    <row r="487">
      <c r="A487" s="390" t="str">
        <f>IFERROR(__xludf.DUMMYFUNCTION("""COMPUTED_VALUE"""),"Vitória Kelly Santos dos Reis - Formação Livre Psicanálise")</f>
        <v>Vitória Kelly Santos dos Reis - Formação Livre Psicanálise</v>
      </c>
    </row>
    <row r="488">
      <c r="A488" s="390" t="str">
        <f>IFERROR(__xludf.DUMMYFUNCTION("""COMPUTED_VALUE"""),"Dassayew Klelwin de Vasconcelos Rocha - Formação Pedagógica História")</f>
        <v>Dassayew Klelwin de Vasconcelos Rocha - Formação Pedagógica História</v>
      </c>
    </row>
    <row r="489">
      <c r="A489" s="390" t="str">
        <f>IFERROR(__xludf.DUMMYFUNCTION("""COMPUTED_VALUE"""),"Viviane Espírito Santo dos Santos - Formação Pedagógica em Educação Especial")</f>
        <v>Viviane Espírito Santo dos Santos - Formação Pedagógica em Educação Especial</v>
      </c>
    </row>
    <row r="490">
      <c r="A490" s="390" t="str">
        <f>IFERROR(__xludf.DUMMYFUNCTION("""COMPUTED_VALUE"""),"Viviane Espírito Santo dos Santos - Pós-Graduação Educação Especial e Inclusiva")</f>
        <v>Viviane Espírito Santo dos Santos - Pós-Graduação Educação Especial e Inclusiva</v>
      </c>
    </row>
    <row r="491">
      <c r="A491" s="390" t="str">
        <f>IFERROR(__xludf.DUMMYFUNCTION("""COMPUTED_VALUE"""),"Viviane Espírito Santo dos Santos - FORMAÇÃO PEDAGÓGICA EM LETRAS – LÍNGUA PORTUGUESA E LIBRAS- U")</f>
        <v>Viviane Espírito Santo dos Santos - FORMAÇÃO PEDAGÓGICA EM LETRAS – LÍNGUA PORTUGUESA E LIBRAS- U</v>
      </c>
    </row>
    <row r="492">
      <c r="A492" s="390" t="str">
        <f>IFERROR(__xludf.DUMMYFUNCTION("""COMPUTED_VALUE"""),"Eliane Dantas silva - Formação Pedagogica em Geografia")</f>
        <v>Eliane Dantas silva - Formação Pedagogica em Geografia</v>
      </c>
    </row>
    <row r="493">
      <c r="A493" s="390" t="str">
        <f>IFERROR(__xludf.DUMMYFUNCTION("""COMPUTED_VALUE"""),"Eliane Dantas silva - #FPP- Formação Pedagógica em Pedagogia R2")</f>
        <v>Eliane Dantas silva - #FPP- Formação Pedagógica em Pedagogia R2</v>
      </c>
    </row>
    <row r="494">
      <c r="A494" s="390" t="str">
        <f>IFERROR(__xludf.DUMMYFUNCTION("""COMPUTED_VALUE"""),"Raissa Gurgel Lima Marta Emília Gurgel Lima - Pós-Graduação em Psicanálise")</f>
        <v>Raissa Gurgel Lima Marta Emília Gurgel Lima - Pós-Graduação em Psicanálise</v>
      </c>
    </row>
    <row r="495">
      <c r="A495" s="390" t="str">
        <f>IFERROR(__xludf.DUMMYFUNCTION("""COMPUTED_VALUE"""),"Alcenir José do Amaral - Formação Livre em Terapia Cognitiva Comportamental")</f>
        <v>Alcenir José do Amaral - Formação Livre em Terapia Cognitiva Comportamental</v>
      </c>
    </row>
    <row r="496">
      <c r="A496" s="390" t="str">
        <f>IFERROR(__xludf.DUMMYFUNCTION("""COMPUTED_VALUE"""),"Alcenir José do Amaral - Formação Livre Psicanálise")</f>
        <v>Alcenir José do Amaral - Formação Livre Psicanálise</v>
      </c>
    </row>
    <row r="497">
      <c r="A497" s="390" t="str">
        <f>IFERROR(__xludf.DUMMYFUNCTION("""COMPUTED_VALUE"""),"Alcenir José do Amaral - Pós-graduação em Neuropsicologia")</f>
        <v>Alcenir José do Amaral - Pós-graduação em Neuropsicologia</v>
      </c>
    </row>
    <row r="498">
      <c r="A498" s="390" t="str">
        <f>IFERROR(__xludf.DUMMYFUNCTION("""COMPUTED_VALUE"""),"Alcenir José do Amaral - Pós-Graduação em Neuropsicologia Clínica")</f>
        <v>Alcenir José do Amaral - Pós-Graduação em Neuropsicologia Clínica</v>
      </c>
    </row>
    <row r="499">
      <c r="A499" s="390" t="str">
        <f>IFERROR(__xludf.DUMMYFUNCTION("""COMPUTED_VALUE"""),"Isabel Bueno Pinheiro - Formação Livre Psicanálise")</f>
        <v>Isabel Bueno Pinheiro - Formação Livre Psicanálise</v>
      </c>
    </row>
    <row r="500">
      <c r="A500" s="390" t="str">
        <f>IFERROR(__xludf.DUMMYFUNCTION("""COMPUTED_VALUE"""),"Jaqueline Gonçalves da Costa - #SLEEA - Segunda Licenciatura em Educação Especial")</f>
        <v>Jaqueline Gonçalves da Costa - #SLEEA - Segunda Licenciatura em Educação Especial</v>
      </c>
    </row>
    <row r="501">
      <c r="A501" s="390" t="str">
        <f>IFERROR(__xludf.DUMMYFUNCTION("""COMPUTED_VALUE"""),"Flávio Ferreira de Souza - Formação Pedagógica em Química")</f>
        <v>Flávio Ferreira de Souza - Formação Pedagógica em Química</v>
      </c>
    </row>
    <row r="502">
      <c r="A502" s="390" t="str">
        <f>IFERROR(__xludf.DUMMYFUNCTION("""COMPUTED_VALUE"""),"Rosângela Menezes de Souza - #SLAA - Segunda Licenciatura em Artes Visuais")</f>
        <v>Rosângela Menezes de Souza - #SLAA - Segunda Licenciatura em Artes Visuais</v>
      </c>
    </row>
    <row r="503">
      <c r="A503" s="390" t="str">
        <f>IFERROR(__xludf.DUMMYFUNCTION("""COMPUTED_VALUE"""),"Cinthia Silva Raslan - Formação Livre Psicanálise")</f>
        <v>Cinthia Silva Raslan - Formação Livre Psicanálise</v>
      </c>
    </row>
    <row r="504">
      <c r="A504" s="390" t="str">
        <f>IFERROR(__xludf.DUMMYFUNCTION("""COMPUTED_VALUE"""),"Adriano Ricardo de Andrade - Formação Pedagógica em Ciências Biológicas")</f>
        <v>Adriano Ricardo de Andrade - Formação Pedagógica em Ciências Biológicas</v>
      </c>
    </row>
    <row r="505">
      <c r="A505" s="390" t="str">
        <f>IFERROR(__xludf.DUMMYFUNCTION("""COMPUTED_VALUE"""),"Adriano Ricardo de Andrade - #SLCBA - Segunda Licenciatura em Ciências Biológicas")</f>
        <v>Adriano Ricardo de Andrade - #SLCBA - Segunda Licenciatura em Ciências Biológicas</v>
      </c>
    </row>
    <row r="506">
      <c r="A506" s="390" t="str">
        <f>IFERROR(__xludf.DUMMYFUNCTION("""COMPUTED_VALUE"""),"Fábio Lopes De Souza - #SLEEF- Segunda Licenciatura Educação Física")</f>
        <v>Fábio Lopes De Souza - #SLEEF- Segunda Licenciatura Educação Física</v>
      </c>
    </row>
    <row r="507">
      <c r="A507" s="390" t="str">
        <f>IFERROR(__xludf.DUMMYFUNCTION("""COMPUTED_VALUE"""),"Celso Ferreira dos Santos - Formação Livre Psicanálise")</f>
        <v>Celso Ferreira dos Santos - Formação Livre Psicanálise</v>
      </c>
    </row>
    <row r="508">
      <c r="A508" s="390" t="str">
        <f>IFERROR(__xludf.DUMMYFUNCTION("""COMPUTED_VALUE"""),"Alberto Rolando Gutiérrez - Formação Livre em Terapia Cognitiva Comportamental")</f>
        <v>Alberto Rolando Gutiérrez - Formação Livre em Terapia Cognitiva Comportamental</v>
      </c>
    </row>
    <row r="509">
      <c r="A509" s="390" t="str">
        <f>IFERROR(__xludf.DUMMYFUNCTION("""COMPUTED_VALUE"""),"Gleice Alves Domingos - Formação Livre Psicanálise")</f>
        <v>Gleice Alves Domingos - Formação Livre Psicanálise</v>
      </c>
    </row>
    <row r="510">
      <c r="A510" s="390" t="str">
        <f>IFERROR(__xludf.DUMMYFUNCTION("""COMPUTED_VALUE"""),"FRANCISCO SANTOS LIMA - #SLHA - Segunda Licenciatura em História")</f>
        <v>FRANCISCO SANTOS LIMA - #SLHA - Segunda Licenciatura em História</v>
      </c>
    </row>
    <row r="511">
      <c r="A511" s="390" t="str">
        <f>IFERROR(__xludf.DUMMYFUNCTION("""COMPUTED_VALUE"""),"Paulo Henrique Teixeira - #SLGA - Segunda Licenciatura em Geografia")</f>
        <v>Paulo Henrique Teixeira - #SLGA - Segunda Licenciatura em Geografia</v>
      </c>
    </row>
    <row r="512">
      <c r="A512" s="390" t="str">
        <f>IFERROR(__xludf.DUMMYFUNCTION("""COMPUTED_VALUE"""),"Paulo Henrique Teixeira - #SLUPI - SEGUNDA LICENCIATURA EM LETRAS – PORTUGUÊS E INGLÊS")</f>
        <v>Paulo Henrique Teixeira - #SLUPI - SEGUNDA LICENCIATURA EM LETRAS – PORTUGUÊS E INGLÊS</v>
      </c>
    </row>
    <row r="513">
      <c r="A513" s="390" t="str">
        <f>IFERROR(__xludf.DUMMYFUNCTION("""COMPUTED_VALUE"""),"Genilda Silva Pires - #SLAA - Segunda Licenciatura em Artes Visuais")</f>
        <v>Genilda Silva Pires - #SLAA - Segunda Licenciatura em Artes Visuais</v>
      </c>
    </row>
    <row r="514">
      <c r="A514" s="390" t="str">
        <f>IFERROR(__xludf.DUMMYFUNCTION("""COMPUTED_VALUE"""),"Alex sandro Santos Costa - Formação Pedagógica História")</f>
        <v>Alex sandro Santos Costa - Formação Pedagógica História</v>
      </c>
    </row>
    <row r="515">
      <c r="A515" s="390" t="str">
        <f>IFERROR(__xludf.DUMMYFUNCTION("""COMPUTED_VALUE"""),"Patrícia Pimenta Prado - #SLCBA - Segunda Licenciatura em Ciências Biológicas")</f>
        <v>Patrícia Pimenta Prado - #SLCBA - Segunda Licenciatura em Ciências Biológicas</v>
      </c>
    </row>
    <row r="516">
      <c r="A516" s="390" t="str">
        <f>IFERROR(__xludf.DUMMYFUNCTION("""COMPUTED_VALUE"""),"Nirlania Schmithberg - #SLCBA - Segunda Licenciatura em Ciências Biológicas")</f>
        <v>Nirlania Schmithberg - #SLCBA - Segunda Licenciatura em Ciências Biológicas</v>
      </c>
    </row>
    <row r="517">
      <c r="A517" s="390" t="str">
        <f>IFERROR(__xludf.DUMMYFUNCTION("""COMPUTED_VALUE"""),"Ana Carolina Bento appelt - #SLCBA - Segunda Licenciatura em Ciências Biológicas")</f>
        <v>Ana Carolina Bento appelt - #SLCBA - Segunda Licenciatura em Ciências Biológicas</v>
      </c>
    </row>
    <row r="518">
      <c r="A518" s="390" t="str">
        <f>IFERROR(__xludf.DUMMYFUNCTION("""COMPUTED_VALUE"""),"Mileide Aparecida Nóbrega - Pós-Graduação em Psicanálise")</f>
        <v>Mileide Aparecida Nóbrega - Pós-Graduação em Psicanálise</v>
      </c>
    </row>
    <row r="519">
      <c r="A519" s="390" t="str">
        <f>IFERROR(__xludf.DUMMYFUNCTION("""COMPUTED_VALUE"""),"Mileide Aparecida Nóbrega - Pós-Graduação em Psicanálise")</f>
        <v>Mileide Aparecida Nóbrega - Pós-Graduação em Psicanálise</v>
      </c>
    </row>
    <row r="520">
      <c r="A520" s="390" t="str">
        <f>IFERROR(__xludf.DUMMYFUNCTION("""COMPUTED_VALUE"""),"Daniela Lunardi Camargo Barazzetti - #SLGA - Segunda Licenciatura em Geografia")</f>
        <v>Daniela Lunardi Camargo Barazzetti - #SLGA - Segunda Licenciatura em Geografia</v>
      </c>
    </row>
    <row r="521">
      <c r="A521" s="390" t="str">
        <f>IFERROR(__xludf.DUMMYFUNCTION("""COMPUTED_VALUE"""),"Givaldo rocha - Formação Livre em Terapia Cognitiva Comportamental")</f>
        <v>Givaldo rocha - Formação Livre em Terapia Cognitiva Comportamental</v>
      </c>
    </row>
    <row r="522">
      <c r="A522" s="390" t="str">
        <f>IFERROR(__xludf.DUMMYFUNCTION("""COMPUTED_VALUE"""),"Rosilene da Silva Nascimento - Formação Livre Psicanálise")</f>
        <v>Rosilene da Silva Nascimento - Formação Livre Psicanálise</v>
      </c>
    </row>
    <row r="523">
      <c r="A523" s="390" t="str">
        <f>IFERROR(__xludf.DUMMYFUNCTION("""COMPUTED_VALUE"""),"Juciara Maciel - #SLGA - Segunda Licenciatura em Geografia")</f>
        <v>Juciara Maciel - #SLGA - Segunda Licenciatura em Geografia</v>
      </c>
    </row>
    <row r="524">
      <c r="A524" s="390" t="str">
        <f>IFERROR(__xludf.DUMMYFUNCTION("""COMPUTED_VALUE"""),"Juliany Romilda Modesto de Lima - #SLAA - Segunda Licenciatura em Artes Visuais")</f>
        <v>Juliany Romilda Modesto de Lima - #SLAA - Segunda Licenciatura em Artes Visuais</v>
      </c>
    </row>
    <row r="525">
      <c r="A525" s="390" t="str">
        <f>IFERROR(__xludf.DUMMYFUNCTION("""COMPUTED_VALUE"""),"Lívia Cristine Nery de Lima - Formação Livre Psicanálise")</f>
        <v>Lívia Cristine Nery de Lima - Formação Livre Psicanálise</v>
      </c>
    </row>
    <row r="526">
      <c r="A526" s="390" t="str">
        <f>IFERROR(__xludf.DUMMYFUNCTION("""COMPUTED_VALUE"""),"Gabriel Da Costa Pereira - Tecnólogo Gestão de Recursos Humanos")</f>
        <v>Gabriel Da Costa Pereira - Tecnólogo Gestão de Recursos Humanos</v>
      </c>
    </row>
    <row r="527">
      <c r="A527" s="390" t="str">
        <f>IFERROR(__xludf.DUMMYFUNCTION("""COMPUTED_VALUE"""),"Roni Rodrigues Siqueira - Formação Pedagógica em Física")</f>
        <v>Roni Rodrigues Siqueira - Formação Pedagógica em Física</v>
      </c>
    </row>
    <row r="528">
      <c r="A528" s="390" t="str">
        <f>IFERROR(__xludf.DUMMYFUNCTION("""COMPUTED_VALUE"""),"Roni Rodrigues Siqueira - Formação Pedagógica em Física")</f>
        <v>Roni Rodrigues Siqueira - Formação Pedagógica em Física</v>
      </c>
    </row>
    <row r="529">
      <c r="A529" s="390" t="str">
        <f>IFERROR(__xludf.DUMMYFUNCTION("""COMPUTED_VALUE"""),"Roni Rodrigues Siqueira - Pós-Graduação em Engenharia Ambiental e Energias Renováveis")</f>
        <v>Roni Rodrigues Siqueira - Pós-Graduação em Engenharia Ambiental e Energias Renováveis</v>
      </c>
    </row>
    <row r="530">
      <c r="A530" s="390" t="str">
        <f>IFERROR(__xludf.DUMMYFUNCTION("""COMPUTED_VALUE"""),"Roni Rodrigues Siqueira - #FPUM Formação Pedagógica em Matemática")</f>
        <v>Roni Rodrigues Siqueira - #FPUM Formação Pedagógica em Matemática</v>
      </c>
    </row>
    <row r="531">
      <c r="A531" s="390" t="str">
        <f>IFERROR(__xludf.DUMMYFUNCTION("""COMPUTED_VALUE"""),"Roni Rodrigues Siqueira - #FPEEF- Formação Pedagógica Educação Física")</f>
        <v>Roni Rodrigues Siqueira - #FPEEF- Formação Pedagógica Educação Física</v>
      </c>
    </row>
    <row r="532">
      <c r="A532" s="390" t="str">
        <f>IFERROR(__xludf.DUMMYFUNCTION("""COMPUTED_VALUE"""),"Priscila Almeida da Cruz Brito - #SLAA - Segunda Licenciatura em Artes Visuais")</f>
        <v>Priscila Almeida da Cruz Brito - #SLAA - Segunda Licenciatura em Artes Visuais</v>
      </c>
    </row>
    <row r="533">
      <c r="A533" s="390" t="str">
        <f>IFERROR(__xludf.DUMMYFUNCTION("""COMPUTED_VALUE"""),"Caio Reis de Araújo - #SLAA - Segunda Licenciatura em Artes Visuais")</f>
        <v>Caio Reis de Araújo - #SLAA - Segunda Licenciatura em Artes Visuais</v>
      </c>
    </row>
    <row r="534">
      <c r="A534" s="390" t="str">
        <f>IFERROR(__xludf.DUMMYFUNCTION("""COMPUTED_VALUE"""),"Walmar Neice Santos - #SLCBA - Segunda Licenciatura em Ciências Biológicas")</f>
        <v>Walmar Neice Santos - #SLCBA - Segunda Licenciatura em Ciências Biológicas</v>
      </c>
    </row>
    <row r="535">
      <c r="A535" s="390" t="str">
        <f>IFERROR(__xludf.DUMMYFUNCTION("""COMPUTED_VALUE"""),"Claudijane Gomes da silva - Tecnólogo Estética e Cosmética")</f>
        <v>Claudijane Gomes da silva - Tecnólogo Estética e Cosmética</v>
      </c>
    </row>
    <row r="536">
      <c r="A536" s="390" t="str">
        <f>IFERROR(__xludf.DUMMYFUNCTION("""COMPUTED_VALUE"""),"Claudijane Gomes da Silva - Tecnólogo Estética e Cosmética")</f>
        <v>Claudijane Gomes da Silva - Tecnólogo Estética e Cosmética</v>
      </c>
    </row>
    <row r="537">
      <c r="A537" s="390" t="str">
        <f>IFERROR(__xludf.DUMMYFUNCTION("""COMPUTED_VALUE"""),"Luciana da Costa Valerio - Pós-Graduação em Psicanálise")</f>
        <v>Luciana da Costa Valerio - Pós-Graduação em Psicanálise</v>
      </c>
    </row>
    <row r="538">
      <c r="A538" s="390" t="str">
        <f>IFERROR(__xludf.DUMMYFUNCTION("""COMPUTED_VALUE"""),"Rodrigo cortes miranda - Tecnólogo Gestão de Recursos Humanos")</f>
        <v>Rodrigo cortes miranda - Tecnólogo Gestão de Recursos Humanos</v>
      </c>
    </row>
    <row r="539">
      <c r="A539" s="390" t="str">
        <f>IFERROR(__xludf.DUMMYFUNCTION("""COMPUTED_VALUE"""),"Luciana Rodrigues Miranda - Formação Pedagógica em Ciências Biológicas")</f>
        <v>Luciana Rodrigues Miranda - Formação Pedagógica em Ciências Biológicas</v>
      </c>
    </row>
    <row r="540">
      <c r="A540" s="390" t="str">
        <f>IFERROR(__xludf.DUMMYFUNCTION("""COMPUTED_VALUE"""),"cesar rogerio da silva junior - Formação Pedagógica em Física")</f>
        <v>cesar rogerio da silva junior - Formação Pedagógica em Física</v>
      </c>
    </row>
    <row r="541">
      <c r="A541" s="390" t="str">
        <f>IFERROR(__xludf.DUMMYFUNCTION("""COMPUTED_VALUE"""),"Eliane Mendes de Almeida - Tecnólogo Psicomotricidade e Ludicidade na Educação Infantil")</f>
        <v>Eliane Mendes de Almeida - Tecnólogo Psicomotricidade e Ludicidade na Educação Infantil</v>
      </c>
    </row>
    <row r="542">
      <c r="A542" s="390" t="str">
        <f>IFERROR(__xludf.DUMMYFUNCTION("""COMPUTED_VALUE"""),"Karen macedo firmo - #SLAA - Segunda Licenciatura em Artes Visuais")</f>
        <v>Karen macedo firmo - #SLAA - Segunda Licenciatura em Artes Visuais</v>
      </c>
    </row>
    <row r="543">
      <c r="A543" s="390" t="str">
        <f>IFERROR(__xludf.DUMMYFUNCTION("""COMPUTED_VALUE"""),"Rozilda Almeida Neves Magalhães - #SLAA - Segunda Licenciatura em Artes Visuais")</f>
        <v>Rozilda Almeida Neves Magalhães - #SLAA - Segunda Licenciatura em Artes Visuais</v>
      </c>
    </row>
    <row r="544">
      <c r="A544" s="390" t="str">
        <f>IFERROR(__xludf.DUMMYFUNCTION("""COMPUTED_VALUE"""),"ROSILDA dos Vales Reis - Pós-Graduação em Psicanálise")</f>
        <v>ROSILDA dos Vales Reis - Pós-Graduação em Psicanálise</v>
      </c>
    </row>
    <row r="545">
      <c r="A545" s="390" t="str">
        <f>IFERROR(__xludf.DUMMYFUNCTION("""COMPUTED_VALUE"""),"Wendas ferreira de Lima - Formação Livre Psicanálise")</f>
        <v>Wendas ferreira de Lima - Formação Livre Psicanálise</v>
      </c>
    </row>
    <row r="546">
      <c r="A546" s="390" t="str">
        <f>IFERROR(__xludf.DUMMYFUNCTION("""COMPUTED_VALUE"""),"Elissandra Martins Marrocos Ribeiro - Formação Pedagógica em Ciências Biológicas")</f>
        <v>Elissandra Martins Marrocos Ribeiro - Formação Pedagógica em Ciências Biológicas</v>
      </c>
    </row>
    <row r="547">
      <c r="A547" s="390" t="str">
        <f>IFERROR(__xludf.DUMMYFUNCTION("""COMPUTED_VALUE"""),"Maria Cidália de Lima Salme - Formação Livre em Terapia Cognitiva Comportamental")</f>
        <v>Maria Cidália de Lima Salme - Formação Livre em Terapia Cognitiva Comportamental</v>
      </c>
    </row>
    <row r="548">
      <c r="A548" s="390" t="str">
        <f>IFERROR(__xludf.DUMMYFUNCTION("""COMPUTED_VALUE"""),"Nilton Aparecido da Silva - #SLAA - Segunda Licenciatura em Artes Visuais")</f>
        <v>Nilton Aparecido da Silva - #SLAA - Segunda Licenciatura em Artes Visuais</v>
      </c>
    </row>
    <row r="549">
      <c r="A549" s="390" t="str">
        <f>IFERROR(__xludf.DUMMYFUNCTION("""COMPUTED_VALUE"""),"José Danyel Nunes Cavalcante - #SLHA - Segunda Licenciatura em História")</f>
        <v>José Danyel Nunes Cavalcante - #SLHA - Segunda Licenciatura em História</v>
      </c>
    </row>
    <row r="550">
      <c r="A550" s="390" t="str">
        <f>IFERROR(__xludf.DUMMYFUNCTION("""COMPUTED_VALUE"""),"Sandro Magalhães Sene - Tecnólogo Mediação, Conciliação e Arbitragem")</f>
        <v>Sandro Magalhães Sene - Tecnólogo Mediação, Conciliação e Arbitragem</v>
      </c>
    </row>
    <row r="551">
      <c r="A551" s="390" t="str">
        <f>IFERROR(__xludf.DUMMYFUNCTION("""COMPUTED_VALUE"""),"Eliane Mendes de Almeida - Tecnólogo Psicomotricidade e Ludicidade na Educação Infantil")</f>
        <v>Eliane Mendes de Almeida - Tecnólogo Psicomotricidade e Ludicidade na Educação Infantil</v>
      </c>
    </row>
    <row r="552">
      <c r="A552" s="390" t="str">
        <f>IFERROR(__xludf.DUMMYFUNCTION("""COMPUTED_VALUE"""),"JOHN LENHON SOUZA CUSTODIO - #SLQA - Segunda Licenciatura em Química")</f>
        <v>JOHN LENHON SOUZA CUSTODIO - #SLQA - Segunda Licenciatura em Química</v>
      </c>
    </row>
    <row r="553">
      <c r="A553" s="390" t="str">
        <f>IFERROR(__xludf.DUMMYFUNCTION("""COMPUTED_VALUE"""),"William Donizete Nunes - #SLEEF- Segunda Licenciatura Educação Física")</f>
        <v>William Donizete Nunes - #SLEEF- Segunda Licenciatura Educação Física</v>
      </c>
    </row>
    <row r="554">
      <c r="A554" s="390" t="str">
        <f>IFERROR(__xludf.DUMMYFUNCTION("""COMPUTED_VALUE"""),"William Donizete Nunes - #SLMF - Segunda Licenciatura em Música 1320Horas")</f>
        <v>William Donizete Nunes - #SLMF - Segunda Licenciatura em Música 1320Horas</v>
      </c>
    </row>
    <row r="555">
      <c r="A555" s="390" t="str">
        <f>IFERROR(__xludf.DUMMYFUNCTION("""COMPUTED_VALUE"""),"William Donizete Nunes - #SLMF- Segunda Licenciatura em Música 2022 880Horas")</f>
        <v>William Donizete Nunes - #SLMF- Segunda Licenciatura em Música 2022 880Horas</v>
      </c>
    </row>
    <row r="556">
      <c r="A556" s="390" t="str">
        <f>IFERROR(__xludf.DUMMYFUNCTION("""COMPUTED_VALUE"""),"Jorge Miguel Moura de Araújo - Formação Pedagógica em Ciências Biológicas")</f>
        <v>Jorge Miguel Moura de Araújo - Formação Pedagógica em Ciências Biológicas</v>
      </c>
    </row>
    <row r="557">
      <c r="A557" s="390" t="str">
        <f>IFERROR(__xludf.DUMMYFUNCTION("""COMPUTED_VALUE"""),"MARIA DAS DORES SOUSA MELO - #SLCBA - Segunda Licenciatura em Ciências Biológicas")</f>
        <v>MARIA DAS DORES SOUSA MELO - #SLCBA - Segunda Licenciatura em Ciências Biológicas</v>
      </c>
    </row>
    <row r="558">
      <c r="A558" s="390" t="str">
        <f>IFERROR(__xludf.DUMMYFUNCTION("""COMPUTED_VALUE"""),"JUBSON WILLIAN DE MATOS ARAGÃO - #SLGA - Segunda Licenciatura em Geografia")</f>
        <v>JUBSON WILLIAN DE MATOS ARAGÃO - #SLGA - Segunda Licenciatura em Geografia</v>
      </c>
    </row>
    <row r="559">
      <c r="A559" s="390" t="str">
        <f>IFERROR(__xludf.DUMMYFUNCTION("""COMPUTED_VALUE"""),"ISMENIA RODRIGUES SILVERIO MOTA - Formação Pedagógica em Artes Visuais")</f>
        <v>ISMENIA RODRIGUES SILVERIO MOTA - Formação Pedagógica em Artes Visuais</v>
      </c>
    </row>
    <row r="560">
      <c r="A560" s="390" t="str">
        <f>IFERROR(__xludf.DUMMYFUNCTION("""COMPUTED_VALUE"""),"ISMENIA RODRIGUES SILVERIO MOTA - Pós-Graduação em Gestão Escolar Integrada com Ênfase em Supervisão, Orientação, Administração e Inspeção")</f>
        <v>ISMENIA RODRIGUES SILVERIO MOTA - Pós-Graduação em Gestão Escolar Integrada com Ênfase em Supervisão, Orientação, Administração e Inspeção</v>
      </c>
    </row>
    <row r="561">
      <c r="A561" s="390" t="str">
        <f>IFERROR(__xludf.DUMMYFUNCTION("""COMPUTED_VALUE"""),"ISMENIA RODRIGUES SILVERIO MOTA - #FPULPI- Formação Pedagógica em Letras – Português e Inglês")</f>
        <v>ISMENIA RODRIGUES SILVERIO MOTA - #FPULPI- Formação Pedagógica em Letras – Português e Inglês</v>
      </c>
    </row>
    <row r="562">
      <c r="A562" s="390" t="str">
        <f>IFERROR(__xludf.DUMMYFUNCTION("""COMPUTED_VALUE"""),"Quesia Ferreira da Silva Nazário - Pós-Graduação Terapia Cognitiva Comportamental")</f>
        <v>Quesia Ferreira da Silva Nazário - Pós-Graduação Terapia Cognitiva Comportamental</v>
      </c>
    </row>
    <row r="563">
      <c r="A563" s="390" t="str">
        <f>IFERROR(__xludf.DUMMYFUNCTION("""COMPUTED_VALUE"""),"Beatriz Terezinha de Vargas - Tecnólogo Gestão Hospitalar")</f>
        <v>Beatriz Terezinha de Vargas - Tecnólogo Gestão Hospitalar</v>
      </c>
    </row>
    <row r="564">
      <c r="A564" s="390" t="str">
        <f>IFERROR(__xludf.DUMMYFUNCTION("""COMPUTED_VALUE"""),"Beatriz Terezinha de Vargas - #FPUF- Formação Pedagógica em Filosofia")</f>
        <v>Beatriz Terezinha de Vargas - #FPUF- Formação Pedagógica em Filosofia</v>
      </c>
    </row>
    <row r="565">
      <c r="A565" s="390" t="str">
        <f>IFERROR(__xludf.DUMMYFUNCTION("""COMPUTED_VALUE"""),"Beatriz Terezinha de Vargas - #FPUP-FORMAÇÃO PEDAGÓGICA EM PEDAGOGIA- U")</f>
        <v>Beatriz Terezinha de Vargas - #FPUP-FORMAÇÃO PEDAGÓGICA EM PEDAGOGIA- U</v>
      </c>
    </row>
    <row r="566">
      <c r="A566" s="390" t="str">
        <f>IFERROR(__xludf.DUMMYFUNCTION("""COMPUTED_VALUE"""),"Beatriz Vargas - Tecnólogo Gestão Hospitalar")</f>
        <v>Beatriz Vargas - Tecnólogo Gestão Hospitalar</v>
      </c>
    </row>
    <row r="567">
      <c r="A567" s="390" t="str">
        <f>IFERROR(__xludf.DUMMYFUNCTION("""COMPUTED_VALUE"""),"Renildo Lopes da Costa - #SLAA - Segunda Licenciatura em Artes Visuais")</f>
        <v>Renildo Lopes da Costa - #SLAA - Segunda Licenciatura em Artes Visuais</v>
      </c>
    </row>
    <row r="568">
      <c r="A568" s="390" t="str">
        <f>IFERROR(__xludf.DUMMYFUNCTION("""COMPUTED_VALUE"""),"Dulcilene Barrere Resende - Formação Livre Psicanálise")</f>
        <v>Dulcilene Barrere Resende - Formação Livre Psicanálise</v>
      </c>
    </row>
    <row r="569">
      <c r="A569" s="390" t="str">
        <f>IFERROR(__xludf.DUMMYFUNCTION("""COMPUTED_VALUE"""),"Estéfane Dantas Cabral Alexandre - Formação Pedagógica em Artes Visuais")</f>
        <v>Estéfane Dantas Cabral Alexandre - Formação Pedagógica em Artes Visuais</v>
      </c>
    </row>
    <row r="570">
      <c r="A570" s="390" t="str">
        <f>IFERROR(__xludf.DUMMYFUNCTION("""COMPUTED_VALUE"""),"Luciano Machado da Silva - Pós-Graduação Terapia Cognitiva Comportamental")</f>
        <v>Luciano Machado da Silva - Pós-Graduação Terapia Cognitiva Comportamental</v>
      </c>
    </row>
    <row r="571">
      <c r="A571" s="390" t="str">
        <f>IFERROR(__xludf.DUMMYFUNCTION("""COMPUTED_VALUE"""),"Luciano Machado da Silva - Pós-Graduação em Musicoterapia")</f>
        <v>Luciano Machado da Silva - Pós-Graduação em Musicoterapia</v>
      </c>
    </row>
    <row r="572">
      <c r="A572" s="390" t="str">
        <f>IFERROR(__xludf.DUMMYFUNCTION("""COMPUTED_VALUE"""),"Luciano Machado da Silva - #SLMF - Segunda Licenciatura em Música 1320Horas")</f>
        <v>Luciano Machado da Silva - #SLMF - Segunda Licenciatura em Música 1320Horas</v>
      </c>
    </row>
    <row r="573">
      <c r="A573" s="390" t="str">
        <f>IFERROR(__xludf.DUMMYFUNCTION("""COMPUTED_VALUE"""),"Luciano Machado da Silva - #SLMF - Segunda Licenciatura em Música 1320Horas")</f>
        <v>Luciano Machado da Silva - #SLMF - Segunda Licenciatura em Música 1320Horas</v>
      </c>
    </row>
    <row r="574">
      <c r="A574" s="390" t="str">
        <f>IFERROR(__xludf.DUMMYFUNCTION("""COMPUTED_VALUE"""),"Luciano Machado da Silva - Pós-Graduação em Avaliação Psicológica e Psicodiagnóstico")</f>
        <v>Luciano Machado da Silva - Pós-Graduação em Avaliação Psicológica e Psicodiagnóstico</v>
      </c>
    </row>
    <row r="575">
      <c r="A575" s="390" t="str">
        <f>IFERROR(__xludf.DUMMYFUNCTION("""COMPUTED_VALUE"""),"Monique dos Santos Fernandes - Tecnólogo Despachante Documentalista")</f>
        <v>Monique dos Santos Fernandes - Tecnólogo Despachante Documentalista</v>
      </c>
    </row>
    <row r="576">
      <c r="A576" s="390" t="str">
        <f>IFERROR(__xludf.DUMMYFUNCTION("""COMPUTED_VALUE"""),"Monique dos Santos Fernandes - Tecnólogo Gestão de Serviços Jurídicos e Notariais")</f>
        <v>Monique dos Santos Fernandes - Tecnólogo Gestão de Serviços Jurídicos e Notariais</v>
      </c>
    </row>
    <row r="577">
      <c r="A577" s="390" t="str">
        <f>IFERROR(__xludf.DUMMYFUNCTION("""COMPUTED_VALUE"""),"Itamar Alexandre dos Santos - Tecnólogo Psicomotricidade e Ludicidade na Educação Infantil")</f>
        <v>Itamar Alexandre dos Santos - Tecnólogo Psicomotricidade e Ludicidade na Educação Infantil</v>
      </c>
    </row>
    <row r="578">
      <c r="A578" s="390" t="str">
        <f>IFERROR(__xludf.DUMMYFUNCTION("""COMPUTED_VALUE"""),"Zoraia Cunha - Tecnólogo Coaching e Desenvolvimento Humano")</f>
        <v>Zoraia Cunha - Tecnólogo Coaching e Desenvolvimento Humano</v>
      </c>
    </row>
    <row r="579">
      <c r="A579" s="390" t="str">
        <f>IFERROR(__xludf.DUMMYFUNCTION("""COMPUTED_VALUE"""),"Leandro Santos da Silva - Tecnólogo Análise e Desenvolvimento de Sistemas")</f>
        <v>Leandro Santos da Silva - Tecnólogo Análise e Desenvolvimento de Sistemas</v>
      </c>
    </row>
    <row r="580">
      <c r="A580" s="390" t="str">
        <f>IFERROR(__xludf.DUMMYFUNCTION("""COMPUTED_VALUE"""),"Paulo Roberto Maciel dos Santos - Formação Pedagógica em Ciências Biológicas")</f>
        <v>Paulo Roberto Maciel dos Santos - Formação Pedagógica em Ciências Biológicas</v>
      </c>
    </row>
    <row r="581">
      <c r="A581" s="390" t="str">
        <f>IFERROR(__xludf.DUMMYFUNCTION("""COMPUTED_VALUE"""),"Mara Gonçalves Marchesin - #SLAA - Segunda Licenciatura em Artes Visuais")</f>
        <v>Mara Gonçalves Marchesin - #SLAA - Segunda Licenciatura em Artes Visuais</v>
      </c>
    </row>
    <row r="582">
      <c r="A582" s="390" t="str">
        <f>IFERROR(__xludf.DUMMYFUNCTION("""COMPUTED_VALUE"""),"MARILU NUNES ROCHA - Formação Livre Psicanálise")</f>
        <v>MARILU NUNES ROCHA - Formação Livre Psicanálise</v>
      </c>
    </row>
    <row r="583">
      <c r="A583" s="390" t="str">
        <f>IFERROR(__xludf.DUMMYFUNCTION("""COMPUTED_VALUE"""),"Elaine CristIna da Silva Máximo de Carvalho - Formação Livre Psicanálise")</f>
        <v>Elaine CristIna da Silva Máximo de Carvalho - Formação Livre Psicanálise</v>
      </c>
    </row>
    <row r="584">
      <c r="A584" s="390" t="str">
        <f>IFERROR(__xludf.DUMMYFUNCTION("""COMPUTED_VALUE"""),"GRACIETE LIMA DOS SANTOS ELOI DE FRANÇA - #SLLLA - Segunda Licenciatura em Letras - Libras")</f>
        <v>GRACIETE LIMA DOS SANTOS ELOI DE FRANÇA - #SLLLA - Segunda Licenciatura em Letras - Libras</v>
      </c>
    </row>
    <row r="585">
      <c r="A585" s="390" t="str">
        <f>IFERROR(__xludf.DUMMYFUNCTION("""COMPUTED_VALUE"""),"GRACIETE LIMA DOS SANTOS ELOI DE FRANÇA - #SLULPL- Segunda Licenciatura em Letras – Língua Portuguesa e Libras")</f>
        <v>GRACIETE LIMA DOS SANTOS ELOI DE FRANÇA - #SLULPL- Segunda Licenciatura em Letras – Língua Portuguesa e Libras</v>
      </c>
    </row>
    <row r="586">
      <c r="A586" s="390" t="str">
        <f>IFERROR(__xludf.DUMMYFUNCTION("""COMPUTED_VALUE"""),"Ramile Alves de Deus Braga - Tecnólogo Estética e Cosmética")</f>
        <v>Ramile Alves de Deus Braga - Tecnólogo Estética e Cosmética</v>
      </c>
    </row>
    <row r="587">
      <c r="A587" s="390" t="str">
        <f>IFERROR(__xludf.DUMMYFUNCTION("""COMPUTED_VALUE"""),"Karoline Sá Demarchi - Tecnólogo Gestão Financeira")</f>
        <v>Karoline Sá Demarchi - Tecnólogo Gestão Financeira</v>
      </c>
    </row>
    <row r="588">
      <c r="A588" s="390" t="str">
        <f>IFERROR(__xludf.DUMMYFUNCTION("""COMPUTED_VALUE"""),"Luiz Gonzaga de Souza Janeiro - Tecnólogo Segurança Pública")</f>
        <v>Luiz Gonzaga de Souza Janeiro - Tecnólogo Segurança Pública</v>
      </c>
    </row>
    <row r="589">
      <c r="A589" s="390" t="str">
        <f>IFERROR(__xludf.DUMMYFUNCTION("""COMPUTED_VALUE"""),"Vania Maria da Silva Santos - Tecnólogo Psicomotricidade e Ludicidade na Educação Infantil")</f>
        <v>Vania Maria da Silva Santos - Tecnólogo Psicomotricidade e Ludicidade na Educação Infantil</v>
      </c>
    </row>
    <row r="590">
      <c r="A590" s="390" t="str">
        <f>IFERROR(__xludf.DUMMYFUNCTION("""COMPUTED_VALUE"""),"Kátia dias costa da Silva - Formação Livre em Terapia Cognitiva Comportamental")</f>
        <v>Kátia dias costa da Silva - Formação Livre em Terapia Cognitiva Comportamental</v>
      </c>
    </row>
    <row r="591">
      <c r="A591" s="390" t="str">
        <f>IFERROR(__xludf.DUMMYFUNCTION("""COMPUTED_VALUE"""),"Joelma Maria Caetano Martins - Formação Pedagógica em Ciências Biológicas")</f>
        <v>Joelma Maria Caetano Martins - Formação Pedagógica em Ciências Biológicas</v>
      </c>
    </row>
    <row r="592">
      <c r="A592" s="390" t="str">
        <f>IFERROR(__xludf.DUMMYFUNCTION("""COMPUTED_VALUE"""),"Thiago do Nascimento Braga - Formação Livre Psicanálise")</f>
        <v>Thiago do Nascimento Braga - Formação Livre Psicanálise</v>
      </c>
    </row>
    <row r="593">
      <c r="A593" s="390" t="str">
        <f>IFERROR(__xludf.DUMMYFUNCTION("""COMPUTED_VALUE"""),"Sandra da Silva Barriolo - Tecnólogo Educador Social")</f>
        <v>Sandra da Silva Barriolo - Tecnólogo Educador Social</v>
      </c>
    </row>
    <row r="594">
      <c r="A594" s="390" t="str">
        <f>IFERROR(__xludf.DUMMYFUNCTION("""COMPUTED_VALUE"""),"Elisângela Aparecida Zuccari de Lima - Pós-Graduação em Psicanálise")</f>
        <v>Elisângela Aparecida Zuccari de Lima - Pós-Graduação em Psicanálise</v>
      </c>
    </row>
    <row r="595">
      <c r="A595" s="390" t="str">
        <f>IFERROR(__xludf.DUMMYFUNCTION("""COMPUTED_VALUE"""),"Ana Paula  Mota Bonifácio - Tecnólogo Psicomotricidade e Ludicidade na Educação Infantil")</f>
        <v>Ana Paula  Mota Bonifácio - Tecnólogo Psicomotricidade e Ludicidade na Educação Infantil</v>
      </c>
    </row>
    <row r="596">
      <c r="A596" s="390" t="str">
        <f>IFERROR(__xludf.DUMMYFUNCTION("""COMPUTED_VALUE"""),"Charles Alberto Reis Silva - Pós-Graduação em Musicoterapia")</f>
        <v>Charles Alberto Reis Silva - Pós-Graduação em Musicoterapia</v>
      </c>
    </row>
    <row r="597">
      <c r="A597" s="390" t="str">
        <f>IFERROR(__xludf.DUMMYFUNCTION("""COMPUTED_VALUE"""),"Charles Alberto Reis Silva - SEGUNDA LICENCIATURA EM MÚSICA - 2024")</f>
        <v>Charles Alberto Reis Silva - SEGUNDA LICENCIATURA EM MÚSICA - 2024</v>
      </c>
    </row>
    <row r="598">
      <c r="A598" s="390" t="str">
        <f>IFERROR(__xludf.DUMMYFUNCTION("""COMPUTED_VALUE"""),"Dina Claudia Alves Ferreira - Tecnólogo Educador Social")</f>
        <v>Dina Claudia Alves Ferreira - Tecnólogo Educador Social</v>
      </c>
    </row>
    <row r="599">
      <c r="A599" s="390" t="str">
        <f>IFERROR(__xludf.DUMMYFUNCTION("""COMPUTED_VALUE"""),"Carlos Henrique dos Santos - Tecnólogo Coaching e Desenvolvimento Humano")</f>
        <v>Carlos Henrique dos Santos - Tecnólogo Coaching e Desenvolvimento Humano</v>
      </c>
    </row>
    <row r="600">
      <c r="A600" s="390" t="str">
        <f>IFERROR(__xludf.DUMMYFUNCTION("""COMPUTED_VALUE"""),"Carlos Henrique dos Santos - Tecnólogo Processos Gerenciais")</f>
        <v>Carlos Henrique dos Santos - Tecnólogo Processos Gerenciais</v>
      </c>
    </row>
    <row r="601">
      <c r="A601" s="390" t="str">
        <f>IFERROR(__xludf.DUMMYFUNCTION("""COMPUTED_VALUE"""),"Carolina Nadu da Fonseca Magalhães da Silva - Tecnólogo Estética e Cosmética")</f>
        <v>Carolina Nadu da Fonseca Magalhães da Silva - Tecnólogo Estética e Cosmética</v>
      </c>
    </row>
    <row r="602">
      <c r="A602" s="390" t="str">
        <f>IFERROR(__xludf.DUMMYFUNCTION("""COMPUTED_VALUE"""),"Carolina Nadu da Fonseca Magalhães da Silva - #SLMF - Segunda Licenciatura em Música 1320Horas")</f>
        <v>Carolina Nadu da Fonseca Magalhães da Silva - #SLMF - Segunda Licenciatura em Música 1320Horas</v>
      </c>
    </row>
    <row r="603">
      <c r="A603" s="390" t="str">
        <f>IFERROR(__xludf.DUMMYFUNCTION("""COMPUTED_VALUE"""),"Jeane Carvalho de Menezes - #SLHA - Segunda Licenciatura em História")</f>
        <v>Jeane Carvalho de Menezes - #SLHA - Segunda Licenciatura em História</v>
      </c>
    </row>
    <row r="604">
      <c r="A604" s="390" t="str">
        <f>IFERROR(__xludf.DUMMYFUNCTION("""COMPUTED_VALUE"""),"Jeane Carvalho de Menezes - #SLUH- Segunda Licenciatura em História")</f>
        <v>Jeane Carvalho de Menezes - #SLUH- Segunda Licenciatura em História</v>
      </c>
    </row>
    <row r="605">
      <c r="A605" s="390" t="str">
        <f>IFERROR(__xludf.DUMMYFUNCTION("""COMPUTED_VALUE"""),"Arelle Aparecida Abreu Azevedo Batista - Formação Pedagógica Letras - Libras")</f>
        <v>Arelle Aparecida Abreu Azevedo Batista - Formação Pedagógica Letras - Libras</v>
      </c>
    </row>
    <row r="606">
      <c r="A606" s="390" t="str">
        <f>IFERROR(__xludf.DUMMYFUNCTION("""COMPUTED_VALUE"""),"Gisela Del padre Rodrigues - Formação Livre Psicanálise")</f>
        <v>Gisela Del padre Rodrigues - Formação Livre Psicanálise</v>
      </c>
    </row>
    <row r="607">
      <c r="A607" s="390" t="str">
        <f>IFERROR(__xludf.DUMMYFUNCTION("""COMPUTED_VALUE"""),"Lenice Lopes da Costa - Tecnólogo Marketing Digital")</f>
        <v>Lenice Lopes da Costa - Tecnólogo Marketing Digital</v>
      </c>
    </row>
    <row r="608">
      <c r="A608" s="390" t="str">
        <f>IFERROR(__xludf.DUMMYFUNCTION("""COMPUTED_VALUE"""),"Luiz Gonzaga Feitosa Ramos Júnior - Tecnólogo Design de Animação")</f>
        <v>Luiz Gonzaga Feitosa Ramos Júnior - Tecnólogo Design de Animação</v>
      </c>
    </row>
    <row r="609">
      <c r="A609" s="390" t="str">
        <f>IFERROR(__xludf.DUMMYFUNCTION("""COMPUTED_VALUE"""),"Nânci De Negri Silva - #SLCBA - Segunda Licenciatura em Ciências Biológicas")</f>
        <v>Nânci De Negri Silva - #SLCBA - Segunda Licenciatura em Ciências Biológicas</v>
      </c>
    </row>
    <row r="610">
      <c r="A610" s="390" t="str">
        <f>IFERROR(__xludf.DUMMYFUNCTION("""COMPUTED_VALUE"""),"Nânci De Negri Silva - #SLEEF- Segunda Licenciatura Educação Física")</f>
        <v>Nânci De Negri Silva - #SLEEF- Segunda Licenciatura Educação Física</v>
      </c>
    </row>
    <row r="611">
      <c r="A611" s="390" t="str">
        <f>IFERROR(__xludf.DUMMYFUNCTION("""COMPUTED_VALUE"""),"Nânci De Negri Silva - #SLAA - Segunda Licenciatura em Artes Visuais")</f>
        <v>Nânci De Negri Silva - #SLAA - Segunda Licenciatura em Artes Visuais</v>
      </c>
    </row>
    <row r="612">
      <c r="A612" s="390" t="str">
        <f>IFERROR(__xludf.DUMMYFUNCTION("""COMPUTED_VALUE"""),"Ingrid do nascimento Silva - Formação Livre em Terapia Cognitiva Comportamental")</f>
        <v>Ingrid do nascimento Silva - Formação Livre em Terapia Cognitiva Comportamental</v>
      </c>
    </row>
    <row r="613">
      <c r="A613" s="390" t="str">
        <f>IFERROR(__xludf.DUMMYFUNCTION("""COMPUTED_VALUE"""),"Ingrid do nascimento Silva - Tecnólogo Coaching e Desenvolvimento Humano")</f>
        <v>Ingrid do nascimento Silva - Tecnólogo Coaching e Desenvolvimento Humano</v>
      </c>
    </row>
    <row r="614">
      <c r="A614" s="390" t="str">
        <f>IFERROR(__xludf.DUMMYFUNCTION("""COMPUTED_VALUE"""),"Weslley Martins Boscolo - Tecnólogo Gestão de Recursos Humanos")</f>
        <v>Weslley Martins Boscolo - Tecnólogo Gestão de Recursos Humanos</v>
      </c>
    </row>
    <row r="615">
      <c r="A615" s="390" t="str">
        <f>IFERROR(__xludf.DUMMYFUNCTION("""COMPUTED_VALUE"""),"Marcela Santos Freire - Tecnólogo Gestão Hospitalar")</f>
        <v>Marcela Santos Freire - Tecnólogo Gestão Hospitalar</v>
      </c>
    </row>
    <row r="616">
      <c r="A616" s="390" t="str">
        <f>IFERROR(__xludf.DUMMYFUNCTION("""COMPUTED_VALUE"""),"Luiz Gonzaga Feitosa Ramos Júnior - Tecnólogo Marketing Digital")</f>
        <v>Luiz Gonzaga Feitosa Ramos Júnior - Tecnólogo Marketing Digital</v>
      </c>
    </row>
    <row r="617">
      <c r="A617" s="390" t="str">
        <f>IFERROR(__xludf.DUMMYFUNCTION("""COMPUTED_VALUE"""),"Rosely Aparecida Vilela Costa - #SLAA - Segunda Licenciatura em Artes Visuais")</f>
        <v>Rosely Aparecida Vilela Costa - #SLAA - Segunda Licenciatura em Artes Visuais</v>
      </c>
    </row>
    <row r="618">
      <c r="A618" s="390" t="str">
        <f>IFERROR(__xludf.DUMMYFUNCTION("""COMPUTED_VALUE"""),"Rosely Aparecida Vilela Costa - #SLEEA - Segunda Licenciatura em Educação Especial")</f>
        <v>Rosely Aparecida Vilela Costa - #SLEEA - Segunda Licenciatura em Educação Especial</v>
      </c>
    </row>
    <row r="619">
      <c r="A619" s="390" t="str">
        <f>IFERROR(__xludf.DUMMYFUNCTION("""COMPUTED_VALUE"""),"Rosely Aparecida Vilela Costa - Pós-Graduação em TDAH – Transtorno do Déficit de Atenção e Hiperatividade")</f>
        <v>Rosely Aparecida Vilela Costa - Pós-Graduação em TDAH – Transtorno do Déficit de Atenção e Hiperatividade</v>
      </c>
    </row>
    <row r="620">
      <c r="A620" s="390" t="str">
        <f>IFERROR(__xludf.DUMMYFUNCTION("""COMPUTED_VALUE"""),"Eli Cristiane Aparecida de Oliveira - Formação Pedagógica em Física")</f>
        <v>Eli Cristiane Aparecida de Oliveira - Formação Pedagógica em Física</v>
      </c>
    </row>
    <row r="621">
      <c r="A621" s="390" t="str">
        <f>IFERROR(__xludf.DUMMYFUNCTION("""COMPUTED_VALUE"""),"Marcilene Kuhsler - #SLEEF- Segunda Licenciatura Educação Física")</f>
        <v>Marcilene Kuhsler - #SLEEF- Segunda Licenciatura Educação Física</v>
      </c>
    </row>
    <row r="622">
      <c r="A622" s="390" t="str">
        <f>IFERROR(__xludf.DUMMYFUNCTION("""COMPUTED_VALUE"""),"Tatiane Pereira Feitosa - #SLCSA - Segunda Licenciatura em Ciências Sociais")</f>
        <v>Tatiane Pereira Feitosa - #SLCSA - Segunda Licenciatura em Ciências Sociais</v>
      </c>
    </row>
    <row r="623">
      <c r="A623" s="390" t="str">
        <f>IFERROR(__xludf.DUMMYFUNCTION("""COMPUTED_VALUE"""),"Lorenza da Silva Ferreira - #SLEEF- Segunda Licenciatura Educação Física")</f>
        <v>Lorenza da Silva Ferreira - #SLEEF- Segunda Licenciatura Educação Física</v>
      </c>
    </row>
    <row r="624">
      <c r="A624" s="390" t="str">
        <f>IFERROR(__xludf.DUMMYFUNCTION("""COMPUTED_VALUE"""),"Alexandre Nogueira Souza - Formação Pedagógica História")</f>
        <v>Alexandre Nogueira Souza - Formação Pedagógica História</v>
      </c>
    </row>
    <row r="625">
      <c r="A625" s="390" t="str">
        <f>IFERROR(__xludf.DUMMYFUNCTION("""COMPUTED_VALUE"""),"Fernanda Silva da Cruz Oliveira - #SLGA - Segunda Licenciatura em Geografia")</f>
        <v>Fernanda Silva da Cruz Oliveira - #SLGA - Segunda Licenciatura em Geografia</v>
      </c>
    </row>
    <row r="626">
      <c r="A626" s="390" t="str">
        <f>IFERROR(__xludf.DUMMYFUNCTION("""COMPUTED_VALUE"""),"Luiz dos santos - #SLFA  - Segunda Licenciatura em Filosofia")</f>
        <v>Luiz dos santos - #SLFA  - Segunda Licenciatura em Filosofia</v>
      </c>
    </row>
    <row r="627">
      <c r="A627" s="390" t="str">
        <f>IFERROR(__xludf.DUMMYFUNCTION("""COMPUTED_VALUE"""),"Cassio Fabiano Da Silva Carvalho - Formação Pedagógica História")</f>
        <v>Cassio Fabiano Da Silva Carvalho - Formação Pedagógica História</v>
      </c>
    </row>
    <row r="628">
      <c r="A628" s="390" t="str">
        <f>IFERROR(__xludf.DUMMYFUNCTION("""COMPUTED_VALUE"""),"Cassio Fabiano Da Silva Carvalho - #SLHA - Segunda Licenciatura em História")</f>
        <v>Cassio Fabiano Da Silva Carvalho - #SLHA - Segunda Licenciatura em História</v>
      </c>
    </row>
    <row r="629">
      <c r="A629" s="390" t="str">
        <f>IFERROR(__xludf.DUMMYFUNCTION("""COMPUTED_VALUE"""),"Emanuelle Reis de Melo - #SLAA - Segunda Licenciatura em Artes Visuais")</f>
        <v>Emanuelle Reis de Melo - #SLAA - Segunda Licenciatura em Artes Visuais</v>
      </c>
    </row>
    <row r="630">
      <c r="A630" s="390" t="str">
        <f>IFERROR(__xludf.DUMMYFUNCTION("""COMPUTED_VALUE"""),"CARLOS EDUARDO DA SILVA FARIAS - Tecnólogo Design Gráfico")</f>
        <v>CARLOS EDUARDO DA SILVA FARIAS - Tecnólogo Design Gráfico</v>
      </c>
    </row>
    <row r="631">
      <c r="A631" s="390" t="str">
        <f>IFERROR(__xludf.DUMMYFUNCTION("""COMPUTED_VALUE"""),"Maria José Pessoa de Andrade Araújo - Pós-Graduação Terapia Cognitiva Comportamental")</f>
        <v>Maria José Pessoa de Andrade Araújo - Pós-Graduação Terapia Cognitiva Comportamental</v>
      </c>
    </row>
    <row r="632">
      <c r="A632" s="390" t="str">
        <f>IFERROR(__xludf.DUMMYFUNCTION("""COMPUTED_VALUE"""),"Alexandre de Andrade Silva - Tecnólogo Marketing Digital")</f>
        <v>Alexandre de Andrade Silva - Tecnólogo Marketing Digital</v>
      </c>
    </row>
    <row r="633">
      <c r="A633" s="390" t="str">
        <f>IFERROR(__xludf.DUMMYFUNCTION("""COMPUTED_VALUE"""),"Joelita da Silva Soares Costa - #SLAA - Segunda Licenciatura em Artes Visuais")</f>
        <v>Joelita da Silva Soares Costa - #SLAA - Segunda Licenciatura em Artes Visuais</v>
      </c>
    </row>
    <row r="634">
      <c r="A634" s="390" t="str">
        <f>IFERROR(__xludf.DUMMYFUNCTION("""COMPUTED_VALUE"""),"Joelita da Silva Soares Costa - Pós-Graduação em Sexologia")</f>
        <v>Joelita da Silva Soares Costa - Pós-Graduação em Sexologia</v>
      </c>
    </row>
    <row r="635">
      <c r="A635" s="390" t="str">
        <f>IFERROR(__xludf.DUMMYFUNCTION("""COMPUTED_VALUE"""),"Sebastião Mendes de Arruda - #SLFA  - Segunda Licenciatura em Filosofia")</f>
        <v>Sebastião Mendes de Arruda - #SLFA  - Segunda Licenciatura em Filosofia</v>
      </c>
    </row>
    <row r="636">
      <c r="A636" s="390" t="str">
        <f>IFERROR(__xludf.DUMMYFUNCTION("""COMPUTED_VALUE"""),"Renan Ap Vigaro - Formação Pedagógica em Ciências Biológicas")</f>
        <v>Renan Ap Vigaro - Formação Pedagógica em Ciências Biológicas</v>
      </c>
    </row>
    <row r="637">
      <c r="A637" s="390" t="str">
        <f>IFERROR(__xludf.DUMMYFUNCTION("""COMPUTED_VALUE"""),"Camila Êmile Deiró de Lima - Formação Livre Psicanálise")</f>
        <v>Camila Êmile Deiró de Lima - Formação Livre Psicanálise</v>
      </c>
    </row>
    <row r="638">
      <c r="A638" s="390" t="str">
        <f>IFERROR(__xludf.DUMMYFUNCTION("""COMPUTED_VALUE"""),"Alex Fabiano de Almeida - Tecnólogo Educador Social")</f>
        <v>Alex Fabiano de Almeida - Tecnólogo Educador Social</v>
      </c>
    </row>
    <row r="639">
      <c r="A639" s="390" t="str">
        <f>IFERROR(__xludf.DUMMYFUNCTION("""COMPUTED_VALUE"""),"Patrícia Vieira Mendes - #SLAA - Segunda Licenciatura em Artes Visuais")</f>
        <v>Patrícia Vieira Mendes - #SLAA - Segunda Licenciatura em Artes Visuais</v>
      </c>
    </row>
    <row r="640">
      <c r="A640" s="390" t="str">
        <f>IFERROR(__xludf.DUMMYFUNCTION("""COMPUTED_VALUE"""),"Eunice Ribeiro Da Silva Neta - Tecnólogo Mediação, Conciliação e Arbitragem")</f>
        <v>Eunice Ribeiro Da Silva Neta - Tecnólogo Mediação, Conciliação e Arbitragem</v>
      </c>
    </row>
    <row r="641">
      <c r="A641" s="390" t="str">
        <f>IFERROR(__xludf.DUMMYFUNCTION("""COMPUTED_VALUE"""),"DANIELE SANTOS DA SILVA MARINHO - #SLCBA - Segunda Licenciatura em Ciências Biológicas")</f>
        <v>DANIELE SANTOS DA SILVA MARINHO - #SLCBA - Segunda Licenciatura em Ciências Biológicas</v>
      </c>
    </row>
    <row r="642">
      <c r="A642" s="390" t="str">
        <f>IFERROR(__xludf.DUMMYFUNCTION("""COMPUTED_VALUE"""),"Acacio Fernando Aquino costa - Tecnólogo Gestão de Segurança Privada")</f>
        <v>Acacio Fernando Aquino costa - Tecnólogo Gestão de Segurança Privada</v>
      </c>
    </row>
    <row r="643">
      <c r="A643" s="390" t="str">
        <f>IFERROR(__xludf.DUMMYFUNCTION("""COMPUTED_VALUE"""),"Wilton Rodrigues Pereira - Formação Livre Psicanálise")</f>
        <v>Wilton Rodrigues Pereira - Formação Livre Psicanálise</v>
      </c>
    </row>
    <row r="644">
      <c r="A644" s="390" t="str">
        <f>IFERROR(__xludf.DUMMYFUNCTION("""COMPUTED_VALUE"""),"RANA LETÍCIA DE SOUZA MONTEIRO COELHO - Tecnólogo Estética e Cosmética")</f>
        <v>RANA LETÍCIA DE SOUZA MONTEIRO COELHO - Tecnólogo Estética e Cosmética</v>
      </c>
    </row>
    <row r="645">
      <c r="A645" s="390" t="str">
        <f>IFERROR(__xludf.DUMMYFUNCTION("""COMPUTED_VALUE"""),"Gabriela Rodrigues Cascales - Tecnólogo Estética e Cosmética")</f>
        <v>Gabriela Rodrigues Cascales - Tecnólogo Estética e Cosmética</v>
      </c>
    </row>
    <row r="646">
      <c r="A646" s="390" t="str">
        <f>IFERROR(__xludf.DUMMYFUNCTION("""COMPUTED_VALUE"""),"Luiz José Mesquita Fratini - #SLGA - Segunda Licenciatura em Geografia")</f>
        <v>Luiz José Mesquita Fratini - #SLGA - Segunda Licenciatura em Geografia</v>
      </c>
    </row>
    <row r="647">
      <c r="A647" s="390" t="str">
        <f>IFERROR(__xludf.DUMMYFUNCTION("""COMPUTED_VALUE"""),"Marilaine Germano - Formação Livre Psicanálise")</f>
        <v>Marilaine Germano - Formação Livre Psicanálise</v>
      </c>
    </row>
    <row r="648">
      <c r="A648" s="390" t="str">
        <f>IFERROR(__xludf.DUMMYFUNCTION("""COMPUTED_VALUE"""),"Jessica moreno rodrigues - Formação Livre Psicanálise")</f>
        <v>Jessica moreno rodrigues - Formação Livre Psicanálise</v>
      </c>
    </row>
    <row r="649">
      <c r="A649" s="390" t="str">
        <f>IFERROR(__xludf.DUMMYFUNCTION("""COMPUTED_VALUE"""),"Eliene Alves Rodrigues Braga - #SLFA  - Segunda Licenciatura em Filosofia")</f>
        <v>Eliene Alves Rodrigues Braga - #SLFA  - Segunda Licenciatura em Filosofia</v>
      </c>
    </row>
    <row r="650">
      <c r="A650" s="390" t="str">
        <f>IFERROR(__xludf.DUMMYFUNCTION("""COMPUTED_VALUE"""),"Suzanne de jesus da cruz - Formação Livre Psicanálise")</f>
        <v>Suzanne de jesus da cruz - Formação Livre Psicanálise</v>
      </c>
    </row>
    <row r="651">
      <c r="A651" s="390" t="str">
        <f>IFERROR(__xludf.DUMMYFUNCTION("""COMPUTED_VALUE"""),"Fatima dias da silva - Formação Livre Psicanálise")</f>
        <v>Fatima dias da silva - Formação Livre Psicanálise</v>
      </c>
    </row>
    <row r="652">
      <c r="A652" s="390" t="str">
        <f>IFERROR(__xludf.DUMMYFUNCTION("""COMPUTED_VALUE"""),"Paulo Roberto Moreira - Tecnólogo Rede de Computadores")</f>
        <v>Paulo Roberto Moreira - Tecnólogo Rede de Computadores</v>
      </c>
    </row>
    <row r="653">
      <c r="A653" s="390" t="str">
        <f>IFERROR(__xludf.DUMMYFUNCTION("""COMPUTED_VALUE"""),"ROBERTO SEBASTIAO DA SILVA - Formação Livre Psicanálise")</f>
        <v>ROBERTO SEBASTIAO DA SILVA - Formação Livre Psicanálise</v>
      </c>
    </row>
    <row r="654">
      <c r="A654" s="390" t="str">
        <f>IFERROR(__xludf.DUMMYFUNCTION("""COMPUTED_VALUE"""),"Adriano Ferreira Sandaniel - #SLCBA - Segunda Licenciatura em Ciências Biológicas")</f>
        <v>Adriano Ferreira Sandaniel - #SLCBA - Segunda Licenciatura em Ciências Biológicas</v>
      </c>
    </row>
    <row r="655">
      <c r="A655" s="390" t="str">
        <f>IFERROR(__xludf.DUMMYFUNCTION("""COMPUTED_VALUE"""),"Edinėia Aparecida Dos Santos - Tecnólogo Gerontologia")</f>
        <v>Edinėia Aparecida Dos Santos - Tecnólogo Gerontologia</v>
      </c>
    </row>
    <row r="656">
      <c r="A656" s="390" t="str">
        <f>IFERROR(__xludf.DUMMYFUNCTION("""COMPUTED_VALUE"""),"Nilton Cesar de Almeida - Tecnólogo Sistemas para Internet")</f>
        <v>Nilton Cesar de Almeida - Tecnólogo Sistemas para Internet</v>
      </c>
    </row>
    <row r="657">
      <c r="A657" s="390" t="str">
        <f>IFERROR(__xludf.DUMMYFUNCTION("""COMPUTED_VALUE"""),"Nilton Cesar de Almeida - Tecnólogo Marketing Digital")</f>
        <v>Nilton Cesar de Almeida - Tecnólogo Marketing Digital</v>
      </c>
    </row>
    <row r="658">
      <c r="A658" s="390" t="str">
        <f>IFERROR(__xludf.DUMMYFUNCTION("""COMPUTED_VALUE"""),"LIOMAR CORREA RIBEIRO - Tecnólogo Ministério Pastoral")</f>
        <v>LIOMAR CORREA RIBEIRO - Tecnólogo Ministério Pastoral</v>
      </c>
    </row>
    <row r="659">
      <c r="A659" s="390" t="str">
        <f>IFERROR(__xludf.DUMMYFUNCTION("""COMPUTED_VALUE"""),"Silmara Aparecida Damasio - Tecnólogo Psicomotricidade e Ludicidade na Educação Infantil")</f>
        <v>Silmara Aparecida Damasio - Tecnólogo Psicomotricidade e Ludicidade na Educação Infantil</v>
      </c>
    </row>
    <row r="660">
      <c r="A660" s="390" t="str">
        <f>IFERROR(__xludf.DUMMYFUNCTION("""COMPUTED_VALUE"""),"Saloed Correia Leandro - #FPEEF- Formação Pedagógica Educação Física")</f>
        <v>Saloed Correia Leandro - #FPEEF- Formação Pedagógica Educação Física</v>
      </c>
    </row>
    <row r="661">
      <c r="A661" s="390" t="str">
        <f>IFERROR(__xludf.DUMMYFUNCTION("""COMPUTED_VALUE"""),"Cláudio César Diniz - Formação Pedagógica em Filosofia")</f>
        <v>Cláudio César Diniz - Formação Pedagógica em Filosofia</v>
      </c>
    </row>
    <row r="662">
      <c r="A662" s="390" t="str">
        <f>IFERROR(__xludf.DUMMYFUNCTION("""COMPUTED_VALUE"""),"Jefferson Dantas de Freitas - Formação Pedagógica em Filosofia")</f>
        <v>Jefferson Dantas de Freitas - Formação Pedagógica em Filosofia</v>
      </c>
    </row>
    <row r="663">
      <c r="A663" s="390" t="str">
        <f>IFERROR(__xludf.DUMMYFUNCTION("""COMPUTED_VALUE"""),"RITA DE CASSIA GUIMARES RODRIGUES MARTINS - #SLCBA - Segunda Licenciatura em Ciências Biológicas")</f>
        <v>RITA DE CASSIA GUIMARES RODRIGUES MARTINS - #SLCBA - Segunda Licenciatura em Ciências Biológicas</v>
      </c>
    </row>
    <row r="664">
      <c r="A664" s="390" t="str">
        <f>IFERROR(__xludf.DUMMYFUNCTION("""COMPUTED_VALUE"""),"Maria Daiana Lima Dias - Pós-Graduação Terapia Cognitiva Comportamental")</f>
        <v>Maria Daiana Lima Dias - Pós-Graduação Terapia Cognitiva Comportamental</v>
      </c>
    </row>
    <row r="665">
      <c r="A665" s="390" t="str">
        <f>IFERROR(__xludf.DUMMYFUNCTION("""COMPUTED_VALUE"""),"Maria Daiana Lima Dias - Pós-Graduação Terapia Cognitiva Comportamental")</f>
        <v>Maria Daiana Lima Dias - Pós-Graduação Terapia Cognitiva Comportamental</v>
      </c>
    </row>
    <row r="666">
      <c r="A666" s="390" t="str">
        <f>IFERROR(__xludf.DUMMYFUNCTION("""COMPUTED_VALUE"""),"Sandra Lucia Nicolau - Formação Livre Psicanálise")</f>
        <v>Sandra Lucia Nicolau - Formação Livre Psicanálise</v>
      </c>
    </row>
    <row r="667">
      <c r="A667" s="390" t="str">
        <f>IFERROR(__xludf.DUMMYFUNCTION("""COMPUTED_VALUE"""),"Raniel Ribeiro dos Santos - Pós-Graduação em Psicanálise")</f>
        <v>Raniel Ribeiro dos Santos - Pós-Graduação em Psicanálise</v>
      </c>
    </row>
    <row r="668">
      <c r="A668" s="390" t="str">
        <f>IFERROR(__xludf.DUMMYFUNCTION("""COMPUTED_VALUE"""),"RENATO LIMA DE AGUIAR - Tecnólogo Serviços Jurídicos")</f>
        <v>RENATO LIMA DE AGUIAR - Tecnólogo Serviços Jurídicos</v>
      </c>
    </row>
    <row r="669">
      <c r="A669" s="390" t="str">
        <f>IFERROR(__xludf.DUMMYFUNCTION("""COMPUTED_VALUE"""),"Junia Soares De Souza - Tecnólogo Gestão de Recursos Humanos")</f>
        <v>Junia Soares De Souza - Tecnólogo Gestão de Recursos Humanos</v>
      </c>
    </row>
    <row r="670">
      <c r="A670" s="390" t="str">
        <f>IFERROR(__xludf.DUMMYFUNCTION("""COMPUTED_VALUE"""),"Leidy Soares da Silva Silva - Tecnólogo Estética e Cosmética")</f>
        <v>Leidy Soares da Silva Silva - Tecnólogo Estética e Cosmética</v>
      </c>
    </row>
    <row r="671">
      <c r="A671" s="390" t="str">
        <f>IFERROR(__xludf.DUMMYFUNCTION("""COMPUTED_VALUE"""),"Camila Pereira Gonçalves de Souza - Formação Livre Psicanálise")</f>
        <v>Camila Pereira Gonçalves de Souza - Formação Livre Psicanálise</v>
      </c>
    </row>
    <row r="672">
      <c r="A672" s="390" t="str">
        <f>IFERROR(__xludf.DUMMYFUNCTION("""COMPUTED_VALUE"""),"Camila Pereira Gonçalves de Souza - Formação Livre em Psicanálise-2022")</f>
        <v>Camila Pereira Gonçalves de Souza - Formação Livre em Psicanálise-2022</v>
      </c>
    </row>
    <row r="673">
      <c r="A673" s="390" t="str">
        <f>IFERROR(__xludf.DUMMYFUNCTION("""COMPUTED_VALUE"""),"Camila Pereira Gonçalves de Souza - Formação Livre em Psicanálise-2022")</f>
        <v>Camila Pereira Gonçalves de Souza - Formação Livre em Psicanálise-2022</v>
      </c>
    </row>
    <row r="674">
      <c r="A674" s="390" t="str">
        <f>IFERROR(__xludf.DUMMYFUNCTION("""COMPUTED_VALUE"""),"Alex Moreira Dos Santos - Tecnólogo Gestão da Qualidade")</f>
        <v>Alex Moreira Dos Santos - Tecnólogo Gestão da Qualidade</v>
      </c>
    </row>
    <row r="675">
      <c r="A675" s="390" t="str">
        <f>IFERROR(__xludf.DUMMYFUNCTION("""COMPUTED_VALUE"""),"Lidia Maria Borges da Silva - #SLAA - Segunda Licenciatura em Artes Visuais")</f>
        <v>Lidia Maria Borges da Silva - #SLAA - Segunda Licenciatura em Artes Visuais</v>
      </c>
    </row>
    <row r="676">
      <c r="A676" s="390" t="str">
        <f>IFERROR(__xludf.DUMMYFUNCTION("""COMPUTED_VALUE"""),"Marcia Jordana Rodrigues silva - #SLAA - Segunda Licenciatura em Artes Visuais")</f>
        <v>Marcia Jordana Rodrigues silva - #SLAA - Segunda Licenciatura em Artes Visuais</v>
      </c>
    </row>
    <row r="677">
      <c r="A677" s="390" t="str">
        <f>IFERROR(__xludf.DUMMYFUNCTION("""COMPUTED_VALUE"""),"Marcia Jordana Rodrigues silva - Pós-Graduação em Ensino Religioso")</f>
        <v>Marcia Jordana Rodrigues silva - Pós-Graduação em Ensino Religioso</v>
      </c>
    </row>
    <row r="678">
      <c r="A678" s="390" t="str">
        <f>IFERROR(__xludf.DUMMYFUNCTION("""COMPUTED_VALUE"""),"Antonio carlos Perin - Pós-Graduação em Psicanálise")</f>
        <v>Antonio carlos Perin - Pós-Graduação em Psicanálise</v>
      </c>
    </row>
    <row r="679">
      <c r="A679" s="390" t="str">
        <f>IFERROR(__xludf.DUMMYFUNCTION("""COMPUTED_VALUE"""),"Leni do Nascimento - Pós-Graduação em Psicanálise")</f>
        <v>Leni do Nascimento - Pós-Graduação em Psicanálise</v>
      </c>
    </row>
    <row r="680">
      <c r="A680" s="390" t="str">
        <f>IFERROR(__xludf.DUMMYFUNCTION("""COMPUTED_VALUE"""),"Paulo Américo de Oliveira guimarães - Formação Livre em Terapia Cognitiva Comportamental")</f>
        <v>Paulo Américo de Oliveira guimarães - Formação Livre em Terapia Cognitiva Comportamental</v>
      </c>
    </row>
    <row r="681">
      <c r="A681" s="390" t="str">
        <f>IFERROR(__xludf.DUMMYFUNCTION("""COMPUTED_VALUE"""),"Fabiane Bastos Freire - #SLFA  - Segunda Licenciatura em Filosofia")</f>
        <v>Fabiane Bastos Freire - #SLFA  - Segunda Licenciatura em Filosofia</v>
      </c>
    </row>
    <row r="682">
      <c r="A682" s="390" t="str">
        <f>IFERROR(__xludf.DUMMYFUNCTION("""COMPUTED_VALUE"""),"Fabiane Bastos Freire - SEGUNDA LICENCIATURA EM SOCIOLOGIA - 2024")</f>
        <v>Fabiane Bastos Freire - SEGUNDA LICENCIATURA EM SOCIOLOGIA - 2024</v>
      </c>
    </row>
    <row r="683">
      <c r="A683" s="390" t="str">
        <f>IFERROR(__xludf.DUMMYFUNCTION("""COMPUTED_VALUE"""),"Fabiane Bastos Freire - #SLAA - Segunda Licenciatura em Artes Visuais")</f>
        <v>Fabiane Bastos Freire - #SLAA - Segunda Licenciatura em Artes Visuais</v>
      </c>
    </row>
    <row r="684">
      <c r="A684" s="390" t="str">
        <f>IFERROR(__xludf.DUMMYFUNCTION("""COMPUTED_VALUE"""),"Railana Fonseca das neves - Tecnólogo Investigação Forense e Perícia Jurídica")</f>
        <v>Railana Fonseca das neves - Tecnólogo Investigação Forense e Perícia Jurídica</v>
      </c>
    </row>
    <row r="685">
      <c r="A685" s="390" t="str">
        <f>IFERROR(__xludf.DUMMYFUNCTION("""COMPUTED_VALUE"""),"Manoel Messias Rodrigues Alves - Tecnólogo Mediação, Conciliação e Arbitragem")</f>
        <v>Manoel Messias Rodrigues Alves - Tecnólogo Mediação, Conciliação e Arbitragem</v>
      </c>
    </row>
    <row r="686">
      <c r="A686" s="390" t="str">
        <f>IFERROR(__xludf.DUMMYFUNCTION("""COMPUTED_VALUE"""),"Jobson Jorge da Silva - #SLCBA - Segunda Licenciatura em Ciências Biológicas")</f>
        <v>Jobson Jorge da Silva - #SLCBA - Segunda Licenciatura em Ciências Biológicas</v>
      </c>
    </row>
    <row r="687">
      <c r="A687" s="390" t="str">
        <f>IFERROR(__xludf.DUMMYFUNCTION("""COMPUTED_VALUE"""),"Andreza de melo lins - Formação Livre Psicanálise")</f>
        <v>Andreza de melo lins - Formação Livre Psicanálise</v>
      </c>
    </row>
    <row r="688">
      <c r="A688" s="390" t="str">
        <f>IFERROR(__xludf.DUMMYFUNCTION("""COMPUTED_VALUE"""),"WADJANN PATRICK PAZ - Tecnólogo Gestão de Segurança Privada")</f>
        <v>WADJANN PATRICK PAZ - Tecnólogo Gestão de Segurança Privada</v>
      </c>
    </row>
    <row r="689">
      <c r="A689" s="390" t="str">
        <f>IFERROR(__xludf.DUMMYFUNCTION("""COMPUTED_VALUE"""),"Marcelo Pereira do Nascimento - Formação Pedagógica História")</f>
        <v>Marcelo Pereira do Nascimento - Formação Pedagógica História</v>
      </c>
    </row>
    <row r="690">
      <c r="A690" s="390" t="str">
        <f>IFERROR(__xludf.DUMMYFUNCTION("""COMPUTED_VALUE"""),"Marcelo Pereira do Nascimento - FORMAÇÃO PEDAGÓGICA EM ARTES VISUAIS - 2024")</f>
        <v>Marcelo Pereira do Nascimento - FORMAÇÃO PEDAGÓGICA EM ARTES VISUAIS - 2024</v>
      </c>
    </row>
    <row r="691">
      <c r="A691" s="390" t="str">
        <f>IFERROR(__xludf.DUMMYFUNCTION("""COMPUTED_VALUE"""),"Renally Almeida de Castro Cruz - Tecnólogo Psicomotricidade e Ludicidade na Educação Infantil")</f>
        <v>Renally Almeida de Castro Cruz - Tecnólogo Psicomotricidade e Ludicidade na Educação Infantil</v>
      </c>
    </row>
    <row r="692">
      <c r="A692" s="390" t="str">
        <f>IFERROR(__xludf.DUMMYFUNCTION("""COMPUTED_VALUE"""),"Raquel Pereira dos Santos - #SLHA - Segunda Licenciatura em História")</f>
        <v>Raquel Pereira dos Santos - #SLHA - Segunda Licenciatura em História</v>
      </c>
    </row>
    <row r="693">
      <c r="A693" s="390" t="str">
        <f>IFERROR(__xludf.DUMMYFUNCTION("""COMPUTED_VALUE"""),"TATIANA DE OLIVEIRA SANT ANA - Formação Livre Psicanálise")</f>
        <v>TATIANA DE OLIVEIRA SANT ANA - Formação Livre Psicanálise</v>
      </c>
    </row>
    <row r="694">
      <c r="A694" s="390" t="str">
        <f>IFERROR(__xludf.DUMMYFUNCTION("""COMPUTED_VALUE"""),"Melquezedec Pereira Cavalcante - #SLFA  - Segunda Licenciatura em Filosofia")</f>
        <v>Melquezedec Pereira Cavalcante - #SLFA  - Segunda Licenciatura em Filosofia</v>
      </c>
    </row>
    <row r="695">
      <c r="A695" s="390" t="str">
        <f>IFERROR(__xludf.DUMMYFUNCTION("""COMPUTED_VALUE"""),"José joselio da conceição da Silva - #SLEEA - Segunda Licenciatura em Educação Especial")</f>
        <v>José joselio da conceição da Silva - #SLEEA - Segunda Licenciatura em Educação Especial</v>
      </c>
    </row>
    <row r="696">
      <c r="A696" s="390" t="str">
        <f>IFERROR(__xludf.DUMMYFUNCTION("""COMPUTED_VALUE"""),"Mariana Nadu Magalhães da Silva - Formação Pedagógica em Ciências Biológicas")</f>
        <v>Mariana Nadu Magalhães da Silva - Formação Pedagógica em Ciências Biológicas</v>
      </c>
    </row>
    <row r="697">
      <c r="A697" s="390" t="str">
        <f>IFERROR(__xludf.DUMMYFUNCTION("""COMPUTED_VALUE"""),"Cheila goncalves teixeira - Formação Livre Psicanálise")</f>
        <v>Cheila goncalves teixeira - Formação Livre Psicanálise</v>
      </c>
    </row>
    <row r="698">
      <c r="A698" s="390" t="str">
        <f>IFERROR(__xludf.DUMMYFUNCTION("""COMPUTED_VALUE"""),"Ivana Marcia Nogueira Dinorah Silva Lobosco - Formação Pedagógica em Educação Especial")</f>
        <v>Ivana Marcia Nogueira Dinorah Silva Lobosco - Formação Pedagógica em Educação Especial</v>
      </c>
    </row>
    <row r="699">
      <c r="A699" s="390" t="str">
        <f>IFERROR(__xludf.DUMMYFUNCTION("""COMPUTED_VALUE"""),"Juliana do Amaral - Tecnólogo Marketing Digital")</f>
        <v>Juliana do Amaral - Tecnólogo Marketing Digital</v>
      </c>
    </row>
    <row r="700">
      <c r="A700" s="390" t="str">
        <f>IFERROR(__xludf.DUMMYFUNCTION("""COMPUTED_VALUE"""),"Marisa Cristina Lobato - Formação Pedagógica em Artes Visuais")</f>
        <v>Marisa Cristina Lobato - Formação Pedagógica em Artes Visuais</v>
      </c>
    </row>
    <row r="701">
      <c r="A701" s="390" t="str">
        <f>IFERROR(__xludf.DUMMYFUNCTION("""COMPUTED_VALUE"""),"Lucia de Fátima Meirelles - #SLAA - Segunda Licenciatura em Artes Visuais")</f>
        <v>Lucia de Fátima Meirelles - #SLAA - Segunda Licenciatura em Artes Visuais</v>
      </c>
    </row>
    <row r="702">
      <c r="A702" s="390" t="str">
        <f>IFERROR(__xludf.DUMMYFUNCTION("""COMPUTED_VALUE"""),"Lucia de Fátima Meirelles - SEGUNDA LICENCIATURA EM EDUCAÇÃO ESPECIAL - 2024")</f>
        <v>Lucia de Fátima Meirelles - SEGUNDA LICENCIATURA EM EDUCAÇÃO ESPECIAL - 2024</v>
      </c>
    </row>
    <row r="703">
      <c r="A703" s="390" t="str">
        <f>IFERROR(__xludf.DUMMYFUNCTION("""COMPUTED_VALUE"""),"Lucia de Fátima Meirelles - SEGUNDA LICENCIATURA EM EDUCAÇÃO ESPECIAL - 2024")</f>
        <v>Lucia de Fátima Meirelles - SEGUNDA LICENCIATURA EM EDUCAÇÃO ESPECIAL - 2024</v>
      </c>
    </row>
    <row r="704">
      <c r="A704" s="390" t="str">
        <f>IFERROR(__xludf.DUMMYFUNCTION("""COMPUTED_VALUE"""),"Jéssica samara Mendonça Ribeiro - Formação Livre em Terapia Cognitiva Comportamental")</f>
        <v>Jéssica samara Mendonça Ribeiro - Formação Livre em Terapia Cognitiva Comportamental</v>
      </c>
    </row>
    <row r="705">
      <c r="A705" s="390" t="str">
        <f>IFERROR(__xludf.DUMMYFUNCTION("""COMPUTED_VALUE"""),"Jéssica samara Mendonça Ribeiro - Formação Livre Psicanálise")</f>
        <v>Jéssica samara Mendonça Ribeiro - Formação Livre Psicanálise</v>
      </c>
    </row>
    <row r="706">
      <c r="A706" s="390" t="str">
        <f>IFERROR(__xludf.DUMMYFUNCTION("""COMPUTED_VALUE"""),"Elisete Maria Silva Souza - #SLLLA - Segunda Licenciatura em Letras - Libras")</f>
        <v>Elisete Maria Silva Souza - #SLLLA - Segunda Licenciatura em Letras - Libras</v>
      </c>
    </row>
    <row r="707">
      <c r="A707" s="390" t="str">
        <f>IFERROR(__xludf.DUMMYFUNCTION("""COMPUTED_VALUE"""),"ANDREZA APARECIDA DOS SANTOS - Tecnólogo Psicomotricidade e Ludicidade na Educação Infantil")</f>
        <v>ANDREZA APARECIDA DOS SANTOS - Tecnólogo Psicomotricidade e Ludicidade na Educação Infantil</v>
      </c>
    </row>
    <row r="708">
      <c r="A708" s="390" t="str">
        <f>IFERROR(__xludf.DUMMYFUNCTION("""COMPUTED_VALUE"""),"WANDERSON Aparecido Ribeiro de Sousa - Formação Livre Psicanálise")</f>
        <v>WANDERSON Aparecido Ribeiro de Sousa - Formação Livre Psicanálise</v>
      </c>
    </row>
    <row r="709">
      <c r="A709" s="390" t="str">
        <f>IFERROR(__xludf.DUMMYFUNCTION("""COMPUTED_VALUE"""),"Cristiano Apolinário de Luna - Formação Livre Psicanálise")</f>
        <v>Cristiano Apolinário de Luna - Formação Livre Psicanálise</v>
      </c>
    </row>
    <row r="710">
      <c r="A710" s="390" t="str">
        <f>IFERROR(__xludf.DUMMYFUNCTION("""COMPUTED_VALUE"""),"Queila Cristina de Assunção - #SLHA - Segunda Licenciatura em História")</f>
        <v>Queila Cristina de Assunção - #SLHA - Segunda Licenciatura em História</v>
      </c>
    </row>
    <row r="711">
      <c r="A711" s="390" t="str">
        <f>IFERROR(__xludf.DUMMYFUNCTION("""COMPUTED_VALUE"""),"Queila Cristina de Assunção - #SLUH- Segunda Licenciatura em História")</f>
        <v>Queila Cristina de Assunção - #SLUH- Segunda Licenciatura em História</v>
      </c>
    </row>
    <row r="712">
      <c r="A712" s="390" t="str">
        <f>IFERROR(__xludf.DUMMYFUNCTION("""COMPUTED_VALUE"""),"Priscila Santos Silva Andrade - Formação Livre Psicanálise")</f>
        <v>Priscila Santos Silva Andrade - Formação Livre Psicanálise</v>
      </c>
    </row>
    <row r="713">
      <c r="A713" s="390" t="str">
        <f>IFERROR(__xludf.DUMMYFUNCTION("""COMPUTED_VALUE"""),"Fabricio Da Silva Miccichelli - Pós-Graduação em Musicoterapia")</f>
        <v>Fabricio Da Silva Miccichelli - Pós-Graduação em Musicoterapia</v>
      </c>
    </row>
    <row r="714">
      <c r="A714" s="390" t="str">
        <f>IFERROR(__xludf.DUMMYFUNCTION("""COMPUTED_VALUE"""),"Fabricio Da Silva Miccichelli - Pós-Graduação em Arteterapia")</f>
        <v>Fabricio Da Silva Miccichelli - Pós-Graduação em Arteterapia</v>
      </c>
    </row>
    <row r="715">
      <c r="A715" s="390" t="str">
        <f>IFERROR(__xludf.DUMMYFUNCTION("""COMPUTED_VALUE"""),"Fabricio Da Silva Miccichelli - #SLAA - Segunda Licenciatura em Artes Visuais")</f>
        <v>Fabricio Da Silva Miccichelli - #SLAA - Segunda Licenciatura em Artes Visuais</v>
      </c>
    </row>
    <row r="716">
      <c r="A716" s="390" t="str">
        <f>IFERROR(__xludf.DUMMYFUNCTION("""COMPUTED_VALUE"""),"Fabricio Da Silva Miccichelli - #SLPA- Segunda Licenciatura em Pedagogia 01")</f>
        <v>Fabricio Da Silva Miccichelli - #SLPA- Segunda Licenciatura em Pedagogia 01</v>
      </c>
    </row>
    <row r="717">
      <c r="A717" s="390" t="str">
        <f>IFERROR(__xludf.DUMMYFUNCTION("""COMPUTED_VALUE"""),"Fabricio Da Silva Miccichelli - Pós-Graduação História da Arte")</f>
        <v>Fabricio Da Silva Miccichelli - Pós-Graduação História da Arte</v>
      </c>
    </row>
    <row r="718">
      <c r="A718" s="390" t="str">
        <f>IFERROR(__xludf.DUMMYFUNCTION("""COMPUTED_VALUE"""),"Fabricio Da Silva Miccichelli - #SLMF - Segunda Licenciatura em Música 1320Horas")</f>
        <v>Fabricio Da Silva Miccichelli - #SLMF - Segunda Licenciatura em Música 1320Horas</v>
      </c>
    </row>
    <row r="719">
      <c r="A719" s="390" t="str">
        <f>IFERROR(__xludf.DUMMYFUNCTION("""COMPUTED_VALUE"""),"Izabel Luiz Garcia - Pós-Graduação em Gestão Escolar Integrada com Ênfase em Supervisão, Orientação, Administração e Inspeção")</f>
        <v>Izabel Luiz Garcia - Pós-Graduação em Gestão Escolar Integrada com Ênfase em Supervisão, Orientação, Administração e Inspeção</v>
      </c>
    </row>
    <row r="720">
      <c r="A720" s="390" t="str">
        <f>IFERROR(__xludf.DUMMYFUNCTION("""COMPUTED_VALUE"""),"Izabel Luiz Garcia - #SLCBA - Segunda Licenciatura em Ciências Biológicas")</f>
        <v>Izabel Luiz Garcia - #SLCBA - Segunda Licenciatura em Ciências Biológicas</v>
      </c>
    </row>
    <row r="721">
      <c r="A721" s="390" t="str">
        <f>IFERROR(__xludf.DUMMYFUNCTION("""COMPUTED_VALUE"""),"Fabrício Silva Miccichelli - #SLAA - Segunda Licenciatura em Artes Visuais")</f>
        <v>Fabrício Silva Miccichelli - #SLAA - Segunda Licenciatura em Artes Visuais</v>
      </c>
    </row>
    <row r="722">
      <c r="A722" s="390" t="str">
        <f>IFERROR(__xludf.DUMMYFUNCTION("""COMPUTED_VALUE"""),"Valquiria Rodrigues dos Santos - #SLAA - Segunda Licenciatura em Artes Visuais")</f>
        <v>Valquiria Rodrigues dos Santos - #SLAA - Segunda Licenciatura em Artes Visuais</v>
      </c>
    </row>
    <row r="723">
      <c r="A723" s="390" t="str">
        <f>IFERROR(__xludf.DUMMYFUNCTION("""COMPUTED_VALUE"""),"Valquiria Rodrigues dos Santos - #SLUA- Segunda Licenciatura em Artes Visuais")</f>
        <v>Valquiria Rodrigues dos Santos - #SLUA- Segunda Licenciatura em Artes Visuais</v>
      </c>
    </row>
    <row r="724">
      <c r="A724" s="390" t="str">
        <f>IFERROR(__xludf.DUMMYFUNCTION("""COMPUTED_VALUE"""),"Sérgio aparecido Faria de Souza - Pós-Graduação em Psicanálise")</f>
        <v>Sérgio aparecido Faria de Souza - Pós-Graduação em Psicanálise</v>
      </c>
    </row>
    <row r="725">
      <c r="A725" s="390" t="str">
        <f>IFERROR(__xludf.DUMMYFUNCTION("""COMPUTED_VALUE"""),"Adriane Ferreira Carvalho Costa - Formação Pedagógica em Artes Visuais")</f>
        <v>Adriane Ferreira Carvalho Costa - Formação Pedagógica em Artes Visuais</v>
      </c>
    </row>
    <row r="726">
      <c r="A726" s="390" t="str">
        <f>IFERROR(__xludf.DUMMYFUNCTION("""COMPUTED_VALUE"""),"JUCELIO RAMOS COSTA - Pós-Graduação em Psicanálise")</f>
        <v>JUCELIO RAMOS COSTA - Pós-Graduação em Psicanálise</v>
      </c>
    </row>
    <row r="727">
      <c r="A727" s="390" t="str">
        <f>IFERROR(__xludf.DUMMYFUNCTION("""COMPUTED_VALUE"""),"Luis Alves de Barros Filho - Tecnólogo Processos Gerenciais")</f>
        <v>Luis Alves de Barros Filho - Tecnólogo Processos Gerenciais</v>
      </c>
    </row>
    <row r="728">
      <c r="A728" s="390" t="str">
        <f>IFERROR(__xludf.DUMMYFUNCTION("""COMPUTED_VALUE"""),"ANIKELY SAMPAIO DE ALMEIDA SANTOS - Formação Livre Psicanálise")</f>
        <v>ANIKELY SAMPAIO DE ALMEIDA SANTOS - Formação Livre Psicanálise</v>
      </c>
    </row>
    <row r="729">
      <c r="A729" s="390" t="str">
        <f>IFERROR(__xludf.DUMMYFUNCTION("""COMPUTED_VALUE"""),"Camila Queiroz Vieira Costa - Tecnólogo Estética e Cosmética")</f>
        <v>Camila Queiroz Vieira Costa - Tecnólogo Estética e Cosmética</v>
      </c>
    </row>
    <row r="730">
      <c r="A730" s="390" t="str">
        <f>IFERROR(__xludf.DUMMYFUNCTION("""COMPUTED_VALUE"""),"Jeferson ignacio - Formação Livre Psicanálise")</f>
        <v>Jeferson ignacio - Formação Livre Psicanálise</v>
      </c>
    </row>
    <row r="731">
      <c r="A731" s="390" t="str">
        <f>IFERROR(__xludf.DUMMYFUNCTION("""COMPUTED_VALUE"""),"Luana Telma Araújo Alves da Silva - Tecnólogo Psicomotricidade e Ludicidade na Educação Infantil")</f>
        <v>Luana Telma Araújo Alves da Silva - Tecnólogo Psicomotricidade e Ludicidade na Educação Infantil</v>
      </c>
    </row>
    <row r="732">
      <c r="A732" s="390" t="str">
        <f>IFERROR(__xludf.DUMMYFUNCTION("""COMPUTED_VALUE"""),"Silvana Rodrigues Gomes - Formação Livre Psicanálise")</f>
        <v>Silvana Rodrigues Gomes - Formação Livre Psicanálise</v>
      </c>
    </row>
    <row r="733">
      <c r="A733" s="390" t="str">
        <f>IFERROR(__xludf.DUMMYFUNCTION("""COMPUTED_VALUE"""),"Flávio de Jesus Santos Neto - Tecnólogo Gestão de Recursos Humanos")</f>
        <v>Flávio de Jesus Santos Neto - Tecnólogo Gestão de Recursos Humanos</v>
      </c>
    </row>
    <row r="734">
      <c r="A734" s="390" t="str">
        <f>IFERROR(__xludf.DUMMYFUNCTION("""COMPUTED_VALUE"""),"Jalille Marquez Dib - Tecnólogo Marketing Digital")</f>
        <v>Jalille Marquez Dib - Tecnólogo Marketing Digital</v>
      </c>
    </row>
    <row r="735">
      <c r="A735" s="390" t="str">
        <f>IFERROR(__xludf.DUMMYFUNCTION("""COMPUTED_VALUE"""),"Claudemir de Souza valentim - Formação Pedagógica História")</f>
        <v>Claudemir de Souza valentim - Formação Pedagógica História</v>
      </c>
    </row>
    <row r="736">
      <c r="A736" s="390" t="str">
        <f>IFERROR(__xludf.DUMMYFUNCTION("""COMPUTED_VALUE"""),"Alessandra Ferreira Benedito Soares - Tecnólogo Gestão de Recursos Humanos")</f>
        <v>Alessandra Ferreira Benedito Soares - Tecnólogo Gestão de Recursos Humanos</v>
      </c>
    </row>
    <row r="737">
      <c r="A737" s="390" t="str">
        <f>IFERROR(__xludf.DUMMYFUNCTION("""COMPUTED_VALUE"""),"Maristela Brito Silva - Pós-Graduação em Psicanálise")</f>
        <v>Maristela Brito Silva - Pós-Graduação em Psicanálise</v>
      </c>
    </row>
    <row r="738">
      <c r="A738" s="390" t="str">
        <f>IFERROR(__xludf.DUMMYFUNCTION("""COMPUTED_VALUE"""),"Maristela Brito Silva - Formação Livre Psicanálise")</f>
        <v>Maristela Brito Silva - Formação Livre Psicanálise</v>
      </c>
    </row>
    <row r="739">
      <c r="A739" s="390" t="str">
        <f>IFERROR(__xludf.DUMMYFUNCTION("""COMPUTED_VALUE"""),"Maristela Brito Silva - Formação Livre Psicanálise")</f>
        <v>Maristela Brito Silva - Formação Livre Psicanálise</v>
      </c>
    </row>
    <row r="740">
      <c r="A740" s="390" t="str">
        <f>IFERROR(__xludf.DUMMYFUNCTION("""COMPUTED_VALUE"""),"Karla Daniele Leite Matos Ribeiro - #SLAA - Segunda Licenciatura em Artes Visuais")</f>
        <v>Karla Daniele Leite Matos Ribeiro - #SLAA - Segunda Licenciatura em Artes Visuais</v>
      </c>
    </row>
    <row r="741">
      <c r="A741" s="390" t="str">
        <f>IFERROR(__xludf.DUMMYFUNCTION("""COMPUTED_VALUE"""),"Aparecida Da Paz oliveira - Tecnólogo Gestão Hospitalar")</f>
        <v>Aparecida Da Paz oliveira - Tecnólogo Gestão Hospitalar</v>
      </c>
    </row>
    <row r="742">
      <c r="A742" s="390" t="str">
        <f>IFERROR(__xludf.DUMMYFUNCTION("""COMPUTED_VALUE"""),"Everton Santos - Tecnólogo Gestão de Recursos Humanos")</f>
        <v>Everton Santos - Tecnólogo Gestão de Recursos Humanos</v>
      </c>
    </row>
    <row r="743">
      <c r="A743" s="390" t="str">
        <f>IFERROR(__xludf.DUMMYFUNCTION("""COMPUTED_VALUE"""),"IVAN GONÇALVES TEIXEIRA DE LIMA - Pós-Graduação em Musicoterapia")</f>
        <v>IVAN GONÇALVES TEIXEIRA DE LIMA - Pós-Graduação em Musicoterapia</v>
      </c>
    </row>
    <row r="744">
      <c r="A744" s="390" t="str">
        <f>IFERROR(__xludf.DUMMYFUNCTION("""COMPUTED_VALUE"""),"ARIANE ROSS - Pós-Graduação em Musicoterapia")</f>
        <v>ARIANE ROSS - Pós-Graduação em Musicoterapia</v>
      </c>
    </row>
    <row r="745">
      <c r="A745" s="390" t="str">
        <f>IFERROR(__xludf.DUMMYFUNCTION("""COMPUTED_VALUE"""),"ARIELA DA SILVA CENA - Tecnólogo Psicomotricidade e Ludicidade na Educação Infantil")</f>
        <v>ARIELA DA SILVA CENA - Tecnólogo Psicomotricidade e Ludicidade na Educação Infantil</v>
      </c>
    </row>
    <row r="746">
      <c r="A746" s="390" t="str">
        <f>IFERROR(__xludf.DUMMYFUNCTION("""COMPUTED_VALUE"""),"Izael Yuri dos Santos - Tecnólogo Logística")</f>
        <v>Izael Yuri dos Santos - Tecnólogo Logística</v>
      </c>
    </row>
    <row r="747">
      <c r="A747" s="390" t="str">
        <f>IFERROR(__xludf.DUMMYFUNCTION("""COMPUTED_VALUE"""),"Divanildo Cícero da Silva - Tecnólogo Educador Social")</f>
        <v>Divanildo Cícero da Silva - Tecnólogo Educador Social</v>
      </c>
    </row>
    <row r="748">
      <c r="A748" s="390" t="str">
        <f>IFERROR(__xludf.DUMMYFUNCTION("""COMPUTED_VALUE"""),"Felipe Mendes Silva - Pós-Graduação em Psicanálise")</f>
        <v>Felipe Mendes Silva - Pós-Graduação em Psicanálise</v>
      </c>
    </row>
    <row r="749">
      <c r="A749" s="390" t="str">
        <f>IFERROR(__xludf.DUMMYFUNCTION("""COMPUTED_VALUE"""),"Samara sibely Dantas Pereira - Tecnólogo Psicomotricidade e Ludicidade na Educação Infantil")</f>
        <v>Samara sibely Dantas Pereira - Tecnólogo Psicomotricidade e Ludicidade na Educação Infantil</v>
      </c>
    </row>
    <row r="750">
      <c r="A750" s="390" t="str">
        <f>IFERROR(__xludf.DUMMYFUNCTION("""COMPUTED_VALUE"""),"Sanquelmo Teixeira da Silva - Pós-Graduação Terapia Cognitiva Comportamental")</f>
        <v>Sanquelmo Teixeira da Silva - Pós-Graduação Terapia Cognitiva Comportamental</v>
      </c>
    </row>
    <row r="751">
      <c r="A751" s="390" t="str">
        <f>IFERROR(__xludf.DUMMYFUNCTION("""COMPUTED_VALUE"""),"Sanquelmo Teixeira da Silva - Pós-Graduação em Neuropsicopedagogia Clínica")</f>
        <v>Sanquelmo Teixeira da Silva - Pós-Graduação em Neuropsicopedagogia Clínica</v>
      </c>
    </row>
    <row r="752">
      <c r="A752" s="390" t="str">
        <f>IFERROR(__xludf.DUMMYFUNCTION("""COMPUTED_VALUE"""),"Rodrigo Araquem Maia de Menezes - #SLUA- Segunda Licenciatura em Artes Visuais")</f>
        <v>Rodrigo Araquem Maia de Menezes - #SLUA- Segunda Licenciatura em Artes Visuais</v>
      </c>
    </row>
    <row r="753">
      <c r="A753" s="390" t="str">
        <f>IFERROR(__xludf.DUMMYFUNCTION("""COMPUTED_VALUE"""),"Rodrigo Araquem Maia de Menezes - #SLAA - Segunda Licenciatura em Artes Visuais")</f>
        <v>Rodrigo Araquem Maia de Menezes - #SLAA - Segunda Licenciatura em Artes Visuais</v>
      </c>
    </row>
    <row r="754">
      <c r="A754" s="390" t="str">
        <f>IFERROR(__xludf.DUMMYFUNCTION("""COMPUTED_VALUE"""),"Giuliano lima da Silva - Formação Pedagógica em Filosofia")</f>
        <v>Giuliano lima da Silva - Formação Pedagógica em Filosofia</v>
      </c>
    </row>
    <row r="755">
      <c r="A755" s="390" t="str">
        <f>IFERROR(__xludf.DUMMYFUNCTION("""COMPUTED_VALUE"""),"Maria Rozilene fontes Queiroz grillo - Formação Livre Psicanálise")</f>
        <v>Maria Rozilene fontes Queiroz grillo - Formação Livre Psicanálise</v>
      </c>
    </row>
    <row r="756">
      <c r="A756" s="390" t="str">
        <f>IFERROR(__xludf.DUMMYFUNCTION("""COMPUTED_VALUE"""),"Francisca Laynadijaelen Da Silva Feitosa - Formação Livre Psicanálise")</f>
        <v>Francisca Laynadijaelen Da Silva Feitosa - Formação Livre Psicanálise</v>
      </c>
    </row>
    <row r="757">
      <c r="A757" s="390" t="str">
        <f>IFERROR(__xludf.DUMMYFUNCTION("""COMPUTED_VALUE"""),"Mariléia Duarte - #SLGA - Segunda Licenciatura em Geografia")</f>
        <v>Mariléia Duarte - #SLGA - Segunda Licenciatura em Geografia</v>
      </c>
    </row>
    <row r="758">
      <c r="A758" s="390" t="str">
        <f>IFERROR(__xludf.DUMMYFUNCTION("""COMPUTED_VALUE"""),"Daniela Caldeira Silva - Tecnólogo Educador Social")</f>
        <v>Daniela Caldeira Silva - Tecnólogo Educador Social</v>
      </c>
    </row>
    <row r="759">
      <c r="A759" s="390" t="str">
        <f>IFERROR(__xludf.DUMMYFUNCTION("""COMPUTED_VALUE"""),"Virginia Galindo Brasil - Tecnólogo Design Gráfico")</f>
        <v>Virginia Galindo Brasil - Tecnólogo Design Gráfico</v>
      </c>
    </row>
    <row r="760">
      <c r="A760" s="390" t="str">
        <f>IFERROR(__xludf.DUMMYFUNCTION("""COMPUTED_VALUE"""),"Adriano Guedes Labbate Machado - Formação Livre Psicanálise")</f>
        <v>Adriano Guedes Labbate Machado - Formação Livre Psicanálise</v>
      </c>
    </row>
    <row r="761">
      <c r="A761" s="390" t="str">
        <f>IFERROR(__xludf.DUMMYFUNCTION("""COMPUTED_VALUE"""),"Carlos Alberto Pinto - Formação Livre Psicanálise")</f>
        <v>Carlos Alberto Pinto - Formação Livre Psicanálise</v>
      </c>
    </row>
    <row r="762">
      <c r="A762" s="390" t="str">
        <f>IFERROR(__xludf.DUMMYFUNCTION("""COMPUTED_VALUE"""),"Raimundo Renato Pradal - Formação Livre Psicanálise")</f>
        <v>Raimundo Renato Pradal - Formação Livre Psicanálise</v>
      </c>
    </row>
    <row r="763">
      <c r="A763" s="390" t="str">
        <f>IFERROR(__xludf.DUMMYFUNCTION("""COMPUTED_VALUE"""),"Luciana maria dos santos - Tecnólogo Investigação Forense e Perícia Jurídica")</f>
        <v>Luciana maria dos santos - Tecnólogo Investigação Forense e Perícia Jurídica</v>
      </c>
    </row>
    <row r="764">
      <c r="A764" s="390" t="str">
        <f>IFERROR(__xludf.DUMMYFUNCTION("""COMPUTED_VALUE"""),"Edilane Aparecida Fernandes - #SLEEA - Segunda Licenciatura em Educação Especial")</f>
        <v>Edilane Aparecida Fernandes - #SLEEA - Segunda Licenciatura em Educação Especial</v>
      </c>
    </row>
    <row r="765">
      <c r="A765" s="390" t="str">
        <f>IFERROR(__xludf.DUMMYFUNCTION("""COMPUTED_VALUE"""),"Edilane Aparecida Fernandes - Pós-Graduação em Ensino Religioso")</f>
        <v>Edilane Aparecida Fernandes - Pós-Graduação em Ensino Religioso</v>
      </c>
    </row>
    <row r="766">
      <c r="A766" s="390" t="str">
        <f>IFERROR(__xludf.DUMMYFUNCTION("""COMPUTED_VALUE"""),"Sonia Maria Pacheco Diniz - Pós-Graduação em Psicanálise")</f>
        <v>Sonia Maria Pacheco Diniz - Pós-Graduação em Psicanálise</v>
      </c>
    </row>
    <row r="767">
      <c r="A767" s="390" t="str">
        <f>IFERROR(__xludf.DUMMYFUNCTION("""COMPUTED_VALUE"""),"Joanderson Da Cruz Almeida - Tecnólogo Gestão Pública")</f>
        <v>Joanderson Da Cruz Almeida - Tecnólogo Gestão Pública</v>
      </c>
    </row>
    <row r="768">
      <c r="A768" s="390" t="str">
        <f>IFERROR(__xludf.DUMMYFUNCTION("""COMPUTED_VALUE"""),"Israel goncalves  de souza - Tecnólogo Estética e Cosmética")</f>
        <v>Israel goncalves  de souza - Tecnólogo Estética e Cosmética</v>
      </c>
    </row>
    <row r="769">
      <c r="A769" s="390" t="str">
        <f>IFERROR(__xludf.DUMMYFUNCTION("""COMPUTED_VALUE"""),"Luciane kelle de Lima de Souza - #SLLLA - Segunda Licenciatura em Letras - Libras")</f>
        <v>Luciane kelle de Lima de Souza - #SLLLA - Segunda Licenciatura em Letras - Libras</v>
      </c>
    </row>
    <row r="770">
      <c r="A770" s="390" t="str">
        <f>IFERROR(__xludf.DUMMYFUNCTION("""COMPUTED_VALUE"""),"Roberto Romero Malfatti - Tecnólogo Mídias Sociais e Digitais")</f>
        <v>Roberto Romero Malfatti - Tecnólogo Mídias Sociais e Digitais</v>
      </c>
    </row>
    <row r="771">
      <c r="A771" s="390" t="str">
        <f>IFERROR(__xludf.DUMMYFUNCTION("""COMPUTED_VALUE"""),"Carlos Roberto Rondini - Tecnólogo Psicomotricidade e Ludicidade na Educação Infantil")</f>
        <v>Carlos Roberto Rondini - Tecnólogo Psicomotricidade e Ludicidade na Educação Infantil</v>
      </c>
    </row>
    <row r="772">
      <c r="A772" s="390" t="str">
        <f>IFERROR(__xludf.DUMMYFUNCTION("""COMPUTED_VALUE"""),"Aline De Oliveira Maziero - #SLAA - Segunda Licenciatura em Artes Visuais")</f>
        <v>Aline De Oliveira Maziero - #SLAA - Segunda Licenciatura em Artes Visuais</v>
      </c>
    </row>
    <row r="773">
      <c r="A773" s="390" t="str">
        <f>IFERROR(__xludf.DUMMYFUNCTION("""COMPUTED_VALUE"""),"Aline De Oliveira Maziero - #SLSA - Segunda Licenciatura em Sociologia")</f>
        <v>Aline De Oliveira Maziero - #SLSA - Segunda Licenciatura em Sociologia</v>
      </c>
    </row>
    <row r="774">
      <c r="A774" s="390" t="str">
        <f>IFERROR(__xludf.DUMMYFUNCTION("""COMPUTED_VALUE"""),"Maria de Lourdes da Silva Lima - #SLHA - Segunda Licenciatura em História")</f>
        <v>Maria de Lourdes da Silva Lima - #SLHA - Segunda Licenciatura em História</v>
      </c>
    </row>
    <row r="775">
      <c r="A775" s="390" t="str">
        <f>IFERROR(__xludf.DUMMYFUNCTION("""COMPUTED_VALUE"""),"Josimarcia dos santos Araújo de Oliveira - Tecnólogo Psicomotricidade e Ludicidade na Educação Infantil")</f>
        <v>Josimarcia dos santos Araújo de Oliveira - Tecnólogo Psicomotricidade e Ludicidade na Educação Infantil</v>
      </c>
    </row>
    <row r="776">
      <c r="A776" s="390" t="str">
        <f>IFERROR(__xludf.DUMMYFUNCTION("""COMPUTED_VALUE"""),"Roziveltin Almeida de Azevedo - Tecnólogo Gestão do Esporte")</f>
        <v>Roziveltin Almeida de Azevedo - Tecnólogo Gestão do Esporte</v>
      </c>
    </row>
    <row r="777">
      <c r="A777" s="390" t="str">
        <f>IFERROR(__xludf.DUMMYFUNCTION("""COMPUTED_VALUE"""),"Diego Antonio Delino - Tecnólogo Psicomotricidade e Ludicidade na Educação Infantil")</f>
        <v>Diego Antonio Delino - Tecnólogo Psicomotricidade e Ludicidade na Educação Infantil</v>
      </c>
    </row>
    <row r="778">
      <c r="A778" s="390" t="str">
        <f>IFERROR(__xludf.DUMMYFUNCTION("""COMPUTED_VALUE"""),"Valdete suassuna Carneiro Silva - Tecnólogo Gestão Financeira")</f>
        <v>Valdete suassuna Carneiro Silva - Tecnólogo Gestão Financeira</v>
      </c>
    </row>
    <row r="779">
      <c r="A779" s="390" t="str">
        <f>IFERROR(__xludf.DUMMYFUNCTION("""COMPUTED_VALUE"""),"Emerson Carlos Costa - Tecnólogo Processos Gerenciais")</f>
        <v>Emerson Carlos Costa - Tecnólogo Processos Gerenciais</v>
      </c>
    </row>
    <row r="780">
      <c r="A780" s="390" t="str">
        <f>IFERROR(__xludf.DUMMYFUNCTION("""COMPUTED_VALUE"""),"Samuel Alves chagas - Tecnólogo Ministério Pastoral")</f>
        <v>Samuel Alves chagas - Tecnólogo Ministério Pastoral</v>
      </c>
    </row>
    <row r="781">
      <c r="A781" s="390" t="str">
        <f>IFERROR(__xludf.DUMMYFUNCTION("""COMPUTED_VALUE"""),"Maria Domingas Alves - #SLHA - Segunda Licenciatura em História")</f>
        <v>Maria Domingas Alves - #SLHA - Segunda Licenciatura em História</v>
      </c>
    </row>
    <row r="782">
      <c r="A782" s="390" t="str">
        <f>IFERROR(__xludf.DUMMYFUNCTION("""COMPUTED_VALUE"""),"Fábio Luis De Oliveira Valentim - Formação Livre Psicanálise")</f>
        <v>Fábio Luis De Oliveira Valentim - Formação Livre Psicanálise</v>
      </c>
    </row>
    <row r="783">
      <c r="A783" s="390" t="str">
        <f>IFERROR(__xludf.DUMMYFUNCTION("""COMPUTED_VALUE"""),"Charlon Diego Müller - Formação Pedagogica em Geografia")</f>
        <v>Charlon Diego Müller - Formação Pedagogica em Geografia</v>
      </c>
    </row>
    <row r="784">
      <c r="A784" s="390" t="str">
        <f>IFERROR(__xludf.DUMMYFUNCTION("""COMPUTED_VALUE"""),"Charlon Diego Müller - FORMAÇÃO PEDAGÓGICA EM GEOGRAFIA- U")</f>
        <v>Charlon Diego Müller - FORMAÇÃO PEDAGÓGICA EM GEOGRAFIA- U</v>
      </c>
    </row>
    <row r="785">
      <c r="A785" s="390" t="str">
        <f>IFERROR(__xludf.DUMMYFUNCTION("""COMPUTED_VALUE"""),"Marcio Leandro Thomazi - Tecnólogo Gestão da Qualidade")</f>
        <v>Marcio Leandro Thomazi - Tecnólogo Gestão da Qualidade</v>
      </c>
    </row>
    <row r="786">
      <c r="A786" s="390" t="str">
        <f>IFERROR(__xludf.DUMMYFUNCTION("""COMPUTED_VALUE"""),"Levi Tiago de Camargo - Tecnólogo Ministério Pastoral")</f>
        <v>Levi Tiago de Camargo - Tecnólogo Ministério Pastoral</v>
      </c>
    </row>
    <row r="787">
      <c r="A787" s="390" t="str">
        <f>IFERROR(__xludf.DUMMYFUNCTION("""COMPUTED_VALUE"""),"Regina Lucia Lopes Novaes - Tecnólogo Gestão de Segurança Privada")</f>
        <v>Regina Lucia Lopes Novaes - Tecnólogo Gestão de Segurança Privada</v>
      </c>
    </row>
    <row r="788">
      <c r="A788" s="390" t="str">
        <f>IFERROR(__xludf.DUMMYFUNCTION("""COMPUTED_VALUE"""),"Julia Graziella Mendonca Barbosa - #SLAA - Segunda Licenciatura em Artes Visuais")</f>
        <v>Julia Graziella Mendonca Barbosa - #SLAA - Segunda Licenciatura em Artes Visuais</v>
      </c>
    </row>
    <row r="789">
      <c r="A789" s="390" t="str">
        <f>IFERROR(__xludf.DUMMYFUNCTION("""COMPUTED_VALUE"""),"Clemerson barauna figueiredo - Tecnólogo Design de Interiores")</f>
        <v>Clemerson barauna figueiredo - Tecnólogo Design de Interiores</v>
      </c>
    </row>
    <row r="790">
      <c r="A790" s="390" t="str">
        <f>IFERROR(__xludf.DUMMYFUNCTION("""COMPUTED_VALUE"""),"Danilo Martins Pereira - Pós-Graduação em Musicoterapia")</f>
        <v>Danilo Martins Pereira - Pós-Graduação em Musicoterapia</v>
      </c>
    </row>
    <row r="791">
      <c r="A791" s="390" t="str">
        <f>IFERROR(__xludf.DUMMYFUNCTION("""COMPUTED_VALUE"""),"Danilo Martins Pereira - #FPMF- Formação Pedagógica em Música 1200Horas")</f>
        <v>Danilo Martins Pereira - #FPMF- Formação Pedagógica em Música 1200Horas</v>
      </c>
    </row>
    <row r="792">
      <c r="A792" s="390" t="str">
        <f>IFERROR(__xludf.DUMMYFUNCTION("""COMPUTED_VALUE"""),"Jeferson Dutra Sena - #SLGA - Segunda Licenciatura em Geografia")</f>
        <v>Jeferson Dutra Sena - #SLGA - Segunda Licenciatura em Geografia</v>
      </c>
    </row>
    <row r="793">
      <c r="A793" s="390" t="str">
        <f>IFERROR(__xludf.DUMMYFUNCTION("""COMPUTED_VALUE"""),"SOSTENES DE SOUSA ARAUJO - Tecnólogo Processos Gerenciais")</f>
        <v>SOSTENES DE SOUSA ARAUJO - Tecnólogo Processos Gerenciais</v>
      </c>
    </row>
    <row r="794">
      <c r="A794" s="390" t="str">
        <f>IFERROR(__xludf.DUMMYFUNCTION("""COMPUTED_VALUE"""),"Jussara Novinski - Tecnólogo Gerontologia")</f>
        <v>Jussara Novinski - Tecnólogo Gerontologia</v>
      </c>
    </row>
    <row r="795">
      <c r="A795" s="390" t="str">
        <f>IFERROR(__xludf.DUMMYFUNCTION("""COMPUTED_VALUE"""),"Charles Félix da Silva - Pós-Graduação em Musicoterapia")</f>
        <v>Charles Félix da Silva - Pós-Graduação em Musicoterapia</v>
      </c>
    </row>
    <row r="796">
      <c r="A796" s="390" t="str">
        <f>IFERROR(__xludf.DUMMYFUNCTION("""COMPUTED_VALUE"""),"Charles Félix da Silva - SEGUNDA LICENCIATURA EM MÚSICA - 2024")</f>
        <v>Charles Félix da Silva - SEGUNDA LICENCIATURA EM MÚSICA - 2024</v>
      </c>
    </row>
    <row r="797">
      <c r="A797" s="390" t="str">
        <f>IFERROR(__xludf.DUMMYFUNCTION("""COMPUTED_VALUE"""),"Gilzete Cardoso de lima - Tecnólogo Educador Social")</f>
        <v>Gilzete Cardoso de lima - Tecnólogo Educador Social</v>
      </c>
    </row>
    <row r="798">
      <c r="A798" s="390" t="str">
        <f>IFERROR(__xludf.DUMMYFUNCTION("""COMPUTED_VALUE"""),"Ailton Pereira de Matos - Tecnólogo Segurança Pública")</f>
        <v>Ailton Pereira de Matos - Tecnólogo Segurança Pública</v>
      </c>
    </row>
    <row r="799">
      <c r="A799" s="390" t="str">
        <f>IFERROR(__xludf.DUMMYFUNCTION("""COMPUTED_VALUE"""),"Wallace Oliveira Almeida - Tecnólogo Ministério Pastoral")</f>
        <v>Wallace Oliveira Almeida - Tecnólogo Ministério Pastoral</v>
      </c>
    </row>
    <row r="800">
      <c r="A800" s="390" t="str">
        <f>IFERROR(__xludf.DUMMYFUNCTION("""COMPUTED_VALUE"""),"Shirley Paula Santos Silva murcia - Formação Livre Psicanálise")</f>
        <v>Shirley Paula Santos Silva murcia - Formação Livre Psicanálise</v>
      </c>
    </row>
    <row r="801">
      <c r="A801" s="390" t="str">
        <f>IFERROR(__xludf.DUMMYFUNCTION("""COMPUTED_VALUE"""),"Vanderlei Marcelo dos Santos - Tecnólogo Ministério Pastoral")</f>
        <v>Vanderlei Marcelo dos Santos - Tecnólogo Ministério Pastoral</v>
      </c>
    </row>
    <row r="802">
      <c r="A802" s="390" t="str">
        <f>IFERROR(__xludf.DUMMYFUNCTION("""COMPUTED_VALUE"""),"Otoniel Pereira de Matos - Formação Livre Psicanálise")</f>
        <v>Otoniel Pereira de Matos - Formação Livre Psicanálise</v>
      </c>
    </row>
    <row r="803">
      <c r="A803" s="390" t="str">
        <f>IFERROR(__xludf.DUMMYFUNCTION("""COMPUTED_VALUE"""),"Sandra Raquel Trabachini Belon - Tecnólogo Gestão de Clínicas e Consultórios")</f>
        <v>Sandra Raquel Trabachini Belon - Tecnólogo Gestão de Clínicas e Consultórios</v>
      </c>
    </row>
    <row r="804">
      <c r="A804" s="390" t="str">
        <f>IFERROR(__xludf.DUMMYFUNCTION("""COMPUTED_VALUE"""),"Ivete Alves da Silva - #SLGA - Segunda Licenciatura em Geografia")</f>
        <v>Ivete Alves da Silva - #SLGA - Segunda Licenciatura em Geografia</v>
      </c>
    </row>
    <row r="805">
      <c r="A805" s="390" t="str">
        <f>IFERROR(__xludf.DUMMYFUNCTION("""COMPUTED_VALUE"""),"Ivete Alves da Silva - Pós-Graduação em Ensino de História e Geografia")</f>
        <v>Ivete Alves da Silva - Pós-Graduação em Ensino de História e Geografia</v>
      </c>
    </row>
    <row r="806">
      <c r="A806" s="390" t="str">
        <f>IFERROR(__xludf.DUMMYFUNCTION("""COMPUTED_VALUE"""),"Glaucita Santana da Conceição - Tecnólogo Investigação Forense e Perícia Jurídica")</f>
        <v>Glaucita Santana da Conceição - Tecnólogo Investigação Forense e Perícia Jurídica</v>
      </c>
    </row>
    <row r="807">
      <c r="A807" s="390" t="str">
        <f>IFERROR(__xludf.DUMMYFUNCTION("""COMPUTED_VALUE"""),"Roberto Miranda Soares - Tecnólogo Marketing")</f>
        <v>Roberto Miranda Soares - Tecnólogo Marketing</v>
      </c>
    </row>
    <row r="808">
      <c r="A808" s="390" t="str">
        <f>IFERROR(__xludf.DUMMYFUNCTION("""COMPUTED_VALUE"""),"Moana Pinheiro de Viveiros Fonseca - Tecnólogo Educador Social")</f>
        <v>Moana Pinheiro de Viveiros Fonseca - Tecnólogo Educador Social</v>
      </c>
    </row>
    <row r="809">
      <c r="A809" s="390" t="str">
        <f>IFERROR(__xludf.DUMMYFUNCTION("""COMPUTED_VALUE"""),"Célia Cristina Dias Garcia - Formação Livre Psicanálise")</f>
        <v>Célia Cristina Dias Garcia - Formação Livre Psicanálise</v>
      </c>
    </row>
    <row r="810">
      <c r="A810" s="390" t="str">
        <f>IFERROR(__xludf.DUMMYFUNCTION("""COMPUTED_VALUE"""),"Dassayew Klelwin de Vasconcelos Rocha - Formação Pedagógica História")</f>
        <v>Dassayew Klelwin de Vasconcelos Rocha - Formação Pedagógica História</v>
      </c>
    </row>
    <row r="811">
      <c r="A811" s="390" t="str">
        <f>IFERROR(__xludf.DUMMYFUNCTION("""COMPUTED_VALUE"""),"Silvana Gaspar de Matos - Tecnólogo Mediação, Conciliação e Arbitragem")</f>
        <v>Silvana Gaspar de Matos - Tecnólogo Mediação, Conciliação e Arbitragem</v>
      </c>
    </row>
    <row r="812">
      <c r="A812" s="390" t="str">
        <f>IFERROR(__xludf.DUMMYFUNCTION("""COMPUTED_VALUE"""),"PATRICIA REGINA DOS SANTOS FERNANDES - Formação Livre Psicanálise")</f>
        <v>PATRICIA REGINA DOS SANTOS FERNANDES - Formação Livre Psicanálise</v>
      </c>
    </row>
    <row r="813">
      <c r="A813" s="390" t="str">
        <f>IFERROR(__xludf.DUMMYFUNCTION("""COMPUTED_VALUE"""),"Elizabeth Conceição Lima Correa - Tecnólogo Psicomotricidade e Ludicidade na Educação Infantil")</f>
        <v>Elizabeth Conceição Lima Correa - Tecnólogo Psicomotricidade e Ludicidade na Educação Infantil</v>
      </c>
    </row>
    <row r="814">
      <c r="A814" s="390" t="str">
        <f>IFERROR(__xludf.DUMMYFUNCTION("""COMPUTED_VALUE"""),"Angela Aparecida De Aguiar Pedro - Formação Livre em Terapia Cognitiva Comportamental")</f>
        <v>Angela Aparecida De Aguiar Pedro - Formação Livre em Terapia Cognitiva Comportamental</v>
      </c>
    </row>
    <row r="815">
      <c r="A815" s="390" t="str">
        <f>IFERROR(__xludf.DUMMYFUNCTION("""COMPUTED_VALUE"""),"Angela Aparecida De Aguiar Pedro - Capacitação em Terapia em TDAH Clínico")</f>
        <v>Angela Aparecida De Aguiar Pedro - Capacitação em Terapia em TDAH Clínico</v>
      </c>
    </row>
    <row r="816">
      <c r="A816" s="390" t="str">
        <f>IFERROR(__xludf.DUMMYFUNCTION("""COMPUTED_VALUE"""),"Angela Aparecida De Aguiar Pedro - Formação Livre  TDAH – Transtorno do Déficit de Atenção e Hiperatividade")</f>
        <v>Angela Aparecida De Aguiar Pedro - Formação Livre  TDAH – Transtorno do Déficit de Atenção e Hiperatividade</v>
      </c>
    </row>
    <row r="817">
      <c r="A817" s="390" t="str">
        <f>IFERROR(__xludf.DUMMYFUNCTION("""COMPUTED_VALUE"""),"Angela Aparecida De Aguiar Pedro - Formação Livre Psicanálise")</f>
        <v>Angela Aparecida De Aguiar Pedro - Formação Livre Psicanálise</v>
      </c>
    </row>
    <row r="818">
      <c r="A818" s="390" t="str">
        <f>IFERROR(__xludf.DUMMYFUNCTION("""COMPUTED_VALUE"""),"Angela Aparecida De Aguiar Pedro - Formação Livre em Psicanálise-2022")</f>
        <v>Angela Aparecida De Aguiar Pedro - Formação Livre em Psicanálise-2022</v>
      </c>
    </row>
    <row r="819">
      <c r="A819" s="390" t="str">
        <f>IFERROR(__xludf.DUMMYFUNCTION("""COMPUTED_VALUE"""),"Raislam teles da cunha - Tecnólogo Educador Social")</f>
        <v>Raislam teles da cunha - Tecnólogo Educador Social</v>
      </c>
    </row>
    <row r="820">
      <c r="A820" s="390" t="str">
        <f>IFERROR(__xludf.DUMMYFUNCTION("""COMPUTED_VALUE"""),"Aldicéa Pobel Marçal - Tecnólogo Mídias Sociais e Digitais")</f>
        <v>Aldicéa Pobel Marçal - Tecnólogo Mídias Sociais e Digitais</v>
      </c>
    </row>
    <row r="821">
      <c r="A821" s="390" t="str">
        <f>IFERROR(__xludf.DUMMYFUNCTION("""COMPUTED_VALUE"""),"ALESSANDRA DA COSTA MALO - #SLHA - Segunda Licenciatura em História")</f>
        <v>ALESSANDRA DA COSTA MALO - #SLHA - Segunda Licenciatura em História</v>
      </c>
    </row>
    <row r="822">
      <c r="A822" s="390" t="str">
        <f>IFERROR(__xludf.DUMMYFUNCTION("""COMPUTED_VALUE"""),"Jussara Aparecida Novinski - Tecnólogo Gerontologia")</f>
        <v>Jussara Aparecida Novinski - Tecnólogo Gerontologia</v>
      </c>
    </row>
    <row r="823">
      <c r="A823" s="390" t="str">
        <f>IFERROR(__xludf.DUMMYFUNCTION("""COMPUTED_VALUE"""),"Wagno Sérgio - Pós-Graduação em Musicoterapia")</f>
        <v>Wagno Sérgio - Pós-Graduação em Musicoterapia</v>
      </c>
    </row>
    <row r="824">
      <c r="A824" s="390" t="str">
        <f>IFERROR(__xludf.DUMMYFUNCTION("""COMPUTED_VALUE"""),"Wagno Sérgio - Pós-Graduação em Neuropsicopedagogia Institucional, Clínica e Hospitalar 850h")</f>
        <v>Wagno Sérgio - Pós-Graduação em Neuropsicopedagogia Institucional, Clínica e Hospitalar 850h</v>
      </c>
    </row>
    <row r="825">
      <c r="A825" s="390" t="str">
        <f>IFERROR(__xludf.DUMMYFUNCTION("""COMPUTED_VALUE"""),"Ricardo dos Santos Aroucha - #SLLLA - Segunda Licenciatura em Letras - Libras")</f>
        <v>Ricardo dos Santos Aroucha - #SLLLA - Segunda Licenciatura em Letras - Libras</v>
      </c>
    </row>
    <row r="826">
      <c r="A826" s="390" t="str">
        <f>IFERROR(__xludf.DUMMYFUNCTION("""COMPUTED_VALUE"""),"Ricardo dos Santos Aroucha - #SLULPL- Segunda Licenciatura em Letras – Língua Portuguesa e Libras")</f>
        <v>Ricardo dos Santos Aroucha - #SLULPL- Segunda Licenciatura em Letras – Língua Portuguesa e Libras</v>
      </c>
    </row>
    <row r="827">
      <c r="A827" s="390" t="str">
        <f>IFERROR(__xludf.DUMMYFUNCTION("""COMPUTED_VALUE"""),"ELBANI DE OLIVEIRA SOUSA - Tecnólogo Gestão Pública")</f>
        <v>ELBANI DE OLIVEIRA SOUSA - Tecnólogo Gestão Pública</v>
      </c>
    </row>
    <row r="828">
      <c r="A828" s="390" t="str">
        <f>IFERROR(__xludf.DUMMYFUNCTION("""COMPUTED_VALUE"""),"Thiago Menezes da Silva - Tecnólogo Gestão de Recursos Humanos")</f>
        <v>Thiago Menezes da Silva - Tecnólogo Gestão de Recursos Humanos</v>
      </c>
    </row>
    <row r="829">
      <c r="A829" s="390" t="str">
        <f>IFERROR(__xludf.DUMMYFUNCTION("""COMPUTED_VALUE"""),"Cristiano dos Santos Cordeiro - Tecnólogo Gestão Ambiental")</f>
        <v>Cristiano dos Santos Cordeiro - Tecnólogo Gestão Ambiental</v>
      </c>
    </row>
    <row r="830">
      <c r="A830" s="390" t="str">
        <f>IFERROR(__xludf.DUMMYFUNCTION("""COMPUTED_VALUE"""),"GEOVANIA AMORIM DA CONCEICAO - Tecnólogo Processos Gerenciais")</f>
        <v>GEOVANIA AMORIM DA CONCEICAO - Tecnólogo Processos Gerenciais</v>
      </c>
    </row>
    <row r="831">
      <c r="A831" s="390" t="str">
        <f>IFERROR(__xludf.DUMMYFUNCTION("""COMPUTED_VALUE"""),"Rayanne Oliveira Rodrigues - Formação Livre Psicanálise")</f>
        <v>Rayanne Oliveira Rodrigues - Formação Livre Psicanálise</v>
      </c>
    </row>
    <row r="832">
      <c r="A832" s="390" t="str">
        <f>IFERROR(__xludf.DUMMYFUNCTION("""COMPUTED_VALUE"""),"Thayna Souza Santana - Formação Livre Psicanálise")</f>
        <v>Thayna Souza Santana - Formação Livre Psicanálise</v>
      </c>
    </row>
    <row r="833">
      <c r="A833" s="390" t="str">
        <f>IFERROR(__xludf.DUMMYFUNCTION("""COMPUTED_VALUE"""),"Fredson Borges da Silva - Tecnólogo Coaching e Desenvolvimento Humano")</f>
        <v>Fredson Borges da Silva - Tecnólogo Coaching e Desenvolvimento Humano</v>
      </c>
    </row>
    <row r="834">
      <c r="A834" s="390" t="str">
        <f>IFERROR(__xludf.DUMMYFUNCTION("""COMPUTED_VALUE"""),"Gisele Maria Monteiro Cardoso - Bacharelado em Educação Física")</f>
        <v>Gisele Maria Monteiro Cardoso - Bacharelado em Educação Física</v>
      </c>
    </row>
    <row r="835">
      <c r="A835" s="390" t="str">
        <f>IFERROR(__xludf.DUMMYFUNCTION("""COMPUTED_VALUE"""),"Nirlania Schmithberg - #SLCBA - Segunda Licenciatura em Ciências Biológicas")</f>
        <v>Nirlania Schmithberg - #SLCBA - Segunda Licenciatura em Ciências Biológicas</v>
      </c>
    </row>
    <row r="836">
      <c r="A836" s="390" t="str">
        <f>IFERROR(__xludf.DUMMYFUNCTION("""COMPUTED_VALUE"""),"Jersica Elidiana Paz da Silva - Formação Livre Psicanálise")</f>
        <v>Jersica Elidiana Paz da Silva - Formação Livre Psicanálise</v>
      </c>
    </row>
    <row r="837">
      <c r="A837" s="390" t="str">
        <f>IFERROR(__xludf.DUMMYFUNCTION("""COMPUTED_VALUE"""),"Ranina Santos da Silva - #SLHA - Segunda Licenciatura em História")</f>
        <v>Ranina Santos da Silva - #SLHA - Segunda Licenciatura em História</v>
      </c>
    </row>
    <row r="838">
      <c r="A838" s="390" t="str">
        <f>IFERROR(__xludf.DUMMYFUNCTION("""COMPUTED_VALUE"""),"Wesley Allisson Gonçalves Damaceno - Pós-Graduação em Psicanálise")</f>
        <v>Wesley Allisson Gonçalves Damaceno - Pós-Graduação em Psicanálise</v>
      </c>
    </row>
    <row r="839">
      <c r="A839" s="390" t="str">
        <f>IFERROR(__xludf.DUMMYFUNCTION("""COMPUTED_VALUE"""),"Eliana rosa de Deus - Formação Livre Psicanálise")</f>
        <v>Eliana rosa de Deus - Formação Livre Psicanálise</v>
      </c>
    </row>
    <row r="840">
      <c r="A840" s="390" t="str">
        <f>IFERROR(__xludf.DUMMYFUNCTION("""COMPUTED_VALUE"""),"Eliana rosa de Deus - Formação Livre Psicanálise")</f>
        <v>Eliana rosa de Deus - Formação Livre Psicanálise</v>
      </c>
    </row>
    <row r="841">
      <c r="A841" s="390" t="str">
        <f>IFERROR(__xludf.DUMMYFUNCTION("""COMPUTED_VALUE"""),"Regiane Alves Rodrigues - #SLEEA - Segunda Licenciatura em Educação Especial")</f>
        <v>Regiane Alves Rodrigues - #SLEEA - Segunda Licenciatura em Educação Especial</v>
      </c>
    </row>
    <row r="842">
      <c r="A842" s="390" t="str">
        <f>IFERROR(__xludf.DUMMYFUNCTION("""COMPUTED_VALUE"""),"Regiane Alves Rodrigues - Pós-Graduação em Ensino Religioso")</f>
        <v>Regiane Alves Rodrigues - Pós-Graduação em Ensino Religioso</v>
      </c>
    </row>
    <row r="843">
      <c r="A843" s="390" t="str">
        <f>IFERROR(__xludf.DUMMYFUNCTION("""COMPUTED_VALUE"""),"Regiane Alves Rodrigues - #SLP22- Segunda Licenciatura em Pedagogia")</f>
        <v>Regiane Alves Rodrigues - #SLP22- Segunda Licenciatura em Pedagogia</v>
      </c>
    </row>
    <row r="844">
      <c r="A844" s="390" t="str">
        <f>IFERROR(__xludf.DUMMYFUNCTION("""COMPUTED_VALUE"""),"Regiane Alves Rodrigues - Pós-Graduação em Ensino de Artes")</f>
        <v>Regiane Alves Rodrigues - Pós-Graduação em Ensino de Artes</v>
      </c>
    </row>
    <row r="845">
      <c r="A845" s="390" t="str">
        <f>IFERROR(__xludf.DUMMYFUNCTION("""COMPUTED_VALUE"""),"Regiane Alves Rodrigues - #SLPT- Segunda Licenciatura em Pedagogia")</f>
        <v>Regiane Alves Rodrigues - #SLPT- Segunda Licenciatura em Pedagogia</v>
      </c>
    </row>
    <row r="846">
      <c r="A846" s="390" t="str">
        <f>IFERROR(__xludf.DUMMYFUNCTION("""COMPUTED_VALUE"""),"José Muriel Oliveira Alves - #FPLPET1 Formação Pedagógica-Português/Espanhol - 1710Horas")</f>
        <v>José Muriel Oliveira Alves - #FPLPET1 Formação Pedagógica-Português/Espanhol - 1710Horas</v>
      </c>
    </row>
    <row r="847">
      <c r="A847" s="390" t="str">
        <f>IFERROR(__xludf.DUMMYFUNCTION("""COMPUTED_VALUE"""),"José Muriel Oliveira Alves - Formação Pedagógica em Artes Visuais")</f>
        <v>José Muriel Oliveira Alves - Formação Pedagógica em Artes Visuais</v>
      </c>
    </row>
    <row r="848">
      <c r="A848" s="390" t="str">
        <f>IFERROR(__xludf.DUMMYFUNCTION("""COMPUTED_VALUE"""),"Andreia Cristina Holanda - Formação Livre Psicanálise")</f>
        <v>Andreia Cristina Holanda - Formação Livre Psicanálise</v>
      </c>
    </row>
    <row r="849">
      <c r="A849" s="390" t="str">
        <f>IFERROR(__xludf.DUMMYFUNCTION("""COMPUTED_VALUE"""),"Andreia Cristina Holanda - Formação Livre em Psicanálise-2022")</f>
        <v>Andreia Cristina Holanda - Formação Livre em Psicanálise-2022</v>
      </c>
    </row>
    <row r="850">
      <c r="A850" s="390" t="str">
        <f>IFERROR(__xludf.DUMMYFUNCTION("""COMPUTED_VALUE"""),"Clauzer Batista da Conceição - Tecnólogo Gestão de Serviços Jurídicos e Notariais")</f>
        <v>Clauzer Batista da Conceição - Tecnólogo Gestão de Serviços Jurídicos e Notariais</v>
      </c>
    </row>
    <row r="851">
      <c r="A851" s="390" t="str">
        <f>IFERROR(__xludf.DUMMYFUNCTION("""COMPUTED_VALUE"""),"Leandro joaquim Dos anjos - Tecnólogo Design Gráfico")</f>
        <v>Leandro joaquim Dos anjos - Tecnólogo Design Gráfico</v>
      </c>
    </row>
    <row r="852">
      <c r="A852" s="390" t="str">
        <f>IFERROR(__xludf.DUMMYFUNCTION("""COMPUTED_VALUE"""),"Genilson Oliveira Kiry - Formação Pedagógica História")</f>
        <v>Genilson Oliveira Kiry - Formação Pedagógica História</v>
      </c>
    </row>
    <row r="853">
      <c r="A853" s="390" t="str">
        <f>IFERROR(__xludf.DUMMYFUNCTION("""COMPUTED_VALUE"""),"Genilson Oliveira Kiry - #SLHA - Segunda Licenciatura em História")</f>
        <v>Genilson Oliveira Kiry - #SLHA - Segunda Licenciatura em História</v>
      </c>
    </row>
    <row r="854">
      <c r="A854" s="390" t="str">
        <f>IFERROR(__xludf.DUMMYFUNCTION("""COMPUTED_VALUE"""),"Elizabete Bueno de Camargo - Pós-Graduação Terapia Cognitiva Comportamental")</f>
        <v>Elizabete Bueno de Camargo - Pós-Graduação Terapia Cognitiva Comportamental</v>
      </c>
    </row>
    <row r="855">
      <c r="A855" s="390" t="str">
        <f>IFERROR(__xludf.DUMMYFUNCTION("""COMPUTED_VALUE"""),"Lúcia Helena Rodrigues de Moura - Formação Livre Psicanálise")</f>
        <v>Lúcia Helena Rodrigues de Moura - Formação Livre Psicanálise</v>
      </c>
    </row>
    <row r="856">
      <c r="A856" s="390" t="str">
        <f>IFERROR(__xludf.DUMMYFUNCTION("""COMPUTED_VALUE"""),"Elaine Rodrigues Martins - Tecnólogo Gerontologia")</f>
        <v>Elaine Rodrigues Martins - Tecnólogo Gerontologia</v>
      </c>
    </row>
    <row r="857">
      <c r="A857" s="390" t="str">
        <f>IFERROR(__xludf.DUMMYFUNCTION("""COMPUTED_VALUE"""),"Vania Rigoleto de lima - Formação Livre Psicanálise")</f>
        <v>Vania Rigoleto de lima - Formação Livre Psicanálise</v>
      </c>
    </row>
    <row r="858">
      <c r="A858" s="390" t="str">
        <f>IFERROR(__xludf.DUMMYFUNCTION("""COMPUTED_VALUE"""),"Raquel Magda de Oliveira - Formação Pedagógica História")</f>
        <v>Raquel Magda de Oliveira - Formação Pedagógica História</v>
      </c>
    </row>
    <row r="859">
      <c r="A859" s="390" t="str">
        <f>IFERROR(__xludf.DUMMYFUNCTION("""COMPUTED_VALUE"""),"Alberto Custódio leite matos - Tecnólogo Gestão Comercial")</f>
        <v>Alberto Custódio leite matos - Tecnólogo Gestão Comercial</v>
      </c>
    </row>
    <row r="860">
      <c r="A860" s="390" t="str">
        <f>IFERROR(__xludf.DUMMYFUNCTION("""COMPUTED_VALUE"""),"Tayna Cristina Souza dos Santos - Formação Livre Psicanálise")</f>
        <v>Tayna Cristina Souza dos Santos - Formação Livre Psicanálise</v>
      </c>
    </row>
    <row r="861">
      <c r="A861" s="390" t="str">
        <f>IFERROR(__xludf.DUMMYFUNCTION("""COMPUTED_VALUE"""),"LAYLA ELOIZA SILVA CORREA OLIVEIRA - Formação Livre Psicanálise")</f>
        <v>LAYLA ELOIZA SILVA CORREA OLIVEIRA - Formação Livre Psicanálise</v>
      </c>
    </row>
    <row r="862">
      <c r="A862" s="390" t="str">
        <f>IFERROR(__xludf.DUMMYFUNCTION("""COMPUTED_VALUE"""),"Maria Thereza Strapasson - Tecnólogo Investigação Forense e Perícia Jurídica")</f>
        <v>Maria Thereza Strapasson - Tecnólogo Investigação Forense e Perícia Jurídica</v>
      </c>
    </row>
    <row r="863">
      <c r="A863" s="390" t="str">
        <f>IFERROR(__xludf.DUMMYFUNCTION("""COMPUTED_VALUE"""),"joyce da silva costa - Tecnólogo Gestão Hospitalar")</f>
        <v>joyce da silva costa - Tecnólogo Gestão Hospitalar</v>
      </c>
    </row>
    <row r="864">
      <c r="A864" s="390" t="str">
        <f>IFERROR(__xludf.DUMMYFUNCTION("""COMPUTED_VALUE"""),"Samuel Rodrigues da Silva Teixeira Barros - Formação Pedagógica em Filosofia")</f>
        <v>Samuel Rodrigues da Silva Teixeira Barros - Formação Pedagógica em Filosofia</v>
      </c>
    </row>
    <row r="865">
      <c r="A865" s="390" t="str">
        <f>IFERROR(__xludf.DUMMYFUNCTION("""COMPUTED_VALUE"""),"Creonice Prates - Tecnólogo Gestão de Clínicas e Consultórios")</f>
        <v>Creonice Prates - Tecnólogo Gestão de Clínicas e Consultórios</v>
      </c>
    </row>
    <row r="866">
      <c r="A866" s="390" t="str">
        <f>IFERROR(__xludf.DUMMYFUNCTION("""COMPUTED_VALUE"""),"Adriana Gomes de Almeida - Pós-Graduação Terapia Cognitiva Comportamental")</f>
        <v>Adriana Gomes de Almeida - Pós-Graduação Terapia Cognitiva Comportamental</v>
      </c>
    </row>
    <row r="867">
      <c r="A867" s="390" t="str">
        <f>IFERROR(__xludf.DUMMYFUNCTION("""COMPUTED_VALUE"""),"Adriana Gomes de Almeida - Formação Livre Psicanálise")</f>
        <v>Adriana Gomes de Almeida - Formação Livre Psicanálise</v>
      </c>
    </row>
    <row r="868">
      <c r="A868" s="390" t="str">
        <f>IFERROR(__xludf.DUMMYFUNCTION("""COMPUTED_VALUE"""),"Lucineia Pontes Antônio - #SLGA - Segunda Licenciatura em Geografia")</f>
        <v>Lucineia Pontes Antônio - #SLGA - Segunda Licenciatura em Geografia</v>
      </c>
    </row>
    <row r="869">
      <c r="A869" s="390" t="str">
        <f>IFERROR(__xludf.DUMMYFUNCTION("""COMPUTED_VALUE"""),"Mônica bispo Araújo Arruda - Tecnólogo Serviços Jurídicos")</f>
        <v>Mônica bispo Araújo Arruda - Tecnólogo Serviços Jurídicos</v>
      </c>
    </row>
    <row r="870">
      <c r="A870" s="390" t="str">
        <f>IFERROR(__xludf.DUMMYFUNCTION("""COMPUTED_VALUE"""),"Melina Fernandes - Formação Pedagógica em Artes Visuais")</f>
        <v>Melina Fernandes - Formação Pedagógica em Artes Visuais</v>
      </c>
    </row>
    <row r="871">
      <c r="A871" s="390" t="str">
        <f>IFERROR(__xludf.DUMMYFUNCTION("""COMPUTED_VALUE"""),"Elaine freitas fernandes - Pós-Graduação em Psicanálise")</f>
        <v>Elaine freitas fernandes - Pós-Graduação em Psicanálise</v>
      </c>
    </row>
    <row r="872">
      <c r="A872" s="390" t="str">
        <f>IFERROR(__xludf.DUMMYFUNCTION("""COMPUTED_VALUE"""),"CAIO DE SOUZA DA SILVA - Tecnólogo Psicomotricidade e Ludicidade na Educação Infantil")</f>
        <v>CAIO DE SOUZA DA SILVA - Tecnólogo Psicomotricidade e Ludicidade na Educação Infantil</v>
      </c>
    </row>
    <row r="873">
      <c r="A873" s="390" t="str">
        <f>IFERROR(__xludf.DUMMYFUNCTION("""COMPUTED_VALUE"""),"CAIO DE SOUZA DA SILVA - Pós-Graduação em Musicoterapia")</f>
        <v>CAIO DE SOUZA DA SILVA - Pós-Graduação em Musicoterapia</v>
      </c>
    </row>
    <row r="874">
      <c r="A874" s="390" t="str">
        <f>IFERROR(__xludf.DUMMYFUNCTION("""COMPUTED_VALUE"""),"Wildison de Sena Lopes - NOVO-Pós-Graduação em Psicanálise 800 Horas")</f>
        <v>Wildison de Sena Lopes - NOVO-Pós-Graduação em Psicanálise 800 Horas</v>
      </c>
    </row>
    <row r="875">
      <c r="A875" s="390" t="str">
        <f>IFERROR(__xludf.DUMMYFUNCTION("""COMPUTED_VALUE"""),"Wildison de Sena Lopes - Pós-Graduação em Psicanálise")</f>
        <v>Wildison de Sena Lopes - Pós-Graduação em Psicanálise</v>
      </c>
    </row>
    <row r="876">
      <c r="A876" s="390" t="str">
        <f>IFERROR(__xludf.DUMMYFUNCTION("""COMPUTED_VALUE"""),"EDIVONE RIBEIRO DE OLIVEIRA - #SLEEF- Segunda Licenciatura Educação Física")</f>
        <v>EDIVONE RIBEIRO DE OLIVEIRA - #SLEEF- Segunda Licenciatura Educação Física</v>
      </c>
    </row>
    <row r="877">
      <c r="A877" s="390" t="str">
        <f>IFERROR(__xludf.DUMMYFUNCTION("""COMPUTED_VALUE"""),"RILZA DAMIÃO DE ANDRADE - Tecnólogo Gestão de Recursos Humanos")</f>
        <v>RILZA DAMIÃO DE ANDRADE - Tecnólogo Gestão de Recursos Humanos</v>
      </c>
    </row>
    <row r="878">
      <c r="A878" s="390" t="str">
        <f>IFERROR(__xludf.DUMMYFUNCTION("""COMPUTED_VALUE"""),"Ricardo Luiz Marinho - Formação Livre Psicanálise")</f>
        <v>Ricardo Luiz Marinho - Formação Livre Psicanálise</v>
      </c>
    </row>
    <row r="879">
      <c r="A879" s="390" t="str">
        <f>IFERROR(__xludf.DUMMYFUNCTION("""COMPUTED_VALUE"""),"Ítalo Cardoso de Lima - Formação Pedagógica em Artes Visuais")</f>
        <v>Ítalo Cardoso de Lima - Formação Pedagógica em Artes Visuais</v>
      </c>
    </row>
    <row r="880">
      <c r="A880" s="390" t="str">
        <f>IFERROR(__xludf.DUMMYFUNCTION("""COMPUTED_VALUE"""),"Ítalo Cardoso de Lima - Pós-Graduação em Ensino de Artes")</f>
        <v>Ítalo Cardoso de Lima - Pós-Graduação em Ensino de Artes</v>
      </c>
    </row>
    <row r="881">
      <c r="A881" s="390" t="str">
        <f>IFERROR(__xludf.DUMMYFUNCTION("""COMPUTED_VALUE"""),"Vania de Sousa Tomaz - Formação Livre Psicanálise")</f>
        <v>Vania de Sousa Tomaz - Formação Livre Psicanálise</v>
      </c>
    </row>
    <row r="882">
      <c r="A882" s="390" t="str">
        <f>IFERROR(__xludf.DUMMYFUNCTION("""COMPUTED_VALUE"""),"Salomão Gomes Viana Júnior - Tecnólogo Segurança Pública")</f>
        <v>Salomão Gomes Viana Júnior - Tecnólogo Segurança Pública</v>
      </c>
    </row>
    <row r="883">
      <c r="A883" s="390" t="str">
        <f>IFERROR(__xludf.DUMMYFUNCTION("""COMPUTED_VALUE"""),"Salomão Gomes Viana Júnior - Formação Livre em Terapia Cognitiva Comportamental")</f>
        <v>Salomão Gomes Viana Júnior - Formação Livre em Terapia Cognitiva Comportamental</v>
      </c>
    </row>
    <row r="884">
      <c r="A884" s="390" t="str">
        <f>IFERROR(__xludf.DUMMYFUNCTION("""COMPUTED_VALUE"""),"Marlene Barbosa Lima - #SLHA - Segunda Licenciatura em História")</f>
        <v>Marlene Barbosa Lima - #SLHA - Segunda Licenciatura em História</v>
      </c>
    </row>
    <row r="885">
      <c r="A885" s="390" t="str">
        <f>IFERROR(__xludf.DUMMYFUNCTION("""COMPUTED_VALUE"""),"Marlene Barbosa Lima - #SLMF - Segunda Licenciatura em Música 1320Horas")</f>
        <v>Marlene Barbosa Lima - #SLMF - Segunda Licenciatura em Música 1320Horas</v>
      </c>
    </row>
    <row r="886">
      <c r="A886" s="390" t="str">
        <f>IFERROR(__xludf.DUMMYFUNCTION("""COMPUTED_VALUE"""),"Maria Ilza Cavalcante Atayde - Tecnólogo Gestão Hospitalar")</f>
        <v>Maria Ilza Cavalcante Atayde - Tecnólogo Gestão Hospitalar</v>
      </c>
    </row>
    <row r="887">
      <c r="A887" s="390" t="str">
        <f>IFERROR(__xludf.DUMMYFUNCTION("""COMPUTED_VALUE"""),"Adriana de Lima Carvalho - Tecnólogo Gestão Comercial")</f>
        <v>Adriana de Lima Carvalho - Tecnólogo Gestão Comercial</v>
      </c>
    </row>
    <row r="888">
      <c r="A888" s="390" t="str">
        <f>IFERROR(__xludf.DUMMYFUNCTION("""COMPUTED_VALUE"""),"Mariana de jesus - Tecnólogo Investigação Forense e Perícia Jurídica")</f>
        <v>Mariana de jesus - Tecnólogo Investigação Forense e Perícia Jurídica</v>
      </c>
    </row>
    <row r="889">
      <c r="A889" s="390" t="str">
        <f>IFERROR(__xludf.DUMMYFUNCTION("""COMPUTED_VALUE"""),"Suzana Gomes Gabriel da Cruz - #SLAA - Segunda Licenciatura em Artes Visuais")</f>
        <v>Suzana Gomes Gabriel da Cruz - #SLAA - Segunda Licenciatura em Artes Visuais</v>
      </c>
    </row>
    <row r="890">
      <c r="A890" s="390" t="str">
        <f>IFERROR(__xludf.DUMMYFUNCTION("""COMPUTED_VALUE"""),"Suzana Gomes Gabriel da Cruz - #SLUA- Segunda Licenciatura em Artes Visuais")</f>
        <v>Suzana Gomes Gabriel da Cruz - #SLUA- Segunda Licenciatura em Artes Visuais</v>
      </c>
    </row>
    <row r="891">
      <c r="A891" s="390" t="str">
        <f>IFERROR(__xludf.DUMMYFUNCTION("""COMPUTED_VALUE"""),"Suzana Gomes Gabriel da Cruz - #SLUP - SEGUNDA LICENCIATURA EM PEDAGOGIA")</f>
        <v>Suzana Gomes Gabriel da Cruz - #SLUP - SEGUNDA LICENCIATURA EM PEDAGOGIA</v>
      </c>
    </row>
    <row r="892">
      <c r="A892" s="390" t="str">
        <f>IFERROR(__xludf.DUMMYFUNCTION("""COMPUTED_VALUE"""),"Suzana Gomes Gabriel da Cruz - #SLMF - Segunda Licenciatura em Música 1320Horas")</f>
        <v>Suzana Gomes Gabriel da Cruz - #SLMF - Segunda Licenciatura em Música 1320Horas</v>
      </c>
    </row>
    <row r="893">
      <c r="A893" s="390" t="str">
        <f>IFERROR(__xludf.DUMMYFUNCTION("""COMPUTED_VALUE"""),"Suzana Gomes Gabriel da Cruz - Pós-Graduação em Neuropsicopedagogia Institucional")</f>
        <v>Suzana Gomes Gabriel da Cruz - Pós-Graduação em Neuropsicopedagogia Institucional</v>
      </c>
    </row>
    <row r="894">
      <c r="A894" s="390" t="str">
        <f>IFERROR(__xludf.DUMMYFUNCTION("""COMPUTED_VALUE"""),"Suzana Gomes Gabriel da Cruz - Pós-Graduação em Neuropsicopedagogia")</f>
        <v>Suzana Gomes Gabriel da Cruz - Pós-Graduação em Neuropsicopedagogia</v>
      </c>
    </row>
    <row r="895">
      <c r="A895" s="390" t="str">
        <f>IFERROR(__xludf.DUMMYFUNCTION("""COMPUTED_VALUE"""),"Dayse Mara Guimarães Teixeira - Tecnólogo Segurança da Informação")</f>
        <v>Dayse Mara Guimarães Teixeira - Tecnólogo Segurança da Informação</v>
      </c>
    </row>
    <row r="896">
      <c r="A896" s="390" t="str">
        <f>IFERROR(__xludf.DUMMYFUNCTION("""COMPUTED_VALUE"""),"Helleny Nobre da Silva - Pós-Graduação em Musicoterapia")</f>
        <v>Helleny Nobre da Silva - Pós-Graduação em Musicoterapia</v>
      </c>
    </row>
    <row r="897">
      <c r="A897" s="390" t="str">
        <f>IFERROR(__xludf.DUMMYFUNCTION("""COMPUTED_VALUE"""),"Luciana da Silva Souza - Tecnólogo Educador Social")</f>
        <v>Luciana da Silva Souza - Tecnólogo Educador Social</v>
      </c>
    </row>
    <row r="898">
      <c r="A898" s="390" t="str">
        <f>IFERROR(__xludf.DUMMYFUNCTION("""COMPUTED_VALUE"""),"lazaro cruvinel leao neto - Tecnólogo Gestão da Qualidade")</f>
        <v>lazaro cruvinel leao neto - Tecnólogo Gestão da Qualidade</v>
      </c>
    </row>
    <row r="899">
      <c r="A899" s="390" t="str">
        <f>IFERROR(__xludf.DUMMYFUNCTION("""COMPUTED_VALUE"""),"lazaro cruvinel leao neto - Tecnólogo Gestão da Qualidade")</f>
        <v>lazaro cruvinel leao neto - Tecnólogo Gestão da Qualidade</v>
      </c>
    </row>
    <row r="900">
      <c r="A900" s="390" t="str">
        <f>IFERROR(__xludf.DUMMYFUNCTION("""COMPUTED_VALUE"""),"Nelson Teixeira de França - Tecnólogo Gestão de Recursos Humanos")</f>
        <v>Nelson Teixeira de França - Tecnólogo Gestão de Recursos Humanos</v>
      </c>
    </row>
    <row r="901">
      <c r="A901" s="390" t="str">
        <f>IFERROR(__xludf.DUMMYFUNCTION("""COMPUTED_VALUE"""),"Jordanna Karlla da silva veras - Tecnólogo Gestão de Recursos Humanos")</f>
        <v>Jordanna Karlla da silva veras - Tecnólogo Gestão de Recursos Humanos</v>
      </c>
    </row>
    <row r="902">
      <c r="A902" s="390" t="str">
        <f>IFERROR(__xludf.DUMMYFUNCTION("""COMPUTED_VALUE"""),"Carlos Germano do Nascimento Rodrigues - #SLGA - Segunda Licenciatura em Geografia")</f>
        <v>Carlos Germano do Nascimento Rodrigues - #SLGA - Segunda Licenciatura em Geografia</v>
      </c>
    </row>
    <row r="903">
      <c r="A903" s="390" t="str">
        <f>IFERROR(__xludf.DUMMYFUNCTION("""COMPUTED_VALUE"""),"Selma Aparecida Gauna Acosta - #SLAA - Segunda Licenciatura em Artes Visuais")</f>
        <v>Selma Aparecida Gauna Acosta - #SLAA - Segunda Licenciatura em Artes Visuais</v>
      </c>
    </row>
    <row r="904">
      <c r="A904" s="390" t="str">
        <f>IFERROR(__xludf.DUMMYFUNCTION("""COMPUTED_VALUE"""),"Evandro dos Santos Carlos - #SLEEF- Segunda Licenciatura Educação Física")</f>
        <v>Evandro dos Santos Carlos - #SLEEF- Segunda Licenciatura Educação Física</v>
      </c>
    </row>
    <row r="905">
      <c r="A905" s="390" t="str">
        <f>IFERROR(__xludf.DUMMYFUNCTION("""COMPUTED_VALUE"""),"Ana Cristina Pereira Teles. - #SLLLA - Segunda Licenciatura em Letras - Libras")</f>
        <v>Ana Cristina Pereira Teles. - #SLLLA - Segunda Licenciatura em Letras - Libras</v>
      </c>
    </row>
    <row r="906">
      <c r="A906" s="390" t="str">
        <f>IFERROR(__xludf.DUMMYFUNCTION("""COMPUTED_VALUE"""),"Rosilene Pereira da Silva - Tecnólogo Design Gráfico")</f>
        <v>Rosilene Pereira da Silva - Tecnólogo Design Gráfico</v>
      </c>
    </row>
    <row r="907">
      <c r="A907" s="390" t="str">
        <f>IFERROR(__xludf.DUMMYFUNCTION("""COMPUTED_VALUE"""),"Marcia Correa da Fonseca Figueiredo - Tecnólogo Psicomotricidade e Ludicidade na Educação Infantil")</f>
        <v>Marcia Correa da Fonseca Figueiredo - Tecnólogo Psicomotricidade e Ludicidade na Educação Infantil</v>
      </c>
    </row>
    <row r="908">
      <c r="A908" s="390" t="str">
        <f>IFERROR(__xludf.DUMMYFUNCTION("""COMPUTED_VALUE"""),"CELSO HENRIQUE VIEIRA DE LIMA - Pós-Graduação em Musicoterapia")</f>
        <v>CELSO HENRIQUE VIEIRA DE LIMA - Pós-Graduação em Musicoterapia</v>
      </c>
    </row>
    <row r="909">
      <c r="A909" s="390" t="str">
        <f>IFERROR(__xludf.DUMMYFUNCTION("""COMPUTED_VALUE"""),"CELSO HENRIQUE VIEIRA DE LIMA - #SLFA  - Segunda Licenciatura em Filosofia")</f>
        <v>CELSO HENRIQUE VIEIRA DE LIMA - #SLFA  - Segunda Licenciatura em Filosofia</v>
      </c>
    </row>
    <row r="910">
      <c r="A910" s="390" t="str">
        <f>IFERROR(__xludf.DUMMYFUNCTION("""COMPUTED_VALUE"""),"CELSO HENRIQUE VIEIRA DE LIMA - Pós-Graduação em Musicoterapia")</f>
        <v>CELSO HENRIQUE VIEIRA DE LIMA - Pós-Graduação em Musicoterapia</v>
      </c>
    </row>
    <row r="911">
      <c r="A911" s="390" t="str">
        <f>IFERROR(__xludf.DUMMYFUNCTION("""COMPUTED_VALUE"""),"Keli Paim Correa - #SLAA - Segunda Licenciatura em Artes Visuais")</f>
        <v>Keli Paim Correa - #SLAA - Segunda Licenciatura em Artes Visuais</v>
      </c>
    </row>
    <row r="912">
      <c r="A912" s="390" t="str">
        <f>IFERROR(__xludf.DUMMYFUNCTION("""COMPUTED_VALUE"""),"Keli Paim Correa - Pós-Graduação em Arteterapia")</f>
        <v>Keli Paim Correa - Pós-Graduação em Arteterapia</v>
      </c>
    </row>
    <row r="913">
      <c r="A913" s="390" t="str">
        <f>IFERROR(__xludf.DUMMYFUNCTION("""COMPUTED_VALUE"""),"Jurandir Sousa Saraiva Neto - Formação Livre Psicanálise")</f>
        <v>Jurandir Sousa Saraiva Neto - Formação Livre Psicanálise</v>
      </c>
    </row>
    <row r="914">
      <c r="A914" s="390" t="str">
        <f>IFERROR(__xludf.DUMMYFUNCTION("""COMPUTED_VALUE"""),"Jurandir Sousa Saraiva Neto - Pós-Graduação Terapia Cognitiva Comportamental")</f>
        <v>Jurandir Sousa Saraiva Neto - Pós-Graduação Terapia Cognitiva Comportamental</v>
      </c>
    </row>
    <row r="915">
      <c r="A915" s="390" t="str">
        <f>IFERROR(__xludf.DUMMYFUNCTION("""COMPUTED_VALUE"""),"Jurandir Sousa Saraiva Neto - Formação Livre em Terapia Cognitiva Comportamental")</f>
        <v>Jurandir Sousa Saraiva Neto - Formação Livre em Terapia Cognitiva Comportamental</v>
      </c>
    </row>
    <row r="916">
      <c r="A916" s="390" t="str">
        <f>IFERROR(__xludf.DUMMYFUNCTION("""COMPUTED_VALUE"""),"Eliane Reis Silva - Pós-Graduação Terapia Cognitiva Comportamental")</f>
        <v>Eliane Reis Silva - Pós-Graduação Terapia Cognitiva Comportamental</v>
      </c>
    </row>
    <row r="917">
      <c r="A917" s="390" t="str">
        <f>IFERROR(__xludf.DUMMYFUNCTION("""COMPUTED_VALUE"""),"JOSE CARLOS DO SANTOS - Bacharelado em Educação Física")</f>
        <v>JOSE CARLOS DO SANTOS - Bacharelado em Educação Física</v>
      </c>
    </row>
    <row r="918">
      <c r="A918" s="390" t="str">
        <f>IFERROR(__xludf.DUMMYFUNCTION("""COMPUTED_VALUE"""),"Daniela Janete Rado Quirino - Formação Livre Psicanálise")</f>
        <v>Daniela Janete Rado Quirino - Formação Livre Psicanálise</v>
      </c>
    </row>
    <row r="919">
      <c r="A919" s="390" t="str">
        <f>IFERROR(__xludf.DUMMYFUNCTION("""COMPUTED_VALUE"""),"WILLIAM DE FREITAS MACIEL - Pós-Graduação em Psicanálise")</f>
        <v>WILLIAM DE FREITAS MACIEL - Pós-Graduação em Psicanálise</v>
      </c>
    </row>
    <row r="920">
      <c r="A920" s="390" t="str">
        <f>IFERROR(__xludf.DUMMYFUNCTION("""COMPUTED_VALUE"""),"Giseli Aparecida Sam Martins de Souza - Tecnólogo Psicomotricidade e Ludicidade na Educação Infantil")</f>
        <v>Giseli Aparecida Sam Martins de Souza - Tecnólogo Psicomotricidade e Ludicidade na Educação Infantil</v>
      </c>
    </row>
    <row r="921">
      <c r="A921" s="390" t="str">
        <f>IFERROR(__xludf.DUMMYFUNCTION("""COMPUTED_VALUE"""),"Emanuelly de Moraes Neres - Tecnólogo Estética e Cosmética")</f>
        <v>Emanuelly de Moraes Neres - Tecnólogo Estética e Cosmética</v>
      </c>
    </row>
    <row r="922">
      <c r="A922" s="390" t="str">
        <f>IFERROR(__xludf.DUMMYFUNCTION("""COMPUTED_VALUE"""),"Ana Paula Von Szabó - Tecnólogo Educador Social")</f>
        <v>Ana Paula Von Szabó - Tecnólogo Educador Social</v>
      </c>
    </row>
    <row r="923">
      <c r="A923" s="390" t="str">
        <f>IFERROR(__xludf.DUMMYFUNCTION("""COMPUTED_VALUE"""),"Macksuel Gomes de Lacerda - Tecnólogo Análise e Desenvolvimento de Sistemas")</f>
        <v>Macksuel Gomes de Lacerda - Tecnólogo Análise e Desenvolvimento de Sistemas</v>
      </c>
    </row>
    <row r="924">
      <c r="A924" s="390" t="str">
        <f>IFERROR(__xludf.DUMMYFUNCTION("""COMPUTED_VALUE"""),"Reinaldo de Paula dos Santos - Formação Livre Psicanálise")</f>
        <v>Reinaldo de Paula dos Santos - Formação Livre Psicanálise</v>
      </c>
    </row>
    <row r="925">
      <c r="A925" s="390" t="str">
        <f>IFERROR(__xludf.DUMMYFUNCTION("""COMPUTED_VALUE"""),"Réggis Peres da Silva Pinto - Formação Livre Psicanálise")</f>
        <v>Réggis Peres da Silva Pinto - Formação Livre Psicanálise</v>
      </c>
    </row>
    <row r="926">
      <c r="A926" s="390" t="str">
        <f>IFERROR(__xludf.DUMMYFUNCTION("""COMPUTED_VALUE"""),"Renata Santos Melo - #SLAA - Segunda Licenciatura em Artes Visuais")</f>
        <v>Renata Santos Melo - #SLAA - Segunda Licenciatura em Artes Visuais</v>
      </c>
    </row>
    <row r="927">
      <c r="A927" s="390" t="str">
        <f>IFERROR(__xludf.DUMMYFUNCTION("""COMPUTED_VALUE"""),"Renata Santos Melo - #SLUA- Segunda Licenciatura em Artes Visuais")</f>
        <v>Renata Santos Melo - #SLUA- Segunda Licenciatura em Artes Visuais</v>
      </c>
    </row>
    <row r="928">
      <c r="A928" s="390" t="str">
        <f>IFERROR(__xludf.DUMMYFUNCTION("""COMPUTED_VALUE"""),"Jurandir Sousa Saraiva Neto - Pós-Graduação Terapia Cognitiva Comportamental")</f>
        <v>Jurandir Sousa Saraiva Neto - Pós-Graduação Terapia Cognitiva Comportamental</v>
      </c>
    </row>
    <row r="929">
      <c r="A929" s="390" t="str">
        <f>IFERROR(__xludf.DUMMYFUNCTION("""COMPUTED_VALUE"""),"Rosângela Gomes dos Santos Maia - Tecnólogo Psicomotricidade e Ludicidade na Educação Infantil")</f>
        <v>Rosângela Gomes dos Santos Maia - Tecnólogo Psicomotricidade e Ludicidade na Educação Infantil</v>
      </c>
    </row>
    <row r="930">
      <c r="A930" s="390" t="str">
        <f>IFERROR(__xludf.DUMMYFUNCTION("""COMPUTED_VALUE"""),"INAJA FIGUEIRA DE BARROS CORREIA - Formação Livre Psicanálise")</f>
        <v>INAJA FIGUEIRA DE BARROS CORREIA - Formação Livre Psicanálise</v>
      </c>
    </row>
    <row r="931">
      <c r="A931" s="390" t="str">
        <f>IFERROR(__xludf.DUMMYFUNCTION("""COMPUTED_VALUE"""),"KLEITON DOS SANTOS DURANS - Tecnólogo Logística")</f>
        <v>KLEITON DOS SANTOS DURANS - Tecnólogo Logística</v>
      </c>
    </row>
    <row r="932">
      <c r="A932" s="390" t="str">
        <f>IFERROR(__xludf.DUMMYFUNCTION("""COMPUTED_VALUE"""),"Dihego Feliciano da Silva - Tecnólogo Análise e Desenvolvimento de Sistemas")</f>
        <v>Dihego Feliciano da Silva - Tecnólogo Análise e Desenvolvimento de Sistemas</v>
      </c>
    </row>
    <row r="933">
      <c r="A933" s="390" t="str">
        <f>IFERROR(__xludf.DUMMYFUNCTION("""COMPUTED_VALUE"""),"Adriana de Araújo Costa Ferreira - Formação Livre Psicanálise")</f>
        <v>Adriana de Araújo Costa Ferreira - Formação Livre Psicanálise</v>
      </c>
    </row>
    <row r="934">
      <c r="A934" s="390" t="str">
        <f>IFERROR(__xludf.DUMMYFUNCTION("""COMPUTED_VALUE"""),"Franciele Siqueira dos Santos Cavalcante - Tecnólogo Estética e Cosmética")</f>
        <v>Franciele Siqueira dos Santos Cavalcante - Tecnólogo Estética e Cosmética</v>
      </c>
    </row>
    <row r="935">
      <c r="A935" s="390" t="str">
        <f>IFERROR(__xludf.DUMMYFUNCTION("""COMPUTED_VALUE"""),"Carla Domingues Fagundes - Tecnólogo Gestão do Esporte")</f>
        <v>Carla Domingues Fagundes - Tecnólogo Gestão do Esporte</v>
      </c>
    </row>
    <row r="936">
      <c r="A936" s="390" t="str">
        <f>IFERROR(__xludf.DUMMYFUNCTION("""COMPUTED_VALUE"""),"Evando Santos Silva - Bacharelado em Educação Física")</f>
        <v>Evando Santos Silva - Bacharelado em Educação Física</v>
      </c>
    </row>
    <row r="937">
      <c r="A937" s="390" t="str">
        <f>IFERROR(__xludf.DUMMYFUNCTION("""COMPUTED_VALUE"""),"Evando Santos Silva - Segunda Licenciatura Bacharelado EDUCAÇÃO FÍSICA 1600h")</f>
        <v>Evando Santos Silva - Segunda Licenciatura Bacharelado EDUCAÇÃO FÍSICA 1600h</v>
      </c>
    </row>
    <row r="938">
      <c r="A938" s="390" t="str">
        <f>IFERROR(__xludf.DUMMYFUNCTION("""COMPUTED_VALUE"""),"Evando Santos Silva - #SLUPI - SEGUNDA LICENCIATURA EM LETRAS – PORTUGUÊS E INGLÊS")</f>
        <v>Evando Santos Silva - #SLUPI - SEGUNDA LICENCIATURA EM LETRAS – PORTUGUÊS E INGLÊS</v>
      </c>
    </row>
    <row r="939">
      <c r="A939" s="390" t="str">
        <f>IFERROR(__xludf.DUMMYFUNCTION("""COMPUTED_VALUE"""),"María perpétua carvalho da silva - Tecnólogo Serviços Jurídicos")</f>
        <v>María perpétua carvalho da silva - Tecnólogo Serviços Jurídicos</v>
      </c>
    </row>
    <row r="940">
      <c r="A940" s="390" t="str">
        <f>IFERROR(__xludf.DUMMYFUNCTION("""COMPUTED_VALUE"""),"María perpétua carvalho da silva - Tecnólogo Estética e Cosmética")</f>
        <v>María perpétua carvalho da silva - Tecnólogo Estética e Cosmética</v>
      </c>
    </row>
    <row r="941">
      <c r="A941" s="390" t="str">
        <f>IFERROR(__xludf.DUMMYFUNCTION("""COMPUTED_VALUE"""),"Jessamini Micaiela Silva - #SLGA - Segunda Licenciatura em Geografia")</f>
        <v>Jessamini Micaiela Silva - #SLGA - Segunda Licenciatura em Geografia</v>
      </c>
    </row>
    <row r="942">
      <c r="A942" s="390" t="str">
        <f>IFERROR(__xludf.DUMMYFUNCTION("""COMPUTED_VALUE"""),"Soraia Maria Batista Andrade de Sousa - Pós-Graduação Terapia Cognitiva Comportamental")</f>
        <v>Soraia Maria Batista Andrade de Sousa - Pós-Graduação Terapia Cognitiva Comportamental</v>
      </c>
    </row>
    <row r="943">
      <c r="A943" s="390" t="str">
        <f>IFERROR(__xludf.DUMMYFUNCTION("""COMPUTED_VALUE"""),"Soraia Maria Batista Andrade de Sousa - # SLCRA - Segunda Licenciatura em Ciências da Religião")</f>
        <v>Soraia Maria Batista Andrade de Sousa - # SLCRA - Segunda Licenciatura em Ciências da Religião</v>
      </c>
    </row>
    <row r="944">
      <c r="A944" s="390" t="str">
        <f>IFERROR(__xludf.DUMMYFUNCTION("""COMPUTED_VALUE"""),"Soraia Maria Batista Andrade de Sousa - Pós-Graduação em Psicopedagogia Institucional e Clínica 710Horas")</f>
        <v>Soraia Maria Batista Andrade de Sousa - Pós-Graduação em Psicopedagogia Institucional e Clínica 710Horas</v>
      </c>
    </row>
    <row r="945">
      <c r="A945" s="390" t="str">
        <f>IFERROR(__xludf.DUMMYFUNCTION("""COMPUTED_VALUE"""),"Soraia Maria Batista Andrade de Sousa - Pós-Graduação em Neuropsicopedagogia Institucional, Clínica e Hospitalar 850h")</f>
        <v>Soraia Maria Batista Andrade de Sousa - Pós-Graduação em Neuropsicopedagogia Institucional, Clínica e Hospitalar 850h</v>
      </c>
    </row>
    <row r="946">
      <c r="A946" s="390" t="str">
        <f>IFERROR(__xludf.DUMMYFUNCTION("""COMPUTED_VALUE"""),"Soraia Maria Batista Andrade de Sousa - Pós-Graduação em Educação Especial e Inclusiva com Ênfase em Defiência Visual, Auditiva e Surdocegueira")</f>
        <v>Soraia Maria Batista Andrade de Sousa - Pós-Graduação em Educação Especial e Inclusiva com Ênfase em Defiência Visual, Auditiva e Surdocegueira</v>
      </c>
    </row>
    <row r="947">
      <c r="A947" s="390" t="str">
        <f>IFERROR(__xludf.DUMMYFUNCTION("""COMPUTED_VALUE"""),"Soraia Maria Batista Andrade de Sousa - Pós-Graduação Psicopedagogia Clínica, Institucional e Hospitalar")</f>
        <v>Soraia Maria Batista Andrade de Sousa - Pós-Graduação Psicopedagogia Clínica, Institucional e Hospitalar</v>
      </c>
    </row>
    <row r="948">
      <c r="A948" s="390" t="str">
        <f>IFERROR(__xludf.DUMMYFUNCTION("""COMPUTED_VALUE"""),"Soraia Maria Batista Andrade de Sousa - Capacitação em Neuropsicopedagogia")</f>
        <v>Soraia Maria Batista Andrade de Sousa - Capacitação em Neuropsicopedagogia</v>
      </c>
    </row>
    <row r="949">
      <c r="A949" s="390" t="str">
        <f>IFERROR(__xludf.DUMMYFUNCTION("""COMPUTED_VALUE"""),"Soraia Maria Batista Andrade de Sousa - #SLUC - SEGUNDA LICENCIATURA EM CIÊNCIAS DA RELIGIÃO- U")</f>
        <v>Soraia Maria Batista Andrade de Sousa - #SLUC - SEGUNDA LICENCIATURA EM CIÊNCIAS DA RELIGIÃO- U</v>
      </c>
    </row>
    <row r="950">
      <c r="A950" s="390" t="str">
        <f>IFERROR(__xludf.DUMMYFUNCTION("""COMPUTED_VALUE"""),"Leonardo Costa Xavier - Formação Livre Psicanálise")</f>
        <v>Leonardo Costa Xavier - Formação Livre Psicanálise</v>
      </c>
    </row>
    <row r="951">
      <c r="A951" s="390" t="str">
        <f>IFERROR(__xludf.DUMMYFUNCTION("""COMPUTED_VALUE"""),"Rosemeire Ramos Muniz - Tecnólogo Gestão Comercial")</f>
        <v>Rosemeire Ramos Muniz - Tecnólogo Gestão Comercial</v>
      </c>
    </row>
    <row r="952">
      <c r="A952" s="390" t="str">
        <f>IFERROR(__xludf.DUMMYFUNCTION("""COMPUTED_VALUE"""),"Leide Anne Brito de Castro Santos - #SLGA - Segunda Licenciatura em Geografia")</f>
        <v>Leide Anne Brito de Castro Santos - #SLGA - Segunda Licenciatura em Geografia</v>
      </c>
    </row>
    <row r="953">
      <c r="A953" s="390" t="str">
        <f>IFERROR(__xludf.DUMMYFUNCTION("""COMPUTED_VALUE"""),"Leide Anne Brito de Castro Santos - #SLUEF - Segunda Licenciatura em Educação Física")</f>
        <v>Leide Anne Brito de Castro Santos - #SLUEF - Segunda Licenciatura em Educação Física</v>
      </c>
    </row>
    <row r="954">
      <c r="A954" s="390" t="str">
        <f>IFERROR(__xludf.DUMMYFUNCTION("""COMPUTED_VALUE"""),"Leide Anne Brito de Castro Santos - PÓS-GRADUAÇÃO EM GESTÃO DE RECURSOS HUMANOS")</f>
        <v>Leide Anne Brito de Castro Santos - PÓS-GRADUAÇÃO EM GESTÃO DE RECURSOS HUMANOS</v>
      </c>
    </row>
    <row r="955">
      <c r="A955" s="390" t="str">
        <f>IFERROR(__xludf.DUMMYFUNCTION("""COMPUTED_VALUE"""),"Nivia Maria feliciano - Tecnólogo Gerontologia")</f>
        <v>Nivia Maria feliciano - Tecnólogo Gerontologia</v>
      </c>
    </row>
    <row r="956">
      <c r="A956" s="390" t="str">
        <f>IFERROR(__xludf.DUMMYFUNCTION("""COMPUTED_VALUE"""),"Ketura Ferlin de Araújo - Formação Livre em Terapia Cognitiva Comportamental")</f>
        <v>Ketura Ferlin de Araújo - Formação Livre em Terapia Cognitiva Comportamental</v>
      </c>
    </row>
    <row r="957">
      <c r="A957" s="390" t="str">
        <f>IFERROR(__xludf.DUMMYFUNCTION("""COMPUTED_VALUE"""),"Ketura Ferlin de Araújo - Formação Livre Psicanálise")</f>
        <v>Ketura Ferlin de Araújo - Formação Livre Psicanálise</v>
      </c>
    </row>
    <row r="958">
      <c r="A958" s="390" t="str">
        <f>IFERROR(__xludf.DUMMYFUNCTION("""COMPUTED_VALUE"""),"Bárbara da Fonseca Theobald - #SLAA - Segunda Licenciatura em Artes Visuais")</f>
        <v>Bárbara da Fonseca Theobald - #SLAA - Segunda Licenciatura em Artes Visuais</v>
      </c>
    </row>
    <row r="959">
      <c r="A959" s="390" t="str">
        <f>IFERROR(__xludf.DUMMYFUNCTION("""COMPUTED_VALUE"""),"Bárbara da Fonseca Theobald - Pós-Graduação em Ensino de Artes-2022")</f>
        <v>Bárbara da Fonseca Theobald - Pós-Graduação em Ensino de Artes-2022</v>
      </c>
    </row>
    <row r="960">
      <c r="A960" s="390" t="str">
        <f>IFERROR(__xludf.DUMMYFUNCTION("""COMPUTED_VALUE"""),"Jesiel Correa da Rosa - Formação Livre Psicanálise")</f>
        <v>Jesiel Correa da Rosa - Formação Livre Psicanálise</v>
      </c>
    </row>
    <row r="961">
      <c r="A961" s="390" t="str">
        <f>IFERROR(__xludf.DUMMYFUNCTION("""COMPUTED_VALUE"""),"Ana Alice de Rezende Fonseca Theobald - #SLAA - Segunda Licenciatura em Artes Visuais")</f>
        <v>Ana Alice de Rezende Fonseca Theobald - #SLAA - Segunda Licenciatura em Artes Visuais</v>
      </c>
    </row>
    <row r="962">
      <c r="A962" s="390" t="str">
        <f>IFERROR(__xludf.DUMMYFUNCTION("""COMPUTED_VALUE"""),"Ana Alice de Rezende Fonseca Theobald - Pós-Graduação em Ensino de Artes-2022")</f>
        <v>Ana Alice de Rezende Fonseca Theobald - Pós-Graduação em Ensino de Artes-2022</v>
      </c>
    </row>
    <row r="963">
      <c r="A963" s="390" t="str">
        <f>IFERROR(__xludf.DUMMYFUNCTION("""COMPUTED_VALUE"""),"Márcia Figueiredo Capistrano - Formação Livre Psicanálise")</f>
        <v>Márcia Figueiredo Capistrano - Formação Livre Psicanálise</v>
      </c>
    </row>
    <row r="964">
      <c r="A964" s="390" t="str">
        <f>IFERROR(__xludf.DUMMYFUNCTION("""COMPUTED_VALUE"""),"José Renato da Silva Júnior - Tecnólogo Gestão do Esporte")</f>
        <v>José Renato da Silva Júnior - Tecnólogo Gestão do Esporte</v>
      </c>
    </row>
    <row r="965">
      <c r="A965" s="390" t="str">
        <f>IFERROR(__xludf.DUMMYFUNCTION("""COMPUTED_VALUE"""),"Mel Santos Tessaro - Bacharelado em Psicopedagogia")</f>
        <v>Mel Santos Tessaro - Bacharelado em Psicopedagogia</v>
      </c>
    </row>
    <row r="966">
      <c r="A966" s="390" t="str">
        <f>IFERROR(__xludf.DUMMYFUNCTION("""COMPUTED_VALUE"""),"Mel Santos Tessaro - Pós-Graduação em Psicomotricidade e Educação Especial")</f>
        <v>Mel Santos Tessaro - Pós-Graduação em Psicomotricidade e Educação Especial</v>
      </c>
    </row>
    <row r="967">
      <c r="A967" s="390" t="str">
        <f>IFERROR(__xludf.DUMMYFUNCTION("""COMPUTED_VALUE"""),"Mel Santos Tessaro - Pós-Graduação em Psicomotricidade e Educação Especial")</f>
        <v>Mel Santos Tessaro - Pós-Graduação em Psicomotricidade e Educação Especial</v>
      </c>
    </row>
    <row r="968">
      <c r="A968" s="390" t="str">
        <f>IFERROR(__xludf.DUMMYFUNCTION("""COMPUTED_VALUE"""),"Mel Santos Tessaro - Pós-Graduação em Psicologia Educacional")</f>
        <v>Mel Santos Tessaro - Pós-Graduação em Psicologia Educacional</v>
      </c>
    </row>
    <row r="969">
      <c r="A969" s="390" t="str">
        <f>IFERROR(__xludf.DUMMYFUNCTION("""COMPUTED_VALUE"""),"Mel Santos Tessaro - Pós-Graduação em Psicologia Clínica")</f>
        <v>Mel Santos Tessaro - Pós-Graduação em Psicologia Clínica</v>
      </c>
    </row>
    <row r="970">
      <c r="A970" s="390" t="str">
        <f>IFERROR(__xludf.DUMMYFUNCTION("""COMPUTED_VALUE"""),"Mel Santos Tessaro - #FPT1-Pedagogia para Bacharéis e Tecnólogos (2022)")</f>
        <v>Mel Santos Tessaro - #FPT1-Pedagogia para Bacharéis e Tecnólogos (2022)</v>
      </c>
    </row>
    <row r="971">
      <c r="A971" s="390" t="str">
        <f>IFERROR(__xludf.DUMMYFUNCTION("""COMPUTED_VALUE"""),"Salomão Nogueira Damasceno - Formação Livre em Terapia Cognitiva Comportamental")</f>
        <v>Salomão Nogueira Damasceno - Formação Livre em Terapia Cognitiva Comportamental</v>
      </c>
    </row>
    <row r="972">
      <c r="A972" s="390" t="str">
        <f>IFERROR(__xludf.DUMMYFUNCTION("""COMPUTED_VALUE"""),"Salomão Nogueira Damasceno - Formação Livre Psicanálise")</f>
        <v>Salomão Nogueira Damasceno - Formação Livre Psicanálise</v>
      </c>
    </row>
    <row r="973">
      <c r="A973" s="390" t="str">
        <f>IFERROR(__xludf.DUMMYFUNCTION("""COMPUTED_VALUE"""),"Elineusa Cassimiro da Silva - Tecnólogo Gestão de Recursos Humanos")</f>
        <v>Elineusa Cassimiro da Silva - Tecnólogo Gestão de Recursos Humanos</v>
      </c>
    </row>
    <row r="974">
      <c r="A974" s="390" t="str">
        <f>IFERROR(__xludf.DUMMYFUNCTION("""COMPUTED_VALUE"""),"Heliomar do Carmo Rodrigues da Silva - Tecnólogo Gestão de Clínicas e Consultórios")</f>
        <v>Heliomar do Carmo Rodrigues da Silva - Tecnólogo Gestão de Clínicas e Consultórios</v>
      </c>
    </row>
    <row r="975">
      <c r="A975" s="390" t="str">
        <f>IFERROR(__xludf.DUMMYFUNCTION("""COMPUTED_VALUE"""),"ANDRESSA BERTON DE CARLI - Pós-Graduação em Musicoterapia")</f>
        <v>ANDRESSA BERTON DE CARLI - Pós-Graduação em Musicoterapia</v>
      </c>
    </row>
    <row r="976">
      <c r="A976" s="390" t="str">
        <f>IFERROR(__xludf.DUMMYFUNCTION("""COMPUTED_VALUE"""),"ANDRESSA BERTON DE CARLI - FORMAÇÃO PEDAGÓGICA EM MÚSICA - 2024")</f>
        <v>ANDRESSA BERTON DE CARLI - FORMAÇÃO PEDAGÓGICA EM MÚSICA - 2024</v>
      </c>
    </row>
    <row r="977">
      <c r="A977" s="390" t="str">
        <f>IFERROR(__xludf.DUMMYFUNCTION("""COMPUTED_VALUE"""),"Taciane Graziela Lopes da Silva D'Ávila - #SLHA - Segunda Licenciatura em História")</f>
        <v>Taciane Graziela Lopes da Silva D'Ávila - #SLHA - Segunda Licenciatura em História</v>
      </c>
    </row>
    <row r="978">
      <c r="A978" s="390" t="str">
        <f>IFERROR(__xludf.DUMMYFUNCTION("""COMPUTED_VALUE"""),"Adriana Simões Copelli - #SLGA - Segunda Licenciatura em Geografia")</f>
        <v>Adriana Simões Copelli - #SLGA - Segunda Licenciatura em Geografia</v>
      </c>
    </row>
    <row r="979">
      <c r="A979" s="390" t="str">
        <f>IFERROR(__xludf.DUMMYFUNCTION("""COMPUTED_VALUE"""),"Pedro Tiago Araujo - Tecnólogo Gestão Comercial")</f>
        <v>Pedro Tiago Araujo - Tecnólogo Gestão Comercial</v>
      </c>
    </row>
    <row r="980">
      <c r="A980" s="390" t="str">
        <f>IFERROR(__xludf.DUMMYFUNCTION("""COMPUTED_VALUE"""),"José Carlos Gomes - Tecnólogo Gestão de Serviços Jurídicos e Notariais")</f>
        <v>José Carlos Gomes - Tecnólogo Gestão de Serviços Jurídicos e Notariais</v>
      </c>
    </row>
    <row r="981">
      <c r="A981" s="390" t="str">
        <f>IFERROR(__xludf.DUMMYFUNCTION("""COMPUTED_VALUE"""),"Sandra Regina da Silva - #SLGA - Segunda Licenciatura em Geografia")</f>
        <v>Sandra Regina da Silva - #SLGA - Segunda Licenciatura em Geografia</v>
      </c>
    </row>
    <row r="982">
      <c r="A982" s="390" t="str">
        <f>IFERROR(__xludf.DUMMYFUNCTION("""COMPUTED_VALUE"""),"Hakson dos Santos Andrade - Bacharelado em Educação Física")</f>
        <v>Hakson dos Santos Andrade - Bacharelado em Educação Física</v>
      </c>
    </row>
    <row r="983">
      <c r="A983" s="390" t="str">
        <f>IFERROR(__xludf.DUMMYFUNCTION("""COMPUTED_VALUE"""),"Hengel Gabrielly Lopes Araujo - Tecnólogo Design de Interiores")</f>
        <v>Hengel Gabrielly Lopes Araujo - Tecnólogo Design de Interiores</v>
      </c>
    </row>
    <row r="984">
      <c r="A984" s="390" t="str">
        <f>IFERROR(__xludf.DUMMYFUNCTION("""COMPUTED_VALUE"""),"Antonia Zilda da Silva Sampaio - Tecnólogo Gestão da Tecnologia da Informação")</f>
        <v>Antonia Zilda da Silva Sampaio - Tecnólogo Gestão da Tecnologia da Informação</v>
      </c>
    </row>
    <row r="985">
      <c r="A985" s="390" t="str">
        <f>IFERROR(__xludf.DUMMYFUNCTION("""COMPUTED_VALUE"""),"Milena Rosana de Borba Tavares - Pós-Graduação em Psicanálise")</f>
        <v>Milena Rosana de Borba Tavares - Pós-Graduação em Psicanálise</v>
      </c>
    </row>
    <row r="986">
      <c r="A986" s="390" t="str">
        <f>IFERROR(__xludf.DUMMYFUNCTION("""COMPUTED_VALUE"""),"JONATHAN FELIPE BRESSAN - #FPEEF- Formação Pedagógica Educação Física")</f>
        <v>JONATHAN FELIPE BRESSAN - #FPEEF- Formação Pedagógica Educação Física</v>
      </c>
    </row>
    <row r="987">
      <c r="A987" s="390" t="str">
        <f>IFERROR(__xludf.DUMMYFUNCTION("""COMPUTED_VALUE"""),"JONATHAN FELIPE BRESSAN - Pós-Graduação em Educação Física Escolar")</f>
        <v>JONATHAN FELIPE BRESSAN - Pós-Graduação em Educação Física Escolar</v>
      </c>
    </row>
    <row r="988">
      <c r="A988" s="390" t="str">
        <f>IFERROR(__xludf.DUMMYFUNCTION("""COMPUTED_VALUE"""),"Hugo de Souza Machado - Formação Pedagógica em Filosofia")</f>
        <v>Hugo de Souza Machado - Formação Pedagógica em Filosofia</v>
      </c>
    </row>
    <row r="989">
      <c r="A989" s="390" t="str">
        <f>IFERROR(__xludf.DUMMYFUNCTION("""COMPUTED_VALUE"""),"Hugo de Souza Machado - Pós-Graduação MBA GESTÃO DA PRODUÇÃO 840h")</f>
        <v>Hugo de Souza Machado - Pós-Graduação MBA GESTÃO DA PRODUÇÃO 840h</v>
      </c>
    </row>
    <row r="990">
      <c r="A990" s="390" t="str">
        <f>IFERROR(__xludf.DUMMYFUNCTION("""COMPUTED_VALUE"""),"Sandra Regina da Silva - #SLGA - Segunda Licenciatura em Geografia")</f>
        <v>Sandra Regina da Silva - #SLGA - Segunda Licenciatura em Geografia</v>
      </c>
    </row>
    <row r="991">
      <c r="A991" s="390" t="str">
        <f>IFERROR(__xludf.DUMMYFUNCTION("""COMPUTED_VALUE"""),"Adriana de Lima santos - Tecnólogo Psicomotricidade e Ludicidade na Educação Infantil")</f>
        <v>Adriana de Lima santos - Tecnólogo Psicomotricidade e Ludicidade na Educação Infantil</v>
      </c>
    </row>
    <row r="992">
      <c r="A992" s="390" t="str">
        <f>IFERROR(__xludf.DUMMYFUNCTION("""COMPUTED_VALUE"""),"Adriana de Lima santos - Tecnólogo Segurança Pública")</f>
        <v>Adriana de Lima santos - Tecnólogo Segurança Pública</v>
      </c>
    </row>
    <row r="993">
      <c r="A993" s="390" t="str">
        <f>IFERROR(__xludf.DUMMYFUNCTION("""COMPUTED_VALUE"""),"Eliene Ferreira de Moura Silva - Tecnólogo Gestão de Recursos Humanos")</f>
        <v>Eliene Ferreira de Moura Silva - Tecnólogo Gestão de Recursos Humanos</v>
      </c>
    </row>
    <row r="994">
      <c r="A994" s="390" t="str">
        <f>IFERROR(__xludf.DUMMYFUNCTION("""COMPUTED_VALUE"""),"Gilvan Santos Mendes - Bacharelado em Educação Física")</f>
        <v>Gilvan Santos Mendes - Bacharelado em Educação Física</v>
      </c>
    </row>
    <row r="995">
      <c r="A995" s="390" t="str">
        <f>IFERROR(__xludf.DUMMYFUNCTION("""COMPUTED_VALUE"""),"Gilvan Santos Mendes - Pós-Graduação tutoria em educação a distância")</f>
        <v>Gilvan Santos Mendes - Pós-Graduação tutoria em educação a distância</v>
      </c>
    </row>
    <row r="996">
      <c r="A996" s="390" t="str">
        <f>IFERROR(__xludf.DUMMYFUNCTION("""COMPUTED_VALUE"""),"Gilvan Santos Mendes - Bacharelado em Educação Física")</f>
        <v>Gilvan Santos Mendes - Bacharelado em Educação Física</v>
      </c>
    </row>
    <row r="997">
      <c r="A997" s="390" t="str">
        <f>IFERROR(__xludf.DUMMYFUNCTION("""COMPUTED_VALUE"""),"Flávia Aparecida Leandro - Pós-Graduação em Musicoterapia")</f>
        <v>Flávia Aparecida Leandro - Pós-Graduação em Musicoterapia</v>
      </c>
    </row>
    <row r="998">
      <c r="A998" s="390" t="str">
        <f>IFERROR(__xludf.DUMMYFUNCTION("""COMPUTED_VALUE"""),"Flávia Aparecida Leandro - #SLMF - Segunda Licenciatura em Música 1320Horas")</f>
        <v>Flávia Aparecida Leandro - #SLMF - Segunda Licenciatura em Música 1320Horas</v>
      </c>
    </row>
    <row r="999">
      <c r="A999" s="390" t="str">
        <f>IFERROR(__xludf.DUMMYFUNCTION("""COMPUTED_VALUE"""),"Jessé Lopes Procópio - Pós-Graduação em Engenharia Ambiental e Energias Renováveis")</f>
        <v>Jessé Lopes Procópio - Pós-Graduação em Engenharia Ambiental e Energias Renováveis</v>
      </c>
    </row>
    <row r="1000">
      <c r="A1000" s="390" t="str">
        <f>IFERROR(__xludf.DUMMYFUNCTION("""COMPUTED_VALUE"""),"Jessé Lopes Procópio - Pós-Graduação em Engenharia da Qualidade")</f>
        <v>Jessé Lopes Procópio - Pós-Graduação em Engenharia da Qualidade</v>
      </c>
    </row>
    <row r="1001">
      <c r="A1001" s="390" t="str">
        <f>IFERROR(__xludf.DUMMYFUNCTION("""COMPUTED_VALUE"""),"Jessé Lopes Procópio - Capacitação Engenharia de Gerenciamento de Projetos")</f>
        <v>Jessé Lopes Procópio - Capacitação Engenharia de Gerenciamento de Projetos</v>
      </c>
    </row>
    <row r="1002">
      <c r="A1002" s="390" t="str">
        <f>IFERROR(__xludf.DUMMYFUNCTION("""COMPUTED_VALUE"""),"Jessé Lopes Procópio - Capacitação Engenharia de Suprimentos")</f>
        <v>Jessé Lopes Procópio - Capacitação Engenharia de Suprimentos</v>
      </c>
    </row>
    <row r="1003">
      <c r="A1003" s="390" t="str">
        <f>IFERROR(__xludf.DUMMYFUNCTION("""COMPUTED_VALUE"""),"Jessé Lopes Procópio - Capacitação Engenharia de indústria 4.0")</f>
        <v>Jessé Lopes Procópio - Capacitação Engenharia de indústria 4.0</v>
      </c>
    </row>
    <row r="1004">
      <c r="A1004" s="390" t="str">
        <f>IFERROR(__xludf.DUMMYFUNCTION("""COMPUTED_VALUE"""),"Jessé Lopes Procópio - Capacitação Engenharia de Produção")</f>
        <v>Jessé Lopes Procópio - Capacitação Engenharia de Produção</v>
      </c>
    </row>
    <row r="1005">
      <c r="A1005" s="390" t="str">
        <f>IFERROR(__xludf.DUMMYFUNCTION("""COMPUTED_VALUE"""),"Norma Denise Macedo De Paula - Formação Pedagógica em Artes Visuais")</f>
        <v>Norma Denise Macedo De Paula - Formação Pedagógica em Artes Visuais</v>
      </c>
    </row>
    <row r="1006">
      <c r="A1006" s="390" t="str">
        <f>IFERROR(__xludf.DUMMYFUNCTION("""COMPUTED_VALUE"""),"Diógenes Almeida Queiroz Diógenes Segundo - Formação Pedagógica em Artes Visuais")</f>
        <v>Diógenes Almeida Queiroz Diógenes Segundo - Formação Pedagógica em Artes Visuais</v>
      </c>
    </row>
    <row r="1007">
      <c r="A1007" s="390" t="str">
        <f>IFERROR(__xludf.DUMMYFUNCTION("""COMPUTED_VALUE"""),"Diógenes Almeida Queiroz Diógenes Segundo - #SLP22- Segunda Licenciatura em Pedagogia")</f>
        <v>Diógenes Almeida Queiroz Diógenes Segundo - #SLP22- Segunda Licenciatura em Pedagogia</v>
      </c>
    </row>
    <row r="1008">
      <c r="A1008" s="390" t="str">
        <f>IFERROR(__xludf.DUMMYFUNCTION("""COMPUTED_VALUE"""),"Alexandre de Andrade Silva - Tecnólogo Marketing Digital")</f>
        <v>Alexandre de Andrade Silva - Tecnólogo Marketing Digital</v>
      </c>
    </row>
    <row r="1009">
      <c r="A1009" s="390" t="str">
        <f>IFERROR(__xludf.DUMMYFUNCTION("""COMPUTED_VALUE"""),"Mauricio Fernando dos Santos Imbroisi - Tecnólogo Psicomotricidade e Ludicidade na Educação Infantil")</f>
        <v>Mauricio Fernando dos Santos Imbroisi - Tecnólogo Psicomotricidade e Ludicidade na Educação Infantil</v>
      </c>
    </row>
    <row r="1010">
      <c r="A1010" s="390" t="str">
        <f>IFERROR(__xludf.DUMMYFUNCTION("""COMPUTED_VALUE"""),"Caroline Emanuelle Silva Cardoso - #SLAA - Segunda Licenciatura em Artes Visuais")</f>
        <v>Caroline Emanuelle Silva Cardoso - #SLAA - Segunda Licenciatura em Artes Visuais</v>
      </c>
    </row>
    <row r="1011">
      <c r="A1011" s="390" t="str">
        <f>IFERROR(__xludf.DUMMYFUNCTION("""COMPUTED_VALUE"""),"Silvana Maria de Souza Monteiro - Tecnólogo Estética e Cosmética")</f>
        <v>Silvana Maria de Souza Monteiro - Tecnólogo Estética e Cosmética</v>
      </c>
    </row>
    <row r="1012">
      <c r="A1012" s="390" t="str">
        <f>IFERROR(__xludf.DUMMYFUNCTION("""COMPUTED_VALUE"""),"DANIELE SANTOS DA SILVA MARINHO - #SLCBA - Segunda Licenciatura em Ciências Biológicas")</f>
        <v>DANIELE SANTOS DA SILVA MARINHO - #SLCBA - Segunda Licenciatura em Ciências Biológicas</v>
      </c>
    </row>
    <row r="1013">
      <c r="A1013" s="390" t="str">
        <f>IFERROR(__xludf.DUMMYFUNCTION("""COMPUTED_VALUE"""),"Vandilza de Oliveira Santos - Tecnólogo Mediação, Conciliação e Arbitragem")</f>
        <v>Vandilza de Oliveira Santos - Tecnólogo Mediação, Conciliação e Arbitragem</v>
      </c>
    </row>
    <row r="1014">
      <c r="A1014" s="390" t="str">
        <f>IFERROR(__xludf.DUMMYFUNCTION("""COMPUTED_VALUE"""),"Luiz Carlos Correia da Silva - Tecnólogo Empreendedorismo Educacional")</f>
        <v>Luiz Carlos Correia da Silva - Tecnólogo Empreendedorismo Educacional</v>
      </c>
    </row>
    <row r="1015">
      <c r="A1015" s="390" t="str">
        <f>IFERROR(__xludf.DUMMYFUNCTION("""COMPUTED_VALUE"""),"Jefferson kristhiano Santos - Tecnólogo Segurança no Trabalho")</f>
        <v>Jefferson kristhiano Santos - Tecnólogo Segurança no Trabalho</v>
      </c>
    </row>
    <row r="1016">
      <c r="A1016" s="390" t="str">
        <f>IFERROR(__xludf.DUMMYFUNCTION("""COMPUTED_VALUE"""),"EDUARDO DA SILVA DO ESPIRITO SANTO - Tecnólogo Gestão Comercial")</f>
        <v>EDUARDO DA SILVA DO ESPIRITO SANTO - Tecnólogo Gestão Comercial</v>
      </c>
    </row>
    <row r="1017">
      <c r="A1017" s="390" t="str">
        <f>IFERROR(__xludf.DUMMYFUNCTION("""COMPUTED_VALUE"""),"Leidy Soares da Silva Silva - Tecnólogo Estética e Cosmética")</f>
        <v>Leidy Soares da Silva Silva - Tecnólogo Estética e Cosmética</v>
      </c>
    </row>
    <row r="1018">
      <c r="A1018" s="390" t="str">
        <f>IFERROR(__xludf.DUMMYFUNCTION("""COMPUTED_VALUE"""),"Clara Rangel Melo - Tecnólogo Serviços Penais")</f>
        <v>Clara Rangel Melo - Tecnólogo Serviços Penais</v>
      </c>
    </row>
    <row r="1019">
      <c r="A1019" s="390" t="str">
        <f>IFERROR(__xludf.DUMMYFUNCTION("""COMPUTED_VALUE"""),"Clara Rangel Melo - Tecnólogo Gestão de Segurança Privada")</f>
        <v>Clara Rangel Melo - Tecnólogo Gestão de Segurança Privada</v>
      </c>
    </row>
    <row r="1020">
      <c r="A1020" s="390" t="str">
        <f>IFERROR(__xludf.DUMMYFUNCTION("""COMPUTED_VALUE"""),"Carlos Edinei de Oliveira - Formação Pedagógica em Artes Visuais")</f>
        <v>Carlos Edinei de Oliveira - Formação Pedagógica em Artes Visuais</v>
      </c>
    </row>
    <row r="1021">
      <c r="A1021" s="390" t="str">
        <f>IFERROR(__xludf.DUMMYFUNCTION("""COMPUTED_VALUE"""),"José Gilberto Custódio Júnior - Tecnólogo Gestão Comercial")</f>
        <v>José Gilberto Custódio Júnior - Tecnólogo Gestão Comercial</v>
      </c>
    </row>
    <row r="1022">
      <c r="A1022" s="390" t="str">
        <f>IFERROR(__xludf.DUMMYFUNCTION("""COMPUTED_VALUE"""),"Maylson Renan Antonio Oliveira - #SLAA - Segunda Licenciatura em Artes Visuais")</f>
        <v>Maylson Renan Antonio Oliveira - #SLAA - Segunda Licenciatura em Artes Visuais</v>
      </c>
    </row>
    <row r="1023">
      <c r="A1023" s="390" t="str">
        <f>IFERROR(__xludf.DUMMYFUNCTION("""COMPUTED_VALUE"""),"Valéria Coelho dos Santos - #SLEEA - Segunda Licenciatura em Educação Especial")</f>
        <v>Valéria Coelho dos Santos - #SLEEA - Segunda Licenciatura em Educação Especial</v>
      </c>
    </row>
    <row r="1024">
      <c r="A1024" s="390" t="str">
        <f>IFERROR(__xludf.DUMMYFUNCTION("""COMPUTED_VALUE"""),"Carla Ione Arruda de sousa C - Formação Pedagógica em Artes Visuais")</f>
        <v>Carla Ione Arruda de sousa C - Formação Pedagógica em Artes Visuais</v>
      </c>
    </row>
    <row r="1025">
      <c r="A1025" s="390" t="str">
        <f>IFERROR(__xludf.DUMMYFUNCTION("""COMPUTED_VALUE"""),"Marcos santos de souza - Tecnólogo Segurança no Trabalho")</f>
        <v>Marcos santos de souza - Tecnólogo Segurança no Trabalho</v>
      </c>
    </row>
    <row r="1026">
      <c r="A1026" s="390" t="str">
        <f>IFERROR(__xludf.DUMMYFUNCTION("""COMPUTED_VALUE"""),"vanderlei nunes dos santos - Formação Pedagogica em Geografia")</f>
        <v>vanderlei nunes dos santos - Formação Pedagogica em Geografia</v>
      </c>
    </row>
    <row r="1027">
      <c r="A1027" s="390" t="str">
        <f>IFERROR(__xludf.DUMMYFUNCTION("""COMPUTED_VALUE"""),"Ketiane Aparecida Garcia Polo - Tecnólogo Gestão de Recursos Humanos")</f>
        <v>Ketiane Aparecida Garcia Polo - Tecnólogo Gestão de Recursos Humanos</v>
      </c>
    </row>
    <row r="1028">
      <c r="A1028" s="390" t="str">
        <f>IFERROR(__xludf.DUMMYFUNCTION("""COMPUTED_VALUE"""),"Maria Cristina Gerber - Formação Livre Psicanálise")</f>
        <v>Maria Cristina Gerber - Formação Livre Psicanálise</v>
      </c>
    </row>
    <row r="1029">
      <c r="A1029" s="390" t="str">
        <f>IFERROR(__xludf.DUMMYFUNCTION("""COMPUTED_VALUE"""),"FRANCISCO AUGUSTO SOARES LIMA - Bacharelado em Psicopedagogia")</f>
        <v>FRANCISCO AUGUSTO SOARES LIMA - Bacharelado em Psicopedagogia</v>
      </c>
    </row>
    <row r="1030">
      <c r="A1030" s="390" t="str">
        <f>IFERROR(__xludf.DUMMYFUNCTION("""COMPUTED_VALUE"""),"FRANCISCA LUCIANE DA SILVA - Bacharelado em Psicopedagogia")</f>
        <v>FRANCISCA LUCIANE DA SILVA - Bacharelado em Psicopedagogia</v>
      </c>
    </row>
    <row r="1031">
      <c r="A1031" s="390" t="str">
        <f>IFERROR(__xludf.DUMMYFUNCTION("""COMPUTED_VALUE"""),"Tainara Gabriele back - #SLFA  - Segunda Licenciatura em Filosofia")</f>
        <v>Tainara Gabriele back - #SLFA  - Segunda Licenciatura em Filosofia</v>
      </c>
    </row>
    <row r="1032">
      <c r="A1032" s="390" t="str">
        <f>IFERROR(__xludf.DUMMYFUNCTION("""COMPUTED_VALUE"""),"JUAREZ COSTA DE ALMEIDA - #SLLLA - Segunda Licenciatura em Letras - Libras")</f>
        <v>JUAREZ COSTA DE ALMEIDA - #SLLLA - Segunda Licenciatura em Letras - Libras</v>
      </c>
    </row>
    <row r="1033">
      <c r="A1033" s="390" t="str">
        <f>IFERROR(__xludf.DUMMYFUNCTION("""COMPUTED_VALUE"""),"Graziela Celeste Salazar Maureira - Formação Livre Psicanálise")</f>
        <v>Graziela Celeste Salazar Maureira - Formação Livre Psicanálise</v>
      </c>
    </row>
    <row r="1034">
      <c r="A1034" s="390" t="str">
        <f>IFERROR(__xludf.DUMMYFUNCTION("""COMPUTED_VALUE"""),"Graziela Celeste Salazar Maureira - Formação Livre em Psicanálise-2022")</f>
        <v>Graziela Celeste Salazar Maureira - Formação Livre em Psicanálise-2022</v>
      </c>
    </row>
    <row r="1035">
      <c r="A1035" s="390" t="str">
        <f>IFERROR(__xludf.DUMMYFUNCTION("""COMPUTED_VALUE"""),"Graciele Moreira Barbosa - Bacharelado em Educação Física")</f>
        <v>Graciele Moreira Barbosa - Bacharelado em Educação Física</v>
      </c>
    </row>
    <row r="1036">
      <c r="A1036" s="390" t="str">
        <f>IFERROR(__xludf.DUMMYFUNCTION("""COMPUTED_VALUE"""),"David Francisco França Lima - Bacharelado em Educação Física")</f>
        <v>David Francisco França Lima - Bacharelado em Educação Física</v>
      </c>
    </row>
    <row r="1037">
      <c r="A1037" s="390" t="str">
        <f>IFERROR(__xludf.DUMMYFUNCTION("""COMPUTED_VALUE"""),"gesemilson alves de menezes - Tecnólogo Mediação, Conciliação e Arbitragem")</f>
        <v>gesemilson alves de menezes - Tecnólogo Mediação, Conciliação e Arbitragem</v>
      </c>
    </row>
    <row r="1038">
      <c r="A1038" s="390" t="str">
        <f>IFERROR(__xludf.DUMMYFUNCTION("""COMPUTED_VALUE"""),"Rafael de Oliveira Orlof - #SLFA  - Segunda Licenciatura em Filosofia")</f>
        <v>Rafael de Oliveira Orlof - #SLFA  - Segunda Licenciatura em Filosofia</v>
      </c>
    </row>
    <row r="1039">
      <c r="A1039" s="390" t="str">
        <f>IFERROR(__xludf.DUMMYFUNCTION("""COMPUTED_VALUE"""),"Rafael de Oliveira Orlof - #SLUF- Segunda Licenciatura em Filosofia")</f>
        <v>Rafael de Oliveira Orlof - #SLUF- Segunda Licenciatura em Filosofia</v>
      </c>
    </row>
    <row r="1040">
      <c r="A1040" s="390" t="str">
        <f>IFERROR(__xludf.DUMMYFUNCTION("""COMPUTED_VALUE"""),"Rafael de Oliveira Orlof - #SLMF - Segunda Licenciatura em Música 1320Horas")</f>
        <v>Rafael de Oliveira Orlof - #SLMF - Segunda Licenciatura em Música 1320Horas</v>
      </c>
    </row>
    <row r="1041">
      <c r="A1041" s="390" t="str">
        <f>IFERROR(__xludf.DUMMYFUNCTION("""COMPUTED_VALUE"""),"Lucineia Oliveira Amorim dos Santos - #SLGA - Segunda Licenciatura em Geografia")</f>
        <v>Lucineia Oliveira Amorim dos Santos - #SLGA - Segunda Licenciatura em Geografia</v>
      </c>
    </row>
    <row r="1042">
      <c r="A1042" s="390" t="str">
        <f>IFERROR(__xludf.DUMMYFUNCTION("""COMPUTED_VALUE"""),"Nádia Maria Dorneles - #SLGA - Segunda Licenciatura em Geografia")</f>
        <v>Nádia Maria Dorneles - #SLGA - Segunda Licenciatura em Geografia</v>
      </c>
    </row>
    <row r="1043">
      <c r="A1043" s="390" t="str">
        <f>IFERROR(__xludf.DUMMYFUNCTION("""COMPUTED_VALUE"""),"Nádia Maria Dorneles - Pós-Graduação em Psicopedagogia Escolar")</f>
        <v>Nádia Maria Dorneles - Pós-Graduação em Psicopedagogia Escolar</v>
      </c>
    </row>
    <row r="1044">
      <c r="A1044" s="390" t="str">
        <f>IFERROR(__xludf.DUMMYFUNCTION("""COMPUTED_VALUE"""),"Nádia Maria Dorneles - #SLUG - SEGUNDA LICENCIATURA EM GEOGRAFIA")</f>
        <v>Nádia Maria Dorneles - #SLUG - SEGUNDA LICENCIATURA EM GEOGRAFIA</v>
      </c>
    </row>
    <row r="1045">
      <c r="A1045" s="390" t="str">
        <f>IFERROR(__xludf.DUMMYFUNCTION("""COMPUTED_VALUE"""),"Carla Oliveira - Formação Livre Psicanálise")</f>
        <v>Carla Oliveira - Formação Livre Psicanálise</v>
      </c>
    </row>
    <row r="1046">
      <c r="A1046" s="390" t="str">
        <f>IFERROR(__xludf.DUMMYFUNCTION("""COMPUTED_VALUE"""),"Ricardo Daher Oliveira - Formação Pedagógica em Filosofia")</f>
        <v>Ricardo Daher Oliveira - Formação Pedagógica em Filosofia</v>
      </c>
    </row>
    <row r="1047">
      <c r="A1047" s="390" t="str">
        <f>IFERROR(__xludf.DUMMYFUNCTION("""COMPUTED_VALUE"""),"Gleydson Cálio Cavalcante Alves - Formação Pedagógica em Artes Visuais")</f>
        <v>Gleydson Cálio Cavalcante Alves - Formação Pedagógica em Artes Visuais</v>
      </c>
    </row>
    <row r="1048">
      <c r="A1048" s="390" t="str">
        <f>IFERROR(__xludf.DUMMYFUNCTION("""COMPUTED_VALUE"""),"Rafael de Oliveira Orlof - #SLFA  - Segunda Licenciatura em Filosofia")</f>
        <v>Rafael de Oliveira Orlof - #SLFA  - Segunda Licenciatura em Filosofia</v>
      </c>
    </row>
    <row r="1049">
      <c r="A1049" s="390" t="str">
        <f>IFERROR(__xludf.DUMMYFUNCTION("""COMPUTED_VALUE"""),"Carmem Lúcia Rodrigues Ramos - #SLAA - Segunda Licenciatura em Artes Visuais")</f>
        <v>Carmem Lúcia Rodrigues Ramos - #SLAA - Segunda Licenciatura em Artes Visuais</v>
      </c>
    </row>
    <row r="1050">
      <c r="A1050" s="390" t="str">
        <f>IFERROR(__xludf.DUMMYFUNCTION("""COMPUTED_VALUE"""),"Carmem Lúcia Rodrigues Ramos - #SLUA- Segunda Licenciatura em Artes Visuais")</f>
        <v>Carmem Lúcia Rodrigues Ramos - #SLUA- Segunda Licenciatura em Artes Visuais</v>
      </c>
    </row>
    <row r="1051">
      <c r="A1051" s="390" t="str">
        <f>IFERROR(__xludf.DUMMYFUNCTION("""COMPUTED_VALUE"""),"Luis Eduardo Lima Rêgo - Bacharelado em Educação Física")</f>
        <v>Luis Eduardo Lima Rêgo - Bacharelado em Educação Física</v>
      </c>
    </row>
    <row r="1052">
      <c r="A1052" s="390" t="str">
        <f>IFERROR(__xludf.DUMMYFUNCTION("""COMPUTED_VALUE"""),"Cristian de Jesus Pereira - Tecnólogo Design Gráfico")</f>
        <v>Cristian de Jesus Pereira - Tecnólogo Design Gráfico</v>
      </c>
    </row>
    <row r="1053">
      <c r="A1053" s="390" t="str">
        <f>IFERROR(__xludf.DUMMYFUNCTION("""COMPUTED_VALUE"""),"Meirelane Aparecida Fonseca Franco - Pós-Graduação Terapia Cognitiva Comportamental")</f>
        <v>Meirelane Aparecida Fonseca Franco - Pós-Graduação Terapia Cognitiva Comportamental</v>
      </c>
    </row>
    <row r="1054">
      <c r="A1054" s="390" t="str">
        <f>IFERROR(__xludf.DUMMYFUNCTION("""COMPUTED_VALUE"""),"Larah Pedro Forte - #FPEEF- Formação Pedagógica Educação Física")</f>
        <v>Larah Pedro Forte - #FPEEF- Formação Pedagógica Educação Física</v>
      </c>
    </row>
    <row r="1055">
      <c r="A1055" s="390" t="str">
        <f>IFERROR(__xludf.DUMMYFUNCTION("""COMPUTED_VALUE"""),"Irandir Jairo Gonçalves de Oliveira - Bacharelado em Educação Física")</f>
        <v>Irandir Jairo Gonçalves de Oliveira - Bacharelado em Educação Física</v>
      </c>
    </row>
    <row r="1056">
      <c r="A1056" s="390" t="str">
        <f>IFERROR(__xludf.DUMMYFUNCTION("""COMPUTED_VALUE"""),"Jessica May Araújo Santos Pimentel - Tecnólogo Gestão Hospitalar")</f>
        <v>Jessica May Araújo Santos Pimentel - Tecnólogo Gestão Hospitalar</v>
      </c>
    </row>
    <row r="1057">
      <c r="A1057" s="390" t="str">
        <f>IFERROR(__xludf.DUMMYFUNCTION("""COMPUTED_VALUE"""),"Adriana Tezza Tamassia - #SLAA - Segunda Licenciatura em Artes Visuais")</f>
        <v>Adriana Tezza Tamassia - #SLAA - Segunda Licenciatura em Artes Visuais</v>
      </c>
    </row>
    <row r="1058">
      <c r="A1058" s="390" t="str">
        <f>IFERROR(__xludf.DUMMYFUNCTION("""COMPUTED_VALUE"""),"Yuri Gabriel Dos Santos De Amorim - Tecnólogo Gestão Pública")</f>
        <v>Yuri Gabriel Dos Santos De Amorim - Tecnólogo Gestão Pública</v>
      </c>
    </row>
    <row r="1059">
      <c r="A1059" s="390" t="str">
        <f>IFERROR(__xludf.DUMMYFUNCTION("""COMPUTED_VALUE"""),"Lais Zancan dos santos - Tecnólogo Estética e Cosmética")</f>
        <v>Lais Zancan dos santos - Tecnólogo Estética e Cosmética</v>
      </c>
    </row>
    <row r="1060">
      <c r="A1060" s="390" t="str">
        <f>IFERROR(__xludf.DUMMYFUNCTION("""COMPUTED_VALUE"""),"Gustavo da Fonseca - Bacharelado em Educação Física")</f>
        <v>Gustavo da Fonseca - Bacharelado em Educação Física</v>
      </c>
    </row>
    <row r="1061">
      <c r="A1061" s="390" t="str">
        <f>IFERROR(__xludf.DUMMYFUNCTION("""COMPUTED_VALUE"""),"Gustavo da Fonseca - Pós-Graduação em Nutrição Dietética")</f>
        <v>Gustavo da Fonseca - Pós-Graduação em Nutrição Dietética</v>
      </c>
    </row>
    <row r="1062">
      <c r="A1062" s="390" t="str">
        <f>IFERROR(__xludf.DUMMYFUNCTION("""COMPUTED_VALUE"""),"Gustavo da Fonseca - Pós-Graduação em Psicanálise")</f>
        <v>Gustavo da Fonseca - Pós-Graduação em Psicanálise</v>
      </c>
    </row>
    <row r="1063">
      <c r="A1063" s="390" t="str">
        <f>IFERROR(__xludf.DUMMYFUNCTION("""COMPUTED_VALUE"""),"Marcos Antônio Diniz - Bacharelado em Psicopedagogia")</f>
        <v>Marcos Antônio Diniz - Bacharelado em Psicopedagogia</v>
      </c>
    </row>
    <row r="1064">
      <c r="A1064" s="390" t="str">
        <f>IFERROR(__xludf.DUMMYFUNCTION("""COMPUTED_VALUE"""),"Angélica Machado Gomes Mothe - Tecnólogo Estética e Cosmética")</f>
        <v>Angélica Machado Gomes Mothe - Tecnólogo Estética e Cosmética</v>
      </c>
    </row>
    <row r="1065">
      <c r="A1065" s="390" t="str">
        <f>IFERROR(__xludf.DUMMYFUNCTION("""COMPUTED_VALUE"""),"Ana Carolina Cruz - Tecnólogo Educador Social")</f>
        <v>Ana Carolina Cruz - Tecnólogo Educador Social</v>
      </c>
    </row>
    <row r="1066">
      <c r="A1066" s="390" t="str">
        <f>IFERROR(__xludf.DUMMYFUNCTION("""COMPUTED_VALUE"""),"Vinicius Figueiredo Santos - #FPEEF- Formação Pedagógica Educação Física")</f>
        <v>Vinicius Figueiredo Santos - #FPEEF- Formação Pedagógica Educação Física</v>
      </c>
    </row>
    <row r="1067">
      <c r="A1067" s="390" t="str">
        <f>IFERROR(__xludf.DUMMYFUNCTION("""COMPUTED_VALUE"""),"Vinicius Figueiredo Santos - Pós-Graduação em Educação Física Escolar")</f>
        <v>Vinicius Figueiredo Santos - Pós-Graduação em Educação Física Escolar</v>
      </c>
    </row>
    <row r="1068">
      <c r="A1068" s="390" t="str">
        <f>IFERROR(__xludf.DUMMYFUNCTION("""COMPUTED_VALUE"""),"Junio Randolfo Silva Fernandes - Tecnólogo Design Gráfico")</f>
        <v>Junio Randolfo Silva Fernandes - Tecnólogo Design Gráfico</v>
      </c>
    </row>
    <row r="1069">
      <c r="A1069" s="390" t="str">
        <f>IFERROR(__xludf.DUMMYFUNCTION("""COMPUTED_VALUE"""),"Robine Gomes de Oliveira Figueira - Formação Livre Psicanálise")</f>
        <v>Robine Gomes de Oliveira Figueira - Formação Livre Psicanálise</v>
      </c>
    </row>
    <row r="1070">
      <c r="A1070" s="390" t="str">
        <f>IFERROR(__xludf.DUMMYFUNCTION("""COMPUTED_VALUE"""),"Lucas Rafael Silva moreno - Formação Pedagógica História")</f>
        <v>Lucas Rafael Silva moreno - Formação Pedagógica História</v>
      </c>
    </row>
    <row r="1071">
      <c r="A1071" s="390" t="str">
        <f>IFERROR(__xludf.DUMMYFUNCTION("""COMPUTED_VALUE"""),"Lucas Rafael Silva moreno - #FPUH- Formação Pedagógica em História")</f>
        <v>Lucas Rafael Silva moreno - #FPUH- Formação Pedagógica em História</v>
      </c>
    </row>
    <row r="1072">
      <c r="A1072" s="390" t="str">
        <f>IFERROR(__xludf.DUMMYFUNCTION("""COMPUTED_VALUE"""),"Ana Lúbia Carvalho de Oliveira Vieira - Tecnólogo Serviços Penais")</f>
        <v>Ana Lúbia Carvalho de Oliveira Vieira - Tecnólogo Serviços Penais</v>
      </c>
    </row>
    <row r="1073">
      <c r="A1073" s="390" t="str">
        <f>IFERROR(__xludf.DUMMYFUNCTION("""COMPUTED_VALUE"""),"Simone Cristina Comodo - #SLGA - Segunda Licenciatura em Geografia")</f>
        <v>Simone Cristina Comodo - #SLGA - Segunda Licenciatura em Geografia</v>
      </c>
    </row>
    <row r="1074">
      <c r="A1074" s="390" t="str">
        <f>IFERROR(__xludf.DUMMYFUNCTION("""COMPUTED_VALUE"""),"Simone Cristina Comodo - #SLUPI - SEGUNDA LICENCIATURA EM LETRAS – PORTUGUÊS E INGLÊS")</f>
        <v>Simone Cristina Comodo - #SLUPI - SEGUNDA LICENCIATURA EM LETRAS – PORTUGUÊS E INGLÊS</v>
      </c>
    </row>
    <row r="1075">
      <c r="A1075" s="390" t="str">
        <f>IFERROR(__xludf.DUMMYFUNCTION("""COMPUTED_VALUE"""),"Katya cylene Guimarães Sestari - Pós-Graduação em Psicanálise")</f>
        <v>Katya cylene Guimarães Sestari - Pós-Graduação em Psicanálise</v>
      </c>
    </row>
    <row r="1076">
      <c r="A1076" s="390" t="str">
        <f>IFERROR(__xludf.DUMMYFUNCTION("""COMPUTED_VALUE"""),"clesia alves De Oliveira Fernandes - Tecnólogo Educador Social")</f>
        <v>clesia alves De Oliveira Fernandes - Tecnólogo Educador Social</v>
      </c>
    </row>
    <row r="1077">
      <c r="A1077" s="390" t="str">
        <f>IFERROR(__xludf.DUMMYFUNCTION("""COMPUTED_VALUE"""),"Maíra Palmares Martins de Britto - #SLEEA - Segunda Licenciatura em Educação Especial")</f>
        <v>Maíra Palmares Martins de Britto - #SLEEA - Segunda Licenciatura em Educação Especial</v>
      </c>
    </row>
    <row r="1078">
      <c r="A1078" s="390" t="str">
        <f>IFERROR(__xludf.DUMMYFUNCTION("""COMPUTED_VALUE"""),"Izael ferreira da Silva - Tecnólogo Rede de Computadores")</f>
        <v>Izael ferreira da Silva - Tecnólogo Rede de Computadores</v>
      </c>
    </row>
    <row r="1079">
      <c r="A1079" s="390" t="str">
        <f>IFERROR(__xludf.DUMMYFUNCTION("""COMPUTED_VALUE"""),"Camila do Carmo Silva Vidal - Formação Livre Psicanálise")</f>
        <v>Camila do Carmo Silva Vidal - Formação Livre Psicanálise</v>
      </c>
    </row>
    <row r="1080">
      <c r="A1080" s="390" t="str">
        <f>IFERROR(__xludf.DUMMYFUNCTION("""COMPUTED_VALUE"""),"Junia SOARES DE SOUZA - Tecnólogo Gestão de Recursos Humanos")</f>
        <v>Junia SOARES DE SOUZA - Tecnólogo Gestão de Recursos Humanos</v>
      </c>
    </row>
    <row r="1081">
      <c r="A1081" s="390" t="str">
        <f>IFERROR(__xludf.DUMMYFUNCTION("""COMPUTED_VALUE"""),"Antônio José Ramos da Silva Júnior - Tecnólogo Educador Social")</f>
        <v>Antônio José Ramos da Silva Júnior - Tecnólogo Educador Social</v>
      </c>
    </row>
    <row r="1082">
      <c r="A1082" s="390" t="str">
        <f>IFERROR(__xludf.DUMMYFUNCTION("""COMPUTED_VALUE"""),"Gustavo Augusto dos Santos - Tecnólogo Gestão Hospitalar")</f>
        <v>Gustavo Augusto dos Santos - Tecnólogo Gestão Hospitalar</v>
      </c>
    </row>
    <row r="1083">
      <c r="A1083" s="390" t="str">
        <f>IFERROR(__xludf.DUMMYFUNCTION("""COMPUTED_VALUE"""),"Thalisson Xavier Rodrigues - Tecnólogo Gestão de Recursos Humanos")</f>
        <v>Thalisson Xavier Rodrigues - Tecnólogo Gestão de Recursos Humanos</v>
      </c>
    </row>
    <row r="1084">
      <c r="A1084" s="390" t="str">
        <f>IFERROR(__xludf.DUMMYFUNCTION("""COMPUTED_VALUE"""),"Vinicius Das Mercês Mascarenhas - Tecnólogo Segurança Pública")</f>
        <v>Vinicius Das Mercês Mascarenhas - Tecnólogo Segurança Pública</v>
      </c>
    </row>
    <row r="1085">
      <c r="A1085" s="390" t="str">
        <f>IFERROR(__xludf.DUMMYFUNCTION("""COMPUTED_VALUE"""),"JESSICA MAY ARAUJO SANTOS PIMENTEL - Tecnólogo Gestão Hospitalar")</f>
        <v>JESSICA MAY ARAUJO SANTOS PIMENTEL - Tecnólogo Gestão Hospitalar</v>
      </c>
    </row>
    <row r="1086">
      <c r="A1086" s="390" t="str">
        <f>IFERROR(__xludf.DUMMYFUNCTION("""COMPUTED_VALUE"""),"Danilo Ramos dos Santos de França - Bacharelado em Educação Física")</f>
        <v>Danilo Ramos dos Santos de França - Bacharelado em Educação Física</v>
      </c>
    </row>
    <row r="1087">
      <c r="A1087" s="390" t="str">
        <f>IFERROR(__xludf.DUMMYFUNCTION("""COMPUTED_VALUE"""),"Danilo Ramos dos Santos de França - Pós-Graduação em Educação Física Escolar")</f>
        <v>Danilo Ramos dos Santos de França - Pós-Graduação em Educação Física Escolar</v>
      </c>
    </row>
    <row r="1088">
      <c r="A1088" s="390" t="str">
        <f>IFERROR(__xludf.DUMMYFUNCTION("""COMPUTED_VALUE"""),"Hamilton Guimarães de Souza junior - Tecnólogo Marketing Digital")</f>
        <v>Hamilton Guimarães de Souza junior - Tecnólogo Marketing Digital</v>
      </c>
    </row>
    <row r="1089">
      <c r="A1089" s="390" t="str">
        <f>IFERROR(__xludf.DUMMYFUNCTION("""COMPUTED_VALUE"""),"Akani Pinna Floriano - Tecnólogo Análise e Desenvolvimento de Sistemas")</f>
        <v>Akani Pinna Floriano - Tecnólogo Análise e Desenvolvimento de Sistemas</v>
      </c>
    </row>
    <row r="1090">
      <c r="A1090" s="390" t="str">
        <f>IFERROR(__xludf.DUMMYFUNCTION("""COMPUTED_VALUE"""),"Ivalda Felix de Sousa - Pós-Graduação em Gestão Escolar Integrada com Ênfase em Supervisão, Orientação, Administração e Inspeção")</f>
        <v>Ivalda Felix de Sousa - Pós-Graduação em Gestão Escolar Integrada com Ênfase em Supervisão, Orientação, Administração e Inspeção</v>
      </c>
    </row>
    <row r="1091">
      <c r="A1091" s="390" t="str">
        <f>IFERROR(__xludf.DUMMYFUNCTION("""COMPUTED_VALUE"""),"Ivalda Felix de Sousa - Bacharelado em Psicopedagogia")</f>
        <v>Ivalda Felix de Sousa - Bacharelado em Psicopedagogia</v>
      </c>
    </row>
    <row r="1092">
      <c r="A1092" s="390" t="str">
        <f>IFERROR(__xludf.DUMMYFUNCTION("""COMPUTED_VALUE"""),"Wescley Mendonça de Oliveira - #FPEEF- Formação Pedagógica Educação Física")</f>
        <v>Wescley Mendonça de Oliveira - #FPEEF- Formação Pedagógica Educação Física</v>
      </c>
    </row>
    <row r="1093">
      <c r="A1093" s="390" t="str">
        <f>IFERROR(__xludf.DUMMYFUNCTION("""COMPUTED_VALUE"""),"Wescley Mendonça de Oliveira - #FPEEF- Formação Pedagógica Educação Física")</f>
        <v>Wescley Mendonça de Oliveira - #FPEEF- Formação Pedagógica Educação Física</v>
      </c>
    </row>
    <row r="1094">
      <c r="A1094" s="390" t="str">
        <f>IFERROR(__xludf.DUMMYFUNCTION("""COMPUTED_VALUE"""),"Henrique Cássio Cândido Cunha - #SLEEA - Segunda Licenciatura em Educação Especial")</f>
        <v>Henrique Cássio Cândido Cunha - #SLEEA - Segunda Licenciatura em Educação Especial</v>
      </c>
    </row>
    <row r="1095">
      <c r="A1095" s="390" t="str">
        <f>IFERROR(__xludf.DUMMYFUNCTION("""COMPUTED_VALUE"""),"Henrique Cássio Cândido Cunha - Pós-Graduação em Ensino de Ciências")</f>
        <v>Henrique Cássio Cândido Cunha - Pós-Graduação em Ensino de Ciências</v>
      </c>
    </row>
    <row r="1096">
      <c r="A1096" s="390" t="str">
        <f>IFERROR(__xludf.DUMMYFUNCTION("""COMPUTED_VALUE"""),"Valéria Silva de Barros Ribeiro - Tecnólogo Mediação, Conciliação e Arbitragem")</f>
        <v>Valéria Silva de Barros Ribeiro - Tecnólogo Mediação, Conciliação e Arbitragem</v>
      </c>
    </row>
    <row r="1097">
      <c r="A1097" s="390" t="str">
        <f>IFERROR(__xludf.DUMMYFUNCTION("""COMPUTED_VALUE"""),"Valéria Silva de Barros Ribeiro - Formação Livre em Terapia Familiar")</f>
        <v>Valéria Silva de Barros Ribeiro - Formação Livre em Terapia Familiar</v>
      </c>
    </row>
    <row r="1098">
      <c r="A1098" s="390" t="str">
        <f>IFERROR(__xludf.DUMMYFUNCTION("""COMPUTED_VALUE"""),"Valéria Silva de Barros Ribeiro - Formação Livre em Terapia Cognitiva Comportamental")</f>
        <v>Valéria Silva de Barros Ribeiro - Formação Livre em Terapia Cognitiva Comportamental</v>
      </c>
    </row>
    <row r="1099">
      <c r="A1099" s="390" t="str">
        <f>IFERROR(__xludf.DUMMYFUNCTION("""COMPUTED_VALUE"""),"Jesué Alves Moreira - Bacharelado em Psicopedagogia")</f>
        <v>Jesué Alves Moreira - Bacharelado em Psicopedagogia</v>
      </c>
    </row>
    <row r="1100">
      <c r="A1100" s="390" t="str">
        <f>IFERROR(__xludf.DUMMYFUNCTION("""COMPUTED_VALUE"""),"Jesué Alves Moreira - Pós-graduação em Neuropsicologia")</f>
        <v>Jesué Alves Moreira - Pós-graduação em Neuropsicologia</v>
      </c>
    </row>
    <row r="1101">
      <c r="A1101" s="390" t="str">
        <f>IFERROR(__xludf.DUMMYFUNCTION("""COMPUTED_VALUE"""),"Rosimeyre Soares Neiva - #SLLPA - Segunda Licenciatura Letras - Português")</f>
        <v>Rosimeyre Soares Neiva - #SLLPA - Segunda Licenciatura Letras - Português</v>
      </c>
    </row>
    <row r="1102">
      <c r="A1102" s="390" t="str">
        <f>IFERROR(__xludf.DUMMYFUNCTION("""COMPUTED_VALUE"""),"Rosimeyre Soares Neiva - #SLUPI - SEGUNDA LICENCIATURA EM LETRAS – PORTUGUÊS E INGLÊS")</f>
        <v>Rosimeyre Soares Neiva - #SLUPI - SEGUNDA LICENCIATURA EM LETRAS – PORTUGUÊS E INGLÊS</v>
      </c>
    </row>
    <row r="1103">
      <c r="A1103" s="390" t="str">
        <f>IFERROR(__xludf.DUMMYFUNCTION("""COMPUTED_VALUE"""),"Daiane Cristina Trevizani - Tecnólogo Estética e Cosmética")</f>
        <v>Daiane Cristina Trevizani - Tecnólogo Estética e Cosmética</v>
      </c>
    </row>
    <row r="1104">
      <c r="A1104" s="390" t="str">
        <f>IFERROR(__xludf.DUMMYFUNCTION("""COMPUTED_VALUE"""),"Katiane da Silva Pereira - Tecnólogo Mídias Sociais e Digitais")</f>
        <v>Katiane da Silva Pereira - Tecnólogo Mídias Sociais e Digitais</v>
      </c>
    </row>
    <row r="1105">
      <c r="A1105" s="390" t="str">
        <f>IFERROR(__xludf.DUMMYFUNCTION("""COMPUTED_VALUE"""),"Letícia Lopes Baltar - Formação Livre Psicanálise")</f>
        <v>Letícia Lopes Baltar - Formação Livre Psicanálise</v>
      </c>
    </row>
    <row r="1106">
      <c r="A1106" s="390" t="str">
        <f>IFERROR(__xludf.DUMMYFUNCTION("""COMPUTED_VALUE"""),"Henrique Cássio Cândido Cunha - Pós-Graduação em Ensino de Ciências")</f>
        <v>Henrique Cássio Cândido Cunha - Pós-Graduação em Ensino de Ciências</v>
      </c>
    </row>
    <row r="1107">
      <c r="A1107" s="390" t="str">
        <f>IFERROR(__xludf.DUMMYFUNCTION("""COMPUTED_VALUE"""),"Fabiana Nunes Silva - Formação Livre Psicanálise")</f>
        <v>Fabiana Nunes Silva - Formação Livre Psicanálise</v>
      </c>
    </row>
    <row r="1108">
      <c r="A1108" s="390" t="str">
        <f>IFERROR(__xludf.DUMMYFUNCTION("""COMPUTED_VALUE"""),"Emerson dos Santos Ferreira - Pós-Graduação em Musicoterapia")</f>
        <v>Emerson dos Santos Ferreira - Pós-Graduação em Musicoterapia</v>
      </c>
    </row>
    <row r="1109">
      <c r="A1109" s="390" t="str">
        <f>IFERROR(__xludf.DUMMYFUNCTION("""COMPUTED_VALUE"""),"Emerson dos Santos Ferreira - PÓS-GRADUAÇÃO EM DIREITO IMOBILIÁRIO - 2024")</f>
        <v>Emerson dos Santos Ferreira - PÓS-GRADUAÇÃO EM DIREITO IMOBILIÁRIO - 2024</v>
      </c>
    </row>
    <row r="1110">
      <c r="A1110" s="390" t="str">
        <f>IFERROR(__xludf.DUMMYFUNCTION("""COMPUTED_VALUE"""),"Paloma Maria Vieira da Silva torres - Tecnólogo Marketing")</f>
        <v>Paloma Maria Vieira da Silva torres - Tecnólogo Marketing</v>
      </c>
    </row>
    <row r="1111">
      <c r="A1111" s="390" t="str">
        <f>IFERROR(__xludf.DUMMYFUNCTION("""COMPUTED_VALUE"""),"Annyelly Dantas da Costa Oliveira - Tecnólogo Gestão Pública")</f>
        <v>Annyelly Dantas da Costa Oliveira - Tecnólogo Gestão Pública</v>
      </c>
    </row>
    <row r="1112">
      <c r="A1112" s="390" t="str">
        <f>IFERROR(__xludf.DUMMYFUNCTION("""COMPUTED_VALUE"""),"Paulo rogerio da silva - Tecnólogo Segurança no Trabalho")</f>
        <v>Paulo rogerio da silva - Tecnólogo Segurança no Trabalho</v>
      </c>
    </row>
    <row r="1113">
      <c r="A1113" s="390" t="str">
        <f>IFERROR(__xludf.DUMMYFUNCTION("""COMPUTED_VALUE"""),"Giovanny Alexandro de Souza Silvério - Tecnólogo Empreendedorismo Educacional")</f>
        <v>Giovanny Alexandro de Souza Silvério - Tecnólogo Empreendedorismo Educacional</v>
      </c>
    </row>
    <row r="1114">
      <c r="A1114" s="390" t="str">
        <f>IFERROR(__xludf.DUMMYFUNCTION("""COMPUTED_VALUE"""),"ANDRESSA DE JESUS MACHADO SANTOS - Tecnólogo Gestão Financeira")</f>
        <v>ANDRESSA DE JESUS MACHADO SANTOS - Tecnólogo Gestão Financeira</v>
      </c>
    </row>
    <row r="1115">
      <c r="A1115" s="390" t="str">
        <f>IFERROR(__xludf.DUMMYFUNCTION("""COMPUTED_VALUE"""),"Ricardo Vaz Alves - Formação Livre Psicanálise")</f>
        <v>Ricardo Vaz Alves - Formação Livre Psicanálise</v>
      </c>
    </row>
    <row r="1116">
      <c r="A1116" s="390" t="str">
        <f>IFERROR(__xludf.DUMMYFUNCTION("""COMPUTED_VALUE"""),"Adriana Souza de Oliveira - #SLFA  - Segunda Licenciatura em Filosofia")</f>
        <v>Adriana Souza de Oliveira - #SLFA  - Segunda Licenciatura em Filosofia</v>
      </c>
    </row>
    <row r="1117">
      <c r="A1117" s="390" t="str">
        <f>IFERROR(__xludf.DUMMYFUNCTION("""COMPUTED_VALUE"""),"Adriana Souza de Oliveira - #SLLLA - Segunda Licenciatura em Letras - Libras")</f>
        <v>Adriana Souza de Oliveira - #SLLLA - Segunda Licenciatura em Letras - Libras</v>
      </c>
    </row>
    <row r="1118">
      <c r="A1118" s="390" t="str">
        <f>IFERROR(__xludf.DUMMYFUNCTION("""COMPUTED_VALUE"""),"Ivanildo Batista Correa Junior - Formação Pedagógica História")</f>
        <v>Ivanildo Batista Correa Junior - Formação Pedagógica História</v>
      </c>
    </row>
    <row r="1119">
      <c r="A1119" s="390" t="str">
        <f>IFERROR(__xludf.DUMMYFUNCTION("""COMPUTED_VALUE"""),"Ivanildo Batista Correa Junior - #FPUH- Formação Pedagógica em História")</f>
        <v>Ivanildo Batista Correa Junior - #FPUH- Formação Pedagógica em História</v>
      </c>
    </row>
    <row r="1120">
      <c r="A1120" s="390" t="str">
        <f>IFERROR(__xludf.DUMMYFUNCTION("""COMPUTED_VALUE"""),"Vívian Pfister dos Santos - Tecnólogo Psicomotricidade e Ludicidade na Educação Infantil")</f>
        <v>Vívian Pfister dos Santos - Tecnólogo Psicomotricidade e Ludicidade na Educação Infantil</v>
      </c>
    </row>
    <row r="1121">
      <c r="A1121" s="390" t="str">
        <f>IFERROR(__xludf.DUMMYFUNCTION("""COMPUTED_VALUE"""),"Bárbara aparecida de Souza - #SLHA - Segunda Licenciatura em História")</f>
        <v>Bárbara aparecida de Souza - #SLHA - Segunda Licenciatura em História</v>
      </c>
    </row>
    <row r="1122">
      <c r="A1122" s="390" t="str">
        <f>IFERROR(__xludf.DUMMYFUNCTION("""COMPUTED_VALUE"""),"MAYKON CALDEIRA DOS SANTOS - Bacharelado em Educação Física")</f>
        <v>MAYKON CALDEIRA DOS SANTOS - Bacharelado em Educação Física</v>
      </c>
    </row>
    <row r="1123">
      <c r="A1123" s="390" t="str">
        <f>IFERROR(__xludf.DUMMYFUNCTION("""COMPUTED_VALUE"""),"Simone Silgênia Faria de Abreu - Formação Livre em Terapia Cognitiva Comportamental")</f>
        <v>Simone Silgênia Faria de Abreu - Formação Livre em Terapia Cognitiva Comportamental</v>
      </c>
    </row>
    <row r="1124">
      <c r="A1124" s="390" t="str">
        <f>IFERROR(__xludf.DUMMYFUNCTION("""COMPUTED_VALUE"""),"Ivo Pereira de Araujo - Bacharelado em Psicopedagogia")</f>
        <v>Ivo Pereira de Araujo - Bacharelado em Psicopedagogia</v>
      </c>
    </row>
    <row r="1125">
      <c r="A1125" s="390" t="str">
        <f>IFERROR(__xludf.DUMMYFUNCTION("""COMPUTED_VALUE"""),"Vitor Hugo Pereira - Tecnólogo Análise e Desenvolvimento de Sistemas")</f>
        <v>Vitor Hugo Pereira - Tecnólogo Análise e Desenvolvimento de Sistemas</v>
      </c>
    </row>
    <row r="1126">
      <c r="A1126" s="390" t="str">
        <f>IFERROR(__xludf.DUMMYFUNCTION("""COMPUTED_VALUE"""),"Vitor Hugo Pereira - Curso UniCV")</f>
        <v>Vitor Hugo Pereira - Curso UniCV</v>
      </c>
    </row>
    <row r="1127">
      <c r="A1127" s="390" t="str">
        <f>IFERROR(__xludf.DUMMYFUNCTION("""COMPUTED_VALUE"""),"Vitor Hugo Pereira - #SLCBA - Segunda Licenciatura em Ciências Biológicas")</f>
        <v>Vitor Hugo Pereira - #SLCBA - Segunda Licenciatura em Ciências Biológicas</v>
      </c>
    </row>
    <row r="1128">
      <c r="A1128" s="390" t="str">
        <f>IFERROR(__xludf.DUMMYFUNCTION("""COMPUTED_VALUE"""),"Vitor Hugo Pereira - #SLMF - Segunda Licenciatura em Música 1320Horas")</f>
        <v>Vitor Hugo Pereira - #SLMF - Segunda Licenciatura em Música 1320Horas</v>
      </c>
    </row>
    <row r="1129">
      <c r="A1129" s="390" t="str">
        <f>IFERROR(__xludf.DUMMYFUNCTION("""COMPUTED_VALUE"""),"Maristela brito silva - Formação Livre Psicanálise")</f>
        <v>Maristela brito silva - Formação Livre Psicanálise</v>
      </c>
    </row>
    <row r="1130">
      <c r="A1130" s="390" t="str">
        <f>IFERROR(__xludf.DUMMYFUNCTION("""COMPUTED_VALUE"""),"Ana Lucia Moreto - Pós-Graduação em Educação Física Escolar")</f>
        <v>Ana Lucia Moreto - Pós-Graduação em Educação Física Escolar</v>
      </c>
    </row>
    <row r="1131">
      <c r="A1131" s="390" t="str">
        <f>IFERROR(__xludf.DUMMYFUNCTION("""COMPUTED_VALUE"""),"Antonieta Fracisca da Silva Santana - Formação Livre Psicanálise")</f>
        <v>Antonieta Fracisca da Silva Santana - Formação Livre Psicanálise</v>
      </c>
    </row>
    <row r="1132">
      <c r="A1132" s="390" t="str">
        <f>IFERROR(__xludf.DUMMYFUNCTION("""COMPUTED_VALUE"""),"Erisvelton Sávio Silva de Melo - #SLEEA - Segunda Licenciatura em Educação Especial")</f>
        <v>Erisvelton Sávio Silva de Melo - #SLEEA - Segunda Licenciatura em Educação Especial</v>
      </c>
    </row>
    <row r="1133">
      <c r="A1133" s="390" t="str">
        <f>IFERROR(__xludf.DUMMYFUNCTION("""COMPUTED_VALUE"""),"Wallyson Klleuver Silva dos Santos - Pós-Graduação em Musicoterapia")</f>
        <v>Wallyson Klleuver Silva dos Santos - Pós-Graduação em Musicoterapia</v>
      </c>
    </row>
    <row r="1134">
      <c r="A1134" s="390" t="str">
        <f>IFERROR(__xludf.DUMMYFUNCTION("""COMPUTED_VALUE"""),"Wallyson Klleuver Silva dos Santos - #SLMF- Segunda Licenciatura em Música 2022 880Horas")</f>
        <v>Wallyson Klleuver Silva dos Santos - #SLMF- Segunda Licenciatura em Música 2022 880Horas</v>
      </c>
    </row>
    <row r="1135">
      <c r="A1135" s="390" t="str">
        <f>IFERROR(__xludf.DUMMYFUNCTION("""COMPUTED_VALUE"""),"Sonia Danusia Mortari - Formação Livre Psicanálise")</f>
        <v>Sonia Danusia Mortari - Formação Livre Psicanálise</v>
      </c>
    </row>
    <row r="1136">
      <c r="A1136" s="390" t="str">
        <f>IFERROR(__xludf.DUMMYFUNCTION("""COMPUTED_VALUE"""),"Daniela Cardoso Lidorio - #SLEEA - Segunda Licenciatura em Educação Especial")</f>
        <v>Daniela Cardoso Lidorio - #SLEEA - Segunda Licenciatura em Educação Especial</v>
      </c>
    </row>
    <row r="1137">
      <c r="A1137" s="390" t="str">
        <f>IFERROR(__xludf.DUMMYFUNCTION("""COMPUTED_VALUE"""),"Daniela Cardoso Lidorio - Pós-Graduação em Autismo")</f>
        <v>Daniela Cardoso Lidorio - Pós-Graduação em Autismo</v>
      </c>
    </row>
    <row r="1138">
      <c r="A1138" s="390" t="str">
        <f>IFERROR(__xludf.DUMMYFUNCTION("""COMPUTED_VALUE"""),"Eduardo Filipe Duarte Nunes - Formação Livre Psicanálise")</f>
        <v>Eduardo Filipe Duarte Nunes - Formação Livre Psicanálise</v>
      </c>
    </row>
    <row r="1139">
      <c r="A1139" s="390" t="str">
        <f>IFERROR(__xludf.DUMMYFUNCTION("""COMPUTED_VALUE"""),"Carla Silene de Faria Bragaglia - Pós-Graduação Terapia Cognitiva Comportamental")</f>
        <v>Carla Silene de Faria Bragaglia - Pós-Graduação Terapia Cognitiva Comportamental</v>
      </c>
    </row>
    <row r="1140">
      <c r="A1140" s="390" t="str">
        <f>IFERROR(__xludf.DUMMYFUNCTION("""COMPUTED_VALUE"""),"NORMAN OLIVEIRA CUNHA - Pós-Graduação em Psicanálise")</f>
        <v>NORMAN OLIVEIRA CUNHA - Pós-Graduação em Psicanálise</v>
      </c>
    </row>
    <row r="1141">
      <c r="A1141" s="390" t="str">
        <f>IFERROR(__xludf.DUMMYFUNCTION("""COMPUTED_VALUE"""),"Euclides Caminha Neto - Formação Livre Psicanálise")</f>
        <v>Euclides Caminha Neto - Formação Livre Psicanálise</v>
      </c>
    </row>
    <row r="1142">
      <c r="A1142" s="390" t="str">
        <f>IFERROR(__xludf.DUMMYFUNCTION("""COMPUTED_VALUE"""),"Daniela Minchio Andrez - #SLHA - Segunda Licenciatura em História")</f>
        <v>Daniela Minchio Andrez - #SLHA - Segunda Licenciatura em História</v>
      </c>
    </row>
    <row r="1143">
      <c r="A1143" s="390" t="str">
        <f>IFERROR(__xludf.DUMMYFUNCTION("""COMPUTED_VALUE"""),"Daniela Minchio Andrez - Pós-Graduação em Autismo")</f>
        <v>Daniela Minchio Andrez - Pós-Graduação em Autismo</v>
      </c>
    </row>
    <row r="1144">
      <c r="A1144" s="390" t="str">
        <f>IFERROR(__xludf.DUMMYFUNCTION("""COMPUTED_VALUE"""),"Paulo de tarso de Moraes - Formação Pedagógica em Filosofia")</f>
        <v>Paulo de tarso de Moraes - Formação Pedagógica em Filosofia</v>
      </c>
    </row>
    <row r="1145">
      <c r="A1145" s="390" t="str">
        <f>IFERROR(__xludf.DUMMYFUNCTION("""COMPUTED_VALUE"""),"Paulo de tarso de Moraes - Pós-Graduação em Neuropsicopedagogia")</f>
        <v>Paulo de tarso de Moraes - Pós-Graduação em Neuropsicopedagogia</v>
      </c>
    </row>
    <row r="1146">
      <c r="A1146" s="390" t="str">
        <f>IFERROR(__xludf.DUMMYFUNCTION("""COMPUTED_VALUE"""),"Regina Célia De Araújo Jacob - #SLUPE- Segunda Licenciatura em Letras – Português e Espanhol")</f>
        <v>Regina Célia De Araújo Jacob - #SLUPE- Segunda Licenciatura em Letras – Português e Espanhol</v>
      </c>
    </row>
    <row r="1147">
      <c r="A1147" s="390" t="str">
        <f>IFERROR(__xludf.DUMMYFUNCTION("""COMPUTED_VALUE"""),"Regina Célia De Araújo Jacob - #SLFA  - Segunda Licenciatura em Filosofia")</f>
        <v>Regina Célia De Araújo Jacob - #SLFA  - Segunda Licenciatura em Filosofia</v>
      </c>
    </row>
    <row r="1148">
      <c r="A1148" s="390" t="str">
        <f>IFERROR(__xludf.DUMMYFUNCTION("""COMPUTED_VALUE"""),"Sidjane Andrade da Silva - #SLFA  - Segunda Licenciatura em Filosofia")</f>
        <v>Sidjane Andrade da Silva - #SLFA  - Segunda Licenciatura em Filosofia</v>
      </c>
    </row>
    <row r="1149">
      <c r="A1149" s="390" t="str">
        <f>IFERROR(__xludf.DUMMYFUNCTION("""COMPUTED_VALUE"""),"Sidjane Andrade da Silva - #SLAA - Segunda Licenciatura em Artes Visuais")</f>
        <v>Sidjane Andrade da Silva - #SLAA - Segunda Licenciatura em Artes Visuais</v>
      </c>
    </row>
    <row r="1150">
      <c r="A1150" s="390" t="str">
        <f>IFERROR(__xludf.DUMMYFUNCTION("""COMPUTED_VALUE"""),"Sidjane Andrade da Silva - Pós-Graduação em Ensino de Artes")</f>
        <v>Sidjane Andrade da Silva - Pós-Graduação em Ensino de Artes</v>
      </c>
    </row>
    <row r="1151">
      <c r="A1151" s="390" t="str">
        <f>IFERROR(__xludf.DUMMYFUNCTION("""COMPUTED_VALUE"""),"Renato Henrique Neves Franco - Formação Pedagógica em Artes Visuais")</f>
        <v>Renato Henrique Neves Franco - Formação Pedagógica em Artes Visuais</v>
      </c>
    </row>
    <row r="1152">
      <c r="A1152" s="390" t="str">
        <f>IFERROR(__xludf.DUMMYFUNCTION("""COMPUTED_VALUE"""),"Helba Renata dos Santos Pereira - Formação Livre Psicanálise")</f>
        <v>Helba Renata dos Santos Pereira - Formação Livre Psicanálise</v>
      </c>
    </row>
    <row r="1153">
      <c r="A1153" s="390" t="str">
        <f>IFERROR(__xludf.DUMMYFUNCTION("""COMPUTED_VALUE"""),"Tamires Gabrieli Pereira de Souza - Tecnólogo Educador Social")</f>
        <v>Tamires Gabrieli Pereira de Souza - Tecnólogo Educador Social</v>
      </c>
    </row>
    <row r="1154">
      <c r="A1154" s="390" t="str">
        <f>IFERROR(__xludf.DUMMYFUNCTION("""COMPUTED_VALUE"""),"Isabel Cristina Nunes Lacau Conte - #SLGA - Segunda Licenciatura em Geografia")</f>
        <v>Isabel Cristina Nunes Lacau Conte - #SLGA - Segunda Licenciatura em Geografia</v>
      </c>
    </row>
    <row r="1155">
      <c r="A1155" s="390" t="str">
        <f>IFERROR(__xludf.DUMMYFUNCTION("""COMPUTED_VALUE"""),"Isabel Cristina Nunes Lacau Conte - Pós-Graduação em Tecnologias Educacionais")</f>
        <v>Isabel Cristina Nunes Lacau Conte - Pós-Graduação em Tecnologias Educacionais</v>
      </c>
    </row>
    <row r="1156">
      <c r="A1156" s="390" t="str">
        <f>IFERROR(__xludf.DUMMYFUNCTION("""COMPUTED_VALUE"""),"Eldes Arcanjo - Pós-Graduação em Biblioteconomia")</f>
        <v>Eldes Arcanjo - Pós-Graduação em Biblioteconomia</v>
      </c>
    </row>
    <row r="1157">
      <c r="A1157" s="390" t="str">
        <f>IFERROR(__xludf.DUMMYFUNCTION("""COMPUTED_VALUE"""),"Eldes Arcanjo - Pós-Graduação em Gestão Escolar Integrada com Ênfase em Supervisão, Orientação, Administração e Inspeção")</f>
        <v>Eldes Arcanjo - Pós-Graduação em Gestão Escolar Integrada com Ênfase em Supervisão, Orientação, Administração e Inspeção</v>
      </c>
    </row>
    <row r="1158">
      <c r="A1158" s="390" t="str">
        <f>IFERROR(__xludf.DUMMYFUNCTION("""COMPUTED_VALUE"""),"Eldes Arcanjo - #SLUP - SEGUNDA LICENCIATURA EM PEDAGOGIA")</f>
        <v>Eldes Arcanjo - #SLUP - SEGUNDA LICENCIATURA EM PEDAGOGIA</v>
      </c>
    </row>
    <row r="1159">
      <c r="A1159" s="390" t="str">
        <f>IFERROR(__xludf.DUMMYFUNCTION("""COMPUTED_VALUE"""),"Anderson Mateus Jesus Oliveira - Formação Livre em Psicanálise-2022")</f>
        <v>Anderson Mateus Jesus Oliveira - Formação Livre em Psicanálise-2022</v>
      </c>
    </row>
    <row r="1160">
      <c r="A1160" s="390" t="str">
        <f>IFERROR(__xludf.DUMMYFUNCTION("""COMPUTED_VALUE"""),"Anderson Mateus Jesus Oliveira - FORMAÇÃO LIVRE EM PSICANÁLISE - 2024")</f>
        <v>Anderson Mateus Jesus Oliveira - FORMAÇÃO LIVRE EM PSICANÁLISE - 2024</v>
      </c>
    </row>
    <row r="1161">
      <c r="A1161" s="390" t="str">
        <f>IFERROR(__xludf.DUMMYFUNCTION("""COMPUTED_VALUE"""),"Anderson Mateus Jesus Oliveira - Capacitação em Terapia em TDAH Clínico")</f>
        <v>Anderson Mateus Jesus Oliveira - Capacitação em Terapia em TDAH Clínico</v>
      </c>
    </row>
    <row r="1162">
      <c r="A1162" s="390" t="str">
        <f>IFERROR(__xludf.DUMMYFUNCTION("""COMPUTED_VALUE"""),"Maiza Moreira da Silva - Pós-Graduação em Musicoterapia")</f>
        <v>Maiza Moreira da Silva - Pós-Graduação em Musicoterapia</v>
      </c>
    </row>
    <row r="1163">
      <c r="A1163" s="390" t="str">
        <f>IFERROR(__xludf.DUMMYFUNCTION("""COMPUTED_VALUE"""),"Maiza Moreira da Silva - #FPMF- Formação Pedagógica em Música 1200Horas")</f>
        <v>Maiza Moreira da Silva - #FPMF- Formação Pedagógica em Música 1200Horas</v>
      </c>
    </row>
    <row r="1164">
      <c r="A1164" s="390" t="str">
        <f>IFERROR(__xludf.DUMMYFUNCTION("""COMPUTED_VALUE"""),"Silvana de Jesus dos Santos - Formação Pedagogica em Geografia")</f>
        <v>Silvana de Jesus dos Santos - Formação Pedagogica em Geografia</v>
      </c>
    </row>
    <row r="1165">
      <c r="A1165" s="390" t="str">
        <f>IFERROR(__xludf.DUMMYFUNCTION("""COMPUTED_VALUE"""),"Zezenaelda batista dos santos - #SLHA - Segunda Licenciatura em História")</f>
        <v>Zezenaelda batista dos santos - #SLHA - Segunda Licenciatura em História</v>
      </c>
    </row>
    <row r="1166">
      <c r="A1166" s="390" t="str">
        <f>IFERROR(__xludf.DUMMYFUNCTION("""COMPUTED_VALUE"""),"Zezenaelda batista dos santos - #SLGA - Segunda Licenciatura em Geografia")</f>
        <v>Zezenaelda batista dos santos - #SLGA - Segunda Licenciatura em Geografia</v>
      </c>
    </row>
    <row r="1167">
      <c r="A1167" s="390" t="str">
        <f>IFERROR(__xludf.DUMMYFUNCTION("""COMPUTED_VALUE"""),"Zezenaelda batista dos santos - #SLEEA - Segunda Licenciatura em Educação Especial")</f>
        <v>Zezenaelda batista dos santos - #SLEEA - Segunda Licenciatura em Educação Especial</v>
      </c>
    </row>
    <row r="1168">
      <c r="A1168" s="390" t="str">
        <f>IFERROR(__xludf.DUMMYFUNCTION("""COMPUTED_VALUE"""),"Zezenaelda batista dos santos - #SLUS - Segunda Licenciatura em Sociologia")</f>
        <v>Zezenaelda batista dos santos - #SLUS - Segunda Licenciatura em Sociologia</v>
      </c>
    </row>
    <row r="1169">
      <c r="A1169" s="390" t="str">
        <f>IFERROR(__xludf.DUMMYFUNCTION("""COMPUTED_VALUE"""),"Zezenaelda batista dos santos - #SLUG - SEGUNDA LICENCIATURA EM GEOGRAFIA")</f>
        <v>Zezenaelda batista dos santos - #SLUG - SEGUNDA LICENCIATURA EM GEOGRAFIA</v>
      </c>
    </row>
    <row r="1170">
      <c r="A1170" s="390" t="str">
        <f>IFERROR(__xludf.DUMMYFUNCTION("""COMPUTED_VALUE"""),"Zezenaelda batista dos santos - #SLUH- Segunda Licenciatura em História")</f>
        <v>Zezenaelda batista dos santos - #SLUH- Segunda Licenciatura em História</v>
      </c>
    </row>
    <row r="1171">
      <c r="A1171" s="390" t="str">
        <f>IFERROR(__xludf.DUMMYFUNCTION("""COMPUTED_VALUE"""),"Zezenaelda batista dos santos - #SLUEE - SEGUNDA LICENCIATURA EM EDUCAÇÃO ESPECIAL")</f>
        <v>Zezenaelda batista dos santos - #SLUEE - SEGUNDA LICENCIATURA EM EDUCAÇÃO ESPECIAL</v>
      </c>
    </row>
    <row r="1172">
      <c r="A1172" s="390" t="str">
        <f>IFERROR(__xludf.DUMMYFUNCTION("""COMPUTED_VALUE"""),"Zezenaelda batista dos santos - #SLUPI - SEGUNDA LICENCIATURA EM LETRAS – PORTUGUÊS E INGLÊS")</f>
        <v>Zezenaelda batista dos santos - #SLUPI - SEGUNDA LICENCIATURA EM LETRAS – PORTUGUÊS E INGLÊS</v>
      </c>
    </row>
    <row r="1173">
      <c r="A1173" s="390" t="str">
        <f>IFERROR(__xludf.DUMMYFUNCTION("""COMPUTED_VALUE"""),"Zezenaelda batista dos santos - #SLUPE- Segunda Licenciatura em Letras – Português e Espanhol")</f>
        <v>Zezenaelda batista dos santos - #SLUPE- Segunda Licenciatura em Letras – Português e Espanhol</v>
      </c>
    </row>
    <row r="1174">
      <c r="A1174" s="390" t="str">
        <f>IFERROR(__xludf.DUMMYFUNCTION("""COMPUTED_VALUE"""),"Zezenaelda batista dos santos - #SLMF - Segunda Licenciatura em Música 1320Horas")</f>
        <v>Zezenaelda batista dos santos - #SLMF - Segunda Licenciatura em Música 1320Horas</v>
      </c>
    </row>
    <row r="1175">
      <c r="A1175" s="390" t="str">
        <f>IFERROR(__xludf.DUMMYFUNCTION("""COMPUTED_VALUE"""),"Christian Diego Mello - Pós-Graduação em Musicoterapia")</f>
        <v>Christian Diego Mello - Pós-Graduação em Musicoterapia</v>
      </c>
    </row>
    <row r="1176">
      <c r="A1176" s="390" t="str">
        <f>IFERROR(__xludf.DUMMYFUNCTION("""COMPUTED_VALUE"""),"Eva Teixeira de Souza Caixeta - #SLEEA - Segunda Licenciatura em Educação Especial")</f>
        <v>Eva Teixeira de Souza Caixeta - #SLEEA - Segunda Licenciatura em Educação Especial</v>
      </c>
    </row>
    <row r="1177">
      <c r="A1177" s="390" t="str">
        <f>IFERROR(__xludf.DUMMYFUNCTION("""COMPUTED_VALUE"""),"Eva Teixeira de Souza Caixeta - Pós-Graduação Educação Especial e Inclusiva")</f>
        <v>Eva Teixeira de Souza Caixeta - Pós-Graduação Educação Especial e Inclusiva</v>
      </c>
    </row>
    <row r="1178">
      <c r="A1178" s="390" t="str">
        <f>IFERROR(__xludf.DUMMYFUNCTION("""COMPUTED_VALUE"""),"Renato Lopes Almeida - #SLEEA - Segunda Licenciatura em Educação Especial")</f>
        <v>Renato Lopes Almeida - #SLEEA - Segunda Licenciatura em Educação Especial</v>
      </c>
    </row>
    <row r="1179">
      <c r="A1179" s="390" t="str">
        <f>IFERROR(__xludf.DUMMYFUNCTION("""COMPUTED_VALUE"""),"Wagner Wanderley do Nascimento - #SLEEA - Segunda Licenciatura em Educação Especial")</f>
        <v>Wagner Wanderley do Nascimento - #SLEEA - Segunda Licenciatura em Educação Especial</v>
      </c>
    </row>
    <row r="1180">
      <c r="A1180" s="390" t="str">
        <f>IFERROR(__xludf.DUMMYFUNCTION("""COMPUTED_VALUE"""),"Wagner Wanderley do Nascimento - Pós-Graduação em Neuropsicopedagogia Clínica e Institucional")</f>
        <v>Wagner Wanderley do Nascimento - Pós-Graduação em Neuropsicopedagogia Clínica e Institucional</v>
      </c>
    </row>
    <row r="1181">
      <c r="A1181" s="390" t="str">
        <f>IFERROR(__xludf.DUMMYFUNCTION("""COMPUTED_VALUE"""),"Danieli de Castro Silva - Formação Livre Psicanálise")</f>
        <v>Danieli de Castro Silva - Formação Livre Psicanálise</v>
      </c>
    </row>
    <row r="1182">
      <c r="A1182" s="390" t="str">
        <f>IFERROR(__xludf.DUMMYFUNCTION("""COMPUTED_VALUE"""),"Danieli de Castro Silva - Formação Livre em Terapia Cognitiva Comportamental")</f>
        <v>Danieli de Castro Silva - Formação Livre em Terapia Cognitiva Comportamental</v>
      </c>
    </row>
    <row r="1183">
      <c r="A1183" s="390" t="str">
        <f>IFERROR(__xludf.DUMMYFUNCTION("""COMPUTED_VALUE"""),"Ricardo Cordeiro Leal - Formação Pedagógica História")</f>
        <v>Ricardo Cordeiro Leal - Formação Pedagógica História</v>
      </c>
    </row>
    <row r="1184">
      <c r="A1184" s="390" t="str">
        <f>IFERROR(__xludf.DUMMYFUNCTION("""COMPUTED_VALUE"""),"Ricardo Cordeiro Leal - #SLHA - Segunda Licenciatura em História")</f>
        <v>Ricardo Cordeiro Leal - #SLHA - Segunda Licenciatura em História</v>
      </c>
    </row>
    <row r="1185">
      <c r="A1185" s="390" t="str">
        <f>IFERROR(__xludf.DUMMYFUNCTION("""COMPUTED_VALUE"""),"TATIANE MARIA DUARTE OLIVEIRA - Formação Livre Psicanálise")</f>
        <v>TATIANE MARIA DUARTE OLIVEIRA - Formação Livre Psicanálise</v>
      </c>
    </row>
    <row r="1186">
      <c r="A1186" s="390" t="str">
        <f>IFERROR(__xludf.DUMMYFUNCTION("""COMPUTED_VALUE"""),"Yasmin Borges Vailant - Formação Livre Psicanálise")</f>
        <v>Yasmin Borges Vailant - Formação Livre Psicanálise</v>
      </c>
    </row>
    <row r="1187">
      <c r="A1187" s="390" t="str">
        <f>IFERROR(__xludf.DUMMYFUNCTION("""COMPUTED_VALUE"""),"Sarah Estevão da Costa - Pós-Graduação Psicopedagogia Clínica, Institucional e Hospitalar")</f>
        <v>Sarah Estevão da Costa - Pós-Graduação Psicopedagogia Clínica, Institucional e Hospitalar</v>
      </c>
    </row>
    <row r="1188">
      <c r="A1188" s="390" t="str">
        <f>IFERROR(__xludf.DUMMYFUNCTION("""COMPUTED_VALUE"""),"Carlos Roberto Silva Junior - Formação Pedagógica em Educação Especial")</f>
        <v>Carlos Roberto Silva Junior - Formação Pedagógica em Educação Especial</v>
      </c>
    </row>
    <row r="1189">
      <c r="A1189" s="390" t="str">
        <f>IFERROR(__xludf.DUMMYFUNCTION("""COMPUTED_VALUE"""),"Rosilene Martins dos Santos Simões - #SLAA - Segunda Licenciatura em Artes Visuais")</f>
        <v>Rosilene Martins dos Santos Simões - #SLAA - Segunda Licenciatura em Artes Visuais</v>
      </c>
    </row>
    <row r="1190">
      <c r="A1190" s="390" t="str">
        <f>IFERROR(__xludf.DUMMYFUNCTION("""COMPUTED_VALUE"""),"Amanda Tenório Rodrigues Almeida - Pós-graduação em Neuropsicologia")</f>
        <v>Amanda Tenório Rodrigues Almeida - Pós-graduação em Neuropsicologia</v>
      </c>
    </row>
    <row r="1191">
      <c r="A1191" s="390" t="str">
        <f>IFERROR(__xludf.DUMMYFUNCTION("""COMPUTED_VALUE"""),"Amanda Tenório Rodrigues Almeida - NOVO-Pós-Graduação em Psicanálise 800 Horas")</f>
        <v>Amanda Tenório Rodrigues Almeida - NOVO-Pós-Graduação em Psicanálise 800 Horas</v>
      </c>
    </row>
    <row r="1192">
      <c r="A1192" s="390" t="str">
        <f>IFERROR(__xludf.DUMMYFUNCTION("""COMPUTED_VALUE"""),"Elisangela Maria da Silva - #SLGA - Segunda Licenciatura em Geografia")</f>
        <v>Elisangela Maria da Silva - #SLGA - Segunda Licenciatura em Geografia</v>
      </c>
    </row>
    <row r="1193">
      <c r="A1193" s="390" t="str">
        <f>IFERROR(__xludf.DUMMYFUNCTION("""COMPUTED_VALUE"""),"Elisangela Maria da Silva - Pós-Graduação em Ensino de Artes")</f>
        <v>Elisangela Maria da Silva - Pós-Graduação em Ensino de Artes</v>
      </c>
    </row>
    <row r="1194">
      <c r="A1194" s="390" t="str">
        <f>IFERROR(__xludf.DUMMYFUNCTION("""COMPUTED_VALUE"""),"Samara Santos Silva - Formação Livre Psicanálise")</f>
        <v>Samara Santos Silva - Formação Livre Psicanálise</v>
      </c>
    </row>
    <row r="1195">
      <c r="A1195" s="390" t="str">
        <f>IFERROR(__xludf.DUMMYFUNCTION("""COMPUTED_VALUE"""),"Leonardo Pimentel de Carvalho - Formação Livre Psicanálise")</f>
        <v>Leonardo Pimentel de Carvalho - Formação Livre Psicanálise</v>
      </c>
    </row>
    <row r="1196">
      <c r="A1196" s="390" t="str">
        <f>IFERROR(__xludf.DUMMYFUNCTION("""COMPUTED_VALUE"""),"Lucas Paulo de Oliveira Pinto - Pós-Graduação em Psicanálise")</f>
        <v>Lucas Paulo de Oliveira Pinto - Pós-Graduação em Psicanálise</v>
      </c>
    </row>
    <row r="1197">
      <c r="A1197" s="390" t="str">
        <f>IFERROR(__xludf.DUMMYFUNCTION("""COMPUTED_VALUE"""),"Lucas Paulo de Oliveira Pinto - Pós-Graduação em Psicanálise")</f>
        <v>Lucas Paulo de Oliveira Pinto - Pós-Graduação em Psicanálise</v>
      </c>
    </row>
    <row r="1198">
      <c r="A1198" s="390" t="str">
        <f>IFERROR(__xludf.DUMMYFUNCTION("""COMPUTED_VALUE"""),"Lucas Paulo de Oliveira Pinto - Pós-Graduação em Psicanálise")</f>
        <v>Lucas Paulo de Oliveira Pinto - Pós-Graduação em Psicanálise</v>
      </c>
    </row>
    <row r="1199">
      <c r="A1199" s="390" t="str">
        <f>IFERROR(__xludf.DUMMYFUNCTION("""COMPUTED_VALUE"""),"Lucas Paulo de Oliveira Pinto - Pós-Graduação em Psicanálise")</f>
        <v>Lucas Paulo de Oliveira Pinto - Pós-Graduação em Psicanálise</v>
      </c>
    </row>
    <row r="1200">
      <c r="A1200" s="390" t="str">
        <f>IFERROR(__xludf.DUMMYFUNCTION("""COMPUTED_VALUE"""),"Lucas Paulo de Oliveira Pinto - Pós-Graduação em Psicanálise")</f>
        <v>Lucas Paulo de Oliveira Pinto - Pós-Graduação em Psicanálise</v>
      </c>
    </row>
    <row r="1201">
      <c r="A1201" s="390" t="str">
        <f>IFERROR(__xludf.DUMMYFUNCTION("""COMPUTED_VALUE"""),"MARCELO FURINI - Pós-Graduação em Nutrição Dietética")</f>
        <v>MARCELO FURINI - Pós-Graduação em Nutrição Dietética</v>
      </c>
    </row>
    <row r="1202">
      <c r="A1202" s="390" t="str">
        <f>IFERROR(__xludf.DUMMYFUNCTION("""COMPUTED_VALUE"""),"MARCELO FURINI - Pós-Graduação em Nutrição Esportiva")</f>
        <v>MARCELO FURINI - Pós-Graduação em Nutrição Esportiva</v>
      </c>
    </row>
    <row r="1203">
      <c r="A1203" s="390" t="str">
        <f>IFERROR(__xludf.DUMMYFUNCTION("""COMPUTED_VALUE"""),"Zoraia de Jesus Pereira dos Santos - #SLEEA - Segunda Licenciatura em Educação Especial")</f>
        <v>Zoraia de Jesus Pereira dos Santos - #SLEEA - Segunda Licenciatura em Educação Especial</v>
      </c>
    </row>
    <row r="1204">
      <c r="A1204" s="390" t="str">
        <f>IFERROR(__xludf.DUMMYFUNCTION("""COMPUTED_VALUE"""),"Zoraia de Jesus Pereira dos Santos - #SLUEE - SEGUNDA LICENCIATURA EM EDUCAÇÃO ESPECIAL")</f>
        <v>Zoraia de Jesus Pereira dos Santos - #SLUEE - SEGUNDA LICENCIATURA EM EDUCAÇÃO ESPECIAL</v>
      </c>
    </row>
    <row r="1205">
      <c r="A1205" s="390" t="str">
        <f>IFERROR(__xludf.DUMMYFUNCTION("""COMPUTED_VALUE"""),"Marcelino de Oliveira Simeão - Formação Livre Psicanálise")</f>
        <v>Marcelino de Oliveira Simeão - Formação Livre Psicanálise</v>
      </c>
    </row>
    <row r="1206">
      <c r="A1206" s="390" t="str">
        <f>IFERROR(__xludf.DUMMYFUNCTION("""COMPUTED_VALUE"""),"Talis Tadeu Moraes de Moraes - Formação Livre Psicanálise")</f>
        <v>Talis Tadeu Moraes de Moraes - Formação Livre Psicanálise</v>
      </c>
    </row>
    <row r="1207">
      <c r="A1207" s="390" t="str">
        <f>IFERROR(__xludf.DUMMYFUNCTION("""COMPUTED_VALUE"""),"Rosileni Gonçalves de Souza - #SLAA - Segunda Licenciatura em Artes Visuais")</f>
        <v>Rosileni Gonçalves de Souza - #SLAA - Segunda Licenciatura em Artes Visuais</v>
      </c>
    </row>
    <row r="1208">
      <c r="A1208" s="390" t="str">
        <f>IFERROR(__xludf.DUMMYFUNCTION("""COMPUTED_VALUE"""),"Roseli Gonçalves de Souza - #SLAA - Segunda Licenciatura em Artes Visuais")</f>
        <v>Roseli Gonçalves de Souza - #SLAA - Segunda Licenciatura em Artes Visuais</v>
      </c>
    </row>
    <row r="1209">
      <c r="A1209" s="390" t="str">
        <f>IFERROR(__xludf.DUMMYFUNCTION("""COMPUTED_VALUE"""),"Tacylla Lima Silva - #SLEEA - Segunda Licenciatura em Educação Especial")</f>
        <v>Tacylla Lima Silva - #SLEEA - Segunda Licenciatura em Educação Especial</v>
      </c>
    </row>
    <row r="1210">
      <c r="A1210" s="390" t="str">
        <f>IFERROR(__xludf.DUMMYFUNCTION("""COMPUTED_VALUE"""),"Tacylla Lima Silva - Pós-Graduação Neurociência e Aprendizagem")</f>
        <v>Tacylla Lima Silva - Pós-Graduação Neurociência e Aprendizagem</v>
      </c>
    </row>
    <row r="1211">
      <c r="A1211" s="390" t="str">
        <f>IFERROR(__xludf.DUMMYFUNCTION("""COMPUTED_VALUE"""),"Estela Maria de Azevedo Nery Ferreira - #SLAA - Segunda Licenciatura em Artes Visuais")</f>
        <v>Estela Maria de Azevedo Nery Ferreira - #SLAA - Segunda Licenciatura em Artes Visuais</v>
      </c>
    </row>
    <row r="1212">
      <c r="A1212" s="390" t="str">
        <f>IFERROR(__xludf.DUMMYFUNCTION("""COMPUTED_VALUE"""),"Cezar Silva de Araujo - Formação Pedagógica História")</f>
        <v>Cezar Silva de Araujo - Formação Pedagógica História</v>
      </c>
    </row>
    <row r="1213">
      <c r="A1213" s="390" t="str">
        <f>IFERROR(__xludf.DUMMYFUNCTION("""COMPUTED_VALUE"""),"Matheus Simões Lucena - Formação Pedagógica História")</f>
        <v>Matheus Simões Lucena - Formação Pedagógica História</v>
      </c>
    </row>
    <row r="1214">
      <c r="A1214" s="390" t="str">
        <f>IFERROR(__xludf.DUMMYFUNCTION("""COMPUTED_VALUE"""),"Matheus Simões Lucena - #SLUH- Segunda Licenciatura em História")</f>
        <v>Matheus Simões Lucena - #SLUH- Segunda Licenciatura em História</v>
      </c>
    </row>
    <row r="1215">
      <c r="A1215" s="390" t="str">
        <f>IFERROR(__xludf.DUMMYFUNCTION("""COMPUTED_VALUE"""),"Matheus Simões Lucena - Formação Livre Psicanálise")</f>
        <v>Matheus Simões Lucena - Formação Livre Psicanálise</v>
      </c>
    </row>
    <row r="1216">
      <c r="A1216" s="390" t="str">
        <f>IFERROR(__xludf.DUMMYFUNCTION("""COMPUTED_VALUE"""),"Andréa Iolanda da Silva - Formação Pedagógica História")</f>
        <v>Andréa Iolanda da Silva - Formação Pedagógica História</v>
      </c>
    </row>
    <row r="1217">
      <c r="A1217" s="390" t="str">
        <f>IFERROR(__xludf.DUMMYFUNCTION("""COMPUTED_VALUE"""),"Lucia Ferreira Santos - #SLAA - Segunda Licenciatura em Artes Visuais")</f>
        <v>Lucia Ferreira Santos - #SLAA - Segunda Licenciatura em Artes Visuais</v>
      </c>
    </row>
    <row r="1218">
      <c r="A1218" s="390" t="str">
        <f>IFERROR(__xludf.DUMMYFUNCTION("""COMPUTED_VALUE"""),"Lucia Ferreira Santos - #SLUA- Segunda Licenciatura em Artes Visuais")</f>
        <v>Lucia Ferreira Santos - #SLUA- Segunda Licenciatura em Artes Visuais</v>
      </c>
    </row>
    <row r="1219">
      <c r="A1219" s="390" t="str">
        <f>IFERROR(__xludf.DUMMYFUNCTION("""COMPUTED_VALUE"""),"João Manuel Leiria Medeiros - Formação Livre Psicanálise")</f>
        <v>João Manuel Leiria Medeiros - Formação Livre Psicanálise</v>
      </c>
    </row>
    <row r="1220">
      <c r="A1220" s="390" t="str">
        <f>IFERROR(__xludf.DUMMYFUNCTION("""COMPUTED_VALUE"""),"Jeane Carla da Silveira - #SLEEA - Segunda Licenciatura em Educação Especial")</f>
        <v>Jeane Carla da Silveira - #SLEEA - Segunda Licenciatura em Educação Especial</v>
      </c>
    </row>
    <row r="1221">
      <c r="A1221" s="390" t="str">
        <f>IFERROR(__xludf.DUMMYFUNCTION("""COMPUTED_VALUE"""),"Adriana Santana oliveira - Pós-Graduação em Psicanálise")</f>
        <v>Adriana Santana oliveira - Pós-Graduação em Psicanálise</v>
      </c>
    </row>
    <row r="1222">
      <c r="A1222" s="390" t="str">
        <f>IFERROR(__xludf.DUMMYFUNCTION("""COMPUTED_VALUE"""),"Rossana Alcântara Trindade - Formação Livre Psicanálise")</f>
        <v>Rossana Alcântara Trindade - Formação Livre Psicanálise</v>
      </c>
    </row>
    <row r="1223">
      <c r="A1223" s="390" t="str">
        <f>IFERROR(__xludf.DUMMYFUNCTION("""COMPUTED_VALUE"""),"Thiago Silva da Costa - Formação Livre Psicanálise")</f>
        <v>Thiago Silva da Costa - Formação Livre Psicanálise</v>
      </c>
    </row>
    <row r="1224">
      <c r="A1224" s="390" t="str">
        <f>IFERROR(__xludf.DUMMYFUNCTION("""COMPUTED_VALUE"""),"Jocelene Ramos de Sousa - #SLLLA - Segunda Licenciatura em Letras - Libras")</f>
        <v>Jocelene Ramos de Sousa - #SLLLA - Segunda Licenciatura em Letras - Libras</v>
      </c>
    </row>
    <row r="1225">
      <c r="A1225" s="390" t="str">
        <f>IFERROR(__xludf.DUMMYFUNCTION("""COMPUTED_VALUE"""),"Antonio Marcio de Souza Siqueira - Pós-Graduação em Psicanálise")</f>
        <v>Antonio Marcio de Souza Siqueira - Pós-Graduação em Psicanálise</v>
      </c>
    </row>
    <row r="1226">
      <c r="A1226" s="390" t="str">
        <f>IFERROR(__xludf.DUMMYFUNCTION("""COMPUTED_VALUE"""),"Adriana Vieira - #SLAA - Segunda Licenciatura em Artes Visuais")</f>
        <v>Adriana Vieira - #SLAA - Segunda Licenciatura em Artes Visuais</v>
      </c>
    </row>
    <row r="1227">
      <c r="A1227" s="390" t="str">
        <f>IFERROR(__xludf.DUMMYFUNCTION("""COMPUTED_VALUE"""),"Igor Costa Jaconi - #SLMA - Segunda Licenciatura Matemática")</f>
        <v>Igor Costa Jaconi - #SLMA - Segunda Licenciatura Matemática</v>
      </c>
    </row>
    <row r="1228">
      <c r="A1228" s="390" t="str">
        <f>IFERROR(__xludf.DUMMYFUNCTION("""COMPUTED_VALUE"""),"Igor Costa Jaconi - Pós-Graduação Neurociência e Aprendizagem")</f>
        <v>Igor Costa Jaconi - Pós-Graduação Neurociência e Aprendizagem</v>
      </c>
    </row>
    <row r="1229">
      <c r="A1229" s="390" t="str">
        <f>IFERROR(__xludf.DUMMYFUNCTION("""COMPUTED_VALUE"""),"Wagner José da Silva - #SLAA - Segunda Licenciatura em Artes Visuais")</f>
        <v>Wagner José da Silva - #SLAA - Segunda Licenciatura em Artes Visuais</v>
      </c>
    </row>
    <row r="1230">
      <c r="A1230" s="390" t="str">
        <f>IFERROR(__xludf.DUMMYFUNCTION("""COMPUTED_VALUE"""),"Gleidson Rafael de Souza Cerqueira - Formação Livre Psicanálise")</f>
        <v>Gleidson Rafael de Souza Cerqueira - Formação Livre Psicanálise</v>
      </c>
    </row>
    <row r="1231">
      <c r="A1231" s="390" t="str">
        <f>IFERROR(__xludf.DUMMYFUNCTION("""COMPUTED_VALUE"""),"José Augusto Nascimento - #SLAA - Segunda Licenciatura em Artes Visuais")</f>
        <v>José Augusto Nascimento - #SLAA - Segunda Licenciatura em Artes Visuais</v>
      </c>
    </row>
    <row r="1232">
      <c r="A1232" s="390" t="str">
        <f>IFERROR(__xludf.DUMMYFUNCTION("""COMPUTED_VALUE"""),"SILONI MARCOS DOS SANTOS CHAGAS - Formação Livre Psicanálise")</f>
        <v>SILONI MARCOS DOS SANTOS CHAGAS - Formação Livre Psicanálise</v>
      </c>
    </row>
    <row r="1233">
      <c r="A1233" s="390" t="str">
        <f>IFERROR(__xludf.DUMMYFUNCTION("""COMPUTED_VALUE"""),"SILONI MARCOS DOS SANTOS CHAGAS - Formação Livre Psicanálise")</f>
        <v>SILONI MARCOS DOS SANTOS CHAGAS - Formação Livre Psicanálise</v>
      </c>
    </row>
    <row r="1234">
      <c r="A1234" s="390" t="str">
        <f>IFERROR(__xludf.DUMMYFUNCTION("""COMPUTED_VALUE"""),"Fernanda Silva de Azevedo Oliveira - Formação Livre Psicanálise")</f>
        <v>Fernanda Silva de Azevedo Oliveira - Formação Livre Psicanálise</v>
      </c>
    </row>
    <row r="1235">
      <c r="A1235" s="390" t="str">
        <f>IFERROR(__xludf.DUMMYFUNCTION("""COMPUTED_VALUE"""),"Ivani Marques de Souza Santana - #SLAA - Segunda Licenciatura em Artes Visuais")</f>
        <v>Ivani Marques de Souza Santana - #SLAA - Segunda Licenciatura em Artes Visuais</v>
      </c>
    </row>
    <row r="1236">
      <c r="A1236" s="390" t="str">
        <f>IFERROR(__xludf.DUMMYFUNCTION("""COMPUTED_VALUE"""),"Ivani Marques de Souza Santana - #SLUA- Segunda Licenciatura em Artes Visuais")</f>
        <v>Ivani Marques de Souza Santana - #SLUA- Segunda Licenciatura em Artes Visuais</v>
      </c>
    </row>
    <row r="1237">
      <c r="A1237" s="390" t="str">
        <f>IFERROR(__xludf.DUMMYFUNCTION("""COMPUTED_VALUE"""),"Renato Guimarães Ferreira - Tecnólogo Gestão de Recursos Humanos")</f>
        <v>Renato Guimarães Ferreira - Tecnólogo Gestão de Recursos Humanos</v>
      </c>
    </row>
    <row r="1238">
      <c r="A1238" s="390" t="str">
        <f>IFERROR(__xludf.DUMMYFUNCTION("""COMPUTED_VALUE"""),"Rayanne Dias Miranda - Tecnólogo Gestão de Recursos Humanos")</f>
        <v>Rayanne Dias Miranda - Tecnólogo Gestão de Recursos Humanos</v>
      </c>
    </row>
    <row r="1239">
      <c r="A1239" s="390" t="str">
        <f>IFERROR(__xludf.DUMMYFUNCTION("""COMPUTED_VALUE"""),"Mauro Cesar Correia da Cunha - Formação Pedagógica História")</f>
        <v>Mauro Cesar Correia da Cunha - Formação Pedagógica História</v>
      </c>
    </row>
    <row r="1240">
      <c r="A1240" s="390" t="str">
        <f>IFERROR(__xludf.DUMMYFUNCTION("""COMPUTED_VALUE"""),"Mauro Cesar Correia da Cunha - Pós-Graduação em Administração Pública")</f>
        <v>Mauro Cesar Correia da Cunha - Pós-Graduação em Administração Pública</v>
      </c>
    </row>
    <row r="1241">
      <c r="A1241" s="390" t="str">
        <f>IFERROR(__xludf.DUMMYFUNCTION("""COMPUTED_VALUE"""),"Andréa Lúcia de Souza Cavalcante do Nascimento - Formação Livre Psicanálise")</f>
        <v>Andréa Lúcia de Souza Cavalcante do Nascimento - Formação Livre Psicanálise</v>
      </c>
    </row>
    <row r="1242">
      <c r="A1242" s="390" t="str">
        <f>IFERROR(__xludf.DUMMYFUNCTION("""COMPUTED_VALUE"""),"Luciane Ribeiro dos Santos - #SLAA - Segunda Licenciatura em Artes Visuais")</f>
        <v>Luciane Ribeiro dos Santos - #SLAA - Segunda Licenciatura em Artes Visuais</v>
      </c>
    </row>
    <row r="1243">
      <c r="A1243" s="390" t="str">
        <f>IFERROR(__xludf.DUMMYFUNCTION("""COMPUTED_VALUE"""),"Diana Cristina Silvério Nascimento - Pós-Graduação Educação Especial e Inclusiva")</f>
        <v>Diana Cristina Silvério Nascimento - Pós-Graduação Educação Especial e Inclusiva</v>
      </c>
    </row>
    <row r="1244">
      <c r="A1244" s="390" t="str">
        <f>IFERROR(__xludf.DUMMYFUNCTION("""COMPUTED_VALUE"""),"Diana Cristina Silvério Nascimento - FORMAÇÃO PEDAGÓGICA EM EDUCAÇÃO ESPECIAL- U")</f>
        <v>Diana Cristina Silvério Nascimento - FORMAÇÃO PEDAGÓGICA EM EDUCAÇÃO ESPECIAL- U</v>
      </c>
    </row>
    <row r="1245">
      <c r="A1245" s="390" t="str">
        <f>IFERROR(__xludf.DUMMYFUNCTION("""COMPUTED_VALUE"""),"Diana Cristina Silvério Nascimento - Pós-Graduação Alfabetização e Letramento")</f>
        <v>Diana Cristina Silvério Nascimento - Pós-Graduação Alfabetização e Letramento</v>
      </c>
    </row>
    <row r="1246">
      <c r="A1246" s="390" t="str">
        <f>IFERROR(__xludf.DUMMYFUNCTION("""COMPUTED_VALUE"""),"Diana Cristina Silvério Nascimento - Formação Pedagógica em Educação Especial")</f>
        <v>Diana Cristina Silvério Nascimento - Formação Pedagógica em Educação Especial</v>
      </c>
    </row>
    <row r="1247">
      <c r="A1247" s="390" t="str">
        <f>IFERROR(__xludf.DUMMYFUNCTION("""COMPUTED_VALUE"""),"Lusandro Lima Lopes - #SLPA- Segunda Licenciatura em Pedagogia 01")</f>
        <v>Lusandro Lima Lopes - #SLPA- Segunda Licenciatura em Pedagogia 01</v>
      </c>
    </row>
    <row r="1248">
      <c r="A1248" s="390" t="str">
        <f>IFERROR(__xludf.DUMMYFUNCTION("""COMPUTED_VALUE"""),"Lusandro Lima Lopes - #SLUP - SEGUNDA LICENCIATURA EM PEDAGOGIA")</f>
        <v>Lusandro Lima Lopes - #SLUP - SEGUNDA LICENCIATURA EM PEDAGOGIA</v>
      </c>
    </row>
    <row r="1249">
      <c r="A1249" s="390" t="str">
        <f>IFERROR(__xludf.DUMMYFUNCTION("""COMPUTED_VALUE"""),"Paula Regina Pires Lopes Vieira - #SLPA- Segunda Licenciatura em Pedagogia 01")</f>
        <v>Paula Regina Pires Lopes Vieira - #SLPA- Segunda Licenciatura em Pedagogia 01</v>
      </c>
    </row>
    <row r="1250">
      <c r="A1250" s="390" t="str">
        <f>IFERROR(__xludf.DUMMYFUNCTION("""COMPUTED_VALUE"""),"Paula Regina Pires Lopes Vieira - Pós-Graduação em Terapia em ABA- Análise do Comportamento Aplicada")</f>
        <v>Paula Regina Pires Lopes Vieira - Pós-Graduação em Terapia em ABA- Análise do Comportamento Aplicada</v>
      </c>
    </row>
    <row r="1251">
      <c r="A1251" s="390" t="str">
        <f>IFERROR(__xludf.DUMMYFUNCTION("""COMPUTED_VALUE"""),"Paula Regina Pires Lopes Vieira - Pós-Graduação em Terapia em ABA- Análise do Comportamento Aplicada")</f>
        <v>Paula Regina Pires Lopes Vieira - Pós-Graduação em Terapia em ABA- Análise do Comportamento Aplicada</v>
      </c>
    </row>
    <row r="1252">
      <c r="A1252" s="390" t="str">
        <f>IFERROR(__xludf.DUMMYFUNCTION("""COMPUTED_VALUE"""),"Elísio Frota Barroso - Formação Livre Psicanálise")</f>
        <v>Elísio Frota Barroso - Formação Livre Psicanálise</v>
      </c>
    </row>
    <row r="1253">
      <c r="A1253" s="390" t="str">
        <f>IFERROR(__xludf.DUMMYFUNCTION("""COMPUTED_VALUE"""),"Mirtes Maria de Jesus Pereira Lopes - #SLAA - Segunda Licenciatura em Artes Visuais")</f>
        <v>Mirtes Maria de Jesus Pereira Lopes - #SLAA - Segunda Licenciatura em Artes Visuais</v>
      </c>
    </row>
    <row r="1254">
      <c r="A1254" s="390" t="str">
        <f>IFERROR(__xludf.DUMMYFUNCTION("""COMPUTED_VALUE"""),"Wania faria de Carvalho Avelino Cardoso - Pós-Graduação em Ensino de Artes")</f>
        <v>Wania faria de Carvalho Avelino Cardoso - Pós-Graduação em Ensino de Artes</v>
      </c>
    </row>
    <row r="1255">
      <c r="A1255" s="390" t="str">
        <f>IFERROR(__xludf.DUMMYFUNCTION("""COMPUTED_VALUE"""),"Wania faria de Carvalho Avelino Cardoso - FORMAÇÃO PEDAGÓGICA EM GEOGRAFIA- U")</f>
        <v>Wania faria de Carvalho Avelino Cardoso - FORMAÇÃO PEDAGÓGICA EM GEOGRAFIA- U</v>
      </c>
    </row>
    <row r="1256">
      <c r="A1256" s="390" t="str">
        <f>IFERROR(__xludf.DUMMYFUNCTION("""COMPUTED_VALUE"""),"Wania faria de Carvalho Avelino Cardoso - #FPH+ Formação Pedagógica em História - 2022 790Horas")</f>
        <v>Wania faria de Carvalho Avelino Cardoso - #FPH+ Formação Pedagógica em História - 2022 790Horas</v>
      </c>
    </row>
    <row r="1257">
      <c r="A1257" s="390" t="str">
        <f>IFERROR(__xludf.DUMMYFUNCTION("""COMPUTED_VALUE"""),"Wania faria de Carvalho Avelino Cardoso - #FPUP-FORMAÇÃO PEDAGÓGICA EM PEDAGOGIA- U")</f>
        <v>Wania faria de Carvalho Avelino Cardoso - #FPUP-FORMAÇÃO PEDAGÓGICA EM PEDAGOGIA- U</v>
      </c>
    </row>
    <row r="1258">
      <c r="A1258" s="390" t="str">
        <f>IFERROR(__xludf.DUMMYFUNCTION("""COMPUTED_VALUE"""),"Wesley Pinto - Pós-Graduação em Psicanálise")</f>
        <v>Wesley Pinto - Pós-Graduação em Psicanálise</v>
      </c>
    </row>
    <row r="1259">
      <c r="A1259" s="390" t="str">
        <f>IFERROR(__xludf.DUMMYFUNCTION("""COMPUTED_VALUE"""),"Mirtes Maria de Jesus Pereira Lopes - #SLAA - Segunda Licenciatura em Artes Visuais")</f>
        <v>Mirtes Maria de Jesus Pereira Lopes - #SLAA - Segunda Licenciatura em Artes Visuais</v>
      </c>
    </row>
    <row r="1260">
      <c r="A1260" s="390" t="str">
        <f>IFERROR(__xludf.DUMMYFUNCTION("""COMPUTED_VALUE"""),"Mirtes Maria de Jesus Pereira Lopes - #SLAA - Segunda Licenciatura em Artes Visuais")</f>
        <v>Mirtes Maria de Jesus Pereira Lopes - #SLAA - Segunda Licenciatura em Artes Visuais</v>
      </c>
    </row>
    <row r="1261">
      <c r="A1261" s="390" t="str">
        <f>IFERROR(__xludf.DUMMYFUNCTION("""COMPUTED_VALUE"""),"Andrea da Silva - Formação Livre Psicanálise")</f>
        <v>Andrea da Silva - Formação Livre Psicanálise</v>
      </c>
    </row>
    <row r="1262">
      <c r="A1262" s="390" t="str">
        <f>IFERROR(__xludf.DUMMYFUNCTION("""COMPUTED_VALUE"""),"Viviane Rosa Pires - #SLPA- Segunda Licenciatura em Pedagogia 01")</f>
        <v>Viviane Rosa Pires - #SLPA- Segunda Licenciatura em Pedagogia 01</v>
      </c>
    </row>
    <row r="1263">
      <c r="A1263" s="390" t="str">
        <f>IFERROR(__xludf.DUMMYFUNCTION("""COMPUTED_VALUE"""),"Viviane Rosa Pires - Pós-Graduação em Língua Portuguesa, Redação e Oratória")</f>
        <v>Viviane Rosa Pires - Pós-Graduação em Língua Portuguesa, Redação e Oratória</v>
      </c>
    </row>
    <row r="1264">
      <c r="A1264" s="390" t="str">
        <f>IFERROR(__xludf.DUMMYFUNCTION("""COMPUTED_VALUE"""),"Diego de Castro Brandão Portella - Pós-Graduação em Educação Física Escolar")</f>
        <v>Diego de Castro Brandão Portella - Pós-Graduação em Educação Física Escolar</v>
      </c>
    </row>
    <row r="1265">
      <c r="A1265" s="390" t="str">
        <f>IFERROR(__xludf.DUMMYFUNCTION("""COMPUTED_VALUE"""),"Júsiann Jehanni Alves de Souza Brito Silva - #FPP- Formação Pedagógica em Pedagogia R2")</f>
        <v>Júsiann Jehanni Alves de Souza Brito Silva - #FPP- Formação Pedagógica em Pedagogia R2</v>
      </c>
    </row>
    <row r="1266">
      <c r="A1266" s="390" t="str">
        <f>IFERROR(__xludf.DUMMYFUNCTION("""COMPUTED_VALUE"""),"Denise Costa Marques Hoffman - #FPP- Formação Pedagógica em Pedagogia R2")</f>
        <v>Denise Costa Marques Hoffman - #FPP- Formação Pedagógica em Pedagogia R2</v>
      </c>
    </row>
    <row r="1267">
      <c r="A1267" s="390" t="str">
        <f>IFERROR(__xludf.DUMMYFUNCTION("""COMPUTED_VALUE"""),"JOSE DIVINO DE FREITAS JUNIOR - #SLMA - Segunda Licenciatura Matemática")</f>
        <v>JOSE DIVINO DE FREITAS JUNIOR - #SLMA - Segunda Licenciatura Matemática</v>
      </c>
    </row>
    <row r="1268">
      <c r="A1268" s="390" t="str">
        <f>IFERROR(__xludf.DUMMYFUNCTION("""COMPUTED_VALUE"""),"Júsiann Jehanni Alves de Souza Brito Silva - #FPP- Formação Pedagógica em Pedagogia R2")</f>
        <v>Júsiann Jehanni Alves de Souza Brito Silva - #FPP- Formação Pedagógica em Pedagogia R2</v>
      </c>
    </row>
    <row r="1269">
      <c r="A1269" s="390" t="str">
        <f>IFERROR(__xludf.DUMMYFUNCTION("""COMPUTED_VALUE"""),"Juliana Pereira Rocha Dutra - Pós-Graduação em Psicanálise")</f>
        <v>Juliana Pereira Rocha Dutra - Pós-Graduação em Psicanálise</v>
      </c>
    </row>
    <row r="1270">
      <c r="A1270" s="390" t="str">
        <f>IFERROR(__xludf.DUMMYFUNCTION("""COMPUTED_VALUE"""),"Deise Fabri - Formação Livre Psicanálise")</f>
        <v>Deise Fabri - Formação Livre Psicanálise</v>
      </c>
    </row>
    <row r="1271">
      <c r="A1271" s="390" t="str">
        <f>IFERROR(__xludf.DUMMYFUNCTION("""COMPUTED_VALUE"""),"Alexsandra de Oliveira Santos - #FPP- Formação Pedagógica em Pedagogia R2")</f>
        <v>Alexsandra de Oliveira Santos - #FPP- Formação Pedagógica em Pedagogia R2</v>
      </c>
    </row>
    <row r="1272">
      <c r="A1272" s="390" t="str">
        <f>IFERROR(__xludf.DUMMYFUNCTION("""COMPUTED_VALUE"""),"Alexsandra de Oliveira Santos - Pós-Graduação em Atendimento Educacional Especializado Com Ênfase Em Educação Especial e Inclusiva")</f>
        <v>Alexsandra de Oliveira Santos - Pós-Graduação em Atendimento Educacional Especializado Com Ênfase Em Educação Especial e Inclusiva</v>
      </c>
    </row>
    <row r="1273">
      <c r="A1273" s="390" t="str">
        <f>IFERROR(__xludf.DUMMYFUNCTION("""COMPUTED_VALUE"""),"Alexandre Silva Nogueira - Formação Pedagógica em Matemática")</f>
        <v>Alexandre Silva Nogueira - Formação Pedagógica em Matemática</v>
      </c>
    </row>
    <row r="1274">
      <c r="A1274" s="390" t="str">
        <f>IFERROR(__xludf.DUMMYFUNCTION("""COMPUTED_VALUE"""),"Julia Christina Silva dos Santos - Formação Pedagógica em Letras - Inglês")</f>
        <v>Julia Christina Silva dos Santos - Formação Pedagógica em Letras - Inglês</v>
      </c>
    </row>
    <row r="1275">
      <c r="A1275" s="390" t="str">
        <f>IFERROR(__xludf.DUMMYFUNCTION("""COMPUTED_VALUE"""),"Julia Christina Silva dos Santos - #FPULPI- Formação Pedagógica em Letras – Português e Inglês")</f>
        <v>Julia Christina Silva dos Santos - #FPULPI- Formação Pedagógica em Letras – Português e Inglês</v>
      </c>
    </row>
    <row r="1276">
      <c r="A1276" s="390" t="str">
        <f>IFERROR(__xludf.DUMMYFUNCTION("""COMPUTED_VALUE"""),"Nouseli Ramos Montalvão Medeiros - Formação Livre Psicanálise")</f>
        <v>Nouseli Ramos Montalvão Medeiros - Formação Livre Psicanálise</v>
      </c>
    </row>
    <row r="1277">
      <c r="A1277" s="390" t="str">
        <f>IFERROR(__xludf.DUMMYFUNCTION("""COMPUTED_VALUE"""),"Fabiano dos Santos - Formação Livre Psicanálise")</f>
        <v>Fabiano dos Santos - Formação Livre Psicanálise</v>
      </c>
    </row>
    <row r="1278">
      <c r="A1278" s="390" t="str">
        <f>IFERROR(__xludf.DUMMYFUNCTION("""COMPUTED_VALUE"""),"Simeão do espírito santos soares lima - #SLAA - Segunda Licenciatura em Artes Visuais")</f>
        <v>Simeão do espírito santos soares lima - #SLAA - Segunda Licenciatura em Artes Visuais</v>
      </c>
    </row>
    <row r="1279">
      <c r="A1279" s="390" t="str">
        <f>IFERROR(__xludf.DUMMYFUNCTION("""COMPUTED_VALUE"""),"Janete Tavares Nascimento - #SLPA- Segunda Licenciatura em Pedagogia 01")</f>
        <v>Janete Tavares Nascimento - #SLPA- Segunda Licenciatura em Pedagogia 01</v>
      </c>
    </row>
    <row r="1280">
      <c r="A1280" s="390" t="str">
        <f>IFERROR(__xludf.DUMMYFUNCTION("""COMPUTED_VALUE"""),"Washington Bezerra Ramada - #SLEEF- Segunda Licenciatura Educação Física")</f>
        <v>Washington Bezerra Ramada - #SLEEF- Segunda Licenciatura Educação Física</v>
      </c>
    </row>
    <row r="1281">
      <c r="A1281" s="390" t="str">
        <f>IFERROR(__xludf.DUMMYFUNCTION("""COMPUTED_VALUE"""),"Igor Gonzaga Lelis - #SLPA- Segunda Licenciatura em Pedagogia 01")</f>
        <v>Igor Gonzaga Lelis - #SLPA- Segunda Licenciatura em Pedagogia 01</v>
      </c>
    </row>
    <row r="1282">
      <c r="A1282" s="390" t="str">
        <f>IFERROR(__xludf.DUMMYFUNCTION("""COMPUTED_VALUE"""),"Igor Gonzaga Lelis - Pós-Graduação em Metodologia do Ensino da Matemática")</f>
        <v>Igor Gonzaga Lelis - Pós-Graduação em Metodologia do Ensino da Matemática</v>
      </c>
    </row>
    <row r="1283">
      <c r="A1283" s="390" t="str">
        <f>IFERROR(__xludf.DUMMYFUNCTION("""COMPUTED_VALUE"""),"Thais Rezende Dias - Formação Livre Psicanálise")</f>
        <v>Thais Rezende Dias - Formação Livre Psicanálise</v>
      </c>
    </row>
    <row r="1284">
      <c r="A1284" s="390" t="str">
        <f>IFERROR(__xludf.DUMMYFUNCTION("""COMPUTED_VALUE"""),"Rayssa de Jesus Cabral - #SLEEA - Segunda Licenciatura em Educação Especial")</f>
        <v>Rayssa de Jesus Cabral - #SLEEA - Segunda Licenciatura em Educação Especial</v>
      </c>
    </row>
    <row r="1285">
      <c r="A1285" s="390" t="str">
        <f>IFERROR(__xludf.DUMMYFUNCTION("""COMPUTED_VALUE"""),"André Luis Peres de Souza - #FPP- Formação Pedagógica em Pedagogia R2")</f>
        <v>André Luis Peres de Souza - #FPP- Formação Pedagógica em Pedagogia R2</v>
      </c>
    </row>
    <row r="1286">
      <c r="A1286" s="390" t="str">
        <f>IFERROR(__xludf.DUMMYFUNCTION("""COMPUTED_VALUE"""),"André Luis Peres de Souza - Pós-Graduação em Gestão Escolar Integrada com Ênfase em Supervisão, Orientação, Administração e Inspeção")</f>
        <v>André Luis Peres de Souza - Pós-Graduação em Gestão Escolar Integrada com Ênfase em Supervisão, Orientação, Administração e Inspeção</v>
      </c>
    </row>
    <row r="1287">
      <c r="A1287" s="390" t="str">
        <f>IFERROR(__xludf.DUMMYFUNCTION("""COMPUTED_VALUE"""),"André Luis Peres de Souza - Formação Pedagógica História")</f>
        <v>André Luis Peres de Souza - Formação Pedagógica História</v>
      </c>
    </row>
    <row r="1288">
      <c r="A1288" s="390" t="str">
        <f>IFERROR(__xludf.DUMMYFUNCTION("""COMPUTED_VALUE"""),"André Luis Peres de Souza - #FPUH- Formação Pedagógica em História")</f>
        <v>André Luis Peres de Souza - #FPUH- Formação Pedagógica em História</v>
      </c>
    </row>
    <row r="1289">
      <c r="A1289" s="390" t="str">
        <f>IFERROR(__xludf.DUMMYFUNCTION("""COMPUTED_VALUE"""),"André Luis Peres de Souza - #FPUP-FORMAÇÃO PEDAGÓGICA EM PEDAGOGIA- U")</f>
        <v>André Luis Peres de Souza - #FPUP-FORMAÇÃO PEDAGÓGICA EM PEDAGOGIA- U</v>
      </c>
    </row>
    <row r="1290">
      <c r="A1290" s="390" t="str">
        <f>IFERROR(__xludf.DUMMYFUNCTION("""COMPUTED_VALUE"""),"André Luis Peres de Souza - Pós-graduação em Gestão Escolar Integradora com Ênfase em Supervisão, Orientação, Administração e Inspeção 740Horas")</f>
        <v>André Luis Peres de Souza - Pós-graduação em Gestão Escolar Integradora com Ênfase em Supervisão, Orientação, Administração e Inspeção 740Horas</v>
      </c>
    </row>
    <row r="1291">
      <c r="A1291" s="390" t="str">
        <f>IFERROR(__xludf.DUMMYFUNCTION("""COMPUTED_VALUE"""),"Josias dos Santos Figueiredo - Formação Livre Psicanálise")</f>
        <v>Josias dos Santos Figueiredo - Formação Livre Psicanálise</v>
      </c>
    </row>
    <row r="1292">
      <c r="A1292" s="390" t="str">
        <f>IFERROR(__xludf.DUMMYFUNCTION("""COMPUTED_VALUE"""),"Mesiuda Lima de Carvalho Costa - #SLPA- Segunda Licenciatura em Pedagogia 01")</f>
        <v>Mesiuda Lima de Carvalho Costa - #SLPA- Segunda Licenciatura em Pedagogia 01</v>
      </c>
    </row>
    <row r="1293">
      <c r="A1293" s="390" t="str">
        <f>IFERROR(__xludf.DUMMYFUNCTION("""COMPUTED_VALUE"""),"Mesiuda Lima de Carvalho Costa - Pós-Graduação Educação Financeira")</f>
        <v>Mesiuda Lima de Carvalho Costa - Pós-Graduação Educação Financeira</v>
      </c>
    </row>
    <row r="1294">
      <c r="A1294" s="390" t="str">
        <f>IFERROR(__xludf.DUMMYFUNCTION("""COMPUTED_VALUE"""),"Mesiuda Lima de Carvalho Costa - Pós-Graduação em Metodologia do Ensino da Matemática")</f>
        <v>Mesiuda Lima de Carvalho Costa - Pós-Graduação em Metodologia do Ensino da Matemática</v>
      </c>
    </row>
    <row r="1295">
      <c r="A1295" s="390" t="str">
        <f>IFERROR(__xludf.DUMMYFUNCTION("""COMPUTED_VALUE"""),"Mesiuda Lima de Carvalho Costa - Pós-Graduação em Docência do Ensino Superior e Tutoria de Educação a Distância")</f>
        <v>Mesiuda Lima de Carvalho Costa - Pós-Graduação em Docência do Ensino Superior e Tutoria de Educação a Distância</v>
      </c>
    </row>
    <row r="1296">
      <c r="A1296" s="390" t="str">
        <f>IFERROR(__xludf.DUMMYFUNCTION("""COMPUTED_VALUE"""),"Ingrid Camondá Pereira Bressani Mazur - #SLMF - Segunda Licenciatura em Música 1320Horas")</f>
        <v>Ingrid Camondá Pereira Bressani Mazur - #SLMF - Segunda Licenciatura em Música 1320Horas</v>
      </c>
    </row>
    <row r="1297">
      <c r="A1297" s="390" t="str">
        <f>IFERROR(__xludf.DUMMYFUNCTION("""COMPUTED_VALUE"""),"Ingrid Camondá Pereira Bressani Mazur - Pós-Graduação em Educação Musical")</f>
        <v>Ingrid Camondá Pereira Bressani Mazur - Pós-Graduação em Educação Musical</v>
      </c>
    </row>
    <row r="1298">
      <c r="A1298" s="390" t="str">
        <f>IFERROR(__xludf.DUMMYFUNCTION("""COMPUTED_VALUE"""),"Antoninho José Augusto da Silva - #SLMF - Segunda Licenciatura em Música 1320Horas")</f>
        <v>Antoninho José Augusto da Silva - #SLMF - Segunda Licenciatura em Música 1320Horas</v>
      </c>
    </row>
    <row r="1299">
      <c r="A1299" s="390" t="str">
        <f>IFERROR(__xludf.DUMMYFUNCTION("""COMPUTED_VALUE"""),"Antoninho José Augusto da Silva - Pós-Graduação em Musicoterapia")</f>
        <v>Antoninho José Augusto da Silva - Pós-Graduação em Musicoterapia</v>
      </c>
    </row>
    <row r="1300">
      <c r="A1300" s="390" t="str">
        <f>IFERROR(__xludf.DUMMYFUNCTION("""COMPUTED_VALUE"""),"Gilzelio de Jesus Souza - Formação Livre Psicanálise")</f>
        <v>Gilzelio de Jesus Souza - Formação Livre Psicanálise</v>
      </c>
    </row>
    <row r="1301">
      <c r="A1301" s="390" t="str">
        <f>IFERROR(__xludf.DUMMYFUNCTION("""COMPUTED_VALUE"""),"Debora Bispo de Oliveira - #SLPA- Segunda Licenciatura em Pedagogia 01")</f>
        <v>Debora Bispo de Oliveira - #SLPA- Segunda Licenciatura em Pedagogia 01</v>
      </c>
    </row>
    <row r="1302">
      <c r="A1302" s="390" t="str">
        <f>IFERROR(__xludf.DUMMYFUNCTION("""COMPUTED_VALUE"""),"Debora Bispo de Oliveira - #SLUP - SEGUNDA LICENCIATURA EM PEDAGOGIA")</f>
        <v>Debora Bispo de Oliveira - #SLUP - SEGUNDA LICENCIATURA EM PEDAGOGIA</v>
      </c>
    </row>
    <row r="1303">
      <c r="A1303" s="390" t="str">
        <f>IFERROR(__xludf.DUMMYFUNCTION("""COMPUTED_VALUE"""),"Debora Bispo de Oliveira - #SLUP - SEGUNDA LICENCIATURA EM PEDAGOGIA")</f>
        <v>Debora Bispo de Oliveira - #SLUP - SEGUNDA LICENCIATURA EM PEDAGOGIA</v>
      </c>
    </row>
    <row r="1304">
      <c r="A1304" s="390" t="str">
        <f>IFERROR(__xludf.DUMMYFUNCTION("""COMPUTED_VALUE"""),"Jhonatan Deymison Saraiva da Silva - #SLMF - Segunda Licenciatura em Música 1320Horas")</f>
        <v>Jhonatan Deymison Saraiva da Silva - #SLMF - Segunda Licenciatura em Música 1320Horas</v>
      </c>
    </row>
    <row r="1305">
      <c r="A1305" s="390" t="str">
        <f>IFERROR(__xludf.DUMMYFUNCTION("""COMPUTED_VALUE"""),"Israel de Sousa Lima - Formação Livre Psicanálise")</f>
        <v>Israel de Sousa Lima - Formação Livre Psicanálise</v>
      </c>
    </row>
    <row r="1306">
      <c r="A1306" s="390" t="str">
        <f>IFERROR(__xludf.DUMMYFUNCTION("""COMPUTED_VALUE"""),"José Carlos da Silva - Pós-Graduação em Psicanálise")</f>
        <v>José Carlos da Silva - Pós-Graduação em Psicanálise</v>
      </c>
    </row>
    <row r="1307">
      <c r="A1307" s="390" t="str">
        <f>IFERROR(__xludf.DUMMYFUNCTION("""COMPUTED_VALUE"""),"José Carlos da Silva - Pós-Graduação Licitações e Contratos Administrativos-520Horas")</f>
        <v>José Carlos da Silva - Pós-Graduação Licitações e Contratos Administrativos-520Horas</v>
      </c>
    </row>
    <row r="1308">
      <c r="A1308" s="390" t="str">
        <f>IFERROR(__xludf.DUMMYFUNCTION("""COMPUTED_VALUE"""),"Lúcia Helena Vieira Santiago - #FPEEF- Formação Pedagógica Educação Física")</f>
        <v>Lúcia Helena Vieira Santiago - #FPEEF- Formação Pedagógica Educação Física</v>
      </c>
    </row>
    <row r="1309">
      <c r="A1309" s="390" t="str">
        <f>IFERROR(__xludf.DUMMYFUNCTION("""COMPUTED_VALUE"""),"Iracilda de Jesus Tavares - #SLPA- Segunda Licenciatura em Pedagogia 01")</f>
        <v>Iracilda de Jesus Tavares - #SLPA- Segunda Licenciatura em Pedagogia 01</v>
      </c>
    </row>
    <row r="1310">
      <c r="A1310" s="390" t="str">
        <f>IFERROR(__xludf.DUMMYFUNCTION("""COMPUTED_VALUE"""),"Saara vieira de Souza bastos - Pós-Graduação em Psicanálise")</f>
        <v>Saara vieira de Souza bastos - Pós-Graduação em Psicanálise</v>
      </c>
    </row>
    <row r="1311">
      <c r="A1311" s="390" t="str">
        <f>IFERROR(__xludf.DUMMYFUNCTION("""COMPUTED_VALUE"""),"Roberta Mendes Batista de Oliveira - Pós-Graduação Terapia Cognitiva Comportamental")</f>
        <v>Roberta Mendes Batista de Oliveira - Pós-Graduação Terapia Cognitiva Comportamental</v>
      </c>
    </row>
    <row r="1312">
      <c r="A1312" s="390" t="str">
        <f>IFERROR(__xludf.DUMMYFUNCTION("""COMPUTED_VALUE"""),"Nathalia Altina de Oliveira Silva - Formação Pedagógica em Letras/Espanhol")</f>
        <v>Nathalia Altina de Oliveira Silva - Formação Pedagógica em Letras/Espanhol</v>
      </c>
    </row>
    <row r="1313">
      <c r="A1313" s="390" t="str">
        <f>IFERROR(__xludf.DUMMYFUNCTION("""COMPUTED_VALUE"""),"Fernando Pereira da Silva - Pós-Graduação em Psicanálise")</f>
        <v>Fernando Pereira da Silva - Pós-Graduação em Psicanálise</v>
      </c>
    </row>
    <row r="1314">
      <c r="A1314" s="390" t="str">
        <f>IFERROR(__xludf.DUMMYFUNCTION("""COMPUTED_VALUE"""),"Fernando Pereira da Silva - Formação Livre Psicanálise")</f>
        <v>Fernando Pereira da Silva - Formação Livre Psicanálise</v>
      </c>
    </row>
    <row r="1315">
      <c r="A1315" s="390" t="str">
        <f>IFERROR(__xludf.DUMMYFUNCTION("""COMPUTED_VALUE"""),"Fabrício Ferreira da Silva - Formação Pedagógica em Matemática")</f>
        <v>Fabrício Ferreira da Silva - Formação Pedagógica em Matemática</v>
      </c>
    </row>
    <row r="1316">
      <c r="A1316" s="390" t="str">
        <f>IFERROR(__xludf.DUMMYFUNCTION("""COMPUTED_VALUE"""),"Nilma Haiser do Sacramento Vieira - #SLEEA - Segunda Licenciatura em Educação Especial")</f>
        <v>Nilma Haiser do Sacramento Vieira - #SLEEA - Segunda Licenciatura em Educação Especial</v>
      </c>
    </row>
    <row r="1317">
      <c r="A1317" s="390" t="str">
        <f>IFERROR(__xludf.DUMMYFUNCTION("""COMPUTED_VALUE"""),"Bernardo Prestes Caldas - Pós-Graduação em Nutrição Esportiva")</f>
        <v>Bernardo Prestes Caldas - Pós-Graduação em Nutrição Esportiva</v>
      </c>
    </row>
    <row r="1318">
      <c r="A1318" s="390" t="str">
        <f>IFERROR(__xludf.DUMMYFUNCTION("""COMPUTED_VALUE"""),"Edina Batista de Souza - #FPP- Formação Pedagógica em Pedagogia R2")</f>
        <v>Edina Batista de Souza - #FPP- Formação Pedagógica em Pedagogia R2</v>
      </c>
    </row>
    <row r="1319">
      <c r="A1319" s="390" t="str">
        <f>IFERROR(__xludf.DUMMYFUNCTION("""COMPUTED_VALUE"""),"Érica Fernanda Camargo Fogaça - #SLHA - Segunda Licenciatura em História")</f>
        <v>Érica Fernanda Camargo Fogaça - #SLHA - Segunda Licenciatura em História</v>
      </c>
    </row>
    <row r="1320">
      <c r="A1320" s="390" t="str">
        <f>IFERROR(__xludf.DUMMYFUNCTION("""COMPUTED_VALUE"""),"Érica Fernanda Camargo Fogaça - Pós-Graduação Educação Especial e Inclusiva")</f>
        <v>Érica Fernanda Camargo Fogaça - Pós-Graduação Educação Especial e Inclusiva</v>
      </c>
    </row>
    <row r="1321">
      <c r="A1321" s="390" t="str">
        <f>IFERROR(__xludf.DUMMYFUNCTION("""COMPUTED_VALUE"""),"Michele Rodrigues de Albuquerque - #SLPA- Segunda Licenciatura em Pedagogia 01")</f>
        <v>Michele Rodrigues de Albuquerque - #SLPA- Segunda Licenciatura em Pedagogia 01</v>
      </c>
    </row>
    <row r="1322">
      <c r="A1322" s="390" t="str">
        <f>IFERROR(__xludf.DUMMYFUNCTION("""COMPUTED_VALUE"""),"Indiara Dias Alves - Formação Livre Psicanálise")</f>
        <v>Indiara Dias Alves - Formação Livre Psicanálise</v>
      </c>
    </row>
    <row r="1323">
      <c r="A1323" s="390" t="str">
        <f>IFERROR(__xludf.DUMMYFUNCTION("""COMPUTED_VALUE"""),"Rejane Laine Beck - Pós-Graduação Educação Especial e Inclusiva")</f>
        <v>Rejane Laine Beck - Pós-Graduação Educação Especial e Inclusiva</v>
      </c>
    </row>
    <row r="1324">
      <c r="A1324" s="390" t="str">
        <f>IFERROR(__xludf.DUMMYFUNCTION("""COMPUTED_VALUE"""),"Rejane Laine Beck - Pós-Graduação em Gestão Escolar Integrada com Ênfase em Supervisão, Orientação, Administração e Inspeção")</f>
        <v>Rejane Laine Beck - Pós-Graduação em Gestão Escolar Integrada com Ênfase em Supervisão, Orientação, Administração e Inspeção</v>
      </c>
    </row>
    <row r="1325">
      <c r="A1325" s="390" t="str">
        <f>IFERROR(__xludf.DUMMYFUNCTION("""COMPUTED_VALUE"""),"Vânia da Silva Veras Monteiro - Pós-Graduação em Psicanálise")</f>
        <v>Vânia da Silva Veras Monteiro - Pós-Graduação em Psicanálise</v>
      </c>
    </row>
    <row r="1326">
      <c r="A1326" s="390" t="str">
        <f>IFERROR(__xludf.DUMMYFUNCTION("""COMPUTED_VALUE"""),"Fábio Rodrigo Silva Santos - Formação Pedagógica História")</f>
        <v>Fábio Rodrigo Silva Santos - Formação Pedagógica História</v>
      </c>
    </row>
    <row r="1327">
      <c r="A1327" s="390" t="str">
        <f>IFERROR(__xludf.DUMMYFUNCTION("""COMPUTED_VALUE"""),"Fábio Rodrigo Silva Santos - Formação Pedagogica em Geografia")</f>
        <v>Fábio Rodrigo Silva Santos - Formação Pedagogica em Geografia</v>
      </c>
    </row>
    <row r="1328">
      <c r="A1328" s="390" t="str">
        <f>IFERROR(__xludf.DUMMYFUNCTION("""COMPUTED_VALUE"""),"Marcelo Junior de Souza - Pós-Graduação em Musicoterapia")</f>
        <v>Marcelo Junior de Souza - Pós-Graduação em Musicoterapia</v>
      </c>
    </row>
    <row r="1329">
      <c r="A1329" s="390" t="str">
        <f>IFERROR(__xludf.DUMMYFUNCTION("""COMPUTED_VALUE"""),"Marcelo Junior de Souza - #FPMF- Formação Pedagógica em Música 1200Horas")</f>
        <v>Marcelo Junior de Souza - #FPMF- Formação Pedagógica em Música 1200Horas</v>
      </c>
    </row>
    <row r="1330">
      <c r="A1330" s="390" t="str">
        <f>IFERROR(__xludf.DUMMYFUNCTION("""COMPUTED_VALUE"""),"Katia Monteiro Rodrigues - #SLIA - Segunda Licenciatura Letras - Inglês")</f>
        <v>Katia Monteiro Rodrigues - #SLIA - Segunda Licenciatura Letras - Inglês</v>
      </c>
    </row>
    <row r="1331">
      <c r="A1331" s="390" t="str">
        <f>IFERROR(__xludf.DUMMYFUNCTION("""COMPUTED_VALUE"""),"Rosimeire Aparecida Martin Rosa - Pós-Graduação em Musicoterapia")</f>
        <v>Rosimeire Aparecida Martin Rosa - Pós-Graduação em Musicoterapia</v>
      </c>
    </row>
    <row r="1332">
      <c r="A1332" s="390" t="str">
        <f>IFERROR(__xludf.DUMMYFUNCTION("""COMPUTED_VALUE"""),"Rosimeire Aparecida Martin Rosa - Pós-Graduação em Arteterapia")</f>
        <v>Rosimeire Aparecida Martin Rosa - Pós-Graduação em Arteterapia</v>
      </c>
    </row>
    <row r="1333">
      <c r="A1333" s="390" t="str">
        <f>IFERROR(__xludf.DUMMYFUNCTION("""COMPUTED_VALUE"""),"Rosimeire Aparecida Martin Rosa - Formação Livre Psicanálise")</f>
        <v>Rosimeire Aparecida Martin Rosa - Formação Livre Psicanálise</v>
      </c>
    </row>
    <row r="1334">
      <c r="A1334" s="390" t="str">
        <f>IFERROR(__xludf.DUMMYFUNCTION("""COMPUTED_VALUE"""),"Rosimeire Aparecida Martin Rosa - Pós-Graduação em Neuropsicologia Clínica")</f>
        <v>Rosimeire Aparecida Martin Rosa - Pós-Graduação em Neuropsicologia Clínica</v>
      </c>
    </row>
    <row r="1335">
      <c r="A1335" s="390" t="str">
        <f>IFERROR(__xludf.DUMMYFUNCTION("""COMPUTED_VALUE"""),"Fabiani da Costa Cruz - #SLPA- Segunda Licenciatura em Pedagogia 01")</f>
        <v>Fabiani da Costa Cruz - #SLPA- Segunda Licenciatura em Pedagogia 01</v>
      </c>
    </row>
    <row r="1336">
      <c r="A1336" s="390" t="str">
        <f>IFERROR(__xludf.DUMMYFUNCTION("""COMPUTED_VALUE"""),"Fabiani da Costa Cruz - Pós-Graduação Alfabetização e Letramento")</f>
        <v>Fabiani da Costa Cruz - Pós-Graduação Alfabetização e Letramento</v>
      </c>
    </row>
    <row r="1337">
      <c r="A1337" s="390" t="str">
        <f>IFERROR(__xludf.DUMMYFUNCTION("""COMPUTED_VALUE"""),"Fabiani da Costa Cruz - #SLUP - SEGUNDA LICENCIATURA EM PEDAGOGIA")</f>
        <v>Fabiani da Costa Cruz - #SLUP - SEGUNDA LICENCIATURA EM PEDAGOGIA</v>
      </c>
    </row>
    <row r="1338">
      <c r="A1338" s="390" t="str">
        <f>IFERROR(__xludf.DUMMYFUNCTION("""COMPUTED_VALUE"""),"Fabiani da Costa Cruz - Pós-Graduação em Alfabetização e Letramento e a Psicopedagogia")</f>
        <v>Fabiani da Costa Cruz - Pós-Graduação em Alfabetização e Letramento e a Psicopedagogia</v>
      </c>
    </row>
    <row r="1339">
      <c r="A1339" s="390" t="str">
        <f>IFERROR(__xludf.DUMMYFUNCTION("""COMPUTED_VALUE"""),"Daniel Vieira da Silva - #SLMF - Segunda Licenciatura em Música 1320Horas")</f>
        <v>Daniel Vieira da Silva - #SLMF - Segunda Licenciatura em Música 1320Horas</v>
      </c>
    </row>
    <row r="1340">
      <c r="A1340" s="390" t="str">
        <f>IFERROR(__xludf.DUMMYFUNCTION("""COMPUTED_VALUE"""),"Jeovana Barbosa de Sousa - #SLPA- Segunda Licenciatura em Pedagogia 01")</f>
        <v>Jeovana Barbosa de Sousa - #SLPA- Segunda Licenciatura em Pedagogia 01</v>
      </c>
    </row>
    <row r="1341">
      <c r="A1341" s="390" t="str">
        <f>IFERROR(__xludf.DUMMYFUNCTION("""COMPUTED_VALUE"""),"Rafael Jackson Maia Magalhães - Formação Livre Psicanálise")</f>
        <v>Rafael Jackson Maia Magalhães - Formação Livre Psicanálise</v>
      </c>
    </row>
    <row r="1342">
      <c r="A1342" s="390" t="str">
        <f>IFERROR(__xludf.DUMMYFUNCTION("""COMPUTED_VALUE"""),"Carlos Eduardo Pires Batista - #SLHA - Segunda Licenciatura em História")</f>
        <v>Carlos Eduardo Pires Batista - #SLHA - Segunda Licenciatura em História</v>
      </c>
    </row>
    <row r="1343">
      <c r="A1343" s="390" t="str">
        <f>IFERROR(__xludf.DUMMYFUNCTION("""COMPUTED_VALUE"""),"Carlos Eduardo Pires Batista - #SLGA - Segunda Licenciatura em Geografia")</f>
        <v>Carlos Eduardo Pires Batista - #SLGA - Segunda Licenciatura em Geografia</v>
      </c>
    </row>
    <row r="1344">
      <c r="A1344" s="390" t="str">
        <f>IFERROR(__xludf.DUMMYFUNCTION("""COMPUTED_VALUE"""),"Carlos Eduardo Pires Batista - SEGUNDA LICENCIATURA EM HISTÓRIA - 2024")</f>
        <v>Carlos Eduardo Pires Batista - SEGUNDA LICENCIATURA EM HISTÓRIA - 2024</v>
      </c>
    </row>
    <row r="1345">
      <c r="A1345" s="390" t="str">
        <f>IFERROR(__xludf.DUMMYFUNCTION("""COMPUTED_VALUE"""),"Charles Vieira Julio - Formação Livre Psicanálise")</f>
        <v>Charles Vieira Julio - Formação Livre Psicanálise</v>
      </c>
    </row>
    <row r="1346">
      <c r="A1346" s="390" t="str">
        <f>IFERROR(__xludf.DUMMYFUNCTION("""COMPUTED_VALUE"""),"Charles Vieira Julio - Formação Livre em Psicanálise-2022")</f>
        <v>Charles Vieira Julio - Formação Livre em Psicanálise-2022</v>
      </c>
    </row>
    <row r="1347">
      <c r="A1347" s="390" t="str">
        <f>IFERROR(__xludf.DUMMYFUNCTION("""COMPUTED_VALUE"""),"Eliete Aparecida Alves da Silva Rosa - Formação Livre Psicanálise")</f>
        <v>Eliete Aparecida Alves da Silva Rosa - Formação Livre Psicanálise</v>
      </c>
    </row>
    <row r="1348">
      <c r="A1348" s="390" t="str">
        <f>IFERROR(__xludf.DUMMYFUNCTION("""COMPUTED_VALUE"""),"Márcio Antônio de Paula - Formação Pedagógica História")</f>
        <v>Márcio Antônio de Paula - Formação Pedagógica História</v>
      </c>
    </row>
    <row r="1349">
      <c r="A1349" s="390" t="str">
        <f>IFERROR(__xludf.DUMMYFUNCTION("""COMPUTED_VALUE"""),"kelin Marques de Souza - #FPEEF- Formação Pedagógica Educação Física")</f>
        <v>kelin Marques de Souza - #FPEEF- Formação Pedagógica Educação Física</v>
      </c>
    </row>
    <row r="1350">
      <c r="A1350" s="390" t="str">
        <f>IFERROR(__xludf.DUMMYFUNCTION("""COMPUTED_VALUE"""),"Kelin Marques de Souza - #FPEEF- Formação Pedagógica Educação Física")</f>
        <v>Kelin Marques de Souza - #FPEEF- Formação Pedagógica Educação Física</v>
      </c>
    </row>
    <row r="1351">
      <c r="A1351" s="390" t="str">
        <f>IFERROR(__xludf.DUMMYFUNCTION("""COMPUTED_VALUE"""),"João Carlos Alves do Nascimento - Formação Livre Psicanálise")</f>
        <v>João Carlos Alves do Nascimento - Formação Livre Psicanálise</v>
      </c>
    </row>
    <row r="1352">
      <c r="A1352" s="390" t="str">
        <f>IFERROR(__xludf.DUMMYFUNCTION("""COMPUTED_VALUE"""),"BERTONI FELICIANO DE SOUZA - Pós-Graduação em Neuropsicologia Clínica")</f>
        <v>BERTONI FELICIANO DE SOUZA - Pós-Graduação em Neuropsicologia Clínica</v>
      </c>
    </row>
    <row r="1353">
      <c r="A1353" s="390" t="str">
        <f>IFERROR(__xludf.DUMMYFUNCTION("""COMPUTED_VALUE"""),"Marcos Antonio Abreu Lima - #SLPA- Segunda Licenciatura em Pedagogia 01")</f>
        <v>Marcos Antonio Abreu Lima - #SLPA- Segunda Licenciatura em Pedagogia 01</v>
      </c>
    </row>
    <row r="1354">
      <c r="A1354" s="390" t="str">
        <f>IFERROR(__xludf.DUMMYFUNCTION("""COMPUTED_VALUE"""),"Alexandre Cardoso de Sousa - #SLMF - Segunda Licenciatura em Música 1320Horas")</f>
        <v>Alexandre Cardoso de Sousa - #SLMF - Segunda Licenciatura em Música 1320Horas</v>
      </c>
    </row>
    <row r="1355">
      <c r="A1355" s="390" t="str">
        <f>IFERROR(__xludf.DUMMYFUNCTION("""COMPUTED_VALUE"""),"Viviane Pires de Araújo - #SLEEA - Segunda Licenciatura em Educação Especial")</f>
        <v>Viviane Pires de Araújo - #SLEEA - Segunda Licenciatura em Educação Especial</v>
      </c>
    </row>
    <row r="1356">
      <c r="A1356" s="390" t="str">
        <f>IFERROR(__xludf.DUMMYFUNCTION("""COMPUTED_VALUE"""),"Eliane Maria Ferreira - #SLPA- Segunda Licenciatura em Pedagogia 01")</f>
        <v>Eliane Maria Ferreira - #SLPA- Segunda Licenciatura em Pedagogia 01</v>
      </c>
    </row>
    <row r="1357">
      <c r="A1357" s="390" t="str">
        <f>IFERROR(__xludf.DUMMYFUNCTION("""COMPUTED_VALUE"""),"Dâmaris aparecida romano giron santos - Formação Livre Psicanálise")</f>
        <v>Dâmaris aparecida romano giron santos - Formação Livre Psicanálise</v>
      </c>
    </row>
    <row r="1358">
      <c r="A1358" s="390" t="str">
        <f>IFERROR(__xludf.DUMMYFUNCTION("""COMPUTED_VALUE"""),"Dâmaris aparecida romano giron santos - Formação Livre  TDAH – Transtorno do Déficit de Atenção e Hiperatividade")</f>
        <v>Dâmaris aparecida romano giron santos - Formação Livre  TDAH – Transtorno do Déficit de Atenção e Hiperatividade</v>
      </c>
    </row>
    <row r="1359">
      <c r="A1359" s="390" t="str">
        <f>IFERROR(__xludf.DUMMYFUNCTION("""COMPUTED_VALUE"""),"Dâmaris aparecida romano giron santos - Capacitação em Terapia em TDAH Clínico")</f>
        <v>Dâmaris aparecida romano giron santos - Capacitação em Terapia em TDAH Clínico</v>
      </c>
    </row>
    <row r="1360">
      <c r="A1360" s="390" t="str">
        <f>IFERROR(__xludf.DUMMYFUNCTION("""COMPUTED_VALUE"""),"Gilberto Da Rosa - #SLEEA - Segunda Licenciatura em Educação Especial")</f>
        <v>Gilberto Da Rosa - #SLEEA - Segunda Licenciatura em Educação Especial</v>
      </c>
    </row>
    <row r="1361">
      <c r="A1361" s="390" t="str">
        <f>IFERROR(__xludf.DUMMYFUNCTION("""COMPUTED_VALUE"""),"Camilla Queiroz Santos - Formação Livre Psicanálise")</f>
        <v>Camilla Queiroz Santos - Formação Livre Psicanálise</v>
      </c>
    </row>
    <row r="1362">
      <c r="A1362" s="390" t="str">
        <f>IFERROR(__xludf.DUMMYFUNCTION("""COMPUTED_VALUE"""),"James Souza da Cruz - Formação Livre em Terapia Cognitiva Comportamental")</f>
        <v>James Souza da Cruz - Formação Livre em Terapia Cognitiva Comportamental</v>
      </c>
    </row>
    <row r="1363">
      <c r="A1363" s="390" t="str">
        <f>IFERROR(__xludf.DUMMYFUNCTION("""COMPUTED_VALUE"""),"James Souza da Cruz - Formação Livre em Sexologia")</f>
        <v>James Souza da Cruz - Formação Livre em Sexologia</v>
      </c>
    </row>
    <row r="1364">
      <c r="A1364" s="390" t="str">
        <f>IFERROR(__xludf.DUMMYFUNCTION("""COMPUTED_VALUE"""),"Gleicy Anne Alves Pereira Caboclo - #SLPA- Segunda Licenciatura em Pedagogia 01")</f>
        <v>Gleicy Anne Alves Pereira Caboclo - #SLPA- Segunda Licenciatura em Pedagogia 01</v>
      </c>
    </row>
    <row r="1365">
      <c r="A1365" s="390" t="str">
        <f>IFERROR(__xludf.DUMMYFUNCTION("""COMPUTED_VALUE"""),"Gleicy Anne Alves Pereira Caboclo - #SLUP - SEGUNDA LICENCIATURA EM PEDAGOGIA")</f>
        <v>Gleicy Anne Alves Pereira Caboclo - #SLUP - SEGUNDA LICENCIATURA EM PEDAGOGIA</v>
      </c>
    </row>
    <row r="1366">
      <c r="A1366" s="390" t="str">
        <f>IFERROR(__xludf.DUMMYFUNCTION("""COMPUTED_VALUE"""),"Adriana Pinto Ribeiro - Formação Pedagógica em Artes Visuais")</f>
        <v>Adriana Pinto Ribeiro - Formação Pedagógica em Artes Visuais</v>
      </c>
    </row>
    <row r="1367">
      <c r="A1367" s="390" t="str">
        <f>IFERROR(__xludf.DUMMYFUNCTION("""COMPUTED_VALUE"""),"Adriana Pinto Ribeiro - #FPUA- Formação Pedagógica em Artes Visuais")</f>
        <v>Adriana Pinto Ribeiro - #FPUA- Formação Pedagógica em Artes Visuais</v>
      </c>
    </row>
    <row r="1368">
      <c r="A1368" s="390" t="str">
        <f>IFERROR(__xludf.DUMMYFUNCTION("""COMPUTED_VALUE"""),"ANTONIEL DA CONCEIÇÃO ARAUJO - #SLPA- Segunda Licenciatura em Pedagogia 01")</f>
        <v>ANTONIEL DA CONCEIÇÃO ARAUJO - #SLPA- Segunda Licenciatura em Pedagogia 01</v>
      </c>
    </row>
    <row r="1369">
      <c r="A1369" s="390" t="str">
        <f>IFERROR(__xludf.DUMMYFUNCTION("""COMPUTED_VALUE"""),"Simone oliveira castro lemes - #FPP- Formação Pedagógica em Pedagogia R2")</f>
        <v>Simone oliveira castro lemes - #FPP- Formação Pedagógica em Pedagogia R2</v>
      </c>
    </row>
    <row r="1370">
      <c r="A1370" s="390" t="str">
        <f>IFERROR(__xludf.DUMMYFUNCTION("""COMPUTED_VALUE"""),"Simone oliveira castro lemes - #FPUEF - Formação Pedagógica em Educação Física - 1200 Horas")</f>
        <v>Simone oliveira castro lemes - #FPUEF - Formação Pedagógica em Educação Física - 1200 Horas</v>
      </c>
    </row>
    <row r="1371">
      <c r="A1371" s="390" t="str">
        <f>IFERROR(__xludf.DUMMYFUNCTION("""COMPUTED_VALUE"""),"Wanderson Fernandes Fonseca - #SLMF - Segunda Licenciatura em Música 1320Horas")</f>
        <v>Wanderson Fernandes Fonseca - #SLMF - Segunda Licenciatura em Música 1320Horas</v>
      </c>
    </row>
    <row r="1372">
      <c r="A1372" s="390" t="str">
        <f>IFERROR(__xludf.DUMMYFUNCTION("""COMPUTED_VALUE"""),"Alexandre Lazarotto Lago - #SLSEA - Segunda Licenciatura Letras - Espanhol")</f>
        <v>Alexandre Lazarotto Lago - #SLSEA - Segunda Licenciatura Letras - Espanhol</v>
      </c>
    </row>
    <row r="1373">
      <c r="A1373" s="390" t="str">
        <f>IFERROR(__xludf.DUMMYFUNCTION("""COMPUTED_VALUE"""),"Alexandre Lazarotto Lago - #SLUP - SEGUNDA LICENCIATURA EM PEDAGOGIA")</f>
        <v>Alexandre Lazarotto Lago - #SLUP - SEGUNDA LICENCIATURA EM PEDAGOGIA</v>
      </c>
    </row>
    <row r="1374">
      <c r="A1374" s="390" t="str">
        <f>IFERROR(__xludf.DUMMYFUNCTION("""COMPUTED_VALUE"""),"Adriana  pinto ribeiro - Formação Pedagógica em Artes Visuais")</f>
        <v>Adriana  pinto ribeiro - Formação Pedagógica em Artes Visuais</v>
      </c>
    </row>
    <row r="1375">
      <c r="A1375" s="390" t="str">
        <f>IFERROR(__xludf.DUMMYFUNCTION("""COMPUTED_VALUE"""),"Alexandre Lazarotto Lago - #SLSEA - Segunda Licenciatura Letras - Espanhol")</f>
        <v>Alexandre Lazarotto Lago - #SLSEA - Segunda Licenciatura Letras - Espanhol</v>
      </c>
    </row>
    <row r="1376">
      <c r="A1376" s="390" t="str">
        <f>IFERROR(__xludf.DUMMYFUNCTION("""COMPUTED_VALUE"""),"Flávia Corrêa Natal - Pós-Graduação em Neuropsicologia Clínica")</f>
        <v>Flávia Corrêa Natal - Pós-Graduação em Neuropsicologia Clínica</v>
      </c>
    </row>
    <row r="1377">
      <c r="A1377" s="390" t="str">
        <f>IFERROR(__xludf.DUMMYFUNCTION("""COMPUTED_VALUE"""),"Leomar de Oliveira da Ressureição - Pós-Graduação em Neuropsicopedagogia Clínica e Institucional")</f>
        <v>Leomar de Oliveira da Ressureição - Pós-Graduação em Neuropsicopedagogia Clínica e Institucional</v>
      </c>
    </row>
    <row r="1378">
      <c r="A1378" s="390" t="str">
        <f>IFERROR(__xludf.DUMMYFUNCTION("""COMPUTED_VALUE"""),"Ângelo Ribeiro Fróes - #SLMF - Segunda Licenciatura em Música 1320Horas")</f>
        <v>Ângelo Ribeiro Fróes - #SLMF - Segunda Licenciatura em Música 1320Horas</v>
      </c>
    </row>
    <row r="1379">
      <c r="A1379" s="390" t="str">
        <f>IFERROR(__xludf.DUMMYFUNCTION("""COMPUTED_VALUE"""),"Alex Bonfim Siqueira - #SLPA- Segunda Licenciatura em Pedagogia 01")</f>
        <v>Alex Bonfim Siqueira - #SLPA- Segunda Licenciatura em Pedagogia 01</v>
      </c>
    </row>
    <row r="1380">
      <c r="A1380" s="390" t="str">
        <f>IFERROR(__xludf.DUMMYFUNCTION("""COMPUTED_VALUE"""),"Alex Bonfim Siqueira - Pós-Graduação em Sexologia")</f>
        <v>Alex Bonfim Siqueira - Pós-Graduação em Sexologia</v>
      </c>
    </row>
    <row r="1381">
      <c r="A1381" s="390" t="str">
        <f>IFERROR(__xludf.DUMMYFUNCTION("""COMPUTED_VALUE"""),"Alex Bonfim Siqueira - #SLUM - SEGUNDA LICENCIATURA EM MATEMÁTICA")</f>
        <v>Alex Bonfim Siqueira - #SLUM - SEGUNDA LICENCIATURA EM MATEMÁTICA</v>
      </c>
    </row>
    <row r="1382">
      <c r="A1382" s="390" t="str">
        <f>IFERROR(__xludf.DUMMYFUNCTION("""COMPUTED_VALUE"""),"Alex Bonfim Siqueira - #SLUP - SEGUNDA LICENCIATURA EM PEDAGOGIA")</f>
        <v>Alex Bonfim Siqueira - #SLUP - SEGUNDA LICENCIATURA EM PEDAGOGIA</v>
      </c>
    </row>
    <row r="1383">
      <c r="A1383" s="390" t="str">
        <f>IFERROR(__xludf.DUMMYFUNCTION("""COMPUTED_VALUE"""),"Alex Bonfim Siqueira - Pós-Graduação Neurociência e Aprendizagem")</f>
        <v>Alex Bonfim Siqueira - Pós-Graduação Neurociência e Aprendizagem</v>
      </c>
    </row>
    <row r="1384">
      <c r="A1384" s="390" t="str">
        <f>IFERROR(__xludf.DUMMYFUNCTION("""COMPUTED_VALUE"""),"Alex Bonfim Siqueira - #SLMA - Segunda Licenciatura Matemática")</f>
        <v>Alex Bonfim Siqueira - #SLMA - Segunda Licenciatura Matemática</v>
      </c>
    </row>
    <row r="1385">
      <c r="A1385" s="390" t="str">
        <f>IFERROR(__xludf.DUMMYFUNCTION("""COMPUTED_VALUE"""),"Alex Bonfim Siqueira - Pós-Graduação em Alfabetização e Letramento e a Psicopedagogia")</f>
        <v>Alex Bonfim Siqueira - Pós-Graduação em Alfabetização e Letramento e a Psicopedagogia</v>
      </c>
    </row>
    <row r="1386">
      <c r="A1386" s="390" t="str">
        <f>IFERROR(__xludf.DUMMYFUNCTION("""COMPUTED_VALUE"""),"Alex Bonfim Siqueira - SEGUNDA LICENCIATURA EM EDUCAÇÃO FÍSICA - 2024")</f>
        <v>Alex Bonfim Siqueira - SEGUNDA LICENCIATURA EM EDUCAÇÃO FÍSICA - 2024</v>
      </c>
    </row>
    <row r="1387">
      <c r="A1387" s="390" t="str">
        <f>IFERROR(__xludf.DUMMYFUNCTION("""COMPUTED_VALUE"""),"Maynan Souza Guedes Rosa - #SLPA- Segunda Licenciatura em Pedagogia 01")</f>
        <v>Maynan Souza Guedes Rosa - #SLPA- Segunda Licenciatura em Pedagogia 01</v>
      </c>
    </row>
    <row r="1388">
      <c r="A1388" s="390" t="str">
        <f>IFERROR(__xludf.DUMMYFUNCTION("""COMPUTED_VALUE"""),"Andreia Gonçalves do espírito santo - #FPP- Formação Pedagógica em Pedagogia R2")</f>
        <v>Andreia Gonçalves do espírito santo - #FPP- Formação Pedagógica em Pedagogia R2</v>
      </c>
    </row>
    <row r="1389">
      <c r="A1389" s="390" t="str">
        <f>IFERROR(__xludf.DUMMYFUNCTION("""COMPUTED_VALUE"""),"Andreia Gonçalves do espírito santo - #FPUP-FORMAÇÃO PEDAGÓGICA EM PEDAGOGIA- U")</f>
        <v>Andreia Gonçalves do espírito santo - #FPUP-FORMAÇÃO PEDAGÓGICA EM PEDAGOGIA- U</v>
      </c>
    </row>
    <row r="1390">
      <c r="A1390" s="390" t="str">
        <f>IFERROR(__xludf.DUMMYFUNCTION("""COMPUTED_VALUE"""),"GABRIELA CARDADOR - Pós-Graduação em MBA em Administração Pessoal")</f>
        <v>GABRIELA CARDADOR - Pós-Graduação em MBA em Administração Pessoal</v>
      </c>
    </row>
    <row r="1391">
      <c r="A1391" s="390" t="str">
        <f>IFERROR(__xludf.DUMMYFUNCTION("""COMPUTED_VALUE"""),"Raquel Cantanhede - #SLPA- Segunda Licenciatura em Pedagogia 01")</f>
        <v>Raquel Cantanhede - #SLPA- Segunda Licenciatura em Pedagogia 01</v>
      </c>
    </row>
    <row r="1392">
      <c r="A1392" s="390" t="str">
        <f>IFERROR(__xludf.DUMMYFUNCTION("""COMPUTED_VALUE"""),"Welton Santana da Silva - #FPP- Formação Pedagógica em Pedagogia R2")</f>
        <v>Welton Santana da Silva - #FPP- Formação Pedagógica em Pedagogia R2</v>
      </c>
    </row>
    <row r="1393">
      <c r="A1393" s="390" t="str">
        <f>IFERROR(__xludf.DUMMYFUNCTION("""COMPUTED_VALUE"""),"Welton Santana da Silva - #SLPA- Segunda Licenciatura em Pedagogia 01")</f>
        <v>Welton Santana da Silva - #SLPA- Segunda Licenciatura em Pedagogia 01</v>
      </c>
    </row>
    <row r="1394">
      <c r="A1394" s="390" t="str">
        <f>IFERROR(__xludf.DUMMYFUNCTION("""COMPUTED_VALUE"""),"Renate Baron - #SLIA - Segunda Licenciatura Letras - Inglês")</f>
        <v>Renate Baron - #SLIA - Segunda Licenciatura Letras - Inglês</v>
      </c>
    </row>
    <row r="1395">
      <c r="A1395" s="390" t="str">
        <f>IFERROR(__xludf.DUMMYFUNCTION("""COMPUTED_VALUE"""),"Kety Adriana Bichet - #SLMF - Segunda Licenciatura em Música 1320Horas")</f>
        <v>Kety Adriana Bichet - #SLMF - Segunda Licenciatura em Música 1320Horas</v>
      </c>
    </row>
    <row r="1396">
      <c r="A1396" s="390" t="str">
        <f>IFERROR(__xludf.DUMMYFUNCTION("""COMPUTED_VALUE"""),"Kety Adriana Bichet - #SLPA- Segunda Licenciatura em Pedagogia 01")</f>
        <v>Kety Adriana Bichet - #SLPA- Segunda Licenciatura em Pedagogia 01</v>
      </c>
    </row>
    <row r="1397">
      <c r="A1397" s="390" t="str">
        <f>IFERROR(__xludf.DUMMYFUNCTION("""COMPUTED_VALUE"""),"Kety Adriana Bichet - #SLEEA - Segunda Licenciatura em Educação Especial")</f>
        <v>Kety Adriana Bichet - #SLEEA - Segunda Licenciatura em Educação Especial</v>
      </c>
    </row>
    <row r="1398">
      <c r="A1398" s="390" t="str">
        <f>IFERROR(__xludf.DUMMYFUNCTION("""COMPUTED_VALUE"""),"Kety Adriana Bichet - Pós-Graduação em Musicoterapia")</f>
        <v>Kety Adriana Bichet - Pós-Graduação em Musicoterapia</v>
      </c>
    </row>
    <row r="1399">
      <c r="A1399" s="390" t="str">
        <f>IFERROR(__xludf.DUMMYFUNCTION("""COMPUTED_VALUE"""),"Kety Adriana Bichet - Pós-Graduação em Alfabetização e Letramento e a Psicopedagogia")</f>
        <v>Kety Adriana Bichet - Pós-Graduação em Alfabetização e Letramento e a Psicopedagogia</v>
      </c>
    </row>
    <row r="1400">
      <c r="A1400" s="390" t="str">
        <f>IFERROR(__xludf.DUMMYFUNCTION("""COMPUTED_VALUE"""),"Maria Aparecida Novais Tudeia - #SLEEA - Segunda Licenciatura em Educação Especial")</f>
        <v>Maria Aparecida Novais Tudeia - #SLEEA - Segunda Licenciatura em Educação Especial</v>
      </c>
    </row>
    <row r="1401">
      <c r="A1401" s="390" t="str">
        <f>IFERROR(__xludf.DUMMYFUNCTION("""COMPUTED_VALUE"""),"Marcio Pedro da Silva - Formação Pedagógica em Matemática")</f>
        <v>Marcio Pedro da Silva - Formação Pedagógica em Matemática</v>
      </c>
    </row>
    <row r="1402">
      <c r="A1402" s="390" t="str">
        <f>IFERROR(__xludf.DUMMYFUNCTION("""COMPUTED_VALUE"""),"Maria Carolina Passos - Pós-Graduação em Neuropsicopedagogia Clínica e Institucional")</f>
        <v>Maria Carolina Passos - Pós-Graduação em Neuropsicopedagogia Clínica e Institucional</v>
      </c>
    </row>
    <row r="1403">
      <c r="A1403" s="390" t="str">
        <f>IFERROR(__xludf.DUMMYFUNCTION("""COMPUTED_VALUE"""),"Claudio Rocha Lima - #SLMF - Segunda Licenciatura em Música 1320Horas")</f>
        <v>Claudio Rocha Lima - #SLMF - Segunda Licenciatura em Música 1320Horas</v>
      </c>
    </row>
    <row r="1404">
      <c r="A1404" s="390" t="str">
        <f>IFERROR(__xludf.DUMMYFUNCTION("""COMPUTED_VALUE"""),"Claudio Rocha Lima - Pós-Graduação em Ensino de Artes")</f>
        <v>Claudio Rocha Lima - Pós-Graduação em Ensino de Artes</v>
      </c>
    </row>
    <row r="1405">
      <c r="A1405" s="390" t="str">
        <f>IFERROR(__xludf.DUMMYFUNCTION("""COMPUTED_VALUE"""),"Claudio Rocha Lima - #SLMF - Segunda Licenciatura em Música 1320Horas")</f>
        <v>Claudio Rocha Lima - #SLMF - Segunda Licenciatura em Música 1320Horas</v>
      </c>
    </row>
    <row r="1406">
      <c r="A1406" s="390" t="str">
        <f>IFERROR(__xludf.DUMMYFUNCTION("""COMPUTED_VALUE"""),"Jéssica Queiróz - #SLMF - Segunda Licenciatura em Música 1320Horas")</f>
        <v>Jéssica Queiróz - #SLMF - Segunda Licenciatura em Música 1320Horas</v>
      </c>
    </row>
    <row r="1407">
      <c r="A1407" s="390" t="str">
        <f>IFERROR(__xludf.DUMMYFUNCTION("""COMPUTED_VALUE"""),"Jéssica Queiróz - #FPMF- Formação Pedagógica em Música 1200Horas")</f>
        <v>Jéssica Queiróz - #FPMF- Formação Pedagógica em Música 1200Horas</v>
      </c>
    </row>
    <row r="1408">
      <c r="A1408" s="390" t="str">
        <f>IFERROR(__xludf.DUMMYFUNCTION("""COMPUTED_VALUE"""),"Jéssica Queiróz - PÓS-GRADUAÇÃO EM MUSICOTERAPIA-2022")</f>
        <v>Jéssica Queiróz - PÓS-GRADUAÇÃO EM MUSICOTERAPIA-2022</v>
      </c>
    </row>
    <row r="1409">
      <c r="A1409" s="390" t="str">
        <f>IFERROR(__xludf.DUMMYFUNCTION("""COMPUTED_VALUE"""),"Jéssica Queiróz - Pós-Graduação em Análise de Comportamento Aplicada ao Autismo-ABA Com Habilitação em Docência no Ensino Superior")</f>
        <v>Jéssica Queiróz - Pós-Graduação em Análise de Comportamento Aplicada ao Autismo-ABA Com Habilitação em Docência no Ensino Superior</v>
      </c>
    </row>
    <row r="1410">
      <c r="A1410" s="390" t="str">
        <f>IFERROR(__xludf.DUMMYFUNCTION("""COMPUTED_VALUE"""),"Jussara Ilma da Silva Quintiliano - Formação Pedagogica em Geografia")</f>
        <v>Jussara Ilma da Silva Quintiliano - Formação Pedagogica em Geografia</v>
      </c>
    </row>
    <row r="1411">
      <c r="A1411" s="390" t="str">
        <f>IFERROR(__xludf.DUMMYFUNCTION("""COMPUTED_VALUE"""),"Amauri José do Nascimento - #FPEEF- Formação Pedagógica Educação Física")</f>
        <v>Amauri José do Nascimento - #FPEEF- Formação Pedagógica Educação Física</v>
      </c>
    </row>
    <row r="1412">
      <c r="A1412" s="390" t="str">
        <f>IFERROR(__xludf.DUMMYFUNCTION("""COMPUTED_VALUE"""),"Amauri José do Nascimento - FORMAÇÃO PEDAGÓGICA EM MÚSICA - 2024")</f>
        <v>Amauri José do Nascimento - FORMAÇÃO PEDAGÓGICA EM MÚSICA - 2024</v>
      </c>
    </row>
    <row r="1413">
      <c r="A1413" s="390" t="str">
        <f>IFERROR(__xludf.DUMMYFUNCTION("""COMPUTED_VALUE"""),"Delcia Cristina de Oliveira - #FPEEF- Formação Pedagógica Educação Física")</f>
        <v>Delcia Cristina de Oliveira - #FPEEF- Formação Pedagógica Educação Física</v>
      </c>
    </row>
    <row r="1414">
      <c r="A1414" s="390" t="str">
        <f>IFERROR(__xludf.DUMMYFUNCTION("""COMPUTED_VALUE"""),"Delcia Cristina de Oliveira - FORMAÇÃO PEDAGÓGICA EM GEOGRAFIA- U")</f>
        <v>Delcia Cristina de Oliveira - FORMAÇÃO PEDAGÓGICA EM GEOGRAFIA- U</v>
      </c>
    </row>
    <row r="1415">
      <c r="A1415" s="390" t="str">
        <f>IFERROR(__xludf.DUMMYFUNCTION("""COMPUTED_VALUE"""),"NIVALDO DA SILVA LIMA - Pós-Graduação em Psicanálise")</f>
        <v>NIVALDO DA SILVA LIMA - Pós-Graduação em Psicanálise</v>
      </c>
    </row>
    <row r="1416">
      <c r="A1416" s="390" t="str">
        <f>IFERROR(__xludf.DUMMYFUNCTION("""COMPUTED_VALUE"""),"Bruno Wilwert Tomio - #SLGA - Segunda Licenciatura em Geografia")</f>
        <v>Bruno Wilwert Tomio - #SLGA - Segunda Licenciatura em Geografia</v>
      </c>
    </row>
    <row r="1417">
      <c r="A1417" s="390" t="str">
        <f>IFERROR(__xludf.DUMMYFUNCTION("""COMPUTED_VALUE"""),"Bruno Wilwert Tomio - Pós-Graduação em Gestão Escolar")</f>
        <v>Bruno Wilwert Tomio - Pós-Graduação em Gestão Escolar</v>
      </c>
    </row>
    <row r="1418">
      <c r="A1418" s="390" t="str">
        <f>IFERROR(__xludf.DUMMYFUNCTION("""COMPUTED_VALUE"""),"Marcela Sousa Silva - #SLPA- Segunda Licenciatura em Pedagogia 01")</f>
        <v>Marcela Sousa Silva - #SLPA- Segunda Licenciatura em Pedagogia 01</v>
      </c>
    </row>
    <row r="1419">
      <c r="A1419" s="390" t="str">
        <f>IFERROR(__xludf.DUMMYFUNCTION("""COMPUTED_VALUE"""),"Marcela Sousa Silva - Pós-Graduação Educação Especial e Inclusiva")</f>
        <v>Marcela Sousa Silva - Pós-Graduação Educação Especial e Inclusiva</v>
      </c>
    </row>
    <row r="1420">
      <c r="A1420" s="390" t="str">
        <f>IFERROR(__xludf.DUMMYFUNCTION("""COMPUTED_VALUE"""),"Marcela Sousa Silva - Pós-Graduação em Coordenação e Orientação Escolar")</f>
        <v>Marcela Sousa Silva - Pós-Graduação em Coordenação e Orientação Escolar</v>
      </c>
    </row>
    <row r="1421">
      <c r="A1421" s="390" t="str">
        <f>IFERROR(__xludf.DUMMYFUNCTION("""COMPUTED_VALUE"""),"Marcela Sousa Silva - Pós-Graduação Educação Especial e Inclusiva")</f>
        <v>Marcela Sousa Silva - Pós-Graduação Educação Especial e Inclusiva</v>
      </c>
    </row>
    <row r="1422">
      <c r="A1422" s="390" t="str">
        <f>IFERROR(__xludf.DUMMYFUNCTION("""COMPUTED_VALUE"""),"Marcela Sousa Silva - Pós-Graduação em Coordenação e Orientação Escolar")</f>
        <v>Marcela Sousa Silva - Pós-Graduação em Coordenação e Orientação Escolar</v>
      </c>
    </row>
    <row r="1423">
      <c r="A1423" s="390" t="str">
        <f>IFERROR(__xludf.DUMMYFUNCTION("""COMPUTED_VALUE"""),"Denys Gustavo da Silva Paschoa - Formação Pedagogica em Geografia")</f>
        <v>Denys Gustavo da Silva Paschoa - Formação Pedagogica em Geografia</v>
      </c>
    </row>
    <row r="1424">
      <c r="A1424" s="390" t="str">
        <f>IFERROR(__xludf.DUMMYFUNCTION("""COMPUTED_VALUE"""),"Breno Sozinho Pinheiro - #SLPA- Segunda Licenciatura em Pedagogia 01")</f>
        <v>Breno Sozinho Pinheiro - #SLPA- Segunda Licenciatura em Pedagogia 01</v>
      </c>
    </row>
    <row r="1425">
      <c r="A1425" s="390" t="str">
        <f>IFERROR(__xludf.DUMMYFUNCTION("""COMPUTED_VALUE"""),"FRANCIMARA DE SOUSA LIMA - #SLPA- Segunda Licenciatura em Pedagogia 01")</f>
        <v>FRANCIMARA DE SOUSA LIMA - #SLPA- Segunda Licenciatura em Pedagogia 01</v>
      </c>
    </row>
    <row r="1426">
      <c r="A1426" s="390" t="str">
        <f>IFERROR(__xludf.DUMMYFUNCTION("""COMPUTED_VALUE"""),"Letúzia Filomena dos Reis Costa - #SLPA- Segunda Licenciatura em Pedagogia 01")</f>
        <v>Letúzia Filomena dos Reis Costa - #SLPA- Segunda Licenciatura em Pedagogia 01</v>
      </c>
    </row>
    <row r="1427">
      <c r="A1427" s="390" t="str">
        <f>IFERROR(__xludf.DUMMYFUNCTION("""COMPUTED_VALUE"""),"josinete Silva da Silva - Pós-Graduação em Terapia em ABA- Análise do Comportamento Aplicada Clínica")</f>
        <v>josinete Silva da Silva - Pós-Graduação em Terapia em ABA- Análise do Comportamento Aplicada Clínica</v>
      </c>
    </row>
    <row r="1428">
      <c r="A1428" s="390" t="str">
        <f>IFERROR(__xludf.DUMMYFUNCTION("""COMPUTED_VALUE"""),"Marcel Ribeiro Risso - Formação Pedagógica em Matemática")</f>
        <v>Marcel Ribeiro Risso - Formação Pedagógica em Matemática</v>
      </c>
    </row>
    <row r="1429">
      <c r="A1429" s="390" t="str">
        <f>IFERROR(__xludf.DUMMYFUNCTION("""COMPUTED_VALUE"""),"Marcel Ribeiro Risso - Pós-Graduação em Inteligência Artificial")</f>
        <v>Marcel Ribeiro Risso - Pós-Graduação em Inteligência Artificial</v>
      </c>
    </row>
    <row r="1430">
      <c r="A1430" s="390" t="str">
        <f>IFERROR(__xludf.DUMMYFUNCTION("""COMPUTED_VALUE"""),"Rodrigo Kucarz - #SLMF - Segunda Licenciatura em Música 1320Horas")</f>
        <v>Rodrigo Kucarz - #SLMF - Segunda Licenciatura em Música 1320Horas</v>
      </c>
    </row>
    <row r="1431">
      <c r="A1431" s="390" t="str">
        <f>IFERROR(__xludf.DUMMYFUNCTION("""COMPUTED_VALUE"""),"Rodrigo Kucarz - #SLUC - SEGUNDA LICENCIATURA EM CIÊNCIAS DA RELIGIÃO- U")</f>
        <v>Rodrigo Kucarz - #SLUC - SEGUNDA LICENCIATURA EM CIÊNCIAS DA RELIGIÃO- U</v>
      </c>
    </row>
    <row r="1432">
      <c r="A1432" s="390" t="str">
        <f>IFERROR(__xludf.DUMMYFUNCTION("""COMPUTED_VALUE"""),"Mirella Guimarães da Silva - #SLPA- Segunda Licenciatura em Pedagogia 01")</f>
        <v>Mirella Guimarães da Silva - #SLPA- Segunda Licenciatura em Pedagogia 01</v>
      </c>
    </row>
    <row r="1433">
      <c r="A1433" s="390" t="str">
        <f>IFERROR(__xludf.DUMMYFUNCTION("""COMPUTED_VALUE"""),"LENINE ANTONIO DOS REIS - Pós-Graduação em Metodologia Ativas e Tecnologias Educacionais")</f>
        <v>LENINE ANTONIO DOS REIS - Pós-Graduação em Metodologia Ativas e Tecnologias Educacionais</v>
      </c>
    </row>
    <row r="1434">
      <c r="A1434" s="390" t="str">
        <f>IFERROR(__xludf.DUMMYFUNCTION("""COMPUTED_VALUE"""),"Janaína Silva Oliveira Samparras - #SLPA- Segunda Licenciatura em Pedagogia 01")</f>
        <v>Janaína Silva Oliveira Samparras - #SLPA- Segunda Licenciatura em Pedagogia 01</v>
      </c>
    </row>
    <row r="1435">
      <c r="A1435" s="390" t="str">
        <f>IFERROR(__xludf.DUMMYFUNCTION("""COMPUTED_VALUE"""),"Janaína Silva Oliveira Samparras - #SLUP - SEGUNDA LICENCIATURA EM PEDAGOGIA")</f>
        <v>Janaína Silva Oliveira Samparras - #SLUP - SEGUNDA LICENCIATURA EM PEDAGOGIA</v>
      </c>
    </row>
    <row r="1436">
      <c r="A1436" s="390" t="str">
        <f>IFERROR(__xludf.DUMMYFUNCTION("""COMPUTED_VALUE"""),"Gabriel pigosso ribeiro - #SLHA - Segunda Licenciatura em História")</f>
        <v>Gabriel pigosso ribeiro - #SLHA - Segunda Licenciatura em História</v>
      </c>
    </row>
    <row r="1437">
      <c r="A1437" s="390" t="str">
        <f>IFERROR(__xludf.DUMMYFUNCTION("""COMPUTED_VALUE"""),"Gabriel pigosso ribeiro - #SLLLA - Segunda Licenciatura em Letras - Libras")</f>
        <v>Gabriel pigosso ribeiro - #SLLLA - Segunda Licenciatura em Letras - Libras</v>
      </c>
    </row>
    <row r="1438">
      <c r="A1438" s="390" t="str">
        <f>IFERROR(__xludf.DUMMYFUNCTION("""COMPUTED_VALUE"""),"Clarisse de souza - #SLPA- Segunda Licenciatura em Pedagogia 01")</f>
        <v>Clarisse de souza - #SLPA- Segunda Licenciatura em Pedagogia 01</v>
      </c>
    </row>
    <row r="1439">
      <c r="A1439" s="390" t="str">
        <f>IFERROR(__xludf.DUMMYFUNCTION("""COMPUTED_VALUE"""),"Clarisse de souza - #SLEEA - Segunda Licenciatura em Educação Especial")</f>
        <v>Clarisse de souza - #SLEEA - Segunda Licenciatura em Educação Especial</v>
      </c>
    </row>
    <row r="1440">
      <c r="A1440" s="390" t="str">
        <f>IFERROR(__xludf.DUMMYFUNCTION("""COMPUTED_VALUE"""),"Tiago da Silva Borges - #SLPA- Segunda Licenciatura em Pedagogia 01")</f>
        <v>Tiago da Silva Borges - #SLPA- Segunda Licenciatura em Pedagogia 01</v>
      </c>
    </row>
    <row r="1441">
      <c r="A1441" s="390" t="str">
        <f>IFERROR(__xludf.DUMMYFUNCTION("""COMPUTED_VALUE"""),"Tiago da Silva Borges - #SLUP - SEGUNDA LICENCIATURA EM PEDAGOGIA")</f>
        <v>Tiago da Silva Borges - #SLUP - SEGUNDA LICENCIATURA EM PEDAGOGIA</v>
      </c>
    </row>
    <row r="1442">
      <c r="A1442" s="390" t="str">
        <f>IFERROR(__xludf.DUMMYFUNCTION("""COMPUTED_VALUE"""),"Arthur Tenório da Silva Neto - #FPMF- Formação Pedagógica em Música 1200Horas")</f>
        <v>Arthur Tenório da Silva Neto - #FPMF- Formação Pedagógica em Música 1200Horas</v>
      </c>
    </row>
    <row r="1443">
      <c r="A1443" s="390" t="str">
        <f>IFERROR(__xludf.DUMMYFUNCTION("""COMPUTED_VALUE"""),"BENEDITO GARCIA REBOUCAS FILHO - #SLPA- Segunda Licenciatura em Pedagogia 01")</f>
        <v>BENEDITO GARCIA REBOUCAS FILHO - #SLPA- Segunda Licenciatura em Pedagogia 01</v>
      </c>
    </row>
    <row r="1444">
      <c r="A1444" s="390" t="str">
        <f>IFERROR(__xludf.DUMMYFUNCTION("""COMPUTED_VALUE"""),"Soren Joy César Santana Fernandes - #SLPA- Segunda Licenciatura em Pedagogia 01")</f>
        <v>Soren Joy César Santana Fernandes - #SLPA- Segunda Licenciatura em Pedagogia 01</v>
      </c>
    </row>
    <row r="1445">
      <c r="A1445" s="390" t="str">
        <f>IFERROR(__xludf.DUMMYFUNCTION("""COMPUTED_VALUE"""),"FABILSON SANTOS LIMA - #SLPA- Segunda Licenciatura em Pedagogia 01")</f>
        <v>FABILSON SANTOS LIMA - #SLPA- Segunda Licenciatura em Pedagogia 01</v>
      </c>
    </row>
    <row r="1446">
      <c r="A1446" s="390" t="str">
        <f>IFERROR(__xludf.DUMMYFUNCTION("""COMPUTED_VALUE"""),"RAFAEL CAMPOS MORAIS - #SLEEF- Segunda Licenciatura Educação Física")</f>
        <v>RAFAEL CAMPOS MORAIS - #SLEEF- Segunda Licenciatura Educação Física</v>
      </c>
    </row>
    <row r="1447">
      <c r="A1447" s="390" t="str">
        <f>IFERROR(__xludf.DUMMYFUNCTION("""COMPUTED_VALUE"""),"RAFAEL CAMPOS MORAIS - #SLUEF - Segunda Licenciatura em Educação Física")</f>
        <v>RAFAEL CAMPOS MORAIS - #SLUEF - Segunda Licenciatura em Educação Física</v>
      </c>
    </row>
    <row r="1448">
      <c r="A1448" s="390" t="str">
        <f>IFERROR(__xludf.DUMMYFUNCTION("""COMPUTED_VALUE"""),"William Francisco Macena de Santana - Pós-Graduação em Metodologia do Ensino de Filosofia e Sociologia")</f>
        <v>William Francisco Macena de Santana - Pós-Graduação em Metodologia do Ensino de Filosofia e Sociologia</v>
      </c>
    </row>
    <row r="1449">
      <c r="A1449" s="390" t="str">
        <f>IFERROR(__xludf.DUMMYFUNCTION("""COMPUTED_VALUE"""),"William Francisco Macena de Santana - #SLUM - SEGUNDA LICENCIATURA EM MATEMÁTICA")</f>
        <v>William Francisco Macena de Santana - #SLUM - SEGUNDA LICENCIATURA EM MATEMÁTICA</v>
      </c>
    </row>
    <row r="1450">
      <c r="A1450" s="390" t="str">
        <f>IFERROR(__xludf.DUMMYFUNCTION("""COMPUTED_VALUE"""),"MARCOS MARCIO DOS SANTOS MACEDO - #SLPA- Segunda Licenciatura em Pedagogia 01")</f>
        <v>MARCOS MARCIO DOS SANTOS MACEDO - #SLPA- Segunda Licenciatura em Pedagogia 01</v>
      </c>
    </row>
    <row r="1451">
      <c r="A1451" s="390" t="str">
        <f>IFERROR(__xludf.DUMMYFUNCTION("""COMPUTED_VALUE"""),"Erick Ribeiro dos Santos - #SLPA- Segunda Licenciatura em Pedagogia 01")</f>
        <v>Erick Ribeiro dos Santos - #SLPA- Segunda Licenciatura em Pedagogia 01</v>
      </c>
    </row>
    <row r="1452">
      <c r="A1452" s="390" t="str">
        <f>IFERROR(__xludf.DUMMYFUNCTION("""COMPUTED_VALUE"""),"Eduarda Roberta Outeiro Rodrigues - #FPP- Formação Pedagógica em Pedagogia R2")</f>
        <v>Eduarda Roberta Outeiro Rodrigues - #FPP- Formação Pedagógica em Pedagogia R2</v>
      </c>
    </row>
    <row r="1453">
      <c r="A1453" s="390" t="str">
        <f>IFERROR(__xludf.DUMMYFUNCTION("""COMPUTED_VALUE"""),"Eduarda Roberta Outeiro Rodrigues - Pós-Graduação em Gestão Escolar")</f>
        <v>Eduarda Roberta Outeiro Rodrigues - Pós-Graduação em Gestão Escolar</v>
      </c>
    </row>
    <row r="1454">
      <c r="A1454" s="390" t="str">
        <f>IFERROR(__xludf.DUMMYFUNCTION("""COMPUTED_VALUE"""),"Simone candida da silva Gomes - Pós-Graduação MBA em Gestão Hospitalar")</f>
        <v>Simone candida da silva Gomes - Pós-Graduação MBA em Gestão Hospitalar</v>
      </c>
    </row>
    <row r="1455">
      <c r="A1455" s="390" t="str">
        <f>IFERROR(__xludf.DUMMYFUNCTION("""COMPUTED_VALUE"""),"Sidney Campos da Cunha - #SLMF - Segunda Licenciatura em Música 1320Horas")</f>
        <v>Sidney Campos da Cunha - #SLMF - Segunda Licenciatura em Música 1320Horas</v>
      </c>
    </row>
    <row r="1456">
      <c r="A1456" s="390" t="str">
        <f>IFERROR(__xludf.DUMMYFUNCTION("""COMPUTED_VALUE"""),"Eliana Silva da Silva - Formação Pedagógica em Educação Especial")</f>
        <v>Eliana Silva da Silva - Formação Pedagógica em Educação Especial</v>
      </c>
    </row>
    <row r="1457">
      <c r="A1457" s="390" t="str">
        <f>IFERROR(__xludf.DUMMYFUNCTION("""COMPUTED_VALUE"""),"Eliana Silva da Silva - FORMAÇÃO PEDAGÓGICA EM EDUCAÇÃO ESPECIAL- U")</f>
        <v>Eliana Silva da Silva - FORMAÇÃO PEDAGÓGICA EM EDUCAÇÃO ESPECIAL- U</v>
      </c>
    </row>
    <row r="1458">
      <c r="A1458" s="390" t="str">
        <f>IFERROR(__xludf.DUMMYFUNCTION("""COMPUTED_VALUE"""),"Lucas Dornelas Rodrigues - Pós-Graduação em Administração de Servidores do Windows")</f>
        <v>Lucas Dornelas Rodrigues - Pós-Graduação em Administração de Servidores do Windows</v>
      </c>
    </row>
    <row r="1459">
      <c r="A1459" s="390" t="str">
        <f>IFERROR(__xludf.DUMMYFUNCTION("""COMPUTED_VALUE"""),"Lucas Dornelas Rodrigues - Pós-Graduação em Língua Portuguesa, Redação e Oratória")</f>
        <v>Lucas Dornelas Rodrigues - Pós-Graduação em Língua Portuguesa, Redação e Oratória</v>
      </c>
    </row>
    <row r="1460">
      <c r="A1460" s="390" t="str">
        <f>IFERROR(__xludf.DUMMYFUNCTION("""COMPUTED_VALUE"""),"Lucas Dornelas Rodrigues - Pós-Graduação em Psicanálise")</f>
        <v>Lucas Dornelas Rodrigues - Pós-Graduação em Psicanálise</v>
      </c>
    </row>
    <row r="1461">
      <c r="A1461" s="390" t="str">
        <f>IFERROR(__xludf.DUMMYFUNCTION("""COMPUTED_VALUE"""),"Lucas Dornelas Rodrigues - Pós-Graduação em Psicanálise")</f>
        <v>Lucas Dornelas Rodrigues - Pós-Graduação em Psicanálise</v>
      </c>
    </row>
    <row r="1462">
      <c r="A1462" s="390" t="str">
        <f>IFERROR(__xludf.DUMMYFUNCTION("""COMPUTED_VALUE"""),"Lucas Dornelas Rodrigues - Pós-Graduação em Psicanálise")</f>
        <v>Lucas Dornelas Rodrigues - Pós-Graduação em Psicanálise</v>
      </c>
    </row>
    <row r="1463">
      <c r="A1463" s="390" t="str">
        <f>IFERROR(__xludf.DUMMYFUNCTION("""COMPUTED_VALUE"""),"Mônica Ferreira da Silva - #SLEEA - Segunda Licenciatura em Educação Especial")</f>
        <v>Mônica Ferreira da Silva - #SLEEA - Segunda Licenciatura em Educação Especial</v>
      </c>
    </row>
    <row r="1464">
      <c r="A1464" s="390" t="str">
        <f>IFERROR(__xludf.DUMMYFUNCTION("""COMPUTED_VALUE"""),"Amélia Gomes de Faria Reis - #SLPA- Segunda Licenciatura em Pedagogia 01")</f>
        <v>Amélia Gomes de Faria Reis - #SLPA- Segunda Licenciatura em Pedagogia 01</v>
      </c>
    </row>
    <row r="1465">
      <c r="A1465" s="390" t="str">
        <f>IFERROR(__xludf.DUMMYFUNCTION("""COMPUTED_VALUE"""),"Amélia Gomes de Faria Reis - #SLUP - SEGUNDA LICENCIATURA EM PEDAGOGIA")</f>
        <v>Amélia Gomes de Faria Reis - #SLUP - SEGUNDA LICENCIATURA EM PEDAGOGIA</v>
      </c>
    </row>
    <row r="1466">
      <c r="A1466" s="390" t="str">
        <f>IFERROR(__xludf.DUMMYFUNCTION("""COMPUTED_VALUE"""),"Victoria Dias de Freitas - #SLMF - Segunda Licenciatura em Música 1320Horas")</f>
        <v>Victoria Dias de Freitas - #SLMF - Segunda Licenciatura em Música 1320Horas</v>
      </c>
    </row>
    <row r="1467">
      <c r="A1467" s="390" t="str">
        <f>IFERROR(__xludf.DUMMYFUNCTION("""COMPUTED_VALUE"""),"Victoria Dias de Freitas - Pós-Graduação em Psicanálise")</f>
        <v>Victoria Dias de Freitas - Pós-Graduação em Psicanálise</v>
      </c>
    </row>
    <row r="1468">
      <c r="A1468" s="390" t="str">
        <f>IFERROR(__xludf.DUMMYFUNCTION("""COMPUTED_VALUE"""),"Victoria Dias de Freitas - #SLAA - Segunda Licenciatura em Artes Visuais")</f>
        <v>Victoria Dias de Freitas - #SLAA - Segunda Licenciatura em Artes Visuais</v>
      </c>
    </row>
    <row r="1469">
      <c r="A1469" s="390" t="str">
        <f>IFERROR(__xludf.DUMMYFUNCTION("""COMPUTED_VALUE"""),"Victoria Dias de Freitas - Tecnólogo Segurança no Trânsito")</f>
        <v>Victoria Dias de Freitas - Tecnólogo Segurança no Trânsito</v>
      </c>
    </row>
    <row r="1470">
      <c r="A1470" s="390" t="str">
        <f>IFERROR(__xludf.DUMMYFUNCTION("""COMPUTED_VALUE"""),"Victoria Dias de Freitas - #SLUP - SEGUNDA LICENCIATURA EM PEDAGOGIA")</f>
        <v>Victoria Dias de Freitas - #SLUP - SEGUNDA LICENCIATURA EM PEDAGOGIA</v>
      </c>
    </row>
    <row r="1471">
      <c r="A1471" s="390" t="str">
        <f>IFERROR(__xludf.DUMMYFUNCTION("""COMPUTED_VALUE"""),"Victoria Dias de Freitas - #FPUM Formação Pedagógica em Matemática")</f>
        <v>Victoria Dias de Freitas - #FPUM Formação Pedagógica em Matemática</v>
      </c>
    </row>
    <row r="1472">
      <c r="A1472" s="390" t="str">
        <f>IFERROR(__xludf.DUMMYFUNCTION("""COMPUTED_VALUE"""),"Victoria Dias de Freitas - #FPUH- Formação Pedagógica em História")</f>
        <v>Victoria Dias de Freitas - #FPUH- Formação Pedagógica em História</v>
      </c>
    </row>
    <row r="1473">
      <c r="A1473" s="390" t="str">
        <f>IFERROR(__xludf.DUMMYFUNCTION("""COMPUTED_VALUE"""),"Victoria Dias de Freitas - #SLUPE- Segunda Licenciatura em Letras – Português e Espanhol")</f>
        <v>Victoria Dias de Freitas - #SLUPE- Segunda Licenciatura em Letras – Português e Espanhol</v>
      </c>
    </row>
    <row r="1474">
      <c r="A1474" s="390" t="str">
        <f>IFERROR(__xludf.DUMMYFUNCTION("""COMPUTED_VALUE"""),"Victoria Dias de Freitas - Pós-Graduação em MBA Gestão de Pessoas e Negócios")</f>
        <v>Victoria Dias de Freitas - Pós-Graduação em MBA Gestão de Pessoas e Negócios</v>
      </c>
    </row>
    <row r="1475">
      <c r="A1475" s="390" t="str">
        <f>IFERROR(__xludf.DUMMYFUNCTION("""COMPUTED_VALUE"""),"Victoria Dias de Freitas - #SLUPI - SEGUNDA LICENCIATURA EM LETRAS – PORTUGUÊS E INGLÊS")</f>
        <v>Victoria Dias de Freitas - #SLUPI - SEGUNDA LICENCIATURA EM LETRAS – PORTUGUÊS E INGLÊS</v>
      </c>
    </row>
    <row r="1476">
      <c r="A1476" s="390" t="str">
        <f>IFERROR(__xludf.DUMMYFUNCTION("""COMPUTED_VALUE"""),"Victoria Dias de Freitas - Pós-Graduação em Administração de Servidores do Windows")</f>
        <v>Victoria Dias de Freitas - Pós-Graduação em Administração de Servidores do Windows</v>
      </c>
    </row>
    <row r="1477">
      <c r="A1477" s="390" t="str">
        <f>IFERROR(__xludf.DUMMYFUNCTION("""COMPUTED_VALUE"""),"Victoria Dias de Freitas - Curso UniCV")</f>
        <v>Victoria Dias de Freitas - Curso UniCV</v>
      </c>
    </row>
    <row r="1478">
      <c r="A1478" s="390" t="str">
        <f>IFERROR(__xludf.DUMMYFUNCTION("""COMPUTED_VALUE"""),"Victoria Dias de Freitas - #SLCBA - Segunda Licenciatura em Ciências Biológicas")</f>
        <v>Victoria Dias de Freitas - #SLCBA - Segunda Licenciatura em Ciências Biológicas</v>
      </c>
    </row>
    <row r="1479">
      <c r="A1479" s="390" t="str">
        <f>IFERROR(__xludf.DUMMYFUNCTION("""COMPUTED_VALUE"""),"Victoria Dias de Freitas - Pós-Graduação em Educação Musical")</f>
        <v>Victoria Dias de Freitas - Pós-Graduação em Educação Musical</v>
      </c>
    </row>
    <row r="1480">
      <c r="A1480" s="390" t="str">
        <f>IFERROR(__xludf.DUMMYFUNCTION("""COMPUTED_VALUE"""),"Victoria Dias de Freitas - Pós-Graduação Educação Especial e Inclusiva")</f>
        <v>Victoria Dias de Freitas - Pós-Graduação Educação Especial e Inclusiva</v>
      </c>
    </row>
    <row r="1481">
      <c r="A1481" s="390" t="str">
        <f>IFERROR(__xludf.DUMMYFUNCTION("""COMPUTED_VALUE"""),"Victoria Dias de Freitas - Pós-Graduação em Engenharia Ambiental e Energias Renováveis")</f>
        <v>Victoria Dias de Freitas - Pós-Graduação em Engenharia Ambiental e Energias Renováveis</v>
      </c>
    </row>
    <row r="1482">
      <c r="A1482" s="390" t="str">
        <f>IFERROR(__xludf.DUMMYFUNCTION("""COMPUTED_VALUE"""),"Victoria Dias de Freitas - Pós-Graduação em Direito Penal e Processual Penal")</f>
        <v>Victoria Dias de Freitas - Pós-Graduação em Direito Penal e Processual Penal</v>
      </c>
    </row>
    <row r="1483">
      <c r="A1483" s="390" t="str">
        <f>IFERROR(__xludf.DUMMYFUNCTION("""COMPUTED_VALUE"""),"Victoria Dias de Freitas - Pós-Graduação em Direito LGBTQIAPN")</f>
        <v>Victoria Dias de Freitas - Pós-Graduação em Direito LGBTQIAPN</v>
      </c>
    </row>
    <row r="1484">
      <c r="A1484" s="390" t="str">
        <f>IFERROR(__xludf.DUMMYFUNCTION("""COMPUTED_VALUE"""),"Victoria Dias de Freitas - Pós-Graduação em Neuropsicanálise Clínica")</f>
        <v>Victoria Dias de Freitas - Pós-Graduação em Neuropsicanálise Clínica</v>
      </c>
    </row>
    <row r="1485">
      <c r="A1485" s="390" t="str">
        <f>IFERROR(__xludf.DUMMYFUNCTION("""COMPUTED_VALUE"""),"Victoria Dias de Freitas - Pós-Graduação em Direito Previdenciário")</f>
        <v>Victoria Dias de Freitas - Pós-Graduação em Direito Previdenciário</v>
      </c>
    </row>
    <row r="1486">
      <c r="A1486" s="390" t="str">
        <f>IFERROR(__xludf.DUMMYFUNCTION("""COMPUTED_VALUE"""),"Victoria Dias de Freitas - Pós-Graduação em Educação Inclusiva e Diversidade")</f>
        <v>Victoria Dias de Freitas - Pós-Graduação em Educação Inclusiva e Diversidade</v>
      </c>
    </row>
    <row r="1487">
      <c r="A1487" s="390" t="str">
        <f>IFERROR(__xludf.DUMMYFUNCTION("""COMPUTED_VALUE"""),"Victoria Dias de Freitas - Pós-Graduação em Neuropsicopedagogia Institucional, Clínica e Hospitalar 850h")</f>
        <v>Victoria Dias de Freitas - Pós-Graduação em Neuropsicopedagogia Institucional, Clínica e Hospitalar 850h</v>
      </c>
    </row>
    <row r="1488">
      <c r="A1488" s="390" t="str">
        <f>IFERROR(__xludf.DUMMYFUNCTION("""COMPUTED_VALUE"""),"Victoria Dias de Freitas - Pós-Graduação em Engenharia da Qualidade")</f>
        <v>Victoria Dias de Freitas - Pós-Graduação em Engenharia da Qualidade</v>
      </c>
    </row>
    <row r="1489">
      <c r="A1489" s="390" t="str">
        <f>IFERROR(__xludf.DUMMYFUNCTION("""COMPUTED_VALUE"""),"Sthefany Moraes Resende - #SLAA - Segunda Licenciatura em Artes Visuais")</f>
        <v>Sthefany Moraes Resende - #SLAA - Segunda Licenciatura em Artes Visuais</v>
      </c>
    </row>
    <row r="1490">
      <c r="A1490" s="390" t="str">
        <f>IFERROR(__xludf.DUMMYFUNCTION("""COMPUTED_VALUE"""),"Sthefany Moraes Resende - # SLCRA - Segunda Licenciatura em Ciências da Religião")</f>
        <v>Sthefany Moraes Resende - # SLCRA - Segunda Licenciatura em Ciências da Religião</v>
      </c>
    </row>
    <row r="1491">
      <c r="A1491" s="390" t="str">
        <f>IFERROR(__xludf.DUMMYFUNCTION("""COMPUTED_VALUE"""),"Sthefany Moraes Resende - #SLAA - Segunda Licenciatura em Artes Visuais")</f>
        <v>Sthefany Moraes Resende - #SLAA - Segunda Licenciatura em Artes Visuais</v>
      </c>
    </row>
    <row r="1492">
      <c r="A1492" s="390" t="str">
        <f>IFERROR(__xludf.DUMMYFUNCTION("""COMPUTED_VALUE"""),"Sthefany Moraes Resende - Pós-Graduação em Terapia de Casais")</f>
        <v>Sthefany Moraes Resende - Pós-Graduação em Terapia de Casais</v>
      </c>
    </row>
    <row r="1493">
      <c r="A1493" s="390" t="str">
        <f>IFERROR(__xludf.DUMMYFUNCTION("""COMPUTED_VALUE"""),"Ariadny Rafaela Valejo Santana - #SLAA - Segunda Licenciatura em Artes Visuais")</f>
        <v>Ariadny Rafaela Valejo Santana - #SLAA - Segunda Licenciatura em Artes Visuais</v>
      </c>
    </row>
    <row r="1494">
      <c r="A1494" s="390" t="str">
        <f>IFERROR(__xludf.DUMMYFUNCTION("""COMPUTED_VALUE"""),"Ariadny Rafaela Valejo Santana - Pós-Graduação Educação Especial e Inclusiva")</f>
        <v>Ariadny Rafaela Valejo Santana - Pós-Graduação Educação Especial e Inclusiva</v>
      </c>
    </row>
    <row r="1495">
      <c r="A1495" s="390" t="str">
        <f>IFERROR(__xludf.DUMMYFUNCTION("""COMPUTED_VALUE"""),"Andrevna Faiad Vaz de Oliveira - #SLPA- Segunda Licenciatura em Pedagogia 01")</f>
        <v>Andrevna Faiad Vaz de Oliveira - #SLPA- Segunda Licenciatura em Pedagogia 01</v>
      </c>
    </row>
    <row r="1496">
      <c r="A1496" s="390" t="str">
        <f>IFERROR(__xludf.DUMMYFUNCTION("""COMPUTED_VALUE"""),"Claudia Regina Silva Medeiros - #SLHA - Segunda Licenciatura em História")</f>
        <v>Claudia Regina Silva Medeiros - #SLHA - Segunda Licenciatura em História</v>
      </c>
    </row>
    <row r="1497">
      <c r="A1497" s="390" t="str">
        <f>IFERROR(__xludf.DUMMYFUNCTION("""COMPUTED_VALUE"""),"Roberta Alves de Sousa - #SLAA - Segunda Licenciatura em Artes Visuais")</f>
        <v>Roberta Alves de Sousa - #SLAA - Segunda Licenciatura em Artes Visuais</v>
      </c>
    </row>
    <row r="1498">
      <c r="A1498" s="390" t="str">
        <f>IFERROR(__xludf.DUMMYFUNCTION("""COMPUTED_VALUE"""),"Roberta Alves de Sousa - Pós-Graduação em Metodologia Ativas e Tecnologias Educacionais")</f>
        <v>Roberta Alves de Sousa - Pós-Graduação em Metodologia Ativas e Tecnologias Educacionais</v>
      </c>
    </row>
    <row r="1499">
      <c r="A1499" s="390" t="str">
        <f>IFERROR(__xludf.DUMMYFUNCTION("""COMPUTED_VALUE"""),"Roberta Alves de Sousa - #SLUA- Segunda Licenciatura em Artes Visuais")</f>
        <v>Roberta Alves de Sousa - #SLUA- Segunda Licenciatura em Artes Visuais</v>
      </c>
    </row>
    <row r="1500">
      <c r="A1500" s="390" t="str">
        <f>IFERROR(__xludf.DUMMYFUNCTION("""COMPUTED_VALUE"""),"Jose Arthur Carneiro da Costa - Formação Livre Psicanálise")</f>
        <v>Jose Arthur Carneiro da Costa - Formação Livre Psicanálise</v>
      </c>
    </row>
    <row r="1501">
      <c r="A1501" s="390" t="str">
        <f>IFERROR(__xludf.DUMMYFUNCTION("""COMPUTED_VALUE"""),"Renata Laisa Lemes lima - #SLGA - Segunda Licenciatura em Geografia")</f>
        <v>Renata Laisa Lemes lima - #SLGA - Segunda Licenciatura em Geografia</v>
      </c>
    </row>
    <row r="1502">
      <c r="A1502" s="390" t="str">
        <f>IFERROR(__xludf.DUMMYFUNCTION("""COMPUTED_VALUE"""),"Leandra Costa Freitas - #FPP- Formação Pedagógica em Pedagogia R2")</f>
        <v>Leandra Costa Freitas - #FPP- Formação Pedagógica em Pedagogia R2</v>
      </c>
    </row>
    <row r="1503">
      <c r="A1503" s="390" t="str">
        <f>IFERROR(__xludf.DUMMYFUNCTION("""COMPUTED_VALUE"""),"Canaa dos Santos Barreto - #SLEEA - Segunda Licenciatura em Educação Especial")</f>
        <v>Canaa dos Santos Barreto - #SLEEA - Segunda Licenciatura em Educação Especial</v>
      </c>
    </row>
    <row r="1504">
      <c r="A1504" s="390" t="str">
        <f>IFERROR(__xludf.DUMMYFUNCTION("""COMPUTED_VALUE"""),"Nadja Jeane Maria de Jesus Sampaio - Pós-Graduação em Psicanálise")</f>
        <v>Nadja Jeane Maria de Jesus Sampaio - Pós-Graduação em Psicanálise</v>
      </c>
    </row>
    <row r="1505">
      <c r="A1505" s="390" t="str">
        <f>IFERROR(__xludf.DUMMYFUNCTION("""COMPUTED_VALUE"""),"Nadja Jeane Maria de Jesus Sampaio - Pós-Graduação em Psicanálise")</f>
        <v>Nadja Jeane Maria de Jesus Sampaio - Pós-Graduação em Psicanálise</v>
      </c>
    </row>
    <row r="1506">
      <c r="A1506" s="390" t="str">
        <f>IFERROR(__xludf.DUMMYFUNCTION("""COMPUTED_VALUE"""),"Francinete Fonseca de França - #SLPA- Segunda Licenciatura em Pedagogia 01")</f>
        <v>Francinete Fonseca de França - #SLPA- Segunda Licenciatura em Pedagogia 01</v>
      </c>
    </row>
    <row r="1507">
      <c r="A1507" s="390" t="str">
        <f>IFERROR(__xludf.DUMMYFUNCTION("""COMPUTED_VALUE"""),"Beloni Fátima kades - # SLCRA - Segunda Licenciatura em Ciências da Religião")</f>
        <v>Beloni Fátima kades - # SLCRA - Segunda Licenciatura em Ciências da Religião</v>
      </c>
    </row>
    <row r="1508">
      <c r="A1508" s="390" t="str">
        <f>IFERROR(__xludf.DUMMYFUNCTION("""COMPUTED_VALUE"""),"Beloni Fátima kades - #SLUG - SEGUNDA LICENCIATURA EM GEOGRAFIA")</f>
        <v>Beloni Fátima kades - #SLUG - SEGUNDA LICENCIATURA EM GEOGRAFIA</v>
      </c>
    </row>
    <row r="1509">
      <c r="A1509" s="390" t="str">
        <f>IFERROR(__xludf.DUMMYFUNCTION("""COMPUTED_VALUE"""),"Ricardo Ramalho dos Santos - #SLMF - Segunda Licenciatura em Música 1320Horas")</f>
        <v>Ricardo Ramalho dos Santos - #SLMF - Segunda Licenciatura em Música 1320Horas</v>
      </c>
    </row>
    <row r="1510">
      <c r="A1510" s="390" t="str">
        <f>IFERROR(__xludf.DUMMYFUNCTION("""COMPUTED_VALUE"""),"Gilobaldo Botelho Moura - Formação Livre Psicanálise")</f>
        <v>Gilobaldo Botelho Moura - Formação Livre Psicanálise</v>
      </c>
    </row>
    <row r="1511">
      <c r="A1511" s="390" t="str">
        <f>IFERROR(__xludf.DUMMYFUNCTION("""COMPUTED_VALUE"""),"Tiago Silvio Dedoné - #SLGA - Segunda Licenciatura em Geografia")</f>
        <v>Tiago Silvio Dedoné - #SLGA - Segunda Licenciatura em Geografia</v>
      </c>
    </row>
    <row r="1512">
      <c r="A1512" s="390" t="str">
        <f>IFERROR(__xludf.DUMMYFUNCTION("""COMPUTED_VALUE"""),"Tiago Silvio Dedoné - Pós-Graduação em Psicologia Educacional")</f>
        <v>Tiago Silvio Dedoné - Pós-Graduação em Psicologia Educacional</v>
      </c>
    </row>
    <row r="1513">
      <c r="A1513" s="390" t="str">
        <f>IFERROR(__xludf.DUMMYFUNCTION("""COMPUTED_VALUE"""),"Tiago Silvio Dedoné - #SLHA - Segunda Licenciatura em História")</f>
        <v>Tiago Silvio Dedoné - #SLHA - Segunda Licenciatura em História</v>
      </c>
    </row>
    <row r="1514">
      <c r="A1514" s="390" t="str">
        <f>IFERROR(__xludf.DUMMYFUNCTION("""COMPUTED_VALUE"""),"Tiago Silvio Dedoné - Pós-Graduação Neurociência e Aprendizagem")</f>
        <v>Tiago Silvio Dedoné - Pós-Graduação Neurociência e Aprendizagem</v>
      </c>
    </row>
    <row r="1515">
      <c r="A1515" s="390" t="str">
        <f>IFERROR(__xludf.DUMMYFUNCTION("""COMPUTED_VALUE"""),"Wallace Libarino de Almeida - Formação Livre Psicanálise")</f>
        <v>Wallace Libarino de Almeida - Formação Livre Psicanálise</v>
      </c>
    </row>
    <row r="1516">
      <c r="A1516" s="390" t="str">
        <f>IFERROR(__xludf.DUMMYFUNCTION("""COMPUTED_VALUE"""),"Laura Perolina Maciel dos Santos - Pós-Graduação em Segurança de Pacientes e Gestão dos Riscos Assistênciais")</f>
        <v>Laura Perolina Maciel dos Santos - Pós-Graduação em Segurança de Pacientes e Gestão dos Riscos Assistênciais</v>
      </c>
    </row>
    <row r="1517">
      <c r="A1517" s="390" t="str">
        <f>IFERROR(__xludf.DUMMYFUNCTION("""COMPUTED_VALUE"""),"Laura Perolina Maciel dos Santos - Pós-Graduação em MBA em Gestão de Pessoas e Talentos")</f>
        <v>Laura Perolina Maciel dos Santos - Pós-Graduação em MBA em Gestão de Pessoas e Talentos</v>
      </c>
    </row>
    <row r="1518">
      <c r="A1518" s="390" t="str">
        <f>IFERROR(__xludf.DUMMYFUNCTION("""COMPUTED_VALUE"""),"Maríuda Lima de Carvalho - #SLPA- Segunda Licenciatura em Pedagogia 01")</f>
        <v>Maríuda Lima de Carvalho - #SLPA- Segunda Licenciatura em Pedagogia 01</v>
      </c>
    </row>
    <row r="1519">
      <c r="A1519" s="390" t="str">
        <f>IFERROR(__xludf.DUMMYFUNCTION("""COMPUTED_VALUE"""),"Carina Cintra Serrano de Medeiros - #SLAA - Segunda Licenciatura em Artes Visuais")</f>
        <v>Carina Cintra Serrano de Medeiros - #SLAA - Segunda Licenciatura em Artes Visuais</v>
      </c>
    </row>
    <row r="1520">
      <c r="A1520" s="390" t="str">
        <f>IFERROR(__xludf.DUMMYFUNCTION("""COMPUTED_VALUE"""),"Adriana Aparecida Venâncio - #SLUEE - SEGUNDA LICENCIATURA EM EDUCAÇÃO ESPECIAL")</f>
        <v>Adriana Aparecida Venâncio - #SLUEE - SEGUNDA LICENCIATURA EM EDUCAÇÃO ESPECIAL</v>
      </c>
    </row>
    <row r="1521">
      <c r="A1521" s="390" t="str">
        <f>IFERROR(__xludf.DUMMYFUNCTION("""COMPUTED_VALUE"""),"Elias Vargas Ramm - #SLUEE - SEGUNDA LICENCIATURA EM EDUCAÇÃO ESPECIAL")</f>
        <v>Elias Vargas Ramm - #SLUEE - SEGUNDA LICENCIATURA EM EDUCAÇÃO ESPECIAL</v>
      </c>
    </row>
    <row r="1522">
      <c r="A1522" s="390" t="str">
        <f>IFERROR(__xludf.DUMMYFUNCTION("""COMPUTED_VALUE"""),"Elias Vargas Ramm - #SLEEF- Segunda Licenciatura Educação Física")</f>
        <v>Elias Vargas Ramm - #SLEEF- Segunda Licenciatura Educação Física</v>
      </c>
    </row>
    <row r="1523">
      <c r="A1523" s="390" t="str">
        <f>IFERROR(__xludf.DUMMYFUNCTION("""COMPUTED_VALUE"""),"Elias Vargas Ramm - Pós-Graduação em Psicomotricidade na Educação Infantil")</f>
        <v>Elias Vargas Ramm - Pós-Graduação em Psicomotricidade na Educação Infantil</v>
      </c>
    </row>
    <row r="1524">
      <c r="A1524" s="390" t="str">
        <f>IFERROR(__xludf.DUMMYFUNCTION("""COMPUTED_VALUE"""),"Elias Vargas Ramm - Pós-Graduação em Psicomotricidade")</f>
        <v>Elias Vargas Ramm - Pós-Graduação em Psicomotricidade</v>
      </c>
    </row>
    <row r="1525">
      <c r="A1525" s="390" t="str">
        <f>IFERROR(__xludf.DUMMYFUNCTION("""COMPUTED_VALUE"""),"Cláudio Emir Bergmann - #SLGA - Segunda Licenciatura em Geografia")</f>
        <v>Cláudio Emir Bergmann - #SLGA - Segunda Licenciatura em Geografia</v>
      </c>
    </row>
    <row r="1526">
      <c r="A1526" s="390" t="str">
        <f>IFERROR(__xludf.DUMMYFUNCTION("""COMPUTED_VALUE"""),"Roger Henrique Frioli Faccioli Pozza - #SLIA - Segunda Licenciatura Letras - Inglês")</f>
        <v>Roger Henrique Frioli Faccioli Pozza - #SLIA - Segunda Licenciatura Letras - Inglês</v>
      </c>
    </row>
    <row r="1527">
      <c r="A1527" s="390" t="str">
        <f>IFERROR(__xludf.DUMMYFUNCTION("""COMPUTED_VALUE"""),"yhthr Rhnder Feitosa Sobrinho - Pós-Graduação em Terapia de Casais")</f>
        <v>yhthr Rhnder Feitosa Sobrinho - Pós-Graduação em Terapia de Casais</v>
      </c>
    </row>
    <row r="1528">
      <c r="A1528" s="390" t="str">
        <f>IFERROR(__xludf.DUMMYFUNCTION("""COMPUTED_VALUE"""),"Ana Paula Di Pace Menezes - Pós-Graduação em Terapia em ABA- Análise do Comportamento Aplicada Clínica")</f>
        <v>Ana Paula Di Pace Menezes - Pós-Graduação em Terapia em ABA- Análise do Comportamento Aplicada Clínica</v>
      </c>
    </row>
    <row r="1529">
      <c r="A1529" s="390" t="str">
        <f>IFERROR(__xludf.DUMMYFUNCTION("""COMPUTED_VALUE"""),"Ana Paula Di Pace Menezes - Pós-graduação em Neuropsicologia")</f>
        <v>Ana Paula Di Pace Menezes - Pós-graduação em Neuropsicologia</v>
      </c>
    </row>
    <row r="1530">
      <c r="A1530" s="390" t="str">
        <f>IFERROR(__xludf.DUMMYFUNCTION("""COMPUTED_VALUE"""),"Natanael Marcelino da Silva - #FPMF- Formação Pedagógica em Música 1200Horas")</f>
        <v>Natanael Marcelino da Silva - #FPMF- Formação Pedagógica em Música 1200Horas</v>
      </c>
    </row>
    <row r="1531">
      <c r="A1531" s="390" t="str">
        <f>IFERROR(__xludf.DUMMYFUNCTION("""COMPUTED_VALUE"""),"Nilce Cristina Vaz Dutra - Pós-Graduação em Psicanálise")</f>
        <v>Nilce Cristina Vaz Dutra - Pós-Graduação em Psicanálise</v>
      </c>
    </row>
    <row r="1532">
      <c r="A1532" s="390" t="str">
        <f>IFERROR(__xludf.DUMMYFUNCTION("""COMPUTED_VALUE"""),"Davyson Vieira de Oliveira - #SLIA - Segunda Licenciatura Letras - Inglês")</f>
        <v>Davyson Vieira de Oliveira - #SLIA - Segunda Licenciatura Letras - Inglês</v>
      </c>
    </row>
    <row r="1533">
      <c r="A1533" s="390" t="str">
        <f>IFERROR(__xludf.DUMMYFUNCTION("""COMPUTED_VALUE"""),"Laércio Hernane Amorim Gonçalves - #SLMF - Segunda Licenciatura em Música 1320Horas")</f>
        <v>Laércio Hernane Amorim Gonçalves - #SLMF - Segunda Licenciatura em Música 1320Horas</v>
      </c>
    </row>
    <row r="1534">
      <c r="A1534" s="390" t="str">
        <f>IFERROR(__xludf.DUMMYFUNCTION("""COMPUTED_VALUE"""),"Laércio Hernane Amorim Gonçalves - Pós-Graduação em MBA em Gestão Pública")</f>
        <v>Laércio Hernane Amorim Gonçalves - Pós-Graduação em MBA em Gestão Pública</v>
      </c>
    </row>
    <row r="1535">
      <c r="A1535" s="390" t="str">
        <f>IFERROR(__xludf.DUMMYFUNCTION("""COMPUTED_VALUE"""),"José Alberto da Silva Alvino - Formação Livre Psicanálise")</f>
        <v>José Alberto da Silva Alvino - Formação Livre Psicanálise</v>
      </c>
    </row>
    <row r="1536">
      <c r="A1536" s="390" t="str">
        <f>IFERROR(__xludf.DUMMYFUNCTION("""COMPUTED_VALUE"""),"Sônia América da Cunha - #SLMF - Segunda Licenciatura em Música 1320Horas")</f>
        <v>Sônia América da Cunha - #SLMF - Segunda Licenciatura em Música 1320Horas</v>
      </c>
    </row>
    <row r="1537">
      <c r="A1537" s="390" t="str">
        <f>IFERROR(__xludf.DUMMYFUNCTION("""COMPUTED_VALUE"""),"Sônia América da Cunha - Pós-Graduação em Musicoterapia")</f>
        <v>Sônia América da Cunha - Pós-Graduação em Musicoterapia</v>
      </c>
    </row>
    <row r="1538">
      <c r="A1538" s="390" t="str">
        <f>IFERROR(__xludf.DUMMYFUNCTION("""COMPUTED_VALUE"""),"Gessica Talita Lima Pereira - Formação Livre Psicanálise")</f>
        <v>Gessica Talita Lima Pereira - Formação Livre Psicanálise</v>
      </c>
    </row>
    <row r="1539">
      <c r="A1539" s="390" t="str">
        <f>IFERROR(__xludf.DUMMYFUNCTION("""COMPUTED_VALUE"""),"Walquiria Catarina de Souza Gabriel - #SLAA - Segunda Licenciatura em Artes Visuais")</f>
        <v>Walquiria Catarina de Souza Gabriel - #SLAA - Segunda Licenciatura em Artes Visuais</v>
      </c>
    </row>
    <row r="1540">
      <c r="A1540" s="390" t="str">
        <f>IFERROR(__xludf.DUMMYFUNCTION("""COMPUTED_VALUE"""),"Roger Henrique Frioli Faccioli Pozza - #SLUPI - SEGUNDA LICENCIATURA EM LETRAS – PORTUGUÊS E INGLÊS")</f>
        <v>Roger Henrique Frioli Faccioli Pozza - #SLUPI - SEGUNDA LICENCIATURA EM LETRAS – PORTUGUÊS E INGLÊS</v>
      </c>
    </row>
    <row r="1541">
      <c r="A1541" s="390" t="str">
        <f>IFERROR(__xludf.DUMMYFUNCTION("""COMPUTED_VALUE"""),"Laudiene Conceição Caixeta Ferreira - #SLUG - SEGUNDA LICENCIATURA EM GEOGRAFIA")</f>
        <v>Laudiene Conceição Caixeta Ferreira - #SLUG - SEGUNDA LICENCIATURA EM GEOGRAFIA</v>
      </c>
    </row>
    <row r="1542">
      <c r="A1542" s="390" t="str">
        <f>IFERROR(__xludf.DUMMYFUNCTION("""COMPUTED_VALUE"""),"Laudiene Conceição Caixeta Ferreira - Pós-Graduação em Ensino de História e Geografia")</f>
        <v>Laudiene Conceição Caixeta Ferreira - Pós-Graduação em Ensino de História e Geografia</v>
      </c>
    </row>
    <row r="1543">
      <c r="A1543" s="390" t="str">
        <f>IFERROR(__xludf.DUMMYFUNCTION("""COMPUTED_VALUE"""),"Aline de Oliveira Silva Beirigo - #SLUEE - SEGUNDA LICENCIATURA EM EDUCAÇÃO ESPECIAL")</f>
        <v>Aline de Oliveira Silva Beirigo - #SLUEE - SEGUNDA LICENCIATURA EM EDUCAÇÃO ESPECIAL</v>
      </c>
    </row>
    <row r="1544">
      <c r="A1544" s="390" t="str">
        <f>IFERROR(__xludf.DUMMYFUNCTION("""COMPUTED_VALUE"""),"Aline de Oliveira Silva Beirigo - Pós-Graduação Educação Especial e Inclusiva")</f>
        <v>Aline de Oliveira Silva Beirigo - Pós-Graduação Educação Especial e Inclusiva</v>
      </c>
    </row>
    <row r="1545">
      <c r="A1545" s="390" t="str">
        <f>IFERROR(__xludf.DUMMYFUNCTION("""COMPUTED_VALUE"""),"Luis carlos da fonseca - #SLEEF- Segunda Licenciatura Educação Física")</f>
        <v>Luis carlos da fonseca - #SLEEF- Segunda Licenciatura Educação Física</v>
      </c>
    </row>
    <row r="1546">
      <c r="A1546" s="390" t="str">
        <f>IFERROR(__xludf.DUMMYFUNCTION("""COMPUTED_VALUE"""),"Simone Cândida da Silva Gomes - Pós-Graduação MBA em Gestão Hospitalar")</f>
        <v>Simone Cândida da Silva Gomes - Pós-Graduação MBA em Gestão Hospitalar</v>
      </c>
    </row>
    <row r="1547">
      <c r="A1547" s="390" t="str">
        <f>IFERROR(__xludf.DUMMYFUNCTION("""COMPUTED_VALUE"""),"Rosane Muchinski Kucarz - #SLEEF- Segunda Licenciatura Educação Física")</f>
        <v>Rosane Muchinski Kucarz - #SLEEF- Segunda Licenciatura Educação Física</v>
      </c>
    </row>
    <row r="1548">
      <c r="A1548" s="390" t="str">
        <f>IFERROR(__xludf.DUMMYFUNCTION("""COMPUTED_VALUE"""),"Danilo Roteski - Formação Pedagógica em Matemática")</f>
        <v>Danilo Roteski - Formação Pedagógica em Matemática</v>
      </c>
    </row>
    <row r="1549">
      <c r="A1549" s="390" t="str">
        <f>IFERROR(__xludf.DUMMYFUNCTION("""COMPUTED_VALUE"""),"Danilo Roteski - #SLUM - SEGUNDA LICENCIATURA EM MATEMÁTICA")</f>
        <v>Danilo Roteski - #SLUM - SEGUNDA LICENCIATURA EM MATEMÁTICA</v>
      </c>
    </row>
    <row r="1550">
      <c r="A1550" s="390" t="str">
        <f>IFERROR(__xludf.DUMMYFUNCTION("""COMPUTED_VALUE"""),"Danilo Roteski - #SLUEF - Segunda Licenciatura em Educação Física")</f>
        <v>Danilo Roteski - #SLUEF - Segunda Licenciatura em Educação Física</v>
      </c>
    </row>
    <row r="1551">
      <c r="A1551" s="390" t="str">
        <f>IFERROR(__xludf.DUMMYFUNCTION("""COMPUTED_VALUE"""),"Fausta galdino beleza - #SLUP - SEGUNDA LICENCIATURA EM PEDAGOGIA")</f>
        <v>Fausta galdino beleza - #SLUP - SEGUNDA LICENCIATURA EM PEDAGOGIA</v>
      </c>
    </row>
    <row r="1552">
      <c r="A1552" s="390" t="str">
        <f>IFERROR(__xludf.DUMMYFUNCTION("""COMPUTED_VALUE"""),"Fausta galdino beleza - Pós-Graduação em Atendimento Educacional Especializado Com Ênfase Em Educação Especial e Inclusiva")</f>
        <v>Fausta galdino beleza - Pós-Graduação em Atendimento Educacional Especializado Com Ênfase Em Educação Especial e Inclusiva</v>
      </c>
    </row>
    <row r="1553">
      <c r="A1553" s="390" t="str">
        <f>IFERROR(__xludf.DUMMYFUNCTION("""COMPUTED_VALUE"""),"Claudia calixto ferreira - FORMAÇÃO PEDAGÓGICA EM LETRAS – LÍNGUA PORTUGUESA E LIBRAS- U")</f>
        <v>Claudia calixto ferreira - FORMAÇÃO PEDAGÓGICA EM LETRAS – LÍNGUA PORTUGUESA E LIBRAS- U</v>
      </c>
    </row>
    <row r="1554">
      <c r="A1554" s="390" t="str">
        <f>IFERROR(__xludf.DUMMYFUNCTION("""COMPUTED_VALUE"""),"Claudia calixto ferreira - #SLULPL- Segunda Licenciatura em Letras – Língua Portuguesa e Libras")</f>
        <v>Claudia calixto ferreira - #SLULPL- Segunda Licenciatura em Letras – Língua Portuguesa e Libras</v>
      </c>
    </row>
    <row r="1555">
      <c r="A1555" s="390" t="str">
        <f>IFERROR(__xludf.DUMMYFUNCTION("""COMPUTED_VALUE"""),"Diane Roberta Giroto Cavichioni - Pós-Graduação em Psicanálise")</f>
        <v>Diane Roberta Giroto Cavichioni - Pós-Graduação em Psicanálise</v>
      </c>
    </row>
    <row r="1556">
      <c r="A1556" s="390" t="str">
        <f>IFERROR(__xludf.DUMMYFUNCTION("""COMPUTED_VALUE"""),"Diane Roberta Giroto Cavichioni - Pós-Graduação em Direito Administrativo")</f>
        <v>Diane Roberta Giroto Cavichioni - Pós-Graduação em Direito Administrativo</v>
      </c>
    </row>
    <row r="1557">
      <c r="A1557" s="390" t="str">
        <f>IFERROR(__xludf.DUMMYFUNCTION("""COMPUTED_VALUE"""),"Lussandra Silva e Amorim - #SLUP - SEGUNDA LICENCIATURA EM PEDAGOGIA")</f>
        <v>Lussandra Silva e Amorim - #SLUP - SEGUNDA LICENCIATURA EM PEDAGOGIA</v>
      </c>
    </row>
    <row r="1558">
      <c r="A1558" s="390" t="str">
        <f>IFERROR(__xludf.DUMMYFUNCTION("""COMPUTED_VALUE"""),"Daniel Santos de Oliveira - #SLUEF - Segunda Licenciatura em Educação Física")</f>
        <v>Daniel Santos de Oliveira - #SLUEF - Segunda Licenciatura em Educação Física</v>
      </c>
    </row>
    <row r="1559">
      <c r="A1559" s="390" t="str">
        <f>IFERROR(__xludf.DUMMYFUNCTION("""COMPUTED_VALUE"""),"Daniel Santos de Oliveira - #SLEEF- Segunda Licenciatura Educação Física")</f>
        <v>Daniel Santos de Oliveira - #SLEEF- Segunda Licenciatura Educação Física</v>
      </c>
    </row>
    <row r="1560">
      <c r="A1560" s="390" t="str">
        <f>IFERROR(__xludf.DUMMYFUNCTION("""COMPUTED_VALUE"""),"Eliézer Oliveira de Souza - #SLMF - Segunda Licenciatura em Música 1320Horas")</f>
        <v>Eliézer Oliveira de Souza - #SLMF - Segunda Licenciatura em Música 1320Horas</v>
      </c>
    </row>
    <row r="1561">
      <c r="A1561" s="390" t="str">
        <f>IFERROR(__xludf.DUMMYFUNCTION("""COMPUTED_VALUE"""),"Laís Vargas Ramm - #FPULPI- Formação Pedagógica em Letras – Português e Inglês")</f>
        <v>Laís Vargas Ramm - #FPULPI- Formação Pedagógica em Letras – Português e Inglês</v>
      </c>
    </row>
    <row r="1562">
      <c r="A1562" s="390" t="str">
        <f>IFERROR(__xludf.DUMMYFUNCTION("""COMPUTED_VALUE"""),"Laís Vargas Ramm - Pós-Graduação em Psicologia Educacional")</f>
        <v>Laís Vargas Ramm - Pós-Graduação em Psicologia Educacional</v>
      </c>
    </row>
    <row r="1563">
      <c r="A1563" s="390" t="str">
        <f>IFERROR(__xludf.DUMMYFUNCTION("""COMPUTED_VALUE"""),"Lilian graciela moreira - #SLUG - SEGUNDA LICENCIATURA EM GEOGRAFIA")</f>
        <v>Lilian graciela moreira - #SLUG - SEGUNDA LICENCIATURA EM GEOGRAFIA</v>
      </c>
    </row>
    <row r="1564">
      <c r="A1564" s="390" t="str">
        <f>IFERROR(__xludf.DUMMYFUNCTION("""COMPUTED_VALUE"""),"Lilian graciela moreira - Práticas Pedagógicas")</f>
        <v>Lilian graciela moreira - Práticas Pedagógicas</v>
      </c>
    </row>
    <row r="1565">
      <c r="A1565" s="390" t="str">
        <f>IFERROR(__xludf.DUMMYFUNCTION("""COMPUTED_VALUE"""),"Danielle Mendonça Brandão - Formação Livre Psicanálise")</f>
        <v>Danielle Mendonça Brandão - Formação Livre Psicanálise</v>
      </c>
    </row>
    <row r="1566">
      <c r="A1566" s="390" t="str">
        <f>IFERROR(__xludf.DUMMYFUNCTION("""COMPUTED_VALUE"""),"Danielle Mendonça Brandão - Pós-Graduação em Psicanálise")</f>
        <v>Danielle Mendonça Brandão - Pós-Graduação em Psicanálise</v>
      </c>
    </row>
    <row r="1567">
      <c r="A1567" s="390" t="str">
        <f>IFERROR(__xludf.DUMMYFUNCTION("""COMPUTED_VALUE"""),"Francisca Ivany Gonçalves Amorim Moreira - Pós-Graduação em Psicanálise")</f>
        <v>Francisca Ivany Gonçalves Amorim Moreira - Pós-Graduação em Psicanálise</v>
      </c>
    </row>
    <row r="1568">
      <c r="A1568" s="390" t="str">
        <f>IFERROR(__xludf.DUMMYFUNCTION("""COMPUTED_VALUE"""),"Fabio Ferreira de Alencar - #FPMF- Formação Pedagógica em Música 1200Horas")</f>
        <v>Fabio Ferreira de Alencar - #FPMF- Formação Pedagógica em Música 1200Horas</v>
      </c>
    </row>
    <row r="1569">
      <c r="A1569" s="390" t="str">
        <f>IFERROR(__xludf.DUMMYFUNCTION("""COMPUTED_VALUE"""),"Fabio Ferreira de Alencar - Pós-Graduação em Educação Musical")</f>
        <v>Fabio Ferreira de Alencar - Pós-Graduação em Educação Musical</v>
      </c>
    </row>
    <row r="1570">
      <c r="A1570" s="390" t="str">
        <f>IFERROR(__xludf.DUMMYFUNCTION("""COMPUTED_VALUE"""),"Fabio Ferreira de Alencar - Pós-Graduação em Musicoterapia")</f>
        <v>Fabio Ferreira de Alencar - Pós-Graduação em Musicoterapia</v>
      </c>
    </row>
    <row r="1571">
      <c r="A1571" s="390" t="str">
        <f>IFERROR(__xludf.DUMMYFUNCTION("""COMPUTED_VALUE"""),"Cinthia Ferreira de Alencar Nagahama - #FPMF- Formação Pedagógica em Música 1200Horas")</f>
        <v>Cinthia Ferreira de Alencar Nagahama - #FPMF- Formação Pedagógica em Música 1200Horas</v>
      </c>
    </row>
    <row r="1572">
      <c r="A1572" s="390" t="str">
        <f>IFERROR(__xludf.DUMMYFUNCTION("""COMPUTED_VALUE"""),"Cinthia Ferreira de Alencar Nagahama - Pós-Graduação em Educação Musical")</f>
        <v>Cinthia Ferreira de Alencar Nagahama - Pós-Graduação em Educação Musical</v>
      </c>
    </row>
    <row r="1573">
      <c r="A1573" s="390" t="str">
        <f>IFERROR(__xludf.DUMMYFUNCTION("""COMPUTED_VALUE"""),"Laís Vargas Ramm - #FPULPI- Formação Pedagógica em Letras – Português e Inglês")</f>
        <v>Laís Vargas Ramm - #FPULPI- Formação Pedagógica em Letras – Português e Inglês</v>
      </c>
    </row>
    <row r="1574">
      <c r="A1574" s="390" t="str">
        <f>IFERROR(__xludf.DUMMYFUNCTION("""COMPUTED_VALUE"""),"Gisele Almeida da Luz - #SLIA - Segunda Licenciatura Letras - Inglês")</f>
        <v>Gisele Almeida da Luz - #SLIA - Segunda Licenciatura Letras - Inglês</v>
      </c>
    </row>
    <row r="1575">
      <c r="A1575" s="390" t="str">
        <f>IFERROR(__xludf.DUMMYFUNCTION("""COMPUTED_VALUE"""),"Gisele Almeida da Luz - Pós-Graduação em Arteterapia")</f>
        <v>Gisele Almeida da Luz - Pós-Graduação em Arteterapia</v>
      </c>
    </row>
    <row r="1576">
      <c r="A1576" s="390" t="str">
        <f>IFERROR(__xludf.DUMMYFUNCTION("""COMPUTED_VALUE"""),"Jesus Roque Do Nascimento Junior - Formação Livre Psicanálise")</f>
        <v>Jesus Roque Do Nascimento Junior - Formação Livre Psicanálise</v>
      </c>
    </row>
    <row r="1577">
      <c r="A1577" s="390" t="str">
        <f>IFERROR(__xludf.DUMMYFUNCTION("""COMPUTED_VALUE"""),"Warllyston Bernardes Anselmo - Pós-Graduação em Psicanálise")</f>
        <v>Warllyston Bernardes Anselmo - Pós-Graduação em Psicanálise</v>
      </c>
    </row>
    <row r="1578">
      <c r="A1578" s="390" t="str">
        <f>IFERROR(__xludf.DUMMYFUNCTION("""COMPUTED_VALUE"""),"Warllyston Bernardes Anselmo - Formação Livre Psicanálise")</f>
        <v>Warllyston Bernardes Anselmo - Formação Livre Psicanálise</v>
      </c>
    </row>
    <row r="1579">
      <c r="A1579" s="390" t="str">
        <f>IFERROR(__xludf.DUMMYFUNCTION("""COMPUTED_VALUE"""),"Jonnhy Pierri Oliveira Mota - #FPP- Formação Pedagógica em Pedagogia R2")</f>
        <v>Jonnhy Pierri Oliveira Mota - #FPP- Formação Pedagógica em Pedagogia R2</v>
      </c>
    </row>
    <row r="1580">
      <c r="A1580" s="390" t="str">
        <f>IFERROR(__xludf.DUMMYFUNCTION("""COMPUTED_VALUE"""),"Bianca de Almeida Oliveira - #FPUP-FORMAÇÃO PEDAGÓGICA EM PEDAGOGIA- U")</f>
        <v>Bianca de Almeida Oliveira - #FPUP-FORMAÇÃO PEDAGÓGICA EM PEDAGOGIA- U</v>
      </c>
    </row>
    <row r="1581">
      <c r="A1581" s="390" t="str">
        <f>IFERROR(__xludf.DUMMYFUNCTION("""COMPUTED_VALUE"""),"Bianca de Almeida Oliveira - Pós-Graduação em Educação Infantil")</f>
        <v>Bianca de Almeida Oliveira - Pós-Graduação em Educação Infantil</v>
      </c>
    </row>
    <row r="1582">
      <c r="A1582" s="390" t="str">
        <f>IFERROR(__xludf.DUMMYFUNCTION("""COMPUTED_VALUE"""),"Rosana Cristina de Souza Siqueira - Formação Pedagógica em Educação Especial")</f>
        <v>Rosana Cristina de Souza Siqueira - Formação Pedagógica em Educação Especial</v>
      </c>
    </row>
    <row r="1583">
      <c r="A1583" s="390" t="str">
        <f>IFERROR(__xludf.DUMMYFUNCTION("""COMPUTED_VALUE"""),"Rosana Cristina de Souza Siqueira - FORMAÇÃO PEDAGÓGICA EM EDUCAÇÃO ESPECIAL- U")</f>
        <v>Rosana Cristina de Souza Siqueira - FORMAÇÃO PEDAGÓGICA EM EDUCAÇÃO ESPECIAL- U</v>
      </c>
    </row>
    <row r="1584">
      <c r="A1584" s="390" t="str">
        <f>IFERROR(__xludf.DUMMYFUNCTION("""COMPUTED_VALUE"""),"Luciana Cristina trindade Rodrigues - #SLAA - Segunda Licenciatura em Artes Visuais")</f>
        <v>Luciana Cristina trindade Rodrigues - #SLAA - Segunda Licenciatura em Artes Visuais</v>
      </c>
    </row>
    <row r="1585">
      <c r="A1585" s="390" t="str">
        <f>IFERROR(__xludf.DUMMYFUNCTION("""COMPUTED_VALUE"""),"Abdeel Ananias - #SLHA - Segunda Licenciatura em História")</f>
        <v>Abdeel Ananias - #SLHA - Segunda Licenciatura em História</v>
      </c>
    </row>
    <row r="1586">
      <c r="A1586" s="390" t="str">
        <f>IFERROR(__xludf.DUMMYFUNCTION("""COMPUTED_VALUE"""),"Roberto Antônio Ruiz de Melo Carvalho - #SLMF - Segunda Licenciatura em Música 1320Horas")</f>
        <v>Roberto Antônio Ruiz de Melo Carvalho - #SLMF - Segunda Licenciatura em Música 1320Horas</v>
      </c>
    </row>
    <row r="1587">
      <c r="A1587" s="390" t="str">
        <f>IFERROR(__xludf.DUMMYFUNCTION("""COMPUTED_VALUE"""),"Roberto Antônio Ruiz de Melo Carvalho - Pós-Graduação em Tecnologias Educacionais")</f>
        <v>Roberto Antônio Ruiz de Melo Carvalho - Pós-Graduação em Tecnologias Educacionais</v>
      </c>
    </row>
    <row r="1588">
      <c r="A1588" s="390" t="str">
        <f>IFERROR(__xludf.DUMMYFUNCTION("""COMPUTED_VALUE"""),"Niraci Ribeiro Teles de Andrade - Pós-Graduação em Terapia de Casais")</f>
        <v>Niraci Ribeiro Teles de Andrade - Pós-Graduação em Terapia de Casais</v>
      </c>
    </row>
    <row r="1589">
      <c r="A1589" s="390" t="str">
        <f>IFERROR(__xludf.DUMMYFUNCTION("""COMPUTED_VALUE"""),"Patrícia Dornelas Silva - #SLUP - SEGUNDA LICENCIATURA EM PEDAGOGIA")</f>
        <v>Patrícia Dornelas Silva - #SLUP - SEGUNDA LICENCIATURA EM PEDAGOGIA</v>
      </c>
    </row>
    <row r="1590">
      <c r="A1590" s="390" t="str">
        <f>IFERROR(__xludf.DUMMYFUNCTION("""COMPUTED_VALUE"""),"Maria Cecília Guimarães dis Santos - Pós-Graduação em Biblioteconomia")</f>
        <v>Maria Cecília Guimarães dis Santos - Pós-Graduação em Biblioteconomia</v>
      </c>
    </row>
    <row r="1591">
      <c r="A1591" s="390" t="str">
        <f>IFERROR(__xludf.DUMMYFUNCTION("""COMPUTED_VALUE"""),"Adriano Garcia - #SLUA- Segunda Licenciatura em Artes Visuais")</f>
        <v>Adriano Garcia - #SLUA- Segunda Licenciatura em Artes Visuais</v>
      </c>
    </row>
    <row r="1592">
      <c r="A1592" s="390" t="str">
        <f>IFERROR(__xludf.DUMMYFUNCTION("""COMPUTED_VALUE"""),"Pâmella Gonçalves Costa - #FPUP-FORMAÇÃO PEDAGÓGICA EM PEDAGOGIA- U")</f>
        <v>Pâmella Gonçalves Costa - #FPUP-FORMAÇÃO PEDAGÓGICA EM PEDAGOGIA- U</v>
      </c>
    </row>
    <row r="1593">
      <c r="A1593" s="390" t="str">
        <f>IFERROR(__xludf.DUMMYFUNCTION("""COMPUTED_VALUE"""),"Wildson Vicente de Paula - #SLPA- Segunda Licenciatura em Pedagogia 01")</f>
        <v>Wildson Vicente de Paula - #SLPA- Segunda Licenciatura em Pedagogia 01</v>
      </c>
    </row>
    <row r="1594">
      <c r="A1594" s="390" t="str">
        <f>IFERROR(__xludf.DUMMYFUNCTION("""COMPUTED_VALUE"""),"Danyela Dreissig - #SLUP - SEGUNDA LICENCIATURA EM PEDAGOGIA")</f>
        <v>Danyela Dreissig - #SLUP - SEGUNDA LICENCIATURA EM PEDAGOGIA</v>
      </c>
    </row>
    <row r="1595">
      <c r="A1595" s="390" t="str">
        <f>IFERROR(__xludf.DUMMYFUNCTION("""COMPUTED_VALUE"""),"Danyela Dreissig - Pós-Graduação Alfabetização e Letramento")</f>
        <v>Danyela Dreissig - Pós-Graduação Alfabetização e Letramento</v>
      </c>
    </row>
    <row r="1596">
      <c r="A1596" s="390" t="str">
        <f>IFERROR(__xludf.DUMMYFUNCTION("""COMPUTED_VALUE"""),"Marcileia Ana Dos Santos - #SLEEA - Segunda Licenciatura em Educação Especial")</f>
        <v>Marcileia Ana Dos Santos - #SLEEA - Segunda Licenciatura em Educação Especial</v>
      </c>
    </row>
    <row r="1597">
      <c r="A1597" s="390" t="str">
        <f>IFERROR(__xludf.DUMMYFUNCTION("""COMPUTED_VALUE"""),"Marcileia Ana Dos Santos - #SLUEE - SEGUNDA LICENCIATURA EM EDUCAÇÃO ESPECIAL")</f>
        <v>Marcileia Ana Dos Santos - #SLUEE - SEGUNDA LICENCIATURA EM EDUCAÇÃO ESPECIAL</v>
      </c>
    </row>
    <row r="1598">
      <c r="A1598" s="390" t="str">
        <f>IFERROR(__xludf.DUMMYFUNCTION("""COMPUTED_VALUE"""),"Marcileia Ana Dos Santos - #SLUP - SEGUNDA LICENCIATURA EM PEDAGOGIA")</f>
        <v>Marcileia Ana Dos Santos - #SLUP - SEGUNDA LICENCIATURA EM PEDAGOGIA</v>
      </c>
    </row>
    <row r="1599">
      <c r="A1599" s="390" t="str">
        <f>IFERROR(__xludf.DUMMYFUNCTION("""COMPUTED_VALUE"""),"Marcileia Ana Dos Santos - #SLPT- Segunda Licenciatura em Pedagogia")</f>
        <v>Marcileia Ana Dos Santos - #SLPT- Segunda Licenciatura em Pedagogia</v>
      </c>
    </row>
    <row r="1600">
      <c r="A1600" s="390" t="str">
        <f>IFERROR(__xludf.DUMMYFUNCTION("""COMPUTED_VALUE"""),"Maxwell Alves Rodrigues - #SLUH- Segunda Licenciatura em História")</f>
        <v>Maxwell Alves Rodrigues - #SLUH- Segunda Licenciatura em História</v>
      </c>
    </row>
    <row r="1601">
      <c r="A1601" s="390" t="str">
        <f>IFERROR(__xludf.DUMMYFUNCTION("""COMPUTED_VALUE"""),"Gabriela Fernandes salgado - #SLPA- Segunda Licenciatura em Pedagogia 01")</f>
        <v>Gabriela Fernandes salgado - #SLPA- Segunda Licenciatura em Pedagogia 01</v>
      </c>
    </row>
    <row r="1602">
      <c r="A1602" s="390" t="str">
        <f>IFERROR(__xludf.DUMMYFUNCTION("""COMPUTED_VALUE"""),"Jorge Carlos Pereira da Silva - FORMAÇÃO PEDAGÓGICA EM LETRAS – LÍNGUA PORTUGUESA E LIBRAS- U")</f>
        <v>Jorge Carlos Pereira da Silva - FORMAÇÃO PEDAGÓGICA EM LETRAS – LÍNGUA PORTUGUESA E LIBRAS- U</v>
      </c>
    </row>
    <row r="1603">
      <c r="A1603" s="390" t="str">
        <f>IFERROR(__xludf.DUMMYFUNCTION("""COMPUTED_VALUE"""),"José Milton de Santana filho - Tecnólogo Educador Social")</f>
        <v>José Milton de Santana filho - Tecnólogo Educador Social</v>
      </c>
    </row>
    <row r="1604">
      <c r="A1604" s="390" t="str">
        <f>IFERROR(__xludf.DUMMYFUNCTION("""COMPUTED_VALUE"""),"Alessandra Abadia Alvarenga - Pós-Graduação em Atendimento Educacional Especializado Com Ênfase Em Educação Especial e Inclusiva")</f>
        <v>Alessandra Abadia Alvarenga - Pós-Graduação em Atendimento Educacional Especializado Com Ênfase Em Educação Especial e Inclusiva</v>
      </c>
    </row>
    <row r="1605">
      <c r="A1605" s="390" t="str">
        <f>IFERROR(__xludf.DUMMYFUNCTION("""COMPUTED_VALUE"""),"Alessandra Abadia Alvarenga - Pós-Graduação em Atendimento Educacional Especializado")</f>
        <v>Alessandra Abadia Alvarenga - Pós-Graduação em Atendimento Educacional Especializado</v>
      </c>
    </row>
    <row r="1606">
      <c r="A1606" s="390" t="str">
        <f>IFERROR(__xludf.DUMMYFUNCTION("""COMPUTED_VALUE"""),"Shirley Williane Gomes Pereira - Capacitação em Terapia em TDAH Clínico")</f>
        <v>Shirley Williane Gomes Pereira - Capacitação em Terapia em TDAH Clínico</v>
      </c>
    </row>
    <row r="1607">
      <c r="A1607" s="390" t="str">
        <f>IFERROR(__xludf.DUMMYFUNCTION("""COMPUTED_VALUE"""),"Cristiane Francisa Frandelind - #SLUA- Segunda Licenciatura em Artes Visuais")</f>
        <v>Cristiane Francisa Frandelind - #SLUA- Segunda Licenciatura em Artes Visuais</v>
      </c>
    </row>
    <row r="1608">
      <c r="A1608" s="390" t="str">
        <f>IFERROR(__xludf.DUMMYFUNCTION("""COMPUTED_VALUE"""),"Cristiane Francisa Frandelind - #SLPT- Segunda Licenciatura em Pedagogia")</f>
        <v>Cristiane Francisa Frandelind - #SLPT- Segunda Licenciatura em Pedagogia</v>
      </c>
    </row>
    <row r="1609">
      <c r="A1609" s="390" t="str">
        <f>IFERROR(__xludf.DUMMYFUNCTION("""COMPUTED_VALUE"""),"Tiago Neves Junqueira - #FPUM Formação Pedagógica em Matemática")</f>
        <v>Tiago Neves Junqueira - #FPUM Formação Pedagógica em Matemática</v>
      </c>
    </row>
    <row r="1610">
      <c r="A1610" s="390" t="str">
        <f>IFERROR(__xludf.DUMMYFUNCTION("""COMPUTED_VALUE"""),"Tiago Neves Junqueira - Formação Pedagógica em Matemática")</f>
        <v>Tiago Neves Junqueira - Formação Pedagógica em Matemática</v>
      </c>
    </row>
    <row r="1611">
      <c r="A1611" s="390" t="str">
        <f>IFERROR(__xludf.DUMMYFUNCTION("""COMPUTED_VALUE"""),"Daiane Magalhães dos Santos Bastos - #SLUPE- Segunda Licenciatura em Letras – Português e Espanhol")</f>
        <v>Daiane Magalhães dos Santos Bastos - #SLUPE- Segunda Licenciatura em Letras – Português e Espanhol</v>
      </c>
    </row>
    <row r="1612">
      <c r="A1612" s="390" t="str">
        <f>IFERROR(__xludf.DUMMYFUNCTION("""COMPUTED_VALUE"""),"Daiane Magalhães dos Santos Bastos - Pós-Graduação em Neuropsicopedagogia")</f>
        <v>Daiane Magalhães dos Santos Bastos - Pós-Graduação em Neuropsicopedagogia</v>
      </c>
    </row>
    <row r="1613">
      <c r="A1613" s="390" t="str">
        <f>IFERROR(__xludf.DUMMYFUNCTION("""COMPUTED_VALUE"""),"Daiane Magalhães dos Santos Bastos - #SLUPI - SEGUNDA LICENCIATURA EM LETRAS – PORTUGUÊS E INGLÊS")</f>
        <v>Daiane Magalhães dos Santos Bastos - #SLUPI - SEGUNDA LICENCIATURA EM LETRAS – PORTUGUÊS E INGLÊS</v>
      </c>
    </row>
    <row r="1614">
      <c r="A1614" s="390" t="str">
        <f>IFERROR(__xludf.DUMMYFUNCTION("""COMPUTED_VALUE"""),"Marcelo Leandro Pereira Lopes - #SLUP - SEGUNDA LICENCIATURA EM PEDAGOGIA")</f>
        <v>Marcelo Leandro Pereira Lopes - #SLUP - SEGUNDA LICENCIATURA EM PEDAGOGIA</v>
      </c>
    </row>
    <row r="1615">
      <c r="A1615" s="390" t="str">
        <f>IFERROR(__xludf.DUMMYFUNCTION("""COMPUTED_VALUE"""),"Marcelo Leandro Pereira Lopes - #SLUP - SEGUNDA LICENCIATURA EM PEDAGOGIA")</f>
        <v>Marcelo Leandro Pereira Lopes - #SLUP - SEGUNDA LICENCIATURA EM PEDAGOGIA</v>
      </c>
    </row>
    <row r="1616">
      <c r="A1616" s="390" t="str">
        <f>IFERROR(__xludf.DUMMYFUNCTION("""COMPUTED_VALUE"""),"Marcelo Leandro Pereira Lopes - Pós-Graduação em Educação 5.0")</f>
        <v>Marcelo Leandro Pereira Lopes - Pós-Graduação em Educação 5.0</v>
      </c>
    </row>
    <row r="1617">
      <c r="A1617" s="390" t="str">
        <f>IFERROR(__xludf.DUMMYFUNCTION("""COMPUTED_VALUE"""),"José Erisson Bezerra de Lima - #FPMF- Formação Pedagógica em Música 1200Horas")</f>
        <v>José Erisson Bezerra de Lima - #FPMF- Formação Pedagógica em Música 1200Horas</v>
      </c>
    </row>
    <row r="1618">
      <c r="A1618" s="390" t="str">
        <f>IFERROR(__xludf.DUMMYFUNCTION("""COMPUTED_VALUE"""),"Gilbenes Silva dos Santos - #SLUEF - Segunda Licenciatura em Educação Física")</f>
        <v>Gilbenes Silva dos Santos - #SLUEF - Segunda Licenciatura em Educação Física</v>
      </c>
    </row>
    <row r="1619">
      <c r="A1619" s="390" t="str">
        <f>IFERROR(__xludf.DUMMYFUNCTION("""COMPUTED_VALUE"""),"Jardel Rodrigues Coelho - Pós-Graduação em Psicanálise")</f>
        <v>Jardel Rodrigues Coelho - Pós-Graduação em Psicanálise</v>
      </c>
    </row>
    <row r="1620">
      <c r="A1620" s="390" t="str">
        <f>IFERROR(__xludf.DUMMYFUNCTION("""COMPUTED_VALUE"""),"Kassio Willian da Silva Pena - Formação Livre em Terapia em ABA- Análise do Comportamento Aplicada")</f>
        <v>Kassio Willian da Silva Pena - Formação Livre em Terapia em ABA- Análise do Comportamento Aplicada</v>
      </c>
    </row>
    <row r="1621">
      <c r="A1621" s="390" t="str">
        <f>IFERROR(__xludf.DUMMYFUNCTION("""COMPUTED_VALUE"""),"Kassio Willian da Silva Pena - Formação Livre em Terapia em ABA- Análise do Comportamento Aplicada")</f>
        <v>Kassio Willian da Silva Pena - Formação Livre em Terapia em ABA- Análise do Comportamento Aplicada</v>
      </c>
    </row>
    <row r="1622">
      <c r="A1622" s="390" t="str">
        <f>IFERROR(__xludf.DUMMYFUNCTION("""COMPUTED_VALUE"""),"Anielly Mirella lima de oliveira - #SLUPE- Segunda Licenciatura em Letras – Português e Espanhol")</f>
        <v>Anielly Mirella lima de oliveira - #SLUPE- Segunda Licenciatura em Letras – Português e Espanhol</v>
      </c>
    </row>
    <row r="1623">
      <c r="A1623" s="390" t="str">
        <f>IFERROR(__xludf.DUMMYFUNCTION("""COMPUTED_VALUE"""),"Anielly Mirella lima de oliveira - #SLUPE- Segunda Licenciatura em Letras – Português e Espanhol")</f>
        <v>Anielly Mirella lima de oliveira - #SLUPE- Segunda Licenciatura em Letras – Português e Espanhol</v>
      </c>
    </row>
    <row r="1624">
      <c r="A1624" s="390" t="str">
        <f>IFERROR(__xludf.DUMMYFUNCTION("""COMPUTED_VALUE"""),"Anielly Mirella lima de oliveira - #SLUPI - SEGUNDA LICENCIATURA EM LETRAS – PORTUGUÊS E INGLÊS")</f>
        <v>Anielly Mirella lima de oliveira - #SLUPI - SEGUNDA LICENCIATURA EM LETRAS – PORTUGUÊS E INGLÊS</v>
      </c>
    </row>
    <row r="1625">
      <c r="A1625" s="390" t="str">
        <f>IFERROR(__xludf.DUMMYFUNCTION("""COMPUTED_VALUE"""),"Camila Calírio Lytex - #SLUP - SEGUNDA LICENCIATURA EM PEDAGOGIA")</f>
        <v>Camila Calírio Lytex - #SLUP - SEGUNDA LICENCIATURA EM PEDAGOGIA</v>
      </c>
    </row>
    <row r="1626">
      <c r="A1626" s="390" t="str">
        <f>IFERROR(__xludf.DUMMYFUNCTION("""COMPUTED_VALUE"""),"Camila Calírio Lytex - Pós-Graduação em Psicanálise")</f>
        <v>Camila Calírio Lytex - Pós-Graduação em Psicanálise</v>
      </c>
    </row>
    <row r="1627">
      <c r="A1627" s="390" t="str">
        <f>IFERROR(__xludf.DUMMYFUNCTION("""COMPUTED_VALUE"""),"William Folhaça Ferreira - #FPUEF - Formação Pedagógica em Educação Física - 1200 Horas")</f>
        <v>William Folhaça Ferreira - #FPUEF - Formação Pedagógica em Educação Física - 1200 Horas</v>
      </c>
    </row>
    <row r="1628">
      <c r="A1628" s="390" t="str">
        <f>IFERROR(__xludf.DUMMYFUNCTION("""COMPUTED_VALUE"""),"William Folhaça Ferreira - #FPUEF - Formação Pedagógica em Educação Física - 1200 Horas")</f>
        <v>William Folhaça Ferreira - #FPUEF - Formação Pedagógica em Educação Física - 1200 Horas</v>
      </c>
    </row>
    <row r="1629">
      <c r="A1629" s="390" t="str">
        <f>IFERROR(__xludf.DUMMYFUNCTION("""COMPUTED_VALUE"""),"Cristiano Ares Ramos - #FPMF- Formação Pedagógica em Música 1200Horas")</f>
        <v>Cristiano Ares Ramos - #FPMF- Formação Pedagógica em Música 1200Horas</v>
      </c>
    </row>
    <row r="1630">
      <c r="A1630" s="390" t="str">
        <f>IFERROR(__xludf.DUMMYFUNCTION("""COMPUTED_VALUE"""),"Fernando Luis da Silva - #SLMF - Segunda Licenciatura em Música 1320Horas")</f>
        <v>Fernando Luis da Silva - #SLMF - Segunda Licenciatura em Música 1320Horas</v>
      </c>
    </row>
    <row r="1631">
      <c r="A1631" s="390" t="str">
        <f>IFERROR(__xludf.DUMMYFUNCTION("""COMPUTED_VALUE"""),"Regina Maria Oliveira Monteiro - Pós-graduação em Neuropsicologia")</f>
        <v>Regina Maria Oliveira Monteiro - Pós-graduação em Neuropsicologia</v>
      </c>
    </row>
    <row r="1632">
      <c r="A1632" s="390" t="str">
        <f>IFERROR(__xludf.DUMMYFUNCTION("""COMPUTED_VALUE"""),"Regina Maria Oliveira Monteiro - Pós-Graduação em Psicanálise 2/2023")</f>
        <v>Regina Maria Oliveira Monteiro - Pós-Graduação em Psicanálise 2/2023</v>
      </c>
    </row>
    <row r="1633">
      <c r="A1633" s="390" t="str">
        <f>IFERROR(__xludf.DUMMYFUNCTION("""COMPUTED_VALUE"""),"Regina Maria Oliveira Monteiro - Pós-Graduação em Psicanálise")</f>
        <v>Regina Maria Oliveira Monteiro - Pós-Graduação em Psicanálise</v>
      </c>
    </row>
    <row r="1634">
      <c r="A1634" s="390" t="str">
        <f>IFERROR(__xludf.DUMMYFUNCTION("""COMPUTED_VALUE"""),"Rodrigo Alexandre Alves - #FPUEF - Formação Pedagógica em Educação Física - 1200 Horas")</f>
        <v>Rodrigo Alexandre Alves - #FPUEF - Formação Pedagógica em Educação Física - 1200 Horas</v>
      </c>
    </row>
    <row r="1635">
      <c r="A1635" s="390" t="str">
        <f>IFERROR(__xludf.DUMMYFUNCTION("""COMPUTED_VALUE"""),"ALESSANDRA TAVARES SANTOS SILVA - Pós-Graduação em Educação Infantil")</f>
        <v>ALESSANDRA TAVARES SANTOS SILVA - Pós-Graduação em Educação Infantil</v>
      </c>
    </row>
    <row r="1636">
      <c r="A1636" s="390" t="str">
        <f>IFERROR(__xludf.DUMMYFUNCTION("""COMPUTED_VALUE"""),"ALESSANDRA TAVARES SANTOS SILVA - Pós-Graduação em Psicomotricidade na Educação Infantil")</f>
        <v>ALESSANDRA TAVARES SANTOS SILVA - Pós-Graduação em Psicomotricidade na Educação Infantil</v>
      </c>
    </row>
    <row r="1637">
      <c r="A1637" s="390" t="str">
        <f>IFERROR(__xludf.DUMMYFUNCTION("""COMPUTED_VALUE"""),"Maria Erineide da Silva - #SLUP - SEGUNDA LICENCIATURA EM PEDAGOGIA")</f>
        <v>Maria Erineide da Silva - #SLUP - SEGUNDA LICENCIATURA EM PEDAGOGIA</v>
      </c>
    </row>
    <row r="1638">
      <c r="A1638" s="390" t="str">
        <f>IFERROR(__xludf.DUMMYFUNCTION("""COMPUTED_VALUE"""),"Flávia Viessa Guimarães Pimenta - Formação Livre Psicanálise")</f>
        <v>Flávia Viessa Guimarães Pimenta - Formação Livre Psicanálise</v>
      </c>
    </row>
    <row r="1639">
      <c r="A1639" s="390" t="str">
        <f>IFERROR(__xludf.DUMMYFUNCTION("""COMPUTED_VALUE"""),"Célio Romero Formiga Figueiredo - #SLUH- Segunda Licenciatura em História")</f>
        <v>Célio Romero Formiga Figueiredo - #SLUH- Segunda Licenciatura em História</v>
      </c>
    </row>
    <row r="1640">
      <c r="A1640" s="390" t="str">
        <f>IFERROR(__xludf.DUMMYFUNCTION("""COMPUTED_VALUE"""),"Célio Romero Formiga Figueiredo - #SLUH- Segunda Licenciatura em História")</f>
        <v>Célio Romero Formiga Figueiredo - #SLUH- Segunda Licenciatura em História</v>
      </c>
    </row>
    <row r="1641">
      <c r="A1641" s="390" t="str">
        <f>IFERROR(__xludf.DUMMYFUNCTION("""COMPUTED_VALUE"""),"Renata Baessa Nobre - Pós-Graduação em Psicanálise")</f>
        <v>Renata Baessa Nobre - Pós-Graduação em Psicanálise</v>
      </c>
    </row>
    <row r="1642">
      <c r="A1642" s="390" t="str">
        <f>IFERROR(__xludf.DUMMYFUNCTION("""COMPUTED_VALUE"""),"Renata Baessa Nobre - Pós-Graduação em Sexologia")</f>
        <v>Renata Baessa Nobre - Pós-Graduação em Sexologia</v>
      </c>
    </row>
    <row r="1643">
      <c r="A1643" s="390" t="str">
        <f>IFERROR(__xludf.DUMMYFUNCTION("""COMPUTED_VALUE"""),"Renata Baessa Nobre - Formação Livre Psicanálise")</f>
        <v>Renata Baessa Nobre - Formação Livre Psicanálise</v>
      </c>
    </row>
    <row r="1644">
      <c r="A1644" s="390" t="str">
        <f>IFERROR(__xludf.DUMMYFUNCTION("""COMPUTED_VALUE"""),"Renata Baessa Nobre - Capacitação em Sexologia")</f>
        <v>Renata Baessa Nobre - Capacitação em Sexologia</v>
      </c>
    </row>
    <row r="1645">
      <c r="A1645" s="390" t="str">
        <f>IFERROR(__xludf.DUMMYFUNCTION("""COMPUTED_VALUE"""),"RONNIE SOARES DA SILVA - #FPUP-FORMAÇÃO PEDAGÓGICA EM PEDAGOGIA- U")</f>
        <v>RONNIE SOARES DA SILVA - #FPUP-FORMAÇÃO PEDAGÓGICA EM PEDAGOGIA- U</v>
      </c>
    </row>
    <row r="1646">
      <c r="A1646" s="390" t="str">
        <f>IFERROR(__xludf.DUMMYFUNCTION("""COMPUTED_VALUE"""),"RONNIE SOARES DA SILVA - #FPP- Formação Pedagógica em Pedagogia R2")</f>
        <v>RONNIE SOARES DA SILVA - #FPP- Formação Pedagógica em Pedagogia R2</v>
      </c>
    </row>
    <row r="1647">
      <c r="A1647" s="390" t="str">
        <f>IFERROR(__xludf.DUMMYFUNCTION("""COMPUTED_VALUE"""),"Devieli Lourenço de Paula - Formação Livre Psicanálise")</f>
        <v>Devieli Lourenço de Paula - Formação Livre Psicanálise</v>
      </c>
    </row>
    <row r="1648">
      <c r="A1648" s="390" t="str">
        <f>IFERROR(__xludf.DUMMYFUNCTION("""COMPUTED_VALUE"""),"Miguel Portilho Lobo - #SLUP - SEGUNDA LICENCIATURA EM PEDAGOGIA")</f>
        <v>Miguel Portilho Lobo - #SLUP - SEGUNDA LICENCIATURA EM PEDAGOGIA</v>
      </c>
    </row>
    <row r="1649">
      <c r="A1649" s="390" t="str">
        <f>IFERROR(__xludf.DUMMYFUNCTION("""COMPUTED_VALUE"""),"Amanda Tabosa Farias - #SLUP - SEGUNDA LICENCIATURA EM PEDAGOGIA")</f>
        <v>Amanda Tabosa Farias - #SLUP - SEGUNDA LICENCIATURA EM PEDAGOGIA</v>
      </c>
    </row>
    <row r="1650">
      <c r="A1650" s="390" t="str">
        <f>IFERROR(__xludf.DUMMYFUNCTION("""COMPUTED_VALUE"""),"Leandro Roberto De Morais - Pós-graduação em Gestão Escolar Integradora com Ênfase em Supervisão, Orientação, Administração e Inspeção 740Horas")</f>
        <v>Leandro Roberto De Morais - Pós-graduação em Gestão Escolar Integradora com Ênfase em Supervisão, Orientação, Administração e Inspeção 740Horas</v>
      </c>
    </row>
    <row r="1651">
      <c r="A1651" s="390" t="str">
        <f>IFERROR(__xludf.DUMMYFUNCTION("""COMPUTED_VALUE"""),"Leandro Roberto De Morais - #FPMF- Formação Pedagógica em Música 2022")</f>
        <v>Leandro Roberto De Morais - #FPMF- Formação Pedagógica em Música 2022</v>
      </c>
    </row>
    <row r="1652">
      <c r="A1652" s="390" t="str">
        <f>IFERROR(__xludf.DUMMYFUNCTION("""COMPUTED_VALUE"""),"Leandro Roberto De Morais - #FPUA- Formação Pedagógica em Artes Visuais")</f>
        <v>Leandro Roberto De Morais - #FPUA- Formação Pedagógica em Artes Visuais</v>
      </c>
    </row>
    <row r="1653">
      <c r="A1653" s="390" t="str">
        <f>IFERROR(__xludf.DUMMYFUNCTION("""COMPUTED_VALUE"""),"Leandro Roberto De Morais - #FPA+ - FORMAÇÃO PEDAGÓGICA ARTES VISUAIS")</f>
        <v>Leandro Roberto De Morais - #FPA+ - FORMAÇÃO PEDAGÓGICA ARTES VISUAIS</v>
      </c>
    </row>
    <row r="1654">
      <c r="A1654" s="390" t="str">
        <f>IFERROR(__xludf.DUMMYFUNCTION("""COMPUTED_VALUE"""),"Ramire de oliveira Silva - #SLUEE - SEGUNDA LICENCIATURA EM EDUCAÇÃO ESPECIAL")</f>
        <v>Ramire de oliveira Silva - #SLUEE - SEGUNDA LICENCIATURA EM EDUCAÇÃO ESPECIAL</v>
      </c>
    </row>
    <row r="1655">
      <c r="A1655" s="390" t="str">
        <f>IFERROR(__xludf.DUMMYFUNCTION("""COMPUTED_VALUE"""),"Arnaldo Rogério Vieira - #SLPA- Segunda Licenciatura em Pedagogia 01")</f>
        <v>Arnaldo Rogério Vieira - #SLPA- Segunda Licenciatura em Pedagogia 01</v>
      </c>
    </row>
    <row r="1656">
      <c r="A1656" s="390" t="str">
        <f>IFERROR(__xludf.DUMMYFUNCTION("""COMPUTED_VALUE"""),"THAISSA ALESSANDRA MELO SOARES - #SLUS - Segunda Licenciatura em Sociologia")</f>
        <v>THAISSA ALESSANDRA MELO SOARES - #SLUS - Segunda Licenciatura em Sociologia</v>
      </c>
    </row>
    <row r="1657">
      <c r="A1657" s="390" t="str">
        <f>IFERROR(__xludf.DUMMYFUNCTION("""COMPUTED_VALUE"""),"THAISSA ALESSANDRA MELO SOARES - #SLMF - Segunda Licenciatura em Música 1320Horas")</f>
        <v>THAISSA ALESSANDRA MELO SOARES - #SLMF - Segunda Licenciatura em Música 1320Horas</v>
      </c>
    </row>
    <row r="1658">
      <c r="A1658" s="390" t="str">
        <f>IFERROR(__xludf.DUMMYFUNCTION("""COMPUTED_VALUE"""),"Derek Miranda de Souza - #SLMF - Segunda Licenciatura em Música 1320Horas")</f>
        <v>Derek Miranda de Souza - #SLMF - Segunda Licenciatura em Música 1320Horas</v>
      </c>
    </row>
    <row r="1659">
      <c r="A1659" s="390" t="str">
        <f>IFERROR(__xludf.DUMMYFUNCTION("""COMPUTED_VALUE"""),"Rodrigo Corrêa Sosa - Formação Pedagógica em Sociologia")</f>
        <v>Rodrigo Corrêa Sosa - Formação Pedagógica em Sociologia</v>
      </c>
    </row>
    <row r="1660">
      <c r="A1660" s="390" t="str">
        <f>IFERROR(__xludf.DUMMYFUNCTION("""COMPUTED_VALUE"""),"Rodrigo Corrêa Sosa - Pós-Graduação em Direito Penal e Processual Penal")</f>
        <v>Rodrigo Corrêa Sosa - Pós-Graduação em Direito Penal e Processual Penal</v>
      </c>
    </row>
    <row r="1661">
      <c r="A1661" s="390" t="str">
        <f>IFERROR(__xludf.DUMMYFUNCTION("""COMPUTED_VALUE"""),"Rodrigo Corrêa Sosa - Capacitação em Direito Processual Penal")</f>
        <v>Rodrigo Corrêa Sosa - Capacitação em Direito Processual Penal</v>
      </c>
    </row>
    <row r="1662">
      <c r="A1662" s="390" t="str">
        <f>IFERROR(__xludf.DUMMYFUNCTION("""COMPUTED_VALUE"""),"Miguel Portilho Lobo - #SLPA- Segunda Licenciatura em Pedagogia 01")</f>
        <v>Miguel Portilho Lobo - #SLPA- Segunda Licenciatura em Pedagogia 01</v>
      </c>
    </row>
    <row r="1663">
      <c r="A1663" s="390" t="str">
        <f>IFERROR(__xludf.DUMMYFUNCTION("""COMPUTED_VALUE"""),"Rosecler Motta - Formação Livre Psicanálise")</f>
        <v>Rosecler Motta - Formação Livre Psicanálise</v>
      </c>
    </row>
    <row r="1664">
      <c r="A1664" s="390" t="str">
        <f>IFERROR(__xludf.DUMMYFUNCTION("""COMPUTED_VALUE"""),"Rosecler Motta - Formação Livre Psicanálise")</f>
        <v>Rosecler Motta - Formação Livre Psicanálise</v>
      </c>
    </row>
    <row r="1665">
      <c r="A1665" s="390" t="str">
        <f>IFERROR(__xludf.DUMMYFUNCTION("""COMPUTED_VALUE"""),"douglas correia da silva - #SLUP - SEGUNDA LICENCIATURA EM PEDAGOGIA")</f>
        <v>douglas correia da silva - #SLUP - SEGUNDA LICENCIATURA EM PEDAGOGIA</v>
      </c>
    </row>
    <row r="1666">
      <c r="A1666" s="390" t="str">
        <f>IFERROR(__xludf.DUMMYFUNCTION("""COMPUTED_VALUE"""),"Michele Cezar da Silva - #SLMF - Segunda Licenciatura em Música 1320Horas")</f>
        <v>Michele Cezar da Silva - #SLMF - Segunda Licenciatura em Música 1320Horas</v>
      </c>
    </row>
    <row r="1667">
      <c r="A1667" s="390" t="str">
        <f>IFERROR(__xludf.DUMMYFUNCTION("""COMPUTED_VALUE"""),"Michele Cezar da Silva - FORMAÇÃO PEDAGÓGICA EM LETRAS PORTUGUÊS / INGLÊS - 2024")</f>
        <v>Michele Cezar da Silva - FORMAÇÃO PEDAGÓGICA EM LETRAS PORTUGUÊS / INGLÊS - 2024</v>
      </c>
    </row>
    <row r="1668">
      <c r="A1668" s="390" t="str">
        <f>IFERROR(__xludf.DUMMYFUNCTION("""COMPUTED_VALUE"""),"Michele Cezar da Silva - FORMAÇÃO PEDAGÓGICA EM LETRAS PORTUGUÊS / INGLÊS - 2024")</f>
        <v>Michele Cezar da Silva - FORMAÇÃO PEDAGÓGICA EM LETRAS PORTUGUÊS / INGLÊS - 2024</v>
      </c>
    </row>
    <row r="1669">
      <c r="A1669" s="390" t="str">
        <f>IFERROR(__xludf.DUMMYFUNCTION("""COMPUTED_VALUE"""),"Clemeilde Guimarães da Guarda - #FPP- Formação Pedagógica em Pedagogia R2")</f>
        <v>Clemeilde Guimarães da Guarda - #FPP- Formação Pedagógica em Pedagogia R2</v>
      </c>
    </row>
    <row r="1670">
      <c r="A1670" s="390" t="str">
        <f>IFERROR(__xludf.DUMMYFUNCTION("""COMPUTED_VALUE"""),"Kenia Barbosa Talaveira Pereira - Formação Livre em Terapia Cognitiva Comportamental")</f>
        <v>Kenia Barbosa Talaveira Pereira - Formação Livre em Terapia Cognitiva Comportamental</v>
      </c>
    </row>
    <row r="1671">
      <c r="A1671" s="390" t="str">
        <f>IFERROR(__xludf.DUMMYFUNCTION("""COMPUTED_VALUE"""),"Jackelinne Brasileiro Nascimento - #SLUP - SEGUNDA LICENCIATURA EM PEDAGOGIA")</f>
        <v>Jackelinne Brasileiro Nascimento - #SLUP - SEGUNDA LICENCIATURA EM PEDAGOGIA</v>
      </c>
    </row>
    <row r="1672">
      <c r="A1672" s="390" t="str">
        <f>IFERROR(__xludf.DUMMYFUNCTION("""COMPUTED_VALUE"""),"Adriane Cristina Augusto Barbosa - Pós-Graduação em Engenharia de Segurança do Trabalho")</f>
        <v>Adriane Cristina Augusto Barbosa - Pós-Graduação em Engenharia de Segurança do Trabalho</v>
      </c>
    </row>
    <row r="1673">
      <c r="A1673" s="390" t="str">
        <f>IFERROR(__xludf.DUMMYFUNCTION("""COMPUTED_VALUE"""),"Adriane Cristina Augusto Barbosa - Pós-Graduação em Engenharia da Qualidade")</f>
        <v>Adriane Cristina Augusto Barbosa - Pós-Graduação em Engenharia da Qualidade</v>
      </c>
    </row>
    <row r="1674">
      <c r="A1674" s="390" t="str">
        <f>IFERROR(__xludf.DUMMYFUNCTION("""COMPUTED_VALUE"""),"Adriane Cristina Augusto Barbosa - Pós-Graduação em Engenharia da Qualidade")</f>
        <v>Adriane Cristina Augusto Barbosa - Pós-Graduação em Engenharia da Qualidade</v>
      </c>
    </row>
    <row r="1675">
      <c r="A1675" s="390" t="str">
        <f>IFERROR(__xludf.DUMMYFUNCTION("""COMPUTED_VALUE"""),"Edisonia Rufino de melo - Pós-Graduação em Psicanálise")</f>
        <v>Edisonia Rufino de melo - Pós-Graduação em Psicanálise</v>
      </c>
    </row>
    <row r="1676">
      <c r="A1676" s="390" t="str">
        <f>IFERROR(__xludf.DUMMYFUNCTION("""COMPUTED_VALUE"""),"Regina Célia De Araújo Jacob - #SLFA  - Segunda Licenciatura em Filosofia")</f>
        <v>Regina Célia De Araújo Jacob - #SLFA  - Segunda Licenciatura em Filosofia</v>
      </c>
    </row>
    <row r="1677">
      <c r="A1677" s="390" t="str">
        <f>IFERROR(__xludf.DUMMYFUNCTION("""COMPUTED_VALUE"""),"Marcia Iara Brito de Andrade - #SLUG - SEGUNDA LICENCIATURA EM GEOGRAFIA")</f>
        <v>Marcia Iara Brito de Andrade - #SLUG - SEGUNDA LICENCIATURA EM GEOGRAFIA</v>
      </c>
    </row>
    <row r="1678">
      <c r="A1678" s="390" t="str">
        <f>IFERROR(__xludf.DUMMYFUNCTION("""COMPUTED_VALUE"""),"Marcia Iara Brito de Andrade - #SLCS+ - SEGUNDA LICENCIATURA EM CIÊNCIAS SOCIAIS-2022")</f>
        <v>Marcia Iara Brito de Andrade - #SLCS+ - SEGUNDA LICENCIATURA EM CIÊNCIAS SOCIAIS-2022</v>
      </c>
    </row>
    <row r="1679">
      <c r="A1679" s="390" t="str">
        <f>IFERROR(__xludf.DUMMYFUNCTION("""COMPUTED_VALUE"""),"Carlos Roberto Andrade Silva - Pós-Graduação em Ensino da Língua Portuguesa")</f>
        <v>Carlos Roberto Andrade Silva - Pós-Graduação em Ensino da Língua Portuguesa</v>
      </c>
    </row>
    <row r="1680">
      <c r="A1680" s="390" t="str">
        <f>IFERROR(__xludf.DUMMYFUNCTION("""COMPUTED_VALUE"""),"Carlos Roberto Andrade Silva - Pós-Graduação em Ensino de Língua Inglesa")</f>
        <v>Carlos Roberto Andrade Silva - Pós-Graduação em Ensino de Língua Inglesa</v>
      </c>
    </row>
    <row r="1681">
      <c r="A1681" s="390" t="str">
        <f>IFERROR(__xludf.DUMMYFUNCTION("""COMPUTED_VALUE"""),"Valéria Pereira de Freitas - #SLEEF- Segunda Licenciatura Educação Física")</f>
        <v>Valéria Pereira de Freitas - #SLEEF- Segunda Licenciatura Educação Física</v>
      </c>
    </row>
    <row r="1682">
      <c r="A1682" s="390" t="str">
        <f>IFERROR(__xludf.DUMMYFUNCTION("""COMPUTED_VALUE"""),"Valéria Pereira de Freitas - #SLUEF - Segunda Licenciatura em Educação Física")</f>
        <v>Valéria Pereira de Freitas - #SLUEF - Segunda Licenciatura em Educação Física</v>
      </c>
    </row>
    <row r="1683">
      <c r="A1683" s="390" t="str">
        <f>IFERROR(__xludf.DUMMYFUNCTION("""COMPUTED_VALUE"""),"Cristiane Ferreira Maciel - #SLMF - Segunda Licenciatura em Música 1320Horas")</f>
        <v>Cristiane Ferreira Maciel - #SLMF - Segunda Licenciatura em Música 1320Horas</v>
      </c>
    </row>
    <row r="1684">
      <c r="A1684" s="390" t="str">
        <f>IFERROR(__xludf.DUMMYFUNCTION("""COMPUTED_VALUE"""),"Adriane Cristina Augusto Barbosa - Pós-Graduação em Engenharia de Segurança do Trabalho")</f>
        <v>Adriane Cristina Augusto Barbosa - Pós-Graduação em Engenharia de Segurança do Trabalho</v>
      </c>
    </row>
    <row r="1685">
      <c r="A1685" s="390" t="str">
        <f>IFERROR(__xludf.DUMMYFUNCTION("""COMPUTED_VALUE"""),"Fellipe Michel Soares Barros - #FPUP-FORMAÇÃO PEDAGÓGICA EM PEDAGOGIA- U")</f>
        <v>Fellipe Michel Soares Barros - #FPUP-FORMAÇÃO PEDAGÓGICA EM PEDAGOGIA- U</v>
      </c>
    </row>
    <row r="1686">
      <c r="A1686" s="390" t="str">
        <f>IFERROR(__xludf.DUMMYFUNCTION("""COMPUTED_VALUE"""),"Robson Jorge dos Santos Marques - #FPUH- Formação Pedagógica em História")</f>
        <v>Robson Jorge dos Santos Marques - #FPUH- Formação Pedagógica em História</v>
      </c>
    </row>
    <row r="1687">
      <c r="A1687" s="390" t="str">
        <f>IFERROR(__xludf.DUMMYFUNCTION("""COMPUTED_VALUE"""),"FELLIPE MICHEL SOARES BARROS - #FPP- Formação Pedagógica em Pedagogia R2")</f>
        <v>FELLIPE MICHEL SOARES BARROS - #FPP- Formação Pedagógica em Pedagogia R2</v>
      </c>
    </row>
    <row r="1688">
      <c r="A1688" s="390" t="str">
        <f>IFERROR(__xludf.DUMMYFUNCTION("""COMPUTED_VALUE"""),"Priscila Rodrigues Mendes de Lucas - #SLUPE- Segunda Licenciatura em Letras – Português e Espanhol")</f>
        <v>Priscila Rodrigues Mendes de Lucas - #SLUPE- Segunda Licenciatura em Letras – Português e Espanhol</v>
      </c>
    </row>
    <row r="1689">
      <c r="A1689" s="390" t="str">
        <f>IFERROR(__xludf.DUMMYFUNCTION("""COMPUTED_VALUE"""),"Dandara Alfonso Borges - #FPP- Formação Pedagógica em Pedagogia R2")</f>
        <v>Dandara Alfonso Borges - #FPP- Formação Pedagógica em Pedagogia R2</v>
      </c>
    </row>
    <row r="1690">
      <c r="A1690" s="390" t="str">
        <f>IFERROR(__xludf.DUMMYFUNCTION("""COMPUTED_VALUE"""),"Dandara Alfonso Borges - Pós-Graduação em Ensino de Língua Inglesa")</f>
        <v>Dandara Alfonso Borges - Pós-Graduação em Ensino de Língua Inglesa</v>
      </c>
    </row>
    <row r="1691">
      <c r="A1691" s="390" t="str">
        <f>IFERROR(__xludf.DUMMYFUNCTION("""COMPUTED_VALUE"""),"Alexandre Lessa Pereira da Silva - #FPP- Formação Pedagógica em Pedagogia R2")</f>
        <v>Alexandre Lessa Pereira da Silva - #FPP- Formação Pedagógica em Pedagogia R2</v>
      </c>
    </row>
    <row r="1692">
      <c r="A1692" s="390" t="str">
        <f>IFERROR(__xludf.DUMMYFUNCTION("""COMPUTED_VALUE"""),"Alexandre Lessa Pereira da Silva - Formação Pedagógica História")</f>
        <v>Alexandre Lessa Pereira da Silva - Formação Pedagógica História</v>
      </c>
    </row>
    <row r="1693">
      <c r="A1693" s="390" t="str">
        <f>IFERROR(__xludf.DUMMYFUNCTION("""COMPUTED_VALUE"""),"Alexandre Lessa Pereira da Silva - Pós-Graduação em Direito Administrativo")</f>
        <v>Alexandre Lessa Pereira da Silva - Pós-Graduação em Direito Administrativo</v>
      </c>
    </row>
    <row r="1694">
      <c r="A1694" s="390" t="str">
        <f>IFERROR(__xludf.DUMMYFUNCTION("""COMPUTED_VALUE"""),"Alexandre Lessa Pereira da Silva - Pós-Graduação em Docência do Ensino Superior e Tutoria de Educação a Distância")</f>
        <v>Alexandre Lessa Pereira da Silva - Pós-Graduação em Docência do Ensino Superior e Tutoria de Educação a Distância</v>
      </c>
    </row>
    <row r="1695">
      <c r="A1695" s="390" t="str">
        <f>IFERROR(__xludf.DUMMYFUNCTION("""COMPUTED_VALUE"""),"Rosemery Issa Rizk Costa - #SLUEF - Segunda Licenciatura em Educação Física")</f>
        <v>Rosemery Issa Rizk Costa - #SLUEF - Segunda Licenciatura em Educação Física</v>
      </c>
    </row>
    <row r="1696">
      <c r="A1696" s="390" t="str">
        <f>IFERROR(__xludf.DUMMYFUNCTION("""COMPUTED_VALUE"""),"ANA LUCIA MONGE DIAS - Pós-Graduação em MBA Gestão de Pessoas e Negócios")</f>
        <v>ANA LUCIA MONGE DIAS - Pós-Graduação em MBA Gestão de Pessoas e Negócios</v>
      </c>
    </row>
    <row r="1697">
      <c r="A1697" s="390" t="str">
        <f>IFERROR(__xludf.DUMMYFUNCTION("""COMPUTED_VALUE"""),"Carla Maria Orazi da Silva - Pós-Graduação em Psicanálise")</f>
        <v>Carla Maria Orazi da Silva - Pós-Graduação em Psicanálise</v>
      </c>
    </row>
    <row r="1698">
      <c r="A1698" s="390" t="str">
        <f>IFERROR(__xludf.DUMMYFUNCTION("""COMPUTED_VALUE"""),"Maria da Gloria Barral de Oliveira Seabra - Pós-Graduação em Sexologia")</f>
        <v>Maria da Gloria Barral de Oliveira Seabra - Pós-Graduação em Sexologia</v>
      </c>
    </row>
    <row r="1699">
      <c r="A1699" s="390" t="str">
        <f>IFERROR(__xludf.DUMMYFUNCTION("""COMPUTED_VALUE"""),"Antonio Augusto Borges de Borges - #FPUEF - Formação Pedagógica em Educação Física - 1200 Horas")</f>
        <v>Antonio Augusto Borges de Borges - #FPUEF - Formação Pedagógica em Educação Física - 1200 Horas</v>
      </c>
    </row>
    <row r="1700">
      <c r="A1700" s="390" t="str">
        <f>IFERROR(__xludf.DUMMYFUNCTION("""COMPUTED_VALUE"""),"Fernanda Rabelo Foro - #FPUP-FORMAÇÃO PEDAGÓGICA EM PEDAGOGIA- U")</f>
        <v>Fernanda Rabelo Foro - #FPUP-FORMAÇÃO PEDAGÓGICA EM PEDAGOGIA- U</v>
      </c>
    </row>
    <row r="1701">
      <c r="A1701" s="390" t="str">
        <f>IFERROR(__xludf.DUMMYFUNCTION("""COMPUTED_VALUE"""),"Marislene Jussam dos Santos Xavier - #SLUP - SEGUNDA LICENCIATURA EM PEDAGOGIA")</f>
        <v>Marislene Jussam dos Santos Xavier - #SLUP - SEGUNDA LICENCIATURA EM PEDAGOGIA</v>
      </c>
    </row>
    <row r="1702">
      <c r="A1702" s="390" t="str">
        <f>IFERROR(__xludf.DUMMYFUNCTION("""COMPUTED_VALUE"""),"Tanice Pereira - #SLUEF - Segunda Licenciatura em Educação Física")</f>
        <v>Tanice Pereira - #SLUEF - Segunda Licenciatura em Educação Física</v>
      </c>
    </row>
    <row r="1703">
      <c r="A1703" s="390" t="str">
        <f>IFERROR(__xludf.DUMMYFUNCTION("""COMPUTED_VALUE"""),"Tanice Pereira - #SLEF- Segunda Licenciatura Educação Física 1200Horas")</f>
        <v>Tanice Pereira - #SLEF- Segunda Licenciatura Educação Física 1200Horas</v>
      </c>
    </row>
    <row r="1704">
      <c r="A1704" s="390" t="str">
        <f>IFERROR(__xludf.DUMMYFUNCTION("""COMPUTED_VALUE"""),"Tanice Pereira - #SLEEF- Segunda Licenciatura Educação Física")</f>
        <v>Tanice Pereira - #SLEEF- Segunda Licenciatura Educação Física</v>
      </c>
    </row>
    <row r="1705">
      <c r="A1705" s="390" t="str">
        <f>IFERROR(__xludf.DUMMYFUNCTION("""COMPUTED_VALUE"""),"Tanice Pereira - Pós-Graduação em Educação Física Escolar")</f>
        <v>Tanice Pereira - Pós-Graduação em Educação Física Escolar</v>
      </c>
    </row>
    <row r="1706">
      <c r="A1706" s="390" t="str">
        <f>IFERROR(__xludf.DUMMYFUNCTION("""COMPUTED_VALUE"""),"Vitor Grigoleto Oliveira - #SLUP - SEGUNDA LICENCIATURA EM PEDAGOGIA")</f>
        <v>Vitor Grigoleto Oliveira - #SLUP - SEGUNDA LICENCIATURA EM PEDAGOGIA</v>
      </c>
    </row>
    <row r="1707">
      <c r="A1707" s="390" t="str">
        <f>IFERROR(__xludf.DUMMYFUNCTION("""COMPUTED_VALUE"""),"Julciléa Rosa da Silva - Pós-Graduação em Neuropsicopedagogia Institucional")</f>
        <v>Julciléa Rosa da Silva - Pós-Graduação em Neuropsicopedagogia Institucional</v>
      </c>
    </row>
    <row r="1708">
      <c r="A1708" s="390" t="str">
        <f>IFERROR(__xludf.DUMMYFUNCTION("""COMPUTED_VALUE"""),"Paulo Ricardo Lopes - #SLUP - SEGUNDA LICENCIATURA EM PEDAGOGIA")</f>
        <v>Paulo Ricardo Lopes - #SLUP - SEGUNDA LICENCIATURA EM PEDAGOGIA</v>
      </c>
    </row>
    <row r="1709">
      <c r="A1709" s="390" t="str">
        <f>IFERROR(__xludf.DUMMYFUNCTION("""COMPUTED_VALUE"""),"Maria Divina Batista de Souza - #SLUP - SEGUNDA LICENCIATURA EM PEDAGOGIA")</f>
        <v>Maria Divina Batista de Souza - #SLUP - SEGUNDA LICENCIATURA EM PEDAGOGIA</v>
      </c>
    </row>
    <row r="1710">
      <c r="A1710" s="390" t="str">
        <f>IFERROR(__xludf.DUMMYFUNCTION("""COMPUTED_VALUE"""),"Maria Divina Batista de Souza - Pós-Graduação Educação Especial e Inclusiva")</f>
        <v>Maria Divina Batista de Souza - Pós-Graduação Educação Especial e Inclusiva</v>
      </c>
    </row>
    <row r="1711">
      <c r="A1711" s="390" t="str">
        <f>IFERROR(__xludf.DUMMYFUNCTION("""COMPUTED_VALUE"""),"Francisco das Chagas Ramalhaes de Souza - Pós-graduação em Neuropsicologia")</f>
        <v>Francisco das Chagas Ramalhaes de Souza - Pós-graduação em Neuropsicologia</v>
      </c>
    </row>
    <row r="1712">
      <c r="A1712" s="390" t="str">
        <f>IFERROR(__xludf.DUMMYFUNCTION("""COMPUTED_VALUE"""),"Artur José Fernandes - #FPMF- Formação Pedagógica em Música 1200Horas")</f>
        <v>Artur José Fernandes - #FPMF- Formação Pedagógica em Música 1200Horas</v>
      </c>
    </row>
    <row r="1713">
      <c r="A1713" s="390" t="str">
        <f>IFERROR(__xludf.DUMMYFUNCTION("""COMPUTED_VALUE"""),"HYLANA KARINA FERREIRA DE BARROS - #FPUP-FORMAÇÃO PEDAGÓGICA EM PEDAGOGIA- U")</f>
        <v>HYLANA KARINA FERREIRA DE BARROS - #FPUP-FORMAÇÃO PEDAGÓGICA EM PEDAGOGIA- U</v>
      </c>
    </row>
    <row r="1714">
      <c r="A1714" s="390" t="str">
        <f>IFERROR(__xludf.DUMMYFUNCTION("""COMPUTED_VALUE"""),"HYLANA KARINA FERREIRA DE BARROS - Pós-Graduação Neurociência e Aprendizagem")</f>
        <v>HYLANA KARINA FERREIRA DE BARROS - Pós-Graduação Neurociência e Aprendizagem</v>
      </c>
    </row>
    <row r="1715">
      <c r="A1715" s="390" t="str">
        <f>IFERROR(__xludf.DUMMYFUNCTION("""COMPUTED_VALUE"""),"Fernanda da Silva - Pós-Graduação em Psicanálise")</f>
        <v>Fernanda da Silva - Pós-Graduação em Psicanálise</v>
      </c>
    </row>
    <row r="1716">
      <c r="A1716" s="390" t="str">
        <f>IFERROR(__xludf.DUMMYFUNCTION("""COMPUTED_VALUE"""),"Fernanda da Silva - Pós-Graduação em Sexologia")</f>
        <v>Fernanda da Silva - Pós-Graduação em Sexologia</v>
      </c>
    </row>
    <row r="1717">
      <c r="A1717" s="390" t="str">
        <f>IFERROR(__xludf.DUMMYFUNCTION("""COMPUTED_VALUE"""),"Ana Claudia de Oliveira Costa - Pós-Graduação em Psicanálise")</f>
        <v>Ana Claudia de Oliveira Costa - Pós-Graduação em Psicanálise</v>
      </c>
    </row>
    <row r="1718">
      <c r="A1718" s="390" t="str">
        <f>IFERROR(__xludf.DUMMYFUNCTION("""COMPUTED_VALUE"""),"Ana Claudia de Oliveira Costa - Pós-Graduação em Psicopedagogia Escolar")</f>
        <v>Ana Claudia de Oliveira Costa - Pós-Graduação em Psicopedagogia Escolar</v>
      </c>
    </row>
    <row r="1719">
      <c r="A1719" s="390" t="str">
        <f>IFERROR(__xludf.DUMMYFUNCTION("""COMPUTED_VALUE"""),"Ana Claudia de Oliveira Costa - Pós-Graduação Terapia em Aba-Análise do Comportamento Aplicada Clínico")</f>
        <v>Ana Claudia de Oliveira Costa - Pós-Graduação Terapia em Aba-Análise do Comportamento Aplicada Clínico</v>
      </c>
    </row>
    <row r="1720">
      <c r="A1720" s="390" t="str">
        <f>IFERROR(__xludf.DUMMYFUNCTION("""COMPUTED_VALUE"""),"Ana Claudia de Oliveira Costa - Pós-Graduação em Análise de Comportamento Aplicada ao Autismo-ABA Com Habilitação em Docência no Ensino Superior")</f>
        <v>Ana Claudia de Oliveira Costa - Pós-Graduação em Análise de Comportamento Aplicada ao Autismo-ABA Com Habilitação em Docência no Ensino Superior</v>
      </c>
    </row>
    <row r="1721">
      <c r="A1721" s="390" t="str">
        <f>IFERROR(__xludf.DUMMYFUNCTION("""COMPUTED_VALUE"""),"Ana claudia de oliveira costa - Pós-Graduação em Psicanálise")</f>
        <v>Ana claudia de oliveira costa - Pós-Graduação em Psicanálise</v>
      </c>
    </row>
    <row r="1722">
      <c r="A1722" s="390" t="str">
        <f>IFERROR(__xludf.DUMMYFUNCTION("""COMPUTED_VALUE"""),"Ana claudia de oliveira costa - Pós-Graduação em Atendimento Educacional Especializado Com Ênfase Em Educação Especial e Inclusiva")</f>
        <v>Ana claudia de oliveira costa - Pós-Graduação em Atendimento Educacional Especializado Com Ênfase Em Educação Especial e Inclusiva</v>
      </c>
    </row>
    <row r="1723">
      <c r="A1723" s="390" t="str">
        <f>IFERROR(__xludf.DUMMYFUNCTION("""COMPUTED_VALUE"""),"Ana claudia de oliveira costa - Pós-Graduação em Autismo")</f>
        <v>Ana claudia de oliveira costa - Pós-Graduação em Autismo</v>
      </c>
    </row>
    <row r="1724">
      <c r="A1724" s="390" t="str">
        <f>IFERROR(__xludf.DUMMYFUNCTION("""COMPUTED_VALUE"""),"Ana claudia de oliveira costa - Pós-Graduação Terapia Cognitiva Comportamental")</f>
        <v>Ana claudia de oliveira costa - Pós-Graduação Terapia Cognitiva Comportamental</v>
      </c>
    </row>
    <row r="1725">
      <c r="A1725" s="390" t="str">
        <f>IFERROR(__xludf.DUMMYFUNCTION("""COMPUTED_VALUE"""),"Diego arrieche de Ávila - #FPUA- Formação Pedagógica em Artes Visuais")</f>
        <v>Diego arrieche de Ávila - #FPUA- Formação Pedagógica em Artes Visuais</v>
      </c>
    </row>
    <row r="1726">
      <c r="A1726" s="390" t="str">
        <f>IFERROR(__xludf.DUMMYFUNCTION("""COMPUTED_VALUE"""),"Maria da Glória Barral de Oliveira Seabra - Pós-Graduação em Sexologia")</f>
        <v>Maria da Glória Barral de Oliveira Seabra - Pós-Graduação em Sexologia</v>
      </c>
    </row>
    <row r="1727">
      <c r="A1727" s="390" t="str">
        <f>IFERROR(__xludf.DUMMYFUNCTION("""COMPUTED_VALUE"""),"Everaldo Porto Pedroso - #FPUF- Formação Pedagógica em Filosofia")</f>
        <v>Everaldo Porto Pedroso - #FPUF- Formação Pedagógica em Filosofia</v>
      </c>
    </row>
    <row r="1728">
      <c r="A1728" s="390" t="str">
        <f>IFERROR(__xludf.DUMMYFUNCTION("""COMPUTED_VALUE"""),"Everaldo Porto Pedroso - Pós-Graduação em Nutrição Esportiva")</f>
        <v>Everaldo Porto Pedroso - Pós-Graduação em Nutrição Esportiva</v>
      </c>
    </row>
    <row r="1729">
      <c r="A1729" s="390" t="str">
        <f>IFERROR(__xludf.DUMMYFUNCTION("""COMPUTED_VALUE"""),"Andressa Carolina Costa Gonçalves - #SLUP - SEGUNDA LICENCIATURA EM PEDAGOGIA")</f>
        <v>Andressa Carolina Costa Gonçalves - #SLUP - SEGUNDA LICENCIATURA EM PEDAGOGIA</v>
      </c>
    </row>
    <row r="1730">
      <c r="A1730" s="390" t="str">
        <f>IFERROR(__xludf.DUMMYFUNCTION("""COMPUTED_VALUE"""),"Andressa Carolina Costa Gonçalves - Pós-Graduação Educação Especial e Inclusiva")</f>
        <v>Andressa Carolina Costa Gonçalves - Pós-Graduação Educação Especial e Inclusiva</v>
      </c>
    </row>
    <row r="1731">
      <c r="A1731" s="390" t="str">
        <f>IFERROR(__xludf.DUMMYFUNCTION("""COMPUTED_VALUE"""),"Valéssia Rodrigues Nascimento da Silva - #SLUG - SEGUNDA LICENCIATURA EM GEOGRAFIA")</f>
        <v>Valéssia Rodrigues Nascimento da Silva - #SLUG - SEGUNDA LICENCIATURA EM GEOGRAFIA</v>
      </c>
    </row>
    <row r="1732">
      <c r="A1732" s="390" t="str">
        <f>IFERROR(__xludf.DUMMYFUNCTION("""COMPUTED_VALUE"""),"Valéssia Rodrigues Nascimento da Silva - #SLUH- Segunda Licenciatura em História")</f>
        <v>Valéssia Rodrigues Nascimento da Silva - #SLUH- Segunda Licenciatura em História</v>
      </c>
    </row>
    <row r="1733">
      <c r="A1733" s="390" t="str">
        <f>IFERROR(__xludf.DUMMYFUNCTION("""COMPUTED_VALUE"""),"GUILHERME RODRIGUES VIEIRA DA SILVA - Pós-Graduação em MBA em Gestão Pública")</f>
        <v>GUILHERME RODRIGUES VIEIRA DA SILVA - Pós-Graduação em MBA em Gestão Pública</v>
      </c>
    </row>
    <row r="1734">
      <c r="A1734" s="390" t="str">
        <f>IFERROR(__xludf.DUMMYFUNCTION("""COMPUTED_VALUE"""),"Josineide Cavalcante da Silva - #SLUP - SEGUNDA LICENCIATURA EM PEDAGOGIA")</f>
        <v>Josineide Cavalcante da Silva - #SLUP - SEGUNDA LICENCIATURA EM PEDAGOGIA</v>
      </c>
    </row>
    <row r="1735">
      <c r="A1735" s="390" t="str">
        <f>IFERROR(__xludf.DUMMYFUNCTION("""COMPUTED_VALUE"""),"Andrelina Marta da Silva - #FPUP-FORMAÇÃO PEDAGÓGICA EM PEDAGOGIA- U")</f>
        <v>Andrelina Marta da Silva - #FPUP-FORMAÇÃO PEDAGÓGICA EM PEDAGOGIA- U</v>
      </c>
    </row>
    <row r="1736">
      <c r="A1736" s="390" t="str">
        <f>IFERROR(__xludf.DUMMYFUNCTION("""COMPUTED_VALUE"""),"Elisangela Maria de Oliveira - #SLUEE - SEGUNDA LICENCIATURA EM EDUCAÇÃO ESPECIAL")</f>
        <v>Elisangela Maria de Oliveira - #SLUEE - SEGUNDA LICENCIATURA EM EDUCAÇÃO ESPECIAL</v>
      </c>
    </row>
    <row r="1737">
      <c r="A1737" s="390" t="str">
        <f>IFERROR(__xludf.DUMMYFUNCTION("""COMPUTED_VALUE"""),"Elisangela Maria de Oliveira - Pós-Graduação em Neuropsicopedagogia Institucional")</f>
        <v>Elisangela Maria de Oliveira - Pós-Graduação em Neuropsicopedagogia Institucional</v>
      </c>
    </row>
    <row r="1738">
      <c r="A1738" s="390" t="str">
        <f>IFERROR(__xludf.DUMMYFUNCTION("""COMPUTED_VALUE"""),"Elisangela Maria de Oliveira - #SLEEA - Segunda Licenciatura em Educação Especial")</f>
        <v>Elisangela Maria de Oliveira - #SLEEA - Segunda Licenciatura em Educação Especial</v>
      </c>
    </row>
    <row r="1739">
      <c r="A1739" s="390" t="str">
        <f>IFERROR(__xludf.DUMMYFUNCTION("""COMPUTED_VALUE"""),"Paulo Henrique Martins da Silva - #SLUPI - SEGUNDA LICENCIATURA EM LETRAS – PORTUGUÊS E INGLÊS")</f>
        <v>Paulo Henrique Martins da Silva - #SLUPI - SEGUNDA LICENCIATURA EM LETRAS – PORTUGUÊS E INGLÊS</v>
      </c>
    </row>
    <row r="1740">
      <c r="A1740" s="390" t="str">
        <f>IFERROR(__xludf.DUMMYFUNCTION("""COMPUTED_VALUE"""),"Ana Paula korevar franco - #SLUP - SEGUNDA LICENCIATURA EM PEDAGOGIA")</f>
        <v>Ana Paula korevar franco - #SLUP - SEGUNDA LICENCIATURA EM PEDAGOGIA</v>
      </c>
    </row>
    <row r="1741">
      <c r="A1741" s="390" t="str">
        <f>IFERROR(__xludf.DUMMYFUNCTION("""COMPUTED_VALUE"""),"Ana Paula korevar franco - #SLUPI - SEGUNDA LICENCIATURA EM LETRAS – PORTUGUÊS E INGLÊS")</f>
        <v>Ana Paula korevar franco - #SLUPI - SEGUNDA LICENCIATURA EM LETRAS – PORTUGUÊS E INGLÊS</v>
      </c>
    </row>
    <row r="1742">
      <c r="A1742" s="390" t="str">
        <f>IFERROR(__xludf.DUMMYFUNCTION("""COMPUTED_VALUE"""),"Andressa Carolina Costa Gonçalves - Pós-Graduação Educação Especial e Inclusiva")</f>
        <v>Andressa Carolina Costa Gonçalves - Pós-Graduação Educação Especial e Inclusiva</v>
      </c>
    </row>
    <row r="1743">
      <c r="A1743" s="390" t="str">
        <f>IFERROR(__xludf.DUMMYFUNCTION("""COMPUTED_VALUE"""),"Jakson Reis de Souza - #FPUP-FORMAÇÃO PEDAGÓGICA EM PEDAGOGIA- U")</f>
        <v>Jakson Reis de Souza - #FPUP-FORMAÇÃO PEDAGÓGICA EM PEDAGOGIA- U</v>
      </c>
    </row>
    <row r="1744">
      <c r="A1744" s="390" t="str">
        <f>IFERROR(__xludf.DUMMYFUNCTION("""COMPUTED_VALUE"""),"Mariana Miranda Jesus de Oliveira Silva - #SLUEE - SEGUNDA LICENCIATURA EM EDUCAÇÃO ESPECIAL")</f>
        <v>Mariana Miranda Jesus de Oliveira Silva - #SLUEE - SEGUNDA LICENCIATURA EM EDUCAÇÃO ESPECIAL</v>
      </c>
    </row>
    <row r="1745">
      <c r="A1745" s="390" t="str">
        <f>IFERROR(__xludf.DUMMYFUNCTION("""COMPUTED_VALUE"""),"Mariana Miranda Jesus de Oliveira Silva - #SLUEE - SEGUNDA LICENCIATURA EM EDUCAÇÃO ESPECIAL")</f>
        <v>Mariana Miranda Jesus de Oliveira Silva - #SLUEE - SEGUNDA LICENCIATURA EM EDUCAÇÃO ESPECIAL</v>
      </c>
    </row>
    <row r="1746">
      <c r="A1746" s="390" t="str">
        <f>IFERROR(__xludf.DUMMYFUNCTION("""COMPUTED_VALUE"""),"William Marques De Souza - #SLUEF - Segunda Licenciatura em Educação Física")</f>
        <v>William Marques De Souza - #SLUEF - Segunda Licenciatura em Educação Física</v>
      </c>
    </row>
    <row r="1747">
      <c r="A1747" s="390" t="str">
        <f>IFERROR(__xludf.DUMMYFUNCTION("""COMPUTED_VALUE"""),"William Marques De Souza - Pós-Graduação em Nutrição Esportiva")</f>
        <v>William Marques De Souza - Pós-Graduação em Nutrição Esportiva</v>
      </c>
    </row>
    <row r="1748">
      <c r="A1748" s="390" t="str">
        <f>IFERROR(__xludf.DUMMYFUNCTION("""COMPUTED_VALUE"""),"William Marques De Souza - #SLEEF- Segunda Licenciatura Educação Física")</f>
        <v>William Marques De Souza - #SLEEF- Segunda Licenciatura Educação Física</v>
      </c>
    </row>
    <row r="1749">
      <c r="A1749" s="390" t="str">
        <f>IFERROR(__xludf.DUMMYFUNCTION("""COMPUTED_VALUE"""),"Jô Noé de Almeida Moura - #SLMF - Segunda Licenciatura em Música 1320Horas")</f>
        <v>Jô Noé de Almeida Moura - #SLMF - Segunda Licenciatura em Música 1320Horas</v>
      </c>
    </row>
    <row r="1750">
      <c r="A1750" s="390" t="str">
        <f>IFERROR(__xludf.DUMMYFUNCTION("""COMPUTED_VALUE"""),"Jô Noé de Almeida Moura - #SLMF - Segunda Licenciatura em Música 1320Horas")</f>
        <v>Jô Noé de Almeida Moura - #SLMF - Segunda Licenciatura em Música 1320Horas</v>
      </c>
    </row>
    <row r="1751">
      <c r="A1751" s="390" t="str">
        <f>IFERROR(__xludf.DUMMYFUNCTION("""COMPUTED_VALUE"""),"Vitória da Silva Stefani de - Capacitação em Terapia em TDAH Clínico")</f>
        <v>Vitória da Silva Stefani de - Capacitação em Terapia em TDAH Clínico</v>
      </c>
    </row>
    <row r="1752">
      <c r="A1752" s="390" t="str">
        <f>IFERROR(__xludf.DUMMYFUNCTION("""COMPUTED_VALUE"""),"Midian Costa da Silva - #FPUP-FORMAÇÃO PEDAGÓGICA EM PEDAGOGIA- U")</f>
        <v>Midian Costa da Silva - #FPUP-FORMAÇÃO PEDAGÓGICA EM PEDAGOGIA- U</v>
      </c>
    </row>
    <row r="1753">
      <c r="A1753" s="390" t="str">
        <f>IFERROR(__xludf.DUMMYFUNCTION("""COMPUTED_VALUE"""),"Marcelo Lopes dos Santos - #FPUP-FORMAÇÃO PEDAGÓGICA EM PEDAGOGIA- U")</f>
        <v>Marcelo Lopes dos Santos - #FPUP-FORMAÇÃO PEDAGÓGICA EM PEDAGOGIA- U</v>
      </c>
    </row>
    <row r="1754">
      <c r="A1754" s="390" t="str">
        <f>IFERROR(__xludf.DUMMYFUNCTION("""COMPUTED_VALUE"""),"Alessandra Augusta de Freitas - #SLUP - SEGUNDA LICENCIATURA EM PEDAGOGIA")</f>
        <v>Alessandra Augusta de Freitas - #SLUP - SEGUNDA LICENCIATURA EM PEDAGOGIA</v>
      </c>
    </row>
    <row r="1755">
      <c r="A1755" s="390" t="str">
        <f>IFERROR(__xludf.DUMMYFUNCTION("""COMPUTED_VALUE"""),"Thaiz Pereira da Vera Cruz - Pós-Graduação em Educação Musical")</f>
        <v>Thaiz Pereira da Vera Cruz - Pós-Graduação em Educação Musical</v>
      </c>
    </row>
    <row r="1756">
      <c r="A1756" s="390" t="str">
        <f>IFERROR(__xludf.DUMMYFUNCTION("""COMPUTED_VALUE"""),"Gilson Luz De Oliveira Junior - #SLUH- Segunda Licenciatura em História")</f>
        <v>Gilson Luz De Oliveira Junior - #SLUH- Segunda Licenciatura em História</v>
      </c>
    </row>
    <row r="1757">
      <c r="A1757" s="390" t="str">
        <f>IFERROR(__xludf.DUMMYFUNCTION("""COMPUTED_VALUE"""),"Gabriel Maçalai - #SLUC - SEGUNDA LICENCIATURA EM CIÊNCIAS DA RELIGIÃO- U")</f>
        <v>Gabriel Maçalai - #SLUC - SEGUNDA LICENCIATURA EM CIÊNCIAS DA RELIGIÃO- U</v>
      </c>
    </row>
    <row r="1758">
      <c r="A1758" s="390" t="str">
        <f>IFERROR(__xludf.DUMMYFUNCTION("""COMPUTED_VALUE"""),"Gabriel Maçalai - # SLCRA - Segunda Licenciatura em Ciências da Religião")</f>
        <v>Gabriel Maçalai - # SLCRA - Segunda Licenciatura em Ciências da Religião</v>
      </c>
    </row>
    <row r="1759">
      <c r="A1759" s="390" t="str">
        <f>IFERROR(__xludf.DUMMYFUNCTION("""COMPUTED_VALUE"""),"CARLOS EDUARDO DA SILVA GALANTE - #FPUH- Formação Pedagógica em História")</f>
        <v>CARLOS EDUARDO DA SILVA GALANTE - #FPUH- Formação Pedagógica em História</v>
      </c>
    </row>
    <row r="1760">
      <c r="A1760" s="390" t="str">
        <f>IFERROR(__xludf.DUMMYFUNCTION("""COMPUTED_VALUE"""),"CARLOS EDUARDO DA SILVA GALANTE - #FPUH- Formação Pedagógica em História")</f>
        <v>CARLOS EDUARDO DA SILVA GALANTE - #FPUH- Formação Pedagógica em História</v>
      </c>
    </row>
    <row r="1761">
      <c r="A1761" s="390" t="str">
        <f>IFERROR(__xludf.DUMMYFUNCTION("""COMPUTED_VALUE"""),"CARLOS EDUARDO DA SILVA GALANTE - #SLUH- Segunda Licenciatura em História")</f>
        <v>CARLOS EDUARDO DA SILVA GALANTE - #SLUH- Segunda Licenciatura em História</v>
      </c>
    </row>
    <row r="1762">
      <c r="A1762" s="390" t="str">
        <f>IFERROR(__xludf.DUMMYFUNCTION("""COMPUTED_VALUE"""),"CARLOS EDUARDO DA SILVA GALANTE - #SLUP - SEGUNDA LICENCIATURA EM PEDAGOGIA")</f>
        <v>CARLOS EDUARDO DA SILVA GALANTE - #SLUP - SEGUNDA LICENCIATURA EM PEDAGOGIA</v>
      </c>
    </row>
    <row r="1763">
      <c r="A1763" s="390" t="str">
        <f>IFERROR(__xludf.DUMMYFUNCTION("""COMPUTED_VALUE"""),"CARLOS EDUARDO DA SILVA GALANTE - #SLUP - SEGUNDA LICENCIATURA EM PEDAGOGIA")</f>
        <v>CARLOS EDUARDO DA SILVA GALANTE - #SLUP - SEGUNDA LICENCIATURA EM PEDAGOGIA</v>
      </c>
    </row>
    <row r="1764">
      <c r="A1764" s="390" t="str">
        <f>IFERROR(__xludf.DUMMYFUNCTION("""COMPUTED_VALUE"""),"Cristiane Maria Rezende - #SLUP - SEGUNDA LICENCIATURA EM PEDAGOGIA")</f>
        <v>Cristiane Maria Rezende - #SLUP - SEGUNDA LICENCIATURA EM PEDAGOGIA</v>
      </c>
    </row>
    <row r="1765">
      <c r="A1765" s="390" t="str">
        <f>IFERROR(__xludf.DUMMYFUNCTION("""COMPUTED_VALUE"""),"Cristiane Maria Rezende - Pós-Graduação em Psicomotricidade e Educação Especial")</f>
        <v>Cristiane Maria Rezende - Pós-Graduação em Psicomotricidade e Educação Especial</v>
      </c>
    </row>
    <row r="1766">
      <c r="A1766" s="390" t="str">
        <f>IFERROR(__xludf.DUMMYFUNCTION("""COMPUTED_VALUE"""),"Marília Cristina Abreu de Souza - #SLUP - SEGUNDA LICENCIATURA EM PEDAGOGIA")</f>
        <v>Marília Cristina Abreu de Souza - #SLUP - SEGUNDA LICENCIATURA EM PEDAGOGIA</v>
      </c>
    </row>
    <row r="1767">
      <c r="A1767" s="390" t="str">
        <f>IFERROR(__xludf.DUMMYFUNCTION("""COMPUTED_VALUE"""),"Marília Cristina Abreu de Souza - #SLMF - Segunda Licenciatura em Música 1320Horas")</f>
        <v>Marília Cristina Abreu de Souza - #SLMF - Segunda Licenciatura em Música 1320Horas</v>
      </c>
    </row>
    <row r="1768">
      <c r="A1768" s="390" t="str">
        <f>IFERROR(__xludf.DUMMYFUNCTION("""COMPUTED_VALUE"""),"Marília Cristina Abreu de Souza - #SLUP - SEGUNDA LICENCIATURA EM PEDAGOGIA")</f>
        <v>Marília Cristina Abreu de Souza - #SLUP - SEGUNDA LICENCIATURA EM PEDAGOGIA</v>
      </c>
    </row>
    <row r="1769">
      <c r="A1769" s="390" t="str">
        <f>IFERROR(__xludf.DUMMYFUNCTION("""COMPUTED_VALUE"""),"Marília Cristina Abreu de Souza - Pós-Graduação em Ensino de Artes")</f>
        <v>Marília Cristina Abreu de Souza - Pós-Graduação em Ensino de Artes</v>
      </c>
    </row>
    <row r="1770">
      <c r="A1770" s="390" t="str">
        <f>IFERROR(__xludf.DUMMYFUNCTION("""COMPUTED_VALUE"""),"Marivaldo José do Nascimento - #SLUG - SEGUNDA LICENCIATURA EM GEOGRAFIA")</f>
        <v>Marivaldo José do Nascimento - #SLUG - SEGUNDA LICENCIATURA EM GEOGRAFIA</v>
      </c>
    </row>
    <row r="1771">
      <c r="A1771" s="390" t="str">
        <f>IFERROR(__xludf.DUMMYFUNCTION("""COMPUTED_VALUE"""),"Marivaldo José do Nascimento - #SLUG - SEGUNDA LICENCIATURA EM GEOGRAFIA")</f>
        <v>Marivaldo José do Nascimento - #SLUG - SEGUNDA LICENCIATURA EM GEOGRAFIA</v>
      </c>
    </row>
    <row r="1772">
      <c r="A1772" s="390" t="str">
        <f>IFERROR(__xludf.DUMMYFUNCTION("""COMPUTED_VALUE"""),"Djair Roberto do Nascimento Ribeiro - #FPMF- Formação Pedagógica em Música 1200Horas")</f>
        <v>Djair Roberto do Nascimento Ribeiro - #FPMF- Formação Pedagógica em Música 1200Horas</v>
      </c>
    </row>
    <row r="1773">
      <c r="A1773" s="390" t="str">
        <f>IFERROR(__xludf.DUMMYFUNCTION("""COMPUTED_VALUE"""),"Paula de Espindola Martins Albino - #SLUA- Segunda Licenciatura em Artes Visuais")</f>
        <v>Paula de Espindola Martins Albino - #SLUA- Segunda Licenciatura em Artes Visuais</v>
      </c>
    </row>
    <row r="1774">
      <c r="A1774" s="390" t="str">
        <f>IFERROR(__xludf.DUMMYFUNCTION("""COMPUTED_VALUE"""),"Mônica Vieira Ramos Veloso - #SLUPI - SEGUNDA LICENCIATURA EM LETRAS – PORTUGUÊS E INGLÊS")</f>
        <v>Mônica Vieira Ramos Veloso - #SLUPI - SEGUNDA LICENCIATURA EM LETRAS – PORTUGUÊS E INGLÊS</v>
      </c>
    </row>
    <row r="1775">
      <c r="A1775" s="390" t="str">
        <f>IFERROR(__xludf.DUMMYFUNCTION("""COMPUTED_VALUE"""),"Ana Lúcia de Araújo Portes - #SLUP - SEGUNDA LICENCIATURA EM PEDAGOGIA")</f>
        <v>Ana Lúcia de Araújo Portes - #SLUP - SEGUNDA LICENCIATURA EM PEDAGOGIA</v>
      </c>
    </row>
    <row r="1776">
      <c r="A1776" s="390" t="str">
        <f>IFERROR(__xludf.DUMMYFUNCTION("""COMPUTED_VALUE"""),"YARA CRISTINA HAMMES - #FPP- Formação Pedagógica em Pedagogia R2")</f>
        <v>YARA CRISTINA HAMMES - #FPP- Formação Pedagógica em Pedagogia R2</v>
      </c>
    </row>
    <row r="1777">
      <c r="A1777" s="390" t="str">
        <f>IFERROR(__xludf.DUMMYFUNCTION("""COMPUTED_VALUE"""),"Adrielly Kayane da Silva Sena - Pós-Graduação em Psicanálise")</f>
        <v>Adrielly Kayane da Silva Sena - Pós-Graduação em Psicanálise</v>
      </c>
    </row>
    <row r="1778">
      <c r="A1778" s="390" t="str">
        <f>IFERROR(__xludf.DUMMYFUNCTION("""COMPUTED_VALUE"""),"Adrielly Kayane da Silva Sena - Pós-Graduação em Psicologia Hospitalar")</f>
        <v>Adrielly Kayane da Silva Sena - Pós-Graduação em Psicologia Hospitalar</v>
      </c>
    </row>
    <row r="1779">
      <c r="A1779" s="390" t="str">
        <f>IFERROR(__xludf.DUMMYFUNCTION("""COMPUTED_VALUE"""),"CLAYTON DOS SANTOS SEGUNDO - #SLUEF - Segunda Licenciatura em Educação Física")</f>
        <v>CLAYTON DOS SANTOS SEGUNDO - #SLUEF - Segunda Licenciatura em Educação Física</v>
      </c>
    </row>
    <row r="1780">
      <c r="A1780" s="390" t="str">
        <f>IFERROR(__xludf.DUMMYFUNCTION("""COMPUTED_VALUE"""),"leider mariano do prado - #SLUM - SEGUNDA LICENCIATURA EM MATEMÁTICA")</f>
        <v>leider mariano do prado - #SLUM - SEGUNDA LICENCIATURA EM MATEMÁTICA</v>
      </c>
    </row>
    <row r="1781">
      <c r="A1781" s="390" t="str">
        <f>IFERROR(__xludf.DUMMYFUNCTION("""COMPUTED_VALUE"""),"leider mariano do prado - #FPUP-FORMAÇÃO PEDAGÓGICA EM PEDAGOGIA- U")</f>
        <v>leider mariano do prado - #FPUP-FORMAÇÃO PEDAGÓGICA EM PEDAGOGIA- U</v>
      </c>
    </row>
    <row r="1782">
      <c r="A1782" s="390" t="str">
        <f>IFERROR(__xludf.DUMMYFUNCTION("""COMPUTED_VALUE"""),"leider mariano do prado - #FPUM Formação Pedagógica em Matemática")</f>
        <v>leider mariano do prado - #FPUM Formação Pedagógica em Matemática</v>
      </c>
    </row>
    <row r="1783">
      <c r="A1783" s="390" t="str">
        <f>IFERROR(__xludf.DUMMYFUNCTION("""COMPUTED_VALUE"""),"Samuel Pereira dos Santos, - #SLUP - SEGUNDA LICENCIATURA EM PEDAGOGIA")</f>
        <v>Samuel Pereira dos Santos, - #SLUP - SEGUNDA LICENCIATURA EM PEDAGOGIA</v>
      </c>
    </row>
    <row r="1784">
      <c r="A1784" s="390" t="str">
        <f>IFERROR(__xludf.DUMMYFUNCTION("""COMPUTED_VALUE"""),"Samuel Pereira dos Santos, - #FPUP-FORMAÇÃO PEDAGÓGICA EM PEDAGOGIA- U")</f>
        <v>Samuel Pereira dos Santos, - #FPUP-FORMAÇÃO PEDAGÓGICA EM PEDAGOGIA- U</v>
      </c>
    </row>
    <row r="1785">
      <c r="A1785" s="390" t="str">
        <f>IFERROR(__xludf.DUMMYFUNCTION("""COMPUTED_VALUE"""),"Grasiele Reisdorfer - #SLULPL- Segunda Licenciatura em Letras – Língua Portuguesa e Libras")</f>
        <v>Grasiele Reisdorfer - #SLULPL- Segunda Licenciatura em Letras – Língua Portuguesa e Libras</v>
      </c>
    </row>
    <row r="1786">
      <c r="A1786" s="390" t="str">
        <f>IFERROR(__xludf.DUMMYFUNCTION("""COMPUTED_VALUE"""),"Esmeraldo Soares Dos Santos Souza - #SLUH- Segunda Licenciatura em História")</f>
        <v>Esmeraldo Soares Dos Santos Souza - #SLUH- Segunda Licenciatura em História</v>
      </c>
    </row>
    <row r="1787">
      <c r="A1787" s="390" t="str">
        <f>IFERROR(__xludf.DUMMYFUNCTION("""COMPUTED_VALUE"""),"Kamila Valéria Cavalcante de Medeiros - Pós-Graduação em Terapia em ABA- Análise do Comportamento Aplicada Clínica")</f>
        <v>Kamila Valéria Cavalcante de Medeiros - Pós-Graduação em Terapia em ABA- Análise do Comportamento Aplicada Clínica</v>
      </c>
    </row>
    <row r="1788">
      <c r="A1788" s="390" t="str">
        <f>IFERROR(__xludf.DUMMYFUNCTION("""COMPUTED_VALUE"""),"Kamila Valéria Cavalcante de Medeiros - Pós-Graduação em Língua Portuguesa, Redação e Oratória")</f>
        <v>Kamila Valéria Cavalcante de Medeiros - Pós-Graduação em Língua Portuguesa, Redação e Oratória</v>
      </c>
    </row>
    <row r="1789">
      <c r="A1789" s="390" t="str">
        <f>IFERROR(__xludf.DUMMYFUNCTION("""COMPUTED_VALUE"""),"Kamila Valéria Cavalcante de Medeiros - #SLPA- Segunda Licenciatura em Pedagogia 01")</f>
        <v>Kamila Valéria Cavalcante de Medeiros - #SLPA- Segunda Licenciatura em Pedagogia 01</v>
      </c>
    </row>
    <row r="1790">
      <c r="A1790" s="390" t="str">
        <f>IFERROR(__xludf.DUMMYFUNCTION("""COMPUTED_VALUE"""),"Maria Elizânia do Nascimento Oliveira - #SLUH- Segunda Licenciatura em História")</f>
        <v>Maria Elizânia do Nascimento Oliveira - #SLUH- Segunda Licenciatura em História</v>
      </c>
    </row>
    <row r="1791">
      <c r="A1791" s="390" t="str">
        <f>IFERROR(__xludf.DUMMYFUNCTION("""COMPUTED_VALUE"""),"Luiz Claudio Turíbio Gomes - Pós-Graduação em Terapia de Casais")</f>
        <v>Luiz Claudio Turíbio Gomes - Pós-Graduação em Terapia de Casais</v>
      </c>
    </row>
    <row r="1792">
      <c r="A1792" s="390" t="str">
        <f>IFERROR(__xludf.DUMMYFUNCTION("""COMPUTED_VALUE"""),"Leônidas Ferreira Barbosa Júnior - #SLUP - SEGUNDA LICENCIATURA EM PEDAGOGIA")</f>
        <v>Leônidas Ferreira Barbosa Júnior - #SLUP - SEGUNDA LICENCIATURA EM PEDAGOGIA</v>
      </c>
    </row>
    <row r="1793">
      <c r="A1793" s="390" t="str">
        <f>IFERROR(__xludf.DUMMYFUNCTION("""COMPUTED_VALUE"""),"Leônidas Ferreira Barbosa Júnior - Pós-Graduação Educação Especial e Inclusiva")</f>
        <v>Leônidas Ferreira Barbosa Júnior - Pós-Graduação Educação Especial e Inclusiva</v>
      </c>
    </row>
    <row r="1794">
      <c r="A1794" s="390" t="str">
        <f>IFERROR(__xludf.DUMMYFUNCTION("""COMPUTED_VALUE"""),"Paula Fernandes Oliveira Cavalcante - Pós-Graduação em Ensino de Língua Inglesa")</f>
        <v>Paula Fernandes Oliveira Cavalcante - Pós-Graduação em Ensino de Língua Inglesa</v>
      </c>
    </row>
    <row r="1795">
      <c r="A1795" s="390" t="str">
        <f>IFERROR(__xludf.DUMMYFUNCTION("""COMPUTED_VALUE"""),"Paula Fernandes Oliveira Cavalcante - Pós-Graduação em Língua Portuguesa, Redação e Oratória")</f>
        <v>Paula Fernandes Oliveira Cavalcante - Pós-Graduação em Língua Portuguesa, Redação e Oratória</v>
      </c>
    </row>
    <row r="1796">
      <c r="A1796" s="390" t="str">
        <f>IFERROR(__xludf.DUMMYFUNCTION("""COMPUTED_VALUE"""),"Anireide de Lima Silva - #FPUP-FORMAÇÃO PEDAGÓGICA EM PEDAGOGIA- U")</f>
        <v>Anireide de Lima Silva - #FPUP-FORMAÇÃO PEDAGÓGICA EM PEDAGOGIA- U</v>
      </c>
    </row>
    <row r="1797">
      <c r="A1797" s="390" t="str">
        <f>IFERROR(__xludf.DUMMYFUNCTION("""COMPUTED_VALUE"""),"Ana Maria dos Santos - #SLUEE - SEGUNDA LICENCIATURA EM EDUCAÇÃO ESPECIAL")</f>
        <v>Ana Maria dos Santos - #SLUEE - SEGUNDA LICENCIATURA EM EDUCAÇÃO ESPECIAL</v>
      </c>
    </row>
    <row r="1798">
      <c r="A1798" s="390" t="str">
        <f>IFERROR(__xludf.DUMMYFUNCTION("""COMPUTED_VALUE"""),"Madelline Pinheiro Moura - #SLUP - SEGUNDA LICENCIATURA EM PEDAGOGIA")</f>
        <v>Madelline Pinheiro Moura - #SLUP - SEGUNDA LICENCIATURA EM PEDAGOGIA</v>
      </c>
    </row>
    <row r="1799">
      <c r="A1799" s="390" t="str">
        <f>IFERROR(__xludf.DUMMYFUNCTION("""COMPUTED_VALUE"""),"Madelline Pinheiro Moura - Pós-Graduação em Educação Inclusiva e Diversidade")</f>
        <v>Madelline Pinheiro Moura - Pós-Graduação em Educação Inclusiva e Diversidade</v>
      </c>
    </row>
    <row r="1800">
      <c r="A1800" s="390" t="str">
        <f>IFERROR(__xludf.DUMMYFUNCTION("""COMPUTED_VALUE"""),"João Vitor Matheus - Formação Livre Psicanálise")</f>
        <v>João Vitor Matheus - Formação Livre Psicanálise</v>
      </c>
    </row>
    <row r="1801">
      <c r="A1801" s="390" t="str">
        <f>IFERROR(__xludf.DUMMYFUNCTION("""COMPUTED_VALUE"""),"Moyses Marques Medeiros - #SLUA- Segunda Licenciatura em Artes Visuais")</f>
        <v>Moyses Marques Medeiros - #SLUA- Segunda Licenciatura em Artes Visuais</v>
      </c>
    </row>
    <row r="1802">
      <c r="A1802" s="390" t="str">
        <f>IFERROR(__xludf.DUMMYFUNCTION("""COMPUTED_VALUE"""),"Silvana Moura Giong - #FPUP-FORMAÇÃO PEDAGÓGICA EM PEDAGOGIA- U")</f>
        <v>Silvana Moura Giong - #FPUP-FORMAÇÃO PEDAGÓGICA EM PEDAGOGIA- U</v>
      </c>
    </row>
    <row r="1803">
      <c r="A1803" s="390" t="str">
        <f>IFERROR(__xludf.DUMMYFUNCTION("""COMPUTED_VALUE"""),"PATRÍCIA DA SILVA MATURANA FREIRE - #SLUP - SEGUNDA LICENCIATURA EM PEDAGOGIA")</f>
        <v>PATRÍCIA DA SILVA MATURANA FREIRE - #SLUP - SEGUNDA LICENCIATURA EM PEDAGOGIA</v>
      </c>
    </row>
    <row r="1804">
      <c r="A1804" s="390" t="str">
        <f>IFERROR(__xludf.DUMMYFUNCTION("""COMPUTED_VALUE"""),"PATRÍCIA DA SILVA MATURANA FREIRE - #SLUP - SEGUNDA LICENCIATURA EM PEDAGOGIA")</f>
        <v>PATRÍCIA DA SILVA MATURANA FREIRE - #SLUP - SEGUNDA LICENCIATURA EM PEDAGOGIA</v>
      </c>
    </row>
    <row r="1805">
      <c r="A1805" s="390" t="str">
        <f>IFERROR(__xludf.DUMMYFUNCTION("""COMPUTED_VALUE"""),"PATRÍCIA DA SILVA MATURANA FREIRE - Pós-Graduação em Educação Infantil")</f>
        <v>PATRÍCIA DA SILVA MATURANA FREIRE - Pós-Graduação em Educação Infantil</v>
      </c>
    </row>
    <row r="1806">
      <c r="A1806" s="390" t="str">
        <f>IFERROR(__xludf.DUMMYFUNCTION("""COMPUTED_VALUE"""),"Lucas Fortunato Ribeiro da Silva - #SLUEF - Segunda Licenciatura em Educação Física")</f>
        <v>Lucas Fortunato Ribeiro da Silva - #SLUEF - Segunda Licenciatura em Educação Física</v>
      </c>
    </row>
    <row r="1807">
      <c r="A1807" s="390" t="str">
        <f>IFERROR(__xludf.DUMMYFUNCTION("""COMPUTED_VALUE"""),"Beatriz Rosa de Souza - #FPUP-FORMAÇÃO PEDAGÓGICA EM PEDAGOGIA- U")</f>
        <v>Beatriz Rosa de Souza - #FPUP-FORMAÇÃO PEDAGÓGICA EM PEDAGOGIA- U</v>
      </c>
    </row>
    <row r="1808">
      <c r="A1808" s="390" t="str">
        <f>IFERROR(__xludf.DUMMYFUNCTION("""COMPUTED_VALUE"""),"Leonardo Inácio Pereira - #SLUS - Segunda Licenciatura em Sociologia")</f>
        <v>Leonardo Inácio Pereira - #SLUS - Segunda Licenciatura em Sociologia</v>
      </c>
    </row>
    <row r="1809">
      <c r="A1809" s="390" t="str">
        <f>IFERROR(__xludf.DUMMYFUNCTION("""COMPUTED_VALUE"""),"Leonardo Inácio Pereira - SEGUNDA LICENCIATURA PEDAGOGIA - 2024")</f>
        <v>Leonardo Inácio Pereira - SEGUNDA LICENCIATURA PEDAGOGIA - 2024</v>
      </c>
    </row>
    <row r="1810">
      <c r="A1810" s="390" t="str">
        <f>IFERROR(__xludf.DUMMYFUNCTION("""COMPUTED_VALUE"""),"Leonardo Inácio Pereira - Pós-Graduação em Gestão Escolar Integrada com Ênfase em Supervisão, Orientação, Administração e Inspeção")</f>
        <v>Leonardo Inácio Pereira - Pós-Graduação em Gestão Escolar Integrada com Ênfase em Supervisão, Orientação, Administração e Inspeção</v>
      </c>
    </row>
    <row r="1811">
      <c r="A1811" s="390" t="str">
        <f>IFERROR(__xludf.DUMMYFUNCTION("""COMPUTED_VALUE"""),"Michelle Oliveira Caleffi - Pós-Graduação em Supervisão Escolar")</f>
        <v>Michelle Oliveira Caleffi - Pós-Graduação em Supervisão Escolar</v>
      </c>
    </row>
    <row r="1812">
      <c r="A1812" s="390" t="str">
        <f>IFERROR(__xludf.DUMMYFUNCTION("""COMPUTED_VALUE"""),"vilmar carvalho - #SLUP - SEGUNDA LICENCIATURA EM PEDAGOGIA")</f>
        <v>vilmar carvalho - #SLUP - SEGUNDA LICENCIATURA EM PEDAGOGIA</v>
      </c>
    </row>
    <row r="1813">
      <c r="A1813" s="390" t="str">
        <f>IFERROR(__xludf.DUMMYFUNCTION("""COMPUTED_VALUE"""),"Jocilene Fraga Pilro - Formação Livre Psicanálise")</f>
        <v>Jocilene Fraga Pilro - Formação Livre Psicanálise</v>
      </c>
    </row>
    <row r="1814">
      <c r="A1814" s="390" t="str">
        <f>IFERROR(__xludf.DUMMYFUNCTION("""COMPUTED_VALUE"""),"Maria Aparecida Florentino de Lima - Pós-Graduação em Educação Inclusiva e Diversidade")</f>
        <v>Maria Aparecida Florentino de Lima - Pós-Graduação em Educação Inclusiva e Diversidade</v>
      </c>
    </row>
    <row r="1815">
      <c r="A1815" s="390" t="str">
        <f>IFERROR(__xludf.DUMMYFUNCTION("""COMPUTED_VALUE"""),"Joice Cristina da Conceição Paula Rodrigues - #SLUPI - SEGUNDA LICENCIATURA EM LETRAS – PORTUGUÊS E INGLÊS")</f>
        <v>Joice Cristina da Conceição Paula Rodrigues - #SLUPI - SEGUNDA LICENCIATURA EM LETRAS – PORTUGUÊS E INGLÊS</v>
      </c>
    </row>
    <row r="1816">
      <c r="A1816" s="390" t="str">
        <f>IFERROR(__xludf.DUMMYFUNCTION("""COMPUTED_VALUE"""),"Rodrigo Quintino Pereira - #SLUP - SEGUNDA LICENCIATURA EM PEDAGOGIA")</f>
        <v>Rodrigo Quintino Pereira - #SLUP - SEGUNDA LICENCIATURA EM PEDAGOGIA</v>
      </c>
    </row>
    <row r="1817">
      <c r="A1817" s="390" t="str">
        <f>IFERROR(__xludf.DUMMYFUNCTION("""COMPUTED_VALUE"""),"Rodrigo Quintino Pereira - Pós-graduação em Gestão Escolar Integradora com Ênfase em Supervisão, Orientação, Administração e Inspeção 740Horas")</f>
        <v>Rodrigo Quintino Pereira - Pós-graduação em Gestão Escolar Integradora com Ênfase em Supervisão, Orientação, Administração e Inspeção 740Horas</v>
      </c>
    </row>
    <row r="1818">
      <c r="A1818" s="390" t="str">
        <f>IFERROR(__xludf.DUMMYFUNCTION("""COMPUTED_VALUE"""),"Elias Silva de Araújo - #FPMF- Formação Pedagógica em Música 1200Horas")</f>
        <v>Elias Silva de Araújo - #FPMF- Formação Pedagógica em Música 1200Horas</v>
      </c>
    </row>
    <row r="1819">
      <c r="A1819" s="390" t="str">
        <f>IFERROR(__xludf.DUMMYFUNCTION("""COMPUTED_VALUE"""),"Mariana Sanches De Oliveira - #SLUP - SEGUNDA LICENCIATURA EM PEDAGOGIA")</f>
        <v>Mariana Sanches De Oliveira - #SLUP - SEGUNDA LICENCIATURA EM PEDAGOGIA</v>
      </c>
    </row>
    <row r="1820">
      <c r="A1820" s="390" t="str">
        <f>IFERROR(__xludf.DUMMYFUNCTION("""COMPUTED_VALUE"""),"Lucimara Salles - #SLUP - SEGUNDA LICENCIATURA EM PEDAGOGIA")</f>
        <v>Lucimara Salles - #SLUP - SEGUNDA LICENCIATURA EM PEDAGOGIA</v>
      </c>
    </row>
    <row r="1821">
      <c r="A1821" s="390" t="str">
        <f>IFERROR(__xludf.DUMMYFUNCTION("""COMPUTED_VALUE"""),"Lucimara Salles - Pós-Graduação em Arteterapia")</f>
        <v>Lucimara Salles - Pós-Graduação em Arteterapia</v>
      </c>
    </row>
    <row r="1822">
      <c r="A1822" s="390" t="str">
        <f>IFERROR(__xludf.DUMMYFUNCTION("""COMPUTED_VALUE"""),"Lucimara Salles - Pós-Graduação em Terapia em ABA- Análise do Comportamento Aplicada Clínica")</f>
        <v>Lucimara Salles - Pós-Graduação em Terapia em ABA- Análise do Comportamento Aplicada Clínica</v>
      </c>
    </row>
    <row r="1823">
      <c r="A1823" s="390" t="str">
        <f>IFERROR(__xludf.DUMMYFUNCTION("""COMPUTED_VALUE"""),"Jaci Ribeiro de Jesus - #FPUA- Formação Pedagógica em Artes Visuais")</f>
        <v>Jaci Ribeiro de Jesus - #FPUA- Formação Pedagógica em Artes Visuais</v>
      </c>
    </row>
    <row r="1824">
      <c r="A1824" s="390" t="str">
        <f>IFERROR(__xludf.DUMMYFUNCTION("""COMPUTED_VALUE"""),"Jardel Pereira de Sousa - #SLUS - Segunda Licenciatura em Sociologia")</f>
        <v>Jardel Pereira de Sousa - #SLUS - Segunda Licenciatura em Sociologia</v>
      </c>
    </row>
    <row r="1825">
      <c r="A1825" s="390" t="str">
        <f>IFERROR(__xludf.DUMMYFUNCTION("""COMPUTED_VALUE"""),"Ozeias Ribeiro Silva - FORMAÇÃO PEDAGÓGICA EM EDUCAÇÃO ESPECIAL- U")</f>
        <v>Ozeias Ribeiro Silva - FORMAÇÃO PEDAGÓGICA EM EDUCAÇÃO ESPECIAL- U</v>
      </c>
    </row>
    <row r="1826">
      <c r="A1826" s="390" t="str">
        <f>IFERROR(__xludf.DUMMYFUNCTION("""COMPUTED_VALUE"""),"Ozeias Ribeiro Silva - FORMAÇÃO PEDAGÓGICA EM GEOGRAFIA- U")</f>
        <v>Ozeias Ribeiro Silva - FORMAÇÃO PEDAGÓGICA EM GEOGRAFIA- U</v>
      </c>
    </row>
    <row r="1827">
      <c r="A1827" s="390" t="str">
        <f>IFERROR(__xludf.DUMMYFUNCTION("""COMPUTED_VALUE"""),"Terezinha Dinamar dos Santos - Pós-Graduação em Psicomotricidade na Educação Infantil")</f>
        <v>Terezinha Dinamar dos Santos - Pós-Graduação em Psicomotricidade na Educação Infantil</v>
      </c>
    </row>
    <row r="1828">
      <c r="A1828" s="390" t="str">
        <f>IFERROR(__xludf.DUMMYFUNCTION("""COMPUTED_VALUE"""),"Edelise Maria Moreira da Silva - #SLUPE- Segunda Licenciatura em Letras – Português e Espanhol")</f>
        <v>Edelise Maria Moreira da Silva - #SLUPE- Segunda Licenciatura em Letras – Português e Espanhol</v>
      </c>
    </row>
    <row r="1829">
      <c r="A1829" s="390" t="str">
        <f>IFERROR(__xludf.DUMMYFUNCTION("""COMPUTED_VALUE"""),"Antônio Ederval Silva Lima - FORMAÇÃO PEDAGÓGICA EM SOCIOLOGIA- U")</f>
        <v>Antônio Ederval Silva Lima - FORMAÇÃO PEDAGÓGICA EM SOCIOLOGIA- U</v>
      </c>
    </row>
    <row r="1830">
      <c r="A1830" s="390" t="str">
        <f>IFERROR(__xludf.DUMMYFUNCTION("""COMPUTED_VALUE"""),"Marcela Lilian Maia de Faria Silveira - #SLUP - SEGUNDA LICENCIATURA EM PEDAGOGIA")</f>
        <v>Marcela Lilian Maia de Faria Silveira - #SLUP - SEGUNDA LICENCIATURA EM PEDAGOGIA</v>
      </c>
    </row>
    <row r="1831">
      <c r="A1831" s="390" t="str">
        <f>IFERROR(__xludf.DUMMYFUNCTION("""COMPUTED_VALUE"""),"Beatriz Cristina Batista Rodrigues - #SLGA - Segunda Licenciatura em Geografia")</f>
        <v>Beatriz Cristina Batista Rodrigues - #SLGA - Segunda Licenciatura em Geografia</v>
      </c>
    </row>
    <row r="1832">
      <c r="A1832" s="390" t="str">
        <f>IFERROR(__xludf.DUMMYFUNCTION("""COMPUTED_VALUE"""),"Beatriz Cristina Batista Rodrigues - #SLPA- Segunda Licenciatura em Pedagogia 01")</f>
        <v>Beatriz Cristina Batista Rodrigues - #SLPA- Segunda Licenciatura em Pedagogia 01</v>
      </c>
    </row>
    <row r="1833">
      <c r="A1833" s="390" t="str">
        <f>IFERROR(__xludf.DUMMYFUNCTION("""COMPUTED_VALUE"""),"Beatriz Cristina Batista Rodrigues - #SLPT- Segunda Licenciatura em Pedagogia")</f>
        <v>Beatriz Cristina Batista Rodrigues - #SLPT- Segunda Licenciatura em Pedagogia</v>
      </c>
    </row>
    <row r="1834">
      <c r="A1834" s="390" t="str">
        <f>IFERROR(__xludf.DUMMYFUNCTION("""COMPUTED_VALUE"""),"Beatriz Cristina Batista Rodrigues - #SLP22- Segunda Licenciatura em Pedagogia")</f>
        <v>Beatriz Cristina Batista Rodrigues - #SLP22- Segunda Licenciatura em Pedagogia</v>
      </c>
    </row>
    <row r="1835">
      <c r="A1835" s="390" t="str">
        <f>IFERROR(__xludf.DUMMYFUNCTION("""COMPUTED_VALUE"""),"Luzia Pereira - Pós-Graduação em Ensino Religioso")</f>
        <v>Luzia Pereira - Pós-Graduação em Ensino Religioso</v>
      </c>
    </row>
    <row r="1836">
      <c r="A1836" s="390" t="str">
        <f>IFERROR(__xludf.DUMMYFUNCTION("""COMPUTED_VALUE"""),"Eduardo Cabo Verde Araújo - #SLUPI - SEGUNDA LICENCIATURA EM LETRAS – PORTUGUÊS E INGLÊS")</f>
        <v>Eduardo Cabo Verde Araújo - #SLUPI - SEGUNDA LICENCIATURA EM LETRAS – PORTUGUÊS E INGLÊS</v>
      </c>
    </row>
    <row r="1837">
      <c r="A1837" s="390" t="str">
        <f>IFERROR(__xludf.DUMMYFUNCTION("""COMPUTED_VALUE"""),"Eduardo Cabo Verde Araújo - #SLUF- Segunda Licenciatura em Filosofia")</f>
        <v>Eduardo Cabo Verde Araújo - #SLUF- Segunda Licenciatura em Filosofia</v>
      </c>
    </row>
    <row r="1838">
      <c r="A1838" s="390" t="str">
        <f>IFERROR(__xludf.DUMMYFUNCTION("""COMPUTED_VALUE"""),"Cassia Regina Lopes Cardoso - #SLUF- Segunda Licenciatura em Filosofia")</f>
        <v>Cassia Regina Lopes Cardoso - #SLUF- Segunda Licenciatura em Filosofia</v>
      </c>
    </row>
    <row r="1839">
      <c r="A1839" s="390" t="str">
        <f>IFERROR(__xludf.DUMMYFUNCTION("""COMPUTED_VALUE"""),"Valdoir Dutra Lira - #FPUP-FORMAÇÃO PEDAGÓGICA EM PEDAGOGIA- U")</f>
        <v>Valdoir Dutra Lira - #FPUP-FORMAÇÃO PEDAGÓGICA EM PEDAGOGIA- U</v>
      </c>
    </row>
    <row r="1840">
      <c r="A1840" s="390" t="str">
        <f>IFERROR(__xludf.DUMMYFUNCTION("""COMPUTED_VALUE"""),"Gabriel Ortiz Hübner - FORMAÇÃO PEDAGÓGICA EM GEOGRAFIA- U")</f>
        <v>Gabriel Ortiz Hübner - FORMAÇÃO PEDAGÓGICA EM GEOGRAFIA- U</v>
      </c>
    </row>
    <row r="1841">
      <c r="A1841" s="390" t="str">
        <f>IFERROR(__xludf.DUMMYFUNCTION("""COMPUTED_VALUE"""),"Rodrigo Araújo Parducci - Pós-Graduação em Musicoterapia")</f>
        <v>Rodrigo Araújo Parducci - Pós-Graduação em Musicoterapia</v>
      </c>
    </row>
    <row r="1842">
      <c r="A1842" s="390" t="str">
        <f>IFERROR(__xludf.DUMMYFUNCTION("""COMPUTED_VALUE"""),"Maria Lúcia da Silva Barbosa - Pós-Graduação em Arteterapia")</f>
        <v>Maria Lúcia da Silva Barbosa - Pós-Graduação em Arteterapia</v>
      </c>
    </row>
    <row r="1843">
      <c r="A1843" s="390" t="str">
        <f>IFERROR(__xludf.DUMMYFUNCTION("""COMPUTED_VALUE"""),"Lorrayne Raika Oliveira Marques de Figueiredo - #SLUH- Segunda Licenciatura em História")</f>
        <v>Lorrayne Raika Oliveira Marques de Figueiredo - #SLUH- Segunda Licenciatura em História</v>
      </c>
    </row>
    <row r="1844">
      <c r="A1844" s="390" t="str">
        <f>IFERROR(__xludf.DUMMYFUNCTION("""COMPUTED_VALUE"""),"HERBERTE NUNES - FORMAÇÃO PEDAGÓGICA EM CIÊNCIAS DA RELIGIÃO- U")</f>
        <v>HERBERTE NUNES - FORMAÇÃO PEDAGÓGICA EM CIÊNCIAS DA RELIGIÃO- U</v>
      </c>
    </row>
    <row r="1845">
      <c r="A1845" s="390" t="str">
        <f>IFERROR(__xludf.DUMMYFUNCTION("""COMPUTED_VALUE"""),"Robson Prati Neves de Oliveira - Pós-Graduação em Psicanálise")</f>
        <v>Robson Prati Neves de Oliveira - Pós-Graduação em Psicanálise</v>
      </c>
    </row>
    <row r="1846">
      <c r="A1846" s="390" t="str">
        <f>IFERROR(__xludf.DUMMYFUNCTION("""COMPUTED_VALUE"""),"GISELE BATISTA DE ARAÚJO - #SLULPL- Segunda Licenciatura em Letras – Língua Portuguesa e Libras")</f>
        <v>GISELE BATISTA DE ARAÚJO - #SLULPL- Segunda Licenciatura em Letras – Língua Portuguesa e Libras</v>
      </c>
    </row>
    <row r="1847">
      <c r="A1847" s="390" t="str">
        <f>IFERROR(__xludf.DUMMYFUNCTION("""COMPUTED_VALUE"""),"Vanessa de Fatima Franco Vitorino - #SLUPI - SEGUNDA LICENCIATURA EM LETRAS – PORTUGUÊS E INGLÊS")</f>
        <v>Vanessa de Fatima Franco Vitorino - #SLUPI - SEGUNDA LICENCIATURA EM LETRAS – PORTUGUÊS E INGLÊS</v>
      </c>
    </row>
    <row r="1848">
      <c r="A1848" s="390" t="str">
        <f>IFERROR(__xludf.DUMMYFUNCTION("""COMPUTED_VALUE"""),"Petrônio Dias da Silva - #FPUEF - Formação Pedagógica em Educação Física - 1200 Horas")</f>
        <v>Petrônio Dias da Silva - #FPUEF - Formação Pedagógica em Educação Física - 1200 Horas</v>
      </c>
    </row>
    <row r="1849">
      <c r="A1849" s="390" t="str">
        <f>IFERROR(__xludf.DUMMYFUNCTION("""COMPUTED_VALUE"""),"Petrônio Dias da Silva - Pós-Graduação em Educação Física Escolar e Treinamento Desportivo")</f>
        <v>Petrônio Dias da Silva - Pós-Graduação em Educação Física Escolar e Treinamento Desportivo</v>
      </c>
    </row>
    <row r="1850">
      <c r="A1850" s="390" t="str">
        <f>IFERROR(__xludf.DUMMYFUNCTION("""COMPUTED_VALUE"""),"Raquel Lima Bezerra Alves - #SLUPI - SEGUNDA LICENCIATURA EM LETRAS – PORTUGUÊS E INGLÊS")</f>
        <v>Raquel Lima Bezerra Alves - #SLUPI - SEGUNDA LICENCIATURA EM LETRAS – PORTUGUÊS E INGLÊS</v>
      </c>
    </row>
    <row r="1851">
      <c r="A1851" s="390" t="str">
        <f>IFERROR(__xludf.DUMMYFUNCTION("""COMPUTED_VALUE"""),"Raquel Lima Bezerra Alves - #SLLIT - Segunda Licenciatura em Letras-Inglês 1090Horas")</f>
        <v>Raquel Lima Bezerra Alves - #SLLIT - Segunda Licenciatura em Letras-Inglês 1090Horas</v>
      </c>
    </row>
    <row r="1852">
      <c r="A1852" s="390" t="str">
        <f>IFERROR(__xludf.DUMMYFUNCTION("""COMPUTED_VALUE"""),"Gidelcio Ferreira Lola - Pós-Graduação em MBA Gestão de Marketing Digital")</f>
        <v>Gidelcio Ferreira Lola - Pós-Graduação em MBA Gestão de Marketing Digital</v>
      </c>
    </row>
    <row r="1853">
      <c r="A1853" s="390" t="str">
        <f>IFERROR(__xludf.DUMMYFUNCTION("""COMPUTED_VALUE"""),"Gidelcio Ferreira Lola - NOVO-Pós-Graduação em Psicanálise 800 Horas")</f>
        <v>Gidelcio Ferreira Lola - NOVO-Pós-Graduação em Psicanálise 800 Horas</v>
      </c>
    </row>
    <row r="1854">
      <c r="A1854" s="390" t="str">
        <f>IFERROR(__xludf.DUMMYFUNCTION("""COMPUTED_VALUE"""),"PAOLO FERNANDO GASPARY GASSEN - #SLUH- Segunda Licenciatura em História")</f>
        <v>PAOLO FERNANDO GASPARY GASSEN - #SLUH- Segunda Licenciatura em História</v>
      </c>
    </row>
    <row r="1855">
      <c r="A1855" s="390" t="str">
        <f>IFERROR(__xludf.DUMMYFUNCTION("""COMPUTED_VALUE"""),"Marcos Emmanuel Viana Lima - #SLUP - SEGUNDA LICENCIATURA EM PEDAGOGIA")</f>
        <v>Marcos Emmanuel Viana Lima - #SLUP - SEGUNDA LICENCIATURA EM PEDAGOGIA</v>
      </c>
    </row>
    <row r="1856">
      <c r="A1856" s="390" t="str">
        <f>IFERROR(__xludf.DUMMYFUNCTION("""COMPUTED_VALUE"""),"Kelly Costa de Miranda Santos - Pós-Graduação em Psicanálise")</f>
        <v>Kelly Costa de Miranda Santos - Pós-Graduação em Psicanálise</v>
      </c>
    </row>
    <row r="1857">
      <c r="A1857" s="390" t="str">
        <f>IFERROR(__xludf.DUMMYFUNCTION("""COMPUTED_VALUE"""),"Kelly Costa de Miranda Santos - Formação Livre Psicanálise")</f>
        <v>Kelly Costa de Miranda Santos - Formação Livre Psicanálise</v>
      </c>
    </row>
    <row r="1858">
      <c r="A1858" s="390" t="str">
        <f>IFERROR(__xludf.DUMMYFUNCTION("""COMPUTED_VALUE"""),"Kelly Costa de Miranda Santos - FORMAÇÃO LIVRE EM TERAPIA COGNITIVO COMPORTAMENTAL - 2024")</f>
        <v>Kelly Costa de Miranda Santos - FORMAÇÃO LIVRE EM TERAPIA COGNITIVO COMPORTAMENTAL - 2024</v>
      </c>
    </row>
    <row r="1859">
      <c r="A1859" s="390" t="str">
        <f>IFERROR(__xludf.DUMMYFUNCTION("""COMPUTED_VALUE"""),"Vera Lucia Feu Brasserose - #FPUP-FORMAÇÃO PEDAGÓGICA EM PEDAGOGIA- U")</f>
        <v>Vera Lucia Feu Brasserose - #FPUP-FORMAÇÃO PEDAGÓGICA EM PEDAGOGIA- U</v>
      </c>
    </row>
    <row r="1860">
      <c r="A1860" s="390" t="str">
        <f>IFERROR(__xludf.DUMMYFUNCTION("""COMPUTED_VALUE"""),"Rosemary da Penha Santos - #SLUEF - Segunda Licenciatura em Educação Física")</f>
        <v>Rosemary da Penha Santos - #SLUEF - Segunda Licenciatura em Educação Física</v>
      </c>
    </row>
    <row r="1861">
      <c r="A1861" s="390" t="str">
        <f>IFERROR(__xludf.DUMMYFUNCTION("""COMPUTED_VALUE"""),"Nayara Carolina Rosa - #SLUPI - SEGUNDA LICENCIATURA EM LETRAS – PORTUGUÊS E INGLÊS")</f>
        <v>Nayara Carolina Rosa - #SLUPI - SEGUNDA LICENCIATURA EM LETRAS – PORTUGUÊS E INGLÊS</v>
      </c>
    </row>
    <row r="1862">
      <c r="A1862" s="390" t="str">
        <f>IFERROR(__xludf.DUMMYFUNCTION("""COMPUTED_VALUE"""),"Nayara Carolina Rosa - Formação Livre Psicanálise")</f>
        <v>Nayara Carolina Rosa - Formação Livre Psicanálise</v>
      </c>
    </row>
    <row r="1863">
      <c r="A1863" s="390" t="str">
        <f>IFERROR(__xludf.DUMMYFUNCTION("""COMPUTED_VALUE"""),"Nayara Carolina Rosa - Pós-Graduação em Sexologia")</f>
        <v>Nayara Carolina Rosa - Pós-Graduação em Sexologia</v>
      </c>
    </row>
    <row r="1864">
      <c r="A1864" s="390" t="str">
        <f>IFERROR(__xludf.DUMMYFUNCTION("""COMPUTED_VALUE"""),"Nayara Carolina Rosa - Pós-Graduação em Neuropsicologia Clínica")</f>
        <v>Nayara Carolina Rosa - Pós-Graduação em Neuropsicologia Clínica</v>
      </c>
    </row>
    <row r="1865">
      <c r="A1865" s="390" t="str">
        <f>IFERROR(__xludf.DUMMYFUNCTION("""COMPUTED_VALUE"""),"SANDRA MARA DE OLIVEIRA - #SLUP - SEGUNDA LICENCIATURA EM PEDAGOGIA")</f>
        <v>SANDRA MARA DE OLIVEIRA - #SLUP - SEGUNDA LICENCIATURA EM PEDAGOGIA</v>
      </c>
    </row>
    <row r="1866">
      <c r="A1866" s="390" t="str">
        <f>IFERROR(__xludf.DUMMYFUNCTION("""COMPUTED_VALUE"""),"Marina de Almeida Furtado Rodrigues - #SLUF- Segunda Licenciatura em Filosofia")</f>
        <v>Marina de Almeida Furtado Rodrigues - #SLUF- Segunda Licenciatura em Filosofia</v>
      </c>
    </row>
    <row r="1867">
      <c r="A1867" s="390" t="str">
        <f>IFERROR(__xludf.DUMMYFUNCTION("""COMPUTED_VALUE"""),"Julio cesar rodrigues da Silva - #FPUEF - Formação Pedagógica em Educação Física - 1200 Horas")</f>
        <v>Julio cesar rodrigues da Silva - #FPUEF - Formação Pedagógica em Educação Física - 1200 Horas</v>
      </c>
    </row>
    <row r="1868">
      <c r="A1868" s="390" t="str">
        <f>IFERROR(__xludf.DUMMYFUNCTION("""COMPUTED_VALUE"""),"Evandro dos Santos Carlos - #SLUEE - SEGUNDA LICENCIATURA EM EDUCAÇÃO ESPECIAL")</f>
        <v>Evandro dos Santos Carlos - #SLUEE - SEGUNDA LICENCIATURA EM EDUCAÇÃO ESPECIAL</v>
      </c>
    </row>
    <row r="1869">
      <c r="A1869" s="390" t="str">
        <f>IFERROR(__xludf.DUMMYFUNCTION("""COMPUTED_VALUE"""),"Fernanda Gabriel Seabra Pila - Pós-Graduação em Psicanálise")</f>
        <v>Fernanda Gabriel Seabra Pila - Pós-Graduação em Psicanálise</v>
      </c>
    </row>
    <row r="1870">
      <c r="A1870" s="390" t="str">
        <f>IFERROR(__xludf.DUMMYFUNCTION("""COMPUTED_VALUE"""),"Maria Lídia Tocantins de Sousa Andrade - Pós-Graduação em Psicanálise")</f>
        <v>Maria Lídia Tocantins de Sousa Andrade - Pós-Graduação em Psicanálise</v>
      </c>
    </row>
    <row r="1871">
      <c r="A1871" s="390" t="str">
        <f>IFERROR(__xludf.DUMMYFUNCTION("""COMPUTED_VALUE"""),"Adriana Aparecida de Fátima Ricci - #SLUPI - SEGUNDA LICENCIATURA EM LETRAS – PORTUGUÊS E INGLÊS")</f>
        <v>Adriana Aparecida de Fátima Ricci - #SLUPI - SEGUNDA LICENCIATURA EM LETRAS – PORTUGUÊS E INGLÊS</v>
      </c>
    </row>
    <row r="1872">
      <c r="A1872" s="390" t="str">
        <f>IFERROR(__xludf.DUMMYFUNCTION("""COMPUTED_VALUE"""),"Adriana Aparecida de Fátima Ricci - Pós-Graduação em Terapia em ABA- Análise do Comportamento Aplicada")</f>
        <v>Adriana Aparecida de Fátima Ricci - Pós-Graduação em Terapia em ABA- Análise do Comportamento Aplicada</v>
      </c>
    </row>
    <row r="1873">
      <c r="A1873" s="390" t="str">
        <f>IFERROR(__xludf.DUMMYFUNCTION("""COMPUTED_VALUE"""),"Russian Liberato Ribeiro de Araújo Lima. - #SLUP - SEGUNDA LICENCIATURA EM PEDAGOGIA")</f>
        <v>Russian Liberato Ribeiro de Araújo Lima. - #SLUP - SEGUNDA LICENCIATURA EM PEDAGOGIA</v>
      </c>
    </row>
    <row r="1874">
      <c r="A1874" s="390" t="str">
        <f>IFERROR(__xludf.DUMMYFUNCTION("""COMPUTED_VALUE"""),"Russian Liberato Ribeiro de Araújo Lima. - #SLUH- Segunda Licenciatura em História")</f>
        <v>Russian Liberato Ribeiro de Araújo Lima. - #SLUH- Segunda Licenciatura em História</v>
      </c>
    </row>
    <row r="1875">
      <c r="A1875" s="390" t="str">
        <f>IFERROR(__xludf.DUMMYFUNCTION("""COMPUTED_VALUE"""),"Lidia Maria Borges da Silva - #SLAA - Segunda Licenciatura em Artes Visuais")</f>
        <v>Lidia Maria Borges da Silva - #SLAA - Segunda Licenciatura em Artes Visuais</v>
      </c>
    </row>
    <row r="1876">
      <c r="A1876" s="390" t="str">
        <f>IFERROR(__xludf.DUMMYFUNCTION("""COMPUTED_VALUE"""),"INDIARA Dias Alves - Formação Livre Psicanálise")</f>
        <v>INDIARA Dias Alves - Formação Livre Psicanálise</v>
      </c>
    </row>
    <row r="1877">
      <c r="A1877" s="390" t="str">
        <f>IFERROR(__xludf.DUMMYFUNCTION("""COMPUTED_VALUE"""),"Josemi Senhorinho Dalaneze Nery - FORMAÇÃO PEDAGÓGICA EM CIÊNCIAS DA RELIGIÃO- U")</f>
        <v>Josemi Senhorinho Dalaneze Nery - FORMAÇÃO PEDAGÓGICA EM CIÊNCIAS DA RELIGIÃO- U</v>
      </c>
    </row>
    <row r="1878">
      <c r="A1878" s="390" t="str">
        <f>IFERROR(__xludf.DUMMYFUNCTION("""COMPUTED_VALUE"""),"Josy Neris dos Santos Corazza - Formação Livre Psicanálise")</f>
        <v>Josy Neris dos Santos Corazza - Formação Livre Psicanálise</v>
      </c>
    </row>
    <row r="1879">
      <c r="A1879" s="390" t="str">
        <f>IFERROR(__xludf.DUMMYFUNCTION("""COMPUTED_VALUE"""),"Suelen s de Oliveira - Pós-Graduação em Psicanálise")</f>
        <v>Suelen s de Oliveira - Pós-Graduação em Psicanálise</v>
      </c>
    </row>
    <row r="1880">
      <c r="A1880" s="390" t="str">
        <f>IFERROR(__xludf.DUMMYFUNCTION("""COMPUTED_VALUE"""),"Christian parga de Sousa - Pós-Graduação em Engenharia de Segurança do Trabalho")</f>
        <v>Christian parga de Sousa - Pós-Graduação em Engenharia de Segurança do Trabalho</v>
      </c>
    </row>
    <row r="1881">
      <c r="A1881" s="390" t="str">
        <f>IFERROR(__xludf.DUMMYFUNCTION("""COMPUTED_VALUE"""),"Edna Stael Teodoro Valente - Pós-Graduação em Psicanálise")</f>
        <v>Edna Stael Teodoro Valente - Pós-Graduação em Psicanálise</v>
      </c>
    </row>
    <row r="1882">
      <c r="A1882" s="390" t="str">
        <f>IFERROR(__xludf.DUMMYFUNCTION("""COMPUTED_VALUE"""),"Iuri Sousa do Ó - #FPUP-FORMAÇÃO PEDAGÓGICA EM PEDAGOGIA- U")</f>
        <v>Iuri Sousa do Ó - #FPUP-FORMAÇÃO PEDAGÓGICA EM PEDAGOGIA- U</v>
      </c>
    </row>
    <row r="1883">
      <c r="A1883" s="390" t="str">
        <f>IFERROR(__xludf.DUMMYFUNCTION("""COMPUTED_VALUE"""),"Ivani Dantas Ferreira - #SLUP - SEGUNDA LICENCIATURA EM PEDAGOGIA")</f>
        <v>Ivani Dantas Ferreira - #SLUP - SEGUNDA LICENCIATURA EM PEDAGOGIA</v>
      </c>
    </row>
    <row r="1884">
      <c r="A1884" s="390" t="str">
        <f>IFERROR(__xludf.DUMMYFUNCTION("""COMPUTED_VALUE"""),"Ana Cristina de Aquino Cunha - #SLUP - SEGUNDA LICENCIATURA EM PEDAGOGIA")</f>
        <v>Ana Cristina de Aquino Cunha - #SLUP - SEGUNDA LICENCIATURA EM PEDAGOGIA</v>
      </c>
    </row>
    <row r="1885">
      <c r="A1885" s="390" t="str">
        <f>IFERROR(__xludf.DUMMYFUNCTION("""COMPUTED_VALUE"""),"Alessandra Bento da Silva dos Santos - #FPUP-FORMAÇÃO PEDAGÓGICA EM PEDAGOGIA- U")</f>
        <v>Alessandra Bento da Silva dos Santos - #FPUP-FORMAÇÃO PEDAGÓGICA EM PEDAGOGIA- U</v>
      </c>
    </row>
    <row r="1886">
      <c r="A1886" s="390" t="str">
        <f>IFERROR(__xludf.DUMMYFUNCTION("""COMPUTED_VALUE"""),"Elaine Borges da Silva Sueth - #SLUP - SEGUNDA LICENCIATURA EM PEDAGOGIA")</f>
        <v>Elaine Borges da Silva Sueth - #SLUP - SEGUNDA LICENCIATURA EM PEDAGOGIA</v>
      </c>
    </row>
    <row r="1887">
      <c r="A1887" s="390" t="str">
        <f>IFERROR(__xludf.DUMMYFUNCTION("""COMPUTED_VALUE"""),"Elaine Borges da Silva Sueth - Pós-Graduação em Gestão Escolar")</f>
        <v>Elaine Borges da Silva Sueth - Pós-Graduação em Gestão Escolar</v>
      </c>
    </row>
    <row r="1888">
      <c r="A1888" s="390" t="str">
        <f>IFERROR(__xludf.DUMMYFUNCTION("""COMPUTED_VALUE"""),"Paulo César Pereira Gomes - #SLUH- Segunda Licenciatura em História")</f>
        <v>Paulo César Pereira Gomes - #SLUH- Segunda Licenciatura em História</v>
      </c>
    </row>
    <row r="1889">
      <c r="A1889" s="390" t="str">
        <f>IFERROR(__xludf.DUMMYFUNCTION("""COMPUTED_VALUE"""),"Paulo César Pereira Gomes - #SLUPI - SEGUNDA LICENCIATURA EM LETRAS – PORTUGUÊS E INGLÊS")</f>
        <v>Paulo César Pereira Gomes - #SLUPI - SEGUNDA LICENCIATURA EM LETRAS – PORTUGUÊS E INGLÊS</v>
      </c>
    </row>
    <row r="1890">
      <c r="A1890" s="390" t="str">
        <f>IFERROR(__xludf.DUMMYFUNCTION("""COMPUTED_VALUE"""),"Paulo César Pereira Gomes - Pós-Graduação em Língua Portuguesa, Redação e Oratória")</f>
        <v>Paulo César Pereira Gomes - Pós-Graduação em Língua Portuguesa, Redação e Oratória</v>
      </c>
    </row>
    <row r="1891">
      <c r="A1891" s="390" t="str">
        <f>IFERROR(__xludf.DUMMYFUNCTION("""COMPUTED_VALUE"""),"Edson Cabral de Oliveira - #FPMF- Formação Pedagógica em Música 1200Horas")</f>
        <v>Edson Cabral de Oliveira - #FPMF- Formação Pedagógica em Música 1200Horas</v>
      </c>
    </row>
    <row r="1892">
      <c r="A1892" s="390" t="str">
        <f>IFERROR(__xludf.DUMMYFUNCTION("""COMPUTED_VALUE"""),"Yasmin Nobre da Silva Cavalcante - Pós-Graduação em Psicologia Educacional")</f>
        <v>Yasmin Nobre da Silva Cavalcante - Pós-Graduação em Psicologia Educacional</v>
      </c>
    </row>
    <row r="1893">
      <c r="A1893" s="390" t="str">
        <f>IFERROR(__xludf.DUMMYFUNCTION("""COMPUTED_VALUE"""),"Yasmin Nobre da Silva Cavalcante - Pós-Graduação Psicopedagogia Clínica, Institucional e Hospitalar")</f>
        <v>Yasmin Nobre da Silva Cavalcante - Pós-Graduação Psicopedagogia Clínica, Institucional e Hospitalar</v>
      </c>
    </row>
    <row r="1894">
      <c r="A1894" s="390" t="str">
        <f>IFERROR(__xludf.DUMMYFUNCTION("""COMPUTED_VALUE"""),"Kárita de Almeida Couto - #FPUP-FORMAÇÃO PEDAGÓGICA EM PEDAGOGIA- U")</f>
        <v>Kárita de Almeida Couto - #FPUP-FORMAÇÃO PEDAGÓGICA EM PEDAGOGIA- U</v>
      </c>
    </row>
    <row r="1895">
      <c r="A1895" s="390" t="str">
        <f>IFERROR(__xludf.DUMMYFUNCTION("""COMPUTED_VALUE"""),"Silvia Braz Alves Schwartz - #FPUP-FORMAÇÃO PEDAGÓGICA EM PEDAGOGIA- U")</f>
        <v>Silvia Braz Alves Schwartz - #FPUP-FORMAÇÃO PEDAGÓGICA EM PEDAGOGIA- U</v>
      </c>
    </row>
    <row r="1896">
      <c r="A1896" s="390" t="str">
        <f>IFERROR(__xludf.DUMMYFUNCTION("""COMPUTED_VALUE"""),"Fabiano Luciano Pessoa - #FPMF- Formação Pedagógica em Música 1200Horas")</f>
        <v>Fabiano Luciano Pessoa - #FPMF- Formação Pedagógica em Música 1200Horas</v>
      </c>
    </row>
    <row r="1897">
      <c r="A1897" s="390" t="str">
        <f>IFERROR(__xludf.DUMMYFUNCTION("""COMPUTED_VALUE"""),"Fabiana Hames - #SLUEF - Segunda Licenciatura em Educação Física")</f>
        <v>Fabiana Hames - #SLUEF - Segunda Licenciatura em Educação Física</v>
      </c>
    </row>
    <row r="1898">
      <c r="A1898" s="390" t="str">
        <f>IFERROR(__xludf.DUMMYFUNCTION("""COMPUTED_VALUE"""),"Luiz Carlos Pereira de Brito - #SLUP - SEGUNDA LICENCIATURA EM PEDAGOGIA")</f>
        <v>Luiz Carlos Pereira de Brito - #SLUP - SEGUNDA LICENCIATURA EM PEDAGOGIA</v>
      </c>
    </row>
    <row r="1899">
      <c r="A1899" s="390" t="str">
        <f>IFERROR(__xludf.DUMMYFUNCTION("""COMPUTED_VALUE"""),"Luiz Carlos Pereira de Brito - Pós-Graduação Alfabetização e Letramento")</f>
        <v>Luiz Carlos Pereira de Brito - Pós-Graduação Alfabetização e Letramento</v>
      </c>
    </row>
    <row r="1900">
      <c r="A1900" s="390" t="str">
        <f>IFERROR(__xludf.DUMMYFUNCTION("""COMPUTED_VALUE"""),"Tiago de Jesus Nascimento da Silva - #FPUEF - Formação Pedagógica em Educação Física - 1200 Horas")</f>
        <v>Tiago de Jesus Nascimento da Silva - #FPUEF - Formação Pedagógica em Educação Física - 1200 Horas</v>
      </c>
    </row>
    <row r="1901">
      <c r="A1901" s="390" t="str">
        <f>IFERROR(__xludf.DUMMYFUNCTION("""COMPUTED_VALUE"""),"Luís Antonio D'Agosto - #FPUP-FORMAÇÃO PEDAGÓGICA EM PEDAGOGIA- U")</f>
        <v>Luís Antonio D'Agosto - #FPUP-FORMAÇÃO PEDAGÓGICA EM PEDAGOGIA- U</v>
      </c>
    </row>
    <row r="1902">
      <c r="A1902" s="390" t="str">
        <f>IFERROR(__xludf.DUMMYFUNCTION("""COMPUTED_VALUE"""),"Victor Hugo de Oliveira paz - #FPUP-FORMAÇÃO PEDAGÓGICA EM PEDAGOGIA- U")</f>
        <v>Victor Hugo de Oliveira paz - #FPUP-FORMAÇÃO PEDAGÓGICA EM PEDAGOGIA- U</v>
      </c>
    </row>
    <row r="1903">
      <c r="A1903" s="390" t="str">
        <f>IFERROR(__xludf.DUMMYFUNCTION("""COMPUTED_VALUE"""),"CRISTIANE DA SILVA - Pós-Graduação em Direito Penal e Processual Penal")</f>
        <v>CRISTIANE DA SILVA - Pós-Graduação em Direito Penal e Processual Penal</v>
      </c>
    </row>
    <row r="1904">
      <c r="A1904" s="390" t="str">
        <f>IFERROR(__xludf.DUMMYFUNCTION("""COMPUTED_VALUE"""),"Valquiria adelia Martins Ferreira da Silva - Formação Livre Psicanálise")</f>
        <v>Valquiria adelia Martins Ferreira da Silva - Formação Livre Psicanálise</v>
      </c>
    </row>
    <row r="1905">
      <c r="A1905" s="390" t="str">
        <f>IFERROR(__xludf.DUMMYFUNCTION("""COMPUTED_VALUE"""),"Aretusa Fernandes - #FPMF- Formação Pedagógica em Música 1200Horas")</f>
        <v>Aretusa Fernandes - #FPMF- Formação Pedagógica em Música 1200Horas</v>
      </c>
    </row>
    <row r="1906">
      <c r="A1906" s="390" t="str">
        <f>IFERROR(__xludf.DUMMYFUNCTION("""COMPUTED_VALUE"""),"Roseane de jesus Silva Carvalho - #SLUH- Segunda Licenciatura em História")</f>
        <v>Roseane de jesus Silva Carvalho - #SLUH- Segunda Licenciatura em História</v>
      </c>
    </row>
    <row r="1907">
      <c r="A1907" s="390" t="str">
        <f>IFERROR(__xludf.DUMMYFUNCTION("""COMPUTED_VALUE"""),"Luciana Grossi Villa Anzolin - #FPMF- Formação Pedagógica em Música 1200Horas")</f>
        <v>Luciana Grossi Villa Anzolin - #FPMF- Formação Pedagógica em Música 1200Horas</v>
      </c>
    </row>
    <row r="1908">
      <c r="A1908" s="390" t="str">
        <f>IFERROR(__xludf.DUMMYFUNCTION("""COMPUTED_VALUE"""),"Leticia Marlova Machado - #SLMF - Segunda Licenciatura em Música 1320Horas")</f>
        <v>Leticia Marlova Machado - #SLMF - Segunda Licenciatura em Música 1320Horas</v>
      </c>
    </row>
    <row r="1909">
      <c r="A1909" s="390" t="str">
        <f>IFERROR(__xludf.DUMMYFUNCTION("""COMPUTED_VALUE"""),"Paulo Cesar Lopes Garcia - #SLUEF - Segunda Licenciatura em Educação Física")</f>
        <v>Paulo Cesar Lopes Garcia - #SLUEF - Segunda Licenciatura em Educação Física</v>
      </c>
    </row>
    <row r="1910">
      <c r="A1910" s="390" t="str">
        <f>IFERROR(__xludf.DUMMYFUNCTION("""COMPUTED_VALUE"""),"Paulo Cesar Lopes Garcia - Pós-Graduação em Educação Física Escolar")</f>
        <v>Paulo Cesar Lopes Garcia - Pós-Graduação em Educação Física Escolar</v>
      </c>
    </row>
    <row r="1911">
      <c r="A1911" s="390" t="str">
        <f>IFERROR(__xludf.DUMMYFUNCTION("""COMPUTED_VALUE"""),"Natan Costa de Melo - #SLMF - Segunda Licenciatura em Música 1320Horas")</f>
        <v>Natan Costa de Melo - #SLMF - Segunda Licenciatura em Música 1320Horas</v>
      </c>
    </row>
    <row r="1912">
      <c r="A1912" s="390" t="str">
        <f>IFERROR(__xludf.DUMMYFUNCTION("""COMPUTED_VALUE"""),"Natan Costa de Melo - Pós-Graduação em Ensino de Artes")</f>
        <v>Natan Costa de Melo - Pós-Graduação em Ensino de Artes</v>
      </c>
    </row>
    <row r="1913">
      <c r="A1913" s="390" t="str">
        <f>IFERROR(__xludf.DUMMYFUNCTION("""COMPUTED_VALUE"""),"Allan Kardec  Souza de Andrade - #FPMF- Formação Pedagógica em Música 1200Horas")</f>
        <v>Allan Kardec  Souza de Andrade - #FPMF- Formação Pedagógica em Música 1200Horas</v>
      </c>
    </row>
    <row r="1914">
      <c r="A1914" s="390" t="str">
        <f>IFERROR(__xludf.DUMMYFUNCTION("""COMPUTED_VALUE"""),"Alcioneide Rosa Viana Queiroz - #FPUP-FORMAÇÃO PEDAGÓGICA EM PEDAGOGIA- U")</f>
        <v>Alcioneide Rosa Viana Queiroz - #FPUP-FORMAÇÃO PEDAGÓGICA EM PEDAGOGIA- U</v>
      </c>
    </row>
    <row r="1915">
      <c r="A1915" s="390" t="str">
        <f>IFERROR(__xludf.DUMMYFUNCTION("""COMPUTED_VALUE"""),"Wesley Tinoco Esteves - #FPMF- Formação Pedagógica em Música 1200Horas")</f>
        <v>Wesley Tinoco Esteves - #FPMF- Formação Pedagógica em Música 1200Horas</v>
      </c>
    </row>
    <row r="1916">
      <c r="A1916" s="390" t="str">
        <f>IFERROR(__xludf.DUMMYFUNCTION("""COMPUTED_VALUE"""),"Maria Rosete da Silva Santos - #SLUPI - SEGUNDA LICENCIATURA EM LETRAS – PORTUGUÊS E INGLÊS")</f>
        <v>Maria Rosete da Silva Santos - #SLUPI - SEGUNDA LICENCIATURA EM LETRAS – PORTUGUÊS E INGLÊS</v>
      </c>
    </row>
    <row r="1917">
      <c r="A1917" s="390" t="str">
        <f>IFERROR(__xludf.DUMMYFUNCTION("""COMPUTED_VALUE"""),"Enizaldo Firmino da Silva - #SLUA- Segunda Licenciatura em Artes Visuais")</f>
        <v>Enizaldo Firmino da Silva - #SLUA- Segunda Licenciatura em Artes Visuais</v>
      </c>
    </row>
    <row r="1918">
      <c r="A1918" s="390" t="str">
        <f>IFERROR(__xludf.DUMMYFUNCTION("""COMPUTED_VALUE"""),"SAMARA SOARES FERNANDES - #SLUPE- Segunda Licenciatura em Letras – Português e Espanhol")</f>
        <v>SAMARA SOARES FERNANDES - #SLUPE- Segunda Licenciatura em Letras – Português e Espanhol</v>
      </c>
    </row>
    <row r="1919">
      <c r="A1919" s="390" t="str">
        <f>IFERROR(__xludf.DUMMYFUNCTION("""COMPUTED_VALUE"""),"Syllas Rafael Cavalcante da Silva - #FPMF- Formação Pedagógica em Música 1200Horas")</f>
        <v>Syllas Rafael Cavalcante da Silva - #FPMF- Formação Pedagógica em Música 1200Horas</v>
      </c>
    </row>
    <row r="1920">
      <c r="A1920" s="390" t="str">
        <f>IFERROR(__xludf.DUMMYFUNCTION("""COMPUTED_VALUE"""),"Wellington dos Santos Silva - Formação Livre em Terapia Cognitiva Comportamental")</f>
        <v>Wellington dos Santos Silva - Formação Livre em Terapia Cognitiva Comportamental</v>
      </c>
    </row>
    <row r="1921">
      <c r="A1921" s="390" t="str">
        <f>IFERROR(__xludf.DUMMYFUNCTION("""COMPUTED_VALUE"""),"Wellington dos Santos Silva - Formação Livre Psicanálise")</f>
        <v>Wellington dos Santos Silva - Formação Livre Psicanálise</v>
      </c>
    </row>
    <row r="1922">
      <c r="A1922" s="390" t="str">
        <f>IFERROR(__xludf.DUMMYFUNCTION("""COMPUTED_VALUE"""),"Adriana Leite Salvione de Carvalho - Pós-Graduação em Psicanálise")</f>
        <v>Adriana Leite Salvione de Carvalho - Pós-Graduação em Psicanálise</v>
      </c>
    </row>
    <row r="1923">
      <c r="A1923" s="390" t="str">
        <f>IFERROR(__xludf.DUMMYFUNCTION("""COMPUTED_VALUE"""),"Ceci Medeiros de Oliveira - #SLMF - Segunda Licenciatura em Música 1320Horas")</f>
        <v>Ceci Medeiros de Oliveira - #SLMF - Segunda Licenciatura em Música 1320Horas</v>
      </c>
    </row>
    <row r="1924">
      <c r="A1924" s="390" t="str">
        <f>IFERROR(__xludf.DUMMYFUNCTION("""COMPUTED_VALUE"""),"Jessyca Freire Costa - Pós-Graduação em Sexologia")</f>
        <v>Jessyca Freire Costa - Pós-Graduação em Sexologia</v>
      </c>
    </row>
    <row r="1925">
      <c r="A1925" s="390" t="str">
        <f>IFERROR(__xludf.DUMMYFUNCTION("""COMPUTED_VALUE"""),"Pedro Fernando Pereira Neves - #SLUH- Segunda Licenciatura em História")</f>
        <v>Pedro Fernando Pereira Neves - #SLUH- Segunda Licenciatura em História</v>
      </c>
    </row>
    <row r="1926">
      <c r="A1926" s="390" t="str">
        <f>IFERROR(__xludf.DUMMYFUNCTION("""COMPUTED_VALUE"""),"Augusto Sérgio meireles - #SLUH- Segunda Licenciatura em História")</f>
        <v>Augusto Sérgio meireles - #SLUH- Segunda Licenciatura em História</v>
      </c>
    </row>
    <row r="1927">
      <c r="A1927" s="390" t="str">
        <f>IFERROR(__xludf.DUMMYFUNCTION("""COMPUTED_VALUE"""),"Augusto Sérgio meireles - #SLUP - SEGUNDA LICENCIATURA EM PEDAGOGIA")</f>
        <v>Augusto Sérgio meireles - #SLUP - SEGUNDA LICENCIATURA EM PEDAGOGIA</v>
      </c>
    </row>
    <row r="1928">
      <c r="A1928" s="390" t="str">
        <f>IFERROR(__xludf.DUMMYFUNCTION("""COMPUTED_VALUE"""),"Anderson Renato de Morais Santos - Formação Livre em Música")</f>
        <v>Anderson Renato de Morais Santos - Formação Livre em Música</v>
      </c>
    </row>
    <row r="1929">
      <c r="A1929" s="390" t="str">
        <f>IFERROR(__xludf.DUMMYFUNCTION("""COMPUTED_VALUE"""),"João Donizeti de Oliveira - Formação Livre Psicanálise")</f>
        <v>João Donizeti de Oliveira - Formação Livre Psicanálise</v>
      </c>
    </row>
    <row r="1930">
      <c r="A1930" s="390" t="str">
        <f>IFERROR(__xludf.DUMMYFUNCTION("""COMPUTED_VALUE"""),"João Donizeti de Oliveira - Formação Livre Psicanálise")</f>
        <v>João Donizeti de Oliveira - Formação Livre Psicanálise</v>
      </c>
    </row>
    <row r="1931">
      <c r="A1931" s="390" t="str">
        <f>IFERROR(__xludf.DUMMYFUNCTION("""COMPUTED_VALUE"""),"Raimundo Nonato Alves da Silva - #SLMF - Segunda Licenciatura em Música 1320Horas")</f>
        <v>Raimundo Nonato Alves da Silva - #SLMF - Segunda Licenciatura em Música 1320Horas</v>
      </c>
    </row>
    <row r="1932">
      <c r="A1932" s="390" t="str">
        <f>IFERROR(__xludf.DUMMYFUNCTION("""COMPUTED_VALUE"""),"Hilka Cristiane Pereira Macieira - #SLUP - SEGUNDA LICENCIATURA EM PEDAGOGIA")</f>
        <v>Hilka Cristiane Pereira Macieira - #SLUP - SEGUNDA LICENCIATURA EM PEDAGOGIA</v>
      </c>
    </row>
    <row r="1933">
      <c r="A1933" s="390" t="str">
        <f>IFERROR(__xludf.DUMMYFUNCTION("""COMPUTED_VALUE"""),"Hilka Cristiane Pereira Macieira - #SLPA- Segunda Licenciatura em Pedagogia 01")</f>
        <v>Hilka Cristiane Pereira Macieira - #SLPA- Segunda Licenciatura em Pedagogia 01</v>
      </c>
    </row>
    <row r="1934">
      <c r="A1934" s="390" t="str">
        <f>IFERROR(__xludf.DUMMYFUNCTION("""COMPUTED_VALUE"""),"Joseph Junior Galdino Nunes - Pós-Graduação em Psicanálise")</f>
        <v>Joseph Junior Galdino Nunes - Pós-Graduação em Psicanálise</v>
      </c>
    </row>
    <row r="1935">
      <c r="A1935" s="390" t="str">
        <f>IFERROR(__xludf.DUMMYFUNCTION("""COMPUTED_VALUE"""),"Luciane Ramos dos Santos Galvão - #SLUP - SEGUNDA LICENCIATURA EM PEDAGOGIA")</f>
        <v>Luciane Ramos dos Santos Galvão - #SLUP - SEGUNDA LICENCIATURA EM PEDAGOGIA</v>
      </c>
    </row>
    <row r="1936">
      <c r="A1936" s="390" t="str">
        <f>IFERROR(__xludf.DUMMYFUNCTION("""COMPUTED_VALUE"""),"Luciane Ramos dos Santos Galvão - #SLPT- Segunda Licenciatura em Pedagogia")</f>
        <v>Luciane Ramos dos Santos Galvão - #SLPT- Segunda Licenciatura em Pedagogia</v>
      </c>
    </row>
    <row r="1937">
      <c r="A1937" s="390" t="str">
        <f>IFERROR(__xludf.DUMMYFUNCTION("""COMPUTED_VALUE"""),"Luciane Ramos dos Santos Galvão - #FPT1-Pedagogia para Bacharéis e Tecnólogos (2022)")</f>
        <v>Luciane Ramos dos Santos Galvão - #FPT1-Pedagogia para Bacharéis e Tecnólogos (2022)</v>
      </c>
    </row>
    <row r="1938">
      <c r="A1938" s="390" t="str">
        <f>IFERROR(__xludf.DUMMYFUNCTION("""COMPUTED_VALUE"""),"Luciane Ramos dos Santos Galvão - #FPT1-Pedagogia para Bacharéis e Tecnólogos (2022)")</f>
        <v>Luciane Ramos dos Santos Galvão - #FPT1-Pedagogia para Bacharéis e Tecnólogos (2022)</v>
      </c>
    </row>
    <row r="1939">
      <c r="A1939" s="390" t="str">
        <f>IFERROR(__xludf.DUMMYFUNCTION("""COMPUTED_VALUE"""),"Marilede Ferreira Silva França - Formação Livre Psicanálise")</f>
        <v>Marilede Ferreira Silva França - Formação Livre Psicanálise</v>
      </c>
    </row>
    <row r="1940">
      <c r="A1940" s="390" t="str">
        <f>IFERROR(__xludf.DUMMYFUNCTION("""COMPUTED_VALUE"""),"Ruben Carlos Bitencour de Assis - Formação Livre Psicanálise")</f>
        <v>Ruben Carlos Bitencour de Assis - Formação Livre Psicanálise</v>
      </c>
    </row>
    <row r="1941">
      <c r="A1941" s="390" t="str">
        <f>IFERROR(__xludf.DUMMYFUNCTION("""COMPUTED_VALUE"""),"Dane Ertes Cardoso de Oliveira - #SLMF - Segunda Licenciatura em Música 1320Horas")</f>
        <v>Dane Ertes Cardoso de Oliveira - #SLMF - Segunda Licenciatura em Música 1320Horas</v>
      </c>
    </row>
    <row r="1942">
      <c r="A1942" s="390" t="str">
        <f>IFERROR(__xludf.DUMMYFUNCTION("""COMPUTED_VALUE"""),"Dane Ertes Cardoso de Oliveira - Pós-Graduação em Musicoterapia")</f>
        <v>Dane Ertes Cardoso de Oliveira - Pós-Graduação em Musicoterapia</v>
      </c>
    </row>
    <row r="1943">
      <c r="A1943" s="390" t="str">
        <f>IFERROR(__xludf.DUMMYFUNCTION("""COMPUTED_VALUE"""),"Juliana de Oliveira Ozores - #SLUH- Segunda Licenciatura em História")</f>
        <v>Juliana de Oliveira Ozores - #SLUH- Segunda Licenciatura em História</v>
      </c>
    </row>
    <row r="1944">
      <c r="A1944" s="390" t="str">
        <f>IFERROR(__xludf.DUMMYFUNCTION("""COMPUTED_VALUE"""),"Natalina Vieira Nojosa - #SLUP - SEGUNDA LICENCIATURA EM PEDAGOGIA")</f>
        <v>Natalina Vieira Nojosa - #SLUP - SEGUNDA LICENCIATURA EM PEDAGOGIA</v>
      </c>
    </row>
    <row r="1945">
      <c r="A1945" s="390" t="str">
        <f>IFERROR(__xludf.DUMMYFUNCTION("""COMPUTED_VALUE"""),"Natalina Vieira Nojosa - Pós-Graduação tutoria em educação a distância")</f>
        <v>Natalina Vieira Nojosa - Pós-Graduação tutoria em educação a distância</v>
      </c>
    </row>
    <row r="1946">
      <c r="A1946" s="390" t="str">
        <f>IFERROR(__xludf.DUMMYFUNCTION("""COMPUTED_VALUE"""),"Natalina Vieira Nojosa - #SLPA- Segunda Licenciatura em Pedagogia 01")</f>
        <v>Natalina Vieira Nojosa - #SLPA- Segunda Licenciatura em Pedagogia 01</v>
      </c>
    </row>
    <row r="1947">
      <c r="A1947" s="390" t="str">
        <f>IFERROR(__xludf.DUMMYFUNCTION("""COMPUTED_VALUE"""),"Natalina Vieira Nojosa - #SLPA- Segunda Licenciatura em Pedagogia 01")</f>
        <v>Natalina Vieira Nojosa - #SLPA- Segunda Licenciatura em Pedagogia 01</v>
      </c>
    </row>
    <row r="1948">
      <c r="A1948" s="390" t="str">
        <f>IFERROR(__xludf.DUMMYFUNCTION("""COMPUTED_VALUE"""),"Natalina Vieira Nojosa - SEGUNDA LICENCIATURA PEDAGOGIA - 2024")</f>
        <v>Natalina Vieira Nojosa - SEGUNDA LICENCIATURA PEDAGOGIA - 2024</v>
      </c>
    </row>
    <row r="1949">
      <c r="A1949" s="390" t="str">
        <f>IFERROR(__xludf.DUMMYFUNCTION("""COMPUTED_VALUE"""),"LUÍS GUSTAVO DE FREITAS DIAS - Pós-Graduação em Ensino de Artes")</f>
        <v>LUÍS GUSTAVO DE FREITAS DIAS - Pós-Graduação em Ensino de Artes</v>
      </c>
    </row>
    <row r="1950">
      <c r="A1950" s="390" t="str">
        <f>IFERROR(__xludf.DUMMYFUNCTION("""COMPUTED_VALUE"""),"Márcia Clara Leite Silveira - Formação Livre Psicanálise")</f>
        <v>Márcia Clara Leite Silveira - Formação Livre Psicanálise</v>
      </c>
    </row>
    <row r="1951">
      <c r="A1951" s="390" t="str">
        <f>IFERROR(__xludf.DUMMYFUNCTION("""COMPUTED_VALUE"""),"Núbia Ferreira dos Santos Cavalari - Pós-Graduação em Coordenação e Orientação Escolar")</f>
        <v>Núbia Ferreira dos Santos Cavalari - Pós-Graduação em Coordenação e Orientação Escolar</v>
      </c>
    </row>
    <row r="1952">
      <c r="A1952" s="390" t="str">
        <f>IFERROR(__xludf.DUMMYFUNCTION("""COMPUTED_VALUE"""),"eloa bandeira paim - Pós-Graduação em Psicanálise")</f>
        <v>eloa bandeira paim - Pós-Graduação em Psicanálise</v>
      </c>
    </row>
    <row r="1953">
      <c r="A1953" s="390" t="str">
        <f>IFERROR(__xludf.DUMMYFUNCTION("""COMPUTED_VALUE"""),"Henrique Souza Pereira - #SLMF - Segunda Licenciatura em Música 1320Horas")</f>
        <v>Henrique Souza Pereira - #SLMF - Segunda Licenciatura em Música 1320Horas</v>
      </c>
    </row>
    <row r="1954">
      <c r="A1954" s="390" t="str">
        <f>IFERROR(__xludf.DUMMYFUNCTION("""COMPUTED_VALUE"""),"Henrique Souza Pereira - #SLMF - Segunda Licenciatura em Música 1320Horas")</f>
        <v>Henrique Souza Pereira - #SLMF - Segunda Licenciatura em Música 1320Horas</v>
      </c>
    </row>
    <row r="1955">
      <c r="A1955" s="390" t="str">
        <f>IFERROR(__xludf.DUMMYFUNCTION("""COMPUTED_VALUE"""),"Henrique Souza Pereira - Pós-Graduação em Ensino de Artes")</f>
        <v>Henrique Souza Pereira - Pós-Graduação em Ensino de Artes</v>
      </c>
    </row>
    <row r="1956">
      <c r="A1956" s="390" t="str">
        <f>IFERROR(__xludf.DUMMYFUNCTION("""COMPUTED_VALUE"""),"Wilson Aparecido Mota - Pós-Graduação em Sexologia")</f>
        <v>Wilson Aparecido Mota - Pós-Graduação em Sexologia</v>
      </c>
    </row>
    <row r="1957">
      <c r="A1957" s="390" t="str">
        <f>IFERROR(__xludf.DUMMYFUNCTION("""COMPUTED_VALUE"""),"Leticia Alves de Almeida Correia - Pós-Graduação em Sexologia")</f>
        <v>Leticia Alves de Almeida Correia - Pós-Graduação em Sexologia</v>
      </c>
    </row>
    <row r="1958">
      <c r="A1958" s="390" t="str">
        <f>IFERROR(__xludf.DUMMYFUNCTION("""COMPUTED_VALUE"""),"GABRIELA CARDADOR - Pós-Graduação em MBA em Administração Pessoal")</f>
        <v>GABRIELA CARDADOR - Pós-Graduação em MBA em Administração Pessoal</v>
      </c>
    </row>
    <row r="1959">
      <c r="A1959" s="390" t="str">
        <f>IFERROR(__xludf.DUMMYFUNCTION("""COMPUTED_VALUE"""),"Elivam Moura Viana - #SLMF - Segunda Licenciatura em Música 1320Horas")</f>
        <v>Elivam Moura Viana - #SLMF - Segunda Licenciatura em Música 1320Horas</v>
      </c>
    </row>
    <row r="1960">
      <c r="A1960" s="390" t="str">
        <f>IFERROR(__xludf.DUMMYFUNCTION("""COMPUTED_VALUE"""),"Raimundo Fernandes Carneiro - Formação Livre Psicanálise")</f>
        <v>Raimundo Fernandes Carneiro - Formação Livre Psicanálise</v>
      </c>
    </row>
    <row r="1961">
      <c r="A1961" s="390" t="str">
        <f>IFERROR(__xludf.DUMMYFUNCTION("""COMPUTED_VALUE"""),"Cícera Micheline de Lima Silva - #SLUP - SEGUNDA LICENCIATURA EM PEDAGOGIA")</f>
        <v>Cícera Micheline de Lima Silva - #SLUP - SEGUNDA LICENCIATURA EM PEDAGOGIA</v>
      </c>
    </row>
    <row r="1962">
      <c r="A1962" s="390" t="str">
        <f>IFERROR(__xludf.DUMMYFUNCTION("""COMPUTED_VALUE"""),"Célia da Silva Morais - #FPMF- Formação Pedagógica em Música 1200Horas")</f>
        <v>Célia da Silva Morais - #FPMF- Formação Pedagógica em Música 1200Horas</v>
      </c>
    </row>
    <row r="1963">
      <c r="A1963" s="390" t="str">
        <f>IFERROR(__xludf.DUMMYFUNCTION("""COMPUTED_VALUE"""),"Célia da Silva Morais - Pós-Graduação em Educação Musical")</f>
        <v>Célia da Silva Morais - Pós-Graduação em Educação Musical</v>
      </c>
    </row>
    <row r="1964">
      <c r="A1964" s="390" t="str">
        <f>IFERROR(__xludf.DUMMYFUNCTION("""COMPUTED_VALUE"""),"Daniela Machado Assef - #FPUP-FORMAÇÃO PEDAGÓGICA EM PEDAGOGIA- U")</f>
        <v>Daniela Machado Assef - #FPUP-FORMAÇÃO PEDAGÓGICA EM PEDAGOGIA- U</v>
      </c>
    </row>
    <row r="1965">
      <c r="A1965" s="390" t="str">
        <f>IFERROR(__xludf.DUMMYFUNCTION("""COMPUTED_VALUE"""),"Daniela Machado Assef - Pós-Graduação em Psicopedagogia Escolar")</f>
        <v>Daniela Machado Assef - Pós-Graduação em Psicopedagogia Escolar</v>
      </c>
    </row>
    <row r="1966">
      <c r="A1966" s="390" t="str">
        <f>IFERROR(__xludf.DUMMYFUNCTION("""COMPUTED_VALUE"""),"André Gomes Silveira - #FPMF- Formação Pedagógica em Música 1200Horas")</f>
        <v>André Gomes Silveira - #FPMF- Formação Pedagógica em Música 1200Horas</v>
      </c>
    </row>
    <row r="1967">
      <c r="A1967" s="390" t="str">
        <f>IFERROR(__xludf.DUMMYFUNCTION("""COMPUTED_VALUE"""),"Thamires Nayara da Silva Pavão - Pós-Graduação em Psicanálise")</f>
        <v>Thamires Nayara da Silva Pavão - Pós-Graduação em Psicanálise</v>
      </c>
    </row>
    <row r="1968">
      <c r="A1968" s="390" t="str">
        <f>IFERROR(__xludf.DUMMYFUNCTION("""COMPUTED_VALUE"""),"Izabelle De Castro Tavares - Pós-Graduação em Terapia em ABA- Análise do Comportamento Aplicada")</f>
        <v>Izabelle De Castro Tavares - Pós-Graduação em Terapia em ABA- Análise do Comportamento Aplicada</v>
      </c>
    </row>
    <row r="1969">
      <c r="A1969" s="390" t="str">
        <f>IFERROR(__xludf.DUMMYFUNCTION("""COMPUTED_VALUE"""),"José Ademir de Medeiros - #SLMF - Segunda Licenciatura em Música 1320Horas")</f>
        <v>José Ademir de Medeiros - #SLMF - Segunda Licenciatura em Música 1320Horas</v>
      </c>
    </row>
    <row r="1970">
      <c r="A1970" s="390" t="str">
        <f>IFERROR(__xludf.DUMMYFUNCTION("""COMPUTED_VALUE"""),"Gislene Gomes Braga de Oliveira - #SLPA- Segunda Licenciatura em Pedagogia 01")</f>
        <v>Gislene Gomes Braga de Oliveira - #SLPA- Segunda Licenciatura em Pedagogia 01</v>
      </c>
    </row>
    <row r="1971">
      <c r="A1971" s="390" t="str">
        <f>IFERROR(__xludf.DUMMYFUNCTION("""COMPUTED_VALUE"""),"Gislene Gomes Braga de Oliveirra - #SLPA- Segunda Licenciatura em Pedagogia 01")</f>
        <v>Gislene Gomes Braga de Oliveirra - #SLPA- Segunda Licenciatura em Pedagogia 01</v>
      </c>
    </row>
    <row r="1972">
      <c r="A1972" s="390" t="str">
        <f>IFERROR(__xludf.DUMMYFUNCTION("""COMPUTED_VALUE"""),"Gisele Martins pinheiro - Pós-Graduação em Psicanálise")</f>
        <v>Gisele Martins pinheiro - Pós-Graduação em Psicanálise</v>
      </c>
    </row>
    <row r="1973">
      <c r="A1973" s="390" t="str">
        <f>IFERROR(__xludf.DUMMYFUNCTION("""COMPUTED_VALUE"""),"Anna Paula Sampaio Amorim - Formação Livre Psicanálise")</f>
        <v>Anna Paula Sampaio Amorim - Formação Livre Psicanálise</v>
      </c>
    </row>
    <row r="1974">
      <c r="A1974" s="390" t="str">
        <f>IFERROR(__xludf.DUMMYFUNCTION("""COMPUTED_VALUE"""),"Kelly Cristina Rodrigues da Silva - #SLUP - SEGUNDA LICENCIATURA EM PEDAGOGIA")</f>
        <v>Kelly Cristina Rodrigues da Silva - #SLUP - SEGUNDA LICENCIATURA EM PEDAGOGIA</v>
      </c>
    </row>
    <row r="1975">
      <c r="A1975" s="390" t="str">
        <f>IFERROR(__xludf.DUMMYFUNCTION("""COMPUTED_VALUE"""),"Ana Paula Torres caseiro - Formação Livre Psicanálise")</f>
        <v>Ana Paula Torres caseiro - Formação Livre Psicanálise</v>
      </c>
    </row>
    <row r="1976">
      <c r="A1976" s="390" t="str">
        <f>IFERROR(__xludf.DUMMYFUNCTION("""COMPUTED_VALUE"""),"Ana Paula Torres caseiro - Formação Livre em Sexologia")</f>
        <v>Ana Paula Torres caseiro - Formação Livre em Sexologia</v>
      </c>
    </row>
    <row r="1977">
      <c r="A1977" s="390" t="str">
        <f>IFERROR(__xludf.DUMMYFUNCTION("""COMPUTED_VALUE"""),"Marcelo Augusto da Silva Evangelista - #FPMF- Formação Pedagógica em Música 1200Horas")</f>
        <v>Marcelo Augusto da Silva Evangelista - #FPMF- Formação Pedagógica em Música 1200Horas</v>
      </c>
    </row>
    <row r="1978">
      <c r="A1978" s="390" t="str">
        <f>IFERROR(__xludf.DUMMYFUNCTION("""COMPUTED_VALUE"""),"Marcelo Augusto da Silva Evangelista - Pós-Graduação em Educação Especial 720Horas")</f>
        <v>Marcelo Augusto da Silva Evangelista - Pós-Graduação em Educação Especial 720Horas</v>
      </c>
    </row>
    <row r="1979">
      <c r="A1979" s="390" t="str">
        <f>IFERROR(__xludf.DUMMYFUNCTION("""COMPUTED_VALUE"""),"Marcelo Augusto da Silva Evangelista - #FPMF- Formação Pedagógica em Música 1200Horas")</f>
        <v>Marcelo Augusto da Silva Evangelista - #FPMF- Formação Pedagógica em Música 1200Horas</v>
      </c>
    </row>
    <row r="1980">
      <c r="A1980" s="390" t="str">
        <f>IFERROR(__xludf.DUMMYFUNCTION("""COMPUTED_VALUE"""),"Juliano de Moraes - #SLPA- Segunda Licenciatura em Pedagogia 01")</f>
        <v>Juliano de Moraes - #SLPA- Segunda Licenciatura em Pedagogia 01</v>
      </c>
    </row>
    <row r="1981">
      <c r="A1981" s="390" t="str">
        <f>IFERROR(__xludf.DUMMYFUNCTION("""COMPUTED_VALUE"""),"Juliano de Moraes - Pós-Graduação em Segurança Pública e Cidadania")</f>
        <v>Juliano de Moraes - Pós-Graduação em Segurança Pública e Cidadania</v>
      </c>
    </row>
    <row r="1982">
      <c r="A1982" s="390" t="str">
        <f>IFERROR(__xludf.DUMMYFUNCTION("""COMPUTED_VALUE"""),"Ana Paula dos Santos Dias - Formação Livre Psicanálise")</f>
        <v>Ana Paula dos Santos Dias - Formação Livre Psicanálise</v>
      </c>
    </row>
    <row r="1983">
      <c r="A1983" s="390" t="str">
        <f>IFERROR(__xludf.DUMMYFUNCTION("""COMPUTED_VALUE"""),"Ana Paula dos Santos Dias - Formação Livre em Psicanálise-2022")</f>
        <v>Ana Paula dos Santos Dias - Formação Livre em Psicanálise-2022</v>
      </c>
    </row>
    <row r="1984">
      <c r="A1984" s="390" t="str">
        <f>IFERROR(__xludf.DUMMYFUNCTION("""COMPUTED_VALUE"""),"Marcia Dias Ferreira - Pós-Graduação em Psicanálise")</f>
        <v>Marcia Dias Ferreira - Pós-Graduação em Psicanálise</v>
      </c>
    </row>
    <row r="1985">
      <c r="A1985" s="390" t="str">
        <f>IFERROR(__xludf.DUMMYFUNCTION("""COMPUTED_VALUE"""),"Marcia Dias Ferreira - NOVO-Pós-Graduação em Psicanálise 800 Horas")</f>
        <v>Marcia Dias Ferreira - NOVO-Pós-Graduação em Psicanálise 800 Horas</v>
      </c>
    </row>
    <row r="1986">
      <c r="A1986" s="390" t="str">
        <f>IFERROR(__xludf.DUMMYFUNCTION("""COMPUTED_VALUE"""),"Jose Everton de Castro Junior - Pós-Graduação em Psicanálise")</f>
        <v>Jose Everton de Castro Junior - Pós-Graduação em Psicanálise</v>
      </c>
    </row>
    <row r="1987">
      <c r="A1987" s="390" t="str">
        <f>IFERROR(__xludf.DUMMYFUNCTION("""COMPUTED_VALUE"""),"Jose Everton de Castro Junior - NOVO-Pós-Graduação em Psicanálise 800 Horas")</f>
        <v>Jose Everton de Castro Junior - NOVO-Pós-Graduação em Psicanálise 800 Horas</v>
      </c>
    </row>
    <row r="1988">
      <c r="A1988" s="390" t="str">
        <f>IFERROR(__xludf.DUMMYFUNCTION("""COMPUTED_VALUE"""),"Rosicleide Teodoro - Pós-Graduação em Psicanálise")</f>
        <v>Rosicleide Teodoro - Pós-Graduação em Psicanálise</v>
      </c>
    </row>
    <row r="1989">
      <c r="A1989" s="390" t="str">
        <f>IFERROR(__xludf.DUMMYFUNCTION("""COMPUTED_VALUE"""),"Sueli Maria de Oliveira - Pós-Graduação em Sexologia")</f>
        <v>Sueli Maria de Oliveira - Pós-Graduação em Sexologia</v>
      </c>
    </row>
    <row r="1990">
      <c r="A1990" s="390" t="str">
        <f>IFERROR(__xludf.DUMMYFUNCTION("""COMPUTED_VALUE"""),"Sueli Maria de Oliveira - Pós-Graduação em Neuropsicologia Clínica")</f>
        <v>Sueli Maria de Oliveira - Pós-Graduação em Neuropsicologia Clínica</v>
      </c>
    </row>
    <row r="1991">
      <c r="A1991" s="390" t="str">
        <f>IFERROR(__xludf.DUMMYFUNCTION("""COMPUTED_VALUE"""),"Sueli Maria de Oliveira - Pós-Graduação em Psicologia Educacional")</f>
        <v>Sueli Maria de Oliveira - Pós-Graduação em Psicologia Educacional</v>
      </c>
    </row>
    <row r="1992">
      <c r="A1992" s="390" t="str">
        <f>IFERROR(__xludf.DUMMYFUNCTION("""COMPUTED_VALUE"""),"Sueli Maria de Oliveira - Pós-Graduação em MBA em Gestão de Pessoas e Talentos")</f>
        <v>Sueli Maria de Oliveira - Pós-Graduação em MBA em Gestão de Pessoas e Talentos</v>
      </c>
    </row>
    <row r="1993">
      <c r="A1993" s="390" t="str">
        <f>IFERROR(__xludf.DUMMYFUNCTION("""COMPUTED_VALUE"""),"Cinthia Marques de Pádua Martins - Pós-Graduação em Auditoria em Contas Médicas e Hospitalares")</f>
        <v>Cinthia Marques de Pádua Martins - Pós-Graduação em Auditoria em Contas Médicas e Hospitalares</v>
      </c>
    </row>
    <row r="1994">
      <c r="A1994" s="390" t="str">
        <f>IFERROR(__xludf.DUMMYFUNCTION("""COMPUTED_VALUE"""),"Cinthia Marques de Pádua Martins - Pós-Graduação em Enfermagem em Oncológica")</f>
        <v>Cinthia Marques de Pádua Martins - Pós-Graduação em Enfermagem em Oncológica</v>
      </c>
    </row>
    <row r="1995">
      <c r="A1995" s="390" t="str">
        <f>IFERROR(__xludf.DUMMYFUNCTION("""COMPUTED_VALUE"""),"Elisângela Cristina Ferreira - #SLUP - SEGUNDA LICENCIATURA EM PEDAGOGIA")</f>
        <v>Elisângela Cristina Ferreira - #SLUP - SEGUNDA LICENCIATURA EM PEDAGOGIA</v>
      </c>
    </row>
    <row r="1996">
      <c r="A1996" s="390" t="str">
        <f>IFERROR(__xludf.DUMMYFUNCTION("""COMPUTED_VALUE"""),"Elisângela Cristina Ferreira - #SLUS - Segunda Licenciatura em Sociologia")</f>
        <v>Elisângela Cristina Ferreira - #SLUS - Segunda Licenciatura em Sociologia</v>
      </c>
    </row>
    <row r="1997">
      <c r="A1997" s="390" t="str">
        <f>IFERROR(__xludf.DUMMYFUNCTION("""COMPUTED_VALUE"""),"Dayanna de Oliveira - #SLPA- Segunda Licenciatura em Pedagogia 01")</f>
        <v>Dayanna de Oliveira - #SLPA- Segunda Licenciatura em Pedagogia 01</v>
      </c>
    </row>
    <row r="1998">
      <c r="A1998" s="390" t="str">
        <f>IFERROR(__xludf.DUMMYFUNCTION("""COMPUTED_VALUE"""),"Luciano Adversi - #SLUP - SEGUNDA LICENCIATURA EM PEDAGOGIA")</f>
        <v>Luciano Adversi - #SLUP - SEGUNDA LICENCIATURA EM PEDAGOGIA</v>
      </c>
    </row>
    <row r="1999">
      <c r="A1999" s="390" t="str">
        <f>IFERROR(__xludf.DUMMYFUNCTION("""COMPUTED_VALUE"""),"Luciano Adversi - #SLPA- Segunda Licenciatura em Pedagogia 01")</f>
        <v>Luciano Adversi - #SLPA- Segunda Licenciatura em Pedagogia 01</v>
      </c>
    </row>
    <row r="2000">
      <c r="A2000" s="390" t="str">
        <f>IFERROR(__xludf.DUMMYFUNCTION("""COMPUTED_VALUE"""),"Marcinelio Estevão de OLiveira - Formação Livre Psicanálise")</f>
        <v>Marcinelio Estevão de OLiveira - Formação Livre Psicanálise</v>
      </c>
    </row>
    <row r="2001">
      <c r="A2001" s="390" t="str">
        <f>IFERROR(__xludf.DUMMYFUNCTION("""COMPUTED_VALUE"""),"Noemi de Jesus Tobias - Formação Livre Psicanálise")</f>
        <v>Noemi de Jesus Tobias - Formação Livre Psicanálise</v>
      </c>
    </row>
    <row r="2002">
      <c r="A2002" s="390" t="str">
        <f>IFERROR(__xludf.DUMMYFUNCTION("""COMPUTED_VALUE"""),"Maxwell Pereira dos Santos - Pós-Graduação em Psicanálise")</f>
        <v>Maxwell Pereira dos Santos - Pós-Graduação em Psicanálise</v>
      </c>
    </row>
    <row r="2003">
      <c r="A2003" s="390" t="str">
        <f>IFERROR(__xludf.DUMMYFUNCTION("""COMPUTED_VALUE"""),"Maricelia de (73) 99908-6642 Santana Silva - Pós-Graduação em Psicanálise")</f>
        <v>Maricelia de (73) 99908-6642 Santana Silva - Pós-Graduação em Psicanálise</v>
      </c>
    </row>
    <row r="2004">
      <c r="A2004" s="390" t="str">
        <f>IFERROR(__xludf.DUMMYFUNCTION("""COMPUTED_VALUE"""),"Maricelia de Souza Santana Silva - Pós-Graduação em Psicanálise")</f>
        <v>Maricelia de Souza Santana Silva - Pós-Graduação em Psicanálise</v>
      </c>
    </row>
    <row r="2005">
      <c r="A2005" s="390" t="str">
        <f>IFERROR(__xludf.DUMMYFUNCTION("""COMPUTED_VALUE"""),"Juarez Avelino da Silva - Pós-Graduação em Psicanálise")</f>
        <v>Juarez Avelino da Silva - Pós-Graduação em Psicanálise</v>
      </c>
    </row>
    <row r="2006">
      <c r="A2006" s="390" t="str">
        <f>IFERROR(__xludf.DUMMYFUNCTION("""COMPUTED_VALUE"""),"Silvana Aparecida Pesquero de Medeiros - Pós-Graduação em Psicanálise")</f>
        <v>Silvana Aparecida Pesquero de Medeiros - Pós-Graduação em Psicanálise</v>
      </c>
    </row>
    <row r="2007">
      <c r="A2007" s="390" t="str">
        <f>IFERROR(__xludf.DUMMYFUNCTION("""COMPUTED_VALUE"""),"Angélica da Silva - #SLUP - SEGUNDA LICENCIATURA EM PEDAGOGIA")</f>
        <v>Angélica da Silva - #SLUP - SEGUNDA LICENCIATURA EM PEDAGOGIA</v>
      </c>
    </row>
    <row r="2008">
      <c r="A2008" s="390" t="str">
        <f>IFERROR(__xludf.DUMMYFUNCTION("""COMPUTED_VALUE"""),"Angélica da Silva - Pós-Graduação em Educação Infantil")</f>
        <v>Angélica da Silva - Pós-Graduação em Educação Infantil</v>
      </c>
    </row>
    <row r="2009">
      <c r="A2009" s="390" t="str">
        <f>IFERROR(__xludf.DUMMYFUNCTION("""COMPUTED_VALUE"""),"Angélica da Silva - #SLPA- Segunda Licenciatura em Pedagogia 01")</f>
        <v>Angélica da Silva - #SLPA- Segunda Licenciatura em Pedagogia 01</v>
      </c>
    </row>
    <row r="2010">
      <c r="A2010" s="390" t="str">
        <f>IFERROR(__xludf.DUMMYFUNCTION("""COMPUTED_VALUE"""),"Luiz Henrique da Silva Evangelista - #FPMF- Formação Pedagógica em Música 1200Horas")</f>
        <v>Luiz Henrique da Silva Evangelista - #FPMF- Formação Pedagógica em Música 1200Horas</v>
      </c>
    </row>
    <row r="2011">
      <c r="A2011" s="390" t="str">
        <f>IFERROR(__xludf.DUMMYFUNCTION("""COMPUTED_VALUE"""),"Mauricio de Arimathea Dias - #SLUP - SEGUNDA LICENCIATURA EM PEDAGOGIA")</f>
        <v>Mauricio de Arimathea Dias - #SLUP - SEGUNDA LICENCIATURA EM PEDAGOGIA</v>
      </c>
    </row>
    <row r="2012">
      <c r="A2012" s="390" t="str">
        <f>IFERROR(__xludf.DUMMYFUNCTION("""COMPUTED_VALUE"""),"Aldir Silva Aragão - Formação pedagógica Letras - Português")</f>
        <v>Aldir Silva Aragão - Formação pedagógica Letras - Português</v>
      </c>
    </row>
    <row r="2013">
      <c r="A2013" s="390" t="str">
        <f>IFERROR(__xludf.DUMMYFUNCTION("""COMPUTED_VALUE"""),"Lilian Cristina de Oliveira - Pós-Graduação em Sexologia")</f>
        <v>Lilian Cristina de Oliveira - Pós-Graduação em Sexologia</v>
      </c>
    </row>
    <row r="2014">
      <c r="A2014" s="390" t="str">
        <f>IFERROR(__xludf.DUMMYFUNCTION("""COMPUTED_VALUE"""),"Margareth Christina Kapasi - Formação Livre Psicanálise")</f>
        <v>Margareth Christina Kapasi - Formação Livre Psicanálise</v>
      </c>
    </row>
    <row r="2015">
      <c r="A2015" s="390" t="str">
        <f>IFERROR(__xludf.DUMMYFUNCTION("""COMPUTED_VALUE"""),"Margareth Christina Kapasi - Formação Livre em Sexologia")</f>
        <v>Margareth Christina Kapasi - Formação Livre em Sexologia</v>
      </c>
    </row>
    <row r="2016">
      <c r="A2016" s="390" t="str">
        <f>IFERROR(__xludf.DUMMYFUNCTION("""COMPUTED_VALUE"""),"Ilma Maria do Nascimento - Pós-Graduação em Psicanálise")</f>
        <v>Ilma Maria do Nascimento - Pós-Graduação em Psicanálise</v>
      </c>
    </row>
    <row r="2017">
      <c r="A2017" s="390" t="str">
        <f>IFERROR(__xludf.DUMMYFUNCTION("""COMPUTED_VALUE"""),"Fernanda Aparecida Rezende - Pós-Graduação em Educação Física Escolar")</f>
        <v>Fernanda Aparecida Rezende - Pós-Graduação em Educação Física Escolar</v>
      </c>
    </row>
    <row r="2018">
      <c r="A2018" s="390" t="str">
        <f>IFERROR(__xludf.DUMMYFUNCTION("""COMPUTED_VALUE"""),"Fernanda Aparecida Rezende - Pós-Graduação em Educação Musical")</f>
        <v>Fernanda Aparecida Rezende - Pós-Graduação em Educação Musical</v>
      </c>
    </row>
    <row r="2019">
      <c r="A2019" s="390" t="str">
        <f>IFERROR(__xludf.DUMMYFUNCTION("""COMPUTED_VALUE"""),"Fernanda Aparecida Rezende - Pós-Graduação em Ensino de Artes")</f>
        <v>Fernanda Aparecida Rezende - Pós-Graduação em Ensino de Artes</v>
      </c>
    </row>
    <row r="2020">
      <c r="A2020" s="390" t="str">
        <f>IFERROR(__xludf.DUMMYFUNCTION("""COMPUTED_VALUE"""),"Lucas Fillietaz - #FPUP-FORMAÇÃO PEDAGÓGICA EM PEDAGOGIA- U")</f>
        <v>Lucas Fillietaz - #FPUP-FORMAÇÃO PEDAGÓGICA EM PEDAGOGIA- U</v>
      </c>
    </row>
    <row r="2021">
      <c r="A2021" s="390" t="str">
        <f>IFERROR(__xludf.DUMMYFUNCTION("""COMPUTED_VALUE"""),"Lucas Fillietaz - #FPT1-Pedagogia para Bacharéis e Tecnólogos (2022)")</f>
        <v>Lucas Fillietaz - #FPT1-Pedagogia para Bacharéis e Tecnólogos (2022)</v>
      </c>
    </row>
    <row r="2022">
      <c r="A2022" s="390" t="str">
        <f>IFERROR(__xludf.DUMMYFUNCTION("""COMPUTED_VALUE"""),"Maria Erilane Paula Tomé - Pós-Graduação em Psicanálise")</f>
        <v>Maria Erilane Paula Tomé - Pós-Graduação em Psicanálise</v>
      </c>
    </row>
    <row r="2023">
      <c r="A2023" s="390" t="str">
        <f>IFERROR(__xludf.DUMMYFUNCTION("""COMPUTED_VALUE"""),"Francisco Geober Sabino de Carvalho - #SLUP - SEGUNDA LICENCIATURA EM PEDAGOGIA")</f>
        <v>Francisco Geober Sabino de Carvalho - #SLUP - SEGUNDA LICENCIATURA EM PEDAGOGIA</v>
      </c>
    </row>
    <row r="2024">
      <c r="A2024" s="390" t="str">
        <f>IFERROR(__xludf.DUMMYFUNCTION("""COMPUTED_VALUE"""),"Francisco Geober Sabino de Carvalho - Pós-Graduação Alfabetização e Letramento")</f>
        <v>Francisco Geober Sabino de Carvalho - Pós-Graduação Alfabetização e Letramento</v>
      </c>
    </row>
    <row r="2025">
      <c r="A2025" s="390" t="str">
        <f>IFERROR(__xludf.DUMMYFUNCTION("""COMPUTED_VALUE"""),"Alessandro Robson da Silva Carvalho - Formação Livre Psicanálise")</f>
        <v>Alessandro Robson da Silva Carvalho - Formação Livre Psicanálise</v>
      </c>
    </row>
    <row r="2026">
      <c r="A2026" s="390" t="str">
        <f>IFERROR(__xludf.DUMMYFUNCTION("""COMPUTED_VALUE"""),"Alessandro Robson da Silva Carvalho - Formação Livre Psicanálise")</f>
        <v>Alessandro Robson da Silva Carvalho - Formação Livre Psicanálise</v>
      </c>
    </row>
    <row r="2027">
      <c r="A2027" s="390" t="str">
        <f>IFERROR(__xludf.DUMMYFUNCTION("""COMPUTED_VALUE"""),"Sumaia Vasconcelos Castro - Pós-Graduação em Psicanálise")</f>
        <v>Sumaia Vasconcelos Castro - Pós-Graduação em Psicanálise</v>
      </c>
    </row>
    <row r="2028">
      <c r="A2028" s="390" t="str">
        <f>IFERROR(__xludf.DUMMYFUNCTION("""COMPUTED_VALUE"""),"Evely de Moraes Nowiski Pereira - #SLMF - Segunda Licenciatura em Música 1320Horas")</f>
        <v>Evely de Moraes Nowiski Pereira - #SLMF - Segunda Licenciatura em Música 1320Horas</v>
      </c>
    </row>
    <row r="2029">
      <c r="A2029" s="390" t="str">
        <f>IFERROR(__xludf.DUMMYFUNCTION("""COMPUTED_VALUE"""),"Jairo Alves da Silva - Pós-Graduação em Engenharia de Segurança do Trabalho")</f>
        <v>Jairo Alves da Silva - Pós-Graduação em Engenharia de Segurança do Trabalho</v>
      </c>
    </row>
    <row r="2030">
      <c r="A2030" s="390" t="str">
        <f>IFERROR(__xludf.DUMMYFUNCTION("""COMPUTED_VALUE"""),"Welington Alves dos Santos - Formação Livre Psicanálise")</f>
        <v>Welington Alves dos Santos - Formação Livre Psicanálise</v>
      </c>
    </row>
    <row r="2031">
      <c r="A2031" s="390" t="str">
        <f>IFERROR(__xludf.DUMMYFUNCTION("""COMPUTED_VALUE"""),"Andréa Ribeiro Alberico Felisbino CPF: 26958249801 - Pós-Graduação em Autismo")</f>
        <v>Andréa Ribeiro Alberico Felisbino CPF: 26958249801 - Pós-Graduação em Autismo</v>
      </c>
    </row>
    <row r="2032">
      <c r="A2032" s="390" t="str">
        <f>IFERROR(__xludf.DUMMYFUNCTION("""COMPUTED_VALUE"""),"Giliard Antônio Rodrigues - #SLMF - Segunda Licenciatura em Música 1320Horas")</f>
        <v>Giliard Antônio Rodrigues - #SLMF - Segunda Licenciatura em Música 1320Horas</v>
      </c>
    </row>
    <row r="2033">
      <c r="A2033" s="390" t="str">
        <f>IFERROR(__xludf.DUMMYFUNCTION("""COMPUTED_VALUE"""),"Luciana Aparecida dos Santos - Pós-Graduação em Psicanálise")</f>
        <v>Luciana Aparecida dos Santos - Pós-Graduação em Psicanálise</v>
      </c>
    </row>
    <row r="2034">
      <c r="A2034" s="390" t="str">
        <f>IFERROR(__xludf.DUMMYFUNCTION("""COMPUTED_VALUE"""),"Joel Cordeiro de Souza - #SLMF - Segunda Licenciatura em Música 1320Horas")</f>
        <v>Joel Cordeiro de Souza - #SLMF - Segunda Licenciatura em Música 1320Horas</v>
      </c>
    </row>
    <row r="2035">
      <c r="A2035" s="390" t="str">
        <f>IFERROR(__xludf.DUMMYFUNCTION("""COMPUTED_VALUE"""),"Joel Cordeiro de Souza - Pós-Graduação em Administração Pública")</f>
        <v>Joel Cordeiro de Souza - Pós-Graduação em Administração Pública</v>
      </c>
    </row>
    <row r="2036">
      <c r="A2036" s="390" t="str">
        <f>IFERROR(__xludf.DUMMYFUNCTION("""COMPUTED_VALUE"""),"Ana Paula de Carvalho Silva Dias Cordeiro - Pós-Graduação em Neuropsicopedagogia Institucional, Clínica e Hospitalar 850h")</f>
        <v>Ana Paula de Carvalho Silva Dias Cordeiro - Pós-Graduação em Neuropsicopedagogia Institucional, Clínica e Hospitalar 850h</v>
      </c>
    </row>
    <row r="2037">
      <c r="A2037" s="390" t="str">
        <f>IFERROR(__xludf.DUMMYFUNCTION("""COMPUTED_VALUE"""),"Cíntia de Castro - #SLUP - SEGUNDA LICENCIATURA EM PEDAGOGIA")</f>
        <v>Cíntia de Castro - #SLUP - SEGUNDA LICENCIATURA EM PEDAGOGIA</v>
      </c>
    </row>
    <row r="2038">
      <c r="A2038" s="390" t="str">
        <f>IFERROR(__xludf.DUMMYFUNCTION("""COMPUTED_VALUE"""),"Cíntia de Castro - #SLUA- Segunda Licenciatura em Artes Visuais")</f>
        <v>Cíntia de Castro - #SLUA- Segunda Licenciatura em Artes Visuais</v>
      </c>
    </row>
    <row r="2039">
      <c r="A2039" s="390" t="str">
        <f>IFERROR(__xludf.DUMMYFUNCTION("""COMPUTED_VALUE"""),"Cíntia de Castro - Pós-graduação em Gestão Escolar Integradora com Ênfase em Supervisão, Orientação, Administração e Inspeção 740Horas")</f>
        <v>Cíntia de Castro - Pós-graduação em Gestão Escolar Integradora com Ênfase em Supervisão, Orientação, Administração e Inspeção 740Horas</v>
      </c>
    </row>
    <row r="2040">
      <c r="A2040" s="390" t="str">
        <f>IFERROR(__xludf.DUMMYFUNCTION("""COMPUTED_VALUE"""),"Juliana Machado - #FPMF- Formação Pedagógica em Música 1200Horas")</f>
        <v>Juliana Machado - #FPMF- Formação Pedagógica em Música 1200Horas</v>
      </c>
    </row>
    <row r="2041">
      <c r="A2041" s="390" t="str">
        <f>IFERROR(__xludf.DUMMYFUNCTION("""COMPUTED_VALUE"""),"Juliana Machado - #SLMF - Segunda Licenciatura em Música 1320Horas")</f>
        <v>Juliana Machado - #SLMF - Segunda Licenciatura em Música 1320Horas</v>
      </c>
    </row>
    <row r="2042">
      <c r="A2042" s="390" t="str">
        <f>IFERROR(__xludf.DUMMYFUNCTION("""COMPUTED_VALUE"""),"Francisco Antonio Silva Araújo - #FPUP-FORMAÇÃO PEDAGÓGICA EM PEDAGOGIA- U")</f>
        <v>Francisco Antonio Silva Araújo - #FPUP-FORMAÇÃO PEDAGÓGICA EM PEDAGOGIA- U</v>
      </c>
    </row>
    <row r="2043">
      <c r="A2043" s="390" t="str">
        <f>IFERROR(__xludf.DUMMYFUNCTION("""COMPUTED_VALUE"""),"Vanessa Fernandes da Silva Gnoatto - Pós-Graduação em Psicologia Educacional")</f>
        <v>Vanessa Fernandes da Silva Gnoatto - Pós-Graduação em Psicologia Educacional</v>
      </c>
    </row>
    <row r="2044">
      <c r="A2044" s="390" t="str">
        <f>IFERROR(__xludf.DUMMYFUNCTION("""COMPUTED_VALUE"""),"Vanessa Fernandes da Silva Gnoatto - Pós-Graduação em Psicologia Educacional jacad")</f>
        <v>Vanessa Fernandes da Silva Gnoatto - Pós-Graduação em Psicologia Educacional jacad</v>
      </c>
    </row>
    <row r="2045">
      <c r="A2045" s="390" t="str">
        <f>IFERROR(__xludf.DUMMYFUNCTION("""COMPUTED_VALUE"""),"Ana Cristina Farias Lima - Formação Livre Psicanálise")</f>
        <v>Ana Cristina Farias Lima - Formação Livre Psicanálise</v>
      </c>
    </row>
    <row r="2046">
      <c r="A2046" s="390" t="str">
        <f>IFERROR(__xludf.DUMMYFUNCTION("""COMPUTED_VALUE"""),"Elizeu Mendes Silva - #SLMF - Segunda Licenciatura em Música 1320Horas")</f>
        <v>Elizeu Mendes Silva - #SLMF - Segunda Licenciatura em Música 1320Horas</v>
      </c>
    </row>
    <row r="2047">
      <c r="A2047" s="390" t="str">
        <f>IFERROR(__xludf.DUMMYFUNCTION("""COMPUTED_VALUE"""),"Elizeu Mendes Silva - Pós-Graduação em Educação Musical")</f>
        <v>Elizeu Mendes Silva - Pós-Graduação em Educação Musical</v>
      </c>
    </row>
    <row r="2048">
      <c r="A2048" s="390" t="str">
        <f>IFERROR(__xludf.DUMMYFUNCTION("""COMPUTED_VALUE"""),"Josimara de Jesus Lopes - #SLPA- Segunda Licenciatura em Pedagogia 01")</f>
        <v>Josimara de Jesus Lopes - #SLPA- Segunda Licenciatura em Pedagogia 01</v>
      </c>
    </row>
    <row r="2049">
      <c r="A2049" s="390" t="str">
        <f>IFERROR(__xludf.DUMMYFUNCTION("""COMPUTED_VALUE"""),"Leandra Fernandes Santana - Pós-Graduação Educação Especial e Inclusiva")</f>
        <v>Leandra Fernandes Santana - Pós-Graduação Educação Especial e Inclusiva</v>
      </c>
    </row>
    <row r="2050">
      <c r="A2050" s="390" t="str">
        <f>IFERROR(__xludf.DUMMYFUNCTION("""COMPUTED_VALUE"""),"Saara vieira de Souza Bastos - Pós-Graduação em Neuropsicopedagogia Institucional, Clínica e Hospitalar 850h")</f>
        <v>Saara vieira de Souza Bastos - Pós-Graduação em Neuropsicopedagogia Institucional, Clínica e Hospitalar 850h</v>
      </c>
    </row>
    <row r="2051">
      <c r="A2051" s="390" t="str">
        <f>IFERROR(__xludf.DUMMYFUNCTION("""COMPUTED_VALUE"""),"Saara vieira de Souza Bastos - Pós-Graduação em Psicanálise")</f>
        <v>Saara vieira de Souza Bastos - Pós-Graduação em Psicanálise</v>
      </c>
    </row>
    <row r="2052">
      <c r="A2052" s="390" t="str">
        <f>IFERROR(__xludf.DUMMYFUNCTION("""COMPUTED_VALUE"""),"Saara vieira de Souza Bastos - Pós-Graduação em Neuropsicopedagogia")</f>
        <v>Saara vieira de Souza Bastos - Pós-Graduação em Neuropsicopedagogia</v>
      </c>
    </row>
    <row r="2053">
      <c r="A2053" s="390" t="str">
        <f>IFERROR(__xludf.DUMMYFUNCTION("""COMPUTED_VALUE"""),"Luciana Reuga Alves da Silva Oliveira - Formação Livre Psicanálise")</f>
        <v>Luciana Reuga Alves da Silva Oliveira - Formação Livre Psicanálise</v>
      </c>
    </row>
    <row r="2054">
      <c r="A2054" s="390" t="str">
        <f>IFERROR(__xludf.DUMMYFUNCTION("""COMPUTED_VALUE"""),"Luciana Reuga Alves da Silva Oliveira - Formação Livre em Psicanálise-2022")</f>
        <v>Luciana Reuga Alves da Silva Oliveira - Formação Livre em Psicanálise-2022</v>
      </c>
    </row>
    <row r="2055">
      <c r="A2055" s="390" t="str">
        <f>IFERROR(__xludf.DUMMYFUNCTION("""COMPUTED_VALUE"""),"Geovanna Vitória Soares dos Santos - Formação Livre Psicanálise")</f>
        <v>Geovanna Vitória Soares dos Santos - Formação Livre Psicanálise</v>
      </c>
    </row>
    <row r="2056">
      <c r="A2056" s="390" t="str">
        <f>IFERROR(__xludf.DUMMYFUNCTION("""COMPUTED_VALUE"""),"Katia Maria de Souza do Carmo - Formação Livre Psicanálise")</f>
        <v>Katia Maria de Souza do Carmo - Formação Livre Psicanálise</v>
      </c>
    </row>
    <row r="2057">
      <c r="A2057" s="390" t="str">
        <f>IFERROR(__xludf.DUMMYFUNCTION("""COMPUTED_VALUE"""),"Julia Flor de Lima - #SLUP - SEGUNDA LICENCIATURA EM PEDAGOGIA")</f>
        <v>Julia Flor de Lima - #SLUP - SEGUNDA LICENCIATURA EM PEDAGOGIA</v>
      </c>
    </row>
    <row r="2058">
      <c r="A2058" s="390" t="str">
        <f>IFERROR(__xludf.DUMMYFUNCTION("""COMPUTED_VALUE"""),"Patrícia Tavares Alves - Pós-Graduação em Terapia em ABA- Análise do Comportamento Aplicada Clínica")</f>
        <v>Patrícia Tavares Alves - Pós-Graduação em Terapia em ABA- Análise do Comportamento Aplicada Clínica</v>
      </c>
    </row>
    <row r="2059">
      <c r="A2059" s="390" t="str">
        <f>IFERROR(__xludf.DUMMYFUNCTION("""COMPUTED_VALUE"""),"Patrícia Tavares Alves - Pós-graduação em Neuropsicologia")</f>
        <v>Patrícia Tavares Alves - Pós-graduação em Neuropsicologia</v>
      </c>
    </row>
    <row r="2060">
      <c r="A2060" s="390" t="str">
        <f>IFERROR(__xludf.DUMMYFUNCTION("""COMPUTED_VALUE"""),"Mel Santos Tessaro - Pedagogia para Bacharéis")</f>
        <v>Mel Santos Tessaro - Pedagogia para Bacharéis</v>
      </c>
    </row>
    <row r="2061">
      <c r="A2061" s="390" t="str">
        <f>IFERROR(__xludf.DUMMYFUNCTION("""COMPUTED_VALUE"""),"Mel Santos Tessaro - Pós-Graduação em Psicologia Clínica")</f>
        <v>Mel Santos Tessaro - Pós-Graduação em Psicologia Clínica</v>
      </c>
    </row>
    <row r="2062">
      <c r="A2062" s="390" t="str">
        <f>IFERROR(__xludf.DUMMYFUNCTION("""COMPUTED_VALUE"""),"Mel Santos Tessaro - #FPT1-Pedagogia para Bacharéis e Tecnólogos (2022)")</f>
        <v>Mel Santos Tessaro - #FPT1-Pedagogia para Bacharéis e Tecnólogos (2022)</v>
      </c>
    </row>
    <row r="2063">
      <c r="A2063" s="390" t="str">
        <f>IFERROR(__xludf.DUMMYFUNCTION("""COMPUTED_VALUE"""),"José Clenildo de Almeida - Pedagogia para Bacharéis")</f>
        <v>José Clenildo de Almeida - Pedagogia para Bacharéis</v>
      </c>
    </row>
    <row r="2064">
      <c r="A2064" s="390" t="str">
        <f>IFERROR(__xludf.DUMMYFUNCTION("""COMPUTED_VALUE"""),"Nara Lucia dos Santos Oliveira - Pós-Graduação em Neuropsicopedagogia Clínica e Institucional")</f>
        <v>Nara Lucia dos Santos Oliveira - Pós-Graduação em Neuropsicopedagogia Clínica e Institucional</v>
      </c>
    </row>
    <row r="2065">
      <c r="A2065" s="390" t="str">
        <f>IFERROR(__xludf.DUMMYFUNCTION("""COMPUTED_VALUE"""),"Nara Lucia dos Santos Oliveira - Pós-Graduação em Neuropsicopedagogia Clínica e Institucional")</f>
        <v>Nara Lucia dos Santos Oliveira - Pós-Graduação em Neuropsicopedagogia Clínica e Institucional</v>
      </c>
    </row>
    <row r="2066">
      <c r="A2066" s="390" t="str">
        <f>IFERROR(__xludf.DUMMYFUNCTION("""COMPUTED_VALUE"""),"Edna Oliveira Chaves - Pedagogia para Bacharéis")</f>
        <v>Edna Oliveira Chaves - Pedagogia para Bacharéis</v>
      </c>
    </row>
    <row r="2067">
      <c r="A2067" s="390" t="str">
        <f>IFERROR(__xludf.DUMMYFUNCTION("""COMPUTED_VALUE"""),"Nidelci de Fátima Benício Lins dos Santos - Pedagogia para Bacharéis")</f>
        <v>Nidelci de Fátima Benício Lins dos Santos - Pedagogia para Bacharéis</v>
      </c>
    </row>
    <row r="2068">
      <c r="A2068" s="390" t="str">
        <f>IFERROR(__xludf.DUMMYFUNCTION("""COMPUTED_VALUE"""),"Raquel Soares dos Reis Santos - #FPUP-FORMAÇÃO PEDAGÓGICA EM PEDAGOGIA- U")</f>
        <v>Raquel Soares dos Reis Santos - #FPUP-FORMAÇÃO PEDAGÓGICA EM PEDAGOGIA- U</v>
      </c>
    </row>
    <row r="2069">
      <c r="A2069" s="390" t="str">
        <f>IFERROR(__xludf.DUMMYFUNCTION("""COMPUTED_VALUE"""),"Raquel Soares dos Reis Santos - #FPUM Formação Pedagógica em Matemática")</f>
        <v>Raquel Soares dos Reis Santos - #FPUM Formação Pedagógica em Matemática</v>
      </c>
    </row>
    <row r="2070">
      <c r="A2070" s="390" t="str">
        <f>IFERROR(__xludf.DUMMYFUNCTION("""COMPUTED_VALUE"""),"Renata Rondon da Silva dos Santos - #SLUP - SEGUNDA LICENCIATURA EM PEDAGOGIA")</f>
        <v>Renata Rondon da Silva dos Santos - #SLUP - SEGUNDA LICENCIATURA EM PEDAGOGIA</v>
      </c>
    </row>
    <row r="2071">
      <c r="A2071" s="390" t="str">
        <f>IFERROR(__xludf.DUMMYFUNCTION("""COMPUTED_VALUE"""),"Renata Rondon da Silva dos Santos - Pós-Graduação em Neuropsicopedagogia Institucional, Clínica e Hospitalar 850h")</f>
        <v>Renata Rondon da Silva dos Santos - Pós-Graduação em Neuropsicopedagogia Institucional, Clínica e Hospitalar 850h</v>
      </c>
    </row>
    <row r="2072">
      <c r="A2072" s="390" t="str">
        <f>IFERROR(__xludf.DUMMYFUNCTION("""COMPUTED_VALUE"""),"Sulamita Souza Machado Pereira - Formação Livre Psicanálise")</f>
        <v>Sulamita Souza Machado Pereira - Formação Livre Psicanálise</v>
      </c>
    </row>
    <row r="2073">
      <c r="A2073" s="390" t="str">
        <f>IFERROR(__xludf.DUMMYFUNCTION("""COMPUTED_VALUE"""),"Sergio Henrique Barros Corrêa - #FPMF- Formação Pedagógica em Música 1200Horas")</f>
        <v>Sergio Henrique Barros Corrêa - #FPMF- Formação Pedagógica em Música 1200Horas</v>
      </c>
    </row>
    <row r="2074">
      <c r="A2074" s="390" t="str">
        <f>IFERROR(__xludf.DUMMYFUNCTION("""COMPUTED_VALUE"""),"Sergio Henrique Barros Corrêa - Pós-Graduação em Musicoterapia")</f>
        <v>Sergio Henrique Barros Corrêa - Pós-Graduação em Musicoterapia</v>
      </c>
    </row>
    <row r="2075">
      <c r="A2075" s="390" t="str">
        <f>IFERROR(__xludf.DUMMYFUNCTION("""COMPUTED_VALUE"""),"Ana Claudia de Oliveira - Formação Livre Psicanálise")</f>
        <v>Ana Claudia de Oliveira - Formação Livre Psicanálise</v>
      </c>
    </row>
    <row r="2076">
      <c r="A2076" s="390" t="str">
        <f>IFERROR(__xludf.DUMMYFUNCTION("""COMPUTED_VALUE"""),"Carla Eloisa Kratz Baehr - #SLUM - SEGUNDA LICENCIATURA EM MATEMÁTICA")</f>
        <v>Carla Eloisa Kratz Baehr - #SLUM - SEGUNDA LICENCIATURA EM MATEMÁTICA</v>
      </c>
    </row>
    <row r="2077">
      <c r="A2077" s="390" t="str">
        <f>IFERROR(__xludf.DUMMYFUNCTION("""COMPUTED_VALUE"""),"Carla Eloisa Kratz Baehr - Pós-Graduação em Psicanálise")</f>
        <v>Carla Eloisa Kratz Baehr - Pós-Graduação em Psicanálise</v>
      </c>
    </row>
    <row r="2078">
      <c r="A2078" s="390" t="str">
        <f>IFERROR(__xludf.DUMMYFUNCTION("""COMPUTED_VALUE"""),"Fernanda De Fátima Gomes de Carvalho - #SLUP - SEGUNDA LICENCIATURA EM PEDAGOGIA")</f>
        <v>Fernanda De Fátima Gomes de Carvalho - #SLUP - SEGUNDA LICENCIATURA EM PEDAGOGIA</v>
      </c>
    </row>
    <row r="2079">
      <c r="A2079" s="390" t="str">
        <f>IFERROR(__xludf.DUMMYFUNCTION("""COMPUTED_VALUE"""),"Etienne Valeria Monteiro Cardoso - Pós-graduação em Neuropsicologia")</f>
        <v>Etienne Valeria Monteiro Cardoso - Pós-graduação em Neuropsicologia</v>
      </c>
    </row>
    <row r="2080">
      <c r="A2080" s="390" t="str">
        <f>IFERROR(__xludf.DUMMYFUNCTION("""COMPUTED_VALUE"""),"Viviane Costa Tanan - Formação Livre Psicanálise")</f>
        <v>Viviane Costa Tanan - Formação Livre Psicanálise</v>
      </c>
    </row>
    <row r="2081">
      <c r="A2081" s="390" t="str">
        <f>IFERROR(__xludf.DUMMYFUNCTION("""COMPUTED_VALUE"""),"Delma Anastácia Baby Fadel dos Santos - #SLMF - Segunda Licenciatura em Música 1320Horas")</f>
        <v>Delma Anastácia Baby Fadel dos Santos - #SLMF - Segunda Licenciatura em Música 1320Horas</v>
      </c>
    </row>
    <row r="2082">
      <c r="A2082" s="390" t="str">
        <f>IFERROR(__xludf.DUMMYFUNCTION("""COMPUTED_VALUE"""),"Wendel da Silva Manga - #FPMF- Formação Pedagógica em Música 1200Horas")</f>
        <v>Wendel da Silva Manga - #FPMF- Formação Pedagógica em Música 1200Horas</v>
      </c>
    </row>
    <row r="2083">
      <c r="A2083" s="390" t="str">
        <f>IFERROR(__xludf.DUMMYFUNCTION("""COMPUTED_VALUE"""),"Suzete Morais Araújo - RADIANTE - Pós-Graduação em Atendimento Educacional Especializado Com Ênfase Em Educação Especial e Inclusiva")</f>
        <v>Suzete Morais Araújo - RADIANTE - Pós-Graduação em Atendimento Educacional Especializado Com Ênfase Em Educação Especial e Inclusiva</v>
      </c>
    </row>
    <row r="2084">
      <c r="A2084" s="390" t="str">
        <f>IFERROR(__xludf.DUMMYFUNCTION("""COMPUTED_VALUE"""),"Suzete Morais Araújo - RADIANTE - Pós-Graduação em Psicopedagogia Institucional e Clínica 710Horas")</f>
        <v>Suzete Morais Araújo - RADIANTE - Pós-Graduação em Psicopedagogia Institucional e Clínica 710Horas</v>
      </c>
    </row>
    <row r="2085">
      <c r="A2085" s="390" t="str">
        <f>IFERROR(__xludf.DUMMYFUNCTION("""COMPUTED_VALUE"""),"Ronaldo Silva Damasceno - #SLMF - Segunda Licenciatura em Música 1320Horas")</f>
        <v>Ronaldo Silva Damasceno - #SLMF - Segunda Licenciatura em Música 1320Horas</v>
      </c>
    </row>
    <row r="2086">
      <c r="A2086" s="390" t="str">
        <f>IFERROR(__xludf.DUMMYFUNCTION("""COMPUTED_VALUE"""),"Junia dos Santos - RADIANTE - Pós-Graduação em Psicanálise")</f>
        <v>Junia dos Santos - RADIANTE - Pós-Graduação em Psicanálise</v>
      </c>
    </row>
    <row r="2087">
      <c r="A2087" s="390" t="str">
        <f>IFERROR(__xludf.DUMMYFUNCTION("""COMPUTED_VALUE"""),"Dalvina Do Carmo Pereira - RADIANTE - Pós-Graduação em Enfermagem, Ginecologia e Obstetrícia")</f>
        <v>Dalvina Do Carmo Pereira - RADIANTE - Pós-Graduação em Enfermagem, Ginecologia e Obstetrícia</v>
      </c>
    </row>
    <row r="2088">
      <c r="A2088" s="390" t="str">
        <f>IFERROR(__xludf.DUMMYFUNCTION("""COMPUTED_VALUE"""),"Adriana Leal Belmonte - RADIANTE - Pós-Graduação em Língua Portuguesa, Redação e Oratória")</f>
        <v>Adriana Leal Belmonte - RADIANTE - Pós-Graduação em Língua Portuguesa, Redação e Oratória</v>
      </c>
    </row>
    <row r="2089">
      <c r="A2089" s="390" t="str">
        <f>IFERROR(__xludf.DUMMYFUNCTION("""COMPUTED_VALUE"""),"Adriane Aparecida Marques de Paiva - Pós-Graduação em Neuropsicopedagogia Institucional, Clínica e Hospitalar 850h")</f>
        <v>Adriane Aparecida Marques de Paiva - Pós-Graduação em Neuropsicopedagogia Institucional, Clínica e Hospitalar 850h</v>
      </c>
    </row>
    <row r="2090">
      <c r="A2090" s="390" t="str">
        <f>IFERROR(__xludf.DUMMYFUNCTION("""COMPUTED_VALUE"""),"Tatiana Aparecido do Nascimento Oliveira - Pós-Graduação em Atendimento Educacional Especializado Com Ênfase Em Educação Especial e Inclusiva")</f>
        <v>Tatiana Aparecido do Nascimento Oliveira - Pós-Graduação em Atendimento Educacional Especializado Com Ênfase Em Educação Especial e Inclusiva</v>
      </c>
    </row>
    <row r="2091">
      <c r="A2091" s="390" t="str">
        <f>IFERROR(__xludf.DUMMYFUNCTION("""COMPUTED_VALUE"""),"Aline Batista de Carvalho - RADIANTE - Pós-Graduação em Terapia em ABA- Análise do Comportamento Aplicada")</f>
        <v>Aline Batista de Carvalho - RADIANTE - Pós-Graduação em Terapia em ABA- Análise do Comportamento Aplicada</v>
      </c>
    </row>
    <row r="2092">
      <c r="A2092" s="390" t="str">
        <f>IFERROR(__xludf.DUMMYFUNCTION("""COMPUTED_VALUE"""),"Tathianny Gomes dos Santos - RADIANTE - Pós-Graduação em MBA em Gestão Pública")</f>
        <v>Tathianny Gomes dos Santos - RADIANTE - Pós-Graduação em MBA em Gestão Pública</v>
      </c>
    </row>
    <row r="2093">
      <c r="A2093" s="390" t="str">
        <f>IFERROR(__xludf.DUMMYFUNCTION("""COMPUTED_VALUE"""),"Tânia Regina de Almeida - RADIANTE - Pós-Graduação Neurociência e Aprendizagem")</f>
        <v>Tânia Regina de Almeida - RADIANTE - Pós-Graduação Neurociência e Aprendizagem</v>
      </c>
    </row>
    <row r="2094">
      <c r="A2094" s="390" t="str">
        <f>IFERROR(__xludf.DUMMYFUNCTION("""COMPUTED_VALUE"""),"Aline Castilho Ferreira - RADIANTE - Pós-Graduação Educação Especial e Inclusiva")</f>
        <v>Aline Castilho Ferreira - RADIANTE - Pós-Graduação Educação Especial e Inclusiva</v>
      </c>
    </row>
    <row r="2095">
      <c r="A2095" s="390" t="str">
        <f>IFERROR(__xludf.DUMMYFUNCTION("""COMPUTED_VALUE"""),"Tânia Regina de Almeida - Pós-Graduação Neurociência e Aprendizagem")</f>
        <v>Tânia Regina de Almeida - Pós-Graduação Neurociência e Aprendizagem</v>
      </c>
    </row>
    <row r="2096">
      <c r="A2096" s="390" t="str">
        <f>IFERROR(__xludf.DUMMYFUNCTION("""COMPUTED_VALUE"""),"Amanda Carvalho Ramos - Pós-Graduação em Enfermagem, Ginecologia e Obstetrícia")</f>
        <v>Amanda Carvalho Ramos - Pós-Graduação em Enfermagem, Ginecologia e Obstetrícia</v>
      </c>
    </row>
    <row r="2097">
      <c r="A2097" s="390" t="str">
        <f>IFERROR(__xludf.DUMMYFUNCTION("""COMPUTED_VALUE"""),"Tabata Pesamosca Zemolin - Pós-Graduação em Neuropsicopedagogia Institucional, Clínica e Hospitalar 850h")</f>
        <v>Tabata Pesamosca Zemolin - Pós-Graduação em Neuropsicopedagogia Institucional, Clínica e Hospitalar 850h</v>
      </c>
    </row>
    <row r="2098">
      <c r="A2098" s="390" t="str">
        <f>IFERROR(__xludf.DUMMYFUNCTION("""COMPUTED_VALUE"""),"Arthur Henrique Silva - FORMAÇÃO PEDAGÓGICA EM EDUCAÇÃO ESPECIAL- U")</f>
        <v>Arthur Henrique Silva - FORMAÇÃO PEDAGÓGICA EM EDUCAÇÃO ESPECIAL- U</v>
      </c>
    </row>
    <row r="2099">
      <c r="A2099" s="390" t="str">
        <f>IFERROR(__xludf.DUMMYFUNCTION("""COMPUTED_VALUE"""),"Arthur Henrique Silva - #FPMF- Formação Pedagógica em Música 1200Horas")</f>
        <v>Arthur Henrique Silva - #FPMF- Formação Pedagógica em Música 1200Horas</v>
      </c>
    </row>
    <row r="2100">
      <c r="A2100" s="390" t="str">
        <f>IFERROR(__xludf.DUMMYFUNCTION("""COMPUTED_VALUE"""),"Arthur Henrique Silva - Formação Pedagógica em Educação Especial")</f>
        <v>Arthur Henrique Silva - Formação Pedagógica em Educação Especial</v>
      </c>
    </row>
    <row r="2101">
      <c r="A2101" s="390" t="str">
        <f>IFERROR(__xludf.DUMMYFUNCTION("""COMPUTED_VALUE"""),"Arthur Henrique Silva - Pós-Graduação em Inteligência Artificial")</f>
        <v>Arthur Henrique Silva - Pós-Graduação em Inteligência Artificial</v>
      </c>
    </row>
    <row r="2102">
      <c r="A2102" s="390" t="str">
        <f>IFERROR(__xludf.DUMMYFUNCTION("""COMPUTED_VALUE"""),"Andreia Martins da Silva - RADIANTE - Pós-Graduação em Gestão Escolar")</f>
        <v>Andreia Martins da Silva - RADIANTE - Pós-Graduação em Gestão Escolar</v>
      </c>
    </row>
    <row r="2103">
      <c r="A2103" s="390" t="str">
        <f>IFERROR(__xludf.DUMMYFUNCTION("""COMPUTED_VALUE"""),"Rhêuber Rodrigues Martins da Silva Souza - Pós-Graduação em Direito Penal e Processual Penal")</f>
        <v>Rhêuber Rodrigues Martins da Silva Souza - Pós-Graduação em Direito Penal e Processual Penal</v>
      </c>
    </row>
    <row r="2104">
      <c r="A2104" s="390" t="str">
        <f>IFERROR(__xludf.DUMMYFUNCTION("""COMPUTED_VALUE"""),"Aretha Marçal De Macedo Menezes - Pós-Graduação em Avaliação Psicológica e Psicodiagnóstico")</f>
        <v>Aretha Marçal De Macedo Menezes - Pós-Graduação em Avaliação Psicológica e Psicodiagnóstico</v>
      </c>
    </row>
    <row r="2105">
      <c r="A2105" s="390" t="str">
        <f>IFERROR(__xludf.DUMMYFUNCTION("""COMPUTED_VALUE"""),"Carlos Eduardo Quirino - RADIANTE - Pós-Graduação Neurociência e Aprendizagem")</f>
        <v>Carlos Eduardo Quirino - RADIANTE - Pós-Graduação Neurociência e Aprendizagem</v>
      </c>
    </row>
    <row r="2106">
      <c r="A2106" s="390" t="str">
        <f>IFERROR(__xludf.DUMMYFUNCTION("""COMPUTED_VALUE"""),"Carlos Eduardo Quirino - RADIANTE - Pós-Graduação em Musicoterapia")</f>
        <v>Carlos Eduardo Quirino - RADIANTE - Pós-Graduação em Musicoterapia</v>
      </c>
    </row>
    <row r="2107">
      <c r="A2107" s="390" t="str">
        <f>IFERROR(__xludf.DUMMYFUNCTION("""COMPUTED_VALUE"""),"Carlos Eduardo Quirino - RADIANTE - #FPMF- Formação Pedagógica em Música 2022")</f>
        <v>Carlos Eduardo Quirino - RADIANTE - #FPMF- Formação Pedagógica em Música 2022</v>
      </c>
    </row>
    <row r="2108">
      <c r="A2108" s="390" t="str">
        <f>IFERROR(__xludf.DUMMYFUNCTION("""COMPUTED_VALUE"""),"Carlos Eduardo Quirino - RADIANTE - Pós-Graduação em Educação Musical-2022")</f>
        <v>Carlos Eduardo Quirino - RADIANTE - Pós-Graduação em Educação Musical-2022</v>
      </c>
    </row>
    <row r="2109">
      <c r="A2109" s="390" t="str">
        <f>IFERROR(__xludf.DUMMYFUNCTION("""COMPUTED_VALUE"""),"Carlos Eduardo Quirino - RADIANTE - PÓS-GRADUAÇÃO EM MUSICOTERAPIA-2022")</f>
        <v>Carlos Eduardo Quirino - RADIANTE - PÓS-GRADUAÇÃO EM MUSICOTERAPIA-2022</v>
      </c>
    </row>
    <row r="2110">
      <c r="A2110" s="390" t="str">
        <f>IFERROR(__xludf.DUMMYFUNCTION("""COMPUTED_VALUE"""),"Raynara Loubet Arce - Pós-Graduação em Psicopedagogia Institucional e Clínica 710Horas")</f>
        <v>Raynara Loubet Arce - Pós-Graduação em Psicopedagogia Institucional e Clínica 710Horas</v>
      </c>
    </row>
    <row r="2111">
      <c r="A2111" s="390" t="str">
        <f>IFERROR(__xludf.DUMMYFUNCTION("""COMPUTED_VALUE"""),"Raynara Loubet Arce - Pós-Graduação em Terapia em ABA- Análise do Comportamento Aplicada")</f>
        <v>Raynara Loubet Arce - Pós-Graduação em Terapia em ABA- Análise do Comportamento Aplicada</v>
      </c>
    </row>
    <row r="2112">
      <c r="A2112" s="390" t="str">
        <f>IFERROR(__xludf.DUMMYFUNCTION("""COMPUTED_VALUE"""),"Caroline da Silva - Pós-Graduação Neurociência e Aprendizagem")</f>
        <v>Caroline da Silva - Pós-Graduação Neurociência e Aprendizagem</v>
      </c>
    </row>
    <row r="2113">
      <c r="A2113" s="390" t="str">
        <f>IFERROR(__xludf.DUMMYFUNCTION("""COMPUTED_VALUE"""),"Gislaine Santos de Almeida - Pedagogia para Bacharéis")</f>
        <v>Gislaine Santos de Almeida - Pedagogia para Bacharéis</v>
      </c>
    </row>
    <row r="2114">
      <c r="A2114" s="390" t="str">
        <f>IFERROR(__xludf.DUMMYFUNCTION("""COMPUTED_VALUE"""),"Gislaine Santos de Almeida - #SLPT- Segunda Licenciatura em Pedagogia")</f>
        <v>Gislaine Santos de Almeida - #SLPT- Segunda Licenciatura em Pedagogia</v>
      </c>
    </row>
    <row r="2115">
      <c r="A2115" s="390" t="str">
        <f>IFERROR(__xludf.DUMMYFUNCTION("""COMPUTED_VALUE"""),"Raquel Ferreira da Silva - RADIANTE - Pós-Graduação em Engenharia de Segurança do Trabalho")</f>
        <v>Raquel Ferreira da Silva - RADIANTE - Pós-Graduação em Engenharia de Segurança do Trabalho</v>
      </c>
    </row>
    <row r="2116">
      <c r="A2116" s="390" t="str">
        <f>IFERROR(__xludf.DUMMYFUNCTION("""COMPUTED_VALUE"""),"Ana Rosa Ribeiro da Silva - Pós-Graduação em Psicanálise")</f>
        <v>Ana Rosa Ribeiro da Silva - Pós-Graduação em Psicanálise</v>
      </c>
    </row>
    <row r="2117">
      <c r="A2117" s="390" t="str">
        <f>IFERROR(__xludf.DUMMYFUNCTION("""COMPUTED_VALUE"""),"Michelle Aparecida Lira de Souza - Formação Livre Psicanálise")</f>
        <v>Michelle Aparecida Lira de Souza - Formação Livre Psicanálise</v>
      </c>
    </row>
    <row r="2118">
      <c r="A2118" s="390" t="str">
        <f>IFERROR(__xludf.DUMMYFUNCTION("""COMPUTED_VALUE"""),"Michelle Aparecida Lira de Souza - Formação Livre em Sexologia")</f>
        <v>Michelle Aparecida Lira de Souza - Formação Livre em Sexologia</v>
      </c>
    </row>
    <row r="2119">
      <c r="A2119" s="390" t="str">
        <f>IFERROR(__xludf.DUMMYFUNCTION("""COMPUTED_VALUE"""),"Simone Furtado de Almeida - Pós-Graduação em Terapia em ABA- Análise do Comportamento Aplicada Clínica")</f>
        <v>Simone Furtado de Almeida - Pós-Graduação em Terapia em ABA- Análise do Comportamento Aplicada Clínica</v>
      </c>
    </row>
    <row r="2120">
      <c r="A2120" s="390" t="str">
        <f>IFERROR(__xludf.DUMMYFUNCTION("""COMPUTED_VALUE"""),"Simone Furtado de Almeida - Pós-Graduação Terapia Cognitiva Comportamental")</f>
        <v>Simone Furtado de Almeida - Pós-Graduação Terapia Cognitiva Comportamental</v>
      </c>
    </row>
    <row r="2121">
      <c r="A2121" s="390" t="str">
        <f>IFERROR(__xludf.DUMMYFUNCTION("""COMPUTED_VALUE"""),"Maria Alice dos Santos Mendes - Formação Livre Psicanálise")</f>
        <v>Maria Alice dos Santos Mendes - Formação Livre Psicanálise</v>
      </c>
    </row>
    <row r="2122">
      <c r="A2122" s="390" t="str">
        <f>IFERROR(__xludf.DUMMYFUNCTION("""COMPUTED_VALUE"""),"JANDREANE LIMA PRATES - Formação Livre Psicanálise")</f>
        <v>JANDREANE LIMA PRATES - Formação Livre Psicanálise</v>
      </c>
    </row>
    <row r="2123">
      <c r="A2123" s="390" t="str">
        <f>IFERROR(__xludf.DUMMYFUNCTION("""COMPUTED_VALUE"""),"JANDREANE LIMA PRATES - Pós-Graduação Educação Especial e Inclusiva")</f>
        <v>JANDREANE LIMA PRATES - Pós-Graduação Educação Especial e Inclusiva</v>
      </c>
    </row>
    <row r="2124">
      <c r="A2124" s="390" t="str">
        <f>IFERROR(__xludf.DUMMYFUNCTION("""COMPUTED_VALUE"""),"Alessandra Alves dos Santos de Azevedo Pereira - Formação Livre Psicanálise")</f>
        <v>Alessandra Alves dos Santos de Azevedo Pereira - Formação Livre Psicanálise</v>
      </c>
    </row>
    <row r="2125">
      <c r="A2125" s="390" t="str">
        <f>IFERROR(__xludf.DUMMYFUNCTION("""COMPUTED_VALUE"""),"Elisa Moreira Alcântara - Formação Livre Psicanálise")</f>
        <v>Elisa Moreira Alcântara - Formação Livre Psicanálise</v>
      </c>
    </row>
    <row r="2126">
      <c r="A2126" s="390" t="str">
        <f>IFERROR(__xludf.DUMMYFUNCTION("""COMPUTED_VALUE"""),"Ritali Gomes Monteiro - Pós-Graduação em Atendimento na Unidade Básica de Saúde")</f>
        <v>Ritali Gomes Monteiro - Pós-Graduação em Atendimento na Unidade Básica de Saúde</v>
      </c>
    </row>
    <row r="2127">
      <c r="A2127" s="390" t="str">
        <f>IFERROR(__xludf.DUMMYFUNCTION("""COMPUTED_VALUE"""),"Antonia Ivone Bezerra da Silva - Pós-Graduação em Educação Infantil")</f>
        <v>Antonia Ivone Bezerra da Silva - Pós-Graduação em Educação Infantil</v>
      </c>
    </row>
    <row r="2128">
      <c r="A2128" s="390" t="str">
        <f>IFERROR(__xludf.DUMMYFUNCTION("""COMPUTED_VALUE"""),"Antonia Ivone Bezerra da Silva - Pós-Graduação Educação Especial e Inclusiva")</f>
        <v>Antonia Ivone Bezerra da Silva - Pós-Graduação Educação Especial e Inclusiva</v>
      </c>
    </row>
    <row r="2129">
      <c r="A2129" s="390" t="str">
        <f>IFERROR(__xludf.DUMMYFUNCTION("""COMPUTED_VALUE"""),"Antonia Ivone Bezerra da Silva - Pós-Graduação em Gestão Escolar Integrada com Ênfase em Supervisão, Orientação, Administração e Inspeção")</f>
        <v>Antonia Ivone Bezerra da Silva - Pós-Graduação em Gestão Escolar Integrada com Ênfase em Supervisão, Orientação, Administração e Inspeção</v>
      </c>
    </row>
    <row r="2130">
      <c r="A2130" s="390" t="str">
        <f>IFERROR(__xludf.DUMMYFUNCTION("""COMPUTED_VALUE"""),"Stephannie de Oliveira Wanderley Pinto de Souza - Pós-Graduação em Psicanálise")</f>
        <v>Stephannie de Oliveira Wanderley Pinto de Souza - Pós-Graduação em Psicanálise</v>
      </c>
    </row>
    <row r="2131">
      <c r="A2131" s="390" t="str">
        <f>IFERROR(__xludf.DUMMYFUNCTION("""COMPUTED_VALUE"""),"Gabriel Ramos Relich - #SLUPI - SEGUNDA LICENCIATURA EM LETRAS – PORTUGUÊS E INGLÊS")</f>
        <v>Gabriel Ramos Relich - #SLUPI - SEGUNDA LICENCIATURA EM LETRAS – PORTUGUÊS E INGLÊS</v>
      </c>
    </row>
    <row r="2132">
      <c r="A2132" s="390" t="str">
        <f>IFERROR(__xludf.DUMMYFUNCTION("""COMPUTED_VALUE"""),"Gabriel Ramos Relich - Pós-Graduação em Supervisão Escolar")</f>
        <v>Gabriel Ramos Relich - Pós-Graduação em Supervisão Escolar</v>
      </c>
    </row>
    <row r="2133">
      <c r="A2133" s="390" t="str">
        <f>IFERROR(__xludf.DUMMYFUNCTION("""COMPUTED_VALUE"""),"Gabriel Ramos Relich - Pós-Graduação Alfabetização e Letramento")</f>
        <v>Gabriel Ramos Relich - Pós-Graduação Alfabetização e Letramento</v>
      </c>
    </row>
    <row r="2134">
      <c r="A2134" s="390" t="str">
        <f>IFERROR(__xludf.DUMMYFUNCTION("""COMPUTED_VALUE"""),"Ketlin Cristina Ribeiro Pereira - Formação Livre Psicanálise")</f>
        <v>Ketlin Cristina Ribeiro Pereira - Formação Livre Psicanálise</v>
      </c>
    </row>
    <row r="2135">
      <c r="A2135" s="390" t="str">
        <f>IFERROR(__xludf.DUMMYFUNCTION("""COMPUTED_VALUE"""),"Lázara Margarida de Oliveira Teixeira - #SLUPE- Segunda Licenciatura em Letras – Português e Espanhol")</f>
        <v>Lázara Margarida de Oliveira Teixeira - #SLUPE- Segunda Licenciatura em Letras – Português e Espanhol</v>
      </c>
    </row>
    <row r="2136">
      <c r="A2136" s="390" t="str">
        <f>IFERROR(__xludf.DUMMYFUNCTION("""COMPUTED_VALUE"""),"Lázara Margarida de Oliveira Teixeira - #SLTLE1- Segunda Licenciatura em Letras - Espanhol")</f>
        <v>Lázara Margarida de Oliveira Teixeira - #SLTLE1- Segunda Licenciatura em Letras - Espanhol</v>
      </c>
    </row>
    <row r="2137">
      <c r="A2137" s="390" t="str">
        <f>IFERROR(__xludf.DUMMYFUNCTION("""COMPUTED_VALUE"""),"Fagner Pessoa da Silva - Formação pedagógica Letras - Português")</f>
        <v>Fagner Pessoa da Silva - Formação pedagógica Letras - Português</v>
      </c>
    </row>
    <row r="2138">
      <c r="A2138" s="390" t="str">
        <f>IFERROR(__xludf.DUMMYFUNCTION("""COMPUTED_VALUE"""),"Felipe Francisco do Nascimento - #SLUP - SEGUNDA LICENCIATURA EM PEDAGOGIA")</f>
        <v>Felipe Francisco do Nascimento - #SLUP - SEGUNDA LICENCIATURA EM PEDAGOGIA</v>
      </c>
    </row>
    <row r="2139">
      <c r="A2139" s="390" t="str">
        <f>IFERROR(__xludf.DUMMYFUNCTION("""COMPUTED_VALUE"""),"Jose Elito Morais Cativo - #SLUP - SEGUNDA LICENCIATURA EM PEDAGOGIA")</f>
        <v>Jose Elito Morais Cativo - #SLUP - SEGUNDA LICENCIATURA EM PEDAGOGIA</v>
      </c>
    </row>
    <row r="2140">
      <c r="A2140" s="390" t="str">
        <f>IFERROR(__xludf.DUMMYFUNCTION("""COMPUTED_VALUE"""),"Ondil Fogaça da Silva Junior - #FPMF- Formação Pedagógica em Música 1200Horas")</f>
        <v>Ondil Fogaça da Silva Junior - #FPMF- Formação Pedagógica em Música 1200Horas</v>
      </c>
    </row>
    <row r="2141">
      <c r="A2141" s="390" t="str">
        <f>IFERROR(__xludf.DUMMYFUNCTION("""COMPUTED_VALUE"""),"Elizaregia Reis de Castro - #SLCSA - Segunda Licenciatura em Ciências Sociais")</f>
        <v>Elizaregia Reis de Castro - #SLCSA - Segunda Licenciatura em Ciências Sociais</v>
      </c>
    </row>
    <row r="2142">
      <c r="A2142" s="390" t="str">
        <f>IFERROR(__xludf.DUMMYFUNCTION("""COMPUTED_VALUE"""),"Sabrina Bautista Matos Cordeiro - #SLUPI - SEGUNDA LICENCIATURA EM LETRAS – PORTUGUÊS E INGLÊS")</f>
        <v>Sabrina Bautista Matos Cordeiro - #SLUPI - SEGUNDA LICENCIATURA EM LETRAS – PORTUGUÊS E INGLÊS</v>
      </c>
    </row>
    <row r="2143">
      <c r="A2143" s="390" t="str">
        <f>IFERROR(__xludf.DUMMYFUNCTION("""COMPUTED_VALUE"""),"Laise Camile Tesch Gums - Pós-Graduação em Terapia de Casais")</f>
        <v>Laise Camile Tesch Gums - Pós-Graduação em Terapia de Casais</v>
      </c>
    </row>
    <row r="2144">
      <c r="A2144" s="390" t="str">
        <f>IFERROR(__xludf.DUMMYFUNCTION("""COMPUTED_VALUE"""),"Laise Camile Tesch Gums - Pós-graduação em Neuropsicologia")</f>
        <v>Laise Camile Tesch Gums - Pós-graduação em Neuropsicologia</v>
      </c>
    </row>
    <row r="2145">
      <c r="A2145" s="390" t="str">
        <f>IFERROR(__xludf.DUMMYFUNCTION("""COMPUTED_VALUE"""),"Aldenice Melo Silva - Formação Livre Psicanálise")</f>
        <v>Aldenice Melo Silva - Formação Livre Psicanálise</v>
      </c>
    </row>
    <row r="2146">
      <c r="A2146" s="390" t="str">
        <f>IFERROR(__xludf.DUMMYFUNCTION("""COMPUTED_VALUE"""),"Fernando Guedes Passos - #FPMF- Formação Pedagógica em Música 1200Horas")</f>
        <v>Fernando Guedes Passos - #FPMF- Formação Pedagógica em Música 1200Horas</v>
      </c>
    </row>
    <row r="2147">
      <c r="A2147" s="390" t="str">
        <f>IFERROR(__xludf.DUMMYFUNCTION("""COMPUTED_VALUE"""),"Fernando Guedes Passos - Pós-Graduação em Educação Musical")</f>
        <v>Fernando Guedes Passos - Pós-Graduação em Educação Musical</v>
      </c>
    </row>
    <row r="2148">
      <c r="A2148" s="390" t="str">
        <f>IFERROR(__xludf.DUMMYFUNCTION("""COMPUTED_VALUE"""),"Márcio Douglas de Carvalho e Silva - #SLSA - Segunda Licenciatura em Sociologia")</f>
        <v>Márcio Douglas de Carvalho e Silva - #SLSA - Segunda Licenciatura em Sociologia</v>
      </c>
    </row>
    <row r="2149">
      <c r="A2149" s="390" t="str">
        <f>IFERROR(__xludf.DUMMYFUNCTION("""COMPUTED_VALUE"""),"Márcio Douglas de Carvalho e Silva - Pós-Graduação em Metodologia do Ensino de Filosofia e Sociologia")</f>
        <v>Márcio Douglas de Carvalho e Silva - Pós-Graduação em Metodologia do Ensino de Filosofia e Sociologia</v>
      </c>
    </row>
    <row r="2150">
      <c r="A2150" s="390" t="str">
        <f>IFERROR(__xludf.DUMMYFUNCTION("""COMPUTED_VALUE"""),"Amanda Ramos Rocha - Pós-Graduação em Coordenação Educacional")</f>
        <v>Amanda Ramos Rocha - Pós-Graduação em Coordenação Educacional</v>
      </c>
    </row>
    <row r="2151">
      <c r="A2151" s="390" t="str">
        <f>IFERROR(__xludf.DUMMYFUNCTION("""COMPUTED_VALUE"""),"Amanda Ramos Rocha - Pós-Graduação em Inspeção Escolar")</f>
        <v>Amanda Ramos Rocha - Pós-Graduação em Inspeção Escolar</v>
      </c>
    </row>
    <row r="2152">
      <c r="A2152" s="390" t="str">
        <f>IFERROR(__xludf.DUMMYFUNCTION("""COMPUTED_VALUE"""),"Marilícia Honório dos Santos - Formação Livre Psicanálise")</f>
        <v>Marilícia Honório dos Santos - Formação Livre Psicanálise</v>
      </c>
    </row>
    <row r="2153">
      <c r="A2153" s="390" t="str">
        <f>IFERROR(__xludf.DUMMYFUNCTION("""COMPUTED_VALUE"""),"Marilícia Honório dos Santos - Formação Livre Psicanálise")</f>
        <v>Marilícia Honório dos Santos - Formação Livre Psicanálise</v>
      </c>
    </row>
    <row r="2154">
      <c r="A2154" s="390" t="str">
        <f>IFERROR(__xludf.DUMMYFUNCTION("""COMPUTED_VALUE"""),"Cirlene Lopes de Lima - Pós-Graduação em Neuropsicopedagogia Institucional")</f>
        <v>Cirlene Lopes de Lima - Pós-Graduação em Neuropsicopedagogia Institucional</v>
      </c>
    </row>
    <row r="2155">
      <c r="A2155" s="390" t="str">
        <f>IFERROR(__xludf.DUMMYFUNCTION("""COMPUTED_VALUE"""),"José Marcio Paz Batista - Pós-Graduação em Gestão Escolar")</f>
        <v>José Marcio Paz Batista - Pós-Graduação em Gestão Escolar</v>
      </c>
    </row>
    <row r="2156">
      <c r="A2156" s="390" t="str">
        <f>IFERROR(__xludf.DUMMYFUNCTION("""COMPUTED_VALUE"""),"José Marcio Paz Batista - Formação Livre Psicanálise")</f>
        <v>José Marcio Paz Batista - Formação Livre Psicanálise</v>
      </c>
    </row>
    <row r="2157">
      <c r="A2157" s="390" t="str">
        <f>IFERROR(__xludf.DUMMYFUNCTION("""COMPUTED_VALUE"""),"Bruna De Jesus Brandão - #SLUP - SEGUNDA LICENCIATURA EM PEDAGOGIA")</f>
        <v>Bruna De Jesus Brandão - #SLUP - SEGUNDA LICENCIATURA EM PEDAGOGIA</v>
      </c>
    </row>
    <row r="2158">
      <c r="A2158" s="390" t="str">
        <f>IFERROR(__xludf.DUMMYFUNCTION("""COMPUTED_VALUE"""),"Bruna De Jesus Brandão - #SLPA- Segunda Licenciatura em Pedagogia 01")</f>
        <v>Bruna De Jesus Brandão - #SLPA- Segunda Licenciatura em Pedagogia 01</v>
      </c>
    </row>
    <row r="2159">
      <c r="A2159" s="390" t="str">
        <f>IFERROR(__xludf.DUMMYFUNCTION("""COMPUTED_VALUE"""),"Luis Dagmar da Rocha - #SLMF - Segunda Licenciatura em Música 1320Horas")</f>
        <v>Luis Dagmar da Rocha - #SLMF - Segunda Licenciatura em Música 1320Horas</v>
      </c>
    </row>
    <row r="2160">
      <c r="A2160" s="390" t="str">
        <f>IFERROR(__xludf.DUMMYFUNCTION("""COMPUTED_VALUE"""),"Paulo Sérgio Mendes de oliveira - #FPP- Formação Pedagógica em Pedagogia R2")</f>
        <v>Paulo Sérgio Mendes de oliveira - #FPP- Formação Pedagógica em Pedagogia R2</v>
      </c>
    </row>
    <row r="2161">
      <c r="A2161" s="390" t="str">
        <f>IFERROR(__xludf.DUMMYFUNCTION("""COMPUTED_VALUE"""),"Paulo Sérgio Mendes de oliveira - Pós-Graduação em MBA em Gestão Pública")</f>
        <v>Paulo Sérgio Mendes de oliveira - Pós-Graduação em MBA em Gestão Pública</v>
      </c>
    </row>
    <row r="2162">
      <c r="A2162" s="390" t="str">
        <f>IFERROR(__xludf.DUMMYFUNCTION("""COMPUTED_VALUE"""),"Paulo Sérgio Mendes de oliveira - Pós-Graduação em Psicanálise")</f>
        <v>Paulo Sérgio Mendes de oliveira - Pós-Graduação em Psicanálise</v>
      </c>
    </row>
    <row r="2163">
      <c r="A2163" s="390" t="str">
        <f>IFERROR(__xludf.DUMMYFUNCTION("""COMPUTED_VALUE"""),"Paulo Sérgio Mendes de oliveira - NOVO-Pós-Graduação em Psicanálise 800 Horas")</f>
        <v>Paulo Sérgio Mendes de oliveira - NOVO-Pós-Graduação em Psicanálise 800 Horas</v>
      </c>
    </row>
    <row r="2164">
      <c r="A2164" s="390" t="str">
        <f>IFERROR(__xludf.DUMMYFUNCTION("""COMPUTED_VALUE"""),"Marli Bones Mello Cidral - Pós-graduação em Neuropsicologia")</f>
        <v>Marli Bones Mello Cidral - Pós-graduação em Neuropsicologia</v>
      </c>
    </row>
    <row r="2165">
      <c r="A2165" s="390" t="str">
        <f>IFERROR(__xludf.DUMMYFUNCTION("""COMPUTED_VALUE"""),"Claudete da Silva - Pós-Graduação em Psicanálise")</f>
        <v>Claudete da Silva - Pós-Graduação em Psicanálise</v>
      </c>
    </row>
    <row r="2166">
      <c r="A2166" s="390" t="str">
        <f>IFERROR(__xludf.DUMMYFUNCTION("""COMPUTED_VALUE"""),"Claudete da Silva - Formação Livre Psicanálise")</f>
        <v>Claudete da Silva - Formação Livre Psicanálise</v>
      </c>
    </row>
    <row r="2167">
      <c r="A2167" s="390" t="str">
        <f>IFERROR(__xludf.DUMMYFUNCTION("""COMPUTED_VALUE"""),"Maria Antônia de Souza Bastos - Pedagogia para Bacharéis")</f>
        <v>Maria Antônia de Souza Bastos - Pedagogia para Bacharéis</v>
      </c>
    </row>
    <row r="2168">
      <c r="A2168" s="390" t="str">
        <f>IFERROR(__xludf.DUMMYFUNCTION("""COMPUTED_VALUE"""),"Maria Antônia de Souza Bastos - Pós-Graduação em Neuropsicopedagogia")</f>
        <v>Maria Antônia de Souza Bastos - Pós-Graduação em Neuropsicopedagogia</v>
      </c>
    </row>
    <row r="2169">
      <c r="A2169" s="390" t="str">
        <f>IFERROR(__xludf.DUMMYFUNCTION("""COMPUTED_VALUE"""),"Maria Antônia de Souza Bastos - Pós-Graduação em Gestão Escolar")</f>
        <v>Maria Antônia de Souza Bastos - Pós-Graduação em Gestão Escolar</v>
      </c>
    </row>
    <row r="2170">
      <c r="A2170" s="390" t="str">
        <f>IFERROR(__xludf.DUMMYFUNCTION("""COMPUTED_VALUE"""),"Maria Antônia de Souza Bastos - #FPT1-Pedagogia para Bacharéis e Tecnólogos (2022)")</f>
        <v>Maria Antônia de Souza Bastos - #FPT1-Pedagogia para Bacharéis e Tecnólogos (2022)</v>
      </c>
    </row>
    <row r="2171">
      <c r="A2171" s="390" t="str">
        <f>IFERROR(__xludf.DUMMYFUNCTION("""COMPUTED_VALUE"""),"Adriana Tavares Alves - Pós-Graduação Psicopedagogia Clínica, Institucional e Hospitalar")</f>
        <v>Adriana Tavares Alves - Pós-Graduação Psicopedagogia Clínica, Institucional e Hospitalar</v>
      </c>
    </row>
    <row r="2172">
      <c r="A2172" s="390" t="str">
        <f>IFERROR(__xludf.DUMMYFUNCTION("""COMPUTED_VALUE"""),"Laura Assis Machado - Pós-Graduação em Psicopedagogia Escolar")</f>
        <v>Laura Assis Machado - Pós-Graduação em Psicopedagogia Escolar</v>
      </c>
    </row>
    <row r="2173">
      <c r="A2173" s="390" t="str">
        <f>IFERROR(__xludf.DUMMYFUNCTION("""COMPUTED_VALUE"""),"Laura Assis Machado - Pós-Graduação em MBA em Gestão Pública")</f>
        <v>Laura Assis Machado - Pós-Graduação em MBA em Gestão Pública</v>
      </c>
    </row>
    <row r="2174">
      <c r="A2174" s="390" t="str">
        <f>IFERROR(__xludf.DUMMYFUNCTION("""COMPUTED_VALUE"""),"Laura Assis Machado - #FPUP-FORMAÇÃO PEDAGÓGICA EM PEDAGOGIA- U")</f>
        <v>Laura Assis Machado - #FPUP-FORMAÇÃO PEDAGÓGICA EM PEDAGOGIA- U</v>
      </c>
    </row>
    <row r="2175">
      <c r="A2175" s="390" t="str">
        <f>IFERROR(__xludf.DUMMYFUNCTION("""COMPUTED_VALUE"""),"Adilson Norberto da Silva - #SLMF - Segunda Licenciatura em Música 1320Horas")</f>
        <v>Adilson Norberto da Silva - #SLMF - Segunda Licenciatura em Música 1320Horas</v>
      </c>
    </row>
    <row r="2176">
      <c r="A2176" s="390" t="str">
        <f>IFERROR(__xludf.DUMMYFUNCTION("""COMPUTED_VALUE"""),"Adilson Norberto da Silva - #SLMF - Segunda Licenciatura em Música 1320Horas")</f>
        <v>Adilson Norberto da Silva - #SLMF - Segunda Licenciatura em Música 1320Horas</v>
      </c>
    </row>
    <row r="2177">
      <c r="A2177" s="390" t="str">
        <f>IFERROR(__xludf.DUMMYFUNCTION("""COMPUTED_VALUE"""),"Bernadete Eloi Bottoli - Formação Pedagógica História")</f>
        <v>Bernadete Eloi Bottoli - Formação Pedagógica História</v>
      </c>
    </row>
    <row r="2178">
      <c r="A2178" s="390" t="str">
        <f>IFERROR(__xludf.DUMMYFUNCTION("""COMPUTED_VALUE"""),"Bernadete Eloi Bottoli - Pós-Graduação em Ensino de História e Geografia")</f>
        <v>Bernadete Eloi Bottoli - Pós-Graduação em Ensino de História e Geografia</v>
      </c>
    </row>
    <row r="2179">
      <c r="A2179" s="390" t="str">
        <f>IFERROR(__xludf.DUMMYFUNCTION("""COMPUTED_VALUE"""),"Bernadete Eloi Bottoli - Pós-Graduação em Ensino da Língua Portuguesa")</f>
        <v>Bernadete Eloi Bottoli - Pós-Graduação em Ensino da Língua Portuguesa</v>
      </c>
    </row>
    <row r="2180">
      <c r="A2180" s="390" t="str">
        <f>IFERROR(__xludf.DUMMYFUNCTION("""COMPUTED_VALUE"""),"Bernadete Eloi Bottoli - #SLUS - Segunda Licenciatura em Sociologia")</f>
        <v>Bernadete Eloi Bottoli - #SLUS - Segunda Licenciatura em Sociologia</v>
      </c>
    </row>
    <row r="2181">
      <c r="A2181" s="390" t="str">
        <f>IFERROR(__xludf.DUMMYFUNCTION("""COMPUTED_VALUE"""),"Bernadete Eloi Bottoli - #SLHA - Segunda Licenciatura em História")</f>
        <v>Bernadete Eloi Bottoli - #SLHA - Segunda Licenciatura em História</v>
      </c>
    </row>
    <row r="2182">
      <c r="A2182" s="390" t="str">
        <f>IFERROR(__xludf.DUMMYFUNCTION("""COMPUTED_VALUE"""),"Agnaldo Santos - Formação Livre em Psicanálise-2022")</f>
        <v>Agnaldo Santos - Formação Livre em Psicanálise-2022</v>
      </c>
    </row>
    <row r="2183">
      <c r="A2183" s="390" t="str">
        <f>IFERROR(__xludf.DUMMYFUNCTION("""COMPUTED_VALUE"""),"Agnaldo Santos - Pós-Graduação em Psicanálise")</f>
        <v>Agnaldo Santos - Pós-Graduação em Psicanálise</v>
      </c>
    </row>
    <row r="2184">
      <c r="A2184" s="390" t="str">
        <f>IFERROR(__xludf.DUMMYFUNCTION("""COMPUTED_VALUE"""),"Jaciana Alves Santana - Pós-Graduação em Psicanálise")</f>
        <v>Jaciana Alves Santana - Pós-Graduação em Psicanálise</v>
      </c>
    </row>
    <row r="2185">
      <c r="A2185" s="390" t="str">
        <f>IFERROR(__xludf.DUMMYFUNCTION("""COMPUTED_VALUE"""),"ELCIO ALVES DA SILVA - #SLMF - Segunda Licenciatura em Música 1320Horas")</f>
        <v>ELCIO ALVES DA SILVA - #SLMF - Segunda Licenciatura em Música 1320Horas</v>
      </c>
    </row>
    <row r="2186">
      <c r="A2186" s="390" t="str">
        <f>IFERROR(__xludf.DUMMYFUNCTION("""COMPUTED_VALUE"""),"ELCIO ALVES DA SILVA - Pós-Graduação em Ensino de Língua Inglesa")</f>
        <v>ELCIO ALVES DA SILVA - Pós-Graduação em Ensino de Língua Inglesa</v>
      </c>
    </row>
    <row r="2187">
      <c r="A2187" s="390" t="str">
        <f>IFERROR(__xludf.DUMMYFUNCTION("""COMPUTED_VALUE"""),"Brenda Jamile Rocha da Silva - #FPMF- Formação Pedagógica em Música 1200Horas")</f>
        <v>Brenda Jamile Rocha da Silva - #FPMF- Formação Pedagógica em Música 1200Horas</v>
      </c>
    </row>
    <row r="2188">
      <c r="A2188" s="390" t="str">
        <f>IFERROR(__xludf.DUMMYFUNCTION("""COMPUTED_VALUE"""),"Eliani de Ávila Pedrotti - #SLPA- Segunda Licenciatura em Pedagogia 01")</f>
        <v>Eliani de Ávila Pedrotti - #SLPA- Segunda Licenciatura em Pedagogia 01</v>
      </c>
    </row>
    <row r="2189">
      <c r="A2189" s="390" t="str">
        <f>IFERROR(__xludf.DUMMYFUNCTION("""COMPUTED_VALUE"""),"Luciana Campos Araújo - #SLUPI - SEGUNDA LICENCIATURA EM LETRAS – PORTUGUÊS E INGLÊS")</f>
        <v>Luciana Campos Araújo - #SLUPI - SEGUNDA LICENCIATURA EM LETRAS – PORTUGUÊS E INGLÊS</v>
      </c>
    </row>
    <row r="2190">
      <c r="A2190" s="390" t="str">
        <f>IFERROR(__xludf.DUMMYFUNCTION("""COMPUTED_VALUE"""),"Luciana Campos Araújo - #SLIA - Segunda Licenciatura Letras - Inglês")</f>
        <v>Luciana Campos Araújo - #SLIA - Segunda Licenciatura Letras - Inglês</v>
      </c>
    </row>
    <row r="2191">
      <c r="A2191" s="390" t="str">
        <f>IFERROR(__xludf.DUMMYFUNCTION("""COMPUTED_VALUE"""),"Luciana Campos Araújo - #SLLIT - Segunda Licenciatura em Letras-Inglês 1090Horas")</f>
        <v>Luciana Campos Araújo - #SLLIT - Segunda Licenciatura em Letras-Inglês 1090Horas</v>
      </c>
    </row>
    <row r="2192">
      <c r="A2192" s="390" t="str">
        <f>IFERROR(__xludf.DUMMYFUNCTION("""COMPUTED_VALUE"""),"Luciane Nunes Pinto - Pedagogia para Bacharéis")</f>
        <v>Luciane Nunes Pinto - Pedagogia para Bacharéis</v>
      </c>
    </row>
    <row r="2193">
      <c r="A2193" s="390" t="str">
        <f>IFERROR(__xludf.DUMMYFUNCTION("""COMPUTED_VALUE"""),"Maria Marli Teixeira de Moraes - Formação Livre Psicanálise")</f>
        <v>Maria Marli Teixeira de Moraes - Formação Livre Psicanálise</v>
      </c>
    </row>
    <row r="2194">
      <c r="A2194" s="390" t="str">
        <f>IFERROR(__xludf.DUMMYFUNCTION("""COMPUTED_VALUE"""),"Josué Fiaz Canazza - #FPMF- Formação Pedagógica em Música 1200Horas")</f>
        <v>Josué Fiaz Canazza - #FPMF- Formação Pedagógica em Música 1200Horas</v>
      </c>
    </row>
    <row r="2195">
      <c r="A2195" s="390" t="str">
        <f>IFERROR(__xludf.DUMMYFUNCTION("""COMPUTED_VALUE"""),"Simonal dos santos Silva - #SLMF - Segunda Licenciatura em Música 1320Horas")</f>
        <v>Simonal dos santos Silva - #SLMF - Segunda Licenciatura em Música 1320Horas</v>
      </c>
    </row>
    <row r="2196">
      <c r="A2196" s="390" t="str">
        <f>IFERROR(__xludf.DUMMYFUNCTION("""COMPUTED_VALUE"""),"Maiara Romanosk de Freitas - #SLUP - SEGUNDA LICENCIATURA EM PEDAGOGIA")</f>
        <v>Maiara Romanosk de Freitas - #SLUP - SEGUNDA LICENCIATURA EM PEDAGOGIA</v>
      </c>
    </row>
    <row r="2197">
      <c r="A2197" s="390" t="str">
        <f>IFERROR(__xludf.DUMMYFUNCTION("""COMPUTED_VALUE"""),"Maiara Romanosk de Freitas - #SLPA- Segunda Licenciatura em Pedagogia 01")</f>
        <v>Maiara Romanosk de Freitas - #SLPA- Segunda Licenciatura em Pedagogia 01</v>
      </c>
    </row>
    <row r="2198">
      <c r="A2198" s="390" t="str">
        <f>IFERROR(__xludf.DUMMYFUNCTION("""COMPUTED_VALUE"""),"Maiara Romanosk de Freitas - #SLPT- Segunda Licenciatura em Pedagogia")</f>
        <v>Maiara Romanosk de Freitas - #SLPT- Segunda Licenciatura em Pedagogia</v>
      </c>
    </row>
    <row r="2199">
      <c r="A2199" s="390" t="str">
        <f>IFERROR(__xludf.DUMMYFUNCTION("""COMPUTED_VALUE"""),"Marcia Clara Leite Silveira - Formação Livre Psicanálise")</f>
        <v>Marcia Clara Leite Silveira - Formação Livre Psicanálise</v>
      </c>
    </row>
    <row r="2200">
      <c r="A2200" s="390" t="str">
        <f>IFERROR(__xludf.DUMMYFUNCTION("""COMPUTED_VALUE"""),"Esdra Silva Santana - Pós-Graduação em Letras com Ênfase em Linguística")</f>
        <v>Esdra Silva Santana - Pós-Graduação em Letras com Ênfase em Linguística</v>
      </c>
    </row>
    <row r="2201">
      <c r="A2201" s="390" t="str">
        <f>IFERROR(__xludf.DUMMYFUNCTION("""COMPUTED_VALUE"""),"Wilson Raphael Monteiro da Silva - #SLMF - Segunda Licenciatura em Música 1320Horas")</f>
        <v>Wilson Raphael Monteiro da Silva - #SLMF - Segunda Licenciatura em Música 1320Horas</v>
      </c>
    </row>
    <row r="2202">
      <c r="A2202" s="390" t="str">
        <f>IFERROR(__xludf.DUMMYFUNCTION("""COMPUTED_VALUE"""),"Eurenice Martins da Silva - #SLPA- Segunda Licenciatura em Pedagogia 01")</f>
        <v>Eurenice Martins da Silva - #SLPA- Segunda Licenciatura em Pedagogia 01</v>
      </c>
    </row>
    <row r="2203">
      <c r="A2203" s="390" t="str">
        <f>IFERROR(__xludf.DUMMYFUNCTION("""COMPUTED_VALUE"""),"Eurenice Martins da Silva - #SLUP - SEGUNDA LICENCIATURA EM PEDAGOGIA")</f>
        <v>Eurenice Martins da Silva - #SLUP - SEGUNDA LICENCIATURA EM PEDAGOGIA</v>
      </c>
    </row>
    <row r="2204">
      <c r="A2204" s="390" t="str">
        <f>IFERROR(__xludf.DUMMYFUNCTION("""COMPUTED_VALUE"""),"Dirceu Mendes Ferreira - #SLUP - SEGUNDA LICENCIATURA EM PEDAGOGIA")</f>
        <v>Dirceu Mendes Ferreira - #SLUP - SEGUNDA LICENCIATURA EM PEDAGOGIA</v>
      </c>
    </row>
    <row r="2205">
      <c r="A2205" s="390" t="str">
        <f>IFERROR(__xludf.DUMMYFUNCTION("""COMPUTED_VALUE"""),"Dirceu Mendes Ferreira - #SLPA- Segunda Licenciatura em Pedagogia 01")</f>
        <v>Dirceu Mendes Ferreira - #SLPA- Segunda Licenciatura em Pedagogia 01</v>
      </c>
    </row>
    <row r="2206">
      <c r="A2206" s="390" t="str">
        <f>IFERROR(__xludf.DUMMYFUNCTION("""COMPUTED_VALUE"""),"Cristiane Aparecida - Pós-Graduação em Musicoterapia")</f>
        <v>Cristiane Aparecida - Pós-Graduação em Musicoterapia</v>
      </c>
    </row>
    <row r="2207">
      <c r="A2207" s="390" t="str">
        <f>IFERROR(__xludf.DUMMYFUNCTION("""COMPUTED_VALUE"""),"Edna de Lanea Tolentino - Formação Livre Psicanálise")</f>
        <v>Edna de Lanea Tolentino - Formação Livre Psicanálise</v>
      </c>
    </row>
    <row r="2208">
      <c r="A2208" s="390" t="str">
        <f>IFERROR(__xludf.DUMMYFUNCTION("""COMPUTED_VALUE"""),"Jirlalia Oliveira Marinho - Pós-Graduação em Aba-Análise do Comportamento Aplicada 2022")</f>
        <v>Jirlalia Oliveira Marinho - Pós-Graduação em Aba-Análise do Comportamento Aplicada 2022</v>
      </c>
    </row>
    <row r="2209">
      <c r="A2209" s="390" t="str">
        <f>IFERROR(__xludf.DUMMYFUNCTION("""COMPUTED_VALUE"""),"Gilson nascimento dos Santos - #SLMF - Segunda Licenciatura em Música 1320Horas")</f>
        <v>Gilson nascimento dos Santos - #SLMF - Segunda Licenciatura em Música 1320Horas</v>
      </c>
    </row>
    <row r="2210">
      <c r="A2210" s="390" t="str">
        <f>IFERROR(__xludf.DUMMYFUNCTION("""COMPUTED_VALUE"""),"Luciene Rodrigues da Silva - RADIANTE - Pós-Graduação Alfabetização e Letramento")</f>
        <v>Luciene Rodrigues da Silva - RADIANTE - Pós-Graduação Alfabetização e Letramento</v>
      </c>
    </row>
    <row r="2211">
      <c r="A2211" s="390" t="str">
        <f>IFERROR(__xludf.DUMMYFUNCTION("""COMPUTED_VALUE"""),"Isinaldo Oliveira Do Nascimento - Pós-Graduação em Psicanálise")</f>
        <v>Isinaldo Oliveira Do Nascimento - Pós-Graduação em Psicanálise</v>
      </c>
    </row>
    <row r="2212">
      <c r="A2212" s="390" t="str">
        <f>IFERROR(__xludf.DUMMYFUNCTION("""COMPUTED_VALUE"""),"Isinaldo Oliveira Do Nascimento - Formação Livre Psicanálise")</f>
        <v>Isinaldo Oliveira Do Nascimento - Formação Livre Psicanálise</v>
      </c>
    </row>
    <row r="2213">
      <c r="A2213" s="390" t="str">
        <f>IFERROR(__xludf.DUMMYFUNCTION("""COMPUTED_VALUE"""),"Simone de Faria Cabral Vieira - Pós-Graduação em Neuropsicopedagogia Institucional, Clínica e Hospitalar 850h")</f>
        <v>Simone de Faria Cabral Vieira - Pós-Graduação em Neuropsicopedagogia Institucional, Clínica e Hospitalar 850h</v>
      </c>
    </row>
    <row r="2214">
      <c r="A2214" s="390" t="str">
        <f>IFERROR(__xludf.DUMMYFUNCTION("""COMPUTED_VALUE"""),"Humberto Rodrigues da Silva - Pós-Graduação em Enfermagem em Urgência e Emergência")</f>
        <v>Humberto Rodrigues da Silva - Pós-Graduação em Enfermagem em Urgência e Emergência</v>
      </c>
    </row>
    <row r="2215">
      <c r="A2215" s="390" t="str">
        <f>IFERROR(__xludf.DUMMYFUNCTION("""COMPUTED_VALUE"""),"JÉSSICA SANTANA SANTOS DE ALMEIDA - RADIANTE - Pós-Graduação em Enfermagem em Oncológica")</f>
        <v>JÉSSICA SANTANA SANTOS DE ALMEIDA - RADIANTE - Pós-Graduação em Enfermagem em Oncológica</v>
      </c>
    </row>
    <row r="2216">
      <c r="A2216" s="390" t="str">
        <f>IFERROR(__xludf.DUMMYFUNCTION("""COMPUTED_VALUE"""),"Sabrina Taiana Alves Dias - RADIANTE - Pós-Graduação em Enfermagem em Urgência e Emergência")</f>
        <v>Sabrina Taiana Alves Dias - RADIANTE - Pós-Graduação em Enfermagem em Urgência e Emergência</v>
      </c>
    </row>
    <row r="2217">
      <c r="A2217" s="390" t="str">
        <f>IFERROR(__xludf.DUMMYFUNCTION("""COMPUTED_VALUE"""),"Aparecida Martins Garcia Dantas - #FPUP-FORMAÇÃO PEDAGÓGICA EM PEDAGOGIA- U")</f>
        <v>Aparecida Martins Garcia Dantas - #FPUP-FORMAÇÃO PEDAGÓGICA EM PEDAGOGIA- U</v>
      </c>
    </row>
    <row r="2218">
      <c r="A2218" s="390" t="str">
        <f>IFERROR(__xludf.DUMMYFUNCTION("""COMPUTED_VALUE"""),"Beatriz de Lima Figueiredo - Pós-Graduação em Sexologia")</f>
        <v>Beatriz de Lima Figueiredo - Pós-Graduação em Sexologia</v>
      </c>
    </row>
    <row r="2219">
      <c r="A2219" s="390" t="str">
        <f>IFERROR(__xludf.DUMMYFUNCTION("""COMPUTED_VALUE"""),"Michele Amanda Ribas Rodrigues Ferreir - Pedagogia para Bacharéis")</f>
        <v>Michele Amanda Ribas Rodrigues Ferreir - Pedagogia para Bacharéis</v>
      </c>
    </row>
    <row r="2220">
      <c r="A2220" s="390" t="str">
        <f>IFERROR(__xludf.DUMMYFUNCTION("""COMPUTED_VALUE"""),"Jader Fernandes de Araujo - Formação Livre Psicanálise")</f>
        <v>Jader Fernandes de Araujo - Formação Livre Psicanálise</v>
      </c>
    </row>
    <row r="2221">
      <c r="A2221" s="390" t="str">
        <f>IFERROR(__xludf.DUMMYFUNCTION("""COMPUTED_VALUE"""),"Cleiton de Paula Oliveira - #FPEEF- Formação Pedagógica Educação Física")</f>
        <v>Cleiton de Paula Oliveira - #FPEEF- Formação Pedagógica Educação Física</v>
      </c>
    </row>
    <row r="2222">
      <c r="A2222" s="390" t="str">
        <f>IFERROR(__xludf.DUMMYFUNCTION("""COMPUTED_VALUE"""),"Cleiton de Paula Oliveira - Pós-Graduação em Educação Física Escolar e Treinamento Desportivo")</f>
        <v>Cleiton de Paula Oliveira - Pós-Graduação em Educação Física Escolar e Treinamento Desportivo</v>
      </c>
    </row>
    <row r="2223">
      <c r="A2223" s="390" t="str">
        <f>IFERROR(__xludf.DUMMYFUNCTION("""COMPUTED_VALUE"""),"Cleiton de Paula Oliveira - #FPFEF- Formação Pedagógica em Educação Física 2022")</f>
        <v>Cleiton de Paula Oliveira - #FPFEF- Formação Pedagógica em Educação Física 2022</v>
      </c>
    </row>
    <row r="2224">
      <c r="A2224" s="390" t="str">
        <f>IFERROR(__xludf.DUMMYFUNCTION("""COMPUTED_VALUE"""),"Cleiton de Paula Oliveira - Pós-Graduação em Educação Física Escolar e Treinamento Desportivo 2022")</f>
        <v>Cleiton de Paula Oliveira - Pós-Graduação em Educação Física Escolar e Treinamento Desportivo 2022</v>
      </c>
    </row>
    <row r="2225">
      <c r="A2225" s="390" t="str">
        <f>IFERROR(__xludf.DUMMYFUNCTION("""COMPUTED_VALUE"""),"Andréa Souza de Oliveira CPF: 91155746791 - Formação Livre Psicanálise")</f>
        <v>Andréa Souza de Oliveira CPF: 91155746791 - Formação Livre Psicanálise</v>
      </c>
    </row>
    <row r="2226">
      <c r="A2226" s="390" t="str">
        <f>IFERROR(__xludf.DUMMYFUNCTION("""COMPUTED_VALUE"""),"Michelle Cristina Pereira Fulgino - Formação Livre Psicanálise")</f>
        <v>Michelle Cristina Pereira Fulgino - Formação Livre Psicanálise</v>
      </c>
    </row>
    <row r="2227">
      <c r="A2227" s="390" t="str">
        <f>IFERROR(__xludf.DUMMYFUNCTION("""COMPUTED_VALUE"""),"Vandenilson Gomes da Paixão - Pós-Graduação Engenharia Elétrica")</f>
        <v>Vandenilson Gomes da Paixão - Pós-Graduação Engenharia Elétrica</v>
      </c>
    </row>
    <row r="2228">
      <c r="A2228" s="390" t="str">
        <f>IFERROR(__xludf.DUMMYFUNCTION("""COMPUTED_VALUE"""),"Vandenilson Gomes da Paixão - #FPMF- Formação Pedagógica em Música 2022")</f>
        <v>Vandenilson Gomes da Paixão - #FPMF- Formação Pedagógica em Música 2022</v>
      </c>
    </row>
    <row r="2229">
      <c r="A2229" s="390" t="str">
        <f>IFERROR(__xludf.DUMMYFUNCTION("""COMPUTED_VALUE"""),"Heloisa de Queiroz Loos - Formação Livre Psicanálise")</f>
        <v>Heloisa de Queiroz Loos - Formação Livre Psicanálise</v>
      </c>
    </row>
    <row r="2230">
      <c r="A2230" s="390" t="str">
        <f>IFERROR(__xludf.DUMMYFUNCTION("""COMPUTED_VALUE"""),"Dailson Elvis Lima Silva - #SLMF - Segunda Licenciatura em Música 1320Horas")</f>
        <v>Dailson Elvis Lima Silva - #SLMF - Segunda Licenciatura em Música 1320Horas</v>
      </c>
    </row>
    <row r="2231">
      <c r="A2231" s="390" t="str">
        <f>IFERROR(__xludf.DUMMYFUNCTION("""COMPUTED_VALUE"""),"Dailson Elvis Lima Silva - Capacitação Física")</f>
        <v>Dailson Elvis Lima Silva - Capacitação Física</v>
      </c>
    </row>
    <row r="2232">
      <c r="A2232" s="390" t="str">
        <f>IFERROR(__xludf.DUMMYFUNCTION("""COMPUTED_VALUE"""),"Raquel de Souza Nunes gomes - Capacitação em Sexologia")</f>
        <v>Raquel de Souza Nunes gomes - Capacitação em Sexologia</v>
      </c>
    </row>
    <row r="2233">
      <c r="A2233" s="390" t="str">
        <f>IFERROR(__xludf.DUMMYFUNCTION("""COMPUTED_VALUE"""),"Maria Nazare Portugal de Macedo - RADIANTE - Pós-Graduação em Braille e Libras")</f>
        <v>Maria Nazare Portugal de Macedo - RADIANTE - Pós-Graduação em Braille e Libras</v>
      </c>
    </row>
    <row r="2234">
      <c r="A2234" s="390" t="str">
        <f>IFERROR(__xludf.DUMMYFUNCTION("""COMPUTED_VALUE"""),"Soeli Vieira - Formação Livre Psicanálise")</f>
        <v>Soeli Vieira - Formação Livre Psicanálise</v>
      </c>
    </row>
    <row r="2235">
      <c r="A2235" s="390" t="str">
        <f>IFERROR(__xludf.DUMMYFUNCTION("""COMPUTED_VALUE"""),"Márcia Maria Brandão Ribeiro Silva - RADIANTE - Pós-Graduação em Enfermagem do Trabalho")</f>
        <v>Márcia Maria Brandão Ribeiro Silva - RADIANTE - Pós-Graduação em Enfermagem do Trabalho</v>
      </c>
    </row>
    <row r="2236">
      <c r="A2236" s="390" t="str">
        <f>IFERROR(__xludf.DUMMYFUNCTION("""COMPUTED_VALUE"""),"Márcia Maria Brandão Ribeiro Silva - RADIANTE - Pós-Graduação em Enfermagem em Oncológica")</f>
        <v>Márcia Maria Brandão Ribeiro Silva - RADIANTE - Pós-Graduação em Enfermagem em Oncológica</v>
      </c>
    </row>
    <row r="2237">
      <c r="A2237" s="390" t="str">
        <f>IFERROR(__xludf.DUMMYFUNCTION("""COMPUTED_VALUE"""),"Rosalves Antônio de Lima - #FPMF- Formação Pedagógica em Música 1200Horas")</f>
        <v>Rosalves Antônio de Lima - #FPMF- Formação Pedagógica em Música 1200Horas</v>
      </c>
    </row>
    <row r="2238">
      <c r="A2238" s="390" t="str">
        <f>IFERROR(__xludf.DUMMYFUNCTION("""COMPUTED_VALUE"""),"Rosalves Antônio de Lima - Pós-Graduação em Educação Musical")</f>
        <v>Rosalves Antônio de Lima - Pós-Graduação em Educação Musical</v>
      </c>
    </row>
    <row r="2239">
      <c r="A2239" s="390" t="str">
        <f>IFERROR(__xludf.DUMMYFUNCTION("""COMPUTED_VALUE"""),"Marcos Roberto Pelegrini Duarte - Formação Livre Psicanálise")</f>
        <v>Marcos Roberto Pelegrini Duarte - Formação Livre Psicanálise</v>
      </c>
    </row>
    <row r="2240">
      <c r="A2240" s="390" t="str">
        <f>IFERROR(__xludf.DUMMYFUNCTION("""COMPUTED_VALUE"""),"Rennata de Souza Orrico de Azevedo - #SLUPI - SEGUNDA LICENCIATURA EM LETRAS – PORTUGUÊS E INGLÊS")</f>
        <v>Rennata de Souza Orrico de Azevedo - #SLUPI - SEGUNDA LICENCIATURA EM LETRAS – PORTUGUÊS E INGLÊS</v>
      </c>
    </row>
    <row r="2241">
      <c r="A2241" s="390" t="str">
        <f>IFERROR(__xludf.DUMMYFUNCTION("""COMPUTED_VALUE"""),"Lydian Rodrigues dos Santos Costa - RADIANTE - Pós-Graduação Neurociência e Aprendizagem")</f>
        <v>Lydian Rodrigues dos Santos Costa - RADIANTE - Pós-Graduação Neurociência e Aprendizagem</v>
      </c>
    </row>
    <row r="2242">
      <c r="A2242" s="390" t="str">
        <f>IFERROR(__xludf.DUMMYFUNCTION("""COMPUTED_VALUE"""),"Elaine Meza Ortiz Schulte Rocha - Pós-Graduação Educação Especial e Inclusiva")</f>
        <v>Elaine Meza Ortiz Schulte Rocha - Pós-Graduação Educação Especial e Inclusiva</v>
      </c>
    </row>
    <row r="2243">
      <c r="A2243" s="390" t="str">
        <f>IFERROR(__xludf.DUMMYFUNCTION("""COMPUTED_VALUE"""),"Mayara de souza silva - Formação pedagógica Letras - Português")</f>
        <v>Mayara de souza silva - Formação pedagógica Letras - Português</v>
      </c>
    </row>
    <row r="2244">
      <c r="A2244" s="390" t="str">
        <f>IFERROR(__xludf.DUMMYFUNCTION("""COMPUTED_VALUE"""),"Douglas Damião Silva dos Santos - #SLPA- Segunda Licenciatura em Pedagogia 01")</f>
        <v>Douglas Damião Silva dos Santos - #SLPA- Segunda Licenciatura em Pedagogia 01</v>
      </c>
    </row>
    <row r="2245">
      <c r="A2245" s="390" t="str">
        <f>IFERROR(__xludf.DUMMYFUNCTION("""COMPUTED_VALUE"""),"João Vieira Silva - #SLMF - Segunda Licenciatura em Música 1320Horas")</f>
        <v>João Vieira Silva - #SLMF - Segunda Licenciatura em Música 1320Horas</v>
      </c>
    </row>
    <row r="2246">
      <c r="A2246" s="390" t="str">
        <f>IFERROR(__xludf.DUMMYFUNCTION("""COMPUTED_VALUE"""),"João Vieira Silva - Pós-Graduação em Educação Musical-2022")</f>
        <v>João Vieira Silva - Pós-Graduação em Educação Musical-2022</v>
      </c>
    </row>
    <row r="2247">
      <c r="A2247" s="390" t="str">
        <f>IFERROR(__xludf.DUMMYFUNCTION("""COMPUTED_VALUE"""),"Eliane Aparecida Bassotto - Formação Livre Psicanálise")</f>
        <v>Eliane Aparecida Bassotto - Formação Livre Psicanálise</v>
      </c>
    </row>
    <row r="2248">
      <c r="A2248" s="390" t="str">
        <f>IFERROR(__xludf.DUMMYFUNCTION("""COMPUTED_VALUE"""),"Welida Almeida Juliao - Pós-Graduação em Psicanálise")</f>
        <v>Welida Almeida Juliao - Pós-Graduação em Psicanálise</v>
      </c>
    </row>
    <row r="2249">
      <c r="A2249" s="390" t="str">
        <f>IFERROR(__xludf.DUMMYFUNCTION("""COMPUTED_VALUE"""),"Welida Almeida Juliao - NOVO-Pós-Graduação em Psicanálise 800 Horas")</f>
        <v>Welida Almeida Juliao - NOVO-Pós-Graduação em Psicanálise 800 Horas</v>
      </c>
    </row>
    <row r="2250">
      <c r="A2250" s="390" t="str">
        <f>IFERROR(__xludf.DUMMYFUNCTION("""COMPUTED_VALUE"""),"Tanziana da Silva Arcos - Pós-Graduação História da Arte")</f>
        <v>Tanziana da Silva Arcos - Pós-Graduação História da Arte</v>
      </c>
    </row>
    <row r="2251">
      <c r="A2251" s="390" t="str">
        <f>IFERROR(__xludf.DUMMYFUNCTION("""COMPUTED_VALUE"""),"Tanziana da Silva Arcos - Pós-Graduação em História e Fundamentos da Filosofia")</f>
        <v>Tanziana da Silva Arcos - Pós-Graduação em História e Fundamentos da Filosofia</v>
      </c>
    </row>
    <row r="2252">
      <c r="A2252" s="390" t="str">
        <f>IFERROR(__xludf.DUMMYFUNCTION("""COMPUTED_VALUE"""),"Tanziana da Silva Arcos - Pós-Graduação em História da Arte-2022")</f>
        <v>Tanziana da Silva Arcos - Pós-Graduação em História da Arte-2022</v>
      </c>
    </row>
    <row r="2253">
      <c r="A2253" s="390" t="str">
        <f>IFERROR(__xludf.DUMMYFUNCTION("""COMPUTED_VALUE"""),"Tanziana da Silva Arcos - PÓS-GRADUAÇÃO EM HISTÓRIA E FUNDAMENTOS DA FILOSOFIA(jacad)")</f>
        <v>Tanziana da Silva Arcos - PÓS-GRADUAÇÃO EM HISTÓRIA E FUNDAMENTOS DA FILOSOFIA(jacad)</v>
      </c>
    </row>
    <row r="2254">
      <c r="A2254" s="390" t="str">
        <f>IFERROR(__xludf.DUMMYFUNCTION("""COMPUTED_VALUE"""),"Pedro Fernando Pereira Neves - Formação Pedagógica História")</f>
        <v>Pedro Fernando Pereira Neves - Formação Pedagógica História</v>
      </c>
    </row>
    <row r="2255">
      <c r="A2255" s="390" t="str">
        <f>IFERROR(__xludf.DUMMYFUNCTION("""COMPUTED_VALUE"""),"Pedro Fernando Pereira Neves - Formação Pedagógica História")</f>
        <v>Pedro Fernando Pereira Neves - Formação Pedagógica História</v>
      </c>
    </row>
    <row r="2256">
      <c r="A2256" s="390" t="str">
        <f>IFERROR(__xludf.DUMMYFUNCTION("""COMPUTED_VALUE"""),"Pedro Fernando Pereira Neves - Formação Pedagógica História")</f>
        <v>Pedro Fernando Pereira Neves - Formação Pedagógica História</v>
      </c>
    </row>
    <row r="2257">
      <c r="A2257" s="390" t="str">
        <f>IFERROR(__xludf.DUMMYFUNCTION("""COMPUTED_VALUE"""),"Pedro Fernando Pereira Neves - Práticas Pedagógicas")</f>
        <v>Pedro Fernando Pereira Neves - Práticas Pedagógicas</v>
      </c>
    </row>
    <row r="2258">
      <c r="A2258" s="390" t="str">
        <f>IFERROR(__xludf.DUMMYFUNCTION("""COMPUTED_VALUE"""),"Camila Rodrigues Quemel - #SLPA- Segunda Licenciatura em Pedagogia 01")</f>
        <v>Camila Rodrigues Quemel - #SLPA- Segunda Licenciatura em Pedagogia 01</v>
      </c>
    </row>
    <row r="2259">
      <c r="A2259" s="390" t="str">
        <f>IFERROR(__xludf.DUMMYFUNCTION("""COMPUTED_VALUE"""),"Camila Rodrigues Quemel - Pós-Graduação Meio Ambiente, Auditoria e Perícia Ambiental")</f>
        <v>Camila Rodrigues Quemel - Pós-Graduação Meio Ambiente, Auditoria e Perícia Ambiental</v>
      </c>
    </row>
    <row r="2260">
      <c r="A2260" s="390" t="str">
        <f>IFERROR(__xludf.DUMMYFUNCTION("""COMPUTED_VALUE"""),"Pedro Fernando Pereira Neves - Formação Pedagógica História")</f>
        <v>Pedro Fernando Pereira Neves - Formação Pedagógica História</v>
      </c>
    </row>
    <row r="2261">
      <c r="A2261" s="390" t="str">
        <f>IFERROR(__xludf.DUMMYFUNCTION("""COMPUTED_VALUE"""),"Patricia Debora da Silva - Formação Livre Psicanálise")</f>
        <v>Patricia Debora da Silva - Formação Livre Psicanálise</v>
      </c>
    </row>
    <row r="2262">
      <c r="A2262" s="390" t="str">
        <f>IFERROR(__xludf.DUMMYFUNCTION("""COMPUTED_VALUE"""),"Edineusa Sales Moura - #FPP- Formação Pedagógica em Pedagogia R2")</f>
        <v>Edineusa Sales Moura - #FPP- Formação Pedagógica em Pedagogia R2</v>
      </c>
    </row>
    <row r="2263">
      <c r="A2263" s="390" t="str">
        <f>IFERROR(__xludf.DUMMYFUNCTION("""COMPUTED_VALUE"""),"Edineusa Sales Moura - Pós-Graduação em Educação Inclusiva e Diversidade")</f>
        <v>Edineusa Sales Moura - Pós-Graduação em Educação Inclusiva e Diversidade</v>
      </c>
    </row>
    <row r="2264">
      <c r="A2264" s="390" t="str">
        <f>IFERROR(__xludf.DUMMYFUNCTION("""COMPUTED_VALUE"""),"Pedro Fernando Pereira Neves - Formação Pedagógica História")</f>
        <v>Pedro Fernando Pereira Neves - Formação Pedagógica História</v>
      </c>
    </row>
    <row r="2265">
      <c r="A2265" s="390" t="str">
        <f>IFERROR(__xludf.DUMMYFUNCTION("""COMPUTED_VALUE"""),"Solange Margarete dos Santos - #SLPA- Segunda Licenciatura em Pedagogia 01")</f>
        <v>Solange Margarete dos Santos - #SLPA- Segunda Licenciatura em Pedagogia 01</v>
      </c>
    </row>
    <row r="2266">
      <c r="A2266" s="390" t="str">
        <f>IFERROR(__xludf.DUMMYFUNCTION("""COMPUTED_VALUE"""),"Marines Da Silva Reis - Formação Livre Psicanálise")</f>
        <v>Marines Da Silva Reis - Formação Livre Psicanálise</v>
      </c>
    </row>
    <row r="2267">
      <c r="A2267" s="390" t="str">
        <f>IFERROR(__xludf.DUMMYFUNCTION("""COMPUTED_VALUE"""),"Joleide Carmen Pezzenatto - Pós-Graduação em Sexologia")</f>
        <v>Joleide Carmen Pezzenatto - Pós-Graduação em Sexologia</v>
      </c>
    </row>
    <row r="2268">
      <c r="A2268" s="390" t="str">
        <f>IFERROR(__xludf.DUMMYFUNCTION("""COMPUTED_VALUE"""),"MARIA JOSÉ BEZERRA LIMA - Pós-Graduação em Saúde Mental com Ênfase em Dependência Química")</f>
        <v>MARIA JOSÉ BEZERRA LIMA - Pós-Graduação em Saúde Mental com Ênfase em Dependência Química</v>
      </c>
    </row>
    <row r="2269">
      <c r="A2269" s="390" t="str">
        <f>IFERROR(__xludf.DUMMYFUNCTION("""COMPUTED_VALUE"""),"JUSCILENE CASTRO DE OLIVEIRA - #FPUP-FORMAÇÃO PEDAGÓGICA EM PEDAGOGIA- U")</f>
        <v>JUSCILENE CASTRO DE OLIVEIRA - #FPUP-FORMAÇÃO PEDAGÓGICA EM PEDAGOGIA- U</v>
      </c>
    </row>
    <row r="2270">
      <c r="A2270" s="390" t="str">
        <f>IFERROR(__xludf.DUMMYFUNCTION("""COMPUTED_VALUE"""),"Debora Gonçalves de Araujo Ruschel - Pós-Graduação em Sexologia")</f>
        <v>Debora Gonçalves de Araujo Ruschel - Pós-Graduação em Sexologia</v>
      </c>
    </row>
    <row r="2271">
      <c r="A2271" s="390" t="str">
        <f>IFERROR(__xludf.DUMMYFUNCTION("""COMPUTED_VALUE"""),"Adenilde Rodrigues Paulo Pinto - Pós-Graduação em Sexologia")</f>
        <v>Adenilde Rodrigues Paulo Pinto - Pós-Graduação em Sexologia</v>
      </c>
    </row>
    <row r="2272">
      <c r="A2272" s="390" t="str">
        <f>IFERROR(__xludf.DUMMYFUNCTION("""COMPUTED_VALUE"""),"Robério da Silva Cruz - Pós-Graduação Educação Especial e Inclusiva")</f>
        <v>Robério da Silva Cruz - Pós-Graduação Educação Especial e Inclusiva</v>
      </c>
    </row>
    <row r="2273">
      <c r="A2273" s="390" t="str">
        <f>IFERROR(__xludf.DUMMYFUNCTION("""COMPUTED_VALUE"""),"Robério da Silva Cruz - Pós-Graduação em Gestão Educacional")</f>
        <v>Robério da Silva Cruz - Pós-Graduação em Gestão Educacional</v>
      </c>
    </row>
    <row r="2274">
      <c r="A2274" s="390" t="str">
        <f>IFERROR(__xludf.DUMMYFUNCTION("""COMPUTED_VALUE"""),"Lisandra Assunção Jorge - #SLUEF - Segunda Licenciatura em Educação Física")</f>
        <v>Lisandra Assunção Jorge - #SLUEF - Segunda Licenciatura em Educação Física</v>
      </c>
    </row>
    <row r="2275">
      <c r="A2275" s="390" t="str">
        <f>IFERROR(__xludf.DUMMYFUNCTION("""COMPUTED_VALUE"""),"JAKELINE DE LIMA ALBUQUERQUE DA SILVA - #FPP- Formação Pedagógica em Pedagogia R2")</f>
        <v>JAKELINE DE LIMA ALBUQUERQUE DA SILVA - #FPP- Formação Pedagógica em Pedagogia R2</v>
      </c>
    </row>
    <row r="2276">
      <c r="A2276" s="390" t="str">
        <f>IFERROR(__xludf.DUMMYFUNCTION("""COMPUTED_VALUE"""),"Rodrigo de Paula Rodrigues - #SLPA- Segunda Licenciatura em Pedagogia 01")</f>
        <v>Rodrigo de Paula Rodrigues - #SLPA- Segunda Licenciatura em Pedagogia 01</v>
      </c>
    </row>
    <row r="2277">
      <c r="A2277" s="390" t="str">
        <f>IFERROR(__xludf.DUMMYFUNCTION("""COMPUTED_VALUE"""),"Rodrigo de Paula Rodrigues - Pós-Graduação em Metodologia do Ensino da Matemática")</f>
        <v>Rodrigo de Paula Rodrigues - Pós-Graduação em Metodologia do Ensino da Matemática</v>
      </c>
    </row>
    <row r="2278">
      <c r="A2278" s="390" t="str">
        <f>IFERROR(__xludf.DUMMYFUNCTION("""COMPUTED_VALUE"""),"Selma de Oliveira - Pós-Graduação em Saúde Mental com Ênfase em Dependência Química")</f>
        <v>Selma de Oliveira - Pós-Graduação em Saúde Mental com Ênfase em Dependência Química</v>
      </c>
    </row>
    <row r="2279">
      <c r="A2279" s="390" t="str">
        <f>IFERROR(__xludf.DUMMYFUNCTION("""COMPUTED_VALUE"""),"Maria da Conceição Pereira - #SLHA - Segunda Licenciatura em História")</f>
        <v>Maria da Conceição Pereira - #SLHA - Segunda Licenciatura em História</v>
      </c>
    </row>
    <row r="2280">
      <c r="A2280" s="390" t="str">
        <f>IFERROR(__xludf.DUMMYFUNCTION("""COMPUTED_VALUE"""),"Hugo Alexandre da Silva Resende - NOVO-Pós-Graduação em Psicanálise 800 Horas")</f>
        <v>Hugo Alexandre da Silva Resende - NOVO-Pós-Graduação em Psicanálise 800 Horas</v>
      </c>
    </row>
    <row r="2281">
      <c r="A2281" s="390" t="str">
        <f>IFERROR(__xludf.DUMMYFUNCTION("""COMPUTED_VALUE"""),"Kelley Adriana Lopes Martins - #FPUP-FORMAÇÃO PEDAGÓGICA EM PEDAGOGIA- U")</f>
        <v>Kelley Adriana Lopes Martins - #FPUP-FORMAÇÃO PEDAGÓGICA EM PEDAGOGIA- U</v>
      </c>
    </row>
    <row r="2282">
      <c r="A2282" s="390" t="str">
        <f>IFERROR(__xludf.DUMMYFUNCTION("""COMPUTED_VALUE"""),"Kelley Adriana Lopes Martins - Pós-Graduação Educação Especial e Inclusiva")</f>
        <v>Kelley Adriana Lopes Martins - Pós-Graduação Educação Especial e Inclusiva</v>
      </c>
    </row>
    <row r="2283">
      <c r="A2283" s="390" t="str">
        <f>IFERROR(__xludf.DUMMYFUNCTION("""COMPUTED_VALUE"""),"Juliana Machado Lulo - Pós-Graduação em Psicanálise")</f>
        <v>Juliana Machado Lulo - Pós-Graduação em Psicanálise</v>
      </c>
    </row>
    <row r="2284">
      <c r="A2284" s="390" t="str">
        <f>IFERROR(__xludf.DUMMYFUNCTION("""COMPUTED_VALUE"""),"Juliana Machado Lulo - Pós-Graduação em Psicanálise")</f>
        <v>Juliana Machado Lulo - Pós-Graduação em Psicanálise</v>
      </c>
    </row>
    <row r="2285">
      <c r="A2285" s="390" t="str">
        <f>IFERROR(__xludf.DUMMYFUNCTION("""COMPUTED_VALUE"""),"Juliana Machado Lulo - Pós-Graduação em Coordenação e Orientação Escolar")</f>
        <v>Juliana Machado Lulo - Pós-Graduação em Coordenação e Orientação Escolar</v>
      </c>
    </row>
    <row r="2286">
      <c r="A2286" s="390" t="str">
        <f>IFERROR(__xludf.DUMMYFUNCTION("""COMPUTED_VALUE"""),"Bianca Alves Freire - Pós-Graduação em Psicanálise")</f>
        <v>Bianca Alves Freire - Pós-Graduação em Psicanálise</v>
      </c>
    </row>
    <row r="2287">
      <c r="A2287" s="390" t="str">
        <f>IFERROR(__xludf.DUMMYFUNCTION("""COMPUTED_VALUE"""),"Bianca Alves Freire - Formação Livre Psicanálise")</f>
        <v>Bianca Alves Freire - Formação Livre Psicanálise</v>
      </c>
    </row>
    <row r="2288">
      <c r="A2288" s="390" t="str">
        <f>IFERROR(__xludf.DUMMYFUNCTION("""COMPUTED_VALUE"""),"Rosimeire Ferreira Merval Silva - Pós-Graduação em Terapia em ABA- Análise do Comportamento Aplicada")</f>
        <v>Rosimeire Ferreira Merval Silva - Pós-Graduação em Terapia em ABA- Análise do Comportamento Aplicada</v>
      </c>
    </row>
    <row r="2289">
      <c r="A2289" s="390" t="str">
        <f>IFERROR(__xludf.DUMMYFUNCTION("""COMPUTED_VALUE"""),"Hercules Martins Dias da Rocha - Pós-Graduação em Engenharia de Segurança do Trabalho")</f>
        <v>Hercules Martins Dias da Rocha - Pós-Graduação em Engenharia de Segurança do Trabalho</v>
      </c>
    </row>
    <row r="2290">
      <c r="A2290" s="390" t="str">
        <f>IFERROR(__xludf.DUMMYFUNCTION("""COMPUTED_VALUE"""),"Julio Cesar Torres Junior - #SLPA- Segunda Licenciatura em Pedagogia 01")</f>
        <v>Julio Cesar Torres Junior - #SLPA- Segunda Licenciatura em Pedagogia 01</v>
      </c>
    </row>
    <row r="2291">
      <c r="A2291" s="390" t="str">
        <f>IFERROR(__xludf.DUMMYFUNCTION("""COMPUTED_VALUE"""),"Tayane de Lima - Pós-Graduação em Terapia Ocupacional Aplicada à Neurologia")</f>
        <v>Tayane de Lima - Pós-Graduação em Terapia Ocupacional Aplicada à Neurologia</v>
      </c>
    </row>
    <row r="2292">
      <c r="A2292" s="390" t="str">
        <f>IFERROR(__xludf.DUMMYFUNCTION("""COMPUTED_VALUE"""),"Elisandro de Almeida Vidotto - Pós-Graduação em Engenharia de Segurança do Trabalho")</f>
        <v>Elisandro de Almeida Vidotto - Pós-Graduação em Engenharia de Segurança do Trabalho</v>
      </c>
    </row>
    <row r="2293">
      <c r="A2293" s="390" t="str">
        <f>IFERROR(__xludf.DUMMYFUNCTION("""COMPUTED_VALUE"""),"Cláudia Corrêa - Pós-Graduação em Educação Infantil")</f>
        <v>Cláudia Corrêa - Pós-Graduação em Educação Infantil</v>
      </c>
    </row>
    <row r="2294">
      <c r="A2294" s="390" t="str">
        <f>IFERROR(__xludf.DUMMYFUNCTION("""COMPUTED_VALUE"""),"Cláudia Corrêa - Pós-Graduação Educação Especial e Inclusiva")</f>
        <v>Cláudia Corrêa - Pós-Graduação Educação Especial e Inclusiva</v>
      </c>
    </row>
    <row r="2295">
      <c r="A2295" s="390" t="str">
        <f>IFERROR(__xludf.DUMMYFUNCTION("""COMPUTED_VALUE"""),"Cláudia Corrêa - Pós-Graduação Educação Especial e Inclusiva (Radiante)")</f>
        <v>Cláudia Corrêa - Pós-Graduação Educação Especial e Inclusiva (Radiante)</v>
      </c>
    </row>
    <row r="2296">
      <c r="A2296" s="390" t="str">
        <f>IFERROR(__xludf.DUMMYFUNCTION("""COMPUTED_VALUE"""),"Raimunda da Silva Santos - RADIANTE - Pós-Graduação Alfabetização e Letramento")</f>
        <v>Raimunda da Silva Santos - RADIANTE - Pós-Graduação Alfabetização e Letramento</v>
      </c>
    </row>
    <row r="2297">
      <c r="A2297" s="390" t="str">
        <f>IFERROR(__xludf.DUMMYFUNCTION("""COMPUTED_VALUE"""),"Raimunda da Silva Santos - RADIANTE - Pós-Graduação em Psicopedagogia Institucional e Clínica 710Horas")</f>
        <v>Raimunda da Silva Santos - RADIANTE - Pós-Graduação em Psicopedagogia Institucional e Clínica 710Horas</v>
      </c>
    </row>
    <row r="2298">
      <c r="A2298" s="390" t="str">
        <f>IFERROR(__xludf.DUMMYFUNCTION("""COMPUTED_VALUE"""),"Jakson Silva Santos - Pós-Graduação em Letramento e Produção de Textos para o Ensino Médio 2022")</f>
        <v>Jakson Silva Santos - Pós-Graduação em Letramento e Produção de Textos para o Ensino Médio 2022</v>
      </c>
    </row>
    <row r="2299">
      <c r="A2299" s="390" t="str">
        <f>IFERROR(__xludf.DUMMYFUNCTION("""COMPUTED_VALUE"""),"Jakson Silva Santos - #FPULPI- Formação Pedagógica em Letras – Português e Inglês")</f>
        <v>Jakson Silva Santos - #FPULPI- Formação Pedagógica em Letras – Português e Inglês</v>
      </c>
    </row>
    <row r="2300">
      <c r="A2300" s="390" t="str">
        <f>IFERROR(__xludf.DUMMYFUNCTION("""COMPUTED_VALUE"""),"Jakson Silva Santos - Formação pedagógica Letras - Português")</f>
        <v>Jakson Silva Santos - Formação pedagógica Letras - Português</v>
      </c>
    </row>
    <row r="2301">
      <c r="A2301" s="390" t="str">
        <f>IFERROR(__xludf.DUMMYFUNCTION("""COMPUTED_VALUE"""),"Jakson Silva Santos - #FPLP- Formação Pedagógica em Letras/Português 850Horas")</f>
        <v>Jakson Silva Santos - #FPLP- Formação Pedagógica em Letras/Português 850Horas</v>
      </c>
    </row>
    <row r="2302">
      <c r="A2302" s="390" t="str">
        <f>IFERROR(__xludf.DUMMYFUNCTION("""COMPUTED_VALUE"""),"Antonio Henrique dos Santos - Pós-Graduação em Terapia Familíar")</f>
        <v>Antonio Henrique dos Santos - Pós-Graduação em Terapia Familíar</v>
      </c>
    </row>
    <row r="2303">
      <c r="A2303" s="390" t="str">
        <f>IFERROR(__xludf.DUMMYFUNCTION("""COMPUTED_VALUE"""),"Antonio Henrique dos Santos - Pós-Graduação em Psicanálise")</f>
        <v>Antonio Henrique dos Santos - Pós-Graduação em Psicanálise</v>
      </c>
    </row>
    <row r="2304">
      <c r="A2304" s="390" t="str">
        <f>IFERROR(__xludf.DUMMYFUNCTION("""COMPUTED_VALUE"""),"Antonio Henrique dos Santos - NOVO-Pós-Graduação em Psicanálise 800 Horas")</f>
        <v>Antonio Henrique dos Santos - NOVO-Pós-Graduação em Psicanálise 800 Horas</v>
      </c>
    </row>
    <row r="2305">
      <c r="A2305" s="390" t="str">
        <f>IFERROR(__xludf.DUMMYFUNCTION("""COMPUTED_VALUE"""),"Maria Aparecida Brandao silva - Formação Livre Psicanálise")</f>
        <v>Maria Aparecida Brandao silva - Formação Livre Psicanálise</v>
      </c>
    </row>
    <row r="2306">
      <c r="A2306" s="390" t="str">
        <f>IFERROR(__xludf.DUMMYFUNCTION("""COMPUTED_VALUE"""),"Ketlyn Aparecida da Silva Mendes - #SLPA- Segunda Licenciatura em Pedagogia 01")</f>
        <v>Ketlyn Aparecida da Silva Mendes - #SLPA- Segunda Licenciatura em Pedagogia 01</v>
      </c>
    </row>
    <row r="2307">
      <c r="A2307" s="390" t="str">
        <f>IFERROR(__xludf.DUMMYFUNCTION("""COMPUTED_VALUE"""),"Ketlyn Aparecida da Silva Mendes - Pós-Graduação em Psicanálise")</f>
        <v>Ketlyn Aparecida da Silva Mendes - Pós-Graduação em Psicanálise</v>
      </c>
    </row>
    <row r="2308">
      <c r="A2308" s="390" t="str">
        <f>IFERROR(__xludf.DUMMYFUNCTION("""COMPUTED_VALUE"""),"Ketlyn Aparecida da Silva Mendes - Pós-Graduação Psicopedagogia Clínica, Institucional e Hospitalar")</f>
        <v>Ketlyn Aparecida da Silva Mendes - Pós-Graduação Psicopedagogia Clínica, Institucional e Hospitalar</v>
      </c>
    </row>
    <row r="2309">
      <c r="A2309" s="390" t="str">
        <f>IFERROR(__xludf.DUMMYFUNCTION("""COMPUTED_VALUE"""),"Geovania Alves Toledo - Pedagogia para Bacharéis")</f>
        <v>Geovania Alves Toledo - Pedagogia para Bacharéis</v>
      </c>
    </row>
    <row r="2310">
      <c r="A2310" s="390" t="str">
        <f>IFERROR(__xludf.DUMMYFUNCTION("""COMPUTED_VALUE"""),"Carlos Cleber Borges Silva - #SLMF - Segunda Licenciatura em Música 1320Horas")</f>
        <v>Carlos Cleber Borges Silva - #SLMF - Segunda Licenciatura em Música 1320Horas</v>
      </c>
    </row>
    <row r="2311">
      <c r="A2311" s="390" t="str">
        <f>IFERROR(__xludf.DUMMYFUNCTION("""COMPUTED_VALUE"""),"Carlos Cleber Borges Silva - #SLMF- Segunda Licenciatura em Música 2022 880Horas")</f>
        <v>Carlos Cleber Borges Silva - #SLMF- Segunda Licenciatura em Música 2022 880Horas</v>
      </c>
    </row>
    <row r="2312">
      <c r="A2312" s="390" t="str">
        <f>IFERROR(__xludf.DUMMYFUNCTION("""COMPUTED_VALUE"""),"Jéssica Nazareth Lanzelotti - Pós-Graduação em Psicologia Clínica")</f>
        <v>Jéssica Nazareth Lanzelotti - Pós-Graduação em Psicologia Clínica</v>
      </c>
    </row>
    <row r="2313">
      <c r="A2313" s="390" t="str">
        <f>IFERROR(__xludf.DUMMYFUNCTION("""COMPUTED_VALUE"""),"Jéssica Nazareth Lanzelotti - Pós-Graduação em Arbitragem e Mediação de Conflitos")</f>
        <v>Jéssica Nazareth Lanzelotti - Pós-Graduação em Arbitragem e Mediação de Conflitos</v>
      </c>
    </row>
    <row r="2314">
      <c r="A2314" s="390" t="str">
        <f>IFERROR(__xludf.DUMMYFUNCTION("""COMPUTED_VALUE"""),"Edna Tania Lopes da Silva - #SLPA- Segunda Licenciatura em Pedagogia 01")</f>
        <v>Edna Tania Lopes da Silva - #SLPA- Segunda Licenciatura em Pedagogia 01</v>
      </c>
    </row>
    <row r="2315">
      <c r="A2315" s="390" t="str">
        <f>IFERROR(__xludf.DUMMYFUNCTION("""COMPUTED_VALUE"""),"Maria Dos Remedios Gomes Duarte - Formação Livre Psicanálise")</f>
        <v>Maria Dos Remedios Gomes Duarte - Formação Livre Psicanálise</v>
      </c>
    </row>
    <row r="2316">
      <c r="A2316" s="390" t="str">
        <f>IFERROR(__xludf.DUMMYFUNCTION("""COMPUTED_VALUE"""),"Arissérgio de Melo - #SLMF - Segunda Licenciatura em Música 1320Horas")</f>
        <v>Arissérgio de Melo - #SLMF - Segunda Licenciatura em Música 1320Horas</v>
      </c>
    </row>
    <row r="2317">
      <c r="A2317" s="390" t="str">
        <f>IFERROR(__xludf.DUMMYFUNCTION("""COMPUTED_VALUE"""),"Diana Maria Farias Pessoa - Pedagogia para Bacharéis")</f>
        <v>Diana Maria Farias Pessoa - Pedagogia para Bacharéis</v>
      </c>
    </row>
    <row r="2318">
      <c r="A2318" s="390" t="str">
        <f>IFERROR(__xludf.DUMMYFUNCTION("""COMPUTED_VALUE"""),"Diana Maria Farias Pessoa - Pedagogia para Bacharéis")</f>
        <v>Diana Maria Farias Pessoa - Pedagogia para Bacharéis</v>
      </c>
    </row>
    <row r="2319">
      <c r="A2319" s="390" t="str">
        <f>IFERROR(__xludf.DUMMYFUNCTION("""COMPUTED_VALUE"""),"Diana Maria Farias Pessoa - Pedagogia para Bacharéis")</f>
        <v>Diana Maria Farias Pessoa - Pedagogia para Bacharéis</v>
      </c>
    </row>
    <row r="2320">
      <c r="A2320" s="390" t="str">
        <f>IFERROR(__xludf.DUMMYFUNCTION("""COMPUTED_VALUE"""),"Diana Maria Farias Pessoa - Pedagogia para Bacharéis")</f>
        <v>Diana Maria Farias Pessoa - Pedagogia para Bacharéis</v>
      </c>
    </row>
    <row r="2321">
      <c r="A2321" s="390" t="str">
        <f>IFERROR(__xludf.DUMMYFUNCTION("""COMPUTED_VALUE"""),"Regiane Maria da Silveira Maciel - Pedagogia para Bacharéis")</f>
        <v>Regiane Maria da Silveira Maciel - Pedagogia para Bacharéis</v>
      </c>
    </row>
    <row r="2322">
      <c r="A2322" s="390" t="str">
        <f>IFERROR(__xludf.DUMMYFUNCTION("""COMPUTED_VALUE"""),"Regiane Maria da Silveira Maciel - #FPT1-Pedagogia para Bacharéis e Tecnólogos (2022)")</f>
        <v>Regiane Maria da Silveira Maciel - #FPT1-Pedagogia para Bacharéis e Tecnólogos (2022)</v>
      </c>
    </row>
    <row r="2323">
      <c r="A2323" s="390" t="str">
        <f>IFERROR(__xludf.DUMMYFUNCTION("""COMPUTED_VALUE"""),"Roselaine Riambau Pardo de Souza - Pós-Graduação Metodologia Do Ensino de Sociologia")</f>
        <v>Roselaine Riambau Pardo de Souza - Pós-Graduação Metodologia Do Ensino de Sociologia</v>
      </c>
    </row>
    <row r="2324">
      <c r="A2324" s="390" t="str">
        <f>IFERROR(__xludf.DUMMYFUNCTION("""COMPUTED_VALUE"""),"Alexandre Tadeu de Barros - Pós-Graduação em Psicanálise")</f>
        <v>Alexandre Tadeu de Barros - Pós-Graduação em Psicanálise</v>
      </c>
    </row>
    <row r="2325">
      <c r="A2325" s="390" t="str">
        <f>IFERROR(__xludf.DUMMYFUNCTION("""COMPUTED_VALUE"""),"Alexandre Tadeu de Barros - NOVO-Pós-Graduação em Psicanálise 800 Horas")</f>
        <v>Alexandre Tadeu de Barros - NOVO-Pós-Graduação em Psicanálise 800 Horas</v>
      </c>
    </row>
    <row r="2326">
      <c r="A2326" s="390" t="str">
        <f>IFERROR(__xludf.DUMMYFUNCTION("""COMPUTED_VALUE"""),"Danilo De Moura Davi - #SLMF - Segunda Licenciatura em Música 1320Horas")</f>
        <v>Danilo De Moura Davi - #SLMF - Segunda Licenciatura em Música 1320Horas</v>
      </c>
    </row>
    <row r="2327">
      <c r="A2327" s="390" t="str">
        <f>IFERROR(__xludf.DUMMYFUNCTION("""COMPUTED_VALUE"""),"Danilo De Moura Davi - Pós-Graduação em Ensino de Artes")</f>
        <v>Danilo De Moura Davi - Pós-Graduação em Ensino de Artes</v>
      </c>
    </row>
    <row r="2328">
      <c r="A2328" s="390" t="str">
        <f>IFERROR(__xludf.DUMMYFUNCTION("""COMPUTED_VALUE"""),"Simone Da Silva Barros Fialho - #SLPA- Segunda Licenciatura em Pedagogia 01")</f>
        <v>Simone Da Silva Barros Fialho - #SLPA- Segunda Licenciatura em Pedagogia 01</v>
      </c>
    </row>
    <row r="2329">
      <c r="A2329" s="390" t="str">
        <f>IFERROR(__xludf.DUMMYFUNCTION("""COMPUTED_VALUE"""),"Carla Fernandes Cecchin - Práticas Pedagógicas")</f>
        <v>Carla Fernandes Cecchin - Práticas Pedagógicas</v>
      </c>
    </row>
    <row r="2330">
      <c r="A2330" s="390" t="str">
        <f>IFERROR(__xludf.DUMMYFUNCTION("""COMPUTED_VALUE"""),"Carla Fernandes Cecchin - #SLPA- Segunda Licenciatura em Pedagogia 01")</f>
        <v>Carla Fernandes Cecchin - #SLPA- Segunda Licenciatura em Pedagogia 01</v>
      </c>
    </row>
    <row r="2331">
      <c r="A2331" s="390" t="str">
        <f>IFERROR(__xludf.DUMMYFUNCTION("""COMPUTED_VALUE"""),"Daniela Franco Monteiro - Práticas Pedagógicas")</f>
        <v>Daniela Franco Monteiro - Práticas Pedagógicas</v>
      </c>
    </row>
    <row r="2332">
      <c r="A2332" s="390" t="str">
        <f>IFERROR(__xludf.DUMMYFUNCTION("""COMPUTED_VALUE"""),"Daniela Franco Monteiro - FORMAÇÃO PEDAGÓGICA EM CIÊNCIAS DA RELIGIÃO- U")</f>
        <v>Daniela Franco Monteiro - FORMAÇÃO PEDAGÓGICA EM CIÊNCIAS DA RELIGIÃO- U</v>
      </c>
    </row>
    <row r="2333">
      <c r="A2333" s="390" t="str">
        <f>IFERROR(__xludf.DUMMYFUNCTION("""COMPUTED_VALUE"""),"Daniela Franco Monteiro - Formação Pedagógica em Ciências Sociais")</f>
        <v>Daniela Franco Monteiro - Formação Pedagógica em Ciências Sociais</v>
      </c>
    </row>
    <row r="2334">
      <c r="A2334" s="390" t="str">
        <f>IFERROR(__xludf.DUMMYFUNCTION("""COMPUTED_VALUE"""),"Josicleide da Silva Lins - RADIANTE - Pós-Graduação em Terapia em ABA- Análise do Comportamento Aplicada")</f>
        <v>Josicleide da Silva Lins - RADIANTE - Pós-Graduação em Terapia em ABA- Análise do Comportamento Aplicada</v>
      </c>
    </row>
    <row r="2335">
      <c r="A2335" s="390" t="str">
        <f>IFERROR(__xludf.DUMMYFUNCTION("""COMPUTED_VALUE"""),"Josicleide da Silva Lins - RADIANTE - Pós-Graduação em Psicanálise")</f>
        <v>Josicleide da Silva Lins - RADIANTE - Pós-Graduação em Psicanálise</v>
      </c>
    </row>
    <row r="2336">
      <c r="A2336" s="390" t="str">
        <f>IFERROR(__xludf.DUMMYFUNCTION("""COMPUTED_VALUE"""),"Sheila Peçanha de Freitas Barbosa - Formação Livre Psicanálise")</f>
        <v>Sheila Peçanha de Freitas Barbosa - Formação Livre Psicanálise</v>
      </c>
    </row>
    <row r="2337">
      <c r="A2337" s="390" t="str">
        <f>IFERROR(__xludf.DUMMYFUNCTION("""COMPUTED_VALUE"""),"Patrícia Lopes de Freitas Silva - Pós-Graduação em Sexologia")</f>
        <v>Patrícia Lopes de Freitas Silva - Pós-Graduação em Sexologia</v>
      </c>
    </row>
    <row r="2338">
      <c r="A2338" s="390" t="str">
        <f>IFERROR(__xludf.DUMMYFUNCTION("""COMPUTED_VALUE"""),"Patrícia Lopes de Freitas Silva - Pós-Graduação em Musicoterapia")</f>
        <v>Patrícia Lopes de Freitas Silva - Pós-Graduação em Musicoterapia</v>
      </c>
    </row>
    <row r="2339">
      <c r="A2339" s="390" t="str">
        <f>IFERROR(__xludf.DUMMYFUNCTION("""COMPUTED_VALUE"""),"Débora Batista Rosa - RADIANTE - Pós-Graduação Educação Especial e Inclusiva")</f>
        <v>Débora Batista Rosa - RADIANTE - Pós-Graduação Educação Especial e Inclusiva</v>
      </c>
    </row>
    <row r="2340">
      <c r="A2340" s="390" t="str">
        <f>IFERROR(__xludf.DUMMYFUNCTION("""COMPUTED_VALUE"""),"KELLY LIMA CERQUEIRA BALTAZAR - Formação Livre em Psicanálise-2022")</f>
        <v>KELLY LIMA CERQUEIRA BALTAZAR - Formação Livre em Psicanálise-2022</v>
      </c>
    </row>
    <row r="2341">
      <c r="A2341" s="390" t="str">
        <f>IFERROR(__xludf.DUMMYFUNCTION("""COMPUTED_VALUE"""),"Juliara Elza Mendonça - Novo-Pós-Graduação em Sexologia 800Horas")</f>
        <v>Juliara Elza Mendonça - Novo-Pós-Graduação em Sexologia 800Horas</v>
      </c>
    </row>
    <row r="2342">
      <c r="A2342" s="390" t="str">
        <f>IFERROR(__xludf.DUMMYFUNCTION("""COMPUTED_VALUE"""),"Fábio Alves Pimenta - #SLUPI - SEGUNDA LICENCIATURA EM LETRAS – PORTUGUÊS E INGLÊS")</f>
        <v>Fábio Alves Pimenta - #SLUPI - SEGUNDA LICENCIATURA EM LETRAS – PORTUGUÊS E INGLÊS</v>
      </c>
    </row>
    <row r="2343">
      <c r="A2343" s="390" t="str">
        <f>IFERROR(__xludf.DUMMYFUNCTION("""COMPUTED_VALUE"""),"Verusca Camilo de Moraes - #SLPA- Segunda Licenciatura em Pedagogia 01")</f>
        <v>Verusca Camilo de Moraes - #SLPA- Segunda Licenciatura em Pedagogia 01</v>
      </c>
    </row>
    <row r="2344">
      <c r="A2344" s="390" t="str">
        <f>IFERROR(__xludf.DUMMYFUNCTION("""COMPUTED_VALUE"""),"Verusca Camilo de Moraes - Formação Livre  TDAH – Transtorno do Déficit de Atenção e Hiperatividade")</f>
        <v>Verusca Camilo de Moraes - Formação Livre  TDAH – Transtorno do Déficit de Atenção e Hiperatividade</v>
      </c>
    </row>
    <row r="2345">
      <c r="A2345" s="390" t="str">
        <f>IFERROR(__xludf.DUMMYFUNCTION("""COMPUTED_VALUE"""),"Verusca Camilo de Moraes - Capacitação em Neuropsicopedagogia")</f>
        <v>Verusca Camilo de Moraes - Capacitação em Neuropsicopedagogia</v>
      </c>
    </row>
    <row r="2346">
      <c r="A2346" s="390" t="str">
        <f>IFERROR(__xludf.DUMMYFUNCTION("""COMPUTED_VALUE"""),"Verusca Camilo de Moraes - Capacitação em Altas habilidades")</f>
        <v>Verusca Camilo de Moraes - Capacitação em Altas habilidades</v>
      </c>
    </row>
    <row r="2347">
      <c r="A2347" s="390" t="str">
        <f>IFERROR(__xludf.DUMMYFUNCTION("""COMPUTED_VALUE"""),"Socorro Lima Souza - Formação Livre em Psicanálise-2022")</f>
        <v>Socorro Lima Souza - Formação Livre em Psicanálise-2022</v>
      </c>
    </row>
    <row r="2348">
      <c r="A2348" s="390" t="str">
        <f>IFERROR(__xludf.DUMMYFUNCTION("""COMPUTED_VALUE"""),"Raquel Peres de Souza - Pós-Graduação em Psicanálise")</f>
        <v>Raquel Peres de Souza - Pós-Graduação em Psicanálise</v>
      </c>
    </row>
    <row r="2349">
      <c r="A2349" s="390" t="str">
        <f>IFERROR(__xludf.DUMMYFUNCTION("""COMPUTED_VALUE"""),"Raquel Peres de Souza - NOVO-Pós-Graduação em Psicanálise 800 Horas")</f>
        <v>Raquel Peres de Souza - NOVO-Pós-Graduação em Psicanálise 800 Horas</v>
      </c>
    </row>
    <row r="2350">
      <c r="A2350" s="390" t="str">
        <f>IFERROR(__xludf.DUMMYFUNCTION("""COMPUTED_VALUE"""),"Elaine Cristina de Coimbra de Faria - Práticas Pedagógicas")</f>
        <v>Elaine Cristina de Coimbra de Faria - Práticas Pedagógicas</v>
      </c>
    </row>
    <row r="2351">
      <c r="A2351" s="390" t="str">
        <f>IFERROR(__xludf.DUMMYFUNCTION("""COMPUTED_VALUE"""),"Vivian Nara Bracco Luccas - Pós-Graduação em Psicanálise")</f>
        <v>Vivian Nara Bracco Luccas - Pós-Graduação em Psicanálise</v>
      </c>
    </row>
    <row r="2352">
      <c r="A2352" s="390" t="str">
        <f>IFERROR(__xludf.DUMMYFUNCTION("""COMPUTED_VALUE"""),"Maraiza Morais Carvalho - Pedagogia para Bacharéis")</f>
        <v>Maraiza Morais Carvalho - Pedagogia para Bacharéis</v>
      </c>
    </row>
    <row r="2353">
      <c r="A2353" s="390" t="str">
        <f>IFERROR(__xludf.DUMMYFUNCTION("""COMPUTED_VALUE"""),"Maraiza Morais Carvalho - Pedagogia para Bacharéis")</f>
        <v>Maraiza Morais Carvalho - Pedagogia para Bacharéis</v>
      </c>
    </row>
    <row r="2354">
      <c r="A2354" s="390" t="str">
        <f>IFERROR(__xludf.DUMMYFUNCTION("""COMPUTED_VALUE"""),"Maraiza Morais Carvalho - #FPP- Formação Pedagógica em Pedagogia R2")</f>
        <v>Maraiza Morais Carvalho - #FPP- Formação Pedagógica em Pedagogia R2</v>
      </c>
    </row>
    <row r="2355">
      <c r="A2355" s="390" t="str">
        <f>IFERROR(__xludf.DUMMYFUNCTION("""COMPUTED_VALUE"""),"Arnaldo Bezerra Lopes - Formação Livre Psicanálise")</f>
        <v>Arnaldo Bezerra Lopes - Formação Livre Psicanálise</v>
      </c>
    </row>
    <row r="2356">
      <c r="A2356" s="390" t="str">
        <f>IFERROR(__xludf.DUMMYFUNCTION("""COMPUTED_VALUE"""),"Edmilson Oliveira da Paixao - Formação Livre Psicanálise")</f>
        <v>Edmilson Oliveira da Paixao - Formação Livre Psicanálise</v>
      </c>
    </row>
    <row r="2357">
      <c r="A2357" s="390" t="str">
        <f>IFERROR(__xludf.DUMMYFUNCTION("""COMPUTED_VALUE"""),"Max Léda da Costa - #FPUP-FORMAÇÃO PEDAGÓGICA EM PEDAGOGIA- U")</f>
        <v>Max Léda da Costa - #FPUP-FORMAÇÃO PEDAGÓGICA EM PEDAGOGIA- U</v>
      </c>
    </row>
    <row r="2358">
      <c r="A2358" s="390" t="str">
        <f>IFERROR(__xludf.DUMMYFUNCTION("""COMPUTED_VALUE"""),"Max Léda da Costa - #FPP- Formação Pedagógica em Pedagogia R2")</f>
        <v>Max Léda da Costa - #FPP- Formação Pedagógica em Pedagogia R2</v>
      </c>
    </row>
    <row r="2359">
      <c r="A2359" s="390" t="str">
        <f>IFERROR(__xludf.DUMMYFUNCTION("""COMPUTED_VALUE"""),"Inácio Nogueira de Sousa - Pós-Graduação em Psicanálise")</f>
        <v>Inácio Nogueira de Sousa - Pós-Graduação em Psicanálise</v>
      </c>
    </row>
    <row r="2360">
      <c r="A2360" s="390" t="str">
        <f>IFERROR(__xludf.DUMMYFUNCTION("""COMPUTED_VALUE"""),"Inácio Nogueira de Sousa - NOVO-Pós-Graduação em Psicanálise 800 Horas")</f>
        <v>Inácio Nogueira de Sousa - NOVO-Pós-Graduação em Psicanálise 800 Horas</v>
      </c>
    </row>
    <row r="2361">
      <c r="A2361" s="390" t="str">
        <f>IFERROR(__xludf.DUMMYFUNCTION("""COMPUTED_VALUE"""),"Jucilea da Silva Pereira - Formação Livre Psicanálise")</f>
        <v>Jucilea da Silva Pereira - Formação Livre Psicanálise</v>
      </c>
    </row>
    <row r="2362">
      <c r="A2362" s="390" t="str">
        <f>IFERROR(__xludf.DUMMYFUNCTION("""COMPUTED_VALUE"""),"Mirian Modesto da Silva - Formação Livre Psicanálise")</f>
        <v>Mirian Modesto da Silva - Formação Livre Psicanálise</v>
      </c>
    </row>
    <row r="2363">
      <c r="A2363" s="390" t="str">
        <f>IFERROR(__xludf.DUMMYFUNCTION("""COMPUTED_VALUE"""),"Zilda Patricio Rudiniski - #FPUP-FORMAÇÃO PEDAGÓGICA EM PEDAGOGIA- U")</f>
        <v>Zilda Patricio Rudiniski - #FPUP-FORMAÇÃO PEDAGÓGICA EM PEDAGOGIA- U</v>
      </c>
    </row>
    <row r="2364">
      <c r="A2364" s="390" t="str">
        <f>IFERROR(__xludf.DUMMYFUNCTION("""COMPUTED_VALUE"""),"Érica Martins Vaz Rezende - Formação Livre Psicanálise")</f>
        <v>Érica Martins Vaz Rezende - Formação Livre Psicanálise</v>
      </c>
    </row>
    <row r="2365">
      <c r="A2365" s="390" t="str">
        <f>IFERROR(__xludf.DUMMYFUNCTION("""COMPUTED_VALUE"""),"Érica Martins Vaz Rezende - Pós-Graduação em TDAH – Transtorno do Déficit de Atenção e Hiperatividade")</f>
        <v>Érica Martins Vaz Rezende - Pós-Graduação em TDAH – Transtorno do Déficit de Atenção e Hiperatividade</v>
      </c>
    </row>
    <row r="2366">
      <c r="A2366" s="390" t="str">
        <f>IFERROR(__xludf.DUMMYFUNCTION("""COMPUTED_VALUE"""),"Érica Martins Vaz Rezende - Formação Livre  TDAH – Transtorno do Déficit de Atenção e Hiperatividade")</f>
        <v>Érica Martins Vaz Rezende - Formação Livre  TDAH – Transtorno do Déficit de Atenção e Hiperatividade</v>
      </c>
    </row>
    <row r="2367">
      <c r="A2367" s="390" t="str">
        <f>IFERROR(__xludf.DUMMYFUNCTION("""COMPUTED_VALUE"""),"Raquel Maria da Silva Araujo - Formação Livre Psicanálise")</f>
        <v>Raquel Maria da Silva Araujo - Formação Livre Psicanálise</v>
      </c>
    </row>
    <row r="2368">
      <c r="A2368" s="390" t="str">
        <f>IFERROR(__xludf.DUMMYFUNCTION("""COMPUTED_VALUE"""),"Lenilta de Azevedo Silva - Formação Livre em Sexologia")</f>
        <v>Lenilta de Azevedo Silva - Formação Livre em Sexologia</v>
      </c>
    </row>
    <row r="2369">
      <c r="A2369" s="390" t="str">
        <f>IFERROR(__xludf.DUMMYFUNCTION("""COMPUTED_VALUE"""),"Lenilta de Azevedo Silva - Capacitação em Sexologia")</f>
        <v>Lenilta de Azevedo Silva - Capacitação em Sexologia</v>
      </c>
    </row>
    <row r="2370">
      <c r="A2370" s="390" t="str">
        <f>IFERROR(__xludf.DUMMYFUNCTION("""COMPUTED_VALUE"""),"Ronaldo Galdino - Formação Pedagógica em Ciências Sociais")</f>
        <v>Ronaldo Galdino - Formação Pedagógica em Ciências Sociais</v>
      </c>
    </row>
    <row r="2371">
      <c r="A2371" s="390" t="str">
        <f>IFERROR(__xludf.DUMMYFUNCTION("""COMPUTED_VALUE"""),"Vera Lúcia Silva Ventura - #SLUP - SEGUNDA LICENCIATURA EM PEDAGOGIA")</f>
        <v>Vera Lúcia Silva Ventura - #SLUP - SEGUNDA LICENCIATURA EM PEDAGOGIA</v>
      </c>
    </row>
    <row r="2372">
      <c r="A2372" s="390" t="str">
        <f>IFERROR(__xludf.DUMMYFUNCTION("""COMPUTED_VALUE"""),"Vera Lúcia Silva Ventura - #FPP- Formação Pedagógica em Pedagogia R2")</f>
        <v>Vera Lúcia Silva Ventura - #FPP- Formação Pedagógica em Pedagogia R2</v>
      </c>
    </row>
    <row r="2373">
      <c r="A2373" s="390" t="str">
        <f>IFERROR(__xludf.DUMMYFUNCTION("""COMPUTED_VALUE"""),"Sheila dos Reis Madeira - Formação pedagógica Letras - Português")</f>
        <v>Sheila dos Reis Madeira - Formação pedagógica Letras - Português</v>
      </c>
    </row>
    <row r="2374">
      <c r="A2374" s="390" t="str">
        <f>IFERROR(__xludf.DUMMYFUNCTION("""COMPUTED_VALUE"""),"Maria de Lourdes Alves - #FPUP-FORMAÇÃO PEDAGÓGICA EM PEDAGOGIA- U")</f>
        <v>Maria de Lourdes Alves - #FPUP-FORMAÇÃO PEDAGÓGICA EM PEDAGOGIA- U</v>
      </c>
    </row>
    <row r="2375">
      <c r="A2375" s="390" t="str">
        <f>IFERROR(__xludf.DUMMYFUNCTION("""COMPUTED_VALUE"""),"Maria de Lourdes Alves - #FPP- Formação Pedagógica em Pedagogia R2")</f>
        <v>Maria de Lourdes Alves - #FPP- Formação Pedagógica em Pedagogia R2</v>
      </c>
    </row>
    <row r="2376">
      <c r="A2376" s="390" t="str">
        <f>IFERROR(__xludf.DUMMYFUNCTION("""COMPUTED_VALUE"""),"Felipe André Martins Benite - RADIANTE - Pós-Graduação em Autismo 1100 Horas")</f>
        <v>Felipe André Martins Benite - RADIANTE - Pós-Graduação em Autismo 1100 Horas</v>
      </c>
    </row>
    <row r="2377">
      <c r="A2377" s="390" t="str">
        <f>IFERROR(__xludf.DUMMYFUNCTION("""COMPUTED_VALUE"""),"Nicolly da Silva Dias Ferreira - RADIANTE - Pós-Graduação em Inspeção Escolar")</f>
        <v>Nicolly da Silva Dias Ferreira - RADIANTE - Pós-Graduação em Inspeção Escolar</v>
      </c>
    </row>
    <row r="2378">
      <c r="A2378" s="390" t="str">
        <f>IFERROR(__xludf.DUMMYFUNCTION("""COMPUTED_VALUE"""),"Clarice dos Santos Grutt - RADIANTE - Pós-Graduação em Personal Trainer e Treinamento Desportivo")</f>
        <v>Clarice dos Santos Grutt - RADIANTE - Pós-Graduação em Personal Trainer e Treinamento Desportivo</v>
      </c>
    </row>
    <row r="2379">
      <c r="A2379" s="390" t="str">
        <f>IFERROR(__xludf.DUMMYFUNCTION("""COMPUTED_VALUE"""),"Luciara Palacios Escobar - #SLMF - Segunda Licenciatura em Música 1320Horas")</f>
        <v>Luciara Palacios Escobar - #SLMF - Segunda Licenciatura em Música 1320Horas</v>
      </c>
    </row>
    <row r="2380">
      <c r="A2380" s="390" t="str">
        <f>IFERROR(__xludf.DUMMYFUNCTION("""COMPUTED_VALUE"""),"Jayane Gonçalves Moraes - Pós-Graduação em Terapia em ABA- Análise do Comportamento Aplicada")</f>
        <v>Jayane Gonçalves Moraes - Pós-Graduação em Terapia em ABA- Análise do Comportamento Aplicada</v>
      </c>
    </row>
    <row r="2381">
      <c r="A2381" s="390" t="str">
        <f>IFERROR(__xludf.DUMMYFUNCTION("""COMPUTED_VALUE"""),"Luciene da Silva Borba da Fonseca - Pós-Graduação em Neuropsicopedagogia Institucional, Clínica e Hospitalar 850h")</f>
        <v>Luciene da Silva Borba da Fonseca - Pós-Graduação em Neuropsicopedagogia Institucional, Clínica e Hospitalar 850h</v>
      </c>
    </row>
    <row r="2382">
      <c r="A2382" s="390" t="str">
        <f>IFERROR(__xludf.DUMMYFUNCTION("""COMPUTED_VALUE"""),"Sandra Cristina Janeiro Lacerda - Formação Livre Psicanálise")</f>
        <v>Sandra Cristina Janeiro Lacerda - Formação Livre Psicanálise</v>
      </c>
    </row>
    <row r="2383">
      <c r="A2383" s="390" t="str">
        <f>IFERROR(__xludf.DUMMYFUNCTION("""COMPUTED_VALUE"""),"Paulo Henrique Cabral Cardoso - #SLMF - Segunda Licenciatura em Música 1320Horas")</f>
        <v>Paulo Henrique Cabral Cardoso - #SLMF - Segunda Licenciatura em Música 1320Horas</v>
      </c>
    </row>
    <row r="2384">
      <c r="A2384" s="390" t="str">
        <f>IFERROR(__xludf.DUMMYFUNCTION("""COMPUTED_VALUE"""),"Marcos Luiz Clemente - Formação Livre Psicanálise")</f>
        <v>Marcos Luiz Clemente - Formação Livre Psicanálise</v>
      </c>
    </row>
    <row r="2385">
      <c r="A2385" s="390" t="str">
        <f>IFERROR(__xludf.DUMMYFUNCTION("""COMPUTED_VALUE"""),"Aline Aparecida de Campos - Pós-Graduação em Psicanálise")</f>
        <v>Aline Aparecida de Campos - Pós-Graduação em Psicanálise</v>
      </c>
    </row>
    <row r="2386">
      <c r="A2386" s="390" t="str">
        <f>IFERROR(__xludf.DUMMYFUNCTION("""COMPUTED_VALUE"""),"Tatiane Freitas da Silva - #SLEEA - Segunda Licenciatura em Educação Especial")</f>
        <v>Tatiane Freitas da Silva - #SLEEA - Segunda Licenciatura em Educação Especial</v>
      </c>
    </row>
    <row r="2387">
      <c r="A2387" s="390" t="str">
        <f>IFERROR(__xludf.DUMMYFUNCTION("""COMPUTED_VALUE"""),"Tatiane Freitas da Silva - Pós-Graduação em Autismo")</f>
        <v>Tatiane Freitas da Silva - Pós-Graduação em Autismo</v>
      </c>
    </row>
    <row r="2388">
      <c r="A2388" s="390" t="str">
        <f>IFERROR(__xludf.DUMMYFUNCTION("""COMPUTED_VALUE"""),"Tatiane Freitas da Silva - Pós-Graduação em TDAH – Transtorno do Déficit de Atenção e Hiperatividade")</f>
        <v>Tatiane Freitas da Silva - Pós-Graduação em TDAH – Transtorno do Déficit de Atenção e Hiperatividade</v>
      </c>
    </row>
    <row r="2389">
      <c r="A2389" s="390" t="str">
        <f>IFERROR(__xludf.DUMMYFUNCTION("""COMPUTED_VALUE"""),"Nelson Rosa Ferreira - Formação Livre em Música")</f>
        <v>Nelson Rosa Ferreira - Formação Livre em Música</v>
      </c>
    </row>
    <row r="2390">
      <c r="A2390" s="390" t="str">
        <f>IFERROR(__xludf.DUMMYFUNCTION("""COMPUTED_VALUE"""),"Roger Pasquel Reyna - Pós-Graduação em Sexologia")</f>
        <v>Roger Pasquel Reyna - Pós-Graduação em Sexologia</v>
      </c>
    </row>
    <row r="2391">
      <c r="A2391" s="390" t="str">
        <f>IFERROR(__xludf.DUMMYFUNCTION("""COMPUTED_VALUE"""),"Narriman Aparecida Richert - Formação Livre Psicanálise")</f>
        <v>Narriman Aparecida Richert - Formação Livre Psicanálise</v>
      </c>
    </row>
    <row r="2392">
      <c r="A2392" s="390" t="str">
        <f>IFERROR(__xludf.DUMMYFUNCTION("""COMPUTED_VALUE"""),"Fabiana Pereira Sales - Pós-Graduação em Sexologia")</f>
        <v>Fabiana Pereira Sales - Pós-Graduação em Sexologia</v>
      </c>
    </row>
    <row r="2393">
      <c r="A2393" s="390" t="str">
        <f>IFERROR(__xludf.DUMMYFUNCTION("""COMPUTED_VALUE"""),"Alvacy Moreira Pinheiro - #SLPA- Segunda Licenciatura em Pedagogia 01")</f>
        <v>Alvacy Moreira Pinheiro - #SLPA- Segunda Licenciatura em Pedagogia 01</v>
      </c>
    </row>
    <row r="2394">
      <c r="A2394" s="390" t="str">
        <f>IFERROR(__xludf.DUMMYFUNCTION("""COMPUTED_VALUE"""),"Alvacy Moreira Pinheiro - #SLUEE - SEGUNDA LICENCIATURA EM EDUCAÇÃO ESPECIAL")</f>
        <v>Alvacy Moreira Pinheiro - #SLUEE - SEGUNDA LICENCIATURA EM EDUCAÇÃO ESPECIAL</v>
      </c>
    </row>
    <row r="2395">
      <c r="A2395" s="390" t="str">
        <f>IFERROR(__xludf.DUMMYFUNCTION("""COMPUTED_VALUE"""),"Denyse Cruz De Oliveira - Pós-Graduação em MBA em Auditoria Contábil")</f>
        <v>Denyse Cruz De Oliveira - Pós-Graduação em MBA em Auditoria Contábil</v>
      </c>
    </row>
    <row r="2396">
      <c r="A2396" s="390" t="str">
        <f>IFERROR(__xludf.DUMMYFUNCTION("""COMPUTED_VALUE"""),"Décio Ricardo Torres Agra - #FPMF- Formação Pedagógica em Música 1200Horas")</f>
        <v>Décio Ricardo Torres Agra - #FPMF- Formação Pedagógica em Música 1200Horas</v>
      </c>
    </row>
    <row r="2397">
      <c r="A2397" s="390" t="str">
        <f>IFERROR(__xludf.DUMMYFUNCTION("""COMPUTED_VALUE"""),"Renata Michele da Silva - Pós-Graduação em Psicanálise")</f>
        <v>Renata Michele da Silva - Pós-Graduação em Psicanálise</v>
      </c>
    </row>
    <row r="2398">
      <c r="A2398" s="390" t="str">
        <f>IFERROR(__xludf.DUMMYFUNCTION("""COMPUTED_VALUE"""),"Patrícia Camargo Figueiredo - #FPUP-FORMAÇÃO PEDAGÓGICA EM PEDAGOGIA- U")</f>
        <v>Patrícia Camargo Figueiredo - #FPUP-FORMAÇÃO PEDAGÓGICA EM PEDAGOGIA- U</v>
      </c>
    </row>
    <row r="2399">
      <c r="A2399" s="390" t="str">
        <f>IFERROR(__xludf.DUMMYFUNCTION("""COMPUTED_VALUE"""),"Camila Nadjala Fernandes Monteiro - Pós-Graduação em Psicanálise")</f>
        <v>Camila Nadjala Fernandes Monteiro - Pós-Graduação em Psicanálise</v>
      </c>
    </row>
    <row r="2400">
      <c r="A2400" s="390" t="str">
        <f>IFERROR(__xludf.DUMMYFUNCTION("""COMPUTED_VALUE"""),"Camila Nadjala Fernandes Monteiro - Formação Livre Psicanálise")</f>
        <v>Camila Nadjala Fernandes Monteiro - Formação Livre Psicanálise</v>
      </c>
    </row>
    <row r="2401">
      <c r="A2401" s="390" t="str">
        <f>IFERROR(__xludf.DUMMYFUNCTION("""COMPUTED_VALUE"""),"Maria Inês da Rocha Gonçalves Prates - RADIANTE - Pós-Graduação em Autismo 640h")</f>
        <v>Maria Inês da Rocha Gonçalves Prates - RADIANTE - Pós-Graduação em Autismo 640h</v>
      </c>
    </row>
    <row r="2402">
      <c r="A2402" s="390" t="str">
        <f>IFERROR(__xludf.DUMMYFUNCTION("""COMPUTED_VALUE"""),"Leide Dayanne Silva de Sousa - Pós-Graduação em Neuropsicopedagogia Institucional, Clínica e Hospitalar 850h")</f>
        <v>Leide Dayanne Silva de Sousa - Pós-Graduação em Neuropsicopedagogia Institucional, Clínica e Hospitalar 850h</v>
      </c>
    </row>
    <row r="2403">
      <c r="A2403" s="390" t="str">
        <f>IFERROR(__xludf.DUMMYFUNCTION("""COMPUTED_VALUE"""),"Wellington Rodrigo Conceição - Pós-Graduação em MBA em Auditoria Contábil")</f>
        <v>Wellington Rodrigo Conceição - Pós-Graduação em MBA em Auditoria Contábil</v>
      </c>
    </row>
    <row r="2404">
      <c r="A2404" s="390" t="str">
        <f>IFERROR(__xludf.DUMMYFUNCTION("""COMPUTED_VALUE"""),"Marcilene Gonçalves Moreira - Pós-graduação em Neuropsicologia")</f>
        <v>Marcilene Gonçalves Moreira - Pós-graduação em Neuropsicologia</v>
      </c>
    </row>
    <row r="2405">
      <c r="A2405" s="390" t="str">
        <f>IFERROR(__xludf.DUMMYFUNCTION("""COMPUTED_VALUE"""),"Marcilene Gonçalves Moreira - FORMAÇÃO LIVRE EM PSICANÁLISE - 2024")</f>
        <v>Marcilene Gonçalves Moreira - FORMAÇÃO LIVRE EM PSICANÁLISE - 2024</v>
      </c>
    </row>
    <row r="2406">
      <c r="A2406" s="390" t="str">
        <f>IFERROR(__xludf.DUMMYFUNCTION("""COMPUTED_VALUE"""),"Carlos Roberto Pereira Rodrigues - #FPMF- Formação Pedagógica em Música 1200Horas")</f>
        <v>Carlos Roberto Pereira Rodrigues - #FPMF- Formação Pedagógica em Música 1200Horas</v>
      </c>
    </row>
    <row r="2407">
      <c r="A2407" s="390" t="str">
        <f>IFERROR(__xludf.DUMMYFUNCTION("""COMPUTED_VALUE"""),"Chrystiane Conceição Carneiro Farias Souza - #FPT1-Pedagogia para Bacharéis e Tecnólogos (2022)")</f>
        <v>Chrystiane Conceição Carneiro Farias Souza - #FPT1-Pedagogia para Bacharéis e Tecnólogos (2022)</v>
      </c>
    </row>
    <row r="2408">
      <c r="A2408" s="390" t="str">
        <f>IFERROR(__xludf.DUMMYFUNCTION("""COMPUTED_VALUE"""),"Vanderlânia Cavalcanti Dias Alves da Silva - #SLPA- Segunda Licenciatura em Pedagogia 01")</f>
        <v>Vanderlânia Cavalcanti Dias Alves da Silva - #SLPA- Segunda Licenciatura em Pedagogia 01</v>
      </c>
    </row>
    <row r="2409">
      <c r="A2409" s="390" t="str">
        <f>IFERROR(__xludf.DUMMYFUNCTION("""COMPUTED_VALUE"""),"Vanderlânia Cavalcanti Dias Alves da Silva - Pós-Graduação em Psicopedagogia Institucional e Clínica 710Horas")</f>
        <v>Vanderlânia Cavalcanti Dias Alves da Silva - Pós-Graduação em Psicopedagogia Institucional e Clínica 710Horas</v>
      </c>
    </row>
    <row r="2410">
      <c r="A2410" s="390" t="str">
        <f>IFERROR(__xludf.DUMMYFUNCTION("""COMPUTED_VALUE"""),"Marcela Almeida da Mota Oliveira - RADIANTE - Pós-Graduação Neurociência e Aprendizagem")</f>
        <v>Marcela Almeida da Mota Oliveira - RADIANTE - Pós-Graduação Neurociência e Aprendizagem</v>
      </c>
    </row>
    <row r="2411">
      <c r="A2411" s="390" t="str">
        <f>IFERROR(__xludf.DUMMYFUNCTION("""COMPUTED_VALUE"""),"Jéssica de Aguiar da Silva - Pós-Graduação Psicopedagogia Clínica, Institucional e Hospitalar")</f>
        <v>Jéssica de Aguiar da Silva - Pós-Graduação Psicopedagogia Clínica, Institucional e Hospitalar</v>
      </c>
    </row>
    <row r="2412">
      <c r="A2412" s="390" t="str">
        <f>IFERROR(__xludf.DUMMYFUNCTION("""COMPUTED_VALUE"""),"Katia Almeida da Silva - Formação pedagógica Letras - Português")</f>
        <v>Katia Almeida da Silva - Formação pedagógica Letras - Português</v>
      </c>
    </row>
    <row r="2413">
      <c r="A2413" s="390" t="str">
        <f>IFERROR(__xludf.DUMMYFUNCTION("""COMPUTED_VALUE"""),"Katia Almeida da Silva - #FPUP-FORMAÇÃO PEDAGÓGICA EM PEDAGOGIA- U")</f>
        <v>Katia Almeida da Silva - #FPUP-FORMAÇÃO PEDAGÓGICA EM PEDAGOGIA- U</v>
      </c>
    </row>
    <row r="2414">
      <c r="A2414" s="390" t="str">
        <f>IFERROR(__xludf.DUMMYFUNCTION("""COMPUTED_VALUE"""),"Ednelson Júnior Souza da Silva - NOVO-Pós-Graduação em Psicanálise 800 Horas")</f>
        <v>Ednelson Júnior Souza da Silva - NOVO-Pós-Graduação em Psicanálise 800 Horas</v>
      </c>
    </row>
    <row r="2415">
      <c r="A2415" s="390" t="str">
        <f>IFERROR(__xludf.DUMMYFUNCTION("""COMPUTED_VALUE"""),"Ednelson Júnior Souza da Silva - Pós-Graduação em Psicanálise")</f>
        <v>Ednelson Júnior Souza da Silva - Pós-Graduação em Psicanálise</v>
      </c>
    </row>
    <row r="2416">
      <c r="A2416" s="390" t="str">
        <f>IFERROR(__xludf.DUMMYFUNCTION("""COMPUTED_VALUE"""),"Ana Paula Chaves de Freitas - Pós-Graduação em Psicanálise")</f>
        <v>Ana Paula Chaves de Freitas - Pós-Graduação em Psicanálise</v>
      </c>
    </row>
    <row r="2417">
      <c r="A2417" s="390" t="str">
        <f>IFERROR(__xludf.DUMMYFUNCTION("""COMPUTED_VALUE"""),"Mariuza Soares Santos - #FPUP-FORMAÇÃO PEDAGÓGICA EM PEDAGOGIA- U")</f>
        <v>Mariuza Soares Santos - #FPUP-FORMAÇÃO PEDAGÓGICA EM PEDAGOGIA- U</v>
      </c>
    </row>
    <row r="2418">
      <c r="A2418" s="390" t="str">
        <f>IFERROR(__xludf.DUMMYFUNCTION("""COMPUTED_VALUE"""),"Mariuza Soares Santos - #FPT1-Pedagogia para Bacharéis e Tecnólogos (2022)")</f>
        <v>Mariuza Soares Santos - #FPT1-Pedagogia para Bacharéis e Tecnólogos (2022)</v>
      </c>
    </row>
    <row r="2419">
      <c r="A2419" s="390" t="str">
        <f>IFERROR(__xludf.DUMMYFUNCTION("""COMPUTED_VALUE"""),"Adriana Pinheiro da Silva Ribeiro - Pós-Graduação em Psicanálise")</f>
        <v>Adriana Pinheiro da Silva Ribeiro - Pós-Graduação em Psicanálise</v>
      </c>
    </row>
    <row r="2420">
      <c r="A2420" s="390" t="str">
        <f>IFERROR(__xludf.DUMMYFUNCTION("""COMPUTED_VALUE"""),"Adriana Pinheiro da Silva Ribeiro - Formação Livre Psicanálise")</f>
        <v>Adriana Pinheiro da Silva Ribeiro - Formação Livre Psicanálise</v>
      </c>
    </row>
    <row r="2421">
      <c r="A2421" s="390" t="str">
        <f>IFERROR(__xludf.DUMMYFUNCTION("""COMPUTED_VALUE"""),"Basílio ferreira almeida - Formação Livre Psicanálise")</f>
        <v>Basílio ferreira almeida - Formação Livre Psicanálise</v>
      </c>
    </row>
    <row r="2422">
      <c r="A2422" s="390" t="str">
        <f>IFERROR(__xludf.DUMMYFUNCTION("""COMPUTED_VALUE"""),"José Ferreira Teixeira - Formação Livre Psicanálise")</f>
        <v>José Ferreira Teixeira - Formação Livre Psicanálise</v>
      </c>
    </row>
    <row r="2423">
      <c r="A2423" s="390" t="str">
        <f>IFERROR(__xludf.DUMMYFUNCTION("""COMPUTED_VALUE"""),"Matheus Quessada Cardoso de Matos - #SLUP - SEGUNDA LICENCIATURA EM PEDAGOGIA")</f>
        <v>Matheus Quessada Cardoso de Matos - #SLUP - SEGUNDA LICENCIATURA EM PEDAGOGIA</v>
      </c>
    </row>
    <row r="2424">
      <c r="A2424" s="390" t="str">
        <f>IFERROR(__xludf.DUMMYFUNCTION("""COMPUTED_VALUE"""),"Jocilene Souza Santos - Formação Livre Psicanálise")</f>
        <v>Jocilene Souza Santos - Formação Livre Psicanálise</v>
      </c>
    </row>
    <row r="2425">
      <c r="A2425" s="390" t="str">
        <f>IFERROR(__xludf.DUMMYFUNCTION("""COMPUTED_VALUE"""),"Jocilene Souza Santos - Formação Livre Psicanálise")</f>
        <v>Jocilene Souza Santos - Formação Livre Psicanálise</v>
      </c>
    </row>
    <row r="2426">
      <c r="A2426" s="390" t="str">
        <f>IFERROR(__xludf.DUMMYFUNCTION("""COMPUTED_VALUE"""),"Dábila Velasco Dutra Carvalho - Pós-Graduação em Psicanálise")</f>
        <v>Dábila Velasco Dutra Carvalho - Pós-Graduação em Psicanálise</v>
      </c>
    </row>
    <row r="2427">
      <c r="A2427" s="390" t="str">
        <f>IFERROR(__xludf.DUMMYFUNCTION("""COMPUTED_VALUE"""),"RAWLLINSON CICERO SILVA DE LIMA - #FPMF- Formação Pedagógica em Música 1200Horas")</f>
        <v>RAWLLINSON CICERO SILVA DE LIMA - #FPMF- Formação Pedagógica em Música 1200Horas</v>
      </c>
    </row>
    <row r="2428">
      <c r="A2428" s="390" t="str">
        <f>IFERROR(__xludf.DUMMYFUNCTION("""COMPUTED_VALUE"""),"RAWLLINSON CICERO SILVA DE LIMA - FORMAÇÃO PEDAGÓGICA EM MÚSICA - 2024")</f>
        <v>RAWLLINSON CICERO SILVA DE LIMA - FORMAÇÃO PEDAGÓGICA EM MÚSICA - 2024</v>
      </c>
    </row>
    <row r="2429">
      <c r="A2429" s="390" t="str">
        <f>IFERROR(__xludf.DUMMYFUNCTION("""COMPUTED_VALUE"""),"Maria Tereza de Moraes Campos - Formação Livre Psicanálise")</f>
        <v>Maria Tereza de Moraes Campos - Formação Livre Psicanálise</v>
      </c>
    </row>
    <row r="2430">
      <c r="A2430" s="390" t="str">
        <f>IFERROR(__xludf.DUMMYFUNCTION("""COMPUTED_VALUE"""),"Maria Tereza de Moraes Campos - Pós-Graduação em Psicanálise")</f>
        <v>Maria Tereza de Moraes Campos - Pós-Graduação em Psicanálise</v>
      </c>
    </row>
    <row r="2431">
      <c r="A2431" s="390" t="str">
        <f>IFERROR(__xludf.DUMMYFUNCTION("""COMPUTED_VALUE"""),"Marcus Antonio Ximenes Pereira - Pós-Graduação em Psicanálise")</f>
        <v>Marcus Antonio Ximenes Pereira - Pós-Graduação em Psicanálise</v>
      </c>
    </row>
    <row r="2432">
      <c r="A2432" s="390" t="str">
        <f>IFERROR(__xludf.DUMMYFUNCTION("""COMPUTED_VALUE"""),"Lucas Bruno Ferreira da Fonseca Dutra - Formação Livre Psicanálise")</f>
        <v>Lucas Bruno Ferreira da Fonseca Dutra - Formação Livre Psicanálise</v>
      </c>
    </row>
    <row r="2433">
      <c r="A2433" s="390" t="str">
        <f>IFERROR(__xludf.DUMMYFUNCTION("""COMPUTED_VALUE"""),"Lucas Bruno Ferreira da Fonseca Dutra - Formação Livre Psicanálise")</f>
        <v>Lucas Bruno Ferreira da Fonseca Dutra - Formação Livre Psicanálise</v>
      </c>
    </row>
    <row r="2434">
      <c r="A2434" s="390" t="str">
        <f>IFERROR(__xludf.DUMMYFUNCTION("""COMPUTED_VALUE"""),"Sidneia Milléo de Oliveira - Formação Livre Psicanálise")</f>
        <v>Sidneia Milléo de Oliveira - Formação Livre Psicanálise</v>
      </c>
    </row>
    <row r="2435">
      <c r="A2435" s="390" t="str">
        <f>IFERROR(__xludf.DUMMYFUNCTION("""COMPUTED_VALUE"""),"Cyntia laura xavier soares - #SLMF - Segunda Licenciatura em Música 1320Horas")</f>
        <v>Cyntia laura xavier soares - #SLMF - Segunda Licenciatura em Música 1320Horas</v>
      </c>
    </row>
    <row r="2436">
      <c r="A2436" s="390" t="str">
        <f>IFERROR(__xludf.DUMMYFUNCTION("""COMPUTED_VALUE"""),"Franciene de Moraes Sena Dutra - Pós-Graduação em Psicanálise")</f>
        <v>Franciene de Moraes Sena Dutra - Pós-Graduação em Psicanálise</v>
      </c>
    </row>
    <row r="2437">
      <c r="A2437" s="390" t="str">
        <f>IFERROR(__xludf.DUMMYFUNCTION("""COMPUTED_VALUE"""),"Carlos Eduardo Romeiro Pinho - Formação Livre Psicanálise")</f>
        <v>Carlos Eduardo Romeiro Pinho - Formação Livre Psicanálise</v>
      </c>
    </row>
    <row r="2438">
      <c r="A2438" s="390" t="str">
        <f>IFERROR(__xludf.DUMMYFUNCTION("""COMPUTED_VALUE"""),"Odilon Roberto Caiani - Pós-Graduação em Psicanálise")</f>
        <v>Odilon Roberto Caiani - Pós-Graduação em Psicanálise</v>
      </c>
    </row>
    <row r="2439">
      <c r="A2439" s="390" t="str">
        <f>IFERROR(__xludf.DUMMYFUNCTION("""COMPUTED_VALUE"""),"Érica Barros Pereira - Formação Livre Psicanálise")</f>
        <v>Érica Barros Pereira - Formação Livre Psicanálise</v>
      </c>
    </row>
    <row r="2440">
      <c r="A2440" s="390" t="str">
        <f>IFERROR(__xludf.DUMMYFUNCTION("""COMPUTED_VALUE"""),"Deyze Karla da Silva Laurentino - Pós-Graduação em Psicanálise")</f>
        <v>Deyze Karla da Silva Laurentino - Pós-Graduação em Psicanálise</v>
      </c>
    </row>
    <row r="2441">
      <c r="A2441" s="390" t="str">
        <f>IFERROR(__xludf.DUMMYFUNCTION("""COMPUTED_VALUE"""),"Deyze Karla da Silva Laurentino - Formação Livre Psicanálise")</f>
        <v>Deyze Karla da Silva Laurentino - Formação Livre Psicanálise</v>
      </c>
    </row>
    <row r="2442">
      <c r="A2442" s="390" t="str">
        <f>IFERROR(__xludf.DUMMYFUNCTION("""COMPUTED_VALUE"""),"Deyze Karla da Silva Laurentino - NOVO-Pós-Graduação em Psicanálise 800 Horas")</f>
        <v>Deyze Karla da Silva Laurentino - NOVO-Pós-Graduação em Psicanálise 800 Horas</v>
      </c>
    </row>
    <row r="2443">
      <c r="A2443" s="390" t="str">
        <f>IFERROR(__xludf.DUMMYFUNCTION("""COMPUTED_VALUE"""),"Lucijane Machado Teodoro - Formação Livre Psicanálise")</f>
        <v>Lucijane Machado Teodoro - Formação Livre Psicanálise</v>
      </c>
    </row>
    <row r="2444">
      <c r="A2444" s="390" t="str">
        <f>IFERROR(__xludf.DUMMYFUNCTION("""COMPUTED_VALUE"""),"Lucijane Machado Teodoro - Capacitação em Sexologia")</f>
        <v>Lucijane Machado Teodoro - Capacitação em Sexologia</v>
      </c>
    </row>
    <row r="2445">
      <c r="A2445" s="390" t="str">
        <f>IFERROR(__xludf.DUMMYFUNCTION("""COMPUTED_VALUE"""),"Márcia Batista da Silva - Formação Livre Psicanálise")</f>
        <v>Márcia Batista da Silva - Formação Livre Psicanálise</v>
      </c>
    </row>
    <row r="2446">
      <c r="A2446" s="390" t="str">
        <f>IFERROR(__xludf.DUMMYFUNCTION("""COMPUTED_VALUE"""),"Alessandro Pedroso Ribessi - RADIANTE - Pós-Graduação em Autismo 1100 Horas")</f>
        <v>Alessandro Pedroso Ribessi - RADIANTE - Pós-Graduação em Autismo 1100 Horas</v>
      </c>
    </row>
    <row r="2447">
      <c r="A2447" s="390" t="str">
        <f>IFERROR(__xludf.DUMMYFUNCTION("""COMPUTED_VALUE"""),"Maria José da Silva Lopes Soares - Pós-Graduação em Psicopedagogia Escolar")</f>
        <v>Maria José da Silva Lopes Soares - Pós-Graduação em Psicopedagogia Escolar</v>
      </c>
    </row>
    <row r="2448">
      <c r="A2448" s="390" t="str">
        <f>IFERROR(__xludf.DUMMYFUNCTION("""COMPUTED_VALUE"""),"Eric Fernando Lopes cantanhedo - Formação Livre Psicanálise")</f>
        <v>Eric Fernando Lopes cantanhedo - Formação Livre Psicanálise</v>
      </c>
    </row>
    <row r="2449">
      <c r="A2449" s="390" t="str">
        <f>IFERROR(__xludf.DUMMYFUNCTION("""COMPUTED_VALUE"""),"Carla Gomes Cardoso - Pós-Graduação em Aba-Análise do Comportamento Aplicada 2022")</f>
        <v>Carla Gomes Cardoso - Pós-Graduação em Aba-Análise do Comportamento Aplicada 2022</v>
      </c>
    </row>
    <row r="2450">
      <c r="A2450" s="390" t="str">
        <f>IFERROR(__xludf.DUMMYFUNCTION("""COMPUTED_VALUE"""),"Jovana Abrahão Moreira - Pedagogia para Bacharéis")</f>
        <v>Jovana Abrahão Moreira - Pedagogia para Bacharéis</v>
      </c>
    </row>
    <row r="2451">
      <c r="A2451" s="390" t="str">
        <f>IFERROR(__xludf.DUMMYFUNCTION("""COMPUTED_VALUE"""),"Talita Raquel Nunes Bonetti - Formação Livre em Sexologia")</f>
        <v>Talita Raquel Nunes Bonetti - Formação Livre em Sexologia</v>
      </c>
    </row>
    <row r="2452">
      <c r="A2452" s="390" t="str">
        <f>IFERROR(__xludf.DUMMYFUNCTION("""COMPUTED_VALUE"""),"Claudete da Silva Moitinho - #SLUPI - SEGUNDA LICENCIATURA EM LETRAS – PORTUGUÊS E INGLÊS")</f>
        <v>Claudete da Silva Moitinho - #SLUPI - SEGUNDA LICENCIATURA EM LETRAS – PORTUGUÊS E INGLÊS</v>
      </c>
    </row>
    <row r="2453">
      <c r="A2453" s="390" t="str">
        <f>IFERROR(__xludf.DUMMYFUNCTION("""COMPUTED_VALUE"""),"Claudete da Silva Moitinho - Pós-Graduação Alfabetização e Letramento")</f>
        <v>Claudete da Silva Moitinho - Pós-Graduação Alfabetização e Letramento</v>
      </c>
    </row>
    <row r="2454">
      <c r="A2454" s="390" t="str">
        <f>IFERROR(__xludf.DUMMYFUNCTION("""COMPUTED_VALUE"""),"Claudete da Silva Moitinho - #SLUPI - SEGUNDA LICENCIATURA EM LETRAS – PORTUGUÊS E INGLÊS")</f>
        <v>Claudete da Silva Moitinho - #SLUPI - SEGUNDA LICENCIATURA EM LETRAS – PORTUGUÊS E INGLÊS</v>
      </c>
    </row>
    <row r="2455">
      <c r="A2455" s="390" t="str">
        <f>IFERROR(__xludf.DUMMYFUNCTION("""COMPUTED_VALUE"""),"Julio Marinho de Assis - #SLMF - Segunda Licenciatura em Música 1320Horas")</f>
        <v>Julio Marinho de Assis - #SLMF - Segunda Licenciatura em Música 1320Horas</v>
      </c>
    </row>
    <row r="2456">
      <c r="A2456" s="390" t="str">
        <f>IFERROR(__xludf.DUMMYFUNCTION("""COMPUTED_VALUE"""),"Janaína Pricíla de Almeida - Pós-Graduação em Psicanálise")</f>
        <v>Janaína Pricíla de Almeida - Pós-Graduação em Psicanálise</v>
      </c>
    </row>
    <row r="2457">
      <c r="A2457" s="390" t="str">
        <f>IFERROR(__xludf.DUMMYFUNCTION("""COMPUTED_VALUE"""),"Ecicleide maria da silva - Pós-Graduação em Psicanálise")</f>
        <v>Ecicleide maria da silva - Pós-Graduação em Psicanálise</v>
      </c>
    </row>
    <row r="2458">
      <c r="A2458" s="390" t="str">
        <f>IFERROR(__xludf.DUMMYFUNCTION("""COMPUTED_VALUE"""),"Maurício da Costa Lyra - #FPMF- Formação Pedagógica em Música 1200Horas")</f>
        <v>Maurício da Costa Lyra - #FPMF- Formação Pedagógica em Música 1200Horas</v>
      </c>
    </row>
    <row r="2459">
      <c r="A2459" s="390" t="str">
        <f>IFERROR(__xludf.DUMMYFUNCTION("""COMPUTED_VALUE"""),"Jose Pio Souto Junior - #SLMF - Segunda Licenciatura em Música 1320Horas")</f>
        <v>Jose Pio Souto Junior - #SLMF - Segunda Licenciatura em Música 1320Horas</v>
      </c>
    </row>
    <row r="2460">
      <c r="A2460" s="390" t="str">
        <f>IFERROR(__xludf.DUMMYFUNCTION("""COMPUTED_VALUE"""),"Jose Pio Souto Junior - Pós-Graduação em Engenharia de Segurança do Trabalho")</f>
        <v>Jose Pio Souto Junior - Pós-Graduação em Engenharia de Segurança do Trabalho</v>
      </c>
    </row>
    <row r="2461">
      <c r="A2461" s="390" t="str">
        <f>IFERROR(__xludf.DUMMYFUNCTION("""COMPUTED_VALUE"""),"Leudilene Ferreira De Araujo Dias - Formação Livre Psicanálise")</f>
        <v>Leudilene Ferreira De Araujo Dias - Formação Livre Psicanálise</v>
      </c>
    </row>
    <row r="2462">
      <c r="A2462" s="390" t="str">
        <f>IFERROR(__xludf.DUMMYFUNCTION("""COMPUTED_VALUE"""),"Sergio Ricardo Ferreira - #FPUM Formação Pedagógica em Matemática")</f>
        <v>Sergio Ricardo Ferreira - #FPUM Formação Pedagógica em Matemática</v>
      </c>
    </row>
    <row r="2463">
      <c r="A2463" s="390" t="str">
        <f>IFERROR(__xludf.DUMMYFUNCTION("""COMPUTED_VALUE"""),"Sergio Ricardo Ferreira - Formação Pedagógica em Matemática")</f>
        <v>Sergio Ricardo Ferreira - Formação Pedagógica em Matemática</v>
      </c>
    </row>
    <row r="2464">
      <c r="A2464" s="390" t="str">
        <f>IFERROR(__xludf.DUMMYFUNCTION("""COMPUTED_VALUE"""),"Márcia Rosana da Cruz Maciel Sousa - Pós-Graduação em Atendimento Educacional Especializado Com Ênfase Em Educação Especial e Inclusiva")</f>
        <v>Márcia Rosana da Cruz Maciel Sousa - Pós-Graduação em Atendimento Educacional Especializado Com Ênfase Em Educação Especial e Inclusiva</v>
      </c>
    </row>
    <row r="2465">
      <c r="A2465" s="390" t="str">
        <f>IFERROR(__xludf.DUMMYFUNCTION("""COMPUTED_VALUE"""),"Bruno Renato Paschoal - #SLMF - Segunda Licenciatura em Música 1320Horas")</f>
        <v>Bruno Renato Paschoal - #SLMF - Segunda Licenciatura em Música 1320Horas</v>
      </c>
    </row>
    <row r="2466">
      <c r="A2466" s="390" t="str">
        <f>IFERROR(__xludf.DUMMYFUNCTION("""COMPUTED_VALUE"""),"Bruno Renato Paschoal - Pós-Graduação em Educação Musical")</f>
        <v>Bruno Renato Paschoal - Pós-Graduação em Educação Musical</v>
      </c>
    </row>
    <row r="2467">
      <c r="A2467" s="390" t="str">
        <f>IFERROR(__xludf.DUMMYFUNCTION("""COMPUTED_VALUE"""),"Antonio Delzumir Pessoa da Silva - #FPUM Formação Pedagógica em Matemática")</f>
        <v>Antonio Delzumir Pessoa da Silva - #FPUM Formação Pedagógica em Matemática</v>
      </c>
    </row>
    <row r="2468">
      <c r="A2468" s="390" t="str">
        <f>IFERROR(__xludf.DUMMYFUNCTION("""COMPUTED_VALUE"""),"Antonio Delzumir Pessoa da Silva - Formação Pedagógica em Matemática")</f>
        <v>Antonio Delzumir Pessoa da Silva - Formação Pedagógica em Matemática</v>
      </c>
    </row>
    <row r="2469">
      <c r="A2469" s="390" t="str">
        <f>IFERROR(__xludf.DUMMYFUNCTION("""COMPUTED_VALUE"""),"Ozeas Fernandes da Costa - Formação Livre Psicanálise")</f>
        <v>Ozeas Fernandes da Costa - Formação Livre Psicanálise</v>
      </c>
    </row>
    <row r="2470">
      <c r="A2470" s="390" t="str">
        <f>IFERROR(__xludf.DUMMYFUNCTION("""COMPUTED_VALUE"""),"Antonio Ferreira Neto - #FPMF- Formação Pedagógica em Música 1200Horas")</f>
        <v>Antonio Ferreira Neto - #FPMF- Formação Pedagógica em Música 1200Horas</v>
      </c>
    </row>
    <row r="2471">
      <c r="A2471" s="390" t="str">
        <f>IFERROR(__xludf.DUMMYFUNCTION("""COMPUTED_VALUE"""),"Doraci Leonarda dos Santos - Formação Livre Psicanálise")</f>
        <v>Doraci Leonarda dos Santos - Formação Livre Psicanálise</v>
      </c>
    </row>
    <row r="2472">
      <c r="A2472" s="390" t="str">
        <f>IFERROR(__xludf.DUMMYFUNCTION("""COMPUTED_VALUE"""),"Leila Pereira da Silva - #SLPA- Segunda Licenciatura em Pedagogia 01")</f>
        <v>Leila Pereira da Silva - #SLPA- Segunda Licenciatura em Pedagogia 01</v>
      </c>
    </row>
    <row r="2473">
      <c r="A2473" s="390" t="str">
        <f>IFERROR(__xludf.DUMMYFUNCTION("""COMPUTED_VALUE"""),"Patricia Wilhelm da Rocha Avila - Pós-Graduação em Psicanálise")</f>
        <v>Patricia Wilhelm da Rocha Avila - Pós-Graduação em Psicanálise</v>
      </c>
    </row>
    <row r="2474">
      <c r="A2474" s="390" t="str">
        <f>IFERROR(__xludf.DUMMYFUNCTION("""COMPUTED_VALUE"""),"Patricia Wilhelm da Rocha Avila - Pós-Graduação em Sexologia")</f>
        <v>Patricia Wilhelm da Rocha Avila - Pós-Graduação em Sexologia</v>
      </c>
    </row>
    <row r="2475">
      <c r="A2475" s="390" t="str">
        <f>IFERROR(__xludf.DUMMYFUNCTION("""COMPUTED_VALUE"""),"Lílian de Castro Junqueira - Pós-Graduação em Neuropsicopedagogia Clínica")</f>
        <v>Lílian de Castro Junqueira - Pós-Graduação em Neuropsicopedagogia Clínica</v>
      </c>
    </row>
    <row r="2476">
      <c r="A2476" s="390" t="str">
        <f>IFERROR(__xludf.DUMMYFUNCTION("""COMPUTED_VALUE"""),"Lílian de Castro Junqueira - Pós-graduação em Neuropsicologia")</f>
        <v>Lílian de Castro Junqueira - Pós-graduação em Neuropsicologia</v>
      </c>
    </row>
    <row r="2477">
      <c r="A2477" s="390" t="str">
        <f>IFERROR(__xludf.DUMMYFUNCTION("""COMPUTED_VALUE"""),"Lílian de Castro Junqueira - Pós-Graduação em Terapia em ABA- Análise do Comportamento Aplicada Clínica")</f>
        <v>Lílian de Castro Junqueira - Pós-Graduação em Terapia em ABA- Análise do Comportamento Aplicada Clínica</v>
      </c>
    </row>
    <row r="2478">
      <c r="A2478" s="390" t="str">
        <f>IFERROR(__xludf.DUMMYFUNCTION("""COMPUTED_VALUE"""),"Lílian de Castro Junqueira - Pós-Graduação em Neuropsicopedagogia Clínica e Institucional")</f>
        <v>Lílian de Castro Junqueira - Pós-Graduação em Neuropsicopedagogia Clínica e Institucional</v>
      </c>
    </row>
    <row r="2479">
      <c r="A2479" s="390" t="str">
        <f>IFERROR(__xludf.DUMMYFUNCTION("""COMPUTED_VALUE"""),"Daniela de Fátima Bontempi - Formação Livre Psicanálise")</f>
        <v>Daniela de Fátima Bontempi - Formação Livre Psicanálise</v>
      </c>
    </row>
    <row r="2480">
      <c r="A2480" s="390" t="str">
        <f>IFERROR(__xludf.DUMMYFUNCTION("""COMPUTED_VALUE"""),"GRACIELLEN CAVALCANTE DE SOUSA - Pós-Graduação em Direito Penal e Processual Penal")</f>
        <v>GRACIELLEN CAVALCANTE DE SOUSA - Pós-Graduação em Direito Penal e Processual Penal</v>
      </c>
    </row>
    <row r="2481">
      <c r="A2481" s="390" t="str">
        <f>IFERROR(__xludf.DUMMYFUNCTION("""COMPUTED_VALUE"""),"Edna Jesus Ferreira dos Santos - Pós-Graduação em Psicanálise")</f>
        <v>Edna Jesus Ferreira dos Santos - Pós-Graduação em Psicanálise</v>
      </c>
    </row>
    <row r="2482">
      <c r="A2482" s="390" t="str">
        <f>IFERROR(__xludf.DUMMYFUNCTION("""COMPUTED_VALUE"""),"Edna Jesus Ferreira dos Santos - Pós-Graduação Terapia Cognitiva Comportamental")</f>
        <v>Edna Jesus Ferreira dos Santos - Pós-Graduação Terapia Cognitiva Comportamental</v>
      </c>
    </row>
    <row r="2483">
      <c r="A2483" s="390" t="str">
        <f>IFERROR(__xludf.DUMMYFUNCTION("""COMPUTED_VALUE"""),"Rosilea Mara da Silva - Pós-Graduação em Autismo")</f>
        <v>Rosilea Mara da Silva - Pós-Graduação em Autismo</v>
      </c>
    </row>
    <row r="2484">
      <c r="A2484" s="390" t="str">
        <f>IFERROR(__xludf.DUMMYFUNCTION("""COMPUTED_VALUE"""),"Rosilea Mara da Silva - Pedagogia para Bacharéis")</f>
        <v>Rosilea Mara da Silva - Pedagogia para Bacharéis</v>
      </c>
    </row>
    <row r="2485">
      <c r="A2485" s="390" t="str">
        <f>IFERROR(__xludf.DUMMYFUNCTION("""COMPUTED_VALUE"""),"Rosilea Mara da Silva - Práticas Pedagógicas")</f>
        <v>Rosilea Mara da Silva - Práticas Pedagógicas</v>
      </c>
    </row>
    <row r="2486">
      <c r="A2486" s="390" t="str">
        <f>IFERROR(__xludf.DUMMYFUNCTION("""COMPUTED_VALUE"""),"Rosilea Mara da Silva - Práticas Pedagógicas")</f>
        <v>Rosilea Mara da Silva - Práticas Pedagógicas</v>
      </c>
    </row>
    <row r="2487">
      <c r="A2487" s="390" t="str">
        <f>IFERROR(__xludf.DUMMYFUNCTION("""COMPUTED_VALUE"""),"Rosilea Mara da Silva - Pós-Graduação em Psicopedagogia Clinica, Institucional e Hospitalar 660Horas")</f>
        <v>Rosilea Mara da Silva - Pós-Graduação em Psicopedagogia Clinica, Institucional e Hospitalar 660Horas</v>
      </c>
    </row>
    <row r="2488">
      <c r="A2488" s="390" t="str">
        <f>IFERROR(__xludf.DUMMYFUNCTION("""COMPUTED_VALUE"""),"Liliany Ursulo - #FPUP-FORMAÇÃO PEDAGÓGICA EM PEDAGOGIA- U")</f>
        <v>Liliany Ursulo - #FPUP-FORMAÇÃO PEDAGÓGICA EM PEDAGOGIA- U</v>
      </c>
    </row>
    <row r="2489">
      <c r="A2489" s="390" t="str">
        <f>IFERROR(__xludf.DUMMYFUNCTION("""COMPUTED_VALUE"""),"Liliany Ursulo - #FPP- Formação Pedagógica em Pedagogia R2")</f>
        <v>Liliany Ursulo - #FPP- Formação Pedagógica em Pedagogia R2</v>
      </c>
    </row>
    <row r="2490">
      <c r="A2490" s="390" t="str">
        <f>IFERROR(__xludf.DUMMYFUNCTION("""COMPUTED_VALUE"""),"Manuel Campos Macedo Filho - Pós-Graduação em Ensino de História")</f>
        <v>Manuel Campos Macedo Filho - Pós-Graduação em Ensino de História</v>
      </c>
    </row>
    <row r="2491">
      <c r="A2491" s="390" t="str">
        <f>IFERROR(__xludf.DUMMYFUNCTION("""COMPUTED_VALUE"""),"Erik Pöpper - Pós-Graduação em Engenharia de Segurança do Trabalho")</f>
        <v>Erik Pöpper - Pós-Graduação em Engenharia de Segurança do Trabalho</v>
      </c>
    </row>
    <row r="2492">
      <c r="A2492" s="390" t="str">
        <f>IFERROR(__xludf.DUMMYFUNCTION("""COMPUTED_VALUE"""),"TACIA KAMYLA OLIVEIRA DA SILVA - Formação Livre Psicanálise")</f>
        <v>TACIA KAMYLA OLIVEIRA DA SILVA - Formação Livre Psicanálise</v>
      </c>
    </row>
    <row r="2493">
      <c r="A2493" s="390" t="str">
        <f>IFERROR(__xludf.DUMMYFUNCTION("""COMPUTED_VALUE"""),"Michelle Vitor da Costa Duarte - Formação Livre Psicanálise")</f>
        <v>Michelle Vitor da Costa Duarte - Formação Livre Psicanálise</v>
      </c>
    </row>
    <row r="2494">
      <c r="A2494" s="390" t="str">
        <f>IFERROR(__xludf.DUMMYFUNCTION("""COMPUTED_VALUE"""),"Maria Violeta Lima Macedo - Pós-Graduação em Psicomotricidade e Educação Especial")</f>
        <v>Maria Violeta Lima Macedo - Pós-Graduação em Psicomotricidade e Educação Especial</v>
      </c>
    </row>
    <row r="2495">
      <c r="A2495" s="390" t="str">
        <f>IFERROR(__xludf.DUMMYFUNCTION("""COMPUTED_VALUE"""),"Adriana da Silva Falcoeiras Correa - Formação Livre Psicanálise")</f>
        <v>Adriana da Silva Falcoeiras Correa - Formação Livre Psicanálise</v>
      </c>
    </row>
    <row r="2496">
      <c r="A2496" s="390" t="str">
        <f>IFERROR(__xludf.DUMMYFUNCTION("""COMPUTED_VALUE"""),"Silvana da Silva Sousa - RADIANTE - Pós-Graduação em Educação Especial 720Horas")</f>
        <v>Silvana da Silva Sousa - RADIANTE - Pós-Graduação em Educação Especial 720Horas</v>
      </c>
    </row>
    <row r="2497">
      <c r="A2497" s="390" t="str">
        <f>IFERROR(__xludf.DUMMYFUNCTION("""COMPUTED_VALUE"""),"Maria Sandra Pereira da Silva Teixeira - Formação Livre Psicanálise")</f>
        <v>Maria Sandra Pereira da Silva Teixeira - Formação Livre Psicanálise</v>
      </c>
    </row>
    <row r="2498">
      <c r="A2498" s="390" t="str">
        <f>IFERROR(__xludf.DUMMYFUNCTION("""COMPUTED_VALUE"""),"Maria Sandra Pereira da Silva Teixeira - FORMAÇÃO LIVRE EM PSICANÁLISE - 2024")</f>
        <v>Maria Sandra Pereira da Silva Teixeira - FORMAÇÃO LIVRE EM PSICANÁLISE - 2024</v>
      </c>
    </row>
    <row r="2499">
      <c r="A2499" s="390" t="str">
        <f>IFERROR(__xludf.DUMMYFUNCTION("""COMPUTED_VALUE"""),"Jorge Ventura de Sena - Pós-Graduação em Psicanálise")</f>
        <v>Jorge Ventura de Sena - Pós-Graduação em Psicanálise</v>
      </c>
    </row>
    <row r="2500">
      <c r="A2500" s="390" t="str">
        <f>IFERROR(__xludf.DUMMYFUNCTION("""COMPUTED_VALUE"""),"Elisiane Cristina Rodrigues Martins - Pós-Graduação em Atendimento Educacional Especializado")</f>
        <v>Elisiane Cristina Rodrigues Martins - Pós-Graduação em Atendimento Educacional Especializado</v>
      </c>
    </row>
    <row r="2501">
      <c r="A2501" s="390" t="str">
        <f>IFERROR(__xludf.DUMMYFUNCTION("""COMPUTED_VALUE"""),"Simone Aparecida Silva De Jesus - #SLPA- Segunda Licenciatura em Pedagogia 01")</f>
        <v>Simone Aparecida Silva De Jesus - #SLPA- Segunda Licenciatura em Pedagogia 01</v>
      </c>
    </row>
    <row r="2502">
      <c r="A2502" s="390" t="str">
        <f>IFERROR(__xludf.DUMMYFUNCTION("""COMPUTED_VALUE"""),"Simone Aparecida Silva De Jesus - Pós-graduação em Gestão Escolar Integradora com Ênfase em Supervisão, Orientação, Administração e Inspeção 740Horas")</f>
        <v>Simone Aparecida Silva De Jesus - Pós-graduação em Gestão Escolar Integradora com Ênfase em Supervisão, Orientação, Administração e Inspeção 740Horas</v>
      </c>
    </row>
    <row r="2503">
      <c r="A2503" s="390" t="str">
        <f>IFERROR(__xludf.DUMMYFUNCTION("""COMPUTED_VALUE"""),"Simone Aparecida Silva De Jesus - Pós-Graduação em Gestão Escolar Integrada com Ênfase em Supervisão, Orientação, Administração e Inspeção")</f>
        <v>Simone Aparecida Silva De Jesus - Pós-Graduação em Gestão Escolar Integrada com Ênfase em Supervisão, Orientação, Administração e Inspeção</v>
      </c>
    </row>
    <row r="2504">
      <c r="A2504" s="390" t="str">
        <f>IFERROR(__xludf.DUMMYFUNCTION("""COMPUTED_VALUE"""),"Naiara Nunes da Silva - #SLLPA - Segunda Licenciatura Letras - Português")</f>
        <v>Naiara Nunes da Silva - #SLLPA - Segunda Licenciatura Letras - Português</v>
      </c>
    </row>
    <row r="2505">
      <c r="A2505" s="390" t="str">
        <f>IFERROR(__xludf.DUMMYFUNCTION("""COMPUTED_VALUE"""),"Naiara Nunes da Silva - Pós-Graduação Educação Especial e Inclusiva")</f>
        <v>Naiara Nunes da Silva - Pós-Graduação Educação Especial e Inclusiva</v>
      </c>
    </row>
    <row r="2506">
      <c r="A2506" s="390" t="str">
        <f>IFERROR(__xludf.DUMMYFUNCTION("""COMPUTED_VALUE"""),"Naiara Nunes da Silva - Pós-Graduação em Neuropsicopedagogia Institucional, Clínica e Hospitalar 850h")</f>
        <v>Naiara Nunes da Silva - Pós-Graduação em Neuropsicopedagogia Institucional, Clínica e Hospitalar 850h</v>
      </c>
    </row>
    <row r="2507">
      <c r="A2507" s="390" t="str">
        <f>IFERROR(__xludf.DUMMYFUNCTION("""COMPUTED_VALUE"""),"Naiara Nunes da Silva - Pós-Graduação em Neuropsicopedagogia Institucional, Clínica e Hospitalar 850h")</f>
        <v>Naiara Nunes da Silva - Pós-Graduação em Neuropsicopedagogia Institucional, Clínica e Hospitalar 850h</v>
      </c>
    </row>
    <row r="2508">
      <c r="A2508" s="390" t="str">
        <f>IFERROR(__xludf.DUMMYFUNCTION("""COMPUTED_VALUE"""),"Naiara Nunes da Silva - Pós-Graduação em Deficiência Intelectual")</f>
        <v>Naiara Nunes da Silva - Pós-Graduação em Deficiência Intelectual</v>
      </c>
    </row>
    <row r="2509">
      <c r="A2509" s="390" t="str">
        <f>IFERROR(__xludf.DUMMYFUNCTION("""COMPUTED_VALUE"""),"Naiara Nunes da Silva - #SLTLE1- Segunda Licenciatura em Letras - Espanhol")</f>
        <v>Naiara Nunes da Silva - #SLTLE1- Segunda Licenciatura em Letras - Espanhol</v>
      </c>
    </row>
    <row r="2510">
      <c r="A2510" s="390" t="str">
        <f>IFERROR(__xludf.DUMMYFUNCTION("""COMPUTED_VALUE"""),"Naiara Nunes da Silva - Pós-Graduação em Psicopedagogia Clinica, Institucional e Hospitalar 660Horas")</f>
        <v>Naiara Nunes da Silva - Pós-Graduação em Psicopedagogia Clinica, Institucional e Hospitalar 660Horas</v>
      </c>
    </row>
    <row r="2511">
      <c r="A2511" s="390" t="str">
        <f>IFERROR(__xludf.DUMMYFUNCTION("""COMPUTED_VALUE"""),"Chaenny Silva Magalhães - Formação Livre Psicanálise")</f>
        <v>Chaenny Silva Magalhães - Formação Livre Psicanálise</v>
      </c>
    </row>
    <row r="2512">
      <c r="A2512" s="390" t="str">
        <f>IFERROR(__xludf.DUMMYFUNCTION("""COMPUTED_VALUE"""),"Chaenny Silva Magalhães - Formação Livre Psicanálise")</f>
        <v>Chaenny Silva Magalhães - Formação Livre Psicanálise</v>
      </c>
    </row>
    <row r="2513">
      <c r="A2513" s="390" t="str">
        <f>IFERROR(__xludf.DUMMYFUNCTION("""COMPUTED_VALUE"""),"Maria Francilene da Silva sousa couto - #SLUP - SEGUNDA LICENCIATURA EM PEDAGOGIA")</f>
        <v>Maria Francilene da Silva sousa couto - #SLUP - SEGUNDA LICENCIATURA EM PEDAGOGIA</v>
      </c>
    </row>
    <row r="2514">
      <c r="A2514" s="390" t="str">
        <f>IFERROR(__xludf.DUMMYFUNCTION("""COMPUTED_VALUE"""),"Maria Francilene da Silva sousa couto - Pós-Graduação Educação Especial e Inclusiva")</f>
        <v>Maria Francilene da Silva sousa couto - Pós-Graduação Educação Especial e Inclusiva</v>
      </c>
    </row>
    <row r="2515">
      <c r="A2515" s="390" t="str">
        <f>IFERROR(__xludf.DUMMYFUNCTION("""COMPUTED_VALUE"""),"Maria Francilene da Silva sousa couto - #SLPA- Segunda Licenciatura em Pedagogia 01")</f>
        <v>Maria Francilene da Silva sousa couto - #SLPA- Segunda Licenciatura em Pedagogia 01</v>
      </c>
    </row>
    <row r="2516">
      <c r="A2516" s="390" t="str">
        <f>IFERROR(__xludf.DUMMYFUNCTION("""COMPUTED_VALUE"""),"Amanda Oliveira Menezes Lima - Pós-Graduação em Biblioteconomia")</f>
        <v>Amanda Oliveira Menezes Lima - Pós-Graduação em Biblioteconomia</v>
      </c>
    </row>
    <row r="2517">
      <c r="A2517" s="390" t="str">
        <f>IFERROR(__xludf.DUMMYFUNCTION("""COMPUTED_VALUE"""),"Amanda Oliveira Menezes Lima - Pós-Graduação Gestão Escolar e Coordenação Pedagógica")</f>
        <v>Amanda Oliveira Menezes Lima - Pós-Graduação Gestão Escolar e Coordenação Pedagógica</v>
      </c>
    </row>
    <row r="2518">
      <c r="A2518" s="390" t="str">
        <f>IFERROR(__xludf.DUMMYFUNCTION("""COMPUTED_VALUE"""),"Michelle Ribeiro Braga - #SLUP - SEGUNDA LICENCIATURA EM PEDAGOGIA")</f>
        <v>Michelle Ribeiro Braga - #SLUP - SEGUNDA LICENCIATURA EM PEDAGOGIA</v>
      </c>
    </row>
    <row r="2519">
      <c r="A2519" s="390" t="str">
        <f>IFERROR(__xludf.DUMMYFUNCTION("""COMPUTED_VALUE"""),"Tamires Serrano Gomes da Silva - #SLUP - SEGUNDA LICENCIATURA EM PEDAGOGIA")</f>
        <v>Tamires Serrano Gomes da Silva - #SLUP - SEGUNDA LICENCIATURA EM PEDAGOGIA</v>
      </c>
    </row>
    <row r="2520">
      <c r="A2520" s="390" t="str">
        <f>IFERROR(__xludf.DUMMYFUNCTION("""COMPUTED_VALUE"""),"Patrícia Regina Leite do Nascimento - Formação Livre Psicanálise")</f>
        <v>Patrícia Regina Leite do Nascimento - Formação Livre Psicanálise</v>
      </c>
    </row>
    <row r="2521">
      <c r="A2521" s="390" t="str">
        <f>IFERROR(__xludf.DUMMYFUNCTION("""COMPUTED_VALUE"""),"Daniela Coutinho Salvador - Pedagogia para Bacharéis")</f>
        <v>Daniela Coutinho Salvador - Pedagogia para Bacharéis</v>
      </c>
    </row>
    <row r="2522">
      <c r="A2522" s="390" t="str">
        <f>IFERROR(__xludf.DUMMYFUNCTION("""COMPUTED_VALUE"""),"Andria Paula Costa Rodrigues Dresch - #FPMF- Formação Pedagógica em Música 1200Horas")</f>
        <v>Andria Paula Costa Rodrigues Dresch - #FPMF- Formação Pedagógica em Música 1200Horas</v>
      </c>
    </row>
    <row r="2523">
      <c r="A2523" s="390" t="str">
        <f>IFERROR(__xludf.DUMMYFUNCTION("""COMPUTED_VALUE"""),"Daniela Coutinho Salvador - Pedagogia para Bacharéis")</f>
        <v>Daniela Coutinho Salvador - Pedagogia para Bacharéis</v>
      </c>
    </row>
    <row r="2524">
      <c r="A2524" s="390" t="str">
        <f>IFERROR(__xludf.DUMMYFUNCTION("""COMPUTED_VALUE"""),"Daniela Coutinho Salvador - Pedagogia para Bacharéis")</f>
        <v>Daniela Coutinho Salvador - Pedagogia para Bacharéis</v>
      </c>
    </row>
    <row r="2525">
      <c r="A2525" s="390" t="str">
        <f>IFERROR(__xludf.DUMMYFUNCTION("""COMPUTED_VALUE"""),"Reginaldo Jose Nogueira Prado - Pós-Graduação em Administração Pública")</f>
        <v>Reginaldo Jose Nogueira Prado - Pós-Graduação em Administração Pública</v>
      </c>
    </row>
    <row r="2526">
      <c r="A2526" s="390" t="str">
        <f>IFERROR(__xludf.DUMMYFUNCTION("""COMPUTED_VALUE"""),"Reginaldo Jose Nogueira Prado - Pós-Graduação em Metodologia do Ensino da Matemática")</f>
        <v>Reginaldo Jose Nogueira Prado - Pós-Graduação em Metodologia do Ensino da Matemática</v>
      </c>
    </row>
    <row r="2527">
      <c r="A2527" s="390" t="str">
        <f>IFERROR(__xludf.DUMMYFUNCTION("""COMPUTED_VALUE"""),"Vinicius Pecegueiro - Pós-Graduação em TDAH – Transtorno do Déficit de Atenção e Hiperatividade")</f>
        <v>Vinicius Pecegueiro - Pós-Graduação em TDAH – Transtorno do Déficit de Atenção e Hiperatividade</v>
      </c>
    </row>
    <row r="2528">
      <c r="A2528" s="390" t="str">
        <f>IFERROR(__xludf.DUMMYFUNCTION("""COMPUTED_VALUE"""),"Vinicius Pecegueiro - Pós-Graduação em Autismo")</f>
        <v>Vinicius Pecegueiro - Pós-Graduação em Autismo</v>
      </c>
    </row>
    <row r="2529">
      <c r="A2529" s="390" t="str">
        <f>IFERROR(__xludf.DUMMYFUNCTION("""COMPUTED_VALUE"""),"Marquilene Meireles Expedito - RADIANTE - Pós-Graduação Educação Especial e Inclusiva")</f>
        <v>Marquilene Meireles Expedito - RADIANTE - Pós-Graduação Educação Especial e Inclusiva</v>
      </c>
    </row>
    <row r="2530">
      <c r="A2530" s="390" t="str">
        <f>IFERROR(__xludf.DUMMYFUNCTION("""COMPUTED_VALUE"""),"Larissa Galiza de Alencar Lima - Formação Pedagógica em Matemática")</f>
        <v>Larissa Galiza de Alencar Lima - Formação Pedagógica em Matemática</v>
      </c>
    </row>
    <row r="2531">
      <c r="A2531" s="390" t="str">
        <f>IFERROR(__xludf.DUMMYFUNCTION("""COMPUTED_VALUE"""),"Larissa Galiza de Alencar Lima - #FPM+ Formação Pedagógica em Matemática-1200Horas")</f>
        <v>Larissa Galiza de Alencar Lima - #FPM+ Formação Pedagógica em Matemática-1200Horas</v>
      </c>
    </row>
    <row r="2532">
      <c r="A2532" s="390" t="str">
        <f>IFERROR(__xludf.DUMMYFUNCTION("""COMPUTED_VALUE"""),"Greice de Bona Sartor - Capacitação em Sexologia")</f>
        <v>Greice de Bona Sartor - Capacitação em Sexologia</v>
      </c>
    </row>
    <row r="2533">
      <c r="A2533" s="390" t="str">
        <f>IFERROR(__xludf.DUMMYFUNCTION("""COMPUTED_VALUE"""),"Darianna Laura da Silva - Formação pedagógica Letras - Português")</f>
        <v>Darianna Laura da Silva - Formação pedagógica Letras - Português</v>
      </c>
    </row>
    <row r="2534">
      <c r="A2534" s="390" t="str">
        <f>IFERROR(__xludf.DUMMYFUNCTION("""COMPUTED_VALUE"""),"Darianna Laura da Silva - #FPT1-Pedagogia para Bacharéis e Tecnólogos (2022)")</f>
        <v>Darianna Laura da Silva - #FPT1-Pedagogia para Bacharéis e Tecnólogos (2022)</v>
      </c>
    </row>
    <row r="2535">
      <c r="A2535" s="390" t="str">
        <f>IFERROR(__xludf.DUMMYFUNCTION("""COMPUTED_VALUE"""),"Williams Crystian Tanoeiro Melo - #FPMF- Formação Pedagógica em Música 1200Horas")</f>
        <v>Williams Crystian Tanoeiro Melo - #FPMF- Formação Pedagógica em Música 1200Horas</v>
      </c>
    </row>
    <row r="2536">
      <c r="A2536" s="390" t="str">
        <f>IFERROR(__xludf.DUMMYFUNCTION("""COMPUTED_VALUE"""),"Marco Aurélio Gomes Vilas Bôas - #FPMF- Formação Pedagógica em Música 1200Horas")</f>
        <v>Marco Aurélio Gomes Vilas Bôas - #FPMF- Formação Pedagógica em Música 1200Horas</v>
      </c>
    </row>
    <row r="2537">
      <c r="A2537" s="390" t="str">
        <f>IFERROR(__xludf.DUMMYFUNCTION("""COMPUTED_VALUE"""),"Marco Aurélio Gomes Vilas Bôas - Pós-Graduação em Musicoterapia")</f>
        <v>Marco Aurélio Gomes Vilas Bôas - Pós-Graduação em Musicoterapia</v>
      </c>
    </row>
    <row r="2538">
      <c r="A2538" s="390" t="str">
        <f>IFERROR(__xludf.DUMMYFUNCTION("""COMPUTED_VALUE"""),"Roberta Caroline Valério de Souza - Pós-Graduação Educação Especial e Inclusiva")</f>
        <v>Roberta Caroline Valério de Souza - Pós-Graduação Educação Especial e Inclusiva</v>
      </c>
    </row>
    <row r="2539">
      <c r="A2539" s="390" t="str">
        <f>IFERROR(__xludf.DUMMYFUNCTION("""COMPUTED_VALUE"""),"Bruno Fabricio dos Santos Alves Pereira - Práticas Pedagógicas")</f>
        <v>Bruno Fabricio dos Santos Alves Pereira - Práticas Pedagógicas</v>
      </c>
    </row>
    <row r="2540">
      <c r="A2540" s="390" t="str">
        <f>IFERROR(__xludf.DUMMYFUNCTION("""COMPUTED_VALUE"""),"Daniel Régis Ferreira de Oliveira - #FPMF- Formação Pedagógica em Música 1200Horas")</f>
        <v>Daniel Régis Ferreira de Oliveira - #FPMF- Formação Pedagógica em Música 1200Horas</v>
      </c>
    </row>
    <row r="2541">
      <c r="A2541" s="390" t="str">
        <f>IFERROR(__xludf.DUMMYFUNCTION("""COMPUTED_VALUE"""),"Andreia dos Santos de Queiroz - Práticas Pedagógicas")</f>
        <v>Andreia dos Santos de Queiroz - Práticas Pedagógicas</v>
      </c>
    </row>
    <row r="2542">
      <c r="A2542" s="390" t="str">
        <f>IFERROR(__xludf.DUMMYFUNCTION("""COMPUTED_VALUE"""),"Ana Cristina Oliveira dos Santos - #SLPA- Segunda Licenciatura em Pedagogia 01")</f>
        <v>Ana Cristina Oliveira dos Santos - #SLPA- Segunda Licenciatura em Pedagogia 01</v>
      </c>
    </row>
    <row r="2543">
      <c r="A2543" s="390" t="str">
        <f>IFERROR(__xludf.DUMMYFUNCTION("""COMPUTED_VALUE"""),"Ana Cristina Oliveira dos Santos - Pós-Graduação em Gestão Educacional")</f>
        <v>Ana Cristina Oliveira dos Santos - Pós-Graduação em Gestão Educacional</v>
      </c>
    </row>
    <row r="2544">
      <c r="A2544" s="390" t="str">
        <f>IFERROR(__xludf.DUMMYFUNCTION("""COMPUTED_VALUE"""),"Helenice Souza Barbosa - Pós-Graduação em Psicanálise")</f>
        <v>Helenice Souza Barbosa - Pós-Graduação em Psicanálise</v>
      </c>
    </row>
    <row r="2545">
      <c r="A2545" s="390" t="str">
        <f>IFERROR(__xludf.DUMMYFUNCTION("""COMPUTED_VALUE"""),"Muricy Ribas Junior - Formação Livre em Sexologia")</f>
        <v>Muricy Ribas Junior - Formação Livre em Sexologia</v>
      </c>
    </row>
    <row r="2546">
      <c r="A2546" s="390" t="str">
        <f>IFERROR(__xludf.DUMMYFUNCTION("""COMPUTED_VALUE"""),"Edneya Aparecida da Silva - #FPUP-FORMAÇÃO PEDAGÓGICA EM PEDAGOGIA- U")</f>
        <v>Edneya Aparecida da Silva - #FPUP-FORMAÇÃO PEDAGÓGICA EM PEDAGOGIA- U</v>
      </c>
    </row>
    <row r="2547">
      <c r="A2547" s="390" t="str">
        <f>IFERROR(__xludf.DUMMYFUNCTION("""COMPUTED_VALUE"""),"Edneya Aparecida da Silva - #FPP- Formação Pedagógica em Pedagogia R2")</f>
        <v>Edneya Aparecida da Silva - #FPP- Formação Pedagógica em Pedagogia R2</v>
      </c>
    </row>
    <row r="2548">
      <c r="A2548" s="390" t="str">
        <f>IFERROR(__xludf.DUMMYFUNCTION("""COMPUTED_VALUE"""),"Franciene de Morais Sena Dutra - Pós-Graduação em Psicanálise")</f>
        <v>Franciene de Morais Sena Dutra - Pós-Graduação em Psicanálise</v>
      </c>
    </row>
    <row r="2549">
      <c r="A2549" s="390" t="str">
        <f>IFERROR(__xludf.DUMMYFUNCTION("""COMPUTED_VALUE"""),"Sidneia Alves Dantas - #SLUP - SEGUNDA LICENCIATURA EM PEDAGOGIA")</f>
        <v>Sidneia Alves Dantas - #SLUP - SEGUNDA LICENCIATURA EM PEDAGOGIA</v>
      </c>
    </row>
    <row r="2550">
      <c r="A2550" s="390" t="str">
        <f>IFERROR(__xludf.DUMMYFUNCTION("""COMPUTED_VALUE"""),"Sidneia Alves Dantas - #SLPA- Segunda Licenciatura em Pedagogia 01")</f>
        <v>Sidneia Alves Dantas - #SLPA- Segunda Licenciatura em Pedagogia 01</v>
      </c>
    </row>
    <row r="2551">
      <c r="A2551" s="390" t="str">
        <f>IFERROR(__xludf.DUMMYFUNCTION("""COMPUTED_VALUE"""),"Esmerindo Assis da Silva - Formação Livre Psicanálise")</f>
        <v>Esmerindo Assis da Silva - Formação Livre Psicanálise</v>
      </c>
    </row>
    <row r="2552">
      <c r="A2552" s="390" t="str">
        <f>IFERROR(__xludf.DUMMYFUNCTION("""COMPUTED_VALUE"""),"Ana Carolyne Peixoto de Oliveira Almeida - Formação Livre em Sexologia")</f>
        <v>Ana Carolyne Peixoto de Oliveira Almeida - Formação Livre em Sexologia</v>
      </c>
    </row>
    <row r="2553">
      <c r="A2553" s="390" t="str">
        <f>IFERROR(__xludf.DUMMYFUNCTION("""COMPUTED_VALUE"""),"Marco Antônio Pereira de Araújo - #SLMF - Segunda Licenciatura em Música 1320Horas")</f>
        <v>Marco Antônio Pereira de Araújo - #SLMF - Segunda Licenciatura em Música 1320Horas</v>
      </c>
    </row>
    <row r="2554">
      <c r="A2554" s="390" t="str">
        <f>IFERROR(__xludf.DUMMYFUNCTION("""COMPUTED_VALUE"""),"Marco Antônio Pereira de Araújo - #FPMF- Formação Pedagógica em Música 1200Horas")</f>
        <v>Marco Antônio Pereira de Araújo - #FPMF- Formação Pedagógica em Música 1200Horas</v>
      </c>
    </row>
    <row r="2555">
      <c r="A2555" s="390" t="str">
        <f>IFERROR(__xludf.DUMMYFUNCTION("""COMPUTED_VALUE"""),"Marco Antônio Pereira de Araújo - #FPMF- Formação Pedagógica em Música 2022")</f>
        <v>Marco Antônio Pereira de Araújo - #FPMF- Formação Pedagógica em Música 2022</v>
      </c>
    </row>
    <row r="2556">
      <c r="A2556" s="390" t="str">
        <f>IFERROR(__xludf.DUMMYFUNCTION("""COMPUTED_VALUE"""),"Carlos Henrique Ferreira Barros - Pós-Graduação em Sexologia")</f>
        <v>Carlos Henrique Ferreira Barros - Pós-Graduação em Sexologia</v>
      </c>
    </row>
    <row r="2557">
      <c r="A2557" s="390" t="str">
        <f>IFERROR(__xludf.DUMMYFUNCTION("""COMPUTED_VALUE"""),"Jonathan Sousa da Silva - Formação Livre Psicanálise")</f>
        <v>Jonathan Sousa da Silva - Formação Livre Psicanálise</v>
      </c>
    </row>
    <row r="2558">
      <c r="A2558" s="390" t="str">
        <f>IFERROR(__xludf.DUMMYFUNCTION("""COMPUTED_VALUE"""),"JANERSON PEREIRA DOS SANTOS - #FPMF- Formação Pedagógica em Música 1200Horas")</f>
        <v>JANERSON PEREIRA DOS SANTOS - #FPMF- Formação Pedagógica em Música 1200Horas</v>
      </c>
    </row>
    <row r="2559">
      <c r="A2559" s="390" t="str">
        <f>IFERROR(__xludf.DUMMYFUNCTION("""COMPUTED_VALUE"""),"Clarissa Rodrigues Moreira - Formação Livre Psicanálise")</f>
        <v>Clarissa Rodrigues Moreira - Formação Livre Psicanálise</v>
      </c>
    </row>
    <row r="2560">
      <c r="A2560" s="390" t="str">
        <f>IFERROR(__xludf.DUMMYFUNCTION("""COMPUTED_VALUE"""),"Suely Ferraz Seretnei - Formação Livre Psicanálise")</f>
        <v>Suely Ferraz Seretnei - Formação Livre Psicanálise</v>
      </c>
    </row>
    <row r="2561">
      <c r="A2561" s="390" t="str">
        <f>IFERROR(__xludf.DUMMYFUNCTION("""COMPUTED_VALUE"""),"Davi Gadelha Pereira - Pós-Graduação Educação Financeira")</f>
        <v>Davi Gadelha Pereira - Pós-Graduação Educação Financeira</v>
      </c>
    </row>
    <row r="2562">
      <c r="A2562" s="390" t="str">
        <f>IFERROR(__xludf.DUMMYFUNCTION("""COMPUTED_VALUE"""),"Célia das Graças Oliveira Vilela - Pós-Graduação Fisioterapia Aplicada a Atividades Físicas")</f>
        <v>Célia das Graças Oliveira Vilela - Pós-Graduação Fisioterapia Aplicada a Atividades Físicas</v>
      </c>
    </row>
    <row r="2563">
      <c r="A2563" s="390" t="str">
        <f>IFERROR(__xludf.DUMMYFUNCTION("""COMPUTED_VALUE"""),"Inaiara Calderaro Foresto - #SLUA- Segunda Licenciatura em Artes Visuais")</f>
        <v>Inaiara Calderaro Foresto - #SLUA- Segunda Licenciatura em Artes Visuais</v>
      </c>
    </row>
    <row r="2564">
      <c r="A2564" s="390" t="str">
        <f>IFERROR(__xludf.DUMMYFUNCTION("""COMPUTED_VALUE"""),"Inaiara Calderaro Foresto - Pós-Graduação em Ensino de Artes")</f>
        <v>Inaiara Calderaro Foresto - Pós-Graduação em Ensino de Artes</v>
      </c>
    </row>
    <row r="2565">
      <c r="A2565" s="390" t="str">
        <f>IFERROR(__xludf.DUMMYFUNCTION("""COMPUTED_VALUE"""),"Inaiara Calderaro Foresto - #SLLPA - Segunda Licenciatura Letras - Português")</f>
        <v>Inaiara Calderaro Foresto - #SLLPA - Segunda Licenciatura Letras - Português</v>
      </c>
    </row>
    <row r="2566">
      <c r="A2566" s="390" t="str">
        <f>IFERROR(__xludf.DUMMYFUNCTION("""COMPUTED_VALUE"""),"Inaiara Calderaro Foresto - #SLAA - Segunda Licenciatura em Artes Visuais")</f>
        <v>Inaiara Calderaro Foresto - #SLAA - Segunda Licenciatura em Artes Visuais</v>
      </c>
    </row>
    <row r="2567">
      <c r="A2567" s="390" t="str">
        <f>IFERROR(__xludf.DUMMYFUNCTION("""COMPUTED_VALUE"""),"Juliane Fontoura Rodrigues - Formação Livre em Psicanálise-2022")</f>
        <v>Juliane Fontoura Rodrigues - Formação Livre em Psicanálise-2022</v>
      </c>
    </row>
    <row r="2568">
      <c r="A2568" s="390" t="str">
        <f>IFERROR(__xludf.DUMMYFUNCTION("""COMPUTED_VALUE"""),"Juliane Fontoura Rodrigues - Formação Livre Psicanálise")</f>
        <v>Juliane Fontoura Rodrigues - Formação Livre Psicanálise</v>
      </c>
    </row>
    <row r="2569">
      <c r="A2569" s="390" t="str">
        <f>IFERROR(__xludf.DUMMYFUNCTION("""COMPUTED_VALUE"""),"Gabriel Gonçalo Da Silva - Formação Livre Psicanálise")</f>
        <v>Gabriel Gonçalo Da Silva - Formação Livre Psicanálise</v>
      </c>
    </row>
    <row r="2570">
      <c r="A2570" s="390" t="str">
        <f>IFERROR(__xludf.DUMMYFUNCTION("""COMPUTED_VALUE"""),"Raí Duarte Silva - Pós-Graduação em Neuropsicopedagogia Institucional, Clínica e Hospitalar 850h")</f>
        <v>Raí Duarte Silva - Pós-Graduação em Neuropsicopedagogia Institucional, Clínica e Hospitalar 850h</v>
      </c>
    </row>
    <row r="2571">
      <c r="A2571" s="390" t="str">
        <f>IFERROR(__xludf.DUMMYFUNCTION("""COMPUTED_VALUE"""),"Carlessandra Costa Valenca Carvalho - Pós-Graduação em Neuropsicopedagogia Clínica e Institucional")</f>
        <v>Carlessandra Costa Valenca Carvalho - Pós-Graduação em Neuropsicopedagogia Clínica e Institucional</v>
      </c>
    </row>
    <row r="2572">
      <c r="A2572" s="390" t="str">
        <f>IFERROR(__xludf.DUMMYFUNCTION("""COMPUTED_VALUE"""),"Márcia Rodrigues da Silva - RADIANTE - Pós-Graduação em Psicopedagogia Institucional e Clínica 710Horas")</f>
        <v>Márcia Rodrigues da Silva - RADIANTE - Pós-Graduação em Psicopedagogia Institucional e Clínica 710Horas</v>
      </c>
    </row>
    <row r="2573">
      <c r="A2573" s="390" t="str">
        <f>IFERROR(__xludf.DUMMYFUNCTION("""COMPUTED_VALUE"""),"Antonio José do nascimento - Formação Livre Psicanálise")</f>
        <v>Antonio José do nascimento - Formação Livre Psicanálise</v>
      </c>
    </row>
    <row r="2574">
      <c r="A2574" s="390" t="str">
        <f>IFERROR(__xludf.DUMMYFUNCTION("""COMPUTED_VALUE"""),"Dieymisthon Rosa da Silva Carvalho - Formação Pedagógica em Letras - Inglês")</f>
        <v>Dieymisthon Rosa da Silva Carvalho - Formação Pedagógica em Letras - Inglês</v>
      </c>
    </row>
    <row r="2575">
      <c r="A2575" s="390" t="str">
        <f>IFERROR(__xludf.DUMMYFUNCTION("""COMPUTED_VALUE"""),"Dieymisthon Rosa da Silva Carvalho - Práticas Pedagógicas")</f>
        <v>Dieymisthon Rosa da Silva Carvalho - Práticas Pedagógicas</v>
      </c>
    </row>
    <row r="2576">
      <c r="A2576" s="390" t="str">
        <f>IFERROR(__xludf.DUMMYFUNCTION("""COMPUTED_VALUE"""),"Tiago Augusto Gasparotto - Formação Livre Psicanálise")</f>
        <v>Tiago Augusto Gasparotto - Formação Livre Psicanálise</v>
      </c>
    </row>
    <row r="2577">
      <c r="A2577" s="390" t="str">
        <f>IFERROR(__xludf.DUMMYFUNCTION("""COMPUTED_VALUE"""),"Tiago Augusto Gasparotto - #SLPT- Segunda Licenciatura em Pedagogia")</f>
        <v>Tiago Augusto Gasparotto - #SLPT- Segunda Licenciatura em Pedagogia</v>
      </c>
    </row>
    <row r="2578">
      <c r="A2578" s="390" t="str">
        <f>IFERROR(__xludf.DUMMYFUNCTION("""COMPUTED_VALUE"""),"Joilza Souza dos Santos Nunes - RADIANTE - Pós-Graduação em Psicopedagogia Institucional e Clínica 710Horas")</f>
        <v>Joilza Souza dos Santos Nunes - RADIANTE - Pós-Graduação em Psicopedagogia Institucional e Clínica 710Horas</v>
      </c>
    </row>
    <row r="2579">
      <c r="A2579" s="390" t="str">
        <f>IFERROR(__xludf.DUMMYFUNCTION("""COMPUTED_VALUE"""),"Jair José dos Passos Junior - Pós-Graduação em Engenharia de Segurança do Trabalho")</f>
        <v>Jair José dos Passos Junior - Pós-Graduação em Engenharia de Segurança do Trabalho</v>
      </c>
    </row>
    <row r="2580">
      <c r="A2580" s="390" t="str">
        <f>IFERROR(__xludf.DUMMYFUNCTION("""COMPUTED_VALUE"""),"Carlos José narciso de Oliveira - #SLMF - Segunda Licenciatura em Música 1320Horas")</f>
        <v>Carlos José narciso de Oliveira - #SLMF - Segunda Licenciatura em Música 1320Horas</v>
      </c>
    </row>
    <row r="2581">
      <c r="A2581" s="390" t="str">
        <f>IFERROR(__xludf.DUMMYFUNCTION("""COMPUTED_VALUE"""),"Edson Ferreira Costa - #FPUP-FORMAÇÃO PEDAGÓGICA EM PEDAGOGIA- U")</f>
        <v>Edson Ferreira Costa - #FPUP-FORMAÇÃO PEDAGÓGICA EM PEDAGOGIA- U</v>
      </c>
    </row>
    <row r="2582">
      <c r="A2582" s="390" t="str">
        <f>IFERROR(__xludf.DUMMYFUNCTION("""COMPUTED_VALUE"""),"Edson Ferreira Costa - Pós-Graduação em Segurança Pública e Cidadania")</f>
        <v>Edson Ferreira Costa - Pós-Graduação em Segurança Pública e Cidadania</v>
      </c>
    </row>
    <row r="2583">
      <c r="A2583" s="390" t="str">
        <f>IFERROR(__xludf.DUMMYFUNCTION("""COMPUTED_VALUE"""),"Joelita da Silva Soares Costa - Pós-graduação em Neuropsicologia")</f>
        <v>Joelita da Silva Soares Costa - Pós-graduação em Neuropsicologia</v>
      </c>
    </row>
    <row r="2584">
      <c r="A2584" s="390" t="str">
        <f>IFERROR(__xludf.DUMMYFUNCTION("""COMPUTED_VALUE"""),"Joelita da Silva Soares Costa - Pós-Graduação em Sexologia")</f>
        <v>Joelita da Silva Soares Costa - Pós-Graduação em Sexologia</v>
      </c>
    </row>
    <row r="2585">
      <c r="A2585" s="390" t="str">
        <f>IFERROR(__xludf.DUMMYFUNCTION("""COMPUTED_VALUE"""),"Janieli Vidal Pontes Prates - Formação Livre Psicanálise")</f>
        <v>Janieli Vidal Pontes Prates - Formação Livre Psicanálise</v>
      </c>
    </row>
    <row r="2586">
      <c r="A2586" s="390" t="str">
        <f>IFERROR(__xludf.DUMMYFUNCTION("""COMPUTED_VALUE"""),"Claudia Maria Capistrano Moreira - Pós-Graduação em Psicanálise")</f>
        <v>Claudia Maria Capistrano Moreira - Pós-Graduação em Psicanálise</v>
      </c>
    </row>
    <row r="2587">
      <c r="A2587" s="390" t="str">
        <f>IFERROR(__xludf.DUMMYFUNCTION("""COMPUTED_VALUE"""),"José Hilson Santos da Silva - Pós-graduação em Neuropsicologia")</f>
        <v>José Hilson Santos da Silva - Pós-graduação em Neuropsicologia</v>
      </c>
    </row>
    <row r="2588">
      <c r="A2588" s="390" t="str">
        <f>IFERROR(__xludf.DUMMYFUNCTION("""COMPUTED_VALUE"""),"José Hilson Santos da Silva - Pós-Graduação em Neuropsicopedagogia Institucional, Clínica e Hospitalar 850h")</f>
        <v>José Hilson Santos da Silva - Pós-Graduação em Neuropsicopedagogia Institucional, Clínica e Hospitalar 850h</v>
      </c>
    </row>
    <row r="2589">
      <c r="A2589" s="390" t="str">
        <f>IFERROR(__xludf.DUMMYFUNCTION("""COMPUTED_VALUE"""),"José Hilson Santos da Silva - Pós-Graduação em Sexologia")</f>
        <v>José Hilson Santos da Silva - Pós-Graduação em Sexologia</v>
      </c>
    </row>
    <row r="2590">
      <c r="A2590" s="390" t="str">
        <f>IFERROR(__xludf.DUMMYFUNCTION("""COMPUTED_VALUE"""),"Luiza Helena Lima - Pós-Graduação em Neuropsicopedagogia Institucional, Clínica e Hospitalar 850h")</f>
        <v>Luiza Helena Lima - Pós-Graduação em Neuropsicopedagogia Institucional, Clínica e Hospitalar 850h</v>
      </c>
    </row>
    <row r="2591">
      <c r="A2591" s="390" t="str">
        <f>IFERROR(__xludf.DUMMYFUNCTION("""COMPUTED_VALUE"""),"Luiza Helena Lima - Pós-Graduação Psicopedagogia Clínica, Institucional e Hospitalar")</f>
        <v>Luiza Helena Lima - Pós-Graduação Psicopedagogia Clínica, Institucional e Hospitalar</v>
      </c>
    </row>
    <row r="2592">
      <c r="A2592" s="390" t="str">
        <f>IFERROR(__xludf.DUMMYFUNCTION("""COMPUTED_VALUE"""),"Elena Câmara Pereira Monteiro - #SLUP - SEGUNDA LICENCIATURA EM PEDAGOGIA")</f>
        <v>Elena Câmara Pereira Monteiro - #SLUP - SEGUNDA LICENCIATURA EM PEDAGOGIA</v>
      </c>
    </row>
    <row r="2593">
      <c r="A2593" s="390" t="str">
        <f>IFERROR(__xludf.DUMMYFUNCTION("""COMPUTED_VALUE"""),"Elena Câmara Pereira Monteiro - #SLPA- Segunda Licenciatura em Pedagogia 01")</f>
        <v>Elena Câmara Pereira Monteiro - #SLPA- Segunda Licenciatura em Pedagogia 01</v>
      </c>
    </row>
    <row r="2594">
      <c r="A2594" s="390" t="str">
        <f>IFERROR(__xludf.DUMMYFUNCTION("""COMPUTED_VALUE"""),"Gessirlane de Almeida Amarante - #FPP- Formação Pedagógica em Pedagogia R2")</f>
        <v>Gessirlane de Almeida Amarante - #FPP- Formação Pedagógica em Pedagogia R2</v>
      </c>
    </row>
    <row r="2595">
      <c r="A2595" s="390" t="str">
        <f>IFERROR(__xludf.DUMMYFUNCTION("""COMPUTED_VALUE"""),"Debora Helena Moreira Da Silva - NOVO-Pós-Graduação em Psicanálise 800 Horas")</f>
        <v>Debora Helena Moreira Da Silva - NOVO-Pós-Graduação em Psicanálise 800 Horas</v>
      </c>
    </row>
    <row r="2596">
      <c r="A2596" s="390" t="str">
        <f>IFERROR(__xludf.DUMMYFUNCTION("""COMPUTED_VALUE"""),"Francisco Cláudio Albuquerque de Oliveira - #SLUM - SEGUNDA LICENCIATURA EM MATEMÁTICA")</f>
        <v>Francisco Cláudio Albuquerque de Oliveira - #SLUM - SEGUNDA LICENCIATURA EM MATEMÁTICA</v>
      </c>
    </row>
    <row r="2597">
      <c r="A2597" s="390" t="str">
        <f>IFERROR(__xludf.DUMMYFUNCTION("""COMPUTED_VALUE"""),"Maria Suely Medeiros dos Santos - #FPT1-Pedagogia para Bacharéis e Tecnólogos (2022)")</f>
        <v>Maria Suely Medeiros dos Santos - #FPT1-Pedagogia para Bacharéis e Tecnólogos (2022)</v>
      </c>
    </row>
    <row r="2598">
      <c r="A2598" s="390" t="str">
        <f>IFERROR(__xludf.DUMMYFUNCTION("""COMPUTED_VALUE"""),"Márcio José Soares Mendes - #FPUP-FORMAÇÃO PEDAGÓGICA EM PEDAGOGIA- U")</f>
        <v>Márcio José Soares Mendes - #FPUP-FORMAÇÃO PEDAGÓGICA EM PEDAGOGIA- U</v>
      </c>
    </row>
    <row r="2599">
      <c r="A2599" s="390" t="str">
        <f>IFERROR(__xludf.DUMMYFUNCTION("""COMPUTED_VALUE"""),"Márcio José Soares Mendes - Pós-Graduação em Nutrição Esportiva")</f>
        <v>Márcio José Soares Mendes - Pós-Graduação em Nutrição Esportiva</v>
      </c>
    </row>
    <row r="2600">
      <c r="A2600" s="390" t="str">
        <f>IFERROR(__xludf.DUMMYFUNCTION("""COMPUTED_VALUE"""),"Patrícia Aparecida Honorato - Pós-Graduação em Biblioteconomia")</f>
        <v>Patrícia Aparecida Honorato - Pós-Graduação em Biblioteconomia</v>
      </c>
    </row>
    <row r="2601">
      <c r="A2601" s="390" t="str">
        <f>IFERROR(__xludf.DUMMYFUNCTION("""COMPUTED_VALUE"""),"Patrícia Aparecida Honorato - Pós-Graduação em Biblioteconomia")</f>
        <v>Patrícia Aparecida Honorato - Pós-Graduação em Biblioteconomia</v>
      </c>
    </row>
    <row r="2602">
      <c r="A2602" s="390" t="str">
        <f>IFERROR(__xludf.DUMMYFUNCTION("""COMPUTED_VALUE"""),"Patrícia Aparecida Honorato - #FPUP-FORMAÇÃO PEDAGÓGICA EM PEDAGOGIA- U")</f>
        <v>Patrícia Aparecida Honorato - #FPUP-FORMAÇÃO PEDAGÓGICA EM PEDAGOGIA- U</v>
      </c>
    </row>
    <row r="2603">
      <c r="A2603" s="390" t="str">
        <f>IFERROR(__xludf.DUMMYFUNCTION("""COMPUTED_VALUE"""),"Dayane Melo de Oliveira - Formação Livre Psicanálise")</f>
        <v>Dayane Melo de Oliveira - Formação Livre Psicanálise</v>
      </c>
    </row>
    <row r="2604">
      <c r="A2604" s="390" t="str">
        <f>IFERROR(__xludf.DUMMYFUNCTION("""COMPUTED_VALUE"""),"Sidney dos Santos gomes - #FPUP-FORMAÇÃO PEDAGÓGICA EM PEDAGOGIA- U")</f>
        <v>Sidney dos Santos gomes - #FPUP-FORMAÇÃO PEDAGÓGICA EM PEDAGOGIA- U</v>
      </c>
    </row>
    <row r="2605">
      <c r="A2605" s="390" t="str">
        <f>IFERROR(__xludf.DUMMYFUNCTION("""COMPUTED_VALUE"""),"Sara Alves Barros - #FPUEF - Formação Pedagógica em Educação Física - 1200 Horas")</f>
        <v>Sara Alves Barros - #FPUEF - Formação Pedagógica em Educação Física - 1200 Horas</v>
      </c>
    </row>
    <row r="2606">
      <c r="A2606" s="390" t="str">
        <f>IFERROR(__xludf.DUMMYFUNCTION("""COMPUTED_VALUE"""),"Grasiela Körner de Souza - #SLUEE - SEGUNDA LICENCIATURA EM EDUCAÇÃO ESPECIAL")</f>
        <v>Grasiela Körner de Souza - #SLUEE - SEGUNDA LICENCIATURA EM EDUCAÇÃO ESPECIAL</v>
      </c>
    </row>
    <row r="2607">
      <c r="A2607" s="390" t="str">
        <f>IFERROR(__xludf.DUMMYFUNCTION("""COMPUTED_VALUE"""),"Debora Silene Fonseca De Andrade - #SLHA - Segunda Licenciatura em História")</f>
        <v>Debora Silene Fonseca De Andrade - #SLHA - Segunda Licenciatura em História</v>
      </c>
    </row>
    <row r="2608">
      <c r="A2608" s="390" t="str">
        <f>IFERROR(__xludf.DUMMYFUNCTION("""COMPUTED_VALUE"""),"Debora Silene Fonseca De Andrade - Práticas Pedagógicas")</f>
        <v>Debora Silene Fonseca De Andrade - Práticas Pedagógicas</v>
      </c>
    </row>
    <row r="2609">
      <c r="A2609" s="390" t="str">
        <f>IFERROR(__xludf.DUMMYFUNCTION("""COMPUTED_VALUE"""),"Kathrein Rodrigues dos Santos - Pós-Graduação em Psicanálise")</f>
        <v>Kathrein Rodrigues dos Santos - Pós-Graduação em Psicanálise</v>
      </c>
    </row>
    <row r="2610">
      <c r="A2610" s="390" t="str">
        <f>IFERROR(__xludf.DUMMYFUNCTION("""COMPUTED_VALUE"""),"Mariana Signoreli Pireneus - #FPP- Formação Pedagógica em Pedagogia R2")</f>
        <v>Mariana Signoreli Pireneus - #FPP- Formação Pedagógica em Pedagogia R2</v>
      </c>
    </row>
    <row r="2611">
      <c r="A2611" s="390" t="str">
        <f>IFERROR(__xludf.DUMMYFUNCTION("""COMPUTED_VALUE"""),"Mariana Signoreli Pireneus - #SLUPI - SEGUNDA LICENCIATURA EM LETRAS – PORTUGUÊS E INGLÊS")</f>
        <v>Mariana Signoreli Pireneus - #SLUPI - SEGUNDA LICENCIATURA EM LETRAS – PORTUGUÊS E INGLÊS</v>
      </c>
    </row>
    <row r="2612">
      <c r="A2612" s="390" t="str">
        <f>IFERROR(__xludf.DUMMYFUNCTION("""COMPUTED_VALUE"""),"Rosemeire Peterle de Sant""Ana - Pós-Graduação em Psicanálise")</f>
        <v>Rosemeire Peterle de Sant"Ana - Pós-Graduação em Psicanálise</v>
      </c>
    </row>
    <row r="2613">
      <c r="A2613" s="390" t="str">
        <f>IFERROR(__xludf.DUMMYFUNCTION("""COMPUTED_VALUE"""),"Rosemeire Peterle de Sant""Ana - Formação Livre Psicanálise")</f>
        <v>Rosemeire Peterle de Sant"Ana - Formação Livre Psicanálise</v>
      </c>
    </row>
    <row r="2614">
      <c r="A2614" s="390" t="str">
        <f>IFERROR(__xludf.DUMMYFUNCTION("""COMPUTED_VALUE"""),"Maria de Fátima de Lima - #SLUP - SEGUNDA LICENCIATURA EM PEDAGOGIA")</f>
        <v>Maria de Fátima de Lima - #SLUP - SEGUNDA LICENCIATURA EM PEDAGOGIA</v>
      </c>
    </row>
    <row r="2615">
      <c r="A2615" s="390" t="str">
        <f>IFERROR(__xludf.DUMMYFUNCTION("""COMPUTED_VALUE"""),"João Acelino Barbosa Filho - #SLMF - Segunda Licenciatura em Música 1320Horas")</f>
        <v>João Acelino Barbosa Filho - #SLMF - Segunda Licenciatura em Música 1320Horas</v>
      </c>
    </row>
    <row r="2616">
      <c r="A2616" s="390" t="str">
        <f>IFERROR(__xludf.DUMMYFUNCTION("""COMPUTED_VALUE"""),"João Acelino Barbosa Filho - Pós-Graduação em Educação Musical")</f>
        <v>João Acelino Barbosa Filho - Pós-Graduação em Educação Musical</v>
      </c>
    </row>
    <row r="2617">
      <c r="A2617" s="390" t="str">
        <f>IFERROR(__xludf.DUMMYFUNCTION("""COMPUTED_VALUE"""),"Bernadete Fagundes - Pós-Graduação em Psicanálise")</f>
        <v>Bernadete Fagundes - Pós-Graduação em Psicanálise</v>
      </c>
    </row>
    <row r="2618">
      <c r="A2618" s="390" t="str">
        <f>IFERROR(__xludf.DUMMYFUNCTION("""COMPUTED_VALUE"""),"Bernadete Fagundes - NOVO-Pós-Graduação em Psicanálise 800 Horas")</f>
        <v>Bernadete Fagundes - NOVO-Pós-Graduação em Psicanálise 800 Horas</v>
      </c>
    </row>
    <row r="2619">
      <c r="A2619" s="390" t="str">
        <f>IFERROR(__xludf.DUMMYFUNCTION("""COMPUTED_VALUE"""),"Francineide Costa de Oliveira - Pedagogia para Bacharéis")</f>
        <v>Francineide Costa de Oliveira - Pedagogia para Bacharéis</v>
      </c>
    </row>
    <row r="2620">
      <c r="A2620" s="390" t="str">
        <f>IFERROR(__xludf.DUMMYFUNCTION("""COMPUTED_VALUE"""),"Francineide Costa de Oliveira - #FPT1-Pedagogia para Bacharéis e Tecnólogos (2022)")</f>
        <v>Francineide Costa de Oliveira - #FPT1-Pedagogia para Bacharéis e Tecnólogos (2022)</v>
      </c>
    </row>
    <row r="2621">
      <c r="A2621" s="390" t="str">
        <f>IFERROR(__xludf.DUMMYFUNCTION("""COMPUTED_VALUE"""),"Juliana Isabel da Silva - #FPP- Formação Pedagógica em Pedagogia R2")</f>
        <v>Juliana Isabel da Silva - #FPP- Formação Pedagógica em Pedagogia R2</v>
      </c>
    </row>
    <row r="2622">
      <c r="A2622" s="390" t="str">
        <f>IFERROR(__xludf.DUMMYFUNCTION("""COMPUTED_VALUE"""),"Juliana Isabel da Silva - #FPUP-FORMAÇÃO PEDAGÓGICA EM PEDAGOGIA- U")</f>
        <v>Juliana Isabel da Silva - #FPUP-FORMAÇÃO PEDAGÓGICA EM PEDAGOGIA- U</v>
      </c>
    </row>
    <row r="2623">
      <c r="A2623" s="390" t="str">
        <f>IFERROR(__xludf.DUMMYFUNCTION("""COMPUTED_VALUE"""),"Juliana Isabel da Silva - #SLUP - SEGUNDA LICENCIATURA EM PEDAGOGIA")</f>
        <v>Juliana Isabel da Silva - #SLUP - SEGUNDA LICENCIATURA EM PEDAGOGIA</v>
      </c>
    </row>
    <row r="2624">
      <c r="A2624" s="390" t="str">
        <f>IFERROR(__xludf.DUMMYFUNCTION("""COMPUTED_VALUE"""),"Simone de Faria Cabral Vieira - Pós-Graduação em Neuropsicopedagogia Institucional, Clínica e Hospitalar 850h")</f>
        <v>Simone de Faria Cabral Vieira - Pós-Graduação em Neuropsicopedagogia Institucional, Clínica e Hospitalar 850h</v>
      </c>
    </row>
    <row r="2625">
      <c r="A2625" s="390" t="str">
        <f>IFERROR(__xludf.DUMMYFUNCTION("""COMPUTED_VALUE"""),"Rosely Odete da Rocha Lima - #FPMF- Formação Pedagógica em Música 1200Horas")</f>
        <v>Rosely Odete da Rocha Lima - #FPMF- Formação Pedagógica em Música 1200Horas</v>
      </c>
    </row>
    <row r="2626">
      <c r="A2626" s="390" t="str">
        <f>IFERROR(__xludf.DUMMYFUNCTION("""COMPUTED_VALUE"""),"Rosely Odete da Rocha Lima - Pós-Graduação em Educação Musical")</f>
        <v>Rosely Odete da Rocha Lima - Pós-Graduação em Educação Musical</v>
      </c>
    </row>
    <row r="2627">
      <c r="A2627" s="390" t="str">
        <f>IFERROR(__xludf.DUMMYFUNCTION("""COMPUTED_VALUE"""),"Graziela Roduit Dombrowski - Formação Livre Psicanálise")</f>
        <v>Graziela Roduit Dombrowski - Formação Livre Psicanálise</v>
      </c>
    </row>
    <row r="2628">
      <c r="A2628" s="390" t="str">
        <f>IFERROR(__xludf.DUMMYFUNCTION("""COMPUTED_VALUE"""),"Gabriel Rosa Quirino - Pós-Graduação em Psicanálise")</f>
        <v>Gabriel Rosa Quirino - Pós-Graduação em Psicanálise</v>
      </c>
    </row>
    <row r="2629">
      <c r="A2629" s="390" t="str">
        <f>IFERROR(__xludf.DUMMYFUNCTION("""COMPUTED_VALUE"""),"Gabriel Rosa Quirino - Formação Livre Psicanálise")</f>
        <v>Gabriel Rosa Quirino - Formação Livre Psicanálise</v>
      </c>
    </row>
    <row r="2630">
      <c r="A2630" s="390" t="str">
        <f>IFERROR(__xludf.DUMMYFUNCTION("""COMPUTED_VALUE"""),"Lourenço Mauricio da Luz Neto - #SLMF - Segunda Licenciatura em Música 1320Horas")</f>
        <v>Lourenço Mauricio da Luz Neto - #SLMF - Segunda Licenciatura em Música 1320Horas</v>
      </c>
    </row>
    <row r="2631">
      <c r="A2631" s="390" t="str">
        <f>IFERROR(__xludf.DUMMYFUNCTION("""COMPUTED_VALUE"""),"Francyane Batista dos Santos - Formação Livre Psicanálise")</f>
        <v>Francyane Batista dos Santos - Formação Livre Psicanálise</v>
      </c>
    </row>
    <row r="2632">
      <c r="A2632" s="390" t="str">
        <f>IFERROR(__xludf.DUMMYFUNCTION("""COMPUTED_VALUE"""),"Francyane Batista dos Santos - Formação Livre em Psicanálise-2022")</f>
        <v>Francyane Batista dos Santos - Formação Livre em Psicanálise-2022</v>
      </c>
    </row>
    <row r="2633">
      <c r="A2633" s="390" t="str">
        <f>IFERROR(__xludf.DUMMYFUNCTION("""COMPUTED_VALUE"""),"Nivea Cristine Prazeres Paula - Formação Livre Psicanálise")</f>
        <v>Nivea Cristine Prazeres Paula - Formação Livre Psicanálise</v>
      </c>
    </row>
    <row r="2634">
      <c r="A2634" s="390" t="str">
        <f>IFERROR(__xludf.DUMMYFUNCTION("""COMPUTED_VALUE"""),"Salim Lopes de Albuquerque - #SLUM - SEGUNDA LICENCIATURA EM MATEMÁTICA")</f>
        <v>Salim Lopes de Albuquerque - #SLUM - SEGUNDA LICENCIATURA EM MATEMÁTICA</v>
      </c>
    </row>
    <row r="2635">
      <c r="A2635" s="390" t="str">
        <f>IFERROR(__xludf.DUMMYFUNCTION("""COMPUTED_VALUE"""),"Raimunda Arlete Vidal de Lima - Pós-Graduação em Neuropsicopedagogia Institucional, Clínica e Hospitalar 850h")</f>
        <v>Raimunda Arlete Vidal de Lima - Pós-Graduação em Neuropsicopedagogia Institucional, Clínica e Hospitalar 850h</v>
      </c>
    </row>
    <row r="2636">
      <c r="A2636" s="390" t="str">
        <f>IFERROR(__xludf.DUMMYFUNCTION("""COMPUTED_VALUE"""),"Tamiris Campos Weigel - #SLUP - SEGUNDA LICENCIATURA EM PEDAGOGIA")</f>
        <v>Tamiris Campos Weigel - #SLUP - SEGUNDA LICENCIATURA EM PEDAGOGIA</v>
      </c>
    </row>
    <row r="2637">
      <c r="A2637" s="390" t="str">
        <f>IFERROR(__xludf.DUMMYFUNCTION("""COMPUTED_VALUE"""),"Tamiris Campos Weigel - Pós-Graduação Psicopedagogia Clínica, Institucional e Hospitalar")</f>
        <v>Tamiris Campos Weigel - Pós-Graduação Psicopedagogia Clínica, Institucional e Hospitalar</v>
      </c>
    </row>
    <row r="2638">
      <c r="A2638" s="390" t="str">
        <f>IFERROR(__xludf.DUMMYFUNCTION("""COMPUTED_VALUE"""),"Maria Inês Bezerril de Melo - Pós-Graduação em Psicanálise")</f>
        <v>Maria Inês Bezerril de Melo - Pós-Graduação em Psicanálise</v>
      </c>
    </row>
    <row r="2639">
      <c r="A2639" s="390" t="str">
        <f>IFERROR(__xludf.DUMMYFUNCTION("""COMPUTED_VALUE"""),"Evanildes Louzeiro Pereira - Formação Livre Psicanálise")</f>
        <v>Evanildes Louzeiro Pereira - Formação Livre Psicanálise</v>
      </c>
    </row>
    <row r="2640">
      <c r="A2640" s="390" t="str">
        <f>IFERROR(__xludf.DUMMYFUNCTION("""COMPUTED_VALUE"""),"Fabrício Bonfim de Carvalho - #SLMA - Segunda Licenciatura Matemática")</f>
        <v>Fabrício Bonfim de Carvalho - #SLMA - Segunda Licenciatura Matemática</v>
      </c>
    </row>
    <row r="2641">
      <c r="A2641" s="390" t="str">
        <f>IFERROR(__xludf.DUMMYFUNCTION("""COMPUTED_VALUE"""),"Eliseu Venceslau de brito - Pós-Graduação em Psicanálise")</f>
        <v>Eliseu Venceslau de brito - Pós-Graduação em Psicanálise</v>
      </c>
    </row>
    <row r="2642">
      <c r="A2642" s="390" t="str">
        <f>IFERROR(__xludf.DUMMYFUNCTION("""COMPUTED_VALUE"""),"Anna Thayse Silva Valente - #SLMF - Segunda Licenciatura em Música 1320Horas")</f>
        <v>Anna Thayse Silva Valente - #SLMF - Segunda Licenciatura em Música 1320Horas</v>
      </c>
    </row>
    <row r="2643">
      <c r="A2643" s="390" t="str">
        <f>IFERROR(__xludf.DUMMYFUNCTION("""COMPUTED_VALUE"""),"Anna Thayse Silva Valente - Pós-Graduação em Docência do Ensino Superior e Tutoria de Educação a Distância")</f>
        <v>Anna Thayse Silva Valente - Pós-Graduação em Docência do Ensino Superior e Tutoria de Educação a Distância</v>
      </c>
    </row>
    <row r="2644">
      <c r="A2644" s="390" t="str">
        <f>IFERROR(__xludf.DUMMYFUNCTION("""COMPUTED_VALUE"""),"Silvia Silva da Silva - #SLUP - SEGUNDA LICENCIATURA EM PEDAGOGIA")</f>
        <v>Silvia Silva da Silva - #SLUP - SEGUNDA LICENCIATURA EM PEDAGOGIA</v>
      </c>
    </row>
    <row r="2645">
      <c r="A2645" s="390" t="str">
        <f>IFERROR(__xludf.DUMMYFUNCTION("""COMPUTED_VALUE"""),"Erica Fernanda Nobile Ferreira - #SLUPI - SEGUNDA LICENCIATURA EM LETRAS – PORTUGUÊS E INGLÊS")</f>
        <v>Erica Fernanda Nobile Ferreira - #SLUPI - SEGUNDA LICENCIATURA EM LETRAS – PORTUGUÊS E INGLÊS</v>
      </c>
    </row>
    <row r="2646">
      <c r="A2646" s="390" t="str">
        <f>IFERROR(__xludf.DUMMYFUNCTION("""COMPUTED_VALUE"""),"Alex Sandro dos Santos - Pós-Graduação em Psicanálise")</f>
        <v>Alex Sandro dos Santos - Pós-Graduação em Psicanálise</v>
      </c>
    </row>
    <row r="2647">
      <c r="A2647" s="390" t="str">
        <f>IFERROR(__xludf.DUMMYFUNCTION("""COMPUTED_VALUE"""),"Alex Sandro dos Santos - PÓS-GRADUAÇÃO EM PSICANÁLISE 2022")</f>
        <v>Alex Sandro dos Santos - PÓS-GRADUAÇÃO EM PSICANÁLISE 2022</v>
      </c>
    </row>
    <row r="2648">
      <c r="A2648" s="390" t="str">
        <f>IFERROR(__xludf.DUMMYFUNCTION("""COMPUTED_VALUE"""),"Alex Sandro dos Santos - NOVO-Pós-Graduação em Psicanálise 800 Horas")</f>
        <v>Alex Sandro dos Santos - NOVO-Pós-Graduação em Psicanálise 800 Horas</v>
      </c>
    </row>
    <row r="2649">
      <c r="A2649" s="390" t="str">
        <f>IFERROR(__xludf.DUMMYFUNCTION("""COMPUTED_VALUE"""),"Alex Sandro dos Santos - Pós-Graduação em Psicanálise")</f>
        <v>Alex Sandro dos Santos - Pós-Graduação em Psicanálise</v>
      </c>
    </row>
    <row r="2650">
      <c r="A2650" s="390" t="str">
        <f>IFERROR(__xludf.DUMMYFUNCTION("""COMPUTED_VALUE"""),"Faelma Moraes Silva Araújo - Formação Livre Psicanálise")</f>
        <v>Faelma Moraes Silva Araújo - Formação Livre Psicanálise</v>
      </c>
    </row>
    <row r="2651">
      <c r="A2651" s="390" t="str">
        <f>IFERROR(__xludf.DUMMYFUNCTION("""COMPUTED_VALUE"""),"Cristiane do Carmo Braga - Formação Livre Psicanálise")</f>
        <v>Cristiane do Carmo Braga - Formação Livre Psicanálise</v>
      </c>
    </row>
    <row r="2652">
      <c r="A2652" s="390" t="str">
        <f>IFERROR(__xludf.DUMMYFUNCTION("""COMPUTED_VALUE"""),"Maiane Ribeiro Carvalho - Pós-Graduação Educação Especial e Inclusiva")</f>
        <v>Maiane Ribeiro Carvalho - Pós-Graduação Educação Especial e Inclusiva</v>
      </c>
    </row>
    <row r="2653">
      <c r="A2653" s="390" t="str">
        <f>IFERROR(__xludf.DUMMYFUNCTION("""COMPUTED_VALUE"""),"Elane Eloi Pereira Lima - Pós-Graduação em Neuropsicopedagogia Institucional, Clínica e Hospitalar 850h")</f>
        <v>Elane Eloi Pereira Lima - Pós-Graduação em Neuropsicopedagogia Institucional, Clínica e Hospitalar 850h</v>
      </c>
    </row>
    <row r="2654">
      <c r="A2654" s="390" t="str">
        <f>IFERROR(__xludf.DUMMYFUNCTION("""COMPUTED_VALUE"""),"Jesiany Costa Barbosa - Formação Livre Psicanálise")</f>
        <v>Jesiany Costa Barbosa - Formação Livre Psicanálise</v>
      </c>
    </row>
    <row r="2655">
      <c r="A2655" s="390" t="str">
        <f>IFERROR(__xludf.DUMMYFUNCTION("""COMPUTED_VALUE"""),"Elza Melo de Andrade - Formação Livre Psicanálise")</f>
        <v>Elza Melo de Andrade - Formação Livre Psicanálise</v>
      </c>
    </row>
    <row r="2656">
      <c r="A2656" s="390" t="str">
        <f>IFERROR(__xludf.DUMMYFUNCTION("""COMPUTED_VALUE"""),"Robson Franco das Virgens - Pós-Graduação em Psicanálise")</f>
        <v>Robson Franco das Virgens - Pós-Graduação em Psicanálise</v>
      </c>
    </row>
    <row r="2657">
      <c r="A2657" s="390" t="str">
        <f>IFERROR(__xludf.DUMMYFUNCTION("""COMPUTED_VALUE"""),"Maiara Daiane Calmon Souza - Pós-Graduação em Psicanálise")</f>
        <v>Maiara Daiane Calmon Souza - Pós-Graduação em Psicanálise</v>
      </c>
    </row>
    <row r="2658">
      <c r="A2658" s="390" t="str">
        <f>IFERROR(__xludf.DUMMYFUNCTION("""COMPUTED_VALUE"""),"Robson Mauricio Ventura Vieira - #SLMF - Segunda Licenciatura em Música 1320Horas")</f>
        <v>Robson Mauricio Ventura Vieira - #SLMF - Segunda Licenciatura em Música 1320Horas</v>
      </c>
    </row>
    <row r="2659">
      <c r="A2659" s="390" t="str">
        <f>IFERROR(__xludf.DUMMYFUNCTION("""COMPUTED_VALUE"""),"Robson Mauricio Ventura Vieira - Pós-Graduação em Educação Musical")</f>
        <v>Robson Mauricio Ventura Vieira - Pós-Graduação em Educação Musical</v>
      </c>
    </row>
    <row r="2660">
      <c r="A2660" s="390" t="str">
        <f>IFERROR(__xludf.DUMMYFUNCTION("""COMPUTED_VALUE"""),"Anderson claiton Ramos Rocha - Formação Livre Psicanálise")</f>
        <v>Anderson claiton Ramos Rocha - Formação Livre Psicanálise</v>
      </c>
    </row>
    <row r="2661">
      <c r="A2661" s="390" t="str">
        <f>IFERROR(__xludf.DUMMYFUNCTION("""COMPUTED_VALUE"""),"Claudete da Silva - Formação Livre Psicanálise")</f>
        <v>Claudete da Silva - Formação Livre Psicanálise</v>
      </c>
    </row>
    <row r="2662">
      <c r="A2662" s="390" t="str">
        <f>IFERROR(__xludf.DUMMYFUNCTION("""COMPUTED_VALUE"""),"Wander Carlos Gonçalves dos Santos - Pós-Graduação Fisioterapia Aplicada a Atividades Físicas")</f>
        <v>Wander Carlos Gonçalves dos Santos - Pós-Graduação Fisioterapia Aplicada a Atividades Físicas</v>
      </c>
    </row>
    <row r="2663">
      <c r="A2663" s="390" t="str">
        <f>IFERROR(__xludf.DUMMYFUNCTION("""COMPUTED_VALUE"""),"Elizangela Rosa Ramos Magalhães - Pós-Graduação em Terapia em ABA- Análise do Comportamento Aplicada")</f>
        <v>Elizangela Rosa Ramos Magalhães - Pós-Graduação em Terapia em ABA- Análise do Comportamento Aplicada</v>
      </c>
    </row>
    <row r="2664">
      <c r="A2664" s="390" t="str">
        <f>IFERROR(__xludf.DUMMYFUNCTION("""COMPUTED_VALUE"""),"Elizangela Rosa Ramos Magalhães - Pós-Graduação em Terapia em ABA- Análise do Comportamento Aplicada Clínica")</f>
        <v>Elizangela Rosa Ramos Magalhães - Pós-Graduação em Terapia em ABA- Análise do Comportamento Aplicada Clínica</v>
      </c>
    </row>
    <row r="2665">
      <c r="A2665" s="390" t="str">
        <f>IFERROR(__xludf.DUMMYFUNCTION("""COMPUTED_VALUE"""),"Laura Maria De Carvalho Silva - #SLMF - Segunda Licenciatura em Música 1320Horas")</f>
        <v>Laura Maria De Carvalho Silva - #SLMF - Segunda Licenciatura em Música 1320Horas</v>
      </c>
    </row>
    <row r="2666">
      <c r="A2666" s="390" t="str">
        <f>IFERROR(__xludf.DUMMYFUNCTION("""COMPUTED_VALUE"""),"Ailton dos Santos Neto - #SLUM - SEGUNDA LICENCIATURA EM MATEMÁTICA")</f>
        <v>Ailton dos Santos Neto - #SLUM - SEGUNDA LICENCIATURA EM MATEMÁTICA</v>
      </c>
    </row>
    <row r="2667">
      <c r="A2667" s="390" t="str">
        <f>IFERROR(__xludf.DUMMYFUNCTION("""COMPUTED_VALUE"""),"Sandra Aparecida Berce Madeiros da Costa - Formação Livre Psicanálise")</f>
        <v>Sandra Aparecida Berce Madeiros da Costa - Formação Livre Psicanálise</v>
      </c>
    </row>
    <row r="2668">
      <c r="A2668" s="390" t="str">
        <f>IFERROR(__xludf.DUMMYFUNCTION("""COMPUTED_VALUE"""),"Sandra Aparecida Berce Madeiros da Costa - Formação Livre em Terapia Familiar")</f>
        <v>Sandra Aparecida Berce Madeiros da Costa - Formação Livre em Terapia Familiar</v>
      </c>
    </row>
    <row r="2669">
      <c r="A2669" s="390" t="str">
        <f>IFERROR(__xludf.DUMMYFUNCTION("""COMPUTED_VALUE"""),"Cleidian Merian de Andrade - #SLUM - SEGUNDA LICENCIATURA EM MATEMÁTICA")</f>
        <v>Cleidian Merian de Andrade - #SLUM - SEGUNDA LICENCIATURA EM MATEMÁTICA</v>
      </c>
    </row>
    <row r="2670">
      <c r="A2670" s="390" t="str">
        <f>IFERROR(__xludf.DUMMYFUNCTION("""COMPUTED_VALUE"""),"Ana Cristina dos Santos Tobias - Formação Livre Psicanálise")</f>
        <v>Ana Cristina dos Santos Tobias - Formação Livre Psicanálise</v>
      </c>
    </row>
    <row r="2671">
      <c r="A2671" s="390" t="str">
        <f>IFERROR(__xludf.DUMMYFUNCTION("""COMPUTED_VALUE"""),"Deise Alves Marques da Costa - Pós-Graduação em Libras")</f>
        <v>Deise Alves Marques da Costa - Pós-Graduação em Libras</v>
      </c>
    </row>
    <row r="2672">
      <c r="A2672" s="390" t="str">
        <f>IFERROR(__xludf.DUMMYFUNCTION("""COMPUTED_VALUE"""),"Lidiane Maria Costa Valença Moura - Pós-Graduação em Psicomotricidade")</f>
        <v>Lidiane Maria Costa Valença Moura - Pós-Graduação em Psicomotricidade</v>
      </c>
    </row>
    <row r="2673">
      <c r="A2673" s="390" t="str">
        <f>IFERROR(__xludf.DUMMYFUNCTION("""COMPUTED_VALUE"""),"Wellington Luiz Zoca - #FPMF- Formação Pedagógica em Música 1200Horas")</f>
        <v>Wellington Luiz Zoca - #FPMF- Formação Pedagógica em Música 1200Horas</v>
      </c>
    </row>
    <row r="2674">
      <c r="A2674" s="390" t="str">
        <f>IFERROR(__xludf.DUMMYFUNCTION("""COMPUTED_VALUE"""),"Wellington Luiz Zoca - Pós-Graduação em Neuropsicologia")</f>
        <v>Wellington Luiz Zoca - Pós-Graduação em Neuropsicologia</v>
      </c>
    </row>
    <row r="2675">
      <c r="A2675" s="390" t="str">
        <f>IFERROR(__xludf.DUMMYFUNCTION("""COMPUTED_VALUE"""),"Wellington Luiz Zoca - Formação Livre  TDAH – Transtorno do Déficit de Atenção e Hiperatividade")</f>
        <v>Wellington Luiz Zoca - Formação Livre  TDAH – Transtorno do Déficit de Atenção e Hiperatividade</v>
      </c>
    </row>
    <row r="2676">
      <c r="A2676" s="390" t="str">
        <f>IFERROR(__xludf.DUMMYFUNCTION("""COMPUTED_VALUE"""),"Rainara Dos Santos Costa - Pós-Graduação em Docência do Ensino Superior e Tutoria de Educação a Distância")</f>
        <v>Rainara Dos Santos Costa - Pós-Graduação em Docência do Ensino Superior e Tutoria de Educação a Distância</v>
      </c>
    </row>
    <row r="2677">
      <c r="A2677" s="390" t="str">
        <f>IFERROR(__xludf.DUMMYFUNCTION("""COMPUTED_VALUE"""),"Rainara Dos Santos Costa - Pós-Graduação em Gestão Estratégica de Pessoas")</f>
        <v>Rainara Dos Santos Costa - Pós-Graduação em Gestão Estratégica de Pessoas</v>
      </c>
    </row>
    <row r="2678">
      <c r="A2678" s="390" t="str">
        <f>IFERROR(__xludf.DUMMYFUNCTION("""COMPUTED_VALUE"""),"ALCÉLIA MARINHO DE SOUZA SANTANA - #SLMF - Segunda Licenciatura em Música 1320Horas")</f>
        <v>ALCÉLIA MARINHO DE SOUZA SANTANA - #SLMF - Segunda Licenciatura em Música 1320Horas</v>
      </c>
    </row>
    <row r="2679">
      <c r="A2679" s="390" t="str">
        <f>IFERROR(__xludf.DUMMYFUNCTION("""COMPUTED_VALUE"""),"ALCÉLIA MARINHO DE SOUZA SANTANA - Pós-Graduação em Educação Musical")</f>
        <v>ALCÉLIA MARINHO DE SOUZA SANTANA - Pós-Graduação em Educação Musical</v>
      </c>
    </row>
    <row r="2680">
      <c r="A2680" s="390" t="str">
        <f>IFERROR(__xludf.DUMMYFUNCTION("""COMPUTED_VALUE"""),"ALCÉLIA MARINHO DE SOUZA SANTANA - Pós-Graduação em Educação Musical-2022")</f>
        <v>ALCÉLIA MARINHO DE SOUZA SANTANA - Pós-Graduação em Educação Musical-2022</v>
      </c>
    </row>
    <row r="2681">
      <c r="A2681" s="390" t="str">
        <f>IFERROR(__xludf.DUMMYFUNCTION("""COMPUTED_VALUE"""),"Daiane do Prado Martins - Pós-Graduação Vigilância Epidemiológica e Gestão de Serviço de Saúde")</f>
        <v>Daiane do Prado Martins - Pós-Graduação Vigilância Epidemiológica e Gestão de Serviço de Saúde</v>
      </c>
    </row>
    <row r="2682">
      <c r="A2682" s="390" t="str">
        <f>IFERROR(__xludf.DUMMYFUNCTION("""COMPUTED_VALUE"""),"Daiane do Prado Martins - MBA em  Gestão da Qualidade")</f>
        <v>Daiane do Prado Martins - MBA em  Gestão da Qualidade</v>
      </c>
    </row>
    <row r="2683">
      <c r="A2683" s="390" t="str">
        <f>IFERROR(__xludf.DUMMYFUNCTION("""COMPUTED_VALUE"""),"Daiane do Prado Martins - Pós-Graduação em Enfermagem do Trabalho")</f>
        <v>Daiane do Prado Martins - Pós-Graduação em Enfermagem do Trabalho</v>
      </c>
    </row>
    <row r="2684">
      <c r="A2684" s="390" t="str">
        <f>IFERROR(__xludf.DUMMYFUNCTION("""COMPUTED_VALUE"""),"Glauber Babosa Guardengui - #SLPA- Segunda Licenciatura em Pedagogia 01")</f>
        <v>Glauber Babosa Guardengui - #SLPA- Segunda Licenciatura em Pedagogia 01</v>
      </c>
    </row>
    <row r="2685">
      <c r="A2685" s="390" t="str">
        <f>IFERROR(__xludf.DUMMYFUNCTION("""COMPUTED_VALUE"""),"Patrice Surrage Bueno Pires Candido - #SLUP - SEGUNDA LICENCIATURA EM PEDAGOGIA")</f>
        <v>Patrice Surrage Bueno Pires Candido - #SLUP - SEGUNDA LICENCIATURA EM PEDAGOGIA</v>
      </c>
    </row>
    <row r="2686">
      <c r="A2686" s="390" t="str">
        <f>IFERROR(__xludf.DUMMYFUNCTION("""COMPUTED_VALUE"""),"Patrice Surrage Bueno Pires Candido - #SLPA- Segunda Licenciatura em Pedagogia 01")</f>
        <v>Patrice Surrage Bueno Pires Candido - #SLPA- Segunda Licenciatura em Pedagogia 01</v>
      </c>
    </row>
    <row r="2687">
      <c r="A2687" s="390" t="str">
        <f>IFERROR(__xludf.DUMMYFUNCTION("""COMPUTED_VALUE"""),"Chrissanto Verom Neto - Pós-Graduação Direitos Humanos e Diversidade Sócio Econômica")</f>
        <v>Chrissanto Verom Neto - Pós-Graduação Direitos Humanos e Diversidade Sócio Econômica</v>
      </c>
    </row>
    <row r="2688">
      <c r="A2688" s="390" t="str">
        <f>IFERROR(__xludf.DUMMYFUNCTION("""COMPUTED_VALUE"""),"Chrissanto Verom Neto - Pós-Graduação em Educação e Direitos Humanos")</f>
        <v>Chrissanto Verom Neto - Pós-Graduação em Educação e Direitos Humanos</v>
      </c>
    </row>
    <row r="2689">
      <c r="A2689" s="390" t="str">
        <f>IFERROR(__xludf.DUMMYFUNCTION("""COMPUTED_VALUE"""),"Chrissanto Verom Neto - #SLPA- Segunda Licenciatura em Pedagogia 01")</f>
        <v>Chrissanto Verom Neto - #SLPA- Segunda Licenciatura em Pedagogia 01</v>
      </c>
    </row>
    <row r="2690">
      <c r="A2690" s="390" t="str">
        <f>IFERROR(__xludf.DUMMYFUNCTION("""COMPUTED_VALUE"""),"Elaine Mattos Da Silva - Pós-Graduação em Sexologia")</f>
        <v>Elaine Mattos Da Silva - Pós-Graduação em Sexologia</v>
      </c>
    </row>
    <row r="2691">
      <c r="A2691" s="390" t="str">
        <f>IFERROR(__xludf.DUMMYFUNCTION("""COMPUTED_VALUE"""),"Ariane Batagelo Grela - Pós-Graduação Educação Especial e Inclusiva")</f>
        <v>Ariane Batagelo Grela - Pós-Graduação Educação Especial e Inclusiva</v>
      </c>
    </row>
    <row r="2692">
      <c r="A2692" s="390" t="str">
        <f>IFERROR(__xludf.DUMMYFUNCTION("""COMPUTED_VALUE"""),"Ariane Batagelo Grela - Pós-Graduação em Análise de Comportamento Aplicada ao Autismo-ABA Com Habilitação em Docência no Ensino Superior")</f>
        <v>Ariane Batagelo Grela - Pós-Graduação em Análise de Comportamento Aplicada ao Autismo-ABA Com Habilitação em Docência no Ensino Superior</v>
      </c>
    </row>
    <row r="2693">
      <c r="A2693" s="390" t="str">
        <f>IFERROR(__xludf.DUMMYFUNCTION("""COMPUTED_VALUE"""),"Denise Do Rosario Moura - #SLAA - Segunda Licenciatura em Artes Visuais")</f>
        <v>Denise Do Rosario Moura - #SLAA - Segunda Licenciatura em Artes Visuais</v>
      </c>
    </row>
    <row r="2694">
      <c r="A2694" s="390" t="str">
        <f>IFERROR(__xludf.DUMMYFUNCTION("""COMPUTED_VALUE"""),"Denise Do Rosario Moura - Pós-Graduação em Ensino Religioso")</f>
        <v>Denise Do Rosario Moura - Pós-Graduação em Ensino Religioso</v>
      </c>
    </row>
    <row r="2695">
      <c r="A2695" s="390" t="str">
        <f>IFERROR(__xludf.DUMMYFUNCTION("""COMPUTED_VALUE"""),"Francisco Gilvan Soares de Lima - Pós-graduação em Neuropsicologia")</f>
        <v>Francisco Gilvan Soares de Lima - Pós-graduação em Neuropsicologia</v>
      </c>
    </row>
    <row r="2696">
      <c r="A2696" s="390" t="str">
        <f>IFERROR(__xludf.DUMMYFUNCTION("""COMPUTED_VALUE"""),"Francisco Gilvan Soares de Lima - Formação Livre  TDAH – Transtorno do Déficit de Atenção e Hiperatividade")</f>
        <v>Francisco Gilvan Soares de Lima - Formação Livre  TDAH – Transtorno do Déficit de Atenção e Hiperatividade</v>
      </c>
    </row>
    <row r="2697">
      <c r="A2697" s="390" t="str">
        <f>IFERROR(__xludf.DUMMYFUNCTION("""COMPUTED_VALUE"""),"Ana Carolina Rodrigues Gonçalves - Pedagogia para Bacharéis")</f>
        <v>Ana Carolina Rodrigues Gonçalves - Pedagogia para Bacharéis</v>
      </c>
    </row>
    <row r="2698">
      <c r="A2698" s="390" t="str">
        <f>IFERROR(__xludf.DUMMYFUNCTION("""COMPUTED_VALUE"""),"Larissa Rodrigues da Silva Ueda - Pós-Graduação em Neuropsicopedagogia Clínica e Institucional")</f>
        <v>Larissa Rodrigues da Silva Ueda - Pós-Graduação em Neuropsicopedagogia Clínica e Institucional</v>
      </c>
    </row>
    <row r="2699">
      <c r="A2699" s="390" t="str">
        <f>IFERROR(__xludf.DUMMYFUNCTION("""COMPUTED_VALUE"""),"Larissa Rodrigues da Silva Ueda - Pós-Graduação Psicopedagogia Clínica, Institucional e Hospitalar")</f>
        <v>Larissa Rodrigues da Silva Ueda - Pós-Graduação Psicopedagogia Clínica, Institucional e Hospitalar</v>
      </c>
    </row>
    <row r="2700">
      <c r="A2700" s="390" t="str">
        <f>IFERROR(__xludf.DUMMYFUNCTION("""COMPUTED_VALUE"""),"Neide Francisca Cidreira Bigoni - #SLLPA - Segunda Licenciatura Letras - Português")</f>
        <v>Neide Francisca Cidreira Bigoni - #SLLPA - Segunda Licenciatura Letras - Português</v>
      </c>
    </row>
    <row r="2701">
      <c r="A2701" s="390" t="str">
        <f>IFERROR(__xludf.DUMMYFUNCTION("""COMPUTED_VALUE"""),"Neide Francisca Cidreira Bigoni - #SLTLP1- Segunda Licenciatura Letras - Português")</f>
        <v>Neide Francisca Cidreira Bigoni - #SLTLP1- Segunda Licenciatura Letras - Português</v>
      </c>
    </row>
    <row r="2702">
      <c r="A2702" s="390" t="str">
        <f>IFERROR(__xludf.DUMMYFUNCTION("""COMPUTED_VALUE"""),"HEDER GARCIA MARTINES - #FPUEF - Formação Pedagógica em Educação Física - 1200 Horas")</f>
        <v>HEDER GARCIA MARTINES - #FPUEF - Formação Pedagógica em Educação Física - 1200 Horas</v>
      </c>
    </row>
    <row r="2703">
      <c r="A2703" s="390" t="str">
        <f>IFERROR(__xludf.DUMMYFUNCTION("""COMPUTED_VALUE"""),"HEDER GARCIA MARTINES - Pós-Graduação em Educação Física Escolar e Treinamento Desportivo")</f>
        <v>HEDER GARCIA MARTINES - Pós-Graduação em Educação Física Escolar e Treinamento Desportivo</v>
      </c>
    </row>
    <row r="2704">
      <c r="A2704" s="390" t="str">
        <f>IFERROR(__xludf.DUMMYFUNCTION("""COMPUTED_VALUE"""),"José Olímpio Ferreira Neto - Pós-Graduação em Psicanálise")</f>
        <v>José Olímpio Ferreira Neto - Pós-Graduação em Psicanálise</v>
      </c>
    </row>
    <row r="2705">
      <c r="A2705" s="390" t="str">
        <f>IFERROR(__xludf.DUMMYFUNCTION("""COMPUTED_VALUE"""),"José Olímpio Ferreira Neto - Pós-Graduação em Neuropsicopedagogia")</f>
        <v>José Olímpio Ferreira Neto - Pós-Graduação em Neuropsicopedagogia</v>
      </c>
    </row>
    <row r="2706">
      <c r="A2706" s="390" t="str">
        <f>IFERROR(__xludf.DUMMYFUNCTION("""COMPUTED_VALUE"""),"José Olímpio Ferreira Neto - NOVO-Pós-Graduação em Psicanálise 800 Horas")</f>
        <v>José Olímpio Ferreira Neto - NOVO-Pós-Graduação em Psicanálise 800 Horas</v>
      </c>
    </row>
    <row r="2707">
      <c r="A2707" s="390" t="str">
        <f>IFERROR(__xludf.DUMMYFUNCTION("""COMPUTED_VALUE"""),"ANTÔNIO JOSÉ ROQUE - Pós-Graduação em Educação Musical")</f>
        <v>ANTÔNIO JOSÉ ROQUE - Pós-Graduação em Educação Musical</v>
      </c>
    </row>
    <row r="2708">
      <c r="A2708" s="390" t="str">
        <f>IFERROR(__xludf.DUMMYFUNCTION("""COMPUTED_VALUE"""),"ANTÔNIO JOSÉ ROQUE - Pós-Graduação em Docência do Ensino Superior e Tutoria de Educação a Distância")</f>
        <v>ANTÔNIO JOSÉ ROQUE - Pós-Graduação em Docência do Ensino Superior e Tutoria de Educação a Distância</v>
      </c>
    </row>
    <row r="2709">
      <c r="A2709" s="390" t="str">
        <f>IFERROR(__xludf.DUMMYFUNCTION("""COMPUTED_VALUE"""),"ANTÔNIO JOSÉ ROQUE - Pós-Graduação Empreendedorismo e Marketing")</f>
        <v>ANTÔNIO JOSÉ ROQUE - Pós-Graduação Empreendedorismo e Marketing</v>
      </c>
    </row>
    <row r="2710">
      <c r="A2710" s="390" t="str">
        <f>IFERROR(__xludf.DUMMYFUNCTION("""COMPUTED_VALUE"""),"ANTÔNIO JOSÉ ROQUE - SEGUNDA LICENCIATURA EM ARTES VISUAIS - 2024")</f>
        <v>ANTÔNIO JOSÉ ROQUE - SEGUNDA LICENCIATURA EM ARTES VISUAIS - 2024</v>
      </c>
    </row>
    <row r="2711">
      <c r="A2711" s="390" t="str">
        <f>IFERROR(__xludf.DUMMYFUNCTION("""COMPUTED_VALUE"""),"ANTÔNIO JOSÉ ROQUE - Pós-Graduação em Ensino de Artes")</f>
        <v>ANTÔNIO JOSÉ ROQUE - Pós-Graduação em Ensino de Artes</v>
      </c>
    </row>
    <row r="2712">
      <c r="A2712" s="390" t="str">
        <f>IFERROR(__xludf.DUMMYFUNCTION("""COMPUTED_VALUE"""),"Francisco Alves Farias - Pós-Graduação em Gestão Escolar")</f>
        <v>Francisco Alves Farias - Pós-Graduação em Gestão Escolar</v>
      </c>
    </row>
    <row r="2713">
      <c r="A2713" s="390" t="str">
        <f>IFERROR(__xludf.DUMMYFUNCTION("""COMPUTED_VALUE"""),"Francisco Alves Farias - #FPMF- Formação Pedagógica em Música 1200Horas")</f>
        <v>Francisco Alves Farias - #FPMF- Formação Pedagógica em Música 1200Horas</v>
      </c>
    </row>
    <row r="2714">
      <c r="A2714" s="390" t="str">
        <f>IFERROR(__xludf.DUMMYFUNCTION("""COMPUTED_VALUE"""),"Robinson da Silva - #FPMF- Formação Pedagógica em Música 1200Horas")</f>
        <v>Robinson da Silva - #FPMF- Formação Pedagógica em Música 1200Horas</v>
      </c>
    </row>
    <row r="2715">
      <c r="A2715" s="390" t="str">
        <f>IFERROR(__xludf.DUMMYFUNCTION("""COMPUTED_VALUE"""),"Robinson da Silva - Pós-Graduação em Educação Musical")</f>
        <v>Robinson da Silva - Pós-Graduação em Educação Musical</v>
      </c>
    </row>
    <row r="2716">
      <c r="A2716" s="390" t="str">
        <f>IFERROR(__xludf.DUMMYFUNCTION("""COMPUTED_VALUE"""),"Raysa Moreira Santos Bezerra - Pedagogia para Bacharéis")</f>
        <v>Raysa Moreira Santos Bezerra - Pedagogia para Bacharéis</v>
      </c>
    </row>
    <row r="2717">
      <c r="A2717" s="390" t="str">
        <f>IFERROR(__xludf.DUMMYFUNCTION("""COMPUTED_VALUE"""),"Rayanne Moreira Morais Silva - NOVO-Pós-Graduação em Psicanálise 800 Horas")</f>
        <v>Rayanne Moreira Morais Silva - NOVO-Pós-Graduação em Psicanálise 800 Horas</v>
      </c>
    </row>
    <row r="2718">
      <c r="A2718" s="390" t="str">
        <f>IFERROR(__xludf.DUMMYFUNCTION("""COMPUTED_VALUE"""),"Karla Silva Saldanha - #SLSEA - Segunda Licenciatura Letras - Espanhol")</f>
        <v>Karla Silva Saldanha - #SLSEA - Segunda Licenciatura Letras - Espanhol</v>
      </c>
    </row>
    <row r="2719">
      <c r="A2719" s="390" t="str">
        <f>IFERROR(__xludf.DUMMYFUNCTION("""COMPUTED_VALUE"""),"Michele Amanda Ribas Rodrigues Ferreira - Pedagogia para Bacharéis")</f>
        <v>Michele Amanda Ribas Rodrigues Ferreira - Pedagogia para Bacharéis</v>
      </c>
    </row>
    <row r="2720">
      <c r="A2720" s="390" t="str">
        <f>IFERROR(__xludf.DUMMYFUNCTION("""COMPUTED_VALUE"""),"Ricardo Alexandre Ferraz Jacob - #SLEEF- Segunda Licenciatura Educação Física")</f>
        <v>Ricardo Alexandre Ferraz Jacob - #SLEEF- Segunda Licenciatura Educação Física</v>
      </c>
    </row>
    <row r="2721">
      <c r="A2721" s="390" t="str">
        <f>IFERROR(__xludf.DUMMYFUNCTION("""COMPUTED_VALUE"""),"Marli Weng de Jesus - #SLPA- Segunda Licenciatura em Pedagogia 01")</f>
        <v>Marli Weng de Jesus - #SLPA- Segunda Licenciatura em Pedagogia 01</v>
      </c>
    </row>
    <row r="2722">
      <c r="A2722" s="390" t="str">
        <f>IFERROR(__xludf.DUMMYFUNCTION("""COMPUTED_VALUE"""),"Carina Costa Veloso - Pedagogia para Bacharéis")</f>
        <v>Carina Costa Veloso - Pedagogia para Bacharéis</v>
      </c>
    </row>
    <row r="2723">
      <c r="A2723" s="390" t="str">
        <f>IFERROR(__xludf.DUMMYFUNCTION("""COMPUTED_VALUE"""),"Carina Costa Veloso - #FPUP-FORMAÇÃO PEDAGÓGICA EM PEDAGOGIA- U")</f>
        <v>Carina Costa Veloso - #FPUP-FORMAÇÃO PEDAGÓGICA EM PEDAGOGIA- U</v>
      </c>
    </row>
    <row r="2724">
      <c r="A2724" s="390" t="str">
        <f>IFERROR(__xludf.DUMMYFUNCTION("""COMPUTED_VALUE"""),"Carina Costa Veloso - #FPT1-Pedagogia para Bacharéis e Tecnólogos (2022)")</f>
        <v>Carina Costa Veloso - #FPT1-Pedagogia para Bacharéis e Tecnólogos (2022)</v>
      </c>
    </row>
    <row r="2725">
      <c r="A2725" s="390" t="str">
        <f>IFERROR(__xludf.DUMMYFUNCTION("""COMPUTED_VALUE"""),"Breno Ricardo Silva - Pós-Graduação em Engenharia de Segurança do Trabalho")</f>
        <v>Breno Ricardo Silva - Pós-Graduação em Engenharia de Segurança do Trabalho</v>
      </c>
    </row>
    <row r="2726">
      <c r="A2726" s="390" t="str">
        <f>IFERROR(__xludf.DUMMYFUNCTION("""COMPUTED_VALUE"""),"Rodrigo Rodrigues Tavares - Pós-Graduação em Educação Musical")</f>
        <v>Rodrigo Rodrigues Tavares - Pós-Graduação em Educação Musical</v>
      </c>
    </row>
    <row r="2727">
      <c r="A2727" s="390" t="str">
        <f>IFERROR(__xludf.DUMMYFUNCTION("""COMPUTED_VALUE"""),"Rodrigo Rodrigues Tavares - Pós-Graduação em Educação Física Escolar e Treinamento Desportivo")</f>
        <v>Rodrigo Rodrigues Tavares - Pós-Graduação em Educação Física Escolar e Treinamento Desportivo</v>
      </c>
    </row>
    <row r="2728">
      <c r="A2728" s="390" t="str">
        <f>IFERROR(__xludf.DUMMYFUNCTION("""COMPUTED_VALUE"""),"David Gomes Carvalho - #SLIA - Segunda Licenciatura Letras - Inglês")</f>
        <v>David Gomes Carvalho - #SLIA - Segunda Licenciatura Letras - Inglês</v>
      </c>
    </row>
    <row r="2729">
      <c r="A2729" s="390" t="str">
        <f>IFERROR(__xludf.DUMMYFUNCTION("""COMPUTED_VALUE"""),"David Gomes Carvalho - #SLPA- Segunda Licenciatura em Pedagogia 01")</f>
        <v>David Gomes Carvalho - #SLPA- Segunda Licenciatura em Pedagogia 01</v>
      </c>
    </row>
    <row r="2730">
      <c r="A2730" s="390" t="str">
        <f>IFERROR(__xludf.DUMMYFUNCTION("""COMPUTED_VALUE"""),"Renan Barros Nonato - Formação Livre em Terapia Familiar")</f>
        <v>Renan Barros Nonato - Formação Livre em Terapia Familiar</v>
      </c>
    </row>
    <row r="2731">
      <c r="A2731" s="390" t="str">
        <f>IFERROR(__xludf.DUMMYFUNCTION("""COMPUTED_VALUE"""),"Luana Moreira de Souza - Pós-Graduação em Psicanálise")</f>
        <v>Luana Moreira de Souza - Pós-Graduação em Psicanálise</v>
      </c>
    </row>
    <row r="2732">
      <c r="A2732" s="390" t="str">
        <f>IFERROR(__xludf.DUMMYFUNCTION("""COMPUTED_VALUE"""),"Luana Moreira de Souza - NOVO-Pós-Graduação em Psicanálise 800 Horas")</f>
        <v>Luana Moreira de Souza - NOVO-Pós-Graduação em Psicanálise 800 Horas</v>
      </c>
    </row>
    <row r="2733">
      <c r="A2733" s="390" t="str">
        <f>IFERROR(__xludf.DUMMYFUNCTION("""COMPUTED_VALUE"""),"Michele de Araújo Lima Cruz - #FPPUA Formação Pedagógica Pedagogia - 1000Horas")</f>
        <v>Michele de Araújo Lima Cruz - #FPPUA Formação Pedagógica Pedagogia - 1000Horas</v>
      </c>
    </row>
    <row r="2734">
      <c r="A2734" s="390" t="str">
        <f>IFERROR(__xludf.DUMMYFUNCTION("""COMPUTED_VALUE"""),"Michele de Araújo Lima Cruz - #FPUP-FORMAÇÃO PEDAGÓGICA EM PEDAGOGIA- U")</f>
        <v>Michele de Araújo Lima Cruz - #FPUP-FORMAÇÃO PEDAGÓGICA EM PEDAGOGIA- U</v>
      </c>
    </row>
    <row r="2735">
      <c r="A2735" s="390" t="str">
        <f>IFERROR(__xludf.DUMMYFUNCTION("""COMPUTED_VALUE"""),"Leticia Cardoso Dos Santos - Pós-Graduação em Sexologia")</f>
        <v>Leticia Cardoso Dos Santos - Pós-Graduação em Sexologia</v>
      </c>
    </row>
    <row r="2736">
      <c r="A2736" s="390" t="str">
        <f>IFERROR(__xludf.DUMMYFUNCTION("""COMPUTED_VALUE"""),"Maria Aparecida Oliveira Lima - Pós-Graduação em Psicanálise")</f>
        <v>Maria Aparecida Oliveira Lima - Pós-Graduação em Psicanálise</v>
      </c>
    </row>
    <row r="2737">
      <c r="A2737" s="390" t="str">
        <f>IFERROR(__xludf.DUMMYFUNCTION("""COMPUTED_VALUE"""),"Maria Da Penha Amorim Lima - Formação Livre Psicanálise")</f>
        <v>Maria Da Penha Amorim Lima - Formação Livre Psicanálise</v>
      </c>
    </row>
    <row r="2738">
      <c r="A2738" s="390" t="str">
        <f>IFERROR(__xludf.DUMMYFUNCTION("""COMPUTED_VALUE"""),"Maria Da Penha Amorim Lima - Formação Livre em Psicanálise-2022")</f>
        <v>Maria Da Penha Amorim Lima - Formação Livre em Psicanálise-2022</v>
      </c>
    </row>
    <row r="2739">
      <c r="A2739" s="390" t="str">
        <f>IFERROR(__xludf.DUMMYFUNCTION("""COMPUTED_VALUE"""),"Luciana Santos - Pós-Graduação Neurociência e Aprendizagem")</f>
        <v>Luciana Santos - Pós-Graduação Neurociência e Aprendizagem</v>
      </c>
    </row>
    <row r="2740">
      <c r="A2740" s="390" t="str">
        <f>IFERROR(__xludf.DUMMYFUNCTION("""COMPUTED_VALUE"""),"Sonete Odivino de Oliveira Silva - Pós-Graduação em Psicanálise")</f>
        <v>Sonete Odivino de Oliveira Silva - Pós-Graduação em Psicanálise</v>
      </c>
    </row>
    <row r="2741">
      <c r="A2741" s="390" t="str">
        <f>IFERROR(__xludf.DUMMYFUNCTION("""COMPUTED_VALUE"""),"Evanilsa Rosa da Silva - #SLUP - SEGUNDA LICENCIATURA EM PEDAGOGIA")</f>
        <v>Evanilsa Rosa da Silva - #SLUP - SEGUNDA LICENCIATURA EM PEDAGOGIA</v>
      </c>
    </row>
    <row r="2742">
      <c r="A2742" s="390" t="str">
        <f>IFERROR(__xludf.DUMMYFUNCTION("""COMPUTED_VALUE"""),"Daniel Sousa de Araujo - #FPUM Formação Pedagógica em Matemática")</f>
        <v>Daniel Sousa de Araujo - #FPUM Formação Pedagógica em Matemática</v>
      </c>
    </row>
    <row r="2743">
      <c r="A2743" s="390" t="str">
        <f>IFERROR(__xludf.DUMMYFUNCTION("""COMPUTED_VALUE"""),"Leif Eric Araújo Da Silva Garcia De Oliveira Pereira - Pós-Graduação em Engenharia de Segurança do Trabalho")</f>
        <v>Leif Eric Araújo Da Silva Garcia De Oliveira Pereira - Pós-Graduação em Engenharia de Segurança do Trabalho</v>
      </c>
    </row>
    <row r="2744">
      <c r="A2744" s="390" t="str">
        <f>IFERROR(__xludf.DUMMYFUNCTION("""COMPUTED_VALUE"""),"Leif Eric Araújo Da Silva Garcia De Oliveira Pereira - Pós-Graduação em Engenharia de Segurança do Trabalho")</f>
        <v>Leif Eric Araújo Da Silva Garcia De Oliveira Pereira - Pós-Graduação em Engenharia de Segurança do Trabalho</v>
      </c>
    </row>
    <row r="2745">
      <c r="A2745" s="390" t="str">
        <f>IFERROR(__xludf.DUMMYFUNCTION("""COMPUTED_VALUE"""),"Clovis Siqueira do Nascimento - Formação Livre em Música")</f>
        <v>Clovis Siqueira do Nascimento - Formação Livre em Música</v>
      </c>
    </row>
    <row r="2746">
      <c r="A2746" s="390" t="str">
        <f>IFERROR(__xludf.DUMMYFUNCTION("""COMPUTED_VALUE"""),"Clovis Siqueira do Nascimento - Formação Livre em Música")</f>
        <v>Clovis Siqueira do Nascimento - Formação Livre em Música</v>
      </c>
    </row>
    <row r="2747">
      <c r="A2747" s="390" t="str">
        <f>IFERROR(__xludf.DUMMYFUNCTION("""COMPUTED_VALUE"""),"Manoel Oliveira Izoton - #FPUEF - Formação Pedagógica em Educação Física - 1200 Horas")</f>
        <v>Manoel Oliveira Izoton - #FPUEF - Formação Pedagógica em Educação Física - 1200 Horas</v>
      </c>
    </row>
    <row r="2748">
      <c r="A2748" s="390" t="str">
        <f>IFERROR(__xludf.DUMMYFUNCTION("""COMPUTED_VALUE"""),"Marta Neri Campos - Pós-Graduação em Biblioteconomia")</f>
        <v>Marta Neri Campos - Pós-Graduação em Biblioteconomia</v>
      </c>
    </row>
    <row r="2749">
      <c r="A2749" s="390" t="str">
        <f>IFERROR(__xludf.DUMMYFUNCTION("""COMPUTED_VALUE"""),"Lori Ane Vargas de Freitas - RADIANTE - Pós-Graduação em Saúde Mental com Ênfase em Dependência Química")</f>
        <v>Lori Ane Vargas de Freitas - RADIANTE - Pós-Graduação em Saúde Mental com Ênfase em Dependência Química</v>
      </c>
    </row>
    <row r="2750">
      <c r="A2750" s="390" t="str">
        <f>IFERROR(__xludf.DUMMYFUNCTION("""COMPUTED_VALUE"""),"Anna Karina Silva de Souza - #SLUP - SEGUNDA LICENCIATURA EM PEDAGOGIA")</f>
        <v>Anna Karina Silva de Souza - #SLUP - SEGUNDA LICENCIATURA EM PEDAGOGIA</v>
      </c>
    </row>
    <row r="2751">
      <c r="A2751" s="390" t="str">
        <f>IFERROR(__xludf.DUMMYFUNCTION("""COMPUTED_VALUE"""),"Rosaneide Araújo da Silva - Pós-Graduação em Metodologia Ativas e Tecnologias Educacionais")</f>
        <v>Rosaneide Araújo da Silva - Pós-Graduação em Metodologia Ativas e Tecnologias Educacionais</v>
      </c>
    </row>
    <row r="2752">
      <c r="A2752" s="390" t="str">
        <f>IFERROR(__xludf.DUMMYFUNCTION("""COMPUTED_VALUE"""),"Wanderley Soares Ascencio - Formação Livre Psicanálise")</f>
        <v>Wanderley Soares Ascencio - Formação Livre Psicanálise</v>
      </c>
    </row>
    <row r="2753">
      <c r="A2753" s="390" t="str">
        <f>IFERROR(__xludf.DUMMYFUNCTION("""COMPUTED_VALUE"""),"Leandro Barbosa da Marta - #SLPA- Segunda Licenciatura em Pedagogia 01")</f>
        <v>Leandro Barbosa da Marta - #SLPA- Segunda Licenciatura em Pedagogia 01</v>
      </c>
    </row>
    <row r="2754">
      <c r="A2754" s="390" t="str">
        <f>IFERROR(__xludf.DUMMYFUNCTION("""COMPUTED_VALUE"""),"Leandro Barbosa da Marta - #FPUP-FORMAÇÃO PEDAGÓGICA EM PEDAGOGIA- U")</f>
        <v>Leandro Barbosa da Marta - #FPUP-FORMAÇÃO PEDAGÓGICA EM PEDAGOGIA- U</v>
      </c>
    </row>
    <row r="2755">
      <c r="A2755" s="390" t="str">
        <f>IFERROR(__xludf.DUMMYFUNCTION("""COMPUTED_VALUE"""),"Maria José De Paula Ribeiro - NOVO-Pós-Graduação em Psicanálise 800 Horas")</f>
        <v>Maria José De Paula Ribeiro - NOVO-Pós-Graduação em Psicanálise 800 Horas</v>
      </c>
    </row>
    <row r="2756">
      <c r="A2756" s="390" t="str">
        <f>IFERROR(__xludf.DUMMYFUNCTION("""COMPUTED_VALUE"""),"Maria José De Paula Ribeiro - NOVO-Pós-Graduação em Psicanálise 800 Horas")</f>
        <v>Maria José De Paula Ribeiro - NOVO-Pós-Graduação em Psicanálise 800 Horas</v>
      </c>
    </row>
    <row r="2757">
      <c r="A2757" s="390" t="str">
        <f>IFERROR(__xludf.DUMMYFUNCTION("""COMPUTED_VALUE"""),"Maria José De Paula Ribeiro - Pós-Graduação em MBA em Gestão de Pessoas e Talentos")</f>
        <v>Maria José De Paula Ribeiro - Pós-Graduação em MBA em Gestão de Pessoas e Talentos</v>
      </c>
    </row>
    <row r="2758">
      <c r="A2758" s="390" t="str">
        <f>IFERROR(__xludf.DUMMYFUNCTION("""COMPUTED_VALUE"""),"Denilce Pinheiro Soares Silva - Formação Livre Psicanálise")</f>
        <v>Denilce Pinheiro Soares Silva - Formação Livre Psicanálise</v>
      </c>
    </row>
    <row r="2759">
      <c r="A2759" s="390" t="str">
        <f>IFERROR(__xludf.DUMMYFUNCTION("""COMPUTED_VALUE"""),"Izete Santana Oliveira - Formação Livre Psicanálise")</f>
        <v>Izete Santana Oliveira - Formação Livre Psicanálise</v>
      </c>
    </row>
    <row r="2760">
      <c r="A2760" s="390" t="str">
        <f>IFERROR(__xludf.DUMMYFUNCTION("""COMPUTED_VALUE"""),"Izete Santana Oliveira - Formação Livre em Sexologia")</f>
        <v>Izete Santana Oliveira - Formação Livre em Sexologia</v>
      </c>
    </row>
    <row r="2761">
      <c r="A2761" s="390" t="str">
        <f>IFERROR(__xludf.DUMMYFUNCTION("""COMPUTED_VALUE"""),"Dejailson Luiz Carolino - #SLMF - Segunda Licenciatura em Música 1320Horas")</f>
        <v>Dejailson Luiz Carolino - #SLMF - Segunda Licenciatura em Música 1320Horas</v>
      </c>
    </row>
    <row r="2762">
      <c r="A2762" s="390" t="str">
        <f>IFERROR(__xludf.DUMMYFUNCTION("""COMPUTED_VALUE"""),"Dejailson Luiz Carolino - #SLMF- Segunda Licenciatura em Música 2022 880Horas")</f>
        <v>Dejailson Luiz Carolino - #SLMF- Segunda Licenciatura em Música 2022 880Horas</v>
      </c>
    </row>
    <row r="2763">
      <c r="A2763" s="390" t="str">
        <f>IFERROR(__xludf.DUMMYFUNCTION("""COMPUTED_VALUE"""),"Glacieny Teixeira Sobrinho - #FPP- Formação Pedagógica em Pedagogia R2")</f>
        <v>Glacieny Teixeira Sobrinho - #FPP- Formação Pedagógica em Pedagogia R2</v>
      </c>
    </row>
    <row r="2764">
      <c r="A2764" s="390" t="str">
        <f>IFERROR(__xludf.DUMMYFUNCTION("""COMPUTED_VALUE"""),"Janaina Santos da Silva - Formação Livre Psicanálise")</f>
        <v>Janaina Santos da Silva - Formação Livre Psicanálise</v>
      </c>
    </row>
    <row r="2765">
      <c r="A2765" s="390" t="str">
        <f>IFERROR(__xludf.DUMMYFUNCTION("""COMPUTED_VALUE"""),"Darisson Miller Marinho de Jesus - #FPMF- Formação Pedagógica em Música 1200Horas")</f>
        <v>Darisson Miller Marinho de Jesus - #FPMF- Formação Pedagógica em Música 1200Horas</v>
      </c>
    </row>
    <row r="2766">
      <c r="A2766" s="390" t="str">
        <f>IFERROR(__xludf.DUMMYFUNCTION("""COMPUTED_VALUE"""),"Darisson Miller Marinho de Jesus - Pós-Graduação em Musicoterapia")</f>
        <v>Darisson Miller Marinho de Jesus - Pós-Graduação em Musicoterapia</v>
      </c>
    </row>
    <row r="2767">
      <c r="A2767" s="390" t="str">
        <f>IFERROR(__xludf.DUMMYFUNCTION("""COMPUTED_VALUE"""),"Daniele Cristina Barbosa de Oliveira Pereira - Formação Livre Psicanálise")</f>
        <v>Daniele Cristina Barbosa de Oliveira Pereira - Formação Livre Psicanálise</v>
      </c>
    </row>
    <row r="2768">
      <c r="A2768" s="390" t="str">
        <f>IFERROR(__xludf.DUMMYFUNCTION("""COMPUTED_VALUE"""),"Sérgio Luiz Gonçalves Félix - Pós-Graduação em Psicanálise")</f>
        <v>Sérgio Luiz Gonçalves Félix - Pós-Graduação em Psicanálise</v>
      </c>
    </row>
    <row r="2769">
      <c r="A2769" s="390" t="str">
        <f>IFERROR(__xludf.DUMMYFUNCTION("""COMPUTED_VALUE"""),"Joseane Maria Silva - Formação Livre Psicanálise")</f>
        <v>Joseane Maria Silva - Formação Livre Psicanálise</v>
      </c>
    </row>
    <row r="2770">
      <c r="A2770" s="390" t="str">
        <f>IFERROR(__xludf.DUMMYFUNCTION("""COMPUTED_VALUE"""),"Fabiana de oliveira santos - Formação Livre Psicanálise")</f>
        <v>Fabiana de oliveira santos - Formação Livre Psicanálise</v>
      </c>
    </row>
    <row r="2771">
      <c r="A2771" s="390" t="str">
        <f>IFERROR(__xludf.DUMMYFUNCTION("""COMPUTED_VALUE"""),"Fabiana de oliveira santos - Formação Livre em Psicanálise-2022")</f>
        <v>Fabiana de oliveira santos - Formação Livre em Psicanálise-2022</v>
      </c>
    </row>
    <row r="2772">
      <c r="A2772" s="390" t="str">
        <f>IFERROR(__xludf.DUMMYFUNCTION("""COMPUTED_VALUE"""),"Maristela Simões Carvalheira Hirosaki - #SLPA- Segunda Licenciatura em Pedagogia 01")</f>
        <v>Maristela Simões Carvalheira Hirosaki - #SLPA- Segunda Licenciatura em Pedagogia 01</v>
      </c>
    </row>
    <row r="2773">
      <c r="A2773" s="390" t="str">
        <f>IFERROR(__xludf.DUMMYFUNCTION("""COMPUTED_VALUE"""),"Maristela Simões Carvalheira Hirosaki - Pós-Graduação em Gestão Escolar")</f>
        <v>Maristela Simões Carvalheira Hirosaki - Pós-Graduação em Gestão Escolar</v>
      </c>
    </row>
    <row r="2774">
      <c r="A2774" s="390" t="str">
        <f>IFERROR(__xludf.DUMMYFUNCTION("""COMPUTED_VALUE"""),"Maristela Simões Carvalheira Hirosaki - #FPUP-FORMAÇÃO PEDAGÓGICA EM PEDAGOGIA- U")</f>
        <v>Maristela Simões Carvalheira Hirosaki - #FPUP-FORMAÇÃO PEDAGÓGICA EM PEDAGOGIA- U</v>
      </c>
    </row>
    <row r="2775">
      <c r="A2775" s="390" t="str">
        <f>IFERROR(__xludf.DUMMYFUNCTION("""COMPUTED_VALUE"""),"Maristela Simões Carvalheira Hirosaki - #FPP- Formação Pedagógica em Pedagogia R2")</f>
        <v>Maristela Simões Carvalheira Hirosaki - #FPP- Formação Pedagógica em Pedagogia R2</v>
      </c>
    </row>
    <row r="2776">
      <c r="A2776" s="390" t="str">
        <f>IFERROR(__xludf.DUMMYFUNCTION("""COMPUTED_VALUE"""),"MARCOS PAULO DA SILVA - Pós-Graduação em MBA em Gestão de Pessoas e Talentos")</f>
        <v>MARCOS PAULO DA SILVA - Pós-Graduação em MBA em Gestão de Pessoas e Talentos</v>
      </c>
    </row>
    <row r="2777">
      <c r="A2777" s="390" t="str">
        <f>IFERROR(__xludf.DUMMYFUNCTION("""COMPUTED_VALUE"""),"Luciene Pereira dos Santos Bentes - Pós-Graduação em Ensino da Literatura e Produção de Texto em Língua Inglesa")</f>
        <v>Luciene Pereira dos Santos Bentes - Pós-Graduação em Ensino da Literatura e Produção de Texto em Língua Inglesa</v>
      </c>
    </row>
    <row r="2778">
      <c r="A2778" s="390" t="str">
        <f>IFERROR(__xludf.DUMMYFUNCTION("""COMPUTED_VALUE"""),"FABIANA PALOMEQUE DE PAULA - Pós-Graduação em Psicomotricidade")</f>
        <v>FABIANA PALOMEQUE DE PAULA - Pós-Graduação em Psicomotricidade</v>
      </c>
    </row>
    <row r="2779">
      <c r="A2779" s="390" t="str">
        <f>IFERROR(__xludf.DUMMYFUNCTION("""COMPUTED_VALUE"""),"FABIANA PALOMEQUE DE PAULA - Pós-Graduação Neurociência e Aprendizagem")</f>
        <v>FABIANA PALOMEQUE DE PAULA - Pós-Graduação Neurociência e Aprendizagem</v>
      </c>
    </row>
    <row r="2780">
      <c r="A2780" s="390" t="str">
        <f>IFERROR(__xludf.DUMMYFUNCTION("""COMPUTED_VALUE"""),"Lázaro Braz Ferra - #SLMF - Segunda Licenciatura em Música 1320Horas")</f>
        <v>Lázaro Braz Ferra - #SLMF - Segunda Licenciatura em Música 1320Horas</v>
      </c>
    </row>
    <row r="2781">
      <c r="A2781" s="390" t="str">
        <f>IFERROR(__xludf.DUMMYFUNCTION("""COMPUTED_VALUE"""),"Lázaro Braz Ferra - #FPUP-FORMAÇÃO PEDAGÓGICA EM PEDAGOGIA- U")</f>
        <v>Lázaro Braz Ferra - #FPUP-FORMAÇÃO PEDAGÓGICA EM PEDAGOGIA- U</v>
      </c>
    </row>
    <row r="2782">
      <c r="A2782" s="390" t="str">
        <f>IFERROR(__xludf.DUMMYFUNCTION("""COMPUTED_VALUE"""),"Claudio Cesar Nardes Antunes - #FPT1-Pedagogia para Bacharéis e Tecnólogos (2022)")</f>
        <v>Claudio Cesar Nardes Antunes - #FPT1-Pedagogia para Bacharéis e Tecnólogos (2022)</v>
      </c>
    </row>
    <row r="2783">
      <c r="A2783" s="390" t="str">
        <f>IFERROR(__xludf.DUMMYFUNCTION("""COMPUTED_VALUE"""),"Francisca Paulina Goulart Tozzi - Pós-Graduação em Psicanálise")</f>
        <v>Francisca Paulina Goulart Tozzi - Pós-Graduação em Psicanálise</v>
      </c>
    </row>
    <row r="2784">
      <c r="A2784" s="390" t="str">
        <f>IFERROR(__xludf.DUMMYFUNCTION("""COMPUTED_VALUE"""),"Stefânia de Oliveira Eugênio - #SLPA- Segunda Licenciatura em Pedagogia 01")</f>
        <v>Stefânia de Oliveira Eugênio - #SLPA- Segunda Licenciatura em Pedagogia 01</v>
      </c>
    </row>
    <row r="2785">
      <c r="A2785" s="390" t="str">
        <f>IFERROR(__xludf.DUMMYFUNCTION("""COMPUTED_VALUE"""),"Stefânia de Oliveira Eugênio - #SLPA- Segunda Licenciatura em Pedagogia 01")</f>
        <v>Stefânia de Oliveira Eugênio - #SLPA- Segunda Licenciatura em Pedagogia 01</v>
      </c>
    </row>
    <row r="2786">
      <c r="A2786" s="390" t="str">
        <f>IFERROR(__xludf.DUMMYFUNCTION("""COMPUTED_VALUE"""),"JOSÉ FIDELISSIMO DE LIMA - #SLUPE- Segunda Licenciatura em Letras – Português e Espanhol")</f>
        <v>JOSÉ FIDELISSIMO DE LIMA - #SLUPE- Segunda Licenciatura em Letras – Português e Espanhol</v>
      </c>
    </row>
    <row r="2787">
      <c r="A2787" s="390" t="str">
        <f>IFERROR(__xludf.DUMMYFUNCTION("""COMPUTED_VALUE"""),"JOSÉ FIDELISSIMO DE LIMA - #SLTLE1- Segunda Licenciatura em Letras - Espanhol")</f>
        <v>JOSÉ FIDELISSIMO DE LIMA - #SLTLE1- Segunda Licenciatura em Letras - Espanhol</v>
      </c>
    </row>
    <row r="2788">
      <c r="A2788" s="390" t="str">
        <f>IFERROR(__xludf.DUMMYFUNCTION("""COMPUTED_VALUE"""),"Eric da Silva de Barros - #SLMF - Segunda Licenciatura em Música 1320Horas")</f>
        <v>Eric da Silva de Barros - #SLMF - Segunda Licenciatura em Música 1320Horas</v>
      </c>
    </row>
    <row r="2789">
      <c r="A2789" s="390" t="str">
        <f>IFERROR(__xludf.DUMMYFUNCTION("""COMPUTED_VALUE"""),"Lucilene Garcia da Silva Boaventura Lemes - Práticas Pedagógicas")</f>
        <v>Lucilene Garcia da Silva Boaventura Lemes - Práticas Pedagógicas</v>
      </c>
    </row>
    <row r="2790">
      <c r="A2790" s="390" t="str">
        <f>IFERROR(__xludf.DUMMYFUNCTION("""COMPUTED_VALUE"""),"Claudia Fernanda Lopes - Formação Livre Psicanálise")</f>
        <v>Claudia Fernanda Lopes - Formação Livre Psicanálise</v>
      </c>
    </row>
    <row r="2791">
      <c r="A2791" s="390" t="str">
        <f>IFERROR(__xludf.DUMMYFUNCTION("""COMPUTED_VALUE"""),"Carla Magna da Costa Ribeiro Lopes - Pós-Graduação em Psicanálise")</f>
        <v>Carla Magna da Costa Ribeiro Lopes - Pós-Graduação em Psicanálise</v>
      </c>
    </row>
    <row r="2792">
      <c r="A2792" s="390" t="str">
        <f>IFERROR(__xludf.DUMMYFUNCTION("""COMPUTED_VALUE"""),"Carla Magna da Costa Ribeiro Lopes - PÓS-GRADUAÇÃO EM PSICANÁLISE - 2024")</f>
        <v>Carla Magna da Costa Ribeiro Lopes - PÓS-GRADUAÇÃO EM PSICANÁLISE - 2024</v>
      </c>
    </row>
    <row r="2793">
      <c r="A2793" s="390" t="str">
        <f>IFERROR(__xludf.DUMMYFUNCTION("""COMPUTED_VALUE"""),"Regina Liberato Shibuta - Pós-Graduação em Neuropsicopedagogia Clínica e Institucional")</f>
        <v>Regina Liberato Shibuta - Pós-Graduação em Neuropsicopedagogia Clínica e Institucional</v>
      </c>
    </row>
    <row r="2794">
      <c r="A2794" s="390" t="str">
        <f>IFERROR(__xludf.DUMMYFUNCTION("""COMPUTED_VALUE"""),"Patrícia Oliveira A. de Souza - Pós-Graduação em Psicanálise")</f>
        <v>Patrícia Oliveira A. de Souza - Pós-Graduação em Psicanálise</v>
      </c>
    </row>
    <row r="2795">
      <c r="A2795" s="390" t="str">
        <f>IFERROR(__xludf.DUMMYFUNCTION("""COMPUTED_VALUE"""),"Joane Faustino Araújo - #SLMF - Segunda Licenciatura em Música 1320Horas")</f>
        <v>Joane Faustino Araújo - #SLMF - Segunda Licenciatura em Música 1320Horas</v>
      </c>
    </row>
    <row r="2796">
      <c r="A2796" s="390" t="str">
        <f>IFERROR(__xludf.DUMMYFUNCTION("""COMPUTED_VALUE"""),"Sônia Aparecida dias - Formação Livre Psicanálise")</f>
        <v>Sônia Aparecida dias - Formação Livre Psicanálise</v>
      </c>
    </row>
    <row r="2797">
      <c r="A2797" s="390" t="str">
        <f>IFERROR(__xludf.DUMMYFUNCTION("""COMPUTED_VALUE"""),"Evangleide Rodrigues Lira - Formação Livre Psicanálise")</f>
        <v>Evangleide Rodrigues Lira - Formação Livre Psicanálise</v>
      </c>
    </row>
    <row r="2798">
      <c r="A2798" s="390" t="str">
        <f>IFERROR(__xludf.DUMMYFUNCTION("""COMPUTED_VALUE"""),"Israel Castro de Souza - #FPMF- Formação Pedagógica em Música 1200Horas")</f>
        <v>Israel Castro de Souza - #FPMF- Formação Pedagógica em Música 1200Horas</v>
      </c>
    </row>
    <row r="2799">
      <c r="A2799" s="390" t="str">
        <f>IFERROR(__xludf.DUMMYFUNCTION("""COMPUTED_VALUE"""),"Marília Juliana de Aguiar da Silva - Formação Livre Psicanálise")</f>
        <v>Marília Juliana de Aguiar da Silva - Formação Livre Psicanálise</v>
      </c>
    </row>
    <row r="2800">
      <c r="A2800" s="390" t="str">
        <f>IFERROR(__xludf.DUMMYFUNCTION("""COMPUTED_VALUE"""),"Karine Fernanda Alves de Lima - #SLUP - SEGUNDA LICENCIATURA EM PEDAGOGIA")</f>
        <v>Karine Fernanda Alves de Lima - #SLUP - SEGUNDA LICENCIATURA EM PEDAGOGIA</v>
      </c>
    </row>
    <row r="2801">
      <c r="A2801" s="390" t="str">
        <f>IFERROR(__xludf.DUMMYFUNCTION("""COMPUTED_VALUE"""),"Márcia Maria Fontes Andrade - #FPT1-Pedagogia para Bacharéis e Tecnólogos (2022)")</f>
        <v>Márcia Maria Fontes Andrade - #FPT1-Pedagogia para Bacharéis e Tecnólogos (2022)</v>
      </c>
    </row>
    <row r="2802">
      <c r="A2802" s="390" t="str">
        <f>IFERROR(__xludf.DUMMYFUNCTION("""COMPUTED_VALUE"""),"Crislaine Aguiar De Jesus - #FPUM Formação Pedagógica em Matemática")</f>
        <v>Crislaine Aguiar De Jesus - #FPUM Formação Pedagógica em Matemática</v>
      </c>
    </row>
    <row r="2803">
      <c r="A2803" s="390" t="str">
        <f>IFERROR(__xludf.DUMMYFUNCTION("""COMPUTED_VALUE"""),"Rosimeire Bispo da Silva Pereira - Pós-Graduação em Neuropsicopedagogia Institucional, Clínica e Hospitalar 850h")</f>
        <v>Rosimeire Bispo da Silva Pereira - Pós-Graduação em Neuropsicopedagogia Institucional, Clínica e Hospitalar 850h</v>
      </c>
    </row>
    <row r="2804">
      <c r="A2804" s="390" t="str">
        <f>IFERROR(__xludf.DUMMYFUNCTION("""COMPUTED_VALUE"""),"Licia Andrade Santos Ramos - Pós-Graduação em Psicanálise")</f>
        <v>Licia Andrade Santos Ramos - Pós-Graduação em Psicanálise</v>
      </c>
    </row>
    <row r="2805">
      <c r="A2805" s="390" t="str">
        <f>IFERROR(__xludf.DUMMYFUNCTION("""COMPUTED_VALUE"""),"Marcos Lattuca da Silva - Pós-Graduação em Psicanálise")</f>
        <v>Marcos Lattuca da Silva - Pós-Graduação em Psicanálise</v>
      </c>
    </row>
    <row r="2806">
      <c r="A2806" s="390" t="str">
        <f>IFERROR(__xludf.DUMMYFUNCTION("""COMPUTED_VALUE"""),"Daniel Gama Bassi - Formação Livre em Terapia em ABA- Análise do Comportamento Aplicada")</f>
        <v>Daniel Gama Bassi - Formação Livre em Terapia em ABA- Análise do Comportamento Aplicada</v>
      </c>
    </row>
    <row r="2807">
      <c r="A2807" s="390" t="str">
        <f>IFERROR(__xludf.DUMMYFUNCTION("""COMPUTED_VALUE"""),"Eliane Regina Porto da silva - Formação Livre Psicanálise")</f>
        <v>Eliane Regina Porto da silva - Formação Livre Psicanálise</v>
      </c>
    </row>
    <row r="2808">
      <c r="A2808" s="390" t="str">
        <f>IFERROR(__xludf.DUMMYFUNCTION("""COMPUTED_VALUE"""),"Luis Dias Guimaraes - Formação Livre Psicanálise")</f>
        <v>Luis Dias Guimaraes - Formação Livre Psicanálise</v>
      </c>
    </row>
    <row r="2809">
      <c r="A2809" s="390" t="str">
        <f>IFERROR(__xludf.DUMMYFUNCTION("""COMPUTED_VALUE"""),"Luis Carlos Carneiro - #FPMF- Formação Pedagógica em Música 1200Horas")</f>
        <v>Luis Carlos Carneiro - #FPMF- Formação Pedagógica em Música 1200Horas</v>
      </c>
    </row>
    <row r="2810">
      <c r="A2810" s="390" t="str">
        <f>IFERROR(__xludf.DUMMYFUNCTION("""COMPUTED_VALUE"""),"Luis Carlos Carneiro - #FPMF- Formação Pedagógica em Música 2022")</f>
        <v>Luis Carlos Carneiro - #FPMF- Formação Pedagógica em Música 2022</v>
      </c>
    </row>
    <row r="2811">
      <c r="A2811" s="390" t="str">
        <f>IFERROR(__xludf.DUMMYFUNCTION("""COMPUTED_VALUE"""),"Luis Carlos Carneiro - #FPMF- Formação Pedagógica em Música 1200Horas")</f>
        <v>Luis Carlos Carneiro - #FPMF- Formação Pedagógica em Música 1200Horas</v>
      </c>
    </row>
    <row r="2812">
      <c r="A2812" s="390" t="str">
        <f>IFERROR(__xludf.DUMMYFUNCTION("""COMPUTED_VALUE"""),"Emerson Cerqueira de Oliveira - #FPUP-FORMAÇÃO PEDAGÓGICA EM PEDAGOGIA- U")</f>
        <v>Emerson Cerqueira de Oliveira - #FPUP-FORMAÇÃO PEDAGÓGICA EM PEDAGOGIA- U</v>
      </c>
    </row>
    <row r="2813">
      <c r="A2813" s="390" t="str">
        <f>IFERROR(__xludf.DUMMYFUNCTION("""COMPUTED_VALUE"""),"Ivana Quadros Viana de Sousa - Pós-Graduação em Psicanálise")</f>
        <v>Ivana Quadros Viana de Sousa - Pós-Graduação em Psicanálise</v>
      </c>
    </row>
    <row r="2814">
      <c r="A2814" s="390" t="str">
        <f>IFERROR(__xludf.DUMMYFUNCTION("""COMPUTED_VALUE"""),"Flavio Pereira da Silva Oliveira - #FPMF- Formação Pedagógica em Música 1200Horas")</f>
        <v>Flavio Pereira da Silva Oliveira - #FPMF- Formação Pedagógica em Música 1200Horas</v>
      </c>
    </row>
    <row r="2815">
      <c r="A2815" s="390" t="str">
        <f>IFERROR(__xludf.DUMMYFUNCTION("""COMPUTED_VALUE"""),"Jaqueline Eloise Gonçalves - #FPUP-FORMAÇÃO PEDAGÓGICA EM PEDAGOGIA- U")</f>
        <v>Jaqueline Eloise Gonçalves - #FPUP-FORMAÇÃO PEDAGÓGICA EM PEDAGOGIA- U</v>
      </c>
    </row>
    <row r="2816">
      <c r="A2816" s="390" t="str">
        <f>IFERROR(__xludf.DUMMYFUNCTION("""COMPUTED_VALUE"""),"Kellen Moraes Dias - Pós-Graduação tutoria em educação a distância")</f>
        <v>Kellen Moraes Dias - Pós-Graduação tutoria em educação a distância</v>
      </c>
    </row>
    <row r="2817">
      <c r="A2817" s="390" t="str">
        <f>IFERROR(__xludf.DUMMYFUNCTION("""COMPUTED_VALUE"""),"Kellen Moraes Dias - Pós-Graduação em Psicomotricidade")</f>
        <v>Kellen Moraes Dias - Pós-Graduação em Psicomotricidade</v>
      </c>
    </row>
    <row r="2818">
      <c r="A2818" s="390" t="str">
        <f>IFERROR(__xludf.DUMMYFUNCTION("""COMPUTED_VALUE"""),"Adenilton Reis Lima - Pós-Graduação em Psicanálise")</f>
        <v>Adenilton Reis Lima - Pós-Graduação em Psicanálise</v>
      </c>
    </row>
    <row r="2819">
      <c r="A2819" s="390" t="str">
        <f>IFERROR(__xludf.DUMMYFUNCTION("""COMPUTED_VALUE"""),"Jovana Abrahão Moreira - Pedagogia para Bacharéis")</f>
        <v>Jovana Abrahão Moreira - Pedagogia para Bacharéis</v>
      </c>
    </row>
    <row r="2820">
      <c r="A2820" s="390" t="str">
        <f>IFERROR(__xludf.DUMMYFUNCTION("""COMPUTED_VALUE"""),"Cícero Pereira Batista - Pós-Graduação em Sexologia")</f>
        <v>Cícero Pereira Batista - Pós-Graduação em Sexologia</v>
      </c>
    </row>
    <row r="2821">
      <c r="A2821" s="390" t="str">
        <f>IFERROR(__xludf.DUMMYFUNCTION("""COMPUTED_VALUE"""),"Cícero Pereira Batista - #SLMF - Segunda Licenciatura em Música 1320Horas")</f>
        <v>Cícero Pereira Batista - #SLMF - Segunda Licenciatura em Música 1320Horas</v>
      </c>
    </row>
    <row r="2822">
      <c r="A2822" s="390" t="str">
        <f>IFERROR(__xludf.DUMMYFUNCTION("""COMPUTED_VALUE"""),"Cícero Pereira Batista - # SLCRA - Segunda Licenciatura em Ciências da Religião")</f>
        <v>Cícero Pereira Batista - # SLCRA - Segunda Licenciatura em Ciências da Religião</v>
      </c>
    </row>
    <row r="2823">
      <c r="A2823" s="390" t="str">
        <f>IFERROR(__xludf.DUMMYFUNCTION("""COMPUTED_VALUE"""),"Cícero Pereira Batista - Pós-Graduação em Psicanálise")</f>
        <v>Cícero Pereira Batista - Pós-Graduação em Psicanálise</v>
      </c>
    </row>
    <row r="2824">
      <c r="A2824" s="390" t="str">
        <f>IFERROR(__xludf.DUMMYFUNCTION("""COMPUTED_VALUE"""),"Cícero Pereira Batista - #SLMF- Segunda Licenciatura em Música 2022 880Horas")</f>
        <v>Cícero Pereira Batista - #SLMF- Segunda Licenciatura em Música 2022 880Horas</v>
      </c>
    </row>
    <row r="2825">
      <c r="A2825" s="390" t="str">
        <f>IFERROR(__xludf.DUMMYFUNCTION("""COMPUTED_VALUE"""),"Jéssica Nascimento Campos Domingos - Pós-Graduação Educação Especial e Inclusiva")</f>
        <v>Jéssica Nascimento Campos Domingos - Pós-Graduação Educação Especial e Inclusiva</v>
      </c>
    </row>
    <row r="2826">
      <c r="A2826" s="390" t="str">
        <f>IFERROR(__xludf.DUMMYFUNCTION("""COMPUTED_VALUE"""),"Jéssica Nascimento Campos Domingos - Pós-Graduação em Atendimento Educacional Especializado Com Ênfase Em Educação Especial e Inclusiva")</f>
        <v>Jéssica Nascimento Campos Domingos - Pós-Graduação em Atendimento Educacional Especializado Com Ênfase Em Educação Especial e Inclusiva</v>
      </c>
    </row>
    <row r="2827">
      <c r="A2827" s="390" t="str">
        <f>IFERROR(__xludf.DUMMYFUNCTION("""COMPUTED_VALUE"""),"Gisele Aparecida Neimerk - NOVO-Pós-Graduação em Psicanálise 800 Horas")</f>
        <v>Gisele Aparecida Neimerk - NOVO-Pós-Graduação em Psicanálise 800 Horas</v>
      </c>
    </row>
    <row r="2828">
      <c r="A2828" s="390" t="str">
        <f>IFERROR(__xludf.DUMMYFUNCTION("""COMPUTED_VALUE"""),"Patricia Pereira Cavalcante - Pós-Graduação em Biblioteconomia")</f>
        <v>Patricia Pereira Cavalcante - Pós-Graduação em Biblioteconomia</v>
      </c>
    </row>
    <row r="2829">
      <c r="A2829" s="390" t="str">
        <f>IFERROR(__xludf.DUMMYFUNCTION("""COMPUTED_VALUE"""),"Patricia Pereira Cavalcante - Pós-Graduação em Autismo 640h")</f>
        <v>Patricia Pereira Cavalcante - Pós-Graduação em Autismo 640h</v>
      </c>
    </row>
    <row r="2830">
      <c r="A2830" s="390" t="str">
        <f>IFERROR(__xludf.DUMMYFUNCTION("""COMPUTED_VALUE"""),"Glaucie Grazioli - Pós-Graduação em Psicomotricidade")</f>
        <v>Glaucie Grazioli - Pós-Graduação em Psicomotricidade</v>
      </c>
    </row>
    <row r="2831">
      <c r="A2831" s="390" t="str">
        <f>IFERROR(__xludf.DUMMYFUNCTION("""COMPUTED_VALUE"""),"Eunaítala Farias da Silva - #SLUEF - Segunda Licenciatura em Educação Física")</f>
        <v>Eunaítala Farias da Silva - #SLUEF - Segunda Licenciatura em Educação Física</v>
      </c>
    </row>
    <row r="2832">
      <c r="A2832" s="390" t="str">
        <f>IFERROR(__xludf.DUMMYFUNCTION("""COMPUTED_VALUE"""),"Eunaítala Farias da Silva - Pós-Graduação em Educação Especial 720Horas")</f>
        <v>Eunaítala Farias da Silva - Pós-Graduação em Educação Especial 720Horas</v>
      </c>
    </row>
    <row r="2833">
      <c r="A2833" s="390" t="str">
        <f>IFERROR(__xludf.DUMMYFUNCTION("""COMPUTED_VALUE"""),"Eunaítala Farias da Silva - Pós-Graduação em Análise de Comportamento Aplicada ao Autismo-ABA Com Habilitação em Docência no Ensino Superior")</f>
        <v>Eunaítala Farias da Silva - Pós-Graduação em Análise de Comportamento Aplicada ao Autismo-ABA Com Habilitação em Docência no Ensino Superior</v>
      </c>
    </row>
    <row r="2834">
      <c r="A2834" s="390" t="str">
        <f>IFERROR(__xludf.DUMMYFUNCTION("""COMPUTED_VALUE"""),"Danilo Dias Paes Landim - #SLUP - SEGUNDA LICENCIATURA EM PEDAGOGIA")</f>
        <v>Danilo Dias Paes Landim - #SLUP - SEGUNDA LICENCIATURA EM PEDAGOGIA</v>
      </c>
    </row>
    <row r="2835">
      <c r="A2835" s="390" t="str">
        <f>IFERROR(__xludf.DUMMYFUNCTION("""COMPUTED_VALUE"""),"Danilo Dias Paes Landim - Pós-Graduação em Administração Pública")</f>
        <v>Danilo Dias Paes Landim - Pós-Graduação em Administração Pública</v>
      </c>
    </row>
    <row r="2836">
      <c r="A2836" s="390" t="str">
        <f>IFERROR(__xludf.DUMMYFUNCTION("""COMPUTED_VALUE"""),"Leanderson Sodré Freitas - #FPP- Formação Pedagógica em Pedagogia R2")</f>
        <v>Leanderson Sodré Freitas - #FPP- Formação Pedagógica em Pedagogia R2</v>
      </c>
    </row>
    <row r="2837">
      <c r="A2837" s="390" t="str">
        <f>IFERROR(__xludf.DUMMYFUNCTION("""COMPUTED_VALUE"""),"Marcos Soares da Silva - #SLMF - Segunda Licenciatura em Música 1320Horas")</f>
        <v>Marcos Soares da Silva - #SLMF - Segunda Licenciatura em Música 1320Horas</v>
      </c>
    </row>
    <row r="2838">
      <c r="A2838" s="390" t="str">
        <f>IFERROR(__xludf.DUMMYFUNCTION("""COMPUTED_VALUE"""),"Marcos Soares da Silva - Pós-Graduação em Musicoterapia")</f>
        <v>Marcos Soares da Silva - Pós-Graduação em Musicoterapia</v>
      </c>
    </row>
    <row r="2839">
      <c r="A2839" s="390" t="str">
        <f>IFERROR(__xludf.DUMMYFUNCTION("""COMPUTED_VALUE"""),"DAVI AUGUSTO PERES DA SILVA - Pós-Graduação em Psicanálise")</f>
        <v>DAVI AUGUSTO PERES DA SILVA - Pós-Graduação em Psicanálise</v>
      </c>
    </row>
    <row r="2840">
      <c r="A2840" s="390" t="str">
        <f>IFERROR(__xludf.DUMMYFUNCTION("""COMPUTED_VALUE"""),"DAVI AUGUSTO PERES DA SILVA - Pós-graduação em Neuropsicologia")</f>
        <v>DAVI AUGUSTO PERES DA SILVA - Pós-graduação em Neuropsicologia</v>
      </c>
    </row>
    <row r="2841">
      <c r="A2841" s="390" t="str">
        <f>IFERROR(__xludf.DUMMYFUNCTION("""COMPUTED_VALUE"""),"DAVI AUGUSTO PERES DA SILVA - Pós-Graduação em Neuropsicopedagogia")</f>
        <v>DAVI AUGUSTO PERES DA SILVA - Pós-Graduação em Neuropsicopedagogia</v>
      </c>
    </row>
    <row r="2842">
      <c r="A2842" s="390" t="str">
        <f>IFERROR(__xludf.DUMMYFUNCTION("""COMPUTED_VALUE"""),"Houzane Gonçalves - Pós-Graduação em Sexologia")</f>
        <v>Houzane Gonçalves - Pós-Graduação em Sexologia</v>
      </c>
    </row>
    <row r="2843">
      <c r="A2843" s="390" t="str">
        <f>IFERROR(__xludf.DUMMYFUNCTION("""COMPUTED_VALUE"""),"Gleiciane Gonçalves Delmondes - Formação Livre Psicanálise")</f>
        <v>Gleiciane Gonçalves Delmondes - Formação Livre Psicanálise</v>
      </c>
    </row>
    <row r="2844">
      <c r="A2844" s="390" t="str">
        <f>IFERROR(__xludf.DUMMYFUNCTION("""COMPUTED_VALUE"""),"Flavia Cristina Andrade Baptista - Formação Livre Psicanálise")</f>
        <v>Flavia Cristina Andrade Baptista - Formação Livre Psicanálise</v>
      </c>
    </row>
    <row r="2845">
      <c r="A2845" s="390" t="str">
        <f>IFERROR(__xludf.DUMMYFUNCTION("""COMPUTED_VALUE"""),"Cristiane Limão Santos da Silva - Formação Livre Psicanálise")</f>
        <v>Cristiane Limão Santos da Silva - Formação Livre Psicanálise</v>
      </c>
    </row>
    <row r="2846">
      <c r="A2846" s="390" t="str">
        <f>IFERROR(__xludf.DUMMYFUNCTION("""COMPUTED_VALUE"""),"Amanda Cristina Reis Clauzen - #FPUP-FORMAÇÃO PEDAGÓGICA EM PEDAGOGIA- U")</f>
        <v>Amanda Cristina Reis Clauzen - #FPUP-FORMAÇÃO PEDAGÓGICA EM PEDAGOGIA- U</v>
      </c>
    </row>
    <row r="2847">
      <c r="A2847" s="390" t="str">
        <f>IFERROR(__xludf.DUMMYFUNCTION("""COMPUTED_VALUE"""),"Vaneza Alves Martimiano - Pós-Graduação em Sexologia")</f>
        <v>Vaneza Alves Martimiano - Pós-Graduação em Sexologia</v>
      </c>
    </row>
    <row r="2848">
      <c r="A2848" s="390" t="str">
        <f>IFERROR(__xludf.DUMMYFUNCTION("""COMPUTED_VALUE"""),"Manoel Nonato da Silva Júnior - Formação Livre Psicanálise")</f>
        <v>Manoel Nonato da Silva Júnior - Formação Livre Psicanálise</v>
      </c>
    </row>
    <row r="2849">
      <c r="A2849" s="390" t="str">
        <f>IFERROR(__xludf.DUMMYFUNCTION("""COMPUTED_VALUE"""),"Xenia Vivian Reis - #SLUP - SEGUNDA LICENCIATURA EM PEDAGOGIA")</f>
        <v>Xenia Vivian Reis - #SLUP - SEGUNDA LICENCIATURA EM PEDAGOGIA</v>
      </c>
    </row>
    <row r="2850">
      <c r="A2850" s="390" t="str">
        <f>IFERROR(__xludf.DUMMYFUNCTION("""COMPUTED_VALUE"""),"Letícia Aparecida dos Reis e Silva David - #SLPA- Segunda Licenciatura em Pedagogia 01")</f>
        <v>Letícia Aparecida dos Reis e Silva David - #SLPA- Segunda Licenciatura em Pedagogia 01</v>
      </c>
    </row>
    <row r="2851">
      <c r="A2851" s="390" t="str">
        <f>IFERROR(__xludf.DUMMYFUNCTION("""COMPUTED_VALUE"""),"Carlos Henrique Fernandes - #FPMF- Formação Pedagógica em Música 1200Horas")</f>
        <v>Carlos Henrique Fernandes - #FPMF- Formação Pedagógica em Música 1200Horas</v>
      </c>
    </row>
    <row r="2852">
      <c r="A2852" s="390" t="str">
        <f>IFERROR(__xludf.DUMMYFUNCTION("""COMPUTED_VALUE"""),"Viviane Aparecida Ribeiro Pavret Tidioli - NOVO-Pós-Graduação em Psicanálise 800 Horas")</f>
        <v>Viviane Aparecida Ribeiro Pavret Tidioli - NOVO-Pós-Graduação em Psicanálise 800 Horas</v>
      </c>
    </row>
    <row r="2853">
      <c r="A2853" s="390" t="str">
        <f>IFERROR(__xludf.DUMMYFUNCTION("""COMPUTED_VALUE"""),"Bianca Cristina Da Silva Baptista - Pós-Graduação em Psicanálise")</f>
        <v>Bianca Cristina Da Silva Baptista - Pós-Graduação em Psicanálise</v>
      </c>
    </row>
    <row r="2854">
      <c r="A2854" s="390" t="str">
        <f>IFERROR(__xludf.DUMMYFUNCTION("""COMPUTED_VALUE"""),"Bianca Cristina Da Silva Baptista - Pós-Graduação Psicopedagogia Clínica, Institucional e Hospitalar")</f>
        <v>Bianca Cristina Da Silva Baptista - Pós-Graduação Psicopedagogia Clínica, Institucional e Hospitalar</v>
      </c>
    </row>
    <row r="2855">
      <c r="A2855" s="390" t="str">
        <f>IFERROR(__xludf.DUMMYFUNCTION("""COMPUTED_VALUE"""),"Mírian Helena Ferreira de Lima - RADIANTE - Pós-Graduação em Braille e Libras")</f>
        <v>Mírian Helena Ferreira de Lima - RADIANTE - Pós-Graduação em Braille e Libras</v>
      </c>
    </row>
    <row r="2856">
      <c r="A2856" s="390" t="str">
        <f>IFERROR(__xludf.DUMMYFUNCTION("""COMPUTED_VALUE"""),"Dario Ferreira Duarte - #FPMF- Formação Pedagógica em Música 1200Horas")</f>
        <v>Dario Ferreira Duarte - #FPMF- Formação Pedagógica em Música 1200Horas</v>
      </c>
    </row>
    <row r="2857">
      <c r="A2857" s="390" t="str">
        <f>IFERROR(__xludf.DUMMYFUNCTION("""COMPUTED_VALUE"""),"Carmem Lucia Rosa - #SLLPA - Segunda Licenciatura Letras - Português")</f>
        <v>Carmem Lucia Rosa - #SLLPA - Segunda Licenciatura Letras - Português</v>
      </c>
    </row>
    <row r="2858">
      <c r="A2858" s="390" t="str">
        <f>IFERROR(__xludf.DUMMYFUNCTION("""COMPUTED_VALUE"""),"Carmem Lucia Rosa - Pós-Graduação em Educação Especial 720Horas")</f>
        <v>Carmem Lucia Rosa - Pós-Graduação em Educação Especial 720Horas</v>
      </c>
    </row>
    <row r="2859">
      <c r="A2859" s="390" t="str">
        <f>IFERROR(__xludf.DUMMYFUNCTION("""COMPUTED_VALUE"""),"Carmem Lucia Rosa - Pós-Graduação em Educação Especial 620Horas")</f>
        <v>Carmem Lucia Rosa - Pós-Graduação em Educação Especial 620Horas</v>
      </c>
    </row>
    <row r="2860">
      <c r="A2860" s="390" t="str">
        <f>IFERROR(__xludf.DUMMYFUNCTION("""COMPUTED_VALUE"""),"Carmem Lucia Rosa - PÓS-GRADUAÇÃO EM PSICANÁLISE - 2024")</f>
        <v>Carmem Lucia Rosa - PÓS-GRADUAÇÃO EM PSICANÁLISE - 2024</v>
      </c>
    </row>
    <row r="2861">
      <c r="A2861" s="390" t="str">
        <f>IFERROR(__xludf.DUMMYFUNCTION("""COMPUTED_VALUE"""),"Carla Bovo Fernandes - #SLUPI - SEGUNDA LICENCIATURA EM LETRAS – PORTUGUÊS E INGLÊS")</f>
        <v>Carla Bovo Fernandes - #SLUPI - SEGUNDA LICENCIATURA EM LETRAS – PORTUGUÊS E INGLÊS</v>
      </c>
    </row>
    <row r="2862">
      <c r="A2862" s="390" t="str">
        <f>IFERROR(__xludf.DUMMYFUNCTION("""COMPUTED_VALUE"""),"Carla Bovo Fernandes - #SLIA - Segunda Licenciatura Letras - Inglês")</f>
        <v>Carla Bovo Fernandes - #SLIA - Segunda Licenciatura Letras - Inglês</v>
      </c>
    </row>
    <row r="2863">
      <c r="A2863" s="390" t="str">
        <f>IFERROR(__xludf.DUMMYFUNCTION("""COMPUTED_VALUE"""),"Carla Bovo Fernandes - #SLLPI- Segunda Licenciatura em Letras-Português/Inglês")</f>
        <v>Carla Bovo Fernandes - #SLLPI- Segunda Licenciatura em Letras-Português/Inglês</v>
      </c>
    </row>
    <row r="2864">
      <c r="A2864" s="390" t="str">
        <f>IFERROR(__xludf.DUMMYFUNCTION("""COMPUTED_VALUE"""),"CARMEM TERESA CASTELO - Formação Livre Psicanálise")</f>
        <v>CARMEM TERESA CASTELO - Formação Livre Psicanálise</v>
      </c>
    </row>
    <row r="2865">
      <c r="A2865" s="390" t="str">
        <f>IFERROR(__xludf.DUMMYFUNCTION("""COMPUTED_VALUE"""),"José Thiago Lopes Maritimo - #FPMF- Formação Pedagógica em Música 1200Horas")</f>
        <v>José Thiago Lopes Maritimo - #FPMF- Formação Pedagógica em Música 1200Horas</v>
      </c>
    </row>
    <row r="2866">
      <c r="A2866" s="390" t="str">
        <f>IFERROR(__xludf.DUMMYFUNCTION("""COMPUTED_VALUE"""),"José Thiago Lopes Maritimo - Pós-Graduação em Educação Musical")</f>
        <v>José Thiago Lopes Maritimo - Pós-Graduação em Educação Musical</v>
      </c>
    </row>
    <row r="2867">
      <c r="A2867" s="390" t="str">
        <f>IFERROR(__xludf.DUMMYFUNCTION("""COMPUTED_VALUE"""),"Celione da Rocha Matos - #SLPA- Segunda Licenciatura em Pedagogia 01")</f>
        <v>Celione da Rocha Matos - #SLPA- Segunda Licenciatura em Pedagogia 01</v>
      </c>
    </row>
    <row r="2868">
      <c r="A2868" s="390" t="str">
        <f>IFERROR(__xludf.DUMMYFUNCTION("""COMPUTED_VALUE"""),"Sergivano Antonio dos Santos - Pós-Graduação em Psicanálise")</f>
        <v>Sergivano Antonio dos Santos - Pós-Graduação em Psicanálise</v>
      </c>
    </row>
    <row r="2869">
      <c r="A2869" s="390" t="str">
        <f>IFERROR(__xludf.DUMMYFUNCTION("""COMPUTED_VALUE"""),"Tâmara oliveira santos - #SLUA- Segunda Licenciatura em Artes Visuais")</f>
        <v>Tâmara oliveira santos - #SLUA- Segunda Licenciatura em Artes Visuais</v>
      </c>
    </row>
    <row r="2870">
      <c r="A2870" s="390" t="str">
        <f>IFERROR(__xludf.DUMMYFUNCTION("""COMPUTED_VALUE"""),"Tâmara oliveira santos - #SLUG - SEGUNDA LICENCIATURA EM GEOGRAFIA")</f>
        <v>Tâmara oliveira santos - #SLUG - SEGUNDA LICENCIATURA EM GEOGRAFIA</v>
      </c>
    </row>
    <row r="2871">
      <c r="A2871" s="390" t="str">
        <f>IFERROR(__xludf.DUMMYFUNCTION("""COMPUTED_VALUE"""),"Clayton Serra - #SLMF - Segunda Licenciatura em Música 1320Horas")</f>
        <v>Clayton Serra - #SLMF - Segunda Licenciatura em Música 1320Horas</v>
      </c>
    </row>
    <row r="2872">
      <c r="A2872" s="390" t="str">
        <f>IFERROR(__xludf.DUMMYFUNCTION("""COMPUTED_VALUE"""),"Elessandra Cabral de Freitas - #SLUPE- Segunda Licenciatura em Letras – Português e Espanhol")</f>
        <v>Elessandra Cabral de Freitas - #SLUPE- Segunda Licenciatura em Letras – Português e Espanhol</v>
      </c>
    </row>
    <row r="2873">
      <c r="A2873" s="390" t="str">
        <f>IFERROR(__xludf.DUMMYFUNCTION("""COMPUTED_VALUE"""),"Vivian Souto Vieira Freitas de Sousa - Pós-Graduação em Sexologia")</f>
        <v>Vivian Souto Vieira Freitas de Sousa - Pós-Graduação em Sexologia</v>
      </c>
    </row>
    <row r="2874">
      <c r="A2874" s="390" t="str">
        <f>IFERROR(__xludf.DUMMYFUNCTION("""COMPUTED_VALUE"""),"Roseli Aparecida de Assis - #SLUP - SEGUNDA LICENCIATURA EM PEDAGOGIA")</f>
        <v>Roseli Aparecida de Assis - #SLUP - SEGUNDA LICENCIATURA EM PEDAGOGIA</v>
      </c>
    </row>
    <row r="2875">
      <c r="A2875" s="390" t="str">
        <f>IFERROR(__xludf.DUMMYFUNCTION("""COMPUTED_VALUE"""),"KARLA LIMA GOMES - Formação Livre Psicanálise")</f>
        <v>KARLA LIMA GOMES - Formação Livre Psicanálise</v>
      </c>
    </row>
    <row r="2876">
      <c r="A2876" s="390" t="str">
        <f>IFERROR(__xludf.DUMMYFUNCTION("""COMPUTED_VALUE"""),"Janaina De Brito Correia - Pós-Graduação em Sexologia")</f>
        <v>Janaina De Brito Correia - Pós-Graduação em Sexologia</v>
      </c>
    </row>
    <row r="2877">
      <c r="A2877" s="390" t="str">
        <f>IFERROR(__xludf.DUMMYFUNCTION("""COMPUTED_VALUE"""),"Rosiane Nascimento Ribeiro - #SLPT- Segunda Licenciatura em Pedagogia")</f>
        <v>Rosiane Nascimento Ribeiro - #SLPT- Segunda Licenciatura em Pedagogia</v>
      </c>
    </row>
    <row r="2878">
      <c r="A2878" s="390" t="str">
        <f>IFERROR(__xludf.DUMMYFUNCTION("""COMPUTED_VALUE"""),"Rosiane Nascimento Ribeiro - Pós-Graduação em Docência do Ensino Superior e Tutoria de Educação a Distância")</f>
        <v>Rosiane Nascimento Ribeiro - Pós-Graduação em Docência do Ensino Superior e Tutoria de Educação a Distância</v>
      </c>
    </row>
    <row r="2879">
      <c r="A2879" s="390" t="str">
        <f>IFERROR(__xludf.DUMMYFUNCTION("""COMPUTED_VALUE"""),"Ilda Patrício De Oliveira Leal - #SLPT- Segunda Licenciatura em Pedagogia")</f>
        <v>Ilda Patrício De Oliveira Leal - #SLPT- Segunda Licenciatura em Pedagogia</v>
      </c>
    </row>
    <row r="2880">
      <c r="A2880" s="390" t="str">
        <f>IFERROR(__xludf.DUMMYFUNCTION("""COMPUTED_VALUE"""),"Adriana Ferreira Figueiredo dos Santos - Pós-graduação em Neuropsicologia")</f>
        <v>Adriana Ferreira Figueiredo dos Santos - Pós-graduação em Neuropsicologia</v>
      </c>
    </row>
    <row r="2881">
      <c r="A2881" s="390" t="str">
        <f>IFERROR(__xludf.DUMMYFUNCTION("""COMPUTED_VALUE"""),"Adriana Ferreira Figueiredo dos Santos - #SLPT- Segunda Licenciatura em Pedagogia")</f>
        <v>Adriana Ferreira Figueiredo dos Santos - #SLPT- Segunda Licenciatura em Pedagogia</v>
      </c>
    </row>
    <row r="2882">
      <c r="A2882" s="390" t="str">
        <f>IFERROR(__xludf.DUMMYFUNCTION("""COMPUTED_VALUE"""),"Luciana Borges de Almeida Lopes - Formação Livre Psicanálise")</f>
        <v>Luciana Borges de Almeida Lopes - Formação Livre Psicanálise</v>
      </c>
    </row>
    <row r="2883">
      <c r="A2883" s="390" t="str">
        <f>IFERROR(__xludf.DUMMYFUNCTION("""COMPUTED_VALUE"""),"Luciana Borges de Almeida Lopes - Formação Livre  TDAH – Transtorno do Déficit de Atenção e Hiperatividade")</f>
        <v>Luciana Borges de Almeida Lopes - Formação Livre  TDAH – Transtorno do Déficit de Atenção e Hiperatividade</v>
      </c>
    </row>
    <row r="2884">
      <c r="A2884" s="390" t="str">
        <f>IFERROR(__xludf.DUMMYFUNCTION("""COMPUTED_VALUE"""),"Giseli Maria de Sales - Pedagogia para Bacharéis")</f>
        <v>Giseli Maria de Sales - Pedagogia para Bacharéis</v>
      </c>
    </row>
    <row r="2885">
      <c r="A2885" s="390" t="str">
        <f>IFERROR(__xludf.DUMMYFUNCTION("""COMPUTED_VALUE"""),"Roberta Machado de Sousa Malaquias - Pós-Graduação em Psicomotricidade")</f>
        <v>Roberta Machado de Sousa Malaquias - Pós-Graduação em Psicomotricidade</v>
      </c>
    </row>
    <row r="2886">
      <c r="A2886" s="390" t="str">
        <f>IFERROR(__xludf.DUMMYFUNCTION("""COMPUTED_VALUE"""),"Roberta Machado de Sousa Malaquias - Pós-Graduação em Neuropsicopedagogia Clínica e Institucional")</f>
        <v>Roberta Machado de Sousa Malaquias - Pós-Graduação em Neuropsicopedagogia Clínica e Institucional</v>
      </c>
    </row>
    <row r="2887">
      <c r="A2887" s="390" t="str">
        <f>IFERROR(__xludf.DUMMYFUNCTION("""COMPUTED_VALUE"""),"Andrea Patrícia Fernandes Kapeny da Silveira - Pós-Graduação em Psicanálise")</f>
        <v>Andrea Patrícia Fernandes Kapeny da Silveira - Pós-Graduação em Psicanálise</v>
      </c>
    </row>
    <row r="2888">
      <c r="A2888" s="390" t="str">
        <f>IFERROR(__xludf.DUMMYFUNCTION("""COMPUTED_VALUE"""),"Andrea Patrícia Fernandes Kapeny da Silveira - Pós-Graduação em Neuropsicanálise Clínica")</f>
        <v>Andrea Patrícia Fernandes Kapeny da Silveira - Pós-Graduação em Neuropsicanálise Clínica</v>
      </c>
    </row>
    <row r="2889">
      <c r="A2889" s="390" t="str">
        <f>IFERROR(__xludf.DUMMYFUNCTION("""COMPUTED_VALUE"""),"Andrea Patrícia Fernandes Kapeny da Silveira - Pós-Graduação em Neuropsicologia Clínica 2022")</f>
        <v>Andrea Patrícia Fernandes Kapeny da Silveira - Pós-Graduação em Neuropsicologia Clínica 2022</v>
      </c>
    </row>
    <row r="2890">
      <c r="A2890" s="390" t="str">
        <f>IFERROR(__xludf.DUMMYFUNCTION("""COMPUTED_VALUE"""),"Celio Roberto da Silva - Formação Livre Psicanálise")</f>
        <v>Celio Roberto da Silva - Formação Livre Psicanálise</v>
      </c>
    </row>
    <row r="2891">
      <c r="A2891" s="390" t="str">
        <f>IFERROR(__xludf.DUMMYFUNCTION("""COMPUTED_VALUE"""),"Lidiane Damasceno Martins - RADIANTE - Pós-Graduação em Psicopedagogia Institucional e Clínica 710Horas")</f>
        <v>Lidiane Damasceno Martins - RADIANTE - Pós-Graduação em Psicopedagogia Institucional e Clínica 710Horas</v>
      </c>
    </row>
    <row r="2892">
      <c r="A2892" s="390" t="str">
        <f>IFERROR(__xludf.DUMMYFUNCTION("""COMPUTED_VALUE"""),"Daniela Borges Dias - Pós-Graduação em Sexologia")</f>
        <v>Daniela Borges Dias - Pós-Graduação em Sexologia</v>
      </c>
    </row>
    <row r="2893">
      <c r="A2893" s="390" t="str">
        <f>IFERROR(__xludf.DUMMYFUNCTION("""COMPUTED_VALUE"""),"Daniela Borges Dias - Pós-graduação em Neuropsicologia")</f>
        <v>Daniela Borges Dias - Pós-graduação em Neuropsicologia</v>
      </c>
    </row>
    <row r="2894">
      <c r="A2894" s="390" t="str">
        <f>IFERROR(__xludf.DUMMYFUNCTION("""COMPUTED_VALUE"""),"André Veras da Silva - Pós-Graduação em Psicanálise")</f>
        <v>André Veras da Silva - Pós-Graduação em Psicanálise</v>
      </c>
    </row>
    <row r="2895">
      <c r="A2895" s="390" t="str">
        <f>IFERROR(__xludf.DUMMYFUNCTION("""COMPUTED_VALUE"""),"André Veras da Silva - NOVO-Pós-Graduação em Psicanálise 800 Horas")</f>
        <v>André Veras da Silva - NOVO-Pós-Graduação em Psicanálise 800 Horas</v>
      </c>
    </row>
    <row r="2896">
      <c r="A2896" s="390" t="str">
        <f>IFERROR(__xludf.DUMMYFUNCTION("""COMPUTED_VALUE"""),"Danilo Pereira Miguel - Pós-Graduação em Psicanálise")</f>
        <v>Danilo Pereira Miguel - Pós-Graduação em Psicanálise</v>
      </c>
    </row>
    <row r="2897">
      <c r="A2897" s="390" t="str">
        <f>IFERROR(__xludf.DUMMYFUNCTION("""COMPUTED_VALUE"""),"Danilo Pereira Miguel - #FPULPI- Formação Pedagógica em Letras – Português e Inglês")</f>
        <v>Danilo Pereira Miguel - #FPULPI- Formação Pedagógica em Letras – Português e Inglês</v>
      </c>
    </row>
    <row r="2898">
      <c r="A2898" s="390" t="str">
        <f>IFERROR(__xludf.DUMMYFUNCTION("""COMPUTED_VALUE"""),"Marisa Gonçalves - #SLMF - Segunda Licenciatura em Música 1320Horas")</f>
        <v>Marisa Gonçalves - #SLMF - Segunda Licenciatura em Música 1320Horas</v>
      </c>
    </row>
    <row r="2899">
      <c r="A2899" s="390" t="str">
        <f>IFERROR(__xludf.DUMMYFUNCTION("""COMPUTED_VALUE"""),"Keilla Amarante Cardoso Toni - Pós-Graduação em Psicanálise")</f>
        <v>Keilla Amarante Cardoso Toni - Pós-Graduação em Psicanálise</v>
      </c>
    </row>
    <row r="2900">
      <c r="A2900" s="390" t="str">
        <f>IFERROR(__xludf.DUMMYFUNCTION("""COMPUTED_VALUE"""),"Tamires Fernandes De Oliveira - Pós-Graduação em Psicanálise")</f>
        <v>Tamires Fernandes De Oliveira - Pós-Graduação em Psicanálise</v>
      </c>
    </row>
    <row r="2901">
      <c r="A2901" s="390" t="str">
        <f>IFERROR(__xludf.DUMMYFUNCTION("""COMPUTED_VALUE"""),"Lourdes Cristina Santoro Fernandez - #FPUM Formação Pedagógica em Matemática")</f>
        <v>Lourdes Cristina Santoro Fernandez - #FPUM Formação Pedagógica em Matemática</v>
      </c>
    </row>
    <row r="2902">
      <c r="A2902" s="390" t="str">
        <f>IFERROR(__xludf.DUMMYFUNCTION("""COMPUTED_VALUE"""),"Clécio Francisco dos Santos - Pós-Graduação em Gestão Escolar Integrada com Ênfase em Supervisão, Orientação, Administração e Inspeção")</f>
        <v>Clécio Francisco dos Santos - Pós-Graduação em Gestão Escolar Integrada com Ênfase em Supervisão, Orientação, Administração e Inspeção</v>
      </c>
    </row>
    <row r="2903">
      <c r="A2903" s="390" t="str">
        <f>IFERROR(__xludf.DUMMYFUNCTION("""COMPUTED_VALUE"""),"Beatriz de Godoi Impallatore - #SLUP - SEGUNDA LICENCIATURA EM PEDAGOGIA")</f>
        <v>Beatriz de Godoi Impallatore - #SLUP - SEGUNDA LICENCIATURA EM PEDAGOGIA</v>
      </c>
    </row>
    <row r="2904">
      <c r="A2904" s="390" t="str">
        <f>IFERROR(__xludf.DUMMYFUNCTION("""COMPUTED_VALUE"""),"Jaqueline Carin Leote Segovia - Pós-Graduação em Psicanálise")</f>
        <v>Jaqueline Carin Leote Segovia - Pós-Graduação em Psicanálise</v>
      </c>
    </row>
    <row r="2905">
      <c r="A2905" s="390" t="str">
        <f>IFERROR(__xludf.DUMMYFUNCTION("""COMPUTED_VALUE"""),"Cintia Vogas Aguiar Robadey - #SLPA- Segunda Licenciatura em Pedagogia 01")</f>
        <v>Cintia Vogas Aguiar Robadey - #SLPA- Segunda Licenciatura em Pedagogia 01</v>
      </c>
    </row>
    <row r="2906">
      <c r="A2906" s="390" t="str">
        <f>IFERROR(__xludf.DUMMYFUNCTION("""COMPUTED_VALUE"""),"Cintia Vogas Aguiar Robadey - Pós-Graduação em Supervisão e Orientação Escolar-2022")</f>
        <v>Cintia Vogas Aguiar Robadey - Pós-Graduação em Supervisão e Orientação Escolar-2022</v>
      </c>
    </row>
    <row r="2907">
      <c r="A2907" s="390" t="str">
        <f>IFERROR(__xludf.DUMMYFUNCTION("""COMPUTED_VALUE"""),"Anderson Ricardo de Oliveira - #SLMF - Segunda Licenciatura em Música 1320Horas")</f>
        <v>Anderson Ricardo de Oliveira - #SLMF - Segunda Licenciatura em Música 1320Horas</v>
      </c>
    </row>
    <row r="2908">
      <c r="A2908" s="390" t="str">
        <f>IFERROR(__xludf.DUMMYFUNCTION("""COMPUTED_VALUE"""),"Tamara Lucia Angelin Figueiredo - #FPUP-FORMAÇÃO PEDAGÓGICA EM PEDAGOGIA- U")</f>
        <v>Tamara Lucia Angelin Figueiredo - #FPUP-FORMAÇÃO PEDAGÓGICA EM PEDAGOGIA- U</v>
      </c>
    </row>
    <row r="2909">
      <c r="A2909" s="390" t="str">
        <f>IFERROR(__xludf.DUMMYFUNCTION("""COMPUTED_VALUE"""),"Tamara Lucia Angelin Figueiredo - #FPP- Formação Pedagógica em Pedagogia R2")</f>
        <v>Tamara Lucia Angelin Figueiredo - #FPP- Formação Pedagógica em Pedagogia R2</v>
      </c>
    </row>
    <row r="2910">
      <c r="A2910" s="390" t="str">
        <f>IFERROR(__xludf.DUMMYFUNCTION("""COMPUTED_VALUE"""),"Mauro Santos Pinto - #FPMF- Formação Pedagógica em Música 1200Horas")</f>
        <v>Mauro Santos Pinto - #FPMF- Formação Pedagógica em Música 1200Horas</v>
      </c>
    </row>
    <row r="2911">
      <c r="A2911" s="390" t="str">
        <f>IFERROR(__xludf.DUMMYFUNCTION("""COMPUTED_VALUE"""),"Lairce Ferreira Lopes - #SLUA- Segunda Licenciatura em Artes Visuais")</f>
        <v>Lairce Ferreira Lopes - #SLUA- Segunda Licenciatura em Artes Visuais</v>
      </c>
    </row>
    <row r="2912">
      <c r="A2912" s="390" t="str">
        <f>IFERROR(__xludf.DUMMYFUNCTION("""COMPUTED_VALUE"""),"Graziela Zorzenon - #SLMF - Segunda Licenciatura em Música 1320Horas")</f>
        <v>Graziela Zorzenon - #SLMF - Segunda Licenciatura em Música 1320Horas</v>
      </c>
    </row>
    <row r="2913">
      <c r="A2913" s="390" t="str">
        <f>IFERROR(__xludf.DUMMYFUNCTION("""COMPUTED_VALUE"""),"Ítalo Hugo Oliveira Lopes Soares - #SLUP - SEGUNDA LICENCIATURA EM PEDAGOGIA")</f>
        <v>Ítalo Hugo Oliveira Lopes Soares - #SLUP - SEGUNDA LICENCIATURA EM PEDAGOGIA</v>
      </c>
    </row>
    <row r="2914">
      <c r="A2914" s="390" t="str">
        <f>IFERROR(__xludf.DUMMYFUNCTION("""COMPUTED_VALUE"""),"ROSELY DOS SANTOS COSTA - Pós-Graduação em Psicanálise")</f>
        <v>ROSELY DOS SANTOS COSTA - Pós-Graduação em Psicanálise</v>
      </c>
    </row>
    <row r="2915">
      <c r="A2915" s="390" t="str">
        <f>IFERROR(__xludf.DUMMYFUNCTION("""COMPUTED_VALUE"""),"MARIA APARECIDA DE OLIVEIRA - Pós-Graduação em Inspeção Escolar")</f>
        <v>MARIA APARECIDA DE OLIVEIRA - Pós-Graduação em Inspeção Escolar</v>
      </c>
    </row>
    <row r="2916">
      <c r="A2916" s="390" t="str">
        <f>IFERROR(__xludf.DUMMYFUNCTION("""COMPUTED_VALUE"""),"Lecia Pereira Gomes Costa - Formação Livre em Terapia Cognitiva Comportamental")</f>
        <v>Lecia Pereira Gomes Costa - Formação Livre em Terapia Cognitiva Comportamental</v>
      </c>
    </row>
    <row r="2917">
      <c r="A2917" s="390" t="str">
        <f>IFERROR(__xludf.DUMMYFUNCTION("""COMPUTED_VALUE"""),"Lecia Pereira Gomes Costa - Formação Livre em Sexologia")</f>
        <v>Lecia Pereira Gomes Costa - Formação Livre em Sexologia</v>
      </c>
    </row>
    <row r="2918">
      <c r="A2918" s="390" t="str">
        <f>IFERROR(__xludf.DUMMYFUNCTION("""COMPUTED_VALUE"""),"Erivânia Silva Reis - #SLPA- Segunda Licenciatura em Pedagogia 01")</f>
        <v>Erivânia Silva Reis - #SLPA- Segunda Licenciatura em Pedagogia 01</v>
      </c>
    </row>
    <row r="2919">
      <c r="A2919" s="390" t="str">
        <f>IFERROR(__xludf.DUMMYFUNCTION("""COMPUTED_VALUE"""),"Joel Darlan Demarchi - #SLMF - Segunda Licenciatura em Música 1320Horas")</f>
        <v>Joel Darlan Demarchi - #SLMF - Segunda Licenciatura em Música 1320Horas</v>
      </c>
    </row>
    <row r="2920">
      <c r="A2920" s="390" t="str">
        <f>IFERROR(__xludf.DUMMYFUNCTION("""COMPUTED_VALUE"""),"Antogda Arilene De Paula - Pós-Graduação em Psicanálise")</f>
        <v>Antogda Arilene De Paula - Pós-Graduação em Psicanálise</v>
      </c>
    </row>
    <row r="2921">
      <c r="A2921" s="390" t="str">
        <f>IFERROR(__xludf.DUMMYFUNCTION("""COMPUTED_VALUE"""),"Antogda Arilene De Paula - NOVO-Pós-Graduação em Psicanálise 800 Horas")</f>
        <v>Antogda Arilene De Paula - NOVO-Pós-Graduação em Psicanálise 800 Horas</v>
      </c>
    </row>
    <row r="2922">
      <c r="A2922" s="390" t="str">
        <f>IFERROR(__xludf.DUMMYFUNCTION("""COMPUTED_VALUE"""),"Maria Solange de Souza Pacheco - #SLPA- Segunda Licenciatura em Pedagogia 01")</f>
        <v>Maria Solange de Souza Pacheco - #SLPA- Segunda Licenciatura em Pedagogia 01</v>
      </c>
    </row>
    <row r="2923">
      <c r="A2923" s="390" t="str">
        <f>IFERROR(__xludf.DUMMYFUNCTION("""COMPUTED_VALUE"""),"Maria Solange de Souza Pacheco - #FPP- Formação Pedagógica em Pedagogia R2")</f>
        <v>Maria Solange de Souza Pacheco - #FPP- Formação Pedagógica em Pedagogia R2</v>
      </c>
    </row>
    <row r="2924">
      <c r="A2924" s="390" t="str">
        <f>IFERROR(__xludf.DUMMYFUNCTION("""COMPUTED_VALUE"""),"Maria Solange de Souza Pacheco - Pós-Graduação em Gestão Escolar Integrada com Ênfase em Supervisão, Orientação, Administração e Inspeção")</f>
        <v>Maria Solange de Souza Pacheco - Pós-Graduação em Gestão Escolar Integrada com Ênfase em Supervisão, Orientação, Administração e Inspeção</v>
      </c>
    </row>
    <row r="2925">
      <c r="A2925" s="390" t="str">
        <f>IFERROR(__xludf.DUMMYFUNCTION("""COMPUTED_VALUE"""),"Pamela Lopes Vieira - Pós-Graduação em Psicanálise")</f>
        <v>Pamela Lopes Vieira - Pós-Graduação em Psicanálise</v>
      </c>
    </row>
    <row r="2926">
      <c r="A2926" s="390" t="str">
        <f>IFERROR(__xludf.DUMMYFUNCTION("""COMPUTED_VALUE"""),"Aline Portela Oliveira - Pós-Graduação em Psicanálise")</f>
        <v>Aline Portela Oliveira - Pós-Graduação em Psicanálise</v>
      </c>
    </row>
    <row r="2927">
      <c r="A2927" s="390" t="str">
        <f>IFERROR(__xludf.DUMMYFUNCTION("""COMPUTED_VALUE"""),"Aline Portela Oliveira - Formação Livre Psicanálise")</f>
        <v>Aline Portela Oliveira - Formação Livre Psicanálise</v>
      </c>
    </row>
    <row r="2928">
      <c r="A2928" s="390" t="str">
        <f>IFERROR(__xludf.DUMMYFUNCTION("""COMPUTED_VALUE"""),"Vanusia Ferreira da Silva Santos - Formação Livre Psicanálise")</f>
        <v>Vanusia Ferreira da Silva Santos - Formação Livre Psicanálise</v>
      </c>
    </row>
    <row r="2929">
      <c r="A2929" s="390" t="str">
        <f>IFERROR(__xludf.DUMMYFUNCTION("""COMPUTED_VALUE"""),"Raniere Andrade da Silva - #FPT1-Pedagogia para Bacharéis e Tecnólogos (2022)")</f>
        <v>Raniere Andrade da Silva - #FPT1-Pedagogia para Bacharéis e Tecnólogos (2022)</v>
      </c>
    </row>
    <row r="2930">
      <c r="A2930" s="390" t="str">
        <f>IFERROR(__xludf.DUMMYFUNCTION("""COMPUTED_VALUE"""),"Antônio Marcos Prudente - Formação Livre em Sexologia")</f>
        <v>Antônio Marcos Prudente - Formação Livre em Sexologia</v>
      </c>
    </row>
    <row r="2931">
      <c r="A2931" s="390" t="str">
        <f>IFERROR(__xludf.DUMMYFUNCTION("""COMPUTED_VALUE"""),"Luana Soares Campos Pinheiro - RADIANTE - Pós-Graduação em Psicopedagogia Institucional e Clínica 710Horas")</f>
        <v>Luana Soares Campos Pinheiro - RADIANTE - Pós-Graduação em Psicopedagogia Institucional e Clínica 710Horas</v>
      </c>
    </row>
    <row r="2932">
      <c r="A2932" s="390" t="str">
        <f>IFERROR(__xludf.DUMMYFUNCTION("""COMPUTED_VALUE"""),"Clécio Zanchi - Pós-Graduação em Psicanálise")</f>
        <v>Clécio Zanchi - Pós-Graduação em Psicanálise</v>
      </c>
    </row>
    <row r="2933">
      <c r="A2933" s="390" t="str">
        <f>IFERROR(__xludf.DUMMYFUNCTION("""COMPUTED_VALUE"""),"Clécio Zanchi - Formação Livre Psicanálise")</f>
        <v>Clécio Zanchi - Formação Livre Psicanálise</v>
      </c>
    </row>
    <row r="2934">
      <c r="A2934" s="390" t="str">
        <f>IFERROR(__xludf.DUMMYFUNCTION("""COMPUTED_VALUE"""),"Elaine Maria da Silva - FORMAÇÃO PEDAGÓGICA EM LETRAS – PORTUGUÊS E ESPANHOL- U")</f>
        <v>Elaine Maria da Silva - FORMAÇÃO PEDAGÓGICA EM LETRAS – PORTUGUÊS E ESPANHOL- U</v>
      </c>
    </row>
    <row r="2935">
      <c r="A2935" s="390" t="str">
        <f>IFERROR(__xludf.DUMMYFUNCTION("""COMPUTED_VALUE"""),"Jairo Machado de Sousa - #FPMF- Formação Pedagógica em Música 1200Horas")</f>
        <v>Jairo Machado de Sousa - #FPMF- Formação Pedagógica em Música 1200Horas</v>
      </c>
    </row>
    <row r="2936">
      <c r="A2936" s="390" t="str">
        <f>IFERROR(__xludf.DUMMYFUNCTION("""COMPUTED_VALUE"""),"Claudio Aparecido de Oliveira - #SLMF - Segunda Licenciatura em Música 1320Horas")</f>
        <v>Claudio Aparecido de Oliveira - #SLMF - Segunda Licenciatura em Música 1320Horas</v>
      </c>
    </row>
    <row r="2937">
      <c r="A2937" s="390" t="str">
        <f>IFERROR(__xludf.DUMMYFUNCTION("""COMPUTED_VALUE"""),"Fabiana de Moura e Costa - Pós-Graduação em Terapia de Casais")</f>
        <v>Fabiana de Moura e Costa - Pós-Graduação em Terapia de Casais</v>
      </c>
    </row>
    <row r="2938">
      <c r="A2938" s="390" t="str">
        <f>IFERROR(__xludf.DUMMYFUNCTION("""COMPUTED_VALUE"""),"Aparecida das Chagas Rodrigues - #FPUEF - Formação Pedagógica em Educação Física - 1200 Horas")</f>
        <v>Aparecida das Chagas Rodrigues - #FPUEF - Formação Pedagógica em Educação Física - 1200 Horas</v>
      </c>
    </row>
    <row r="2939">
      <c r="A2939" s="390" t="str">
        <f>IFERROR(__xludf.DUMMYFUNCTION("""COMPUTED_VALUE"""),"Aparecida das Chagas Rodrigues - Pós-Graduação em Psicologia Educacional")</f>
        <v>Aparecida das Chagas Rodrigues - Pós-Graduação em Psicologia Educacional</v>
      </c>
    </row>
    <row r="2940">
      <c r="A2940" s="390" t="str">
        <f>IFERROR(__xludf.DUMMYFUNCTION("""COMPUTED_VALUE"""),"Rita de Cassia da Silva - Pós-Graduação em Psicanálise")</f>
        <v>Rita de Cassia da Silva - Pós-Graduação em Psicanálise</v>
      </c>
    </row>
    <row r="2941">
      <c r="A2941" s="390" t="str">
        <f>IFERROR(__xludf.DUMMYFUNCTION("""COMPUTED_VALUE"""),"Rita de Cassia da Silva - #SLPA- Segunda Licenciatura em Pedagogia 01")</f>
        <v>Rita de Cassia da Silva - #SLPA- Segunda Licenciatura em Pedagogia 01</v>
      </c>
    </row>
    <row r="2942">
      <c r="A2942" s="390" t="str">
        <f>IFERROR(__xludf.DUMMYFUNCTION("""COMPUTED_VALUE"""),"Arlete Da Cunha Pinto - Formação Livre Psicanálise")</f>
        <v>Arlete Da Cunha Pinto - Formação Livre Psicanálise</v>
      </c>
    </row>
    <row r="2943">
      <c r="A2943" s="390" t="str">
        <f>IFERROR(__xludf.DUMMYFUNCTION("""COMPUTED_VALUE"""),"Sergio Henrique Santos Gonzaga - Pós-Graduação em Psicanálise")</f>
        <v>Sergio Henrique Santos Gonzaga - Pós-Graduação em Psicanálise</v>
      </c>
    </row>
    <row r="2944">
      <c r="A2944" s="390" t="str">
        <f>IFERROR(__xludf.DUMMYFUNCTION("""COMPUTED_VALUE"""),"Sergio Henrique Santos Gonzaga - Formação Livre em Psicanálise-2022")</f>
        <v>Sergio Henrique Santos Gonzaga - Formação Livre em Psicanálise-2022</v>
      </c>
    </row>
    <row r="2945">
      <c r="A2945" s="390" t="str">
        <f>IFERROR(__xludf.DUMMYFUNCTION("""COMPUTED_VALUE"""),"Renê José de Sousa do Nascimento - #SLUM - SEGUNDA LICENCIATURA EM MATEMÁTICA")</f>
        <v>Renê José de Sousa do Nascimento - #SLUM - SEGUNDA LICENCIATURA EM MATEMÁTICA</v>
      </c>
    </row>
    <row r="2946">
      <c r="A2946" s="390" t="str">
        <f>IFERROR(__xludf.DUMMYFUNCTION("""COMPUTED_VALUE"""),"Miriã de Oliveira Pereira - Pós-Graduação em Psicanálise")</f>
        <v>Miriã de Oliveira Pereira - Pós-Graduação em Psicanálise</v>
      </c>
    </row>
    <row r="2947">
      <c r="A2947" s="390" t="str">
        <f>IFERROR(__xludf.DUMMYFUNCTION("""COMPUTED_VALUE"""),"Miriã de Oliveira Pereira - NOVO-Pós-Graduação em Psicanálise 800 Horas")</f>
        <v>Miriã de Oliveira Pereira - NOVO-Pós-Graduação em Psicanálise 800 Horas</v>
      </c>
    </row>
    <row r="2948">
      <c r="A2948" s="390" t="str">
        <f>IFERROR(__xludf.DUMMYFUNCTION("""COMPUTED_VALUE"""),"Rita de Cássia Benevides Demasi - Formação pedagógica Letras - Português")</f>
        <v>Rita de Cássia Benevides Demasi - Formação pedagógica Letras - Português</v>
      </c>
    </row>
    <row r="2949">
      <c r="A2949" s="390" t="str">
        <f>IFERROR(__xludf.DUMMYFUNCTION("""COMPUTED_VALUE"""),"Elen Cristina Rodrigues - Pós-Graduação em Psicanálise")</f>
        <v>Elen Cristina Rodrigues - Pós-Graduação em Psicanálise</v>
      </c>
    </row>
    <row r="2950">
      <c r="A2950" s="390" t="str">
        <f>IFERROR(__xludf.DUMMYFUNCTION("""COMPUTED_VALUE"""),"Thamires Almeida Pereira - Pós-Graduação em Terapia em ABA- Análise do Comportamento Aplicada")</f>
        <v>Thamires Almeida Pereira - Pós-Graduação em Terapia em ABA- Análise do Comportamento Aplicada</v>
      </c>
    </row>
    <row r="2951">
      <c r="A2951" s="390" t="str">
        <f>IFERROR(__xludf.DUMMYFUNCTION("""COMPUTED_VALUE"""),"Thamires Almeida Pereira - #SLPA- Segunda Licenciatura em Pedagogia 01")</f>
        <v>Thamires Almeida Pereira - #SLPA- Segunda Licenciatura em Pedagogia 01</v>
      </c>
    </row>
    <row r="2952">
      <c r="A2952" s="390" t="str">
        <f>IFERROR(__xludf.DUMMYFUNCTION("""COMPUTED_VALUE"""),"Giovana Romio - Pós-Graduação em Arteterapia")</f>
        <v>Giovana Romio - Pós-Graduação em Arteterapia</v>
      </c>
    </row>
    <row r="2953">
      <c r="A2953" s="390" t="str">
        <f>IFERROR(__xludf.DUMMYFUNCTION("""COMPUTED_VALUE"""),"Giovana Romio - #SLUEE - SEGUNDA LICENCIATURA EM EDUCAÇÃO ESPECIAL")</f>
        <v>Giovana Romio - #SLUEE - SEGUNDA LICENCIATURA EM EDUCAÇÃO ESPECIAL</v>
      </c>
    </row>
    <row r="2954">
      <c r="A2954" s="390" t="str">
        <f>IFERROR(__xludf.DUMMYFUNCTION("""COMPUTED_VALUE"""),"Jeniffer Almeida Soares - Pós-Graduação em Sexologia")</f>
        <v>Jeniffer Almeida Soares - Pós-Graduação em Sexologia</v>
      </c>
    </row>
    <row r="2955">
      <c r="A2955" s="390" t="str">
        <f>IFERROR(__xludf.DUMMYFUNCTION("""COMPUTED_VALUE"""),"Valéria Barbosa - Pós-Graduação em Psicanálise")</f>
        <v>Valéria Barbosa - Pós-Graduação em Psicanálise</v>
      </c>
    </row>
    <row r="2956">
      <c r="A2956" s="390" t="str">
        <f>IFERROR(__xludf.DUMMYFUNCTION("""COMPUTED_VALUE"""),"Valéria Barbosa - NOVO-Pós-Graduação em Psicanálise 800 Horas")</f>
        <v>Valéria Barbosa - NOVO-Pós-Graduação em Psicanálise 800 Horas</v>
      </c>
    </row>
    <row r="2957">
      <c r="A2957" s="390" t="str">
        <f>IFERROR(__xludf.DUMMYFUNCTION("""COMPUTED_VALUE"""),"Adilson de Sousa - #SLMF - Segunda Licenciatura em Música 1320Horas")</f>
        <v>Adilson de Sousa - #SLMF - Segunda Licenciatura em Música 1320Horas</v>
      </c>
    </row>
    <row r="2958">
      <c r="A2958" s="390" t="str">
        <f>IFERROR(__xludf.DUMMYFUNCTION("""COMPUTED_VALUE"""),"Adilson de Sousa - Pós-Graduação em Educação Musical")</f>
        <v>Adilson de Sousa - Pós-Graduação em Educação Musical</v>
      </c>
    </row>
    <row r="2959">
      <c r="A2959" s="390" t="str">
        <f>IFERROR(__xludf.DUMMYFUNCTION("""COMPUTED_VALUE"""),"Kelviny Kristyan Basilio Pereira - #SLHA - Segunda Licenciatura em História")</f>
        <v>Kelviny Kristyan Basilio Pereira - #SLHA - Segunda Licenciatura em História</v>
      </c>
    </row>
    <row r="2960">
      <c r="A2960" s="390" t="str">
        <f>IFERROR(__xludf.DUMMYFUNCTION("""COMPUTED_VALUE"""),"Kelviny Kristyan Basilio Pereira - #SLPA- Segunda Licenciatura em Pedagogia 01")</f>
        <v>Kelviny Kristyan Basilio Pereira - #SLPA- Segunda Licenciatura em Pedagogia 01</v>
      </c>
    </row>
    <row r="2961">
      <c r="A2961" s="390" t="str">
        <f>IFERROR(__xludf.DUMMYFUNCTION("""COMPUTED_VALUE"""),"Jéssica Saldanha Batistela - #SLUEF - Segunda Licenciatura em Educação Física")</f>
        <v>Jéssica Saldanha Batistela - #SLUEF - Segunda Licenciatura em Educação Física</v>
      </c>
    </row>
    <row r="2962">
      <c r="A2962" s="390" t="str">
        <f>IFERROR(__xludf.DUMMYFUNCTION("""COMPUTED_VALUE"""),"Elton Celeste Faustino - #FPUEF - Formação Pedagógica em Educação Física - 1200 Horas")</f>
        <v>Elton Celeste Faustino - #FPUEF - Formação Pedagógica em Educação Física - 1200 Horas</v>
      </c>
    </row>
    <row r="2963">
      <c r="A2963" s="390" t="str">
        <f>IFERROR(__xludf.DUMMYFUNCTION("""COMPUTED_VALUE"""),"Elton Celeste Faustino - #FPFEF- Formação Pedagógica em Educação Física 2022")</f>
        <v>Elton Celeste Faustino - #FPFEF- Formação Pedagógica em Educação Física 2022</v>
      </c>
    </row>
    <row r="2964">
      <c r="A2964" s="390" t="str">
        <f>IFERROR(__xludf.DUMMYFUNCTION("""COMPUTED_VALUE"""),"Lucicleide Paz da Silva - #SLEEA - Segunda Licenciatura em Educação Especial")</f>
        <v>Lucicleide Paz da Silva - #SLEEA - Segunda Licenciatura em Educação Especial</v>
      </c>
    </row>
    <row r="2965">
      <c r="A2965" s="390" t="str">
        <f>IFERROR(__xludf.DUMMYFUNCTION("""COMPUTED_VALUE"""),"Lucicleide Paz da Silva - #SLPA- Segunda Licenciatura em Pedagogia 01")</f>
        <v>Lucicleide Paz da Silva - #SLPA- Segunda Licenciatura em Pedagogia 01</v>
      </c>
    </row>
    <row r="2966">
      <c r="A2966" s="390" t="str">
        <f>IFERROR(__xludf.DUMMYFUNCTION("""COMPUTED_VALUE"""),"Solange de Assunção Colaça - NOVO-Pós-Graduação em Psicanálise 800 Horas")</f>
        <v>Solange de Assunção Colaça - NOVO-Pós-Graduação em Psicanálise 800 Horas</v>
      </c>
    </row>
    <row r="2967">
      <c r="A2967" s="390" t="str">
        <f>IFERROR(__xludf.DUMMYFUNCTION("""COMPUTED_VALUE"""),"Solange de Assunção Colaça - PÓS-GRADUAÇÃO EM PSICANÁLISE - 2024")</f>
        <v>Solange de Assunção Colaça - PÓS-GRADUAÇÃO EM PSICANÁLISE - 2024</v>
      </c>
    </row>
    <row r="2968">
      <c r="A2968" s="390" t="str">
        <f>IFERROR(__xludf.DUMMYFUNCTION("""COMPUTED_VALUE"""),"Solange de Assunção Colaça - Pós-Graduação em Psicanálise")</f>
        <v>Solange de Assunção Colaça - Pós-Graduação em Psicanálise</v>
      </c>
    </row>
    <row r="2969">
      <c r="A2969" s="390" t="str">
        <f>IFERROR(__xludf.DUMMYFUNCTION("""COMPUTED_VALUE"""),"Marcelo Eduardo Soares Pinheiro - #SLMA - Segunda Licenciatura Matemática")</f>
        <v>Marcelo Eduardo Soares Pinheiro - #SLMA - Segunda Licenciatura Matemática</v>
      </c>
    </row>
    <row r="2970">
      <c r="A2970" s="390" t="str">
        <f>IFERROR(__xludf.DUMMYFUNCTION("""COMPUTED_VALUE"""),"Fernanda Gomes dos Santos - Formação Livre Psicanálise")</f>
        <v>Fernanda Gomes dos Santos - Formação Livre Psicanálise</v>
      </c>
    </row>
    <row r="2971">
      <c r="A2971" s="390" t="str">
        <f>IFERROR(__xludf.DUMMYFUNCTION("""COMPUTED_VALUE"""),"Fernanda Martins Correa - Formação Livre em Sexologia")</f>
        <v>Fernanda Martins Correa - Formação Livre em Sexologia</v>
      </c>
    </row>
    <row r="2972">
      <c r="A2972" s="390" t="str">
        <f>IFERROR(__xludf.DUMMYFUNCTION("""COMPUTED_VALUE"""),"Sandra de Amorim Lira Barbosa - Pós-Graduação em Neuropsicopedagogia Institucional, Clínica e Hospitalar 850h")</f>
        <v>Sandra de Amorim Lira Barbosa - Pós-Graduação em Neuropsicopedagogia Institucional, Clínica e Hospitalar 850h</v>
      </c>
    </row>
    <row r="2973">
      <c r="A2973" s="390" t="str">
        <f>IFERROR(__xludf.DUMMYFUNCTION("""COMPUTED_VALUE"""),"ANDREZA DA SILVA MORENO - Pós-Graduação em Inspeção Escolar")</f>
        <v>ANDREZA DA SILVA MORENO - Pós-Graduação em Inspeção Escolar</v>
      </c>
    </row>
    <row r="2974">
      <c r="A2974" s="390" t="str">
        <f>IFERROR(__xludf.DUMMYFUNCTION("""COMPUTED_VALUE"""),"Gabriela Juliana dos Santos Cabral - #FPUP-FORMAÇÃO PEDAGÓGICA EM PEDAGOGIA- U")</f>
        <v>Gabriela Juliana dos Santos Cabral - #FPUP-FORMAÇÃO PEDAGÓGICA EM PEDAGOGIA- U</v>
      </c>
    </row>
    <row r="2975">
      <c r="A2975" s="390" t="str">
        <f>IFERROR(__xludf.DUMMYFUNCTION("""COMPUTED_VALUE"""),"Marcelo Otávio Gejão - Pós-Graduação em Psicanálise")</f>
        <v>Marcelo Otávio Gejão - Pós-Graduação em Psicanálise</v>
      </c>
    </row>
    <row r="2976">
      <c r="A2976" s="390" t="str">
        <f>IFERROR(__xludf.DUMMYFUNCTION("""COMPUTED_VALUE"""),"Bill Jonnathan Pereira - #FPMF- Formação Pedagógica em Música 1200Horas")</f>
        <v>Bill Jonnathan Pereira - #FPMF- Formação Pedagógica em Música 1200Horas</v>
      </c>
    </row>
    <row r="2977">
      <c r="A2977" s="390" t="str">
        <f>IFERROR(__xludf.DUMMYFUNCTION("""COMPUTED_VALUE"""),"Gilberto Boeira dos Reis - #SLMF - Segunda Licenciatura em Música 1320Horas")</f>
        <v>Gilberto Boeira dos Reis - #SLMF - Segunda Licenciatura em Música 1320Horas</v>
      </c>
    </row>
    <row r="2978">
      <c r="A2978" s="390" t="str">
        <f>IFERROR(__xludf.DUMMYFUNCTION("""COMPUTED_VALUE"""),"Cláudia Corrêa - Pós-Graduação em Educação Infantil")</f>
        <v>Cláudia Corrêa - Pós-Graduação em Educação Infantil</v>
      </c>
    </row>
    <row r="2979">
      <c r="A2979" s="390" t="str">
        <f>IFERROR(__xludf.DUMMYFUNCTION("""COMPUTED_VALUE"""),"Cláudia Corrêa - Pós-Graduação Educação Especial e Inclusiva")</f>
        <v>Cláudia Corrêa - Pós-Graduação Educação Especial e Inclusiva</v>
      </c>
    </row>
    <row r="2980">
      <c r="A2980" s="390" t="str">
        <f>IFERROR(__xludf.DUMMYFUNCTION("""COMPUTED_VALUE"""),"Samuel Morais de Oliveira - #FPUP-FORMAÇÃO PEDAGÓGICA EM PEDAGOGIA- U")</f>
        <v>Samuel Morais de Oliveira - #FPUP-FORMAÇÃO PEDAGÓGICA EM PEDAGOGIA- U</v>
      </c>
    </row>
    <row r="2981">
      <c r="A2981" s="390" t="str">
        <f>IFERROR(__xludf.DUMMYFUNCTION("""COMPUTED_VALUE"""),"Samuel Morais de Oliveira - #FPUP-FORMAÇÃO PEDAGÓGICA EM PEDAGOGIA- U")</f>
        <v>Samuel Morais de Oliveira - #FPUP-FORMAÇÃO PEDAGÓGICA EM PEDAGOGIA- U</v>
      </c>
    </row>
    <row r="2982">
      <c r="A2982" s="390" t="str">
        <f>IFERROR(__xludf.DUMMYFUNCTION("""COMPUTED_VALUE"""),"Samuel Morais de Oliveira - #FPUP-FORMAÇÃO PEDAGÓGICA EM PEDAGOGIA- U")</f>
        <v>Samuel Morais de Oliveira - #FPUP-FORMAÇÃO PEDAGÓGICA EM PEDAGOGIA- U</v>
      </c>
    </row>
    <row r="2983">
      <c r="A2983" s="390" t="str">
        <f>IFERROR(__xludf.DUMMYFUNCTION("""COMPUTED_VALUE"""),"Renato José Justicia - #SLMF - Segunda Licenciatura em Música 1320Horas")</f>
        <v>Renato José Justicia - #SLMF - Segunda Licenciatura em Música 1320Horas</v>
      </c>
    </row>
    <row r="2984">
      <c r="A2984" s="390" t="str">
        <f>IFERROR(__xludf.DUMMYFUNCTION("""COMPUTED_VALUE"""),"MARIA LÚCIA CARDOSO ROCHA - Pós-Graduação em Avaliação Psicológica e Psicodiagnóstico")</f>
        <v>MARIA LÚCIA CARDOSO ROCHA - Pós-Graduação em Avaliação Psicológica e Psicodiagnóstico</v>
      </c>
    </row>
    <row r="2985">
      <c r="A2985" s="390" t="str">
        <f>IFERROR(__xludf.DUMMYFUNCTION("""COMPUTED_VALUE"""),"MARIA LÚCIA CARDOSO ROCHA - Pós-Graduação em Neuropsicologia Clínica")</f>
        <v>MARIA LÚCIA CARDOSO ROCHA - Pós-Graduação em Neuropsicologia Clínica</v>
      </c>
    </row>
    <row r="2986">
      <c r="A2986" s="390" t="str">
        <f>IFERROR(__xludf.DUMMYFUNCTION("""COMPUTED_VALUE"""),"Jailton Galdino dos Santos - #SLPA- Segunda Licenciatura em Pedagogia 01")</f>
        <v>Jailton Galdino dos Santos - #SLPA- Segunda Licenciatura em Pedagogia 01</v>
      </c>
    </row>
    <row r="2987">
      <c r="A2987" s="390" t="str">
        <f>IFERROR(__xludf.DUMMYFUNCTION("""COMPUTED_VALUE"""),"Ilana Caselani Vieira Pereira - Pós-Graduação em Saúde Mental com Ênfase em Dependência Química")</f>
        <v>Ilana Caselani Vieira Pereira - Pós-Graduação em Saúde Mental com Ênfase em Dependência Química</v>
      </c>
    </row>
    <row r="2988">
      <c r="A2988" s="390" t="str">
        <f>IFERROR(__xludf.DUMMYFUNCTION("""COMPUTED_VALUE"""),"Silmara De Souza Vieira - #SLPA- Segunda Licenciatura em Pedagogia 01")</f>
        <v>Silmara De Souza Vieira - #SLPA- Segunda Licenciatura em Pedagogia 01</v>
      </c>
    </row>
    <row r="2989">
      <c r="A2989" s="390" t="str">
        <f>IFERROR(__xludf.DUMMYFUNCTION("""COMPUTED_VALUE"""),"Silmara De Souza Vieira - Pós-Graduação Educação Especial e Inclusiva")</f>
        <v>Silmara De Souza Vieira - Pós-Graduação Educação Especial e Inclusiva</v>
      </c>
    </row>
    <row r="2990">
      <c r="A2990" s="390" t="str">
        <f>IFERROR(__xludf.DUMMYFUNCTION("""COMPUTED_VALUE"""),"Gabriel Henrique Meireles Maia - Pós-Graduação em Educação Musical")</f>
        <v>Gabriel Henrique Meireles Maia - Pós-Graduação em Educação Musical</v>
      </c>
    </row>
    <row r="2991">
      <c r="A2991" s="390" t="str">
        <f>IFERROR(__xludf.DUMMYFUNCTION("""COMPUTED_VALUE"""),"Gabriel Henrique Meireles Maia - #FPMF- Formação Pedagógica em Música 1200Horas")</f>
        <v>Gabriel Henrique Meireles Maia - #FPMF- Formação Pedagógica em Música 1200Horas</v>
      </c>
    </row>
    <row r="2992">
      <c r="A2992" s="390" t="str">
        <f>IFERROR(__xludf.DUMMYFUNCTION("""COMPUTED_VALUE"""),"Milena Zilda Góes - Capacitação em Educação e Inclusiva")</f>
        <v>Milena Zilda Góes - Capacitação em Educação e Inclusiva</v>
      </c>
    </row>
    <row r="2993">
      <c r="A2993" s="390" t="str">
        <f>IFERROR(__xludf.DUMMYFUNCTION("""COMPUTED_VALUE"""),"Milena Zilda Góes - Pós-Graduação Alfabetização e Letramento")</f>
        <v>Milena Zilda Góes - Pós-Graduação Alfabetização e Letramento</v>
      </c>
    </row>
    <row r="2994">
      <c r="A2994" s="390" t="str">
        <f>IFERROR(__xludf.DUMMYFUNCTION("""COMPUTED_VALUE"""),"Milena Zilda Góes - Pós-Graduação Psicopedagogia e Educação Especial")</f>
        <v>Milena Zilda Góes - Pós-Graduação Psicopedagogia e Educação Especial</v>
      </c>
    </row>
    <row r="2995">
      <c r="A2995" s="390" t="str">
        <f>IFERROR(__xludf.DUMMYFUNCTION("""COMPUTED_VALUE"""),"Olandim de Sousa Sueth - #SLUP - SEGUNDA LICENCIATURA EM PEDAGOGIA")</f>
        <v>Olandim de Sousa Sueth - #SLUP - SEGUNDA LICENCIATURA EM PEDAGOGIA</v>
      </c>
    </row>
    <row r="2996">
      <c r="A2996" s="390" t="str">
        <f>IFERROR(__xludf.DUMMYFUNCTION("""COMPUTED_VALUE"""),"Olandim de Sousa Sueth - Pós-Graduação em Gestão Escolar")</f>
        <v>Olandim de Sousa Sueth - Pós-Graduação em Gestão Escolar</v>
      </c>
    </row>
    <row r="2997">
      <c r="A2997" s="390" t="str">
        <f>IFERROR(__xludf.DUMMYFUNCTION("""COMPUTED_VALUE"""),"Bárbara de Oliveira Borges - #FPT1-Pedagogia para Bacharéis e Tecnólogos (2022)")</f>
        <v>Bárbara de Oliveira Borges - #FPT1-Pedagogia para Bacharéis e Tecnólogos (2022)</v>
      </c>
    </row>
    <row r="2998">
      <c r="A2998" s="390" t="str">
        <f>IFERROR(__xludf.DUMMYFUNCTION("""COMPUTED_VALUE"""),"Bárbara de Oliveira Borges - #FPT1-Pedagogia para Bacharéis e Tecnólogos (2022)")</f>
        <v>Bárbara de Oliveira Borges - #FPT1-Pedagogia para Bacharéis e Tecnólogos (2022)</v>
      </c>
    </row>
    <row r="2999">
      <c r="A2999" s="390" t="str">
        <f>IFERROR(__xludf.DUMMYFUNCTION("""COMPUTED_VALUE"""),"Paula Amagasaki - Formação Livre Psicanálise")</f>
        <v>Paula Amagasaki - Formação Livre Psicanálise</v>
      </c>
    </row>
    <row r="3000">
      <c r="A3000" s="390" t="str">
        <f>IFERROR(__xludf.DUMMYFUNCTION("""COMPUTED_VALUE"""),"Leandro Miguel Martins - Pós-Graduação MBA em Gestão de Cadeia de Suprimentos")</f>
        <v>Leandro Miguel Martins - Pós-Graduação MBA em Gestão de Cadeia de Suprimentos</v>
      </c>
    </row>
    <row r="3001">
      <c r="A3001" s="390" t="str">
        <f>IFERROR(__xludf.DUMMYFUNCTION("""COMPUTED_VALUE"""),"Joziete da Conceição Gomes - Pós-Graduação em Psicanálise")</f>
        <v>Joziete da Conceição Gomes - Pós-Graduação em Psicanálise</v>
      </c>
    </row>
    <row r="3002">
      <c r="A3002" s="390" t="str">
        <f>IFERROR(__xludf.DUMMYFUNCTION("""COMPUTED_VALUE"""),"Fabiane Oliveira Silva - Formação Livre Psicanálise")</f>
        <v>Fabiane Oliveira Silva - Formação Livre Psicanálise</v>
      </c>
    </row>
    <row r="3003">
      <c r="A3003" s="390" t="str">
        <f>IFERROR(__xludf.DUMMYFUNCTION("""COMPUTED_VALUE"""),"Donizete Martins Borges - #SLMF - Segunda Licenciatura em Música 1320Horas")</f>
        <v>Donizete Martins Borges - #SLMF - Segunda Licenciatura em Música 1320Horas</v>
      </c>
    </row>
    <row r="3004">
      <c r="A3004" s="390" t="str">
        <f>IFERROR(__xludf.DUMMYFUNCTION("""COMPUTED_VALUE"""),"José Ricardo Cariry dos Santos - #SLPA- Segunda Licenciatura em Pedagogia 01")</f>
        <v>José Ricardo Cariry dos Santos - #SLPA- Segunda Licenciatura em Pedagogia 01</v>
      </c>
    </row>
    <row r="3005">
      <c r="A3005" s="390" t="str">
        <f>IFERROR(__xludf.DUMMYFUNCTION("""COMPUTED_VALUE"""),"Hipólito Silva Cruz - #SLUP - SEGUNDA LICENCIATURA EM PEDAGOGIA")</f>
        <v>Hipólito Silva Cruz - #SLUP - SEGUNDA LICENCIATURA EM PEDAGOGIA</v>
      </c>
    </row>
    <row r="3006">
      <c r="A3006" s="390" t="str">
        <f>IFERROR(__xludf.DUMMYFUNCTION("""COMPUTED_VALUE"""),"Edilson Lira de Oliveira - Formação Livre Psicanálise")</f>
        <v>Edilson Lira de Oliveira - Formação Livre Psicanálise</v>
      </c>
    </row>
    <row r="3007">
      <c r="A3007" s="390" t="str">
        <f>IFERROR(__xludf.DUMMYFUNCTION("""COMPUTED_VALUE"""),"Tatiane Ligiam da Silva - Formação Livre Psicanálise")</f>
        <v>Tatiane Ligiam da Silva - Formação Livre Psicanálise</v>
      </c>
    </row>
    <row r="3008">
      <c r="A3008" s="390" t="str">
        <f>IFERROR(__xludf.DUMMYFUNCTION("""COMPUTED_VALUE"""),"Mayra Porto Romualdo da Silva - Pós-Graduação em Sexologia")</f>
        <v>Mayra Porto Romualdo da Silva - Pós-Graduação em Sexologia</v>
      </c>
    </row>
    <row r="3009">
      <c r="A3009" s="390" t="str">
        <f>IFERROR(__xludf.DUMMYFUNCTION("""COMPUTED_VALUE"""),"Cleusa Pereira de Barros Plácido da Silva - Formação Livre Psicanálise")</f>
        <v>Cleusa Pereira de Barros Plácido da Silva - Formação Livre Psicanálise</v>
      </c>
    </row>
    <row r="3010">
      <c r="A3010" s="390" t="str">
        <f>IFERROR(__xludf.DUMMYFUNCTION("""COMPUTED_VALUE"""),"Patrícia de Jesus Silva Cruz - #SLPA- Segunda Licenciatura em Pedagogia 01")</f>
        <v>Patrícia de Jesus Silva Cruz - #SLPA- Segunda Licenciatura em Pedagogia 01</v>
      </c>
    </row>
    <row r="3011">
      <c r="A3011" s="390" t="str">
        <f>IFERROR(__xludf.DUMMYFUNCTION("""COMPUTED_VALUE"""),"Patrícia de Jesus Silva Cruz - #FPT1-Pedagogia para Bacharéis e Tecnólogos (2022)")</f>
        <v>Patrícia de Jesus Silva Cruz - #FPT1-Pedagogia para Bacharéis e Tecnólogos (2022)</v>
      </c>
    </row>
    <row r="3012">
      <c r="A3012" s="390" t="str">
        <f>IFERROR(__xludf.DUMMYFUNCTION("""COMPUTED_VALUE"""),"Inês Maria Lima - RADIANTE - Pós-Graduação em Terapia Ocupacional Aplicada à Neurologia")</f>
        <v>Inês Maria Lima - RADIANTE - Pós-Graduação em Terapia Ocupacional Aplicada à Neurologia</v>
      </c>
    </row>
    <row r="3013">
      <c r="A3013" s="390" t="str">
        <f>IFERROR(__xludf.DUMMYFUNCTION("""COMPUTED_VALUE"""),"Inês Maria Lima - RADIANTE - Pós-Graduação Em Fonoaudiologia Educacional- 520 HORAS")</f>
        <v>Inês Maria Lima - RADIANTE - Pós-Graduação Em Fonoaudiologia Educacional- 520 HORAS</v>
      </c>
    </row>
    <row r="3014">
      <c r="A3014" s="390" t="str">
        <f>IFERROR(__xludf.DUMMYFUNCTION("""COMPUTED_VALUE"""),"Sandra Damaso Amorim de Oliveira - #SLUG - SEGUNDA LICENCIATURA EM GEOGRAFIA")</f>
        <v>Sandra Damaso Amorim de Oliveira - #SLUG - SEGUNDA LICENCIATURA EM GEOGRAFIA</v>
      </c>
    </row>
    <row r="3015">
      <c r="A3015" s="390" t="str">
        <f>IFERROR(__xludf.DUMMYFUNCTION("""COMPUTED_VALUE"""),"Valéria Pereira de Freitas - FORMAÇÃO PEDAGÓGICA EM LETRAS – LÍNGUA PORTUGUESA E LIBRAS- U")</f>
        <v>Valéria Pereira de Freitas - FORMAÇÃO PEDAGÓGICA EM LETRAS – LÍNGUA PORTUGUESA E LIBRAS- U</v>
      </c>
    </row>
    <row r="3016">
      <c r="A3016" s="390" t="str">
        <f>IFERROR(__xludf.DUMMYFUNCTION("""COMPUTED_VALUE"""),"Joelma Mendes de Sarges Vieira - Capacitação em Educação e Inclusiva")</f>
        <v>Joelma Mendes de Sarges Vieira - Capacitação em Educação e Inclusiva</v>
      </c>
    </row>
    <row r="3017">
      <c r="A3017" s="390" t="str">
        <f>IFERROR(__xludf.DUMMYFUNCTION("""COMPUTED_VALUE"""),"WESLEY VIOLETTI EVANGELISTA - #FPMF- Formação Pedagógica em Música 1200Horas")</f>
        <v>WESLEY VIOLETTI EVANGELISTA - #FPMF- Formação Pedagógica em Música 1200Horas</v>
      </c>
    </row>
    <row r="3018">
      <c r="A3018" s="390" t="str">
        <f>IFERROR(__xludf.DUMMYFUNCTION("""COMPUTED_VALUE"""),"WESLEY VIOLETTI EVANGELISTA - Pós-Graduação em Educação Musical")</f>
        <v>WESLEY VIOLETTI EVANGELISTA - Pós-Graduação em Educação Musical</v>
      </c>
    </row>
    <row r="3019">
      <c r="A3019" s="390" t="str">
        <f>IFERROR(__xludf.DUMMYFUNCTION("""COMPUTED_VALUE"""),"Lucas Gomes Ramos - #SLUEF - Segunda Licenciatura em Educação Física")</f>
        <v>Lucas Gomes Ramos - #SLUEF - Segunda Licenciatura em Educação Física</v>
      </c>
    </row>
    <row r="3020">
      <c r="A3020" s="390" t="str">
        <f>IFERROR(__xludf.DUMMYFUNCTION("""COMPUTED_VALUE"""),"Lucas Gomes Ramos - #SLMF - Segunda Licenciatura em Música 1320Horas")</f>
        <v>Lucas Gomes Ramos - #SLMF - Segunda Licenciatura em Música 1320Horas</v>
      </c>
    </row>
    <row r="3021">
      <c r="A3021" s="390" t="str">
        <f>IFERROR(__xludf.DUMMYFUNCTION("""COMPUTED_VALUE"""),"Larissa Talia da Silva - #FPUP-FORMAÇÃO PEDAGÓGICA EM PEDAGOGIA- U")</f>
        <v>Larissa Talia da Silva - #FPUP-FORMAÇÃO PEDAGÓGICA EM PEDAGOGIA- U</v>
      </c>
    </row>
    <row r="3022">
      <c r="A3022" s="390" t="str">
        <f>IFERROR(__xludf.DUMMYFUNCTION("""COMPUTED_VALUE"""),"Fabricia Sousa Martins - RADIANTE - Pós-Graduação em Psicopedagogia Institucional e Clínica 710Horas")</f>
        <v>Fabricia Sousa Martins - RADIANTE - Pós-Graduação em Psicopedagogia Institucional e Clínica 710Horas</v>
      </c>
    </row>
    <row r="3023">
      <c r="A3023" s="390" t="str">
        <f>IFERROR(__xludf.DUMMYFUNCTION("""COMPUTED_VALUE"""),"Sara Regina Ribeiro do Siqueira - Formação Livre em Sexologia")</f>
        <v>Sara Regina Ribeiro do Siqueira - Formação Livre em Sexologia</v>
      </c>
    </row>
    <row r="3024">
      <c r="A3024" s="390" t="str">
        <f>IFERROR(__xludf.DUMMYFUNCTION("""COMPUTED_VALUE"""),"Sara Regina Ribeiro do Siqueira - Formação Livre em Sexologia")</f>
        <v>Sara Regina Ribeiro do Siqueira - Formação Livre em Sexologia</v>
      </c>
    </row>
    <row r="3025">
      <c r="A3025" s="390" t="str">
        <f>IFERROR(__xludf.DUMMYFUNCTION("""COMPUTED_VALUE"""),"Sara Regina Ribeiro do Siqueira - Formação Livre em Sexologia")</f>
        <v>Sara Regina Ribeiro do Siqueira - Formação Livre em Sexologia</v>
      </c>
    </row>
    <row r="3026">
      <c r="A3026" s="390" t="str">
        <f>IFERROR(__xludf.DUMMYFUNCTION("""COMPUTED_VALUE"""),"Sara Regina Ribeiro do Siqueira - Formação Livre em Sexologia")</f>
        <v>Sara Regina Ribeiro do Siqueira - Formação Livre em Sexologia</v>
      </c>
    </row>
    <row r="3027">
      <c r="A3027" s="390" t="str">
        <f>IFERROR(__xludf.DUMMYFUNCTION("""COMPUTED_VALUE"""),"Cíntia Conceição Soares Linhares - RADIANTE - Pós-Graduação Neurociência e Aprendizagem")</f>
        <v>Cíntia Conceição Soares Linhares - RADIANTE - Pós-Graduação Neurociência e Aprendizagem</v>
      </c>
    </row>
    <row r="3028">
      <c r="A3028" s="390" t="str">
        <f>IFERROR(__xludf.DUMMYFUNCTION("""COMPUTED_VALUE"""),"Cíntia Conceição Soares Linhares - RADIANTE - Pós-Graduação em Neuropsicopedagogia Clínica e Institucional")</f>
        <v>Cíntia Conceição Soares Linhares - RADIANTE - Pós-Graduação em Neuropsicopedagogia Clínica e Institucional</v>
      </c>
    </row>
    <row r="3029">
      <c r="A3029" s="390" t="str">
        <f>IFERROR(__xludf.DUMMYFUNCTION("""COMPUTED_VALUE"""),"Vandelson Silva Cabral - #SLMF - Segunda Licenciatura em Música 1320Horas")</f>
        <v>Vandelson Silva Cabral - #SLMF - Segunda Licenciatura em Música 1320Horas</v>
      </c>
    </row>
    <row r="3030">
      <c r="A3030" s="390" t="str">
        <f>IFERROR(__xludf.DUMMYFUNCTION("""COMPUTED_VALUE"""),"Nayara Helena de Araújo Oliveira - Pós-Graduação em Psicanálise")</f>
        <v>Nayara Helena de Araújo Oliveira - Pós-Graduação em Psicanálise</v>
      </c>
    </row>
    <row r="3031">
      <c r="A3031" s="390" t="str">
        <f>IFERROR(__xludf.DUMMYFUNCTION("""COMPUTED_VALUE"""),"Claudete Aparecida Pereira - Pós-Graduação em Psicanálise")</f>
        <v>Claudete Aparecida Pereira - Pós-Graduação em Psicanálise</v>
      </c>
    </row>
    <row r="3032">
      <c r="A3032" s="390" t="str">
        <f>IFERROR(__xludf.DUMMYFUNCTION("""COMPUTED_VALUE"""),"Claudete Aparecida Pereira - #SLPA- Segunda Licenciatura em Pedagogia 01")</f>
        <v>Claudete Aparecida Pereira - #SLPA- Segunda Licenciatura em Pedagogia 01</v>
      </c>
    </row>
    <row r="3033">
      <c r="A3033" s="390" t="str">
        <f>IFERROR(__xludf.DUMMYFUNCTION("""COMPUTED_VALUE"""),"Everaldo José Da Cruz - #FPMF- Formação Pedagógica em Música 1200Horas")</f>
        <v>Everaldo José Da Cruz - #FPMF- Formação Pedagógica em Música 1200Horas</v>
      </c>
    </row>
    <row r="3034">
      <c r="A3034" s="390" t="str">
        <f>IFERROR(__xludf.DUMMYFUNCTION("""COMPUTED_VALUE"""),"Rodrigo Rabelo de Souza - #SLMF - Segunda Licenciatura em Música 1320Horas")</f>
        <v>Rodrigo Rabelo de Souza - #SLMF - Segunda Licenciatura em Música 1320Horas</v>
      </c>
    </row>
    <row r="3035">
      <c r="A3035" s="390" t="str">
        <f>IFERROR(__xludf.DUMMYFUNCTION("""COMPUTED_VALUE"""),"Lauriane Miguel de Souza Oliveira - Formação Livre Psicanálise")</f>
        <v>Lauriane Miguel de Souza Oliveira - Formação Livre Psicanálise</v>
      </c>
    </row>
    <row r="3036">
      <c r="A3036" s="390" t="str">
        <f>IFERROR(__xludf.DUMMYFUNCTION("""COMPUTED_VALUE"""),"Antônio Vieira da Silva Júnior - #SLMF - Segunda Licenciatura em Música 1320Horas")</f>
        <v>Antônio Vieira da Silva Júnior - #SLMF - Segunda Licenciatura em Música 1320Horas</v>
      </c>
    </row>
    <row r="3037">
      <c r="A3037" s="390" t="str">
        <f>IFERROR(__xludf.DUMMYFUNCTION("""COMPUTED_VALUE"""),"Antônio Vieira da Silva Júnior - Pós-Graduação em Gestão, Licenciamento e Auditoria Ambiental")</f>
        <v>Antônio Vieira da Silva Júnior - Pós-Graduação em Gestão, Licenciamento e Auditoria Ambiental</v>
      </c>
    </row>
    <row r="3038">
      <c r="A3038" s="390" t="str">
        <f>IFERROR(__xludf.DUMMYFUNCTION("""COMPUTED_VALUE"""),"Antônio Vieira da Silva Júnior - Pós Graduação em Gestão, Licenciamento e Auditoria Ambiental 570 Horas")</f>
        <v>Antônio Vieira da Silva Júnior - Pós Graduação em Gestão, Licenciamento e Auditoria Ambiental 570 Horas</v>
      </c>
    </row>
    <row r="3039">
      <c r="A3039" s="390" t="str">
        <f>IFERROR(__xludf.DUMMYFUNCTION("""COMPUTED_VALUE"""),"Bruno César Borges da Penha - #FPUP-FORMAÇÃO PEDAGÓGICA EM PEDAGOGIA- U")</f>
        <v>Bruno César Borges da Penha - #FPUP-FORMAÇÃO PEDAGÓGICA EM PEDAGOGIA- U</v>
      </c>
    </row>
    <row r="3040">
      <c r="A3040" s="390" t="str">
        <f>IFERROR(__xludf.DUMMYFUNCTION("""COMPUTED_VALUE"""),"Bruno César Borges da Penha - Pós-Graduação em Educação Especial 720Horas")</f>
        <v>Bruno César Borges da Penha - Pós-Graduação em Educação Especial 720Horas</v>
      </c>
    </row>
    <row r="3041">
      <c r="A3041" s="390" t="str">
        <f>IFERROR(__xludf.DUMMYFUNCTION("""COMPUTED_VALUE"""),"Bruno César Borges da Penha - #FPMF- Formação Pedagógica em Música 1200Horas")</f>
        <v>Bruno César Borges da Penha - #FPMF- Formação Pedagógica em Música 1200Horas</v>
      </c>
    </row>
    <row r="3042">
      <c r="A3042" s="390" t="str">
        <f>IFERROR(__xludf.DUMMYFUNCTION("""COMPUTED_VALUE"""),"Sthefany Guimarães Silva - #FPUP-FORMAÇÃO PEDAGÓGICA EM PEDAGOGIA- U")</f>
        <v>Sthefany Guimarães Silva - #FPUP-FORMAÇÃO PEDAGÓGICA EM PEDAGOGIA- U</v>
      </c>
    </row>
    <row r="3043">
      <c r="A3043" s="390" t="str">
        <f>IFERROR(__xludf.DUMMYFUNCTION("""COMPUTED_VALUE"""),"Sthefany Guimarães Silva - FORMAÇÃO PEDAGÓGICA EM EDUCAÇÃO ESPECIAL- U")</f>
        <v>Sthefany Guimarães Silva - FORMAÇÃO PEDAGÓGICA EM EDUCAÇÃO ESPECIAL- U</v>
      </c>
    </row>
    <row r="3044">
      <c r="A3044" s="390" t="str">
        <f>IFERROR(__xludf.DUMMYFUNCTION("""COMPUTED_VALUE"""),"Sthefany Guimarães Silva - #FPMF- Formação Pedagógica em Música 1200Horas")</f>
        <v>Sthefany Guimarães Silva - #FPMF- Formação Pedagógica em Música 1200Horas</v>
      </c>
    </row>
    <row r="3045">
      <c r="A3045" s="390" t="str">
        <f>IFERROR(__xludf.DUMMYFUNCTION("""COMPUTED_VALUE"""),"VANESSA BATISTA ALMEIDA DA SILVA - FORMAÇÃO PEDAGÓGICA EM GEOGRAFIA- U")</f>
        <v>VANESSA BATISTA ALMEIDA DA SILVA - FORMAÇÃO PEDAGÓGICA EM GEOGRAFIA- U</v>
      </c>
    </row>
    <row r="3046">
      <c r="A3046" s="390" t="str">
        <f>IFERROR(__xludf.DUMMYFUNCTION("""COMPUTED_VALUE"""),"Deivid Rafael dos Anjos - #SLIA - Segunda Licenciatura Letras - Inglês")</f>
        <v>Deivid Rafael dos Anjos - #SLIA - Segunda Licenciatura Letras - Inglês</v>
      </c>
    </row>
    <row r="3047">
      <c r="A3047" s="390" t="str">
        <f>IFERROR(__xludf.DUMMYFUNCTION("""COMPUTED_VALUE"""),"Deivid Rafael dos Anjos - #SLLIT - Segunda Licenciatura em Letras-Inglês 1090Horas")</f>
        <v>Deivid Rafael dos Anjos - #SLLIT - Segunda Licenciatura em Letras-Inglês 1090Horas</v>
      </c>
    </row>
    <row r="3048">
      <c r="A3048" s="390" t="str">
        <f>IFERROR(__xludf.DUMMYFUNCTION("""COMPUTED_VALUE"""),"Deivid Rafael dos Anjos - #SLIA - Segunda Licenciatura Letras - Inglês")</f>
        <v>Deivid Rafael dos Anjos - #SLIA - Segunda Licenciatura Letras - Inglês</v>
      </c>
    </row>
    <row r="3049">
      <c r="A3049" s="390" t="str">
        <f>IFERROR(__xludf.DUMMYFUNCTION("""COMPUTED_VALUE"""),"Deivid Rafael dos Anjos - #SLIA - Segunda Licenciatura Letras - Inglês")</f>
        <v>Deivid Rafael dos Anjos - #SLIA - Segunda Licenciatura Letras - Inglês</v>
      </c>
    </row>
    <row r="3050">
      <c r="A3050" s="390" t="str">
        <f>IFERROR(__xludf.DUMMYFUNCTION("""COMPUTED_VALUE"""),"Deivid Rafael dos Anjos - #SLIA - Segunda Licenciatura Letras - Inglês")</f>
        <v>Deivid Rafael dos Anjos - #SLIA - Segunda Licenciatura Letras - Inglês</v>
      </c>
    </row>
    <row r="3051">
      <c r="A3051" s="390" t="str">
        <f>IFERROR(__xludf.DUMMYFUNCTION("""COMPUTED_VALUE"""),"Deivid Rafael dos Anjos - #SLIA - Segunda Licenciatura Letras - Inglês")</f>
        <v>Deivid Rafael dos Anjos - #SLIA - Segunda Licenciatura Letras - Inglês</v>
      </c>
    </row>
    <row r="3052">
      <c r="A3052" s="390" t="str">
        <f>IFERROR(__xludf.DUMMYFUNCTION("""COMPUTED_VALUE"""),"Deivid Rafael dos Anjos - #SLIA - Segunda Licenciatura Letras - Inglês")</f>
        <v>Deivid Rafael dos Anjos - #SLIA - Segunda Licenciatura Letras - Inglês</v>
      </c>
    </row>
    <row r="3053">
      <c r="A3053" s="390" t="str">
        <f>IFERROR(__xludf.DUMMYFUNCTION("""COMPUTED_VALUE"""),"Deivid Rafael dos Anjos - #SLIA - Segunda Licenciatura Letras - Inglês")</f>
        <v>Deivid Rafael dos Anjos - #SLIA - Segunda Licenciatura Letras - Inglês</v>
      </c>
    </row>
    <row r="3054">
      <c r="A3054" s="390" t="str">
        <f>IFERROR(__xludf.DUMMYFUNCTION("""COMPUTED_VALUE"""),"Deivid Rafael dos Anjos - #SLIA - Segunda Licenciatura Letras - Inglês")</f>
        <v>Deivid Rafael dos Anjos - #SLIA - Segunda Licenciatura Letras - Inglês</v>
      </c>
    </row>
    <row r="3055">
      <c r="A3055" s="390" t="str">
        <f>IFERROR(__xludf.DUMMYFUNCTION("""COMPUTED_VALUE"""),"Deivid Rafael dos Anjos - #SLIA - Segunda Licenciatura Letras - Inglês")</f>
        <v>Deivid Rafael dos Anjos - #SLIA - Segunda Licenciatura Letras - Inglês</v>
      </c>
    </row>
    <row r="3056">
      <c r="A3056" s="390" t="str">
        <f>IFERROR(__xludf.DUMMYFUNCTION("""COMPUTED_VALUE"""),"Deivid Rafael dos Anjos - #SLIA - Segunda Licenciatura Letras - Inglês")</f>
        <v>Deivid Rafael dos Anjos - #SLIA - Segunda Licenciatura Letras - Inglês</v>
      </c>
    </row>
    <row r="3057">
      <c r="A3057" s="390" t="str">
        <f>IFERROR(__xludf.DUMMYFUNCTION("""COMPUTED_VALUE"""),"Deivid Rafael dos Anjos - #SLIA - Segunda Licenciatura Letras - Inglês")</f>
        <v>Deivid Rafael dos Anjos - #SLIA - Segunda Licenciatura Letras - Inglês</v>
      </c>
    </row>
    <row r="3058">
      <c r="A3058" s="390" t="str">
        <f>IFERROR(__xludf.DUMMYFUNCTION("""COMPUTED_VALUE"""),"Ligia dos santos Rezende - #SLPT- Segunda Licenciatura em Pedagogia")</f>
        <v>Ligia dos santos Rezende - #SLPT- Segunda Licenciatura em Pedagogia</v>
      </c>
    </row>
    <row r="3059">
      <c r="A3059" s="390" t="str">
        <f>IFERROR(__xludf.DUMMYFUNCTION("""COMPUTED_VALUE"""),"Maria Teresa Martins dos Santos Seabra - Formação Livre Psicanálise")</f>
        <v>Maria Teresa Martins dos Santos Seabra - Formação Livre Psicanálise</v>
      </c>
    </row>
    <row r="3060">
      <c r="A3060" s="390" t="str">
        <f>IFERROR(__xludf.DUMMYFUNCTION("""COMPUTED_VALUE"""),"Valquiria Inocencio - Formação Livre Psicanálise")</f>
        <v>Valquiria Inocencio - Formação Livre Psicanálise</v>
      </c>
    </row>
    <row r="3061">
      <c r="A3061" s="390" t="str">
        <f>IFERROR(__xludf.DUMMYFUNCTION("""COMPUTED_VALUE"""),"Geralda Sousa Ferreira - Pós-Graduação em Atendimento Educacional Especializado")</f>
        <v>Geralda Sousa Ferreira - Pós-Graduação em Atendimento Educacional Especializado</v>
      </c>
    </row>
    <row r="3062">
      <c r="A3062" s="390" t="str">
        <f>IFERROR(__xludf.DUMMYFUNCTION("""COMPUTED_VALUE"""),"José Gilson da Silva - Pós-Graduação em Personal Trainer e Treinamento Desportivo")</f>
        <v>José Gilson da Silva - Pós-Graduação em Personal Trainer e Treinamento Desportivo</v>
      </c>
    </row>
    <row r="3063">
      <c r="A3063" s="390" t="str">
        <f>IFERROR(__xludf.DUMMYFUNCTION("""COMPUTED_VALUE"""),"Maria Vitória Batista Mazoti - Pós-Graduação em Atendimento Educacional Especializado Com Ênfase Em Educação Especial e Inclusiva")</f>
        <v>Maria Vitória Batista Mazoti - Pós-Graduação em Atendimento Educacional Especializado Com Ênfase Em Educação Especial e Inclusiva</v>
      </c>
    </row>
    <row r="3064">
      <c r="A3064" s="390" t="str">
        <f>IFERROR(__xludf.DUMMYFUNCTION("""COMPUTED_VALUE"""),"Maria Vitória Batista Mazoti - Pós-Graduação em Neuropsicopedagogia Institucional, Clínica e Hospitalar 850h")</f>
        <v>Maria Vitória Batista Mazoti - Pós-Graduação em Neuropsicopedagogia Institucional, Clínica e Hospitalar 850h</v>
      </c>
    </row>
    <row r="3065">
      <c r="A3065" s="390" t="str">
        <f>IFERROR(__xludf.DUMMYFUNCTION("""COMPUTED_VALUE"""),"Loujane Nazaré Coelho Dias - RADIANTE - Pós-Graduação Educação Especial e Inclusiva")</f>
        <v>Loujane Nazaré Coelho Dias - RADIANTE - Pós-Graduação Educação Especial e Inclusiva</v>
      </c>
    </row>
    <row r="3066">
      <c r="A3066" s="390" t="str">
        <f>IFERROR(__xludf.DUMMYFUNCTION("""COMPUTED_VALUE"""),"Romilson Ferreira da Silva - Pós-Graduação em Psicologia Clínica")</f>
        <v>Romilson Ferreira da Silva - Pós-Graduação em Psicologia Clínica</v>
      </c>
    </row>
    <row r="3067">
      <c r="A3067" s="390" t="str">
        <f>IFERROR(__xludf.DUMMYFUNCTION("""COMPUTED_VALUE"""),"Laís Siléri Silva Cordeiro - RADIANTE - Pós-Graduação em Inspeção Escolar")</f>
        <v>Laís Siléri Silva Cordeiro - RADIANTE - Pós-Graduação em Inspeção Escolar</v>
      </c>
    </row>
    <row r="3068">
      <c r="A3068" s="390" t="str">
        <f>IFERROR(__xludf.DUMMYFUNCTION("""COMPUTED_VALUE"""),"Eunice Souza dos Santos - RADIANTE - Pós-Graduação Neurociência e Aprendizagem")</f>
        <v>Eunice Souza dos Santos - RADIANTE - Pós-Graduação Neurociência e Aprendizagem</v>
      </c>
    </row>
    <row r="3069">
      <c r="A3069" s="390" t="str">
        <f>IFERROR(__xludf.DUMMYFUNCTION("""COMPUTED_VALUE"""),"Maria Silvana da Silva - Pós-Graduação em Inspeção Escolar")</f>
        <v>Maria Silvana da Silva - Pós-Graduação em Inspeção Escolar</v>
      </c>
    </row>
    <row r="3070">
      <c r="A3070" s="390" t="str">
        <f>IFERROR(__xludf.DUMMYFUNCTION("""COMPUTED_VALUE"""),"Yasmin Pinho Woodcock - Pós-Graduação em Ensino da Literatura e Produção de Texto em Língua Inglesa")</f>
        <v>Yasmin Pinho Woodcock - Pós-Graduação em Ensino da Literatura e Produção de Texto em Língua Inglesa</v>
      </c>
    </row>
    <row r="3071">
      <c r="A3071" s="390" t="str">
        <f>IFERROR(__xludf.DUMMYFUNCTION("""COMPUTED_VALUE"""),"Yasmin Pinho Woodcock - Pós-Graduação em Psicologia do Trânsito")</f>
        <v>Yasmin Pinho Woodcock - Pós-Graduação em Psicologia do Trânsito</v>
      </c>
    </row>
    <row r="3072">
      <c r="A3072" s="390" t="str">
        <f>IFERROR(__xludf.DUMMYFUNCTION("""COMPUTED_VALUE"""),"Estefne Maria de Lima - RADIANTE - Pós-Graduação Alfabetização e Letramento")</f>
        <v>Estefne Maria de Lima - RADIANTE - Pós-Graduação Alfabetização e Letramento</v>
      </c>
    </row>
    <row r="3073">
      <c r="A3073" s="390" t="str">
        <f>IFERROR(__xludf.DUMMYFUNCTION("""COMPUTED_VALUE"""),"KAMILA MADUREIRA DA SILVA - Pós-Graduação em Atendimento Educacional Especializado Com Ênfase Em Educação Especial e Inclusiva")</f>
        <v>KAMILA MADUREIRA DA SILVA - Pós-Graduação em Atendimento Educacional Especializado Com Ênfase Em Educação Especial e Inclusiva</v>
      </c>
    </row>
    <row r="3074">
      <c r="A3074" s="390" t="str">
        <f>IFERROR(__xludf.DUMMYFUNCTION("""COMPUTED_VALUE"""),"Madalena Ferreira da Silva - RADIANTE - Pós-Graduação em Língua Portuguesa, Redação e Oratória")</f>
        <v>Madalena Ferreira da Silva - RADIANTE - Pós-Graduação em Língua Portuguesa, Redação e Oratória</v>
      </c>
    </row>
    <row r="3075">
      <c r="A3075" s="390" t="str">
        <f>IFERROR(__xludf.DUMMYFUNCTION("""COMPUTED_VALUE"""),"Claudete das Mercês Vieira - Pós-Graduação Inspeção Escolar")</f>
        <v>Claudete das Mercês Vieira - Pós-Graduação Inspeção Escolar</v>
      </c>
    </row>
    <row r="3076">
      <c r="A3076" s="390" t="str">
        <f>IFERROR(__xludf.DUMMYFUNCTION("""COMPUTED_VALUE"""),"João Benício Cavalcanti Júnior - Pós-Graduação em Autismo 640h")</f>
        <v>João Benício Cavalcanti Júnior - Pós-Graduação em Autismo 640h</v>
      </c>
    </row>
    <row r="3077">
      <c r="A3077" s="390" t="str">
        <f>IFERROR(__xludf.DUMMYFUNCTION("""COMPUTED_VALUE"""),"Miriam Cecilia Gomes do Nascimento - Pós-Graduação em Inspeção Escolar")</f>
        <v>Miriam Cecilia Gomes do Nascimento - Pós-Graduação em Inspeção Escolar</v>
      </c>
    </row>
    <row r="3078">
      <c r="A3078" s="390" t="str">
        <f>IFERROR(__xludf.DUMMYFUNCTION("""COMPUTED_VALUE"""),"Patrícia de Cássia Ramos Barbosa - #SLUP - SEGUNDA LICENCIATURA EM PEDAGOGIA")</f>
        <v>Patrícia de Cássia Ramos Barbosa - #SLUP - SEGUNDA LICENCIATURA EM PEDAGOGIA</v>
      </c>
    </row>
    <row r="3079">
      <c r="A3079" s="390" t="str">
        <f>IFERROR(__xludf.DUMMYFUNCTION("""COMPUTED_VALUE"""),"Patrícia de Cássia Ramos Barbosa - Pós-Graduação em Neuropsicopedagogia Clínica e Institucional")</f>
        <v>Patrícia de Cássia Ramos Barbosa - Pós-Graduação em Neuropsicopedagogia Clínica e Institucional</v>
      </c>
    </row>
    <row r="3080">
      <c r="A3080" s="390" t="str">
        <f>IFERROR(__xludf.DUMMYFUNCTION("""COMPUTED_VALUE"""),"Patrícia de Cássia Ramos Barbosa - Pós-Graduação Neurociência e Aprendizagem")</f>
        <v>Patrícia de Cássia Ramos Barbosa - Pós-Graduação Neurociência e Aprendizagem</v>
      </c>
    </row>
    <row r="3081">
      <c r="A3081" s="390" t="str">
        <f>IFERROR(__xludf.DUMMYFUNCTION("""COMPUTED_VALUE"""),"Danilo Francisco Pereira da Costa - #SLUPI - SEGUNDA LICENCIATURA EM LETRAS – PORTUGUÊS E INGLÊS")</f>
        <v>Danilo Francisco Pereira da Costa - #SLUPI - SEGUNDA LICENCIATURA EM LETRAS – PORTUGUÊS E INGLÊS</v>
      </c>
    </row>
    <row r="3082">
      <c r="A3082" s="390" t="str">
        <f>IFERROR(__xludf.DUMMYFUNCTION("""COMPUTED_VALUE"""),"Bianca de Souza Carreiro - RADIANTE - Pós-Graduação em Direito Imobiliário")</f>
        <v>Bianca de Souza Carreiro - RADIANTE - Pós-Graduação em Direito Imobiliário</v>
      </c>
    </row>
    <row r="3083">
      <c r="A3083" s="390" t="str">
        <f>IFERROR(__xludf.DUMMYFUNCTION("""COMPUTED_VALUE"""),"Antônio Balbino de Souza Neto - Pós-Graduação em Supervisão Escolar e Orientação Educacional")</f>
        <v>Antônio Balbino de Souza Neto - Pós-Graduação em Supervisão Escolar e Orientação Educacional</v>
      </c>
    </row>
    <row r="3084">
      <c r="A3084" s="390" t="str">
        <f>IFERROR(__xludf.DUMMYFUNCTION("""COMPUTED_VALUE"""),"Maria Aguiar Dos Santos - RADIANTE - Pós-Graduação em Atendimento Educacional Especializado Com Ênfase Em Educação Especial e Inclusiva")</f>
        <v>Maria Aguiar Dos Santos - RADIANTE - Pós-Graduação em Atendimento Educacional Especializado Com Ênfase Em Educação Especial e Inclusiva</v>
      </c>
    </row>
    <row r="3085">
      <c r="A3085" s="390" t="str">
        <f>IFERROR(__xludf.DUMMYFUNCTION("""COMPUTED_VALUE"""),"Maria Aguiar Dos Santos - RADIANTE - Pós-Graduação em Psicomotricidade")</f>
        <v>Maria Aguiar Dos Santos - RADIANTE - Pós-Graduação em Psicomotricidade</v>
      </c>
    </row>
    <row r="3086">
      <c r="A3086" s="390" t="str">
        <f>IFERROR(__xludf.DUMMYFUNCTION("""COMPUTED_VALUE"""),"Lilian Ruth Dias de Castro - Pós-Graduação em Avaliação Psicológica e Psicodiagnóstico")</f>
        <v>Lilian Ruth Dias de Castro - Pós-Graduação em Avaliação Psicológica e Psicodiagnóstico</v>
      </c>
    </row>
    <row r="3087">
      <c r="A3087" s="390" t="str">
        <f>IFERROR(__xludf.DUMMYFUNCTION("""COMPUTED_VALUE"""),"Erineia Samara Silva Lopes Meireles - Pós-Graduação em Alfabetização e Letramento e a Psicopedagogia")</f>
        <v>Erineia Samara Silva Lopes Meireles - Pós-Graduação em Alfabetização e Letramento e a Psicopedagogia</v>
      </c>
    </row>
    <row r="3088">
      <c r="A3088" s="390" t="str">
        <f>IFERROR(__xludf.DUMMYFUNCTION("""COMPUTED_VALUE"""),"Erineia Samara Silva Lopes Meireles - Pós-Graduação Neurociência e Aprendizagem")</f>
        <v>Erineia Samara Silva Lopes Meireles - Pós-Graduação Neurociência e Aprendizagem</v>
      </c>
    </row>
    <row r="3089">
      <c r="A3089" s="390" t="str">
        <f>IFERROR(__xludf.DUMMYFUNCTION("""COMPUTED_VALUE"""),"Maria Lírian De Lima - #SLUP - SEGUNDA LICENCIATURA EM PEDAGOGIA")</f>
        <v>Maria Lírian De Lima - #SLUP - SEGUNDA LICENCIATURA EM PEDAGOGIA</v>
      </c>
    </row>
    <row r="3090">
      <c r="A3090" s="390" t="str">
        <f>IFERROR(__xludf.DUMMYFUNCTION("""COMPUTED_VALUE"""),"Waldete Bento de Souza - FORMAÇÃO PEDAGÓGICA EM EDUCAÇÃO ESPECIAL- U")</f>
        <v>Waldete Bento de Souza - FORMAÇÃO PEDAGÓGICA EM EDUCAÇÃO ESPECIAL- U</v>
      </c>
    </row>
    <row r="3091">
      <c r="A3091" s="390" t="str">
        <f>IFERROR(__xludf.DUMMYFUNCTION("""COMPUTED_VALUE"""),"Diana Vasconcelos Da Rocha - Pós-Graduação em Neuropsicologia")</f>
        <v>Diana Vasconcelos Da Rocha - Pós-Graduação em Neuropsicologia</v>
      </c>
    </row>
    <row r="3092">
      <c r="A3092" s="390" t="str">
        <f>IFERROR(__xludf.DUMMYFUNCTION("""COMPUTED_VALUE"""),"WESLER BRUNO BARBOSA VAILANT - #SLUPE- Segunda Licenciatura em Letras – Português e Espanhol")</f>
        <v>WESLER BRUNO BARBOSA VAILANT - #SLUPE- Segunda Licenciatura em Letras – Português e Espanhol</v>
      </c>
    </row>
    <row r="3093">
      <c r="A3093" s="390" t="str">
        <f>IFERROR(__xludf.DUMMYFUNCTION("""COMPUTED_VALUE"""),"Ana Lúcia alvarenga de Freitas - Formação Livre Psicanálise")</f>
        <v>Ana Lúcia alvarenga de Freitas - Formação Livre Psicanálise</v>
      </c>
    </row>
    <row r="3094">
      <c r="A3094" s="390" t="str">
        <f>IFERROR(__xludf.DUMMYFUNCTION("""COMPUTED_VALUE"""),"Juliana Paula do Nascimento - Pedagogia para Bacharéis")</f>
        <v>Juliana Paula do Nascimento - Pedagogia para Bacharéis</v>
      </c>
    </row>
    <row r="3095">
      <c r="A3095" s="390" t="str">
        <f>IFERROR(__xludf.DUMMYFUNCTION("""COMPUTED_VALUE"""),"Eunice Rodrigues Moreira - #SLPA- Segunda Licenciatura em Pedagogia 01")</f>
        <v>Eunice Rodrigues Moreira - #SLPA- Segunda Licenciatura em Pedagogia 01</v>
      </c>
    </row>
    <row r="3096">
      <c r="A3096" s="390" t="str">
        <f>IFERROR(__xludf.DUMMYFUNCTION("""COMPUTED_VALUE"""),"Eunice Rodrigues Moreira - Pós-Graduação em Neuropsicopedagogia Institucional, Clínica e Hospitalar 850h")</f>
        <v>Eunice Rodrigues Moreira - Pós-Graduação em Neuropsicopedagogia Institucional, Clínica e Hospitalar 850h</v>
      </c>
    </row>
    <row r="3097">
      <c r="A3097" s="390" t="str">
        <f>IFERROR(__xludf.DUMMYFUNCTION("""COMPUTED_VALUE"""),"Lucimara Cristina de Laia - Pós-graduação em Neuropsicologia")</f>
        <v>Lucimara Cristina de Laia - Pós-graduação em Neuropsicologia</v>
      </c>
    </row>
    <row r="3098">
      <c r="A3098" s="390" t="str">
        <f>IFERROR(__xludf.DUMMYFUNCTION("""COMPUTED_VALUE"""),"Rosana Ferreira de Oliveira - Pós-Graduação em Psicanálise")</f>
        <v>Rosana Ferreira de Oliveira - Pós-Graduação em Psicanálise</v>
      </c>
    </row>
    <row r="3099">
      <c r="A3099" s="390" t="str">
        <f>IFERROR(__xludf.DUMMYFUNCTION("""COMPUTED_VALUE"""),"Letícia Carlos Gasparin Affini - Pós-Graduação em Nutrição Esportiva")</f>
        <v>Letícia Carlos Gasparin Affini - Pós-Graduação em Nutrição Esportiva</v>
      </c>
    </row>
    <row r="3100">
      <c r="A3100" s="390" t="str">
        <f>IFERROR(__xludf.DUMMYFUNCTION("""COMPUTED_VALUE"""),"Letícia Carlos Gasparin Affini - Pós-Graduação em Nutrição Clínica")</f>
        <v>Letícia Carlos Gasparin Affini - Pós-Graduação em Nutrição Clínica</v>
      </c>
    </row>
    <row r="3101">
      <c r="A3101" s="390" t="str">
        <f>IFERROR(__xludf.DUMMYFUNCTION("""COMPUTED_VALUE"""),"Tatiane Santos Rezende Poderoso - Pós-Graduação em Psicanálise")</f>
        <v>Tatiane Santos Rezende Poderoso - Pós-Graduação em Psicanálise</v>
      </c>
    </row>
    <row r="3102">
      <c r="A3102" s="390" t="str">
        <f>IFERROR(__xludf.DUMMYFUNCTION("""COMPUTED_VALUE"""),"Tatiane Santos Rezende Poderoso - NOVO-Pós-Graduação em Psicanálise 800 Horas")</f>
        <v>Tatiane Santos Rezende Poderoso - NOVO-Pós-Graduação em Psicanálise 800 Horas</v>
      </c>
    </row>
    <row r="3103">
      <c r="A3103" s="390" t="str">
        <f>IFERROR(__xludf.DUMMYFUNCTION("""COMPUTED_VALUE"""),"Ismael Cortese - #SLMF- Segunda Licenciatura em Música 2022 880Horas")</f>
        <v>Ismael Cortese - #SLMF- Segunda Licenciatura em Música 2022 880Horas</v>
      </c>
    </row>
    <row r="3104">
      <c r="A3104" s="390" t="str">
        <f>IFERROR(__xludf.DUMMYFUNCTION("""COMPUTED_VALUE"""),"Ismael Cortese - #SLMF - Segunda Licenciatura em Música 1320Horas")</f>
        <v>Ismael Cortese - #SLMF - Segunda Licenciatura em Música 1320Horas</v>
      </c>
    </row>
    <row r="3105">
      <c r="A3105" s="390" t="str">
        <f>IFERROR(__xludf.DUMMYFUNCTION("""COMPUTED_VALUE"""),"Mariana Langella - Formação Livre Psicanálise")</f>
        <v>Mariana Langella - Formação Livre Psicanálise</v>
      </c>
    </row>
    <row r="3106">
      <c r="A3106" s="390" t="str">
        <f>IFERROR(__xludf.DUMMYFUNCTION("""COMPUTED_VALUE"""),"Manoel Torino de Araújo - Formação Livre Psicanálise")</f>
        <v>Manoel Torino de Araújo - Formação Livre Psicanálise</v>
      </c>
    </row>
    <row r="3107">
      <c r="A3107" s="390" t="str">
        <f>IFERROR(__xludf.DUMMYFUNCTION("""COMPUTED_VALUE"""),"Sílvia Barbosa Elias - RADIANTE - Pós-Graduação Educação Especial e Inclusiva")</f>
        <v>Sílvia Barbosa Elias - RADIANTE - Pós-Graduação Educação Especial e Inclusiva</v>
      </c>
    </row>
    <row r="3108">
      <c r="A3108" s="390" t="str">
        <f>IFERROR(__xludf.DUMMYFUNCTION("""COMPUTED_VALUE"""),"Sílvia Barbosa Elias - RADIANTE - Pós-Graduação em Ensino de História e Geografia")</f>
        <v>Sílvia Barbosa Elias - RADIANTE - Pós-Graduação em Ensino de História e Geografia</v>
      </c>
    </row>
    <row r="3109">
      <c r="A3109" s="390" t="str">
        <f>IFERROR(__xludf.DUMMYFUNCTION("""COMPUTED_VALUE"""),"Eline dos Santos Rezende - Formação Livre Psicanálise")</f>
        <v>Eline dos Santos Rezende - Formação Livre Psicanálise</v>
      </c>
    </row>
    <row r="3110">
      <c r="A3110" s="390" t="str">
        <f>IFERROR(__xludf.DUMMYFUNCTION("""COMPUTED_VALUE"""),"Antonio Eder da Silva Freitas - #FPM+ Formação Pedagógica em Matemática-1200Horas")</f>
        <v>Antonio Eder da Silva Freitas - #FPM+ Formação Pedagógica em Matemática-1200Horas</v>
      </c>
    </row>
    <row r="3111">
      <c r="A3111" s="390" t="str">
        <f>IFERROR(__xludf.DUMMYFUNCTION("""COMPUTED_VALUE"""),"Antonio Eder da Silva Freitas - Práticas Pedagógicas")</f>
        <v>Antonio Eder da Silva Freitas - Práticas Pedagógicas</v>
      </c>
    </row>
    <row r="3112">
      <c r="A3112" s="390" t="str">
        <f>IFERROR(__xludf.DUMMYFUNCTION("""COMPUTED_VALUE"""),"Antonio Eder da Silva Freitas - #FPM+ Formação Pedagógica em Matemática-1200Horas")</f>
        <v>Antonio Eder da Silva Freitas - #FPM+ Formação Pedagógica em Matemática-1200Horas</v>
      </c>
    </row>
    <row r="3113">
      <c r="A3113" s="390" t="str">
        <f>IFERROR(__xludf.DUMMYFUNCTION("""COMPUTED_VALUE"""),"Renato Medeiros Ferraz Batista - #FPMF- Formação Pedagógica em Música 1200Horas")</f>
        <v>Renato Medeiros Ferraz Batista - #FPMF- Formação Pedagógica em Música 1200Horas</v>
      </c>
    </row>
    <row r="3114">
      <c r="A3114" s="390" t="str">
        <f>IFERROR(__xludf.DUMMYFUNCTION("""COMPUTED_VALUE"""),"Laiane cricia dos Santos - Pós-Graduação Educação Especial e Inclusiva")</f>
        <v>Laiane cricia dos Santos - Pós-Graduação Educação Especial e Inclusiva</v>
      </c>
    </row>
    <row r="3115">
      <c r="A3115" s="390" t="str">
        <f>IFERROR(__xludf.DUMMYFUNCTION("""COMPUTED_VALUE"""),"Laiane cricia dos Santos - Pós-Graduação em Biblioteconomia")</f>
        <v>Laiane cricia dos Santos - Pós-Graduação em Biblioteconomia</v>
      </c>
    </row>
    <row r="3116">
      <c r="A3116" s="390" t="str">
        <f>IFERROR(__xludf.DUMMYFUNCTION("""COMPUTED_VALUE"""),"Aldenora Pereira  Igreja - #FPUP-FORMAÇÃO PEDAGÓGICA EM PEDAGOGIA- U")</f>
        <v>Aldenora Pereira  Igreja - #FPUP-FORMAÇÃO PEDAGÓGICA EM PEDAGOGIA- U</v>
      </c>
    </row>
    <row r="3117">
      <c r="A3117" s="390" t="str">
        <f>IFERROR(__xludf.DUMMYFUNCTION("""COMPUTED_VALUE"""),"Bruna Caroline Alpi Souza Pinto - RADIANTE - Pós-Graduação em Autismo 1100 Horas")</f>
        <v>Bruna Caroline Alpi Souza Pinto - RADIANTE - Pós-Graduação em Autismo 1100 Horas</v>
      </c>
    </row>
    <row r="3118">
      <c r="A3118" s="390" t="str">
        <f>IFERROR(__xludf.DUMMYFUNCTION("""COMPUTED_VALUE"""),"Alexsander Borges Araújo - #FPUEF - Formação Pedagógica em Educação Física - 1200 Horas")</f>
        <v>Alexsander Borges Araújo - #FPUEF - Formação Pedagógica em Educação Física - 1200 Horas</v>
      </c>
    </row>
    <row r="3119">
      <c r="A3119" s="390" t="str">
        <f>IFERROR(__xludf.DUMMYFUNCTION("""COMPUTED_VALUE"""),"Alexsander Borges Araújo - #FPULPI- Formação Pedagógica em Letras – Português e Inglês")</f>
        <v>Alexsander Borges Araújo - #FPULPI- Formação Pedagógica em Letras – Português e Inglês</v>
      </c>
    </row>
    <row r="3120">
      <c r="A3120" s="390" t="str">
        <f>IFERROR(__xludf.DUMMYFUNCTION("""COMPUTED_VALUE"""),"Rosinei Macali - Pós-Graduação em Psicanálise")</f>
        <v>Rosinei Macali - Pós-Graduação em Psicanálise</v>
      </c>
    </row>
    <row r="3121">
      <c r="A3121" s="390" t="str">
        <f>IFERROR(__xludf.DUMMYFUNCTION("""COMPUTED_VALUE"""),"Paula Eliane Costa Rocha Martins - Pós-Graduação em Psicanálise")</f>
        <v>Paula Eliane Costa Rocha Martins - Pós-Graduação em Psicanálise</v>
      </c>
    </row>
    <row r="3122">
      <c r="A3122" s="390" t="str">
        <f>IFERROR(__xludf.DUMMYFUNCTION("""COMPUTED_VALUE"""),"Cristiane Souza da Silva - #SLPA- Segunda Licenciatura em Pedagogia 01")</f>
        <v>Cristiane Souza da Silva - #SLPA- Segunda Licenciatura em Pedagogia 01</v>
      </c>
    </row>
    <row r="3123">
      <c r="A3123" s="390" t="str">
        <f>IFERROR(__xludf.DUMMYFUNCTION("""COMPUTED_VALUE"""),"Marcel Alcleante Alexandre de Sousa - #SLPA- Segunda Licenciatura em Pedagogia 01")</f>
        <v>Marcel Alcleante Alexandre de Sousa - #SLPA- Segunda Licenciatura em Pedagogia 01</v>
      </c>
    </row>
    <row r="3124">
      <c r="A3124" s="390" t="str">
        <f>IFERROR(__xludf.DUMMYFUNCTION("""COMPUTED_VALUE"""),"Cicero da Silva Bispo - Formação Livre em Música")</f>
        <v>Cicero da Silva Bispo - Formação Livre em Música</v>
      </c>
    </row>
    <row r="3125">
      <c r="A3125" s="390" t="str">
        <f>IFERROR(__xludf.DUMMYFUNCTION("""COMPUTED_VALUE"""),"Thayanne Rayara Souza Rios - #SLMF - Segunda Licenciatura em Música 1320Horas")</f>
        <v>Thayanne Rayara Souza Rios - #SLMF - Segunda Licenciatura em Música 1320Horas</v>
      </c>
    </row>
    <row r="3126">
      <c r="A3126" s="390" t="str">
        <f>IFERROR(__xludf.DUMMYFUNCTION("""COMPUTED_VALUE"""),"Vinícius Lopes Almeida - # SLCRA - Segunda Licenciatura em Ciências da Religião")</f>
        <v>Vinícius Lopes Almeida - # SLCRA - Segunda Licenciatura em Ciências da Religião</v>
      </c>
    </row>
    <row r="3127">
      <c r="A3127" s="390" t="str">
        <f>IFERROR(__xludf.DUMMYFUNCTION("""COMPUTED_VALUE"""),"Vivian de Oliveira Candido da Silva - #SLPT- Segunda Licenciatura em Pedagogia")</f>
        <v>Vivian de Oliveira Candido da Silva - #SLPT- Segunda Licenciatura em Pedagogia</v>
      </c>
    </row>
    <row r="3128">
      <c r="A3128" s="390" t="str">
        <f>IFERROR(__xludf.DUMMYFUNCTION("""COMPUTED_VALUE"""),"Alisson Guedes Pessôa - Formação Livre Psicanálise")</f>
        <v>Alisson Guedes Pessôa - Formação Livre Psicanálise</v>
      </c>
    </row>
    <row r="3129">
      <c r="A3129" s="390" t="str">
        <f>IFERROR(__xludf.DUMMYFUNCTION("""COMPUTED_VALUE"""),"José Jacques de Lima - Formação Livre Psicanálise")</f>
        <v>José Jacques de Lima - Formação Livre Psicanálise</v>
      </c>
    </row>
    <row r="3130">
      <c r="A3130" s="390" t="str">
        <f>IFERROR(__xludf.DUMMYFUNCTION("""COMPUTED_VALUE"""),"Noelma Martins Sant Anna - #SLMF - Segunda Licenciatura em Música 1320Horas")</f>
        <v>Noelma Martins Sant Anna - #SLMF - Segunda Licenciatura em Música 1320Horas</v>
      </c>
    </row>
    <row r="3131">
      <c r="A3131" s="390" t="str">
        <f>IFERROR(__xludf.DUMMYFUNCTION("""COMPUTED_VALUE"""),"Leonardo Melo de Lima Prado - Pós-Graduação em Educação Física Escolar e Treinamento Desportivo")</f>
        <v>Leonardo Melo de Lima Prado - Pós-Graduação em Educação Física Escolar e Treinamento Desportivo</v>
      </c>
    </row>
    <row r="3132">
      <c r="A3132" s="390" t="str">
        <f>IFERROR(__xludf.DUMMYFUNCTION("""COMPUTED_VALUE"""),"Thaís de Cássia Sá Ferreira - #SLMF - Segunda Licenciatura em Música 1320Horas")</f>
        <v>Thaís de Cássia Sá Ferreira - #SLMF - Segunda Licenciatura em Música 1320Horas</v>
      </c>
    </row>
    <row r="3133">
      <c r="A3133" s="390" t="str">
        <f>IFERROR(__xludf.DUMMYFUNCTION("""COMPUTED_VALUE"""),"Roberta Ferreira - #SLPT- Segunda Licenciatura em Pedagogia")</f>
        <v>Roberta Ferreira - #SLPT- Segunda Licenciatura em Pedagogia</v>
      </c>
    </row>
    <row r="3134">
      <c r="A3134" s="390" t="str">
        <f>IFERROR(__xludf.DUMMYFUNCTION("""COMPUTED_VALUE"""),"Paula Soares dos Santos Brito Rocha - #SLUP - SEGUNDA LICENCIATURA EM PEDAGOGIA")</f>
        <v>Paula Soares dos Santos Brito Rocha - #SLUP - SEGUNDA LICENCIATURA EM PEDAGOGIA</v>
      </c>
    </row>
    <row r="3135">
      <c r="A3135" s="390" t="str">
        <f>IFERROR(__xludf.DUMMYFUNCTION("""COMPUTED_VALUE"""),"Paula Soares dos Santos Brito Rocha - #SLUEE - SEGUNDA LICENCIATURA EM EDUCAÇÃO ESPECIAL")</f>
        <v>Paula Soares dos Santos Brito Rocha - #SLUEE - SEGUNDA LICENCIATURA EM EDUCAÇÃO ESPECIAL</v>
      </c>
    </row>
    <row r="3136">
      <c r="A3136" s="390" t="str">
        <f>IFERROR(__xludf.DUMMYFUNCTION("""COMPUTED_VALUE"""),"Paula Soares dos Santos Brito Rocha - Pós-Graduação em Supervisão e Orientação Escolar-2022")</f>
        <v>Paula Soares dos Santos Brito Rocha - Pós-Graduação em Supervisão e Orientação Escolar-2022</v>
      </c>
    </row>
    <row r="3137">
      <c r="A3137" s="390" t="str">
        <f>IFERROR(__xludf.DUMMYFUNCTION("""COMPUTED_VALUE"""),"Paula Soares dos Santos Brito Rocha - Pós-Graduação em Ensino Religioso")</f>
        <v>Paula Soares dos Santos Brito Rocha - Pós-Graduação em Ensino Religioso</v>
      </c>
    </row>
    <row r="3138">
      <c r="A3138" s="390" t="str">
        <f>IFERROR(__xludf.DUMMYFUNCTION("""COMPUTED_VALUE"""),"Rosangela Gonçalves Jacovine - Pós-graduação em Gestão Escolar Integradora com Ênfase em Supervisão, Orientação, Administração e Inspeção 740Horas")</f>
        <v>Rosangela Gonçalves Jacovine - Pós-graduação em Gestão Escolar Integradora com Ênfase em Supervisão, Orientação, Administração e Inspeção 740Horas</v>
      </c>
    </row>
    <row r="3139">
      <c r="A3139" s="390" t="str">
        <f>IFERROR(__xludf.DUMMYFUNCTION("""COMPUTED_VALUE"""),"Patricia Rodrigues Maran - Pedagogia para Bacharéis")</f>
        <v>Patricia Rodrigues Maran - Pedagogia para Bacharéis</v>
      </c>
    </row>
    <row r="3140">
      <c r="A3140" s="390" t="str">
        <f>IFERROR(__xludf.DUMMYFUNCTION("""COMPUTED_VALUE"""),"Leticy Araújo Andrade - #SLAA - Segunda Licenciatura em Artes Visuais")</f>
        <v>Leticy Araújo Andrade - #SLAA - Segunda Licenciatura em Artes Visuais</v>
      </c>
    </row>
    <row r="3141">
      <c r="A3141" s="390" t="str">
        <f>IFERROR(__xludf.DUMMYFUNCTION("""COMPUTED_VALUE"""),"Rosana Magalhaes Barbosa - Pós-Graduação em Sexologia")</f>
        <v>Rosana Magalhaes Barbosa - Pós-Graduação em Sexologia</v>
      </c>
    </row>
    <row r="3142">
      <c r="A3142" s="390" t="str">
        <f>IFERROR(__xludf.DUMMYFUNCTION("""COMPUTED_VALUE"""),"Wesley Raposo Lopes - #SLMF - Segunda Licenciatura em Música 1320Horas")</f>
        <v>Wesley Raposo Lopes - #SLMF - Segunda Licenciatura em Música 1320Horas</v>
      </c>
    </row>
    <row r="3143">
      <c r="A3143" s="390" t="str">
        <f>IFERROR(__xludf.DUMMYFUNCTION("""COMPUTED_VALUE"""),"Wesley Raposo Lopes - #FPMF- Formação Pedagógica em Música 1200Horas")</f>
        <v>Wesley Raposo Lopes - #FPMF- Formação Pedagógica em Música 1200Horas</v>
      </c>
    </row>
    <row r="3144">
      <c r="A3144" s="390" t="str">
        <f>IFERROR(__xludf.DUMMYFUNCTION("""COMPUTED_VALUE"""),"Wesley Raposo Lopes - Pós-Graduação em MBA em Economia e Finanças-2022")</f>
        <v>Wesley Raposo Lopes - Pós-Graduação em MBA em Economia e Finanças-2022</v>
      </c>
    </row>
    <row r="3145">
      <c r="A3145" s="390" t="str">
        <f>IFERROR(__xludf.DUMMYFUNCTION("""COMPUTED_VALUE"""),"Salete Tereza Holdefer Siqueira - #SLUEE - SEGUNDA LICENCIATURA EM EDUCAÇÃO ESPECIAL")</f>
        <v>Salete Tereza Holdefer Siqueira - #SLUEE - SEGUNDA LICENCIATURA EM EDUCAÇÃO ESPECIAL</v>
      </c>
    </row>
    <row r="3146">
      <c r="A3146" s="390" t="str">
        <f>IFERROR(__xludf.DUMMYFUNCTION("""COMPUTED_VALUE"""),"Oziel Cardoso de Azevedo - #SLMF - Segunda Licenciatura em Música 1320Horas")</f>
        <v>Oziel Cardoso de Azevedo - #SLMF - Segunda Licenciatura em Música 1320Horas</v>
      </c>
    </row>
    <row r="3147">
      <c r="A3147" s="390" t="str">
        <f>IFERROR(__xludf.DUMMYFUNCTION("""COMPUTED_VALUE"""),"Rosiani Pasquali Ferreira Elias - Formação Livre Psicanálise")</f>
        <v>Rosiani Pasquali Ferreira Elias - Formação Livre Psicanálise</v>
      </c>
    </row>
    <row r="3148">
      <c r="A3148" s="390" t="str">
        <f>IFERROR(__xludf.DUMMYFUNCTION("""COMPUTED_VALUE"""),"Jefferson Costa da Silva Moreira - #FPMF- Formação Pedagógica em Música 1200Horas")</f>
        <v>Jefferson Costa da Silva Moreira - #FPMF- Formação Pedagógica em Música 1200Horas</v>
      </c>
    </row>
    <row r="3149">
      <c r="A3149" s="390" t="str">
        <f>IFERROR(__xludf.DUMMYFUNCTION("""COMPUTED_VALUE"""),"IARLEM LOPES SOARES - #SLUP - SEGUNDA LICENCIATURA EM PEDAGOGIA")</f>
        <v>IARLEM LOPES SOARES - #SLUP - SEGUNDA LICENCIATURA EM PEDAGOGIA</v>
      </c>
    </row>
    <row r="3150">
      <c r="A3150" s="390" t="str">
        <f>IFERROR(__xludf.DUMMYFUNCTION("""COMPUTED_VALUE"""),"IARLEM LOPES SOARES - #SLPA- Segunda Licenciatura em Pedagogia 01")</f>
        <v>IARLEM LOPES SOARES - #SLPA- Segunda Licenciatura em Pedagogia 01</v>
      </c>
    </row>
    <row r="3151">
      <c r="A3151" s="390" t="str">
        <f>IFERROR(__xludf.DUMMYFUNCTION("""COMPUTED_VALUE"""),"Étore da Silva Odair - #SLMF - Segunda Licenciatura em Música 1320Horas")</f>
        <v>Étore da Silva Odair - #SLMF - Segunda Licenciatura em Música 1320Horas</v>
      </c>
    </row>
    <row r="3152">
      <c r="A3152" s="390" t="str">
        <f>IFERROR(__xludf.DUMMYFUNCTION("""COMPUTED_VALUE"""),"Étore da Silva Odair - #SLMF- Segunda Licenciatura em Música 1320Horas")</f>
        <v>Étore da Silva Odair - #SLMF- Segunda Licenciatura em Música 1320Horas</v>
      </c>
    </row>
    <row r="3153">
      <c r="A3153" s="390" t="str">
        <f>IFERROR(__xludf.DUMMYFUNCTION("""COMPUTED_VALUE"""),"Hilda Ferreira Sousa - #SLUP - SEGUNDA LICENCIATURA EM PEDAGOGIA")</f>
        <v>Hilda Ferreira Sousa - #SLUP - SEGUNDA LICENCIATURA EM PEDAGOGIA</v>
      </c>
    </row>
    <row r="3154">
      <c r="A3154" s="390" t="str">
        <f>IFERROR(__xludf.DUMMYFUNCTION("""COMPUTED_VALUE"""),"Marcio dos Reis - Formação Livre Psicanálise")</f>
        <v>Marcio dos Reis - Formação Livre Psicanálise</v>
      </c>
    </row>
    <row r="3155">
      <c r="A3155" s="390" t="str">
        <f>IFERROR(__xludf.DUMMYFUNCTION("""COMPUTED_VALUE"""),"Moisés Gomes Nogueira - Pós-Graduação em Psicanálise")</f>
        <v>Moisés Gomes Nogueira - Pós-Graduação em Psicanálise</v>
      </c>
    </row>
    <row r="3156">
      <c r="A3156" s="390" t="str">
        <f>IFERROR(__xludf.DUMMYFUNCTION("""COMPUTED_VALUE"""),"Lana Paula Moreira Mesquita - Formação Livre em Sexologia")</f>
        <v>Lana Paula Moreira Mesquita - Formação Livre em Sexologia</v>
      </c>
    </row>
    <row r="3157">
      <c r="A3157" s="390" t="str">
        <f>IFERROR(__xludf.DUMMYFUNCTION("""COMPUTED_VALUE"""),"Priscila vieira de Oliveira - Formação Livre Psicanálise")</f>
        <v>Priscila vieira de Oliveira - Formação Livre Psicanálise</v>
      </c>
    </row>
    <row r="3158">
      <c r="A3158" s="390" t="str">
        <f>IFERROR(__xludf.DUMMYFUNCTION("""COMPUTED_VALUE"""),"Joelma Navarro Pimenta Galvão - Formação Livre Psicanálise")</f>
        <v>Joelma Navarro Pimenta Galvão - Formação Livre Psicanálise</v>
      </c>
    </row>
    <row r="3159">
      <c r="A3159" s="390" t="str">
        <f>IFERROR(__xludf.DUMMYFUNCTION("""COMPUTED_VALUE"""),"Patrick Westphal Elias - Formação Livre Psicanálise")</f>
        <v>Patrick Westphal Elias - Formação Livre Psicanálise</v>
      </c>
    </row>
    <row r="3160">
      <c r="A3160" s="390" t="str">
        <f>IFERROR(__xludf.DUMMYFUNCTION("""COMPUTED_VALUE"""),"PAULO CESAR SOUZA MACHADO - Formação Livre Psicanálise")</f>
        <v>PAULO CESAR SOUZA MACHADO - Formação Livre Psicanálise</v>
      </c>
    </row>
    <row r="3161">
      <c r="A3161" s="390" t="str">
        <f>IFERROR(__xludf.DUMMYFUNCTION("""COMPUTED_VALUE"""),"Angela Aparecida De Aguiar Pedro - Formação Livre Psicanálise")</f>
        <v>Angela Aparecida De Aguiar Pedro - Formação Livre Psicanálise</v>
      </c>
    </row>
    <row r="3162">
      <c r="A3162" s="390" t="str">
        <f>IFERROR(__xludf.DUMMYFUNCTION("""COMPUTED_VALUE"""),"Robert Felipe de Oliveira Lima - #FPUM Formação Pedagógica em Matemática")</f>
        <v>Robert Felipe de Oliveira Lima - #FPUM Formação Pedagógica em Matemática</v>
      </c>
    </row>
    <row r="3163">
      <c r="A3163" s="390" t="str">
        <f>IFERROR(__xludf.DUMMYFUNCTION("""COMPUTED_VALUE"""),"Robert Felipe de Oliveira Lima - Formação Pedagógica em Matemática")</f>
        <v>Robert Felipe de Oliveira Lima - Formação Pedagógica em Matemática</v>
      </c>
    </row>
    <row r="3164">
      <c r="A3164" s="390" t="str">
        <f>IFERROR(__xludf.DUMMYFUNCTION("""COMPUTED_VALUE"""),"Afonso Ferreira Filho - Pós-Graduação em Psicanálise")</f>
        <v>Afonso Ferreira Filho - Pós-Graduação em Psicanálise</v>
      </c>
    </row>
    <row r="3165">
      <c r="A3165" s="390" t="str">
        <f>IFERROR(__xludf.DUMMYFUNCTION("""COMPUTED_VALUE"""),"Edilene Aparecida Ribeiro Velasco - Formação Livre Psicanálise")</f>
        <v>Edilene Aparecida Ribeiro Velasco - Formação Livre Psicanálise</v>
      </c>
    </row>
    <row r="3166">
      <c r="A3166" s="390" t="str">
        <f>IFERROR(__xludf.DUMMYFUNCTION("""COMPUTED_VALUE"""),"Vinicius de Andrade Floriano - #SLMF - Segunda Licenciatura em Música 1320Horas")</f>
        <v>Vinicius de Andrade Floriano - #SLMF - Segunda Licenciatura em Música 1320Horas</v>
      </c>
    </row>
    <row r="3167">
      <c r="A3167" s="390" t="str">
        <f>IFERROR(__xludf.DUMMYFUNCTION("""COMPUTED_VALUE"""),"Nelson Rodrigo Faria de Almeida - #SLMF - Segunda Licenciatura em Música 1320Horas")</f>
        <v>Nelson Rodrigo Faria de Almeida - #SLMF - Segunda Licenciatura em Música 1320Horas</v>
      </c>
    </row>
    <row r="3168">
      <c r="A3168" s="390" t="str">
        <f>IFERROR(__xludf.DUMMYFUNCTION("""COMPUTED_VALUE"""),"Caroline Regina Custódio - #FPMF- Formação Pedagógica em Música 1200Horas")</f>
        <v>Caroline Regina Custódio - #FPMF- Formação Pedagógica em Música 1200Horas</v>
      </c>
    </row>
    <row r="3169">
      <c r="A3169" s="390" t="str">
        <f>IFERROR(__xludf.DUMMYFUNCTION("""COMPUTED_VALUE"""),"Marcos Silva Lima - #FPMF- Formação Pedagógica em Música 1200Horas")</f>
        <v>Marcos Silva Lima - #FPMF- Formação Pedagógica em Música 1200Horas</v>
      </c>
    </row>
    <row r="3170">
      <c r="A3170" s="390" t="str">
        <f>IFERROR(__xludf.DUMMYFUNCTION("""COMPUTED_VALUE"""),"José Altair Pereira - Formação Livre Psicanálise")</f>
        <v>José Altair Pereira - Formação Livre Psicanálise</v>
      </c>
    </row>
    <row r="3171">
      <c r="A3171" s="390" t="str">
        <f>IFERROR(__xludf.DUMMYFUNCTION("""COMPUTED_VALUE"""),"Renata Teresinha dos Santos - Pós-Graduação em Psicanálise")</f>
        <v>Renata Teresinha dos Santos - Pós-Graduação em Psicanálise</v>
      </c>
    </row>
    <row r="3172">
      <c r="A3172" s="390" t="str">
        <f>IFERROR(__xludf.DUMMYFUNCTION("""COMPUTED_VALUE"""),"Renata Teresinha dos Santos - Formação Livre Psicanálise")</f>
        <v>Renata Teresinha dos Santos - Formação Livre Psicanálise</v>
      </c>
    </row>
    <row r="3173">
      <c r="A3173" s="390" t="str">
        <f>IFERROR(__xludf.DUMMYFUNCTION("""COMPUTED_VALUE"""),"Marliro Fernandes Souza Brito - #SLUM - SEGUNDA LICENCIATURA EM MATEMÁTICA")</f>
        <v>Marliro Fernandes Souza Brito - #SLUM - SEGUNDA LICENCIATURA EM MATEMÁTICA</v>
      </c>
    </row>
    <row r="3174">
      <c r="A3174" s="390" t="str">
        <f>IFERROR(__xludf.DUMMYFUNCTION("""COMPUTED_VALUE"""),"Gabriela Souza Silva - Formação Pedagógica em Letras/Espanhol")</f>
        <v>Gabriela Souza Silva - Formação Pedagógica em Letras/Espanhol</v>
      </c>
    </row>
    <row r="3175">
      <c r="A3175" s="390" t="str">
        <f>IFERROR(__xludf.DUMMYFUNCTION("""COMPUTED_VALUE"""),"Gabriela Souza Silva - #FPLPET1 Formação Pedagógica-Português/Espanhol - 1710Horas")</f>
        <v>Gabriela Souza Silva - #FPLPET1 Formação Pedagógica-Português/Espanhol - 1710Horas</v>
      </c>
    </row>
    <row r="3176">
      <c r="A3176" s="390" t="str">
        <f>IFERROR(__xludf.DUMMYFUNCTION("""COMPUTED_VALUE"""),"Joycilene Gracye de Souza Albuquerque Cunha - Formação Livre em Psicanálise-2022")</f>
        <v>Joycilene Gracye de Souza Albuquerque Cunha - Formação Livre em Psicanálise-2022</v>
      </c>
    </row>
    <row r="3177">
      <c r="A3177" s="390" t="str">
        <f>IFERROR(__xludf.DUMMYFUNCTION("""COMPUTED_VALUE"""),"Joycilene Gracye de Souza Albuquerque Cunha - Formação Livre Psicanálise")</f>
        <v>Joycilene Gracye de Souza Albuquerque Cunha - Formação Livre Psicanálise</v>
      </c>
    </row>
    <row r="3178">
      <c r="A3178" s="390" t="str">
        <f>IFERROR(__xludf.DUMMYFUNCTION("""COMPUTED_VALUE"""),"Joycilene Gracye de Souza Albuquerque Cunha - Formação Livre em Sexologia")</f>
        <v>Joycilene Gracye de Souza Albuquerque Cunha - Formação Livre em Sexologia</v>
      </c>
    </row>
    <row r="3179">
      <c r="A3179" s="390" t="str">
        <f>IFERROR(__xludf.DUMMYFUNCTION("""COMPUTED_VALUE"""),"Fernando Vieira de Moraes - #FPUM Formação Pedagógica em Matemática")</f>
        <v>Fernando Vieira de Moraes - #FPUM Formação Pedagógica em Matemática</v>
      </c>
    </row>
    <row r="3180">
      <c r="A3180" s="390" t="str">
        <f>IFERROR(__xludf.DUMMYFUNCTION("""COMPUTED_VALUE"""),"Fernando Vieira de Moraes - #FPUP-FORMAÇÃO PEDAGÓGICA EM PEDAGOGIA- U")</f>
        <v>Fernando Vieira de Moraes - #FPUP-FORMAÇÃO PEDAGÓGICA EM PEDAGOGIA- U</v>
      </c>
    </row>
    <row r="3181">
      <c r="A3181" s="390" t="str">
        <f>IFERROR(__xludf.DUMMYFUNCTION("""COMPUTED_VALUE"""),"Fernando Vieira de Moraes - Pós-Graduação em TDAH – Transtorno do Déficit de Atenção e Hiperatividade")</f>
        <v>Fernando Vieira de Moraes - Pós-Graduação em TDAH – Transtorno do Déficit de Atenção e Hiperatividade</v>
      </c>
    </row>
    <row r="3182">
      <c r="A3182" s="390" t="str">
        <f>IFERROR(__xludf.DUMMYFUNCTION("""COMPUTED_VALUE"""),"Fernando Vieira de Moraes - Pós-Graduação Educação Especial e Inclusiva")</f>
        <v>Fernando Vieira de Moraes - Pós-Graduação Educação Especial e Inclusiva</v>
      </c>
    </row>
    <row r="3183">
      <c r="A3183" s="390" t="str">
        <f>IFERROR(__xludf.DUMMYFUNCTION("""COMPUTED_VALUE"""),"Fernando Vieira de Moraes - Formação Pedagógica em Matemática")</f>
        <v>Fernando Vieira de Moraes - Formação Pedagógica em Matemática</v>
      </c>
    </row>
    <row r="3184">
      <c r="A3184" s="390" t="str">
        <f>IFERROR(__xludf.DUMMYFUNCTION("""COMPUTED_VALUE"""),"Fernando Vieira de Moraes - #FPP- Formação Pedagógica em Pedagogia R2")</f>
        <v>Fernando Vieira de Moraes - #FPP- Formação Pedagógica em Pedagogia R2</v>
      </c>
    </row>
    <row r="3185">
      <c r="A3185" s="390" t="str">
        <f>IFERROR(__xludf.DUMMYFUNCTION("""COMPUTED_VALUE"""),"Tânia Cardoso de Siqueira - Pós-Graduação em Psicologia do Trânsito")</f>
        <v>Tânia Cardoso de Siqueira - Pós-Graduação em Psicologia do Trânsito</v>
      </c>
    </row>
    <row r="3186">
      <c r="A3186" s="390" t="str">
        <f>IFERROR(__xludf.DUMMYFUNCTION("""COMPUTED_VALUE"""),"Andrezza Morais sales - Pós-Graduação em MBA em Gestão de Pessoas e Talentos")</f>
        <v>Andrezza Morais sales - Pós-Graduação em MBA em Gestão de Pessoas e Talentos</v>
      </c>
    </row>
    <row r="3187">
      <c r="A3187" s="390" t="str">
        <f>IFERROR(__xludf.DUMMYFUNCTION("""COMPUTED_VALUE"""),"Andrezza Morais sales - Pós-Graduação MBA em Gestão Hospitalar")</f>
        <v>Andrezza Morais sales - Pós-Graduação MBA em Gestão Hospitalar</v>
      </c>
    </row>
    <row r="3188">
      <c r="A3188" s="390" t="str">
        <f>IFERROR(__xludf.DUMMYFUNCTION("""COMPUTED_VALUE"""),"Germano da Costa Lemos - Pós-Graduação Alfabetização e Letramento")</f>
        <v>Germano da Costa Lemos - Pós-Graduação Alfabetização e Letramento</v>
      </c>
    </row>
    <row r="3189">
      <c r="A3189" s="390" t="str">
        <f>IFERROR(__xludf.DUMMYFUNCTION("""COMPUTED_VALUE"""),"Germano da Costa Lemos - Pós-Graduação Educação de Jovens e Adultos 600Horas")</f>
        <v>Germano da Costa Lemos - Pós-Graduação Educação de Jovens e Adultos 600Horas</v>
      </c>
    </row>
    <row r="3190">
      <c r="A3190" s="390" t="str">
        <f>IFERROR(__xludf.DUMMYFUNCTION("""COMPUTED_VALUE"""),"Germano da Costa Lemos - Práticas Pedagógicas")</f>
        <v>Germano da Costa Lemos - Práticas Pedagógicas</v>
      </c>
    </row>
    <row r="3191">
      <c r="A3191" s="390" t="str">
        <f>IFERROR(__xludf.DUMMYFUNCTION("""COMPUTED_VALUE"""),"Fagner Amorim dos Santos - #FPUH- Formação Pedagógica em História")</f>
        <v>Fagner Amorim dos Santos - #FPUH- Formação Pedagógica em História</v>
      </c>
    </row>
    <row r="3192">
      <c r="A3192" s="390" t="str">
        <f>IFERROR(__xludf.DUMMYFUNCTION("""COMPUTED_VALUE"""),"Fagner Amorim dos Santos - Formação Pedagógica História")</f>
        <v>Fagner Amorim dos Santos - Formação Pedagógica História</v>
      </c>
    </row>
    <row r="3193">
      <c r="A3193" s="390" t="str">
        <f>IFERROR(__xludf.DUMMYFUNCTION("""COMPUTED_VALUE"""),"Cecília Micaela de Carvalho Silva - #FPULPI- Formação Pedagógica em Letras – Português e Inglês")</f>
        <v>Cecília Micaela de Carvalho Silva - #FPULPI- Formação Pedagógica em Letras – Português e Inglês</v>
      </c>
    </row>
    <row r="3194">
      <c r="A3194" s="390" t="str">
        <f>IFERROR(__xludf.DUMMYFUNCTION("""COMPUTED_VALUE"""),"EMMANOEL MOREIRA LOPES - #SLMF - Segunda Licenciatura em Música 1320Horas")</f>
        <v>EMMANOEL MOREIRA LOPES - #SLMF - Segunda Licenciatura em Música 1320Horas</v>
      </c>
    </row>
    <row r="3195">
      <c r="A3195" s="390" t="str">
        <f>IFERROR(__xludf.DUMMYFUNCTION("""COMPUTED_VALUE"""),"Jessé Ribeiro da Silva - Pós-Graduação em Educação Musical")</f>
        <v>Jessé Ribeiro da Silva - Pós-Graduação em Educação Musical</v>
      </c>
    </row>
    <row r="3196">
      <c r="A3196" s="390" t="str">
        <f>IFERROR(__xludf.DUMMYFUNCTION("""COMPUTED_VALUE"""),"Daniela Davis-Becker - Pós-Graduação em Transtornos e Problemas na Aprendizagem")</f>
        <v>Daniela Davis-Becker - Pós-Graduação em Transtornos e Problemas na Aprendizagem</v>
      </c>
    </row>
    <row r="3197">
      <c r="A3197" s="390" t="str">
        <f>IFERROR(__xludf.DUMMYFUNCTION("""COMPUTED_VALUE"""),"Daniela Davis-Becker - Pós-Graduação Neurociência e Aprendizagem")</f>
        <v>Daniela Davis-Becker - Pós-Graduação Neurociência e Aprendizagem</v>
      </c>
    </row>
    <row r="3198">
      <c r="A3198" s="390" t="str">
        <f>IFERROR(__xludf.DUMMYFUNCTION("""COMPUTED_VALUE"""),"Brunna Monique Ferreira Prado Morais - Formação Livre Psicanálise")</f>
        <v>Brunna Monique Ferreira Prado Morais - Formação Livre Psicanálise</v>
      </c>
    </row>
    <row r="3199">
      <c r="A3199" s="390" t="str">
        <f>IFERROR(__xludf.DUMMYFUNCTION("""COMPUTED_VALUE"""),"Joilze da Anunciação Pereira - RADIANTE - Pós-Graduação em Libras")</f>
        <v>Joilze da Anunciação Pereira - RADIANTE - Pós-Graduação em Libras</v>
      </c>
    </row>
    <row r="3200">
      <c r="A3200" s="390" t="str">
        <f>IFERROR(__xludf.DUMMYFUNCTION("""COMPUTED_VALUE"""),"Joilze da Anunciação Pereira - RADIANTE - Pós-Graduação Psicopedagogia e Educação Especial 2024")</f>
        <v>Joilze da Anunciação Pereira - RADIANTE - Pós-Graduação Psicopedagogia e Educação Especial 2024</v>
      </c>
    </row>
    <row r="3201">
      <c r="A3201" s="390" t="str">
        <f>IFERROR(__xludf.DUMMYFUNCTION("""COMPUTED_VALUE"""),"Ivone Aparecida de Faria - #SLUG - SEGUNDA LICENCIATURA EM GEOGRAFIA")</f>
        <v>Ivone Aparecida de Faria - #SLUG - SEGUNDA LICENCIATURA EM GEOGRAFIA</v>
      </c>
    </row>
    <row r="3202">
      <c r="A3202" s="390" t="str">
        <f>IFERROR(__xludf.DUMMYFUNCTION("""COMPUTED_VALUE"""),"Ivone Aparecida de Faria - #SLUH- Segunda Licenciatura em História")</f>
        <v>Ivone Aparecida de Faria - #SLUH- Segunda Licenciatura em História</v>
      </c>
    </row>
    <row r="3203">
      <c r="A3203" s="390" t="str">
        <f>IFERROR(__xludf.DUMMYFUNCTION("""COMPUTED_VALUE"""),"Gilson Araujo - Pós-Graduação em Psicanálise")</f>
        <v>Gilson Araujo - Pós-Graduação em Psicanálise</v>
      </c>
    </row>
    <row r="3204">
      <c r="A3204" s="390" t="str">
        <f>IFERROR(__xludf.DUMMYFUNCTION("""COMPUTED_VALUE"""),"Rejany Almeida Cruz - Formação Livre Psicanálise")</f>
        <v>Rejany Almeida Cruz - Formação Livre Psicanálise</v>
      </c>
    </row>
    <row r="3205">
      <c r="A3205" s="390" t="str">
        <f>IFERROR(__xludf.DUMMYFUNCTION("""COMPUTED_VALUE"""),"Bruna Caroline Alpi Souza Pinto - Pós-Graduação em Autismo 1100 Horas")</f>
        <v>Bruna Caroline Alpi Souza Pinto - Pós-Graduação em Autismo 1100 Horas</v>
      </c>
    </row>
    <row r="3206">
      <c r="A3206" s="390" t="str">
        <f>IFERROR(__xludf.DUMMYFUNCTION("""COMPUTED_VALUE"""),"Maria Edineide Dantas de Sousa - Pós-Graduação Educação Especial e Inclusiva")</f>
        <v>Maria Edineide Dantas de Sousa - Pós-Graduação Educação Especial e Inclusiva</v>
      </c>
    </row>
    <row r="3207">
      <c r="A3207" s="390" t="str">
        <f>IFERROR(__xludf.DUMMYFUNCTION("""COMPUTED_VALUE"""),"Yasmim Figueira Ferreira - #FPUP-FORMAÇÃO PEDAGÓGICA EM PEDAGOGIA- U")</f>
        <v>Yasmim Figueira Ferreira - #FPUP-FORMAÇÃO PEDAGÓGICA EM PEDAGOGIA- U</v>
      </c>
    </row>
    <row r="3208">
      <c r="A3208" s="390" t="str">
        <f>IFERROR(__xludf.DUMMYFUNCTION("""COMPUTED_VALUE"""),"Yasmim Figueira Ferreira - Pós-Graduação em Educação Especial 720Horas")</f>
        <v>Yasmim Figueira Ferreira - Pós-Graduação em Educação Especial 720Horas</v>
      </c>
    </row>
    <row r="3209">
      <c r="A3209" s="390" t="str">
        <f>IFERROR(__xludf.DUMMYFUNCTION("""COMPUTED_VALUE"""),"Ludymilla Aparecida Mendes Ribeiro - #SLUEE - SEGUNDA LICENCIATURA EM EDUCAÇÃO ESPECIAL")</f>
        <v>Ludymilla Aparecida Mendes Ribeiro - #SLUEE - SEGUNDA LICENCIATURA EM EDUCAÇÃO ESPECIAL</v>
      </c>
    </row>
    <row r="3210">
      <c r="A3210" s="390" t="str">
        <f>IFERROR(__xludf.DUMMYFUNCTION("""COMPUTED_VALUE"""),"Maricelia de Oliveira Muniz Sampaio - Pós-Graduação em Psicanálise")</f>
        <v>Maricelia de Oliveira Muniz Sampaio - Pós-Graduação em Psicanálise</v>
      </c>
    </row>
    <row r="3211">
      <c r="A3211" s="390" t="str">
        <f>IFERROR(__xludf.DUMMYFUNCTION("""COMPUTED_VALUE"""),"Adriana Silva Pinheiro - Pós-Graduação em Sexologia")</f>
        <v>Adriana Silva Pinheiro - Pós-Graduação em Sexologia</v>
      </c>
    </row>
    <row r="3212">
      <c r="A3212" s="390" t="str">
        <f>IFERROR(__xludf.DUMMYFUNCTION("""COMPUTED_VALUE"""),"Janeide Gonçalves da Silva Souza - Pós-Graduação em Psicanálise")</f>
        <v>Janeide Gonçalves da Silva Souza - Pós-Graduação em Psicanálise</v>
      </c>
    </row>
    <row r="3213">
      <c r="A3213" s="390" t="str">
        <f>IFERROR(__xludf.DUMMYFUNCTION("""COMPUTED_VALUE"""),"Cristiano José da Silva - Pós-Graduação em Psicanálise")</f>
        <v>Cristiano José da Silva - Pós-Graduação em Psicanálise</v>
      </c>
    </row>
    <row r="3214">
      <c r="A3214" s="390" t="str">
        <f>IFERROR(__xludf.DUMMYFUNCTION("""COMPUTED_VALUE"""),"David Scanavini - #SLMF - Segunda Licenciatura em Música 1320Horas")</f>
        <v>David Scanavini - #SLMF - Segunda Licenciatura em Música 1320Horas</v>
      </c>
    </row>
    <row r="3215">
      <c r="A3215" s="390" t="str">
        <f>IFERROR(__xludf.DUMMYFUNCTION("""COMPUTED_VALUE"""),"Antonio da Silva Paixão - Pós-Graduação em Psicanálise")</f>
        <v>Antonio da Silva Paixão - Pós-Graduação em Psicanálise</v>
      </c>
    </row>
    <row r="3216">
      <c r="A3216" s="390" t="str">
        <f>IFERROR(__xludf.DUMMYFUNCTION("""COMPUTED_VALUE"""),"Quezia Paulino da Silva - Pós-Graduação em Sexologia")</f>
        <v>Quezia Paulino da Silva - Pós-Graduação em Sexologia</v>
      </c>
    </row>
    <row r="3217">
      <c r="A3217" s="390" t="str">
        <f>IFERROR(__xludf.DUMMYFUNCTION("""COMPUTED_VALUE"""),"Quezia Paulino da Silva - PÓS-GRADUAÇÃO EM PSICANÁLISE - 2024")</f>
        <v>Quezia Paulino da Silva - PÓS-GRADUAÇÃO EM PSICANÁLISE - 2024</v>
      </c>
    </row>
    <row r="3218">
      <c r="A3218" s="390" t="str">
        <f>IFERROR(__xludf.DUMMYFUNCTION("""COMPUTED_VALUE"""),"Renata Gomes da Silva Louvain - Capacitação em Sexologia")</f>
        <v>Renata Gomes da Silva Louvain - Capacitação em Sexologia</v>
      </c>
    </row>
    <row r="3219">
      <c r="A3219" s="390" t="str">
        <f>IFERROR(__xludf.DUMMYFUNCTION("""COMPUTED_VALUE"""),"Renata Gomes da Silva Louvain - Formação Livre em Sexologia")</f>
        <v>Renata Gomes da Silva Louvain - Formação Livre em Sexologia</v>
      </c>
    </row>
    <row r="3220">
      <c r="A3220" s="390" t="str">
        <f>IFERROR(__xludf.DUMMYFUNCTION("""COMPUTED_VALUE"""),"Fabíola Neto Morais dos Santos - RADIANTE - Pós-Graduação Educação Especial e Inclusiva")</f>
        <v>Fabíola Neto Morais dos Santos - RADIANTE - Pós-Graduação Educação Especial e Inclusiva</v>
      </c>
    </row>
    <row r="3221">
      <c r="A3221" s="390" t="str">
        <f>IFERROR(__xludf.DUMMYFUNCTION("""COMPUTED_VALUE"""),"Fabíola Neto Morais dos Santos - RADIANTE - Pós-Graduação Educação Especial e Inclusiva")</f>
        <v>Fabíola Neto Morais dos Santos - RADIANTE - Pós-Graduação Educação Especial e Inclusiva</v>
      </c>
    </row>
    <row r="3222">
      <c r="A3222" s="390" t="str">
        <f>IFERROR(__xludf.DUMMYFUNCTION("""COMPUTED_VALUE"""),"Viviane Cristina das Graças - Pós-Graduação em Psicanálise")</f>
        <v>Viviane Cristina das Graças - Pós-Graduação em Psicanálise</v>
      </c>
    </row>
    <row r="3223">
      <c r="A3223" s="390" t="str">
        <f>IFERROR(__xludf.DUMMYFUNCTION("""COMPUTED_VALUE"""),"Priscila Carmelina Caria Silva - Pós-Graduação em Psicanálise")</f>
        <v>Priscila Carmelina Caria Silva - Pós-Graduação em Psicanálise</v>
      </c>
    </row>
    <row r="3224">
      <c r="A3224" s="390" t="str">
        <f>IFERROR(__xludf.DUMMYFUNCTION("""COMPUTED_VALUE"""),"Priscila Carmelina Caria Silva - Pós-Graduação em Sexologia")</f>
        <v>Priscila Carmelina Caria Silva - Pós-Graduação em Sexologia</v>
      </c>
    </row>
    <row r="3225">
      <c r="A3225" s="390" t="str">
        <f>IFERROR(__xludf.DUMMYFUNCTION("""COMPUTED_VALUE"""),"Pedro Batista de Andrade - #SLMF - Segunda Licenciatura em Música 1320Horas")</f>
        <v>Pedro Batista de Andrade - #SLMF - Segunda Licenciatura em Música 1320Horas</v>
      </c>
    </row>
    <row r="3226">
      <c r="A3226" s="390" t="str">
        <f>IFERROR(__xludf.DUMMYFUNCTION("""COMPUTED_VALUE"""),"Pedro Batista de Andrade - #SLHA - Segunda Licenciatura em História")</f>
        <v>Pedro Batista de Andrade - #SLHA - Segunda Licenciatura em História</v>
      </c>
    </row>
    <row r="3227">
      <c r="A3227" s="390" t="str">
        <f>IFERROR(__xludf.DUMMYFUNCTION("""COMPUTED_VALUE"""),"LUZINETE IZIDORO DA SILVA FERNANDES RODRIGUES - #FPUP-FORMAÇÃO PEDAGÓGICA EM PEDAGOGIA- U")</f>
        <v>LUZINETE IZIDORO DA SILVA FERNANDES RODRIGUES - #FPUP-FORMAÇÃO PEDAGÓGICA EM PEDAGOGIA- U</v>
      </c>
    </row>
    <row r="3228">
      <c r="A3228" s="390" t="str">
        <f>IFERROR(__xludf.DUMMYFUNCTION("""COMPUTED_VALUE"""),"Elaine Nunes Rodrigues - #SLPT- Segunda Licenciatura em Pedagogia")</f>
        <v>Elaine Nunes Rodrigues - #SLPT- Segunda Licenciatura em Pedagogia</v>
      </c>
    </row>
    <row r="3229">
      <c r="A3229" s="390" t="str">
        <f>IFERROR(__xludf.DUMMYFUNCTION("""COMPUTED_VALUE"""),"dffsdf - Pós-Graduação em Arteterapia")</f>
        <v>dffsdf - Pós-Graduação em Arteterapia</v>
      </c>
    </row>
    <row r="3230">
      <c r="A3230" s="390" t="str">
        <f>IFERROR(__xludf.DUMMYFUNCTION("""COMPUTED_VALUE"""),"Marli de Freitas Silva - #SLLLA - Segunda Licenciatura em Letras - Libras")</f>
        <v>Marli de Freitas Silva - #SLLLA - Segunda Licenciatura em Letras - Libras</v>
      </c>
    </row>
    <row r="3231">
      <c r="A3231" s="390" t="str">
        <f>IFERROR(__xludf.DUMMYFUNCTION("""COMPUTED_VALUE"""),"Deivid Rafael dos Anjos - #SLIA - Segunda Licenciatura Letras - Inglês")</f>
        <v>Deivid Rafael dos Anjos - #SLIA - Segunda Licenciatura Letras - Inglês</v>
      </c>
    </row>
    <row r="3232">
      <c r="A3232" s="390" t="str">
        <f>IFERROR(__xludf.DUMMYFUNCTION("""COMPUTED_VALUE"""),"Rosemeire Aparecida Salvarani Bueno - RADIANTE - Pós-Graduação em Autismo 1100 Horas")</f>
        <v>Rosemeire Aparecida Salvarani Bueno - RADIANTE - Pós-Graduação em Autismo 1100 Horas</v>
      </c>
    </row>
    <row r="3233">
      <c r="A3233" s="390" t="str">
        <f>IFERROR(__xludf.DUMMYFUNCTION("""COMPUTED_VALUE"""),"Dirle Monteiro Alves de Souza - Pós-Graduação Alfabetização e Letramento")</f>
        <v>Dirle Monteiro Alves de Souza - Pós-Graduação Alfabetização e Letramento</v>
      </c>
    </row>
    <row r="3234">
      <c r="A3234" s="390" t="str">
        <f>IFERROR(__xludf.DUMMYFUNCTION("""COMPUTED_VALUE"""),"Dirle Monteiro Alves de Souza - Pós-Graduação Educação Especial e Inclusiva")</f>
        <v>Dirle Monteiro Alves de Souza - Pós-Graduação Educação Especial e Inclusiva</v>
      </c>
    </row>
    <row r="3235">
      <c r="A3235" s="390" t="str">
        <f>IFERROR(__xludf.DUMMYFUNCTION("""COMPUTED_VALUE"""),"Jose Fabiano Ascendino - Pós-Graduação em Psicanálise")</f>
        <v>Jose Fabiano Ascendino - Pós-Graduação em Psicanálise</v>
      </c>
    </row>
    <row r="3236">
      <c r="A3236" s="390" t="str">
        <f>IFERROR(__xludf.DUMMYFUNCTION("""COMPUTED_VALUE"""),"Jose Fabiano Ascendino - Pós-Graduação em Direito Militar 520h")</f>
        <v>Jose Fabiano Ascendino - Pós-Graduação em Direito Militar 520h</v>
      </c>
    </row>
    <row r="3237">
      <c r="A3237" s="390" t="str">
        <f>IFERROR(__xludf.DUMMYFUNCTION("""COMPUTED_VALUE"""),"Elizabete Lima Sousa - Pós-Graduação em Neuropsicopedagogia Institucional, Clínica e Hospitalar 850h")</f>
        <v>Elizabete Lima Sousa - Pós-Graduação em Neuropsicopedagogia Institucional, Clínica e Hospitalar 850h</v>
      </c>
    </row>
    <row r="3238">
      <c r="A3238" s="390" t="str">
        <f>IFERROR(__xludf.DUMMYFUNCTION("""COMPUTED_VALUE"""),"Gabriele Pedro da Silva - #SLUP - SEGUNDA LICENCIATURA EM PEDAGOGIA")</f>
        <v>Gabriele Pedro da Silva - #SLUP - SEGUNDA LICENCIATURA EM PEDAGOGIA</v>
      </c>
    </row>
    <row r="3239">
      <c r="A3239" s="390" t="str">
        <f>IFERROR(__xludf.DUMMYFUNCTION("""COMPUTED_VALUE"""),"Denys Wilton Ferreira Martins - #SLPT- Segunda Licenciatura em Pedagogia")</f>
        <v>Denys Wilton Ferreira Martins - #SLPT- Segunda Licenciatura em Pedagogia</v>
      </c>
    </row>
    <row r="3240">
      <c r="A3240" s="390" t="str">
        <f>IFERROR(__xludf.DUMMYFUNCTION("""COMPUTED_VALUE"""),"Denys Wilton Ferreira Martins - Pós-graduação em Gestão Escolar Integradora com Ênfase em Supervisão, Orientação, Administração e Inspeção 740Horas")</f>
        <v>Denys Wilton Ferreira Martins - Pós-graduação em Gestão Escolar Integradora com Ênfase em Supervisão, Orientação, Administração e Inspeção 740Horas</v>
      </c>
    </row>
    <row r="3241">
      <c r="A3241" s="390" t="str">
        <f>IFERROR(__xludf.DUMMYFUNCTION("""COMPUTED_VALUE"""),"Jario Batista De Souza - Formação Livre em Música")</f>
        <v>Jario Batista De Souza - Formação Livre em Música</v>
      </c>
    </row>
    <row r="3242">
      <c r="A3242" s="390" t="str">
        <f>IFERROR(__xludf.DUMMYFUNCTION("""COMPUTED_VALUE"""),"Márcia Pires de Almeida Santos - #SLUP - SEGUNDA LICENCIATURA EM PEDAGOGIA")</f>
        <v>Márcia Pires de Almeida Santos - #SLUP - SEGUNDA LICENCIATURA EM PEDAGOGIA</v>
      </c>
    </row>
    <row r="3243">
      <c r="A3243" s="390" t="str">
        <f>IFERROR(__xludf.DUMMYFUNCTION("""COMPUTED_VALUE"""),"Márcia Pires de Almeida Santos - #SLPA- Segunda Licenciatura em Pedagogia 01")</f>
        <v>Márcia Pires de Almeida Santos - #SLPA- Segunda Licenciatura em Pedagogia 01</v>
      </c>
    </row>
    <row r="3244">
      <c r="A3244" s="390" t="str">
        <f>IFERROR(__xludf.DUMMYFUNCTION("""COMPUTED_VALUE"""),"Izaura Aparecida Ferreira - #SLGA - Segunda Licenciatura em Geografia")</f>
        <v>Izaura Aparecida Ferreira - #SLGA - Segunda Licenciatura em Geografia</v>
      </c>
    </row>
    <row r="3245">
      <c r="A3245" s="390" t="str">
        <f>IFERROR(__xludf.DUMMYFUNCTION("""COMPUTED_VALUE"""),"Izaura Aparecida Ferreira - #SLPT- Segunda Licenciatura em Pedagogia")</f>
        <v>Izaura Aparecida Ferreira - #SLPT- Segunda Licenciatura em Pedagogia</v>
      </c>
    </row>
    <row r="3246">
      <c r="A3246" s="390" t="str">
        <f>IFERROR(__xludf.DUMMYFUNCTION("""COMPUTED_VALUE"""),"Marilene Souza da Silva - Pós-Graduação em Psicanálise")</f>
        <v>Marilene Souza da Silva - Pós-Graduação em Psicanálise</v>
      </c>
    </row>
    <row r="3247">
      <c r="A3247" s="390" t="str">
        <f>IFERROR(__xludf.DUMMYFUNCTION("""COMPUTED_VALUE"""),"Christianno Ikemiyashiro - #SLUEF - Segunda Licenciatura em Educação Física")</f>
        <v>Christianno Ikemiyashiro - #SLUEF - Segunda Licenciatura em Educação Física</v>
      </c>
    </row>
    <row r="3248">
      <c r="A3248" s="390" t="str">
        <f>IFERROR(__xludf.DUMMYFUNCTION("""COMPUTED_VALUE"""),"Vanilda Gomes de Oliveira - #SLUPE- Segunda Licenciatura em Letras – Português e Espanhol")</f>
        <v>Vanilda Gomes de Oliveira - #SLUPE- Segunda Licenciatura em Letras – Português e Espanhol</v>
      </c>
    </row>
    <row r="3249">
      <c r="A3249" s="390" t="str">
        <f>IFERROR(__xludf.DUMMYFUNCTION("""COMPUTED_VALUE"""),"Eliane Dias dos Santos - #SLUP - SEGUNDA LICENCIATURA EM PEDAGOGIA")</f>
        <v>Eliane Dias dos Santos - #SLUP - SEGUNDA LICENCIATURA EM PEDAGOGIA</v>
      </c>
    </row>
    <row r="3250">
      <c r="A3250" s="390" t="str">
        <f>IFERROR(__xludf.DUMMYFUNCTION("""COMPUTED_VALUE"""),"Eliane Dias dos Santos - #SLPT- Segunda Licenciatura em Pedagogia")</f>
        <v>Eliane Dias dos Santos - #SLPT- Segunda Licenciatura em Pedagogia</v>
      </c>
    </row>
    <row r="3251">
      <c r="A3251" s="390" t="str">
        <f>IFERROR(__xludf.DUMMYFUNCTION("""COMPUTED_VALUE"""),"Miltes Elaine Pereira - #SLUP - SEGUNDA LICENCIATURA EM PEDAGOGIA")</f>
        <v>Miltes Elaine Pereira - #SLUP - SEGUNDA LICENCIATURA EM PEDAGOGIA</v>
      </c>
    </row>
    <row r="3252">
      <c r="A3252" s="390" t="str">
        <f>IFERROR(__xludf.DUMMYFUNCTION("""COMPUTED_VALUE"""),"Ivani Mendes Soares da Silva - FORMAÇÃO PEDAGÓGICA EM GEOGRAFIA- U")</f>
        <v>Ivani Mendes Soares da Silva - FORMAÇÃO PEDAGÓGICA EM GEOGRAFIA- U</v>
      </c>
    </row>
    <row r="3253">
      <c r="A3253" s="390" t="str">
        <f>IFERROR(__xludf.DUMMYFUNCTION("""COMPUTED_VALUE"""),"Ivani Mendes Soares da Silva - #SLUG - SEGUNDA LICENCIATURA EM GEOGRAFIA")</f>
        <v>Ivani Mendes Soares da Silva - #SLUG - SEGUNDA LICENCIATURA EM GEOGRAFIA</v>
      </c>
    </row>
    <row r="3254">
      <c r="A3254" s="390" t="str">
        <f>IFERROR(__xludf.DUMMYFUNCTION("""COMPUTED_VALUE"""),"Ivani Mendes Soares da Silva - SEGUNDA LICENCIATURA EM EDUCAÇÃO ESPECIAL - 2024")</f>
        <v>Ivani Mendes Soares da Silva - SEGUNDA LICENCIATURA EM EDUCAÇÃO ESPECIAL - 2024</v>
      </c>
    </row>
    <row r="3255">
      <c r="A3255" s="390" t="str">
        <f>IFERROR(__xludf.DUMMYFUNCTION("""COMPUTED_VALUE"""),"Adelino Pinto Ferreira - Formação Livre Psicanálise")</f>
        <v>Adelino Pinto Ferreira - Formação Livre Psicanálise</v>
      </c>
    </row>
    <row r="3256">
      <c r="A3256" s="390" t="str">
        <f>IFERROR(__xludf.DUMMYFUNCTION("""COMPUTED_VALUE"""),"Moacir Emmanoel da Silva CPF:08054663714 - #FPMF- Formação Pedagógica em Música 1200Horas")</f>
        <v>Moacir Emmanoel da Silva CPF:08054663714 - #FPMF- Formação Pedagógica em Música 1200Horas</v>
      </c>
    </row>
    <row r="3257">
      <c r="A3257" s="390" t="str">
        <f>IFERROR(__xludf.DUMMYFUNCTION("""COMPUTED_VALUE"""),"Jeneffer Vilela de Souza - #FPP- Formação Pedagógica em Pedagogia R2")</f>
        <v>Jeneffer Vilela de Souza - #FPP- Formação Pedagógica em Pedagogia R2</v>
      </c>
    </row>
    <row r="3258">
      <c r="A3258" s="390" t="str">
        <f>IFERROR(__xludf.DUMMYFUNCTION("""COMPUTED_VALUE"""),"Jeneffer Vilela de Souza - Pós-Graduação Psicopedagogia Clínica, Institucional e Hospitalar")</f>
        <v>Jeneffer Vilela de Souza - Pós-Graduação Psicopedagogia Clínica, Institucional e Hospitalar</v>
      </c>
    </row>
    <row r="3259">
      <c r="A3259" s="390" t="str">
        <f>IFERROR(__xludf.DUMMYFUNCTION("""COMPUTED_VALUE"""),"Jeneffer Vilela de Souza - Pós-Graduação Psicopedagogia Institucional")</f>
        <v>Jeneffer Vilela de Souza - Pós-Graduação Psicopedagogia Institucional</v>
      </c>
    </row>
    <row r="3260">
      <c r="A3260" s="390" t="str">
        <f>IFERROR(__xludf.DUMMYFUNCTION("""COMPUTED_VALUE"""),"Jeneffer Vilela de Souza - Pós-Graduação em Coordenação e Orientação Escolar")</f>
        <v>Jeneffer Vilela de Souza - Pós-Graduação em Coordenação e Orientação Escolar</v>
      </c>
    </row>
    <row r="3261">
      <c r="A3261" s="390" t="str">
        <f>IFERROR(__xludf.DUMMYFUNCTION("""COMPUTED_VALUE"""),"Karla Batalha Sena - RADIANTE - Pós-Graduação em Atendimento Educacional Especializado Com Ênfase Em Educação Especial e Inclusiva")</f>
        <v>Karla Batalha Sena - RADIANTE - Pós-Graduação em Atendimento Educacional Especializado Com Ênfase Em Educação Especial e Inclusiva</v>
      </c>
    </row>
    <row r="3262">
      <c r="A3262" s="390" t="str">
        <f>IFERROR(__xludf.DUMMYFUNCTION("""COMPUTED_VALUE"""),"Micheli Cordeiro da Rocha Weigert - Formação Livre Psicanálise")</f>
        <v>Micheli Cordeiro da Rocha Weigert - Formação Livre Psicanálise</v>
      </c>
    </row>
    <row r="3263">
      <c r="A3263" s="390" t="str">
        <f>IFERROR(__xludf.DUMMYFUNCTION("""COMPUTED_VALUE"""),"Raquel Dos Santos Freitas - Formação Livre Psicanálise")</f>
        <v>Raquel Dos Santos Freitas - Formação Livre Psicanálise</v>
      </c>
    </row>
    <row r="3264">
      <c r="A3264" s="390" t="str">
        <f>IFERROR(__xludf.DUMMYFUNCTION("""COMPUTED_VALUE"""),"Raquel Dos Santos Freitas - Formação Livre em Psicanálise-2022")</f>
        <v>Raquel Dos Santos Freitas - Formação Livre em Psicanálise-2022</v>
      </c>
    </row>
    <row r="3265">
      <c r="A3265" s="390" t="str">
        <f>IFERROR(__xludf.DUMMYFUNCTION("""COMPUTED_VALUE"""),"Jessica Lorrana Alves Batista Vieira - #SLUP - SEGUNDA LICENCIATURA EM PEDAGOGIA")</f>
        <v>Jessica Lorrana Alves Batista Vieira - #SLUP - SEGUNDA LICENCIATURA EM PEDAGOGIA</v>
      </c>
    </row>
    <row r="3266">
      <c r="A3266" s="390" t="str">
        <f>IFERROR(__xludf.DUMMYFUNCTION("""COMPUTED_VALUE"""),"Helton Barbosa Damiani - Pós-Graduação em Ensino Religioso")</f>
        <v>Helton Barbosa Damiani - Pós-Graduação em Ensino Religioso</v>
      </c>
    </row>
    <row r="3267">
      <c r="A3267" s="390" t="str">
        <f>IFERROR(__xludf.DUMMYFUNCTION("""COMPUTED_VALUE"""),"Regina Dos Passos Venancio - #SLUA- Segunda Licenciatura em Artes Visuais")</f>
        <v>Regina Dos Passos Venancio - #SLUA- Segunda Licenciatura em Artes Visuais</v>
      </c>
    </row>
    <row r="3268">
      <c r="A3268" s="390" t="str">
        <f>IFERROR(__xludf.DUMMYFUNCTION("""COMPUTED_VALUE"""),"Regina Dos Passos Venancio - Pós-Graduação Psicopedagogia Institucional")</f>
        <v>Regina Dos Passos Venancio - Pós-Graduação Psicopedagogia Institucional</v>
      </c>
    </row>
    <row r="3269">
      <c r="A3269" s="390" t="str">
        <f>IFERROR(__xludf.DUMMYFUNCTION("""COMPUTED_VALUE"""),"Regina Dos Passos Venancio - Pós-Graduação em Psicomotricidade")</f>
        <v>Regina Dos Passos Venancio - Pós-Graduação em Psicomotricidade</v>
      </c>
    </row>
    <row r="3270">
      <c r="A3270" s="390" t="str">
        <f>IFERROR(__xludf.DUMMYFUNCTION("""COMPUTED_VALUE"""),"Maria de Lourdes Gonçalves Lopes - Pós-Graduação em Psicopedagogia Escolar")</f>
        <v>Maria de Lourdes Gonçalves Lopes - Pós-Graduação em Psicopedagogia Escolar</v>
      </c>
    </row>
    <row r="3271">
      <c r="A3271" s="390" t="str">
        <f>IFERROR(__xludf.DUMMYFUNCTION("""COMPUTED_VALUE"""),"Maria de Lourdes Gonçalves Lopes - Pós-Graduação Neuroeducação")</f>
        <v>Maria de Lourdes Gonçalves Lopes - Pós-Graduação Neuroeducação</v>
      </c>
    </row>
    <row r="3272">
      <c r="A3272" s="390" t="str">
        <f>IFERROR(__xludf.DUMMYFUNCTION("""COMPUTED_VALUE"""),"Ana Paula Magro da Silva - Capacitação em Psicologia Familiar")</f>
        <v>Ana Paula Magro da Silva - Capacitação em Psicologia Familiar</v>
      </c>
    </row>
    <row r="3273">
      <c r="A3273" s="390" t="str">
        <f>IFERROR(__xludf.DUMMYFUNCTION("""COMPUTED_VALUE"""),"Ana Paula Magro da Silva - NOVO-Pós-Graduação em Psicanálise 800 Horas")</f>
        <v>Ana Paula Magro da Silva - NOVO-Pós-Graduação em Psicanálise 800 Horas</v>
      </c>
    </row>
    <row r="3274">
      <c r="A3274" s="390" t="str">
        <f>IFERROR(__xludf.DUMMYFUNCTION("""COMPUTED_VALUE"""),"Joana Darc Julio do Nascimento - Pós-Graduação em Neuropsicologia Clínica")</f>
        <v>Joana Darc Julio do Nascimento - Pós-Graduação em Neuropsicologia Clínica</v>
      </c>
    </row>
    <row r="3275">
      <c r="A3275" s="390" t="str">
        <f>IFERROR(__xludf.DUMMYFUNCTION("""COMPUTED_VALUE"""),"Mary Hestela Pedrozo - Pós-Graduação em Sexologia")</f>
        <v>Mary Hestela Pedrozo - Pós-Graduação em Sexologia</v>
      </c>
    </row>
    <row r="3276">
      <c r="A3276" s="390" t="str">
        <f>IFERROR(__xludf.DUMMYFUNCTION("""COMPUTED_VALUE"""),"Jacilma Lopes Carneiro - Pós-Graduação em Sexologia")</f>
        <v>Jacilma Lopes Carneiro - Pós-Graduação em Sexologia</v>
      </c>
    </row>
    <row r="3277">
      <c r="A3277" s="390" t="str">
        <f>IFERROR(__xludf.DUMMYFUNCTION("""COMPUTED_VALUE"""),"Everlaine Taiza Margarida - Pós-Graduação em Neuropsicologia")</f>
        <v>Everlaine Taiza Margarida - Pós-Graduação em Neuropsicologia</v>
      </c>
    </row>
    <row r="3278">
      <c r="A3278" s="390" t="str">
        <f>IFERROR(__xludf.DUMMYFUNCTION("""COMPUTED_VALUE"""),"Leda Maria Miranda Duarte - Pós-graduação em Neuropsicologia")</f>
        <v>Leda Maria Miranda Duarte - Pós-graduação em Neuropsicologia</v>
      </c>
    </row>
    <row r="3279">
      <c r="A3279" s="390" t="str">
        <f>IFERROR(__xludf.DUMMYFUNCTION("""COMPUTED_VALUE"""),"Berenice Araújo dos Santos Silva - Pós-Graduação em Ensino de História e Geografia")</f>
        <v>Berenice Araújo dos Santos Silva - Pós-Graduação em Ensino de História e Geografia</v>
      </c>
    </row>
    <row r="3280">
      <c r="A3280" s="390" t="str">
        <f>IFERROR(__xludf.DUMMYFUNCTION("""COMPUTED_VALUE"""),"Berenice Araújo dos Santos Silva - Pós-Graduação em Educação Especial e Inclusiva com Ênfase em Defiência Visual, Auditiva e Surdocegueira")</f>
        <v>Berenice Araújo dos Santos Silva - Pós-Graduação em Educação Especial e Inclusiva com Ênfase em Defiência Visual, Auditiva e Surdocegueira</v>
      </c>
    </row>
    <row r="3281">
      <c r="A3281" s="390" t="str">
        <f>IFERROR(__xludf.DUMMYFUNCTION("""COMPUTED_VALUE"""),"Andrea Edna Da Silva Martins - #SLLPA - Segunda Licenciatura Letras - Português")</f>
        <v>Andrea Edna Da Silva Martins - #SLLPA - Segunda Licenciatura Letras - Português</v>
      </c>
    </row>
    <row r="3282">
      <c r="A3282" s="390" t="str">
        <f>IFERROR(__xludf.DUMMYFUNCTION("""COMPUTED_VALUE"""),"Leonardo Gomes De Oliveira - Formação pedagógica Letras - Português")</f>
        <v>Leonardo Gomes De Oliveira - Formação pedagógica Letras - Português</v>
      </c>
    </row>
    <row r="3283">
      <c r="A3283" s="390" t="str">
        <f>IFERROR(__xludf.DUMMYFUNCTION("""COMPUTED_VALUE"""),"Leonardo Gomes De Oliveira - #FPULPI- Formação Pedagógica em Letras – Português e Inglês")</f>
        <v>Leonardo Gomes De Oliveira - #FPULPI- Formação Pedagógica em Letras – Português e Inglês</v>
      </c>
    </row>
    <row r="3284">
      <c r="A3284" s="390" t="str">
        <f>IFERROR(__xludf.DUMMYFUNCTION("""COMPUTED_VALUE"""),"EMERSON LUDGERO RIBEIRO - #FPMF- Formação Pedagógica em Música 1200Horas")</f>
        <v>EMERSON LUDGERO RIBEIRO - #FPMF- Formação Pedagógica em Música 1200Horas</v>
      </c>
    </row>
    <row r="3285">
      <c r="A3285" s="390" t="str">
        <f>IFERROR(__xludf.DUMMYFUNCTION("""COMPUTED_VALUE"""),"EMERSON LUDGERO RIBEIRO - Capacitação em Direito Processual Penal")</f>
        <v>EMERSON LUDGERO RIBEIRO - Capacitação em Direito Processual Penal</v>
      </c>
    </row>
    <row r="3286">
      <c r="A3286" s="390" t="str">
        <f>IFERROR(__xludf.DUMMYFUNCTION("""COMPUTED_VALUE"""),"Ivanilde Conceição Ferreira - Pedagogia para Bacharéis")</f>
        <v>Ivanilde Conceição Ferreira - Pedagogia para Bacharéis</v>
      </c>
    </row>
    <row r="3287">
      <c r="A3287" s="390" t="str">
        <f>IFERROR(__xludf.DUMMYFUNCTION("""COMPUTED_VALUE"""),"Rafael Oliveira Silva - #SLUM - SEGUNDA LICENCIATURA EM MATEMÁTICA")</f>
        <v>Rafael Oliveira Silva - #SLUM - SEGUNDA LICENCIATURA EM MATEMÁTICA</v>
      </c>
    </row>
    <row r="3288">
      <c r="A3288" s="390" t="str">
        <f>IFERROR(__xludf.DUMMYFUNCTION("""COMPUTED_VALUE"""),"Eneias da Silva Viana - Pós-Graduação em Psicanálise")</f>
        <v>Eneias da Silva Viana - Pós-Graduação em Psicanálise</v>
      </c>
    </row>
    <row r="3289">
      <c r="A3289" s="390" t="str">
        <f>IFERROR(__xludf.DUMMYFUNCTION("""COMPUTED_VALUE"""),"Eneias da Silva Viana - Pós-Graduação em Terapia de Casais")</f>
        <v>Eneias da Silva Viana - Pós-Graduação em Terapia de Casais</v>
      </c>
    </row>
    <row r="3290">
      <c r="A3290" s="390" t="str">
        <f>IFERROR(__xludf.DUMMYFUNCTION("""COMPUTED_VALUE"""),"Rosaly Xavier Rodrigues Amaral - Formação Livre Psicanálise")</f>
        <v>Rosaly Xavier Rodrigues Amaral - Formação Livre Psicanálise</v>
      </c>
    </row>
    <row r="3291">
      <c r="A3291" s="390" t="str">
        <f>IFERROR(__xludf.DUMMYFUNCTION("""COMPUTED_VALUE"""),"Rosaly Xavier Rodrigues Amaral - Formação Livre em Psicanálise-2022")</f>
        <v>Rosaly Xavier Rodrigues Amaral - Formação Livre em Psicanálise-2022</v>
      </c>
    </row>
    <row r="3292">
      <c r="A3292" s="390" t="str">
        <f>IFERROR(__xludf.DUMMYFUNCTION("""COMPUTED_VALUE"""),"Rubens Pereira de Souza Silva - Pós-Graduação em Ciências de Dados")</f>
        <v>Rubens Pereira de Souza Silva - Pós-Graduação em Ciências de Dados</v>
      </c>
    </row>
    <row r="3293">
      <c r="A3293" s="390" t="str">
        <f>IFERROR(__xludf.DUMMYFUNCTION("""COMPUTED_VALUE"""),"Rubens Pereira de Souza Silva - #FPMF- Formação Pedagógica em Música 1200Horas")</f>
        <v>Rubens Pereira de Souza Silva - #FPMF- Formação Pedagógica em Música 1200Horas</v>
      </c>
    </row>
    <row r="3294">
      <c r="A3294" s="390" t="str">
        <f>IFERROR(__xludf.DUMMYFUNCTION("""COMPUTED_VALUE"""),"Ludmila Angélica da Silva Pereira de Morais - #SLUEF - Segunda Licenciatura em Educação Física")</f>
        <v>Ludmila Angélica da Silva Pereira de Morais - #SLUEF - Segunda Licenciatura em Educação Física</v>
      </c>
    </row>
    <row r="3295">
      <c r="A3295" s="390" t="str">
        <f>IFERROR(__xludf.DUMMYFUNCTION("""COMPUTED_VALUE"""),"Vanessa Rodrigues Alves - #SLPT- Segunda Licenciatura em Pedagogia")</f>
        <v>Vanessa Rodrigues Alves - #SLPT- Segunda Licenciatura em Pedagogia</v>
      </c>
    </row>
    <row r="3296">
      <c r="A3296" s="390" t="str">
        <f>IFERROR(__xludf.DUMMYFUNCTION("""COMPUTED_VALUE"""),"Vanessa Rodrigues Alves - Pós-Graduação em Terapia em ABA- Análise do Comportamento Aplicada")</f>
        <v>Vanessa Rodrigues Alves - Pós-Graduação em Terapia em ABA- Análise do Comportamento Aplicada</v>
      </c>
    </row>
    <row r="3297">
      <c r="A3297" s="390" t="str">
        <f>IFERROR(__xludf.DUMMYFUNCTION("""COMPUTED_VALUE"""),"Vanessa Rodrigues Alves - Pós-Graduação em Neuropsicopedagogia Institucional")</f>
        <v>Vanessa Rodrigues Alves - Pós-Graduação em Neuropsicopedagogia Institucional</v>
      </c>
    </row>
    <row r="3298">
      <c r="A3298" s="390" t="str">
        <f>IFERROR(__xludf.DUMMYFUNCTION("""COMPUTED_VALUE"""),"Vanessa Rodrigues Alves - #SLUPI - SEGUNDA LICENCIATURA EM LETRAS – PORTUGUÊS E INGLÊS")</f>
        <v>Vanessa Rodrigues Alves - #SLUPI - SEGUNDA LICENCIATURA EM LETRAS – PORTUGUÊS E INGLÊS</v>
      </c>
    </row>
    <row r="3299">
      <c r="A3299" s="390" t="str">
        <f>IFERROR(__xludf.DUMMYFUNCTION("""COMPUTED_VALUE"""),"Cintia santos dias - #FPEEF- Formação Pedagógica Educação Física")</f>
        <v>Cintia santos dias - #FPEEF- Formação Pedagógica Educação Física</v>
      </c>
    </row>
    <row r="3300">
      <c r="A3300" s="390" t="str">
        <f>IFERROR(__xludf.DUMMYFUNCTION("""COMPUTED_VALUE"""),"Cintia santos dias - Pedagogia para Bacharéis")</f>
        <v>Cintia santos dias - Pedagogia para Bacharéis</v>
      </c>
    </row>
    <row r="3301">
      <c r="A3301" s="390" t="str">
        <f>IFERROR(__xludf.DUMMYFUNCTION("""COMPUTED_VALUE"""),"João Pereira Dos Santos - #SLUM - SEGUNDA LICENCIATURA EM MATEMÁTICA")</f>
        <v>João Pereira Dos Santos - #SLUM - SEGUNDA LICENCIATURA EM MATEMÁTICA</v>
      </c>
    </row>
    <row r="3302">
      <c r="A3302" s="390" t="str">
        <f>IFERROR(__xludf.DUMMYFUNCTION("""COMPUTED_VALUE"""),"João Pereira Dos Santos - Práticas Pedagógicas")</f>
        <v>João Pereira Dos Santos - Práticas Pedagógicas</v>
      </c>
    </row>
    <row r="3303">
      <c r="A3303" s="390" t="str">
        <f>IFERROR(__xludf.DUMMYFUNCTION("""COMPUTED_VALUE"""),"Ângela Fátima da Silva Souza - Pós-Graduação em Psicanálise")</f>
        <v>Ângela Fátima da Silva Souza - Pós-Graduação em Psicanálise</v>
      </c>
    </row>
    <row r="3304">
      <c r="A3304" s="390" t="str">
        <f>IFERROR(__xludf.DUMMYFUNCTION("""COMPUTED_VALUE"""),"Camila Ribeiro Leite - #FPP- Formação Pedagógica em Pedagogia R2")</f>
        <v>Camila Ribeiro Leite - #FPP- Formação Pedagógica em Pedagogia R2</v>
      </c>
    </row>
    <row r="3305">
      <c r="A3305" s="390" t="str">
        <f>IFERROR(__xludf.DUMMYFUNCTION("""COMPUTED_VALUE"""),"Maria José Rodrigues de Souza - #SLMA - Segunda Licenciatura Matemática")</f>
        <v>Maria José Rodrigues de Souza - #SLMA - Segunda Licenciatura Matemática</v>
      </c>
    </row>
    <row r="3306">
      <c r="A3306" s="390" t="str">
        <f>IFERROR(__xludf.DUMMYFUNCTION("""COMPUTED_VALUE"""),"Janildes de Oliveira Souza - #SLLPA - Segunda Licenciatura Letras - Português")</f>
        <v>Janildes de Oliveira Souza - #SLLPA - Segunda Licenciatura Letras - Português</v>
      </c>
    </row>
    <row r="3307">
      <c r="A3307" s="390" t="str">
        <f>IFERROR(__xludf.DUMMYFUNCTION("""COMPUTED_VALUE"""),"Janildes de Oliveira Souza - #SLTLP1- Segunda Licenciatura Letras - Português")</f>
        <v>Janildes de Oliveira Souza - #SLTLP1- Segunda Licenciatura Letras - Português</v>
      </c>
    </row>
    <row r="3308">
      <c r="A3308" s="390" t="str">
        <f>IFERROR(__xludf.DUMMYFUNCTION("""COMPUTED_VALUE"""),"Kislem Costa - Formação Livre em Psicanálise-2022")</f>
        <v>Kislem Costa - Formação Livre em Psicanálise-2022</v>
      </c>
    </row>
    <row r="3309">
      <c r="A3309" s="390" t="str">
        <f>IFERROR(__xludf.DUMMYFUNCTION("""COMPUTED_VALUE"""),"Kislem Costa - NOVO-Pós-Graduação em Psicanálise 800 Horas")</f>
        <v>Kislem Costa - NOVO-Pós-Graduação em Psicanálise 800 Horas</v>
      </c>
    </row>
    <row r="3310">
      <c r="A3310" s="390" t="str">
        <f>IFERROR(__xludf.DUMMYFUNCTION("""COMPUTED_VALUE"""),"Vanessa Bensa de Oliveira Neves - Pós-Graduação em Psicopedagogia Clinica, Institucional e Hospitalar 660Horas")</f>
        <v>Vanessa Bensa de Oliveira Neves - Pós-Graduação em Psicopedagogia Clinica, Institucional e Hospitalar 660Horas</v>
      </c>
    </row>
    <row r="3311">
      <c r="A3311" s="390" t="str">
        <f>IFERROR(__xludf.DUMMYFUNCTION("""COMPUTED_VALUE"""),"Vanessa Bensa de Oliveira Neves - #FPUH- Formação Pedagógica em História")</f>
        <v>Vanessa Bensa de Oliveira Neves - #FPUH- Formação Pedagógica em História</v>
      </c>
    </row>
    <row r="3312">
      <c r="A3312" s="390" t="str">
        <f>IFERROR(__xludf.DUMMYFUNCTION("""COMPUTED_VALUE"""),"Vanessa Bensa de Oliveira Neves - Pós-Graduação em Neuropsicologia Clínica")</f>
        <v>Vanessa Bensa de Oliveira Neves - Pós-Graduação em Neuropsicologia Clínica</v>
      </c>
    </row>
    <row r="3313">
      <c r="A3313" s="390" t="str">
        <f>IFERROR(__xludf.DUMMYFUNCTION("""COMPUTED_VALUE"""),"Azenaite Maria Miranda - #SLMF - Segunda Licenciatura em Música 1320Horas")</f>
        <v>Azenaite Maria Miranda - #SLMF - Segunda Licenciatura em Música 1320Horas</v>
      </c>
    </row>
    <row r="3314">
      <c r="A3314" s="390" t="str">
        <f>IFERROR(__xludf.DUMMYFUNCTION("""COMPUTED_VALUE"""),"Henrique Ezequiel da Silva - Pedagogia para Bacharéis")</f>
        <v>Henrique Ezequiel da Silva - Pedagogia para Bacharéis</v>
      </c>
    </row>
    <row r="3315">
      <c r="A3315" s="390" t="str">
        <f>IFERROR(__xludf.DUMMYFUNCTION("""COMPUTED_VALUE"""),"Henrique Ezequiel da Silva - #FPMF- Formação Pedagógica em Música 1200Horas")</f>
        <v>Henrique Ezequiel da Silva - #FPMF- Formação Pedagógica em Música 1200Horas</v>
      </c>
    </row>
    <row r="3316">
      <c r="A3316" s="390" t="str">
        <f>IFERROR(__xludf.DUMMYFUNCTION("""COMPUTED_VALUE"""),"Rafael Rodrigues Guimarães - Pós-Graduação em Supervisão Escolar")</f>
        <v>Rafael Rodrigues Guimarães - Pós-Graduação em Supervisão Escolar</v>
      </c>
    </row>
    <row r="3317">
      <c r="A3317" s="390" t="str">
        <f>IFERROR(__xludf.DUMMYFUNCTION("""COMPUTED_VALUE"""),"Rafael Rodrigues Guimarães - #SLUP - SEGUNDA LICENCIATURA EM PEDAGOGIA")</f>
        <v>Rafael Rodrigues Guimarães - #SLUP - SEGUNDA LICENCIATURA EM PEDAGOGIA</v>
      </c>
    </row>
    <row r="3318">
      <c r="A3318" s="390" t="str">
        <f>IFERROR(__xludf.DUMMYFUNCTION("""COMPUTED_VALUE"""),"ELENICE ALVES DA LUZ BOSI - #SLULPL- Segunda Licenciatura em Letras – Língua Portuguesa e Libras")</f>
        <v>ELENICE ALVES DA LUZ BOSI - #SLULPL- Segunda Licenciatura em Letras – Língua Portuguesa e Libras</v>
      </c>
    </row>
    <row r="3319">
      <c r="A3319" s="390" t="str">
        <f>IFERROR(__xludf.DUMMYFUNCTION("""COMPUTED_VALUE"""),"ELENICE ALVES DA LUZ BOSI - Pós-Graduação em Gestão Escolar")</f>
        <v>ELENICE ALVES DA LUZ BOSI - Pós-Graduação em Gestão Escolar</v>
      </c>
    </row>
    <row r="3320">
      <c r="A3320" s="390" t="str">
        <f>IFERROR(__xludf.DUMMYFUNCTION("""COMPUTED_VALUE"""),"Renata Borges Ferreira - Formação Pedagógica em Artes Visuais")</f>
        <v>Renata Borges Ferreira - Formação Pedagógica em Artes Visuais</v>
      </c>
    </row>
    <row r="3321">
      <c r="A3321" s="390" t="str">
        <f>IFERROR(__xludf.DUMMYFUNCTION("""COMPUTED_VALUE"""),"Maurício Ângelo Assis Rabelo - Pedagogia para Bacharéis")</f>
        <v>Maurício Ângelo Assis Rabelo - Pedagogia para Bacharéis</v>
      </c>
    </row>
    <row r="3322">
      <c r="A3322" s="390" t="str">
        <f>IFERROR(__xludf.DUMMYFUNCTION("""COMPUTED_VALUE"""),"Thaisa Alice Portela da Silva - Pós-Graduação em Sexologia")</f>
        <v>Thaisa Alice Portela da Silva - Pós-Graduação em Sexologia</v>
      </c>
    </row>
    <row r="3323">
      <c r="A3323" s="390" t="str">
        <f>IFERROR(__xludf.DUMMYFUNCTION("""COMPUTED_VALUE"""),"Rose Batista de Souza - #FPT1-Pedagogia para Bacharéis e Tecnólogos (2022)")</f>
        <v>Rose Batista de Souza - #FPT1-Pedagogia para Bacharéis e Tecnólogos (2022)</v>
      </c>
    </row>
    <row r="3324">
      <c r="A3324" s="390" t="str">
        <f>IFERROR(__xludf.DUMMYFUNCTION("""COMPUTED_VALUE"""),"Rose Batista de Souza - #SLPT- Segunda Licenciatura em Pedagogia")</f>
        <v>Rose Batista de Souza - #SLPT- Segunda Licenciatura em Pedagogia</v>
      </c>
    </row>
    <row r="3325">
      <c r="A3325" s="390" t="str">
        <f>IFERROR(__xludf.DUMMYFUNCTION("""COMPUTED_VALUE"""),"Micheli Momoli Afonso - NOVO-Pós-Graduação em Psicanálise 800 Horas")</f>
        <v>Micheli Momoli Afonso - NOVO-Pós-Graduação em Psicanálise 800 Horas</v>
      </c>
    </row>
    <row r="3326">
      <c r="A3326" s="390" t="str">
        <f>IFERROR(__xludf.DUMMYFUNCTION("""COMPUTED_VALUE"""),"Ederson Vieira da Conceicao nascimento - Formação Livre Psicanálise")</f>
        <v>Ederson Vieira da Conceicao nascimento - Formação Livre Psicanálise</v>
      </c>
    </row>
    <row r="3327">
      <c r="A3327" s="390" t="str">
        <f>IFERROR(__xludf.DUMMYFUNCTION("""COMPUTED_VALUE"""),"Patrícia da Silva Ramos Costa - #FPT1-Pedagogia para Bacharéis e Tecnólogos (2022)")</f>
        <v>Patrícia da Silva Ramos Costa - #FPT1-Pedagogia para Bacharéis e Tecnólogos (2022)</v>
      </c>
    </row>
    <row r="3328">
      <c r="A3328" s="390" t="str">
        <f>IFERROR(__xludf.DUMMYFUNCTION("""COMPUTED_VALUE"""),"LUIZ ANTONIO LEMES DA COSTA - Pós-Graduação em Psicanálise")</f>
        <v>LUIZ ANTONIO LEMES DA COSTA - Pós-Graduação em Psicanálise</v>
      </c>
    </row>
    <row r="3329">
      <c r="A3329" s="390" t="str">
        <f>IFERROR(__xludf.DUMMYFUNCTION("""COMPUTED_VALUE"""),"Priscila Baptista ciriaco - Pós-Graduação em Administração Pública")</f>
        <v>Priscila Baptista ciriaco - Pós-Graduação em Administração Pública</v>
      </c>
    </row>
    <row r="3330">
      <c r="A3330" s="390" t="str">
        <f>IFERROR(__xludf.DUMMYFUNCTION("""COMPUTED_VALUE"""),"Alexandre Julio Rosset - Formação Livre Psicanálise")</f>
        <v>Alexandre Julio Rosset - Formação Livre Psicanálise</v>
      </c>
    </row>
    <row r="3331">
      <c r="A3331" s="390" t="str">
        <f>IFERROR(__xludf.DUMMYFUNCTION("""COMPUTED_VALUE"""),"Francisco Nivaldo Araújo Gomes - #SLCSA - Segunda Licenciatura em Ciências Sociais")</f>
        <v>Francisco Nivaldo Araújo Gomes - #SLCSA - Segunda Licenciatura em Ciências Sociais</v>
      </c>
    </row>
    <row r="3332">
      <c r="A3332" s="390" t="str">
        <f>IFERROR(__xludf.DUMMYFUNCTION("""COMPUTED_VALUE"""),"Francisco Nivaldo Araújo Gomes - Pós-Graduação em MBA em Gestão Estratégica e Inovação")</f>
        <v>Francisco Nivaldo Araújo Gomes - Pós-Graduação em MBA em Gestão Estratégica e Inovação</v>
      </c>
    </row>
    <row r="3333">
      <c r="A3333" s="390" t="str">
        <f>IFERROR(__xludf.DUMMYFUNCTION("""COMPUTED_VALUE"""),"Eroni Godois - Formação Livre Psicanálise")</f>
        <v>Eroni Godois - Formação Livre Psicanálise</v>
      </c>
    </row>
    <row r="3334">
      <c r="A3334" s="390" t="str">
        <f>IFERROR(__xludf.DUMMYFUNCTION("""COMPUTED_VALUE"""),"Jorcelaine Rodrigues dos Santos - Formação Livre Psicanálise")</f>
        <v>Jorcelaine Rodrigues dos Santos - Formação Livre Psicanálise</v>
      </c>
    </row>
    <row r="3335">
      <c r="A3335" s="390" t="str">
        <f>IFERROR(__xludf.DUMMYFUNCTION("""COMPUTED_VALUE"""),"Vinicius Bernardo de Oliveira - Pós-Graduação em Gestão Educacional")</f>
        <v>Vinicius Bernardo de Oliveira - Pós-Graduação em Gestão Educacional</v>
      </c>
    </row>
    <row r="3336">
      <c r="A3336" s="390" t="str">
        <f>IFERROR(__xludf.DUMMYFUNCTION("""COMPUTED_VALUE"""),"Ilane Pereira Alves da Silva - Formação Livre Psicanálise")</f>
        <v>Ilane Pereira Alves da Silva - Formação Livre Psicanálise</v>
      </c>
    </row>
    <row r="3337">
      <c r="A3337" s="390" t="str">
        <f>IFERROR(__xludf.DUMMYFUNCTION("""COMPUTED_VALUE"""),"Gilda Cristina de Souza Siqueira - Pós-Graduação em Sexologia")</f>
        <v>Gilda Cristina de Souza Siqueira - Pós-Graduação em Sexologia</v>
      </c>
    </row>
    <row r="3338">
      <c r="A3338" s="390" t="str">
        <f>IFERROR(__xludf.DUMMYFUNCTION("""COMPUTED_VALUE"""),"Fernanda Nunes Amaral Oliveira - Formação Livre Psicanálise")</f>
        <v>Fernanda Nunes Amaral Oliveira - Formação Livre Psicanálise</v>
      </c>
    </row>
    <row r="3339">
      <c r="A3339" s="390" t="str">
        <f>IFERROR(__xludf.DUMMYFUNCTION("""COMPUTED_VALUE"""),"Fernanda Nunes Amaral Oliveira - #SLUP - SEGUNDA LICENCIATURA EM PEDAGOGIA")</f>
        <v>Fernanda Nunes Amaral Oliveira - #SLUP - SEGUNDA LICENCIATURA EM PEDAGOGIA</v>
      </c>
    </row>
    <row r="3340">
      <c r="A3340" s="390" t="str">
        <f>IFERROR(__xludf.DUMMYFUNCTION("""COMPUTED_VALUE"""),"Fernanda Nunes Amaral Oliveira - Pós-Graduação Psicopedagogia Clínica, Institucional e Hospitalar")</f>
        <v>Fernanda Nunes Amaral Oliveira - Pós-Graduação Psicopedagogia Clínica, Institucional e Hospitalar</v>
      </c>
    </row>
    <row r="3341">
      <c r="A3341" s="390" t="str">
        <f>IFERROR(__xludf.DUMMYFUNCTION("""COMPUTED_VALUE"""),"Vania Aparecida Domingos Pereira - #SLUC - SEGUNDA LICENCIATURA EM CIÊNCIAS DA RELIGIÃO- U")</f>
        <v>Vania Aparecida Domingos Pereira - #SLUC - SEGUNDA LICENCIATURA EM CIÊNCIAS DA RELIGIÃO- U</v>
      </c>
    </row>
    <row r="3342">
      <c r="A3342" s="390" t="str">
        <f>IFERROR(__xludf.DUMMYFUNCTION("""COMPUTED_VALUE"""),"Efrain Rael de Eron Silva de Azevedo - #SLMF - Segunda Licenciatura em Música 1320Horas")</f>
        <v>Efrain Rael de Eron Silva de Azevedo - #SLMF - Segunda Licenciatura em Música 1320Horas</v>
      </c>
    </row>
    <row r="3343">
      <c r="A3343" s="390" t="str">
        <f>IFERROR(__xludf.DUMMYFUNCTION("""COMPUTED_VALUE"""),"Kivia Cristina de Menezes de Medeiros - #SLUC - SEGUNDA LICENCIATURA EM CIÊNCIAS DA RELIGIÃO- U")</f>
        <v>Kivia Cristina de Menezes de Medeiros - #SLUC - SEGUNDA LICENCIATURA EM CIÊNCIAS DA RELIGIÃO- U</v>
      </c>
    </row>
    <row r="3344">
      <c r="A3344" s="390" t="str">
        <f>IFERROR(__xludf.DUMMYFUNCTION("""COMPUTED_VALUE"""),"Kivia Cristina de Menezes de Medeiros - Pós-Graduação em Biblioteconomia")</f>
        <v>Kivia Cristina de Menezes de Medeiros - Pós-Graduação em Biblioteconomia</v>
      </c>
    </row>
    <row r="3345">
      <c r="A3345" s="390" t="str">
        <f>IFERROR(__xludf.DUMMYFUNCTION("""COMPUTED_VALUE"""),"Kivia Cristina de Menezes de Medeiros - # SLCRA - Segunda Licenciatura em Ciências da Religião")</f>
        <v>Kivia Cristina de Menezes de Medeiros - # SLCRA - Segunda Licenciatura em Ciências da Religião</v>
      </c>
    </row>
    <row r="3346">
      <c r="A3346" s="390" t="str">
        <f>IFERROR(__xludf.DUMMYFUNCTION("""COMPUTED_VALUE"""),"Waldemarina Messias de Souza - Pós-Graduação em Ensino de História")</f>
        <v>Waldemarina Messias de Souza - Pós-Graduação em Ensino de História</v>
      </c>
    </row>
    <row r="3347">
      <c r="A3347" s="390" t="str">
        <f>IFERROR(__xludf.DUMMYFUNCTION("""COMPUTED_VALUE"""),"BRUNO ARAÚJO CARDOSO - Pós-Graduação em Neuropsicopedagogia")</f>
        <v>BRUNO ARAÚJO CARDOSO - Pós-Graduação em Neuropsicopedagogia</v>
      </c>
    </row>
    <row r="3348">
      <c r="A3348" s="390" t="str">
        <f>IFERROR(__xludf.DUMMYFUNCTION("""COMPUTED_VALUE"""),"Eliane Rodrigues de Sá - #SLUP - SEGUNDA LICENCIATURA EM PEDAGOGIA")</f>
        <v>Eliane Rodrigues de Sá - #SLUP - SEGUNDA LICENCIATURA EM PEDAGOGIA</v>
      </c>
    </row>
    <row r="3349">
      <c r="A3349" s="390" t="str">
        <f>IFERROR(__xludf.DUMMYFUNCTION("""COMPUTED_VALUE"""),"Ricardo Pereira De Jesus - Pós-Graduação em Engenharia Elétrica 570 Horas 01/23")</f>
        <v>Ricardo Pereira De Jesus - Pós-Graduação em Engenharia Elétrica 570 Horas 01/23</v>
      </c>
    </row>
    <row r="3350">
      <c r="A3350" s="390" t="str">
        <f>IFERROR(__xludf.DUMMYFUNCTION("""COMPUTED_VALUE"""),"Alexandre Lima Da Silva - #SLUEF - Segunda Licenciatura em Educação Física")</f>
        <v>Alexandre Lima Da Silva - #SLUEF - Segunda Licenciatura em Educação Física</v>
      </c>
    </row>
    <row r="3351">
      <c r="A3351" s="390" t="str">
        <f>IFERROR(__xludf.DUMMYFUNCTION("""COMPUTED_VALUE"""),"Tania Carneiro da Rosa Dias - #SLPA- Segunda Licenciatura em Pedagogia 01")</f>
        <v>Tania Carneiro da Rosa Dias - #SLPA- Segunda Licenciatura em Pedagogia 01</v>
      </c>
    </row>
    <row r="3352">
      <c r="A3352" s="390" t="str">
        <f>IFERROR(__xludf.DUMMYFUNCTION("""COMPUTED_VALUE"""),"Janaina Ferreira Santiago - Pós-Graduação em Psicanálise")</f>
        <v>Janaina Ferreira Santiago - Pós-Graduação em Psicanálise</v>
      </c>
    </row>
    <row r="3353">
      <c r="A3353" s="390" t="str">
        <f>IFERROR(__xludf.DUMMYFUNCTION("""COMPUTED_VALUE"""),"Viviane Grance Pereira - #SLMF - Segunda Licenciatura em Música 1320Horas")</f>
        <v>Viviane Grance Pereira - #SLMF - Segunda Licenciatura em Música 1320Horas</v>
      </c>
    </row>
    <row r="3354">
      <c r="A3354" s="390" t="str">
        <f>IFERROR(__xludf.DUMMYFUNCTION("""COMPUTED_VALUE"""),"Maria da Conceição da Silva Leão Bernal - Formação Livre Psicanálise")</f>
        <v>Maria da Conceição da Silva Leão Bernal - Formação Livre Psicanálise</v>
      </c>
    </row>
    <row r="3355">
      <c r="A3355" s="390" t="str">
        <f>IFERROR(__xludf.DUMMYFUNCTION("""COMPUTED_VALUE"""),"Diego Vieira Araujo - #FPUM Formação Pedagógica em Matemática")</f>
        <v>Diego Vieira Araujo - #FPUM Formação Pedagógica em Matemática</v>
      </c>
    </row>
    <row r="3356">
      <c r="A3356" s="390" t="str">
        <f>IFERROR(__xludf.DUMMYFUNCTION("""COMPUTED_VALUE"""),"Diego Vieira Araujo - #FPM+ Formação Pedagógica em Matemática-1200Horas")</f>
        <v>Diego Vieira Araujo - #FPM+ Formação Pedagógica em Matemática-1200Horas</v>
      </c>
    </row>
    <row r="3357">
      <c r="A3357" s="390" t="str">
        <f>IFERROR(__xludf.DUMMYFUNCTION("""COMPUTED_VALUE"""),"Edison Estanislau da Silva Jr - #SLMF - Segunda Licenciatura em Música 1320Horas")</f>
        <v>Edison Estanislau da Silva Jr - #SLMF - Segunda Licenciatura em Música 1320Horas</v>
      </c>
    </row>
    <row r="3358">
      <c r="A3358" s="390" t="str">
        <f>IFERROR(__xludf.DUMMYFUNCTION("""COMPUTED_VALUE"""),"João Paulo Ferreira Fonseca - #SLUP - SEGUNDA LICENCIATURA EM PEDAGOGIA")</f>
        <v>João Paulo Ferreira Fonseca - #SLUP - SEGUNDA LICENCIATURA EM PEDAGOGIA</v>
      </c>
    </row>
    <row r="3359">
      <c r="A3359" s="390" t="str">
        <f>IFERROR(__xludf.DUMMYFUNCTION("""COMPUTED_VALUE"""),"João Paulo Ferreira Fonseca - #SLPT- Segunda Licenciatura em Pedagogia")</f>
        <v>João Paulo Ferreira Fonseca - #SLPT- Segunda Licenciatura em Pedagogia</v>
      </c>
    </row>
    <row r="3360">
      <c r="A3360" s="390" t="str">
        <f>IFERROR(__xludf.DUMMYFUNCTION("""COMPUTED_VALUE"""),"Juliana Braga Fileto - Pós-Graduação em Coordenação Educacional")</f>
        <v>Juliana Braga Fileto - Pós-Graduação em Coordenação Educacional</v>
      </c>
    </row>
    <row r="3361">
      <c r="A3361" s="390" t="str">
        <f>IFERROR(__xludf.DUMMYFUNCTION("""COMPUTED_VALUE"""),"Aline Serafim Guedes - Formação Livre Psicanálise")</f>
        <v>Aline Serafim Guedes - Formação Livre Psicanálise</v>
      </c>
    </row>
    <row r="3362">
      <c r="A3362" s="390" t="str">
        <f>IFERROR(__xludf.DUMMYFUNCTION("""COMPUTED_VALUE"""),"Gelson Martins De Paiva - Formação Livre Psicanálise")</f>
        <v>Gelson Martins De Paiva - Formação Livre Psicanálise</v>
      </c>
    </row>
    <row r="3363">
      <c r="A3363" s="390" t="str">
        <f>IFERROR(__xludf.DUMMYFUNCTION("""COMPUTED_VALUE"""),"Carolina Aparecida Camargo Silva - Formação Livre Psicanálise")</f>
        <v>Carolina Aparecida Camargo Silva - Formação Livre Psicanálise</v>
      </c>
    </row>
    <row r="3364">
      <c r="A3364" s="390" t="str">
        <f>IFERROR(__xludf.DUMMYFUNCTION("""COMPUTED_VALUE"""),"Iara Rocha Pereira - #SLUA- Segunda Licenciatura em Artes Visuais")</f>
        <v>Iara Rocha Pereira - #SLUA- Segunda Licenciatura em Artes Visuais</v>
      </c>
    </row>
    <row r="3365">
      <c r="A3365" s="390" t="str">
        <f>IFERROR(__xludf.DUMMYFUNCTION("""COMPUTED_VALUE"""),"Iara Rocha Pereira - #SLPT- Segunda Licenciatura em Pedagogia")</f>
        <v>Iara Rocha Pereira - #SLPT- Segunda Licenciatura em Pedagogia</v>
      </c>
    </row>
    <row r="3366">
      <c r="A3366" s="390" t="str">
        <f>IFERROR(__xludf.DUMMYFUNCTION("""COMPUTED_VALUE"""),"Iara Rocha Pereira - #SLAV+1 - Segunda Licenciatura em Artes Visuais 1000 Horas")</f>
        <v>Iara Rocha Pereira - #SLAV+1 - Segunda Licenciatura em Artes Visuais 1000 Horas</v>
      </c>
    </row>
    <row r="3367">
      <c r="A3367" s="390" t="str">
        <f>IFERROR(__xludf.DUMMYFUNCTION("""COMPUTED_VALUE"""),"Norma Giulia Pereira dos Santos Martins - #FPTLPI1- Formação Pedagógica Letras - Português/Inglês")</f>
        <v>Norma Giulia Pereira dos Santos Martins - #FPTLPI1- Formação Pedagógica Letras - Português/Inglês</v>
      </c>
    </row>
    <row r="3368">
      <c r="A3368" s="390" t="str">
        <f>IFERROR(__xludf.DUMMYFUNCTION("""COMPUTED_VALUE"""),"Norma Giulia Pereira dos Santos Martins - #FPULPI- Formação Pedagógica em Letras – Português e Inglês")</f>
        <v>Norma Giulia Pereira dos Santos Martins - #FPULPI- Formação Pedagógica em Letras – Português e Inglês</v>
      </c>
    </row>
    <row r="3369">
      <c r="A3369" s="390" t="str">
        <f>IFERROR(__xludf.DUMMYFUNCTION("""COMPUTED_VALUE"""),"Eliana da silva pessoa - Pós-Graduação em Psicanálise")</f>
        <v>Eliana da silva pessoa - Pós-Graduação em Psicanálise</v>
      </c>
    </row>
    <row r="3370">
      <c r="A3370" s="390" t="str">
        <f>IFERROR(__xludf.DUMMYFUNCTION("""COMPUTED_VALUE"""),"Allan Daniel Mendes Terra - Formação Livre Psicanálise")</f>
        <v>Allan Daniel Mendes Terra - Formação Livre Psicanálise</v>
      </c>
    </row>
    <row r="3371">
      <c r="A3371" s="390" t="str">
        <f>IFERROR(__xludf.DUMMYFUNCTION("""COMPUTED_VALUE"""),"Allan Daniel Mendes Terra - Pós-Graduação em Neuropsicopedagogia Institucional, Clínica e Hospitalar 850h")</f>
        <v>Allan Daniel Mendes Terra - Pós-Graduação em Neuropsicopedagogia Institucional, Clínica e Hospitalar 850h</v>
      </c>
    </row>
    <row r="3372">
      <c r="A3372" s="390" t="str">
        <f>IFERROR(__xludf.DUMMYFUNCTION("""COMPUTED_VALUE"""),"Lindalva Correia de Sousa - #SLPT- Segunda Licenciatura em Pedagogia")</f>
        <v>Lindalva Correia de Sousa - #SLPT- Segunda Licenciatura em Pedagogia</v>
      </c>
    </row>
    <row r="3373">
      <c r="A3373" s="390" t="str">
        <f>IFERROR(__xludf.DUMMYFUNCTION("""COMPUTED_VALUE"""),"Lindalva Correia de Sousa - #SLAV+1 - Segunda Licenciatura em Artes Visuais 1000 Horas")</f>
        <v>Lindalva Correia de Sousa - #SLAV+1 - Segunda Licenciatura em Artes Visuais 1000 Horas</v>
      </c>
    </row>
    <row r="3374">
      <c r="A3374" s="390" t="str">
        <f>IFERROR(__xludf.DUMMYFUNCTION("""COMPUTED_VALUE"""),"Wilson Alexandre dos Santos - #FPUP-FORMAÇÃO PEDAGÓGICA EM PEDAGOGIA- U")</f>
        <v>Wilson Alexandre dos Santos - #FPUP-FORMAÇÃO PEDAGÓGICA EM PEDAGOGIA- U</v>
      </c>
    </row>
    <row r="3375">
      <c r="A3375" s="390" t="str">
        <f>IFERROR(__xludf.DUMMYFUNCTION("""COMPUTED_VALUE"""),"Alexandra de Oliveira Jerônimo - #SLLET1 - SEGUNDA LICENCIATURA EM LETRAS-PORTUGUÊS/ESPANHOL")</f>
        <v>Alexandra de Oliveira Jerônimo - #SLLET1 - SEGUNDA LICENCIATURA EM LETRAS-PORTUGUÊS/ESPANHOL</v>
      </c>
    </row>
    <row r="3376">
      <c r="A3376" s="390" t="str">
        <f>IFERROR(__xludf.DUMMYFUNCTION("""COMPUTED_VALUE"""),"Alexandra de Oliveira Jerônimo - #SLPA- Segunda Licenciatura em Pedagogia 01")</f>
        <v>Alexandra de Oliveira Jerônimo - #SLPA- Segunda Licenciatura em Pedagogia 01</v>
      </c>
    </row>
    <row r="3377">
      <c r="A3377" s="390" t="str">
        <f>IFERROR(__xludf.DUMMYFUNCTION("""COMPUTED_VALUE"""),"Antônio Costa Matos - #SLMF - Segunda Licenciatura em Música 1320Horas")</f>
        <v>Antônio Costa Matos - #SLMF - Segunda Licenciatura em Música 1320Horas</v>
      </c>
    </row>
    <row r="3378">
      <c r="A3378" s="390" t="str">
        <f>IFERROR(__xludf.DUMMYFUNCTION("""COMPUTED_VALUE"""),"Cristiane Mesquita Pereira Ferreira - #SLUP - SEGUNDA LICENCIATURA EM PEDAGOGIA")</f>
        <v>Cristiane Mesquita Pereira Ferreira - #SLUP - SEGUNDA LICENCIATURA EM PEDAGOGIA</v>
      </c>
    </row>
    <row r="3379">
      <c r="A3379" s="390" t="str">
        <f>IFERROR(__xludf.DUMMYFUNCTION("""COMPUTED_VALUE"""),"Tamiris Gabriela da Silva Ferreira - Pós-Graduação em Neuropsicopedagogia")</f>
        <v>Tamiris Gabriela da Silva Ferreira - Pós-Graduação em Neuropsicopedagogia</v>
      </c>
    </row>
    <row r="3380">
      <c r="A3380" s="390" t="str">
        <f>IFERROR(__xludf.DUMMYFUNCTION("""COMPUTED_VALUE"""),"Tamiris Gabriela da Silva Ferreira - Pós-Graduação em Neuropsicopedagogia")</f>
        <v>Tamiris Gabriela da Silva Ferreira - Pós-Graduação em Neuropsicopedagogia</v>
      </c>
    </row>
    <row r="3381">
      <c r="A3381" s="390" t="str">
        <f>IFERROR(__xludf.DUMMYFUNCTION("""COMPUTED_VALUE"""),"Tamiris Gabriela da Silva Ferreira - Pós-graduação em Neuropsicologia")</f>
        <v>Tamiris Gabriela da Silva Ferreira - Pós-graduação em Neuropsicologia</v>
      </c>
    </row>
    <row r="3382">
      <c r="A3382" s="390" t="str">
        <f>IFERROR(__xludf.DUMMYFUNCTION("""COMPUTED_VALUE"""),"Tamiris Gabriela da Silva Ferreira - Pós-Graduação em Neuropsicopedagogia")</f>
        <v>Tamiris Gabriela da Silva Ferreira - Pós-Graduação em Neuropsicopedagogia</v>
      </c>
    </row>
    <row r="3383">
      <c r="A3383" s="390" t="str">
        <f>IFERROR(__xludf.DUMMYFUNCTION("""COMPUTED_VALUE"""),"Tamiris Gabriela da Silva Ferreira - Pós-Graduação em Neuropsicopedagogia")</f>
        <v>Tamiris Gabriela da Silva Ferreira - Pós-Graduação em Neuropsicopedagogia</v>
      </c>
    </row>
    <row r="3384">
      <c r="A3384" s="390" t="str">
        <f>IFERROR(__xludf.DUMMYFUNCTION("""COMPUTED_VALUE"""),"Juliana Morales do Nascimento - Pós-Graduação em Sexologia")</f>
        <v>Juliana Morales do Nascimento - Pós-Graduação em Sexologia</v>
      </c>
    </row>
    <row r="3385">
      <c r="A3385" s="390" t="str">
        <f>IFERROR(__xludf.DUMMYFUNCTION("""COMPUTED_VALUE"""),"Antônio Carlos Magalhães de Menezes - Pós-graduação em Neuropsicologia")</f>
        <v>Antônio Carlos Magalhães de Menezes - Pós-graduação em Neuropsicologia</v>
      </c>
    </row>
    <row r="3386">
      <c r="A3386" s="390" t="str">
        <f>IFERROR(__xludf.DUMMYFUNCTION("""COMPUTED_VALUE"""),"Thiago de Souza Moura - Pós-Graduação em Psicanálise")</f>
        <v>Thiago de Souza Moura - Pós-Graduação em Psicanálise</v>
      </c>
    </row>
    <row r="3387">
      <c r="A3387" s="390" t="str">
        <f>IFERROR(__xludf.DUMMYFUNCTION("""COMPUTED_VALUE"""),"Thiago de Souza Moura - Pós-Graduação em Avaliação Psicológica e Psicodiagnóstico")</f>
        <v>Thiago de Souza Moura - Pós-Graduação em Avaliação Psicológica e Psicodiagnóstico</v>
      </c>
    </row>
    <row r="3388">
      <c r="A3388" s="390" t="str">
        <f>IFERROR(__xludf.DUMMYFUNCTION("""COMPUTED_VALUE"""),"Demilson Rodrigues da Mota Junior - #FPUP-FORMAÇÃO PEDAGÓGICA EM PEDAGOGIA- U")</f>
        <v>Demilson Rodrigues da Mota Junior - #FPUP-FORMAÇÃO PEDAGÓGICA EM PEDAGOGIA- U</v>
      </c>
    </row>
    <row r="3389">
      <c r="A3389" s="390" t="str">
        <f>IFERROR(__xludf.DUMMYFUNCTION("""COMPUTED_VALUE"""),"Demilson Rodrigues da Mota Junior - FORMAÇÃO PEDAGÓGICA EM ARTES VISUAIS - 2024")</f>
        <v>Demilson Rodrigues da Mota Junior - FORMAÇÃO PEDAGÓGICA EM ARTES VISUAIS - 2024</v>
      </c>
    </row>
    <row r="3390">
      <c r="A3390" s="390" t="str">
        <f>IFERROR(__xludf.DUMMYFUNCTION("""COMPUTED_VALUE"""),"Marilene Gonçalves do Carmo - Pós-Graduação em Ensino Religioso")</f>
        <v>Marilene Gonçalves do Carmo - Pós-Graduação em Ensino Religioso</v>
      </c>
    </row>
    <row r="3391">
      <c r="A3391" s="390" t="str">
        <f>IFERROR(__xludf.DUMMYFUNCTION("""COMPUTED_VALUE"""),"Marluce Manoel da Silva - NOVO-Pós-Graduação em Psicanálise 800 Horas")</f>
        <v>Marluce Manoel da Silva - NOVO-Pós-Graduação em Psicanálise 800 Horas</v>
      </c>
    </row>
    <row r="3392">
      <c r="A3392" s="390" t="str">
        <f>IFERROR(__xludf.DUMMYFUNCTION("""COMPUTED_VALUE"""),"Marqueline Silva Moreira - NOVO-Pós-Graduação em Psicanálise 800 Horas")</f>
        <v>Marqueline Silva Moreira - NOVO-Pós-Graduação em Psicanálise 800 Horas</v>
      </c>
    </row>
    <row r="3393">
      <c r="A3393" s="390" t="str">
        <f>IFERROR(__xludf.DUMMYFUNCTION("""COMPUTED_VALUE"""),"Dulcilene Correia dos Santos Carmo - NOVO-Pós-Graduação em Psicanálise 800 Horas")</f>
        <v>Dulcilene Correia dos Santos Carmo - NOVO-Pós-Graduação em Psicanálise 800 Horas</v>
      </c>
    </row>
    <row r="3394">
      <c r="A3394" s="390" t="str">
        <f>IFERROR(__xludf.DUMMYFUNCTION("""COMPUTED_VALUE"""),"Dulcilene Correia dos Santos Carmo - Pós-Graduação em Sexologia")</f>
        <v>Dulcilene Correia dos Santos Carmo - Pós-Graduação em Sexologia</v>
      </c>
    </row>
    <row r="3395">
      <c r="A3395" s="390" t="str">
        <f>IFERROR(__xludf.DUMMYFUNCTION("""COMPUTED_VALUE"""),"Vanessa de Medeiros Figueiredo Tavares - #SLTLE1- Segunda Licenciatura em Letras - Espanhol")</f>
        <v>Vanessa de Medeiros Figueiredo Tavares - #SLTLE1- Segunda Licenciatura em Letras - Espanhol</v>
      </c>
    </row>
    <row r="3396">
      <c r="A3396" s="390" t="str">
        <f>IFERROR(__xludf.DUMMYFUNCTION("""COMPUTED_VALUE"""),"Alessandro da Silva Gouveia - FORMAÇÃO PEDAGÓGICA EM CIÊNCIAS DA RELIGIÃO- U")</f>
        <v>Alessandro da Silva Gouveia - FORMAÇÃO PEDAGÓGICA EM CIÊNCIAS DA RELIGIÃO- U</v>
      </c>
    </row>
    <row r="3397">
      <c r="A3397" s="390" t="str">
        <f>IFERROR(__xludf.DUMMYFUNCTION("""COMPUTED_VALUE"""),"Gabriela Lima de Aquino - Formação Livre Psicanálise")</f>
        <v>Gabriela Lima de Aquino - Formação Livre Psicanálise</v>
      </c>
    </row>
    <row r="3398">
      <c r="A3398" s="390" t="str">
        <f>IFERROR(__xludf.DUMMYFUNCTION("""COMPUTED_VALUE"""),"Simone Moretti Leite - Formação Livre Psicanálise")</f>
        <v>Simone Moretti Leite - Formação Livre Psicanálise</v>
      </c>
    </row>
    <row r="3399">
      <c r="A3399" s="390" t="str">
        <f>IFERROR(__xludf.DUMMYFUNCTION("""COMPUTED_VALUE"""),"Kelcilene Lagasse Brites Curado - Pós-Graduação em Psicanálise")</f>
        <v>Kelcilene Lagasse Brites Curado - Pós-Graduação em Psicanálise</v>
      </c>
    </row>
    <row r="3400">
      <c r="A3400" s="390" t="str">
        <f>IFERROR(__xludf.DUMMYFUNCTION("""COMPUTED_VALUE"""),"Natália Fernandes Birches Lopes - #FPUP-FORMAÇÃO PEDAGÓGICA EM PEDAGOGIA- U")</f>
        <v>Natália Fernandes Birches Lopes - #FPUP-FORMAÇÃO PEDAGÓGICA EM PEDAGOGIA- U</v>
      </c>
    </row>
    <row r="3401">
      <c r="A3401" s="390" t="str">
        <f>IFERROR(__xludf.DUMMYFUNCTION("""COMPUTED_VALUE"""),"Natália Fernandes Birches Lopes - Pós-graduação em Gestão Escolar Integradora com Ênfase em Supervisão, Orientação, Administração e Inspeção 740Horas")</f>
        <v>Natália Fernandes Birches Lopes - Pós-graduação em Gestão Escolar Integradora com Ênfase em Supervisão, Orientação, Administração e Inspeção 740Horas</v>
      </c>
    </row>
    <row r="3402">
      <c r="A3402" s="390" t="str">
        <f>IFERROR(__xludf.DUMMYFUNCTION("""COMPUTED_VALUE"""),"Luiz Henrique Moraes dos Santos - #SLMF - Segunda Licenciatura em Música 1320Horas")</f>
        <v>Luiz Henrique Moraes dos Santos - #SLMF - Segunda Licenciatura em Música 1320Horas</v>
      </c>
    </row>
    <row r="3403">
      <c r="A3403" s="390" t="str">
        <f>IFERROR(__xludf.DUMMYFUNCTION("""COMPUTED_VALUE"""),"Roberto Cesar Bento de Freitas - #SLPA- Segunda Licenciatura em Pedagogia 01")</f>
        <v>Roberto Cesar Bento de Freitas - #SLPA- Segunda Licenciatura em Pedagogia 01</v>
      </c>
    </row>
    <row r="3404">
      <c r="A3404" s="390" t="str">
        <f>IFERROR(__xludf.DUMMYFUNCTION("""COMPUTED_VALUE"""),"Reginaldo Resende Ferreira - #SLMF - Segunda Licenciatura em Música 1320Horas")</f>
        <v>Reginaldo Resende Ferreira - #SLMF - Segunda Licenciatura em Música 1320Horas</v>
      </c>
    </row>
    <row r="3405">
      <c r="A3405" s="390" t="str">
        <f>IFERROR(__xludf.DUMMYFUNCTION("""COMPUTED_VALUE"""),"Reginaldo Resende Ferreira - Práticas Pedagógicas")</f>
        <v>Reginaldo Resende Ferreira - Práticas Pedagógicas</v>
      </c>
    </row>
    <row r="3406">
      <c r="A3406" s="390" t="str">
        <f>IFERROR(__xludf.DUMMYFUNCTION("""COMPUTED_VALUE"""),"Edna De Lima Munin - NOVO-Pós-Graduação em Psicanálise 800 Horas")</f>
        <v>Edna De Lima Munin - NOVO-Pós-Graduação em Psicanálise 800 Horas</v>
      </c>
    </row>
    <row r="3407">
      <c r="A3407" s="390" t="str">
        <f>IFERROR(__xludf.DUMMYFUNCTION("""COMPUTED_VALUE"""),"Diego Silva dos Santos - Capacitação em Sexologia")</f>
        <v>Diego Silva dos Santos - Capacitação em Sexologia</v>
      </c>
    </row>
    <row r="3408">
      <c r="A3408" s="390" t="str">
        <f>IFERROR(__xludf.DUMMYFUNCTION("""COMPUTED_VALUE"""),"Diego Silva dos Santos - Formação Livre Psicanálise")</f>
        <v>Diego Silva dos Santos - Formação Livre Psicanálise</v>
      </c>
    </row>
    <row r="3409">
      <c r="A3409" s="390" t="str">
        <f>IFERROR(__xludf.DUMMYFUNCTION("""COMPUTED_VALUE"""),"Diego Silva dos Santos - Formação Livre em Psicanálise-2022")</f>
        <v>Diego Silva dos Santos - Formação Livre em Psicanálise-2022</v>
      </c>
    </row>
    <row r="3410">
      <c r="A3410" s="390" t="str">
        <f>IFERROR(__xludf.DUMMYFUNCTION("""COMPUTED_VALUE"""),"Fernando Correia Guedes - #SLLPA - Segunda Licenciatura Letras - Português")</f>
        <v>Fernando Correia Guedes - #SLLPA - Segunda Licenciatura Letras - Português</v>
      </c>
    </row>
    <row r="3411">
      <c r="A3411" s="390" t="str">
        <f>IFERROR(__xludf.DUMMYFUNCTION("""COMPUTED_VALUE"""),"Fernando Correia Guedes - #SLEEA - Segunda Licenciatura em Educação Especial")</f>
        <v>Fernando Correia Guedes - #SLEEA - Segunda Licenciatura em Educação Especial</v>
      </c>
    </row>
    <row r="3412">
      <c r="A3412" s="390" t="str">
        <f>IFERROR(__xludf.DUMMYFUNCTION("""COMPUTED_VALUE"""),"Fernando Correia Guedes - SEGUNDA LICENCIATURA EM EDUCAÇÃO ESPECIAL - 2024")</f>
        <v>Fernando Correia Guedes - SEGUNDA LICENCIATURA EM EDUCAÇÃO ESPECIAL - 2024</v>
      </c>
    </row>
    <row r="3413">
      <c r="A3413" s="390" t="str">
        <f>IFERROR(__xludf.DUMMYFUNCTION("""COMPUTED_VALUE"""),"Dejane Mascarenhas Araujo - #SLUP - SEGUNDA LICENCIATURA EM PEDAGOGIA")</f>
        <v>Dejane Mascarenhas Araujo - #SLUP - SEGUNDA LICENCIATURA EM PEDAGOGIA</v>
      </c>
    </row>
    <row r="3414">
      <c r="A3414" s="390" t="str">
        <f>IFERROR(__xludf.DUMMYFUNCTION("""COMPUTED_VALUE"""),"Dejane Mascarenhas Araujo - #SLUP - SEGUNDA LICENCIATURA EM PEDAGOGIA")</f>
        <v>Dejane Mascarenhas Araujo - #SLUP - SEGUNDA LICENCIATURA EM PEDAGOGIA</v>
      </c>
    </row>
    <row r="3415">
      <c r="A3415" s="390" t="str">
        <f>IFERROR(__xludf.DUMMYFUNCTION("""COMPUTED_VALUE"""),"Maria Regina Azarias - #SLPA- Segunda Licenciatura em Pedagogia 01")</f>
        <v>Maria Regina Azarias - #SLPA- Segunda Licenciatura em Pedagogia 01</v>
      </c>
    </row>
    <row r="3416">
      <c r="A3416" s="390" t="str">
        <f>IFERROR(__xludf.DUMMYFUNCTION("""COMPUTED_VALUE"""),"Christiane Daiana Dias - #SLUP - SEGUNDA LICENCIATURA EM PEDAGOGIA")</f>
        <v>Christiane Daiana Dias - #SLUP - SEGUNDA LICENCIATURA EM PEDAGOGIA</v>
      </c>
    </row>
    <row r="3417">
      <c r="A3417" s="390" t="str">
        <f>IFERROR(__xludf.DUMMYFUNCTION("""COMPUTED_VALUE"""),"Alline Paola Doval Daciolo Zaratin - #SLPT- Segunda Licenciatura em Pedagogia")</f>
        <v>Alline Paola Doval Daciolo Zaratin - #SLPT- Segunda Licenciatura em Pedagogia</v>
      </c>
    </row>
    <row r="3418">
      <c r="A3418" s="390" t="str">
        <f>IFERROR(__xludf.DUMMYFUNCTION("""COMPUTED_VALUE"""),"Dina Leitão Barros - FORMAÇÃO PEDAGÓGICA EM LETRAS – PORTUGUÊS E ESPANHOL- U")</f>
        <v>Dina Leitão Barros - FORMAÇÃO PEDAGÓGICA EM LETRAS – PORTUGUÊS E ESPANHOL- U</v>
      </c>
    </row>
    <row r="3419">
      <c r="A3419" s="390" t="str">
        <f>IFERROR(__xludf.DUMMYFUNCTION("""COMPUTED_VALUE"""),"Dina Leitão Barros - Pós-Graduação em Sexologia")</f>
        <v>Dina Leitão Barros - Pós-Graduação em Sexologia</v>
      </c>
    </row>
    <row r="3420">
      <c r="A3420" s="390" t="str">
        <f>IFERROR(__xludf.DUMMYFUNCTION("""COMPUTED_VALUE"""),"Dina Leitão Barros - Pós-Graduação em Sexologia")</f>
        <v>Dina Leitão Barros - Pós-Graduação em Sexologia</v>
      </c>
    </row>
    <row r="3421">
      <c r="A3421" s="390" t="str">
        <f>IFERROR(__xludf.DUMMYFUNCTION("""COMPUTED_VALUE"""),"Dina Leitão Barros - Formação Pedagógica em Letras/Espanhol")</f>
        <v>Dina Leitão Barros - Formação Pedagógica em Letras/Espanhol</v>
      </c>
    </row>
    <row r="3422">
      <c r="A3422" s="390" t="str">
        <f>IFERROR(__xludf.DUMMYFUNCTION("""COMPUTED_VALUE"""),"Dina Leitão Barros - Formação Pedagógica em Letras/Espanhol")</f>
        <v>Dina Leitão Barros - Formação Pedagógica em Letras/Espanhol</v>
      </c>
    </row>
    <row r="3423">
      <c r="A3423" s="390" t="str">
        <f>IFERROR(__xludf.DUMMYFUNCTION("""COMPUTED_VALUE"""),"Claudio Antônio Fernandes Vitoriano - Pós-Graduação em Psicanálise")</f>
        <v>Claudio Antônio Fernandes Vitoriano - Pós-Graduação em Psicanálise</v>
      </c>
    </row>
    <row r="3424">
      <c r="A3424" s="390" t="str">
        <f>IFERROR(__xludf.DUMMYFUNCTION("""COMPUTED_VALUE"""),"Milene Fabiano da Silva - Formação Livre Psicanálise")</f>
        <v>Milene Fabiano da Silva - Formação Livre Psicanálise</v>
      </c>
    </row>
    <row r="3425">
      <c r="A3425" s="390" t="str">
        <f>IFERROR(__xludf.DUMMYFUNCTION("""COMPUTED_VALUE"""),"Diogo Augusto Dutra - #SLUP - SEGUNDA LICENCIATURA EM PEDAGOGIA")</f>
        <v>Diogo Augusto Dutra - #SLUP - SEGUNDA LICENCIATURA EM PEDAGOGIA</v>
      </c>
    </row>
    <row r="3426">
      <c r="A3426" s="390" t="str">
        <f>IFERROR(__xludf.DUMMYFUNCTION("""COMPUTED_VALUE"""),"Angélica Andersen Chaves - #SLUP - SEGUNDA LICENCIATURA EM PEDAGOGIA")</f>
        <v>Angélica Andersen Chaves - #SLUP - SEGUNDA LICENCIATURA EM PEDAGOGIA</v>
      </c>
    </row>
    <row r="3427">
      <c r="A3427" s="390" t="str">
        <f>IFERROR(__xludf.DUMMYFUNCTION("""COMPUTED_VALUE"""),"Alex da Silva Bonfim - Pós-Graduação em Psicanálise")</f>
        <v>Alex da Silva Bonfim - Pós-Graduação em Psicanálise</v>
      </c>
    </row>
    <row r="3428">
      <c r="A3428" s="390" t="str">
        <f>IFERROR(__xludf.DUMMYFUNCTION("""COMPUTED_VALUE"""),"Valdemir Marcelino Cabral - #SLPT- Segunda Licenciatura em Pedagogia")</f>
        <v>Valdemir Marcelino Cabral - #SLPT- Segunda Licenciatura em Pedagogia</v>
      </c>
    </row>
    <row r="3429">
      <c r="A3429" s="390" t="str">
        <f>IFERROR(__xludf.DUMMYFUNCTION("""COMPUTED_VALUE"""),"Valdemir Marcelino Cabral - #SLAV+ - Segunda Licenciatura em Artes Visuais - 1000 Horas")</f>
        <v>Valdemir Marcelino Cabral - #SLAV+ - Segunda Licenciatura em Artes Visuais - 1000 Horas</v>
      </c>
    </row>
    <row r="3430">
      <c r="A3430" s="390" t="str">
        <f>IFERROR(__xludf.DUMMYFUNCTION("""COMPUTED_VALUE"""),"Valdemir Marcelino Cabral - #SLUA- Segunda Licenciatura em Artes Visuais")</f>
        <v>Valdemir Marcelino Cabral - #SLUA- Segunda Licenciatura em Artes Visuais</v>
      </c>
    </row>
    <row r="3431">
      <c r="A3431" s="390" t="str">
        <f>IFERROR(__xludf.DUMMYFUNCTION("""COMPUTED_VALUE"""),"Miriam de Souza lira - Formação Livre Psicanálise")</f>
        <v>Miriam de Souza lira - Formação Livre Psicanálise</v>
      </c>
    </row>
    <row r="3432">
      <c r="A3432" s="390" t="str">
        <f>IFERROR(__xludf.DUMMYFUNCTION("""COMPUTED_VALUE"""),"Julyanne Manhezzo Firmino - Formação Livre Psicanálise")</f>
        <v>Julyanne Manhezzo Firmino - Formação Livre Psicanálise</v>
      </c>
    </row>
    <row r="3433">
      <c r="A3433" s="390" t="str">
        <f>IFERROR(__xludf.DUMMYFUNCTION("""COMPUTED_VALUE"""),"Naftali da Silva Sena Santos - #SLMF - Segunda Licenciatura em Música 1320Horas")</f>
        <v>Naftali da Silva Sena Santos - #SLMF - Segunda Licenciatura em Música 1320Horas</v>
      </c>
    </row>
    <row r="3434">
      <c r="A3434" s="390" t="str">
        <f>IFERROR(__xludf.DUMMYFUNCTION("""COMPUTED_VALUE"""),"Naftali da Silva Sena Santos - #SLMF- Segunda Licenciatura em Música 2022 880Horas")</f>
        <v>Naftali da Silva Sena Santos - #SLMF- Segunda Licenciatura em Música 2022 880Horas</v>
      </c>
    </row>
    <row r="3435">
      <c r="A3435" s="390" t="str">
        <f>IFERROR(__xludf.DUMMYFUNCTION("""COMPUTED_VALUE"""),"Eliana Martins Justino Andrade - Pós-Graduação Alfabetização e Letramento")</f>
        <v>Eliana Martins Justino Andrade - Pós-Graduação Alfabetização e Letramento</v>
      </c>
    </row>
    <row r="3436">
      <c r="A3436" s="390" t="str">
        <f>IFERROR(__xludf.DUMMYFUNCTION("""COMPUTED_VALUE"""),"Daniel Evangelista do Nascimento - #SLUP - SEGUNDA LICENCIATURA EM PEDAGOGIA")</f>
        <v>Daniel Evangelista do Nascimento - #SLUP - SEGUNDA LICENCIATURA EM PEDAGOGIA</v>
      </c>
    </row>
    <row r="3437">
      <c r="A3437" s="390" t="str">
        <f>IFERROR(__xludf.DUMMYFUNCTION("""COMPUTED_VALUE"""),"Daniel Evangelista do Nascimento - Pós-graduação em Gestão Escolar Integradora com Ênfase em Supervisão, Orientação, Administração e Inspeção 740Horas")</f>
        <v>Daniel Evangelista do Nascimento - Pós-graduação em Gestão Escolar Integradora com Ênfase em Supervisão, Orientação, Administração e Inspeção 740Horas</v>
      </c>
    </row>
    <row r="3438">
      <c r="A3438" s="390" t="str">
        <f>IFERROR(__xludf.DUMMYFUNCTION("""COMPUTED_VALUE"""),"Caroline Paternostro - Pós-Graduação em Psicanálise")</f>
        <v>Caroline Paternostro - Pós-Graduação em Psicanálise</v>
      </c>
    </row>
    <row r="3439">
      <c r="A3439" s="390" t="str">
        <f>IFERROR(__xludf.DUMMYFUNCTION("""COMPUTED_VALUE"""),"Alex Faria dos Santos - #FPUP-FORMAÇÃO PEDAGÓGICA EM PEDAGOGIA- U")</f>
        <v>Alex Faria dos Santos - #FPUP-FORMAÇÃO PEDAGÓGICA EM PEDAGOGIA- U</v>
      </c>
    </row>
    <row r="3440">
      <c r="A3440" s="390" t="str">
        <f>IFERROR(__xludf.DUMMYFUNCTION("""COMPUTED_VALUE"""),"Deyse de Oliveira Ferreira - #SLPT- Segunda Licenciatura em Pedagogia")</f>
        <v>Deyse de Oliveira Ferreira - #SLPT- Segunda Licenciatura em Pedagogia</v>
      </c>
    </row>
    <row r="3441">
      <c r="A3441" s="390" t="str">
        <f>IFERROR(__xludf.DUMMYFUNCTION("""COMPUTED_VALUE"""),"Deyse de Oliveira Ferreira - Pós-Graduação em Gestão Escolar Integrada com Ênfase em Supervisão, Orientação, Administração e Inspeção")</f>
        <v>Deyse de Oliveira Ferreira - Pós-Graduação em Gestão Escolar Integrada com Ênfase em Supervisão, Orientação, Administração e Inspeção</v>
      </c>
    </row>
    <row r="3442">
      <c r="A3442" s="390" t="str">
        <f>IFERROR(__xludf.DUMMYFUNCTION("""COMPUTED_VALUE"""),"Deyse de Oliveira Ferreira - Pós-Graduação em Gestão Escolar Integradora com Ênfase em Supervisão, Orientação, Administração e Inspeção 870Horas")</f>
        <v>Deyse de Oliveira Ferreira - Pós-Graduação em Gestão Escolar Integradora com Ênfase em Supervisão, Orientação, Administração e Inspeção 870Horas</v>
      </c>
    </row>
    <row r="3443">
      <c r="A3443" s="390" t="str">
        <f>IFERROR(__xludf.DUMMYFUNCTION("""COMPUTED_VALUE"""),"Raimundo Nonato Sousa Santos - Pós-Graduação em Psicopedagogia Institucional e Clínica 710Horas")</f>
        <v>Raimundo Nonato Sousa Santos - Pós-Graduação em Psicopedagogia Institucional e Clínica 710Horas</v>
      </c>
    </row>
    <row r="3444">
      <c r="A3444" s="390" t="str">
        <f>IFERROR(__xludf.DUMMYFUNCTION("""COMPUTED_VALUE"""),"Sidneia Thomaz - Pós-Graduação em Psicanálise")</f>
        <v>Sidneia Thomaz - Pós-Graduação em Psicanálise</v>
      </c>
    </row>
    <row r="3445">
      <c r="A3445" s="390" t="str">
        <f>IFERROR(__xludf.DUMMYFUNCTION("""COMPUTED_VALUE"""),"Sidneia Thomaz - Formação Livre Psicanálise")</f>
        <v>Sidneia Thomaz - Formação Livre Psicanálise</v>
      </c>
    </row>
    <row r="3446">
      <c r="A3446" s="390" t="str">
        <f>IFERROR(__xludf.DUMMYFUNCTION("""COMPUTED_VALUE"""),"Claudia de Moura Pinto Costa - RADIANTE - Pós-Graduação em Terapia Familíar")</f>
        <v>Claudia de Moura Pinto Costa - RADIANTE - Pós-Graduação em Terapia Familíar</v>
      </c>
    </row>
    <row r="3447">
      <c r="A3447" s="390" t="str">
        <f>IFERROR(__xludf.DUMMYFUNCTION("""COMPUTED_VALUE"""),"Eller Rafael da Silva - #SLIA - Segunda Licenciatura Letras - Inglês")</f>
        <v>Eller Rafael da Silva - #SLIA - Segunda Licenciatura Letras - Inglês</v>
      </c>
    </row>
    <row r="3448">
      <c r="A3448" s="390" t="str">
        <f>IFERROR(__xludf.DUMMYFUNCTION("""COMPUTED_VALUE"""),"Leonardo de Sousa Zaro - RADIANTE - Pós-Graduação em Inspeção Escolar")</f>
        <v>Leonardo de Sousa Zaro - RADIANTE - Pós-Graduação em Inspeção Escolar</v>
      </c>
    </row>
    <row r="3449">
      <c r="A3449" s="390" t="str">
        <f>IFERROR(__xludf.DUMMYFUNCTION("""COMPUTED_VALUE"""),"Michele Costa da Silva - RADIANTE - Pós-Graduação Educação Especial e Inclusiva")</f>
        <v>Michele Costa da Silva - RADIANTE - Pós-Graduação Educação Especial e Inclusiva</v>
      </c>
    </row>
    <row r="3450">
      <c r="A3450" s="390" t="str">
        <f>IFERROR(__xludf.DUMMYFUNCTION("""COMPUTED_VALUE"""),"Daniela Nascimento Paulo e Silva - RADIANTE - Pós-Graduação em Terapia Ocupacional Aplicada à Neurologia")</f>
        <v>Daniela Nascimento Paulo e Silva - RADIANTE - Pós-Graduação em Terapia Ocupacional Aplicada à Neurologia</v>
      </c>
    </row>
    <row r="3451">
      <c r="A3451" s="390" t="str">
        <f>IFERROR(__xludf.DUMMYFUNCTION("""COMPUTED_VALUE"""),"José Cavalcante Mineiro - #SLMF - Segunda Licenciatura em Música 1320Horas")</f>
        <v>José Cavalcante Mineiro - #SLMF - Segunda Licenciatura em Música 1320Horas</v>
      </c>
    </row>
    <row r="3452">
      <c r="A3452" s="390" t="str">
        <f>IFERROR(__xludf.DUMMYFUNCTION("""COMPUTED_VALUE"""),"Lucas da Silva Castro - Pós-Graduação em Personal Trainer e Treinamento Desportivo")</f>
        <v>Lucas da Silva Castro - Pós-Graduação em Personal Trainer e Treinamento Desportivo</v>
      </c>
    </row>
    <row r="3453">
      <c r="A3453" s="390" t="str">
        <f>IFERROR(__xludf.DUMMYFUNCTION("""COMPUTED_VALUE"""),"Maria Regina Candido - Formação Livre Psicanálise")</f>
        <v>Maria Regina Candido - Formação Livre Psicanálise</v>
      </c>
    </row>
    <row r="3454">
      <c r="A3454" s="390" t="str">
        <f>IFERROR(__xludf.DUMMYFUNCTION("""COMPUTED_VALUE"""),"Edvânia Maria da Silva - Pós-Graduação em Alfabetização e Letramento e a Psicopedagogia")</f>
        <v>Edvânia Maria da Silva - Pós-Graduação em Alfabetização e Letramento e a Psicopedagogia</v>
      </c>
    </row>
    <row r="3455">
      <c r="A3455" s="390" t="str">
        <f>IFERROR(__xludf.DUMMYFUNCTION("""COMPUTED_VALUE"""),"Érica Raquel Fernandes Bobrzyk - Pós-Graduação em Avaliação Psicológica e Psicodiagnóstico")</f>
        <v>Érica Raquel Fernandes Bobrzyk - Pós-Graduação em Avaliação Psicológica e Psicodiagnóstico</v>
      </c>
    </row>
    <row r="3456">
      <c r="A3456" s="390" t="str">
        <f>IFERROR(__xludf.DUMMYFUNCTION("""COMPUTED_VALUE"""),"Érica Raquel Fernandes Bobrzyk - Pós-Graduação em Psicopedagogia Institucional e Clínica 710Horas")</f>
        <v>Érica Raquel Fernandes Bobrzyk - Pós-Graduação em Psicopedagogia Institucional e Clínica 710Horas</v>
      </c>
    </row>
    <row r="3457">
      <c r="A3457" s="390" t="str">
        <f>IFERROR(__xludf.DUMMYFUNCTION("""COMPUTED_VALUE"""),"Magda Coelho da Silva - Pós-Graduação em Psicomotricidade")</f>
        <v>Magda Coelho da Silva - Pós-Graduação em Psicomotricidade</v>
      </c>
    </row>
    <row r="3458">
      <c r="A3458" s="390" t="str">
        <f>IFERROR(__xludf.DUMMYFUNCTION("""COMPUTED_VALUE"""),"Magda Coelho da Silva - PÓS-GRADUAÇÃO EM ALFABETIZAÇÃO E LETRAMENTO - 2024")</f>
        <v>Magda Coelho da Silva - PÓS-GRADUAÇÃO EM ALFABETIZAÇÃO E LETRAMENTO - 2024</v>
      </c>
    </row>
    <row r="3459">
      <c r="A3459" s="390" t="str">
        <f>IFERROR(__xludf.DUMMYFUNCTION("""COMPUTED_VALUE"""),"Everton Farias dos Santos - Formação Livre Psicanálise")</f>
        <v>Everton Farias dos Santos - Formação Livre Psicanálise</v>
      </c>
    </row>
    <row r="3460">
      <c r="A3460" s="390" t="str">
        <f>IFERROR(__xludf.DUMMYFUNCTION("""COMPUTED_VALUE"""),"Thayane Casais Frensel - Formação Livre Psicanálise")</f>
        <v>Thayane Casais Frensel - Formação Livre Psicanálise</v>
      </c>
    </row>
    <row r="3461">
      <c r="A3461" s="390" t="str">
        <f>IFERROR(__xludf.DUMMYFUNCTION("""COMPUTED_VALUE"""),"Lidiane neves dos Santos - Formação Livre Psicanálise")</f>
        <v>Lidiane neves dos Santos - Formação Livre Psicanálise</v>
      </c>
    </row>
    <row r="3462">
      <c r="A3462" s="390" t="str">
        <f>IFERROR(__xludf.DUMMYFUNCTION("""COMPUTED_VALUE"""),"Suely Aparecida Machado - #SLLPA - Segunda Licenciatura Letras - Português")</f>
        <v>Suely Aparecida Machado - #SLLPA - Segunda Licenciatura Letras - Português</v>
      </c>
    </row>
    <row r="3463">
      <c r="A3463" s="390" t="str">
        <f>IFERROR(__xludf.DUMMYFUNCTION("""COMPUTED_VALUE"""),"Suely Aparecida Machado - SEGUNDA LICENCIATURA EM LETRAS PORTUGUÊS / INGLÊS - 2024")</f>
        <v>Suely Aparecida Machado - SEGUNDA LICENCIATURA EM LETRAS PORTUGUÊS / INGLÊS - 2024</v>
      </c>
    </row>
    <row r="3464">
      <c r="A3464" s="390" t="str">
        <f>IFERROR(__xludf.DUMMYFUNCTION("""COMPUTED_VALUE"""),"Suely Aparecida Machado - SEGUNDA LICENCIATURA EM LETRAS - LÍNGUA PORTUGUESA E LIBRAS - 2024")</f>
        <v>Suely Aparecida Machado - SEGUNDA LICENCIATURA EM LETRAS - LÍNGUA PORTUGUESA E LIBRAS - 2024</v>
      </c>
    </row>
    <row r="3465">
      <c r="A3465" s="390" t="str">
        <f>IFERROR(__xludf.DUMMYFUNCTION("""COMPUTED_VALUE"""),"Cláudio Justiniano Gomes - #SLMF - Segunda Licenciatura em Música 1320Horas")</f>
        <v>Cláudio Justiniano Gomes - #SLMF - Segunda Licenciatura em Música 1320Horas</v>
      </c>
    </row>
    <row r="3466">
      <c r="A3466" s="390" t="str">
        <f>IFERROR(__xludf.DUMMYFUNCTION("""COMPUTED_VALUE"""),"Cláudio Justiniano Gomes - Pós-Graduação em Educação Musical")</f>
        <v>Cláudio Justiniano Gomes - Pós-Graduação em Educação Musical</v>
      </c>
    </row>
    <row r="3467">
      <c r="A3467" s="390" t="str">
        <f>IFERROR(__xludf.DUMMYFUNCTION("""COMPUTED_VALUE"""),"Bianca Costa Ferreira - #FPUP-FORMAÇÃO PEDAGÓGICA EM PEDAGOGIA- U")</f>
        <v>Bianca Costa Ferreira - #FPUP-FORMAÇÃO PEDAGÓGICA EM PEDAGOGIA- U</v>
      </c>
    </row>
    <row r="3468">
      <c r="A3468" s="390" t="str">
        <f>IFERROR(__xludf.DUMMYFUNCTION("""COMPUTED_VALUE"""),"Maria Aparecida Candido Valeri - Formação Livre Psicanálise")</f>
        <v>Maria Aparecida Candido Valeri - Formação Livre Psicanálise</v>
      </c>
    </row>
    <row r="3469">
      <c r="A3469" s="390" t="str">
        <f>IFERROR(__xludf.DUMMYFUNCTION("""COMPUTED_VALUE"""),"Flavia Bortolaia de Miranda - Pós-Graduação em Psicanálise")</f>
        <v>Flavia Bortolaia de Miranda - Pós-Graduação em Psicanálise</v>
      </c>
    </row>
    <row r="3470">
      <c r="A3470" s="390" t="str">
        <f>IFERROR(__xludf.DUMMYFUNCTION("""COMPUTED_VALUE"""),"Adriana de Almeida Abreu - Pós-Graduação em Metodologia do Ensino de Língua Inglesa")</f>
        <v>Adriana de Almeida Abreu - Pós-Graduação em Metodologia do Ensino de Língua Inglesa</v>
      </c>
    </row>
    <row r="3471">
      <c r="A3471" s="390" t="str">
        <f>IFERROR(__xludf.DUMMYFUNCTION("""COMPUTED_VALUE"""),"Adriana de Almeida Abreu - NOVO-Pós-Graduação em Psicanálise 800 Horas")</f>
        <v>Adriana de Almeida Abreu - NOVO-Pós-Graduação em Psicanálise 800 Horas</v>
      </c>
    </row>
    <row r="3472">
      <c r="A3472" s="390" t="str">
        <f>IFERROR(__xludf.DUMMYFUNCTION("""COMPUTED_VALUE"""),"Daliene Ferreira Peixoto dos Santos Machado - Formação Livre Psicanálise")</f>
        <v>Daliene Ferreira Peixoto dos Santos Machado - Formação Livre Psicanálise</v>
      </c>
    </row>
    <row r="3473">
      <c r="A3473" s="390" t="str">
        <f>IFERROR(__xludf.DUMMYFUNCTION("""COMPUTED_VALUE"""),"Daliene Ferreira Peixoto dos Santos Machado - Formação Livre em Psicanálise-2022")</f>
        <v>Daliene Ferreira Peixoto dos Santos Machado - Formação Livre em Psicanálise-2022</v>
      </c>
    </row>
    <row r="3474">
      <c r="A3474" s="390" t="str">
        <f>IFERROR(__xludf.DUMMYFUNCTION("""COMPUTED_VALUE"""),"Edvaldo da Silva - Pós-Graduação em Educação Musical-2022")</f>
        <v>Edvaldo da Silva - Pós-Graduação em Educação Musical-2022</v>
      </c>
    </row>
    <row r="3475">
      <c r="A3475" s="390" t="str">
        <f>IFERROR(__xludf.DUMMYFUNCTION("""COMPUTED_VALUE"""),"Edvaldo da Silva - #SLMF - Segunda Licenciatura em Música 1320Horas")</f>
        <v>Edvaldo da Silva - #SLMF - Segunda Licenciatura em Música 1320Horas</v>
      </c>
    </row>
    <row r="3476">
      <c r="A3476" s="390" t="str">
        <f>IFERROR(__xludf.DUMMYFUNCTION("""COMPUTED_VALUE"""),"ELIANE DA SILVA ALVES - #FPUH- Formação Pedagógica em História")</f>
        <v>ELIANE DA SILVA ALVES - #FPUH- Formação Pedagógica em História</v>
      </c>
    </row>
    <row r="3477">
      <c r="A3477" s="390" t="str">
        <f>IFERROR(__xludf.DUMMYFUNCTION("""COMPUTED_VALUE"""),"ELIANE DA SILVA ALVES - Pedagogia para Bacharéis")</f>
        <v>ELIANE DA SILVA ALVES - Pedagogia para Bacharéis</v>
      </c>
    </row>
    <row r="3478">
      <c r="A3478" s="390" t="str">
        <f>IFERROR(__xludf.DUMMYFUNCTION("""COMPUTED_VALUE"""),"Alexandra de Moura Peres - RADIANTE - Pós-Graduação Neurociência e Aprendizagem")</f>
        <v>Alexandra de Moura Peres - RADIANTE - Pós-Graduação Neurociência e Aprendizagem</v>
      </c>
    </row>
    <row r="3479">
      <c r="A3479" s="390" t="str">
        <f>IFERROR(__xludf.DUMMYFUNCTION("""COMPUTED_VALUE"""),"Flávio da Silva Chagas - #SLPA- Segunda Licenciatura em Pedagogia 01")</f>
        <v>Flávio da Silva Chagas - #SLPA- Segunda Licenciatura em Pedagogia 01</v>
      </c>
    </row>
    <row r="3480">
      <c r="A3480" s="390" t="str">
        <f>IFERROR(__xludf.DUMMYFUNCTION("""COMPUTED_VALUE"""),"Flávio da Silva Chagas - Pós-Graduação em Gestão Escolar Integradora com Ênfase em Supervisão, Orientação, Administração e Inspeção 870Horas")</f>
        <v>Flávio da Silva Chagas - Pós-Graduação em Gestão Escolar Integradora com Ênfase em Supervisão, Orientação, Administração e Inspeção 870Horas</v>
      </c>
    </row>
    <row r="3481">
      <c r="A3481" s="390" t="str">
        <f>IFERROR(__xludf.DUMMYFUNCTION("""COMPUTED_VALUE"""),"Gabriela Machado Benaiter - #SLPA- Segunda Licenciatura em Pedagogia 01")</f>
        <v>Gabriela Machado Benaiter - #SLPA- Segunda Licenciatura em Pedagogia 01</v>
      </c>
    </row>
    <row r="3482">
      <c r="A3482" s="390" t="str">
        <f>IFERROR(__xludf.DUMMYFUNCTION("""COMPUTED_VALUE"""),"Tânia Maria Gonçalves Fernandes - RADIANTE - Pós-Graduação em Enfermagem em Oncológica")</f>
        <v>Tânia Maria Gonçalves Fernandes - RADIANTE - Pós-Graduação em Enfermagem em Oncológica</v>
      </c>
    </row>
    <row r="3483">
      <c r="A3483" s="390" t="str">
        <f>IFERROR(__xludf.DUMMYFUNCTION("""COMPUTED_VALUE"""),"Eliane Conceição Duarte Nascimento - NOVO-Pós-Graduação em Psicanálise 800 Horas")</f>
        <v>Eliane Conceição Duarte Nascimento - NOVO-Pós-Graduação em Psicanálise 800 Horas</v>
      </c>
    </row>
    <row r="3484">
      <c r="A3484" s="390" t="str">
        <f>IFERROR(__xludf.DUMMYFUNCTION("""COMPUTED_VALUE"""),"Daniela Ferreira dos Santos - RADIANTE - Pós-Graduação Alfabetização e Letramento")</f>
        <v>Daniela Ferreira dos Santos - RADIANTE - Pós-Graduação Alfabetização e Letramento</v>
      </c>
    </row>
    <row r="3485">
      <c r="A3485" s="390" t="str">
        <f>IFERROR(__xludf.DUMMYFUNCTION("""COMPUTED_VALUE"""),"Rúbia Alves Gomes Correia - RADIANTE - Pós-Graduação em Alfabetização e Letramento e a Psicopedagogia")</f>
        <v>Rúbia Alves Gomes Correia - RADIANTE - Pós-Graduação em Alfabetização e Letramento e a Psicopedagogia</v>
      </c>
    </row>
    <row r="3486">
      <c r="A3486" s="390" t="str">
        <f>IFERROR(__xludf.DUMMYFUNCTION("""COMPUTED_VALUE"""),"Rafael Dutra Sales - RADIANTE - Pós-Graduação em Direito Aplicado ao Agronegócio")</f>
        <v>Rafael Dutra Sales - RADIANTE - Pós-Graduação em Direito Aplicado ao Agronegócio</v>
      </c>
    </row>
    <row r="3487">
      <c r="A3487" s="390" t="str">
        <f>IFERROR(__xludf.DUMMYFUNCTION("""COMPUTED_VALUE"""),"Carlos Alberto Rocha Braga - Pós-Graduação em História do Brasil")</f>
        <v>Carlos Alberto Rocha Braga - Pós-Graduação em História do Brasil</v>
      </c>
    </row>
    <row r="3488">
      <c r="A3488" s="390" t="str">
        <f>IFERROR(__xludf.DUMMYFUNCTION("""COMPUTED_VALUE"""),"Paulo Santos Abreu - RADIANTE - Pós-Graduação em Enfermagem em Urgência e Emergência")</f>
        <v>Paulo Santos Abreu - RADIANTE - Pós-Graduação em Enfermagem em Urgência e Emergência</v>
      </c>
    </row>
    <row r="3489">
      <c r="A3489" s="390" t="str">
        <f>IFERROR(__xludf.DUMMYFUNCTION("""COMPUTED_VALUE"""),"Samuel Gama Duran - Pós-Graduação em Engenharia de Segurança do Trabalho")</f>
        <v>Samuel Gama Duran - Pós-Graduação em Engenharia de Segurança do Trabalho</v>
      </c>
    </row>
    <row r="3490">
      <c r="A3490" s="390" t="str">
        <f>IFERROR(__xludf.DUMMYFUNCTION("""COMPUTED_VALUE"""),"Ana Júlia Damasceno da Silva - RADIANTE - Pós-Graduação em Personal Trainer e Treinamento Desportivo")</f>
        <v>Ana Júlia Damasceno da Silva - RADIANTE - Pós-Graduação em Personal Trainer e Treinamento Desportivo</v>
      </c>
    </row>
    <row r="3491">
      <c r="A3491" s="390" t="str">
        <f>IFERROR(__xludf.DUMMYFUNCTION("""COMPUTED_VALUE"""),"Simone de Souza Zunega de Brito - Pós-Graduação em Saúde Mental com Ênfase em Dependência Química")</f>
        <v>Simone de Souza Zunega de Brito - Pós-Graduação em Saúde Mental com Ênfase em Dependência Química</v>
      </c>
    </row>
    <row r="3492">
      <c r="A3492" s="390" t="str">
        <f>IFERROR(__xludf.DUMMYFUNCTION("""COMPUTED_VALUE"""),"Flávia Andréia Pauletti Albanezi - RADIANTE - Pós-Graduação Educação Especial e Inclusiva")</f>
        <v>Flávia Andréia Pauletti Albanezi - RADIANTE - Pós-Graduação Educação Especial e Inclusiva</v>
      </c>
    </row>
    <row r="3493">
      <c r="A3493" s="390" t="str">
        <f>IFERROR(__xludf.DUMMYFUNCTION("""COMPUTED_VALUE"""),"Carlos José Rodrigues de Amorim - RADIANTE - Pós-Graduação em Biomedicina Estética")</f>
        <v>Carlos José Rodrigues de Amorim - RADIANTE - Pós-Graduação em Biomedicina Estética</v>
      </c>
    </row>
    <row r="3494">
      <c r="A3494" s="390" t="str">
        <f>IFERROR(__xludf.DUMMYFUNCTION("""COMPUTED_VALUE"""),"Leonardo Carvalho de Salles - RADIANTE - Pós-Graduação em Saúde Mental com Ênfase em Dependência Química")</f>
        <v>Leonardo Carvalho de Salles - RADIANTE - Pós-Graduação em Saúde Mental com Ênfase em Dependência Química</v>
      </c>
    </row>
    <row r="3495">
      <c r="A3495" s="390" t="str">
        <f>IFERROR(__xludf.DUMMYFUNCTION("""COMPUTED_VALUE"""),"Lorraine Assis Brandão Pinho - #SLUPI - SEGUNDA LICENCIATURA EM LETRAS – PORTUGUÊS E INGLÊS")</f>
        <v>Lorraine Assis Brandão Pinho - #SLUPI - SEGUNDA LICENCIATURA EM LETRAS – PORTUGUÊS E INGLÊS</v>
      </c>
    </row>
    <row r="3496">
      <c r="A3496" s="390" t="str">
        <f>IFERROR(__xludf.DUMMYFUNCTION("""COMPUTED_VALUE"""),"Lorraine Assis Brandão Pinho - Pós-Graduação em Tecnologias Educacionais")</f>
        <v>Lorraine Assis Brandão Pinho - Pós-Graduação em Tecnologias Educacionais</v>
      </c>
    </row>
    <row r="3497">
      <c r="A3497" s="390" t="str">
        <f>IFERROR(__xludf.DUMMYFUNCTION("""COMPUTED_VALUE"""),"Pedro Paulo Coutinho Ferreira - RADIANTE - Pós-Graduação em Avaliação Psicológica e Psicodiagnóstico")</f>
        <v>Pedro Paulo Coutinho Ferreira - RADIANTE - Pós-Graduação em Avaliação Psicológica e Psicodiagnóstico</v>
      </c>
    </row>
    <row r="3498">
      <c r="A3498" s="390" t="str">
        <f>IFERROR(__xludf.DUMMYFUNCTION("""COMPUTED_VALUE"""),"Dalva Meireles Expedito - RADIANTE - Pós-Graduação Educação Especial e Inclusiva")</f>
        <v>Dalva Meireles Expedito - RADIANTE - Pós-Graduação Educação Especial e Inclusiva</v>
      </c>
    </row>
    <row r="3499">
      <c r="A3499" s="390" t="str">
        <f>IFERROR(__xludf.DUMMYFUNCTION("""COMPUTED_VALUE"""),"Daiany Carvalho de Almeida - RADIANTE - Pós-graduação em Neuropsicologia")</f>
        <v>Daiany Carvalho de Almeida - RADIANTE - Pós-graduação em Neuropsicologia</v>
      </c>
    </row>
    <row r="3500">
      <c r="A3500" s="390" t="str">
        <f>IFERROR(__xludf.DUMMYFUNCTION("""COMPUTED_VALUE"""),"Olga Lopes - Pós-graduação em Gestão Escolar Integradora com Ênfase em Supervisão, Orientação, Administração e Inspeção 740Horas")</f>
        <v>Olga Lopes - Pós-graduação em Gestão Escolar Integradora com Ênfase em Supervisão, Orientação, Administração e Inspeção 740Horas</v>
      </c>
    </row>
    <row r="3501">
      <c r="A3501" s="390" t="str">
        <f>IFERROR(__xludf.DUMMYFUNCTION("""COMPUTED_VALUE"""),"Olga Lopes - #SLPA- Segunda Licenciatura em Pedagogia 01")</f>
        <v>Olga Lopes - #SLPA- Segunda Licenciatura em Pedagogia 01</v>
      </c>
    </row>
    <row r="3502">
      <c r="A3502" s="390" t="str">
        <f>IFERROR(__xludf.DUMMYFUNCTION("""COMPUTED_VALUE"""),"Fabio Messias Motta da Silva - Formação Pedagógica em Artes Visuais")</f>
        <v>Fabio Messias Motta da Silva - Formação Pedagógica em Artes Visuais</v>
      </c>
    </row>
    <row r="3503">
      <c r="A3503" s="390" t="str">
        <f>IFERROR(__xludf.DUMMYFUNCTION("""COMPUTED_VALUE"""),"Fabio Messias Motta da Silva - #FPA+ - FORMAÇÃO PEDAGÓGICA ARTES VISUAIS")</f>
        <v>Fabio Messias Motta da Silva - #FPA+ - FORMAÇÃO PEDAGÓGICA ARTES VISUAIS</v>
      </c>
    </row>
    <row r="3504">
      <c r="A3504" s="390" t="str">
        <f>IFERROR(__xludf.DUMMYFUNCTION("""COMPUTED_VALUE"""),"Sarah Estevão da Costa Teixeira - #SLPA- Segunda Licenciatura em Pedagogia 01")</f>
        <v>Sarah Estevão da Costa Teixeira - #SLPA- Segunda Licenciatura em Pedagogia 01</v>
      </c>
    </row>
    <row r="3505">
      <c r="A3505" s="390" t="str">
        <f>IFERROR(__xludf.DUMMYFUNCTION("""COMPUTED_VALUE"""),"Sarah Estevão da Costa Teixeira - Pós-Graduação Psicopedagogia Clínica, Institucional e Hospitalar")</f>
        <v>Sarah Estevão da Costa Teixeira - Pós-Graduação Psicopedagogia Clínica, Institucional e Hospitalar</v>
      </c>
    </row>
    <row r="3506">
      <c r="A3506" s="390" t="str">
        <f>IFERROR(__xludf.DUMMYFUNCTION("""COMPUTED_VALUE"""),"Réberton Peres dos Santos - #FPMF- Formação Pedagógica em Música 1200Horas")</f>
        <v>Réberton Peres dos Santos - #FPMF- Formação Pedagógica em Música 1200Horas</v>
      </c>
    </row>
    <row r="3507">
      <c r="A3507" s="390" t="str">
        <f>IFERROR(__xludf.DUMMYFUNCTION("""COMPUTED_VALUE"""),"Réberton Peres dos Santos - Pós-Graduação em Arteterapia")</f>
        <v>Réberton Peres dos Santos - Pós-Graduação em Arteterapia</v>
      </c>
    </row>
    <row r="3508">
      <c r="A3508" s="390" t="str">
        <f>IFERROR(__xludf.DUMMYFUNCTION("""COMPUTED_VALUE"""),"Réberton Peres dos Santos - Pós-Graduação em Gestão Estratégica de Pessoas")</f>
        <v>Réberton Peres dos Santos - Pós-Graduação em Gestão Estratégica de Pessoas</v>
      </c>
    </row>
    <row r="3509">
      <c r="A3509" s="390" t="str">
        <f>IFERROR(__xludf.DUMMYFUNCTION("""COMPUTED_VALUE"""),"Valdivino Cordeiro da Silva - #SLPA- Segunda Licenciatura em Pedagogia 01")</f>
        <v>Valdivino Cordeiro da Silva - #SLPA- Segunda Licenciatura em Pedagogia 01</v>
      </c>
    </row>
    <row r="3510">
      <c r="A3510" s="390" t="str">
        <f>IFERROR(__xludf.DUMMYFUNCTION("""COMPUTED_VALUE"""),"Alan Maxi de Paula Dionísio - Pós-Graduação em Coordenação e Orientação Escolar")</f>
        <v>Alan Maxi de Paula Dionísio - Pós-Graduação em Coordenação e Orientação Escolar</v>
      </c>
    </row>
    <row r="3511">
      <c r="A3511" s="390" t="str">
        <f>IFERROR(__xludf.DUMMYFUNCTION("""COMPUTED_VALUE"""),"Alan Maxi de Paula Dionísio - # SLCRA - Segunda Licenciatura em Ciências da Religião")</f>
        <v>Alan Maxi de Paula Dionísio - # SLCRA - Segunda Licenciatura em Ciências da Religião</v>
      </c>
    </row>
    <row r="3512">
      <c r="A3512" s="390" t="str">
        <f>IFERROR(__xludf.DUMMYFUNCTION("""COMPUTED_VALUE"""),"Alan Maxi de Paula Dionísio - SEGUNDA LICENCIATURA EM MATEMÁTICA - 2024")</f>
        <v>Alan Maxi de Paula Dionísio - SEGUNDA LICENCIATURA EM MATEMÁTICA - 2024</v>
      </c>
    </row>
    <row r="3513">
      <c r="A3513" s="390" t="str">
        <f>IFERROR(__xludf.DUMMYFUNCTION("""COMPUTED_VALUE"""),"Graziele de Souza Carvalho - #SLPA- Segunda Licenciatura em Pedagogia 01")</f>
        <v>Graziele de Souza Carvalho - #SLPA- Segunda Licenciatura em Pedagogia 01</v>
      </c>
    </row>
    <row r="3514">
      <c r="A3514" s="390" t="str">
        <f>IFERROR(__xludf.DUMMYFUNCTION("""COMPUTED_VALUE"""),"Danilo Ferreira Soares - #SLUPI - SEGUNDA LICENCIATURA EM LETRAS – PORTUGUÊS E INGLÊS")</f>
        <v>Danilo Ferreira Soares - #SLUPI - SEGUNDA LICENCIATURA EM LETRAS – PORTUGUÊS E INGLÊS</v>
      </c>
    </row>
    <row r="3515">
      <c r="A3515" s="390" t="str">
        <f>IFERROR(__xludf.DUMMYFUNCTION("""COMPUTED_VALUE"""),"Danilo Ferreira Soares - Pós-Graduação em Inspeção Escolar")</f>
        <v>Danilo Ferreira Soares - Pós-Graduação em Inspeção Escolar</v>
      </c>
    </row>
    <row r="3516">
      <c r="A3516" s="390" t="str">
        <f>IFERROR(__xludf.DUMMYFUNCTION("""COMPUTED_VALUE"""),"Luisa Danich Laveckas Rodrigues - #SLMF - Segunda Licenciatura em Música 1320Horas")</f>
        <v>Luisa Danich Laveckas Rodrigues - #SLMF - Segunda Licenciatura em Música 1320Horas</v>
      </c>
    </row>
    <row r="3517">
      <c r="A3517" s="390" t="str">
        <f>IFERROR(__xludf.DUMMYFUNCTION("""COMPUTED_VALUE"""),"Luana Cibele Abreu Almeida - Pós-Graduação em Saúde Mental")</f>
        <v>Luana Cibele Abreu Almeida - Pós-Graduação em Saúde Mental</v>
      </c>
    </row>
    <row r="3518">
      <c r="A3518" s="390" t="str">
        <f>IFERROR(__xludf.DUMMYFUNCTION("""COMPUTED_VALUE"""),"Luana Cibele Abreu Almeida - Pós-Graduação em Neuropsicologia")</f>
        <v>Luana Cibele Abreu Almeida - Pós-Graduação em Neuropsicologia</v>
      </c>
    </row>
    <row r="3519">
      <c r="A3519" s="390" t="str">
        <f>IFERROR(__xludf.DUMMYFUNCTION("""COMPUTED_VALUE"""),"Jaqueline Regina De Melo Silva - #FPUEF - Formação Pedagógica em Educação Física - 1200 Horas")</f>
        <v>Jaqueline Regina De Melo Silva - #FPUEF - Formação Pedagógica em Educação Física - 1200 Horas</v>
      </c>
    </row>
    <row r="3520">
      <c r="A3520" s="390" t="str">
        <f>IFERROR(__xludf.DUMMYFUNCTION("""COMPUTED_VALUE"""),"Bruna Martins do Nascimento - #SLUP - SEGUNDA LICENCIATURA EM PEDAGOGIA")</f>
        <v>Bruna Martins do Nascimento - #SLUP - SEGUNDA LICENCIATURA EM PEDAGOGIA</v>
      </c>
    </row>
    <row r="3521">
      <c r="A3521" s="390" t="str">
        <f>IFERROR(__xludf.DUMMYFUNCTION("""COMPUTED_VALUE"""),"Bruna Martins do Nascimento - #FPP- Formação Pedagógica em Pedagogia R2")</f>
        <v>Bruna Martins do Nascimento - #FPP- Formação Pedagógica em Pedagogia R2</v>
      </c>
    </row>
    <row r="3522">
      <c r="A3522" s="390" t="str">
        <f>IFERROR(__xludf.DUMMYFUNCTION("""COMPUTED_VALUE"""),"Aldeir de Moura Costa - #SLMF - Segunda Licenciatura em Música 1320Horas")</f>
        <v>Aldeir de Moura Costa - #SLMF - Segunda Licenciatura em Música 1320Horas</v>
      </c>
    </row>
    <row r="3523">
      <c r="A3523" s="390" t="str">
        <f>IFERROR(__xludf.DUMMYFUNCTION("""COMPUTED_VALUE"""),"Gerson Daniel Giese - #SLMF - Segunda Licenciatura em Música 1320Horas")</f>
        <v>Gerson Daniel Giese - #SLMF - Segunda Licenciatura em Música 1320Horas</v>
      </c>
    </row>
    <row r="3524">
      <c r="A3524" s="390" t="str">
        <f>IFERROR(__xludf.DUMMYFUNCTION("""COMPUTED_VALUE"""),"Hiago Ruhmke da Costa - # SLCRA - Segunda Licenciatura em Ciências da Religião")</f>
        <v>Hiago Ruhmke da Costa - # SLCRA - Segunda Licenciatura em Ciências da Religião</v>
      </c>
    </row>
    <row r="3525">
      <c r="A3525" s="390" t="str">
        <f>IFERROR(__xludf.DUMMYFUNCTION("""COMPUTED_VALUE"""),"Hiago Ruhmke da Costa - #FPP- Formação Pedagógica em Pedagogia R2")</f>
        <v>Hiago Ruhmke da Costa - #FPP- Formação Pedagógica em Pedagogia R2</v>
      </c>
    </row>
    <row r="3526">
      <c r="A3526" s="390" t="str">
        <f>IFERROR(__xludf.DUMMYFUNCTION("""COMPUTED_VALUE"""),"Hiago Ruhmke da Costa - FORMAÇÃO PEDAGÓGICA EM CIÊNCIAS DA RELIGIÃO- U")</f>
        <v>Hiago Ruhmke da Costa - FORMAÇÃO PEDAGÓGICA EM CIÊNCIAS DA RELIGIÃO- U</v>
      </c>
    </row>
    <row r="3527">
      <c r="A3527" s="390" t="str">
        <f>IFERROR(__xludf.DUMMYFUNCTION("""COMPUTED_VALUE"""),"Hiago Ruhmke da Costa - Pós-Graduação em Docência do Ensino Superior e Tutoria de Educação a Distância")</f>
        <v>Hiago Ruhmke da Costa - Pós-Graduação em Docência do Ensino Superior e Tutoria de Educação a Distância</v>
      </c>
    </row>
    <row r="3528">
      <c r="A3528" s="390" t="str">
        <f>IFERROR(__xludf.DUMMYFUNCTION("""COMPUTED_VALUE"""),"Josemir José da Silva - #FPUH- Formação Pedagógica em História")</f>
        <v>Josemir José da Silva - #FPUH- Formação Pedagógica em História</v>
      </c>
    </row>
    <row r="3529">
      <c r="A3529" s="390" t="str">
        <f>IFERROR(__xludf.DUMMYFUNCTION("""COMPUTED_VALUE"""),"Josemir José da Silva - Pós-Graduação Terapia Cognitiva Comportamental")</f>
        <v>Josemir José da Silva - Pós-Graduação Terapia Cognitiva Comportamental</v>
      </c>
    </row>
    <row r="3530">
      <c r="A3530" s="390" t="str">
        <f>IFERROR(__xludf.DUMMYFUNCTION("""COMPUTED_VALUE"""),"Silvia salles - Formação Livre Psicanálise")</f>
        <v>Silvia salles - Formação Livre Psicanálise</v>
      </c>
    </row>
    <row r="3531">
      <c r="A3531" s="390" t="str">
        <f>IFERROR(__xludf.DUMMYFUNCTION("""COMPUTED_VALUE"""),"Monica Camargo Pigato - Pós-Graduação em Psicanálise")</f>
        <v>Monica Camargo Pigato - Pós-Graduação em Psicanálise</v>
      </c>
    </row>
    <row r="3532">
      <c r="A3532" s="390" t="str">
        <f>IFERROR(__xludf.DUMMYFUNCTION("""COMPUTED_VALUE"""),"Vanessa Cristina Xavier Cardoso - Pós-Graduação em Terapia em ABA- Análise do Comportamento Aplicada")</f>
        <v>Vanessa Cristina Xavier Cardoso - Pós-Graduação em Terapia em ABA- Análise do Comportamento Aplicada</v>
      </c>
    </row>
    <row r="3533">
      <c r="A3533" s="390" t="str">
        <f>IFERROR(__xludf.DUMMYFUNCTION("""COMPUTED_VALUE"""),"Lúcia Maria Fontes Pereira - Formação Livre Psicanálise")</f>
        <v>Lúcia Maria Fontes Pereira - Formação Livre Psicanálise</v>
      </c>
    </row>
    <row r="3534">
      <c r="A3534" s="390" t="str">
        <f>IFERROR(__xludf.DUMMYFUNCTION("""COMPUTED_VALUE"""),"Elieusa de Sousa Carvalho - Pedagogia para Bacharéis")</f>
        <v>Elieusa de Sousa Carvalho - Pedagogia para Bacharéis</v>
      </c>
    </row>
    <row r="3535">
      <c r="A3535" s="390" t="str">
        <f>IFERROR(__xludf.DUMMYFUNCTION("""COMPUTED_VALUE"""),"Magno Antonio Faciroli de Santana - Formação Livre Psicanálise")</f>
        <v>Magno Antonio Faciroli de Santana - Formação Livre Psicanálise</v>
      </c>
    </row>
    <row r="3536">
      <c r="A3536" s="390" t="str">
        <f>IFERROR(__xludf.DUMMYFUNCTION("""COMPUTED_VALUE"""),"Telma Dos Santos Cardoso - Pós-Graduação em Alfabetização e Letramento e a Psicopedagogia")</f>
        <v>Telma Dos Santos Cardoso - Pós-Graduação em Alfabetização e Letramento e a Psicopedagogia</v>
      </c>
    </row>
    <row r="3537">
      <c r="A3537" s="390" t="str">
        <f>IFERROR(__xludf.DUMMYFUNCTION("""COMPUTED_VALUE"""),"Telma Dos Santos Cardoso - #SLPA- Segunda Licenciatura em Pedagogia 01")</f>
        <v>Telma Dos Santos Cardoso - #SLPA- Segunda Licenciatura em Pedagogia 01</v>
      </c>
    </row>
    <row r="3538">
      <c r="A3538" s="390" t="str">
        <f>IFERROR(__xludf.DUMMYFUNCTION("""COMPUTED_VALUE"""),"Jose Fernandes Lobo Neto - #FPUM Formação Pedagógica em Matemática")</f>
        <v>Jose Fernandes Lobo Neto - #FPUM Formação Pedagógica em Matemática</v>
      </c>
    </row>
    <row r="3539">
      <c r="A3539" s="390" t="str">
        <f>IFERROR(__xludf.DUMMYFUNCTION("""COMPUTED_VALUE"""),"William Gustavo Farias Viana - #FPMF- Formação Pedagógica em Música 1200Horas")</f>
        <v>William Gustavo Farias Viana - #FPMF- Formação Pedagógica em Música 1200Horas</v>
      </c>
    </row>
    <row r="3540">
      <c r="A3540" s="390" t="str">
        <f>IFERROR(__xludf.DUMMYFUNCTION("""COMPUTED_VALUE"""),"Janaina Santos Miranda - Pós-Graduação em Psicanálise")</f>
        <v>Janaina Santos Miranda - Pós-Graduação em Psicanálise</v>
      </c>
    </row>
    <row r="3541">
      <c r="A3541" s="390" t="str">
        <f>IFERROR(__xludf.DUMMYFUNCTION("""COMPUTED_VALUE"""),"Priscila de Paiva Gonçalves - Formação Livre Psicanálise")</f>
        <v>Priscila de Paiva Gonçalves - Formação Livre Psicanálise</v>
      </c>
    </row>
    <row r="3542">
      <c r="A3542" s="390" t="str">
        <f>IFERROR(__xludf.DUMMYFUNCTION("""COMPUTED_VALUE"""),"Aline Ferreira Netto - Pós-Graduação em Psicanálise")</f>
        <v>Aline Ferreira Netto - Pós-Graduação em Psicanálise</v>
      </c>
    </row>
    <row r="3543">
      <c r="A3543" s="390" t="str">
        <f>IFERROR(__xludf.DUMMYFUNCTION("""COMPUTED_VALUE"""),"Eduardo De Sousa Caldas - #FPMF- Formação Pedagógica em Música 1200Horas")</f>
        <v>Eduardo De Sousa Caldas - #FPMF- Formação Pedagógica em Música 1200Horas</v>
      </c>
    </row>
    <row r="3544">
      <c r="A3544" s="390" t="str">
        <f>IFERROR(__xludf.DUMMYFUNCTION("""COMPUTED_VALUE"""),"Laísa Coelho Gomes - FORMAÇÃO PEDAGÓGICA EM EDUCAÇÃO ESPECIAL- U")</f>
        <v>Laísa Coelho Gomes - FORMAÇÃO PEDAGÓGICA EM EDUCAÇÃO ESPECIAL- U</v>
      </c>
    </row>
    <row r="3545">
      <c r="A3545" s="390" t="str">
        <f>IFERROR(__xludf.DUMMYFUNCTION("""COMPUTED_VALUE"""),"Josinete Pereira Passos dos Santos Felipe - #SLMF - Segunda Licenciatura em Música 1320Horas")</f>
        <v>Josinete Pereira Passos dos Santos Felipe - #SLMF - Segunda Licenciatura em Música 1320Horas</v>
      </c>
    </row>
    <row r="3546">
      <c r="A3546" s="390" t="str">
        <f>IFERROR(__xludf.DUMMYFUNCTION("""COMPUTED_VALUE"""),"Kelly da Silva Ferreira - Formação Livre em Sexologia")</f>
        <v>Kelly da Silva Ferreira - Formação Livre em Sexologia</v>
      </c>
    </row>
    <row r="3547">
      <c r="A3547" s="390" t="str">
        <f>IFERROR(__xludf.DUMMYFUNCTION("""COMPUTED_VALUE"""),"Claudiani Dias Corrêa - Formação Livre Psicanálise")</f>
        <v>Claudiani Dias Corrêa - Formação Livre Psicanálise</v>
      </c>
    </row>
    <row r="3548">
      <c r="A3548" s="390" t="str">
        <f>IFERROR(__xludf.DUMMYFUNCTION("""COMPUTED_VALUE"""),"Silvio Almeida de Moraes - #FPMF- Formação Pedagógica em Música 1200Horas")</f>
        <v>Silvio Almeida de Moraes - #FPMF- Formação Pedagógica em Música 1200Horas</v>
      </c>
    </row>
    <row r="3549">
      <c r="A3549" s="390" t="str">
        <f>IFERROR(__xludf.DUMMYFUNCTION("""COMPUTED_VALUE"""),"NORBERTA LUCIDALVA DE OLIVEIRA COSTA - Pós-Graduação em Psicanálise")</f>
        <v>NORBERTA LUCIDALVA DE OLIVEIRA COSTA - Pós-Graduação em Psicanálise</v>
      </c>
    </row>
    <row r="3550">
      <c r="A3550" s="390" t="str">
        <f>IFERROR(__xludf.DUMMYFUNCTION("""COMPUTED_VALUE"""),"Marly Gonçalves Lima - #SLUA- Segunda Licenciatura em Artes Visuais")</f>
        <v>Marly Gonçalves Lima - #SLUA- Segunda Licenciatura em Artes Visuais</v>
      </c>
    </row>
    <row r="3551">
      <c r="A3551" s="390" t="str">
        <f>IFERROR(__xludf.DUMMYFUNCTION("""COMPUTED_VALUE"""),"Samuel Bueno de Oliveira - #SLMF - Segunda Licenciatura em Música 1320Horas")</f>
        <v>Samuel Bueno de Oliveira - #SLMF - Segunda Licenciatura em Música 1320Horas</v>
      </c>
    </row>
    <row r="3552">
      <c r="A3552" s="390" t="str">
        <f>IFERROR(__xludf.DUMMYFUNCTION("""COMPUTED_VALUE"""),"Samuel Bueno de Oliveira - Graduação em Licenciatura em Música")</f>
        <v>Samuel Bueno de Oliveira - Graduação em Licenciatura em Música</v>
      </c>
    </row>
    <row r="3553">
      <c r="A3553" s="390" t="str">
        <f>IFERROR(__xludf.DUMMYFUNCTION("""COMPUTED_VALUE"""),"Amanda Gravena Dias de Melo - Formação Livre Psicanálise")</f>
        <v>Amanda Gravena Dias de Melo - Formação Livre Psicanálise</v>
      </c>
    </row>
    <row r="3554">
      <c r="A3554" s="390" t="str">
        <f>IFERROR(__xludf.DUMMYFUNCTION("""COMPUTED_VALUE"""),"Magno de Lima Vasconcelos - Formação Livre Psicanálise")</f>
        <v>Magno de Lima Vasconcelos - Formação Livre Psicanálise</v>
      </c>
    </row>
    <row r="3555">
      <c r="A3555" s="390" t="str">
        <f>IFERROR(__xludf.DUMMYFUNCTION("""COMPUTED_VALUE"""),"Roni Pereira das Virgens - #FPUH- Formação Pedagógica em História")</f>
        <v>Roni Pereira das Virgens - #FPUH- Formação Pedagógica em História</v>
      </c>
    </row>
    <row r="3556">
      <c r="A3556" s="390" t="str">
        <f>IFERROR(__xludf.DUMMYFUNCTION("""COMPUTED_VALUE"""),"Roni Pereira das Virgens - NOVO-Pós-Graduação em Psicanálise 800 Horas")</f>
        <v>Roni Pereira das Virgens - NOVO-Pós-Graduação em Psicanálise 800 Horas</v>
      </c>
    </row>
    <row r="3557">
      <c r="A3557" s="390" t="str">
        <f>IFERROR(__xludf.DUMMYFUNCTION("""COMPUTED_VALUE"""),"Roni Pereira das Virgens - Formação Pedagógica História")</f>
        <v>Roni Pereira das Virgens - Formação Pedagógica História</v>
      </c>
    </row>
    <row r="3558">
      <c r="A3558" s="390" t="str">
        <f>IFERROR(__xludf.DUMMYFUNCTION("""COMPUTED_VALUE"""),"Jonas Miguel Destro - Pós-Graduação em Análise de Comportamento Aplicada ao Autismo-ABA Com Habilitação em Docência no Ensino Superior")</f>
        <v>Jonas Miguel Destro - Pós-Graduação em Análise de Comportamento Aplicada ao Autismo-ABA Com Habilitação em Docência no Ensino Superior</v>
      </c>
    </row>
    <row r="3559">
      <c r="A3559" s="390" t="str">
        <f>IFERROR(__xludf.DUMMYFUNCTION("""COMPUTED_VALUE"""),"Pamela Lemos Salvi - Pós-Graduação em Neuropsicopedagogia Institucional, Clínica e Hospitalar 850h")</f>
        <v>Pamela Lemos Salvi - Pós-Graduação em Neuropsicopedagogia Institucional, Clínica e Hospitalar 850h</v>
      </c>
    </row>
    <row r="3560">
      <c r="A3560" s="390" t="str">
        <f>IFERROR(__xludf.DUMMYFUNCTION("""COMPUTED_VALUE"""),"Vera Denise Nunes Borba - Pós-Graduação em Psicanálise")</f>
        <v>Vera Denise Nunes Borba - Pós-Graduação em Psicanálise</v>
      </c>
    </row>
    <row r="3561">
      <c r="A3561" s="390" t="str">
        <f>IFERROR(__xludf.DUMMYFUNCTION("""COMPUTED_VALUE"""),"Joselino Torres E Silva - Formação pedagógica Letras - Português")</f>
        <v>Joselino Torres E Silva - Formação pedagógica Letras - Português</v>
      </c>
    </row>
    <row r="3562">
      <c r="A3562" s="390" t="str">
        <f>IFERROR(__xludf.DUMMYFUNCTION("""COMPUTED_VALUE"""),"Ana Carla Magalhães da Silva - Formação Livre em Sexologia")</f>
        <v>Ana Carla Magalhães da Silva - Formação Livre em Sexologia</v>
      </c>
    </row>
    <row r="3563">
      <c r="A3563" s="390" t="str">
        <f>IFERROR(__xludf.DUMMYFUNCTION("""COMPUTED_VALUE"""),"Ana Carla Magalhães da Silva - Capacitação em Sexologia")</f>
        <v>Ana Carla Magalhães da Silva - Capacitação em Sexologia</v>
      </c>
    </row>
    <row r="3564">
      <c r="A3564" s="390" t="str">
        <f>IFERROR(__xludf.DUMMYFUNCTION("""COMPUTED_VALUE"""),"Norma Machado Marques - Pós-Graduação em Sexologia")</f>
        <v>Norma Machado Marques - Pós-Graduação em Sexologia</v>
      </c>
    </row>
    <row r="3565">
      <c r="A3565" s="390" t="str">
        <f>IFERROR(__xludf.DUMMYFUNCTION("""COMPUTED_VALUE"""),"Edson de Souza Teixeira - Pós-Graduação em Psicanálise")</f>
        <v>Edson de Souza Teixeira - Pós-Graduação em Psicanálise</v>
      </c>
    </row>
    <row r="3566">
      <c r="A3566" s="390" t="str">
        <f>IFERROR(__xludf.DUMMYFUNCTION("""COMPUTED_VALUE"""),"Carlúcia Trindade Lima - Pós-Graduação em Neuropsicopedagogia Institucional, Clínica e Hospitalar 850h")</f>
        <v>Carlúcia Trindade Lima - Pós-Graduação em Neuropsicopedagogia Institucional, Clínica e Hospitalar 850h</v>
      </c>
    </row>
    <row r="3567">
      <c r="A3567" s="390" t="str">
        <f>IFERROR(__xludf.DUMMYFUNCTION("""COMPUTED_VALUE"""),"Réggis Peres da Silva Pinto - Formação Livre Psicanálise")</f>
        <v>Réggis Peres da Silva Pinto - Formação Livre Psicanálise</v>
      </c>
    </row>
    <row r="3568">
      <c r="A3568" s="390" t="str">
        <f>IFERROR(__xludf.DUMMYFUNCTION("""COMPUTED_VALUE"""),"Juliana de Oliveira Mendonça da Silva - Pós-Graduação em Psicanálise")</f>
        <v>Juliana de Oliveira Mendonça da Silva - Pós-Graduação em Psicanálise</v>
      </c>
    </row>
    <row r="3569">
      <c r="A3569" s="390" t="str">
        <f>IFERROR(__xludf.DUMMYFUNCTION("""COMPUTED_VALUE"""),"Juliana de Oliveira Mendonça da Silva - Pós-Graduação em Sexologia")</f>
        <v>Juliana de Oliveira Mendonça da Silva - Pós-Graduação em Sexologia</v>
      </c>
    </row>
    <row r="3570">
      <c r="A3570" s="390" t="str">
        <f>IFERROR(__xludf.DUMMYFUNCTION("""COMPUTED_VALUE"""),"Carem Simone Sampaio Christofoletti - #SLPT- Segunda Licenciatura em Pedagogia")</f>
        <v>Carem Simone Sampaio Christofoletti - #SLPT- Segunda Licenciatura em Pedagogia</v>
      </c>
    </row>
    <row r="3571">
      <c r="A3571" s="390" t="str">
        <f>IFERROR(__xludf.DUMMYFUNCTION("""COMPUTED_VALUE"""),"Ana Paula Carvalho dos Santos Marcelino - Pós-Graduação em Psicanálise")</f>
        <v>Ana Paula Carvalho dos Santos Marcelino - Pós-Graduação em Psicanálise</v>
      </c>
    </row>
    <row r="3572">
      <c r="A3572" s="390" t="str">
        <f>IFERROR(__xludf.DUMMYFUNCTION("""COMPUTED_VALUE"""),"Ana Paula Carvalho dos Santos Marcelino - Pós-Graduação em Psicologia Hospitalar")</f>
        <v>Ana Paula Carvalho dos Santos Marcelino - Pós-Graduação em Psicologia Hospitalar</v>
      </c>
    </row>
    <row r="3573">
      <c r="A3573" s="390" t="str">
        <f>IFERROR(__xludf.DUMMYFUNCTION("""COMPUTED_VALUE"""),"Amarildo Ferreira da Silva - Pós-Graduação em Nutrição Esportiva")</f>
        <v>Amarildo Ferreira da Silva - Pós-Graduação em Nutrição Esportiva</v>
      </c>
    </row>
    <row r="3574">
      <c r="A3574" s="390" t="str">
        <f>IFERROR(__xludf.DUMMYFUNCTION("""COMPUTED_VALUE"""),"MEYRE MARTINHA VELOSO - RADIANTE - Pós-Graduação em Terapia Ocupacional Aplicada à Neurologia")</f>
        <v>MEYRE MARTINHA VELOSO - RADIANTE - Pós-Graduação em Terapia Ocupacional Aplicada à Neurologia</v>
      </c>
    </row>
    <row r="3575">
      <c r="A3575" s="390" t="str">
        <f>IFERROR(__xludf.DUMMYFUNCTION("""COMPUTED_VALUE"""),"Jones de Paulo Ferreira - #SLUPE- Segunda Licenciatura em Letras – Português e Espanhol")</f>
        <v>Jones de Paulo Ferreira - #SLUPE- Segunda Licenciatura em Letras – Português e Espanhol</v>
      </c>
    </row>
    <row r="3576">
      <c r="A3576" s="390" t="str">
        <f>IFERROR(__xludf.DUMMYFUNCTION("""COMPUTED_VALUE"""),"Jones de Paulo Ferreira - Pós-Graduação em Ensino de Literatura e Produção de Textos em Língua Espanhola")</f>
        <v>Jones de Paulo Ferreira - Pós-Graduação em Ensino de Literatura e Produção de Textos em Língua Espanhola</v>
      </c>
    </row>
    <row r="3577">
      <c r="A3577" s="390" t="str">
        <f>IFERROR(__xludf.DUMMYFUNCTION("""COMPUTED_VALUE"""),"Jones de Paulo Ferreira - Pós-Graduação em Educação Especial 720Horas")</f>
        <v>Jones de Paulo Ferreira - Pós-Graduação em Educação Especial 720Horas</v>
      </c>
    </row>
    <row r="3578">
      <c r="A3578" s="390" t="str">
        <f>IFERROR(__xludf.DUMMYFUNCTION("""COMPUTED_VALUE"""),"Jeaninha Neves De Menezes - #SLMF - Segunda Licenciatura em Música 1320Horas")</f>
        <v>Jeaninha Neves De Menezes - #SLMF - Segunda Licenciatura em Música 1320Horas</v>
      </c>
    </row>
    <row r="3579">
      <c r="A3579" s="390" t="str">
        <f>IFERROR(__xludf.DUMMYFUNCTION("""COMPUTED_VALUE"""),"Adenilson Henrique Azevedo Gomes - #FPT1-Pedagogia para Bacharéis e Tecnólogos (2022)")</f>
        <v>Adenilson Henrique Azevedo Gomes - #FPT1-Pedagogia para Bacharéis e Tecnólogos (2022)</v>
      </c>
    </row>
    <row r="3580">
      <c r="A3580" s="390" t="str">
        <f>IFERROR(__xludf.DUMMYFUNCTION("""COMPUTED_VALUE"""),"Irene Veloso Costa - Práticas Pedagógicas")</f>
        <v>Irene Veloso Costa - Práticas Pedagógicas</v>
      </c>
    </row>
    <row r="3581">
      <c r="A3581" s="390" t="str">
        <f>IFERROR(__xludf.DUMMYFUNCTION("""COMPUTED_VALUE"""),"ROBERTO MENDES TEIXEIRA - #SLUEE - SEGUNDA LICENCIATURA EM EDUCAÇÃO ESPECIAL")</f>
        <v>ROBERTO MENDES TEIXEIRA - #SLUEE - SEGUNDA LICENCIATURA EM EDUCAÇÃO ESPECIAL</v>
      </c>
    </row>
    <row r="3582">
      <c r="A3582" s="390" t="str">
        <f>IFERROR(__xludf.DUMMYFUNCTION("""COMPUTED_VALUE"""),"ROBERTO MENDES TEIXEIRA - Formação Pedagógica em Educação Especial")</f>
        <v>ROBERTO MENDES TEIXEIRA - Formação Pedagógica em Educação Especial</v>
      </c>
    </row>
    <row r="3583">
      <c r="A3583" s="390" t="str">
        <f>IFERROR(__xludf.DUMMYFUNCTION("""COMPUTED_VALUE"""),"Márcia Regina Budni - Formação Livre Psicanálise")</f>
        <v>Márcia Regina Budni - Formação Livre Psicanálise</v>
      </c>
    </row>
    <row r="3584">
      <c r="A3584" s="390" t="str">
        <f>IFERROR(__xludf.DUMMYFUNCTION("""COMPUTED_VALUE"""),"Márcia Regina Budni - PÓS-GRADUAÇÃO EM PSICANÁLISE - 2024")</f>
        <v>Márcia Regina Budni - PÓS-GRADUAÇÃO EM PSICANÁLISE - 2024</v>
      </c>
    </row>
    <row r="3585">
      <c r="A3585" s="390" t="str">
        <f>IFERROR(__xludf.DUMMYFUNCTION("""COMPUTED_VALUE"""),"Marco Antônio de Brito Machado - Formação Livre Psicanálise")</f>
        <v>Marco Antônio de Brito Machado - Formação Livre Psicanálise</v>
      </c>
    </row>
    <row r="3586">
      <c r="A3586" s="390" t="str">
        <f>IFERROR(__xludf.DUMMYFUNCTION("""COMPUTED_VALUE"""),"Andréia Cristina Gonçalves Muniz - Pós-Graduação em Psicanálise")</f>
        <v>Andréia Cristina Gonçalves Muniz - Pós-Graduação em Psicanálise</v>
      </c>
    </row>
    <row r="3587">
      <c r="A3587" s="390" t="str">
        <f>IFERROR(__xludf.DUMMYFUNCTION("""COMPUTED_VALUE"""),"Andréia Cristina Gonçalves Muniz - NOVO-Pós-Graduação em Psicanálise 800 Horas")</f>
        <v>Andréia Cristina Gonçalves Muniz - NOVO-Pós-Graduação em Psicanálise 800 Horas</v>
      </c>
    </row>
    <row r="3588">
      <c r="A3588" s="390" t="str">
        <f>IFERROR(__xludf.DUMMYFUNCTION("""COMPUTED_VALUE"""),"Tamires Mariano Vialonga - #FPLIT - FORMAÇÃO PEDAGÓGICA EM LETRAS - INGLÊS")</f>
        <v>Tamires Mariano Vialonga - #FPLIT - FORMAÇÃO PEDAGÓGICA EM LETRAS - INGLÊS</v>
      </c>
    </row>
    <row r="3589">
      <c r="A3589" s="390" t="str">
        <f>IFERROR(__xludf.DUMMYFUNCTION("""COMPUTED_VALUE"""),"Rosemeire Rocha de Andrade - Formação Livre em Sexologia")</f>
        <v>Rosemeire Rocha de Andrade - Formação Livre em Sexologia</v>
      </c>
    </row>
    <row r="3590">
      <c r="A3590" s="390" t="str">
        <f>IFERROR(__xludf.DUMMYFUNCTION("""COMPUTED_VALUE"""),"Patricia de souza constantino dos santos - Formação Livre Psicanálise")</f>
        <v>Patricia de souza constantino dos santos - Formação Livre Psicanálise</v>
      </c>
    </row>
    <row r="3591">
      <c r="A3591" s="390" t="str">
        <f>IFERROR(__xludf.DUMMYFUNCTION("""COMPUTED_VALUE"""),"Leticia Trambini Correa - Pós-Graduação Educação Especial e Inclusiva")</f>
        <v>Leticia Trambini Correa - Pós-Graduação Educação Especial e Inclusiva</v>
      </c>
    </row>
    <row r="3592">
      <c r="A3592" s="390" t="str">
        <f>IFERROR(__xludf.DUMMYFUNCTION("""COMPUTED_VALUE"""),"Leticia Trambini Correa - Pós-Graduação em Terapia em ABA- Análise do Comportamento Aplicada Clínica")</f>
        <v>Leticia Trambini Correa - Pós-Graduação em Terapia em ABA- Análise do Comportamento Aplicada Clínica</v>
      </c>
    </row>
    <row r="3593">
      <c r="A3593" s="390" t="str">
        <f>IFERROR(__xludf.DUMMYFUNCTION("""COMPUTED_VALUE"""),"Luciano Segretti - Formação Livre Psicanálise")</f>
        <v>Luciano Segretti - Formação Livre Psicanálise</v>
      </c>
    </row>
    <row r="3594">
      <c r="A3594" s="390" t="str">
        <f>IFERROR(__xludf.DUMMYFUNCTION("""COMPUTED_VALUE"""),"Daiane Regina stolberg wzorek - #SLUP - SEGUNDA LICENCIATURA EM PEDAGOGIA")</f>
        <v>Daiane Regina stolberg wzorek - #SLUP - SEGUNDA LICENCIATURA EM PEDAGOGIA</v>
      </c>
    </row>
    <row r="3595">
      <c r="A3595" s="390" t="str">
        <f>IFERROR(__xludf.DUMMYFUNCTION("""COMPUTED_VALUE"""),"Aline de Lima Menoli Galbero - #SLMF - Segunda Licenciatura em Música 1320Horas")</f>
        <v>Aline de Lima Menoli Galbero - #SLMF - Segunda Licenciatura em Música 1320Horas</v>
      </c>
    </row>
    <row r="3596">
      <c r="A3596" s="390" t="str">
        <f>IFERROR(__xludf.DUMMYFUNCTION("""COMPUTED_VALUE"""),"Aline de Lima Menoli Galbero - Pós-Graduação em Educação Musical")</f>
        <v>Aline de Lima Menoli Galbero - Pós-Graduação em Educação Musical</v>
      </c>
    </row>
    <row r="3597">
      <c r="A3597" s="390" t="str">
        <f>IFERROR(__xludf.DUMMYFUNCTION("""COMPUTED_VALUE"""),"Fabio Cesar Teixeira de Santana - #SLMF - Segunda Licenciatura em Música 1320Horas")</f>
        <v>Fabio Cesar Teixeira de Santana - #SLMF - Segunda Licenciatura em Música 1320Horas</v>
      </c>
    </row>
    <row r="3598">
      <c r="A3598" s="390" t="str">
        <f>IFERROR(__xludf.DUMMYFUNCTION("""COMPUTED_VALUE"""),"Fabio Cesar Teixeira de Santana - Pós-Graduação em Educação Musical")</f>
        <v>Fabio Cesar Teixeira de Santana - Pós-Graduação em Educação Musical</v>
      </c>
    </row>
    <row r="3599">
      <c r="A3599" s="390" t="str">
        <f>IFERROR(__xludf.DUMMYFUNCTION("""COMPUTED_VALUE"""),"Diomara dos Santos Pereira - Formação Livre Psicanálise")</f>
        <v>Diomara dos Santos Pereira - Formação Livre Psicanálise</v>
      </c>
    </row>
    <row r="3600">
      <c r="A3600" s="390" t="str">
        <f>IFERROR(__xludf.DUMMYFUNCTION("""COMPUTED_VALUE"""),"Diomara dos Santos Pereira - Formação Livre em Sexologia")</f>
        <v>Diomara dos Santos Pereira - Formação Livre em Sexologia</v>
      </c>
    </row>
    <row r="3601">
      <c r="A3601" s="390" t="str">
        <f>IFERROR(__xludf.DUMMYFUNCTION("""COMPUTED_VALUE"""),"Adriana Sant'Ana das Neves - Formação Livre Psicanálise")</f>
        <v>Adriana Sant'Ana das Neves - Formação Livre Psicanálise</v>
      </c>
    </row>
    <row r="3602">
      <c r="A3602" s="390" t="str">
        <f>IFERROR(__xludf.DUMMYFUNCTION("""COMPUTED_VALUE"""),"Ivone Maria Da Silva Souza - #SLMF - Segunda Licenciatura em Música 1320Horas")</f>
        <v>Ivone Maria Da Silva Souza - #SLMF - Segunda Licenciatura em Música 1320Horas</v>
      </c>
    </row>
    <row r="3603">
      <c r="A3603" s="390" t="str">
        <f>IFERROR(__xludf.DUMMYFUNCTION("""COMPUTED_VALUE"""),"Ofelia Rost De Andrade - #SLPA- Segunda Licenciatura em Pedagogia 01")</f>
        <v>Ofelia Rost De Andrade - #SLPA- Segunda Licenciatura em Pedagogia 01</v>
      </c>
    </row>
    <row r="3604">
      <c r="A3604" s="390" t="str">
        <f>IFERROR(__xludf.DUMMYFUNCTION("""COMPUTED_VALUE"""),"Ronaldo Claudino Gomes - Pós-Graduação em Gestão em RH com Ênfase em Treinamento e Desenvolvimento")</f>
        <v>Ronaldo Claudino Gomes - Pós-Graduação em Gestão em RH com Ênfase em Treinamento e Desenvolvimento</v>
      </c>
    </row>
    <row r="3605">
      <c r="A3605" s="390" t="str">
        <f>IFERROR(__xludf.DUMMYFUNCTION("""COMPUTED_VALUE"""),"Juliane de Cássia Franco - #SLPA- Segunda Licenciatura em Pedagogia 01")</f>
        <v>Juliane de Cássia Franco - #SLPA- Segunda Licenciatura em Pedagogia 01</v>
      </c>
    </row>
    <row r="3606">
      <c r="A3606" s="390" t="str">
        <f>IFERROR(__xludf.DUMMYFUNCTION("""COMPUTED_VALUE"""),"Letícia Machado Tadeu da Silva - #SLUA- Segunda Licenciatura em Artes Visuais")</f>
        <v>Letícia Machado Tadeu da Silva - #SLUA- Segunda Licenciatura em Artes Visuais</v>
      </c>
    </row>
    <row r="3607">
      <c r="A3607" s="390" t="str">
        <f>IFERROR(__xludf.DUMMYFUNCTION("""COMPUTED_VALUE"""),"Letícia Machado Tadeu da Silva - Pós-Graduação em Gestão Educacional")</f>
        <v>Letícia Machado Tadeu da Silva - Pós-Graduação em Gestão Educacional</v>
      </c>
    </row>
    <row r="3608">
      <c r="A3608" s="390" t="str">
        <f>IFERROR(__xludf.DUMMYFUNCTION("""COMPUTED_VALUE"""),"Carla Esmara Gomes de Sousa - RADIANTE - Pós-Graduação em Psicopedagogia Institucional e Clínica 710Horas")</f>
        <v>Carla Esmara Gomes de Sousa - RADIANTE - Pós-Graduação em Psicopedagogia Institucional e Clínica 710Horas</v>
      </c>
    </row>
    <row r="3609">
      <c r="A3609" s="390" t="str">
        <f>IFERROR(__xludf.DUMMYFUNCTION("""COMPUTED_VALUE"""),"Carla Esmara Gomes de Sousa - RADIANTE - Pós-Graduação em Neuropsicopedagogia")</f>
        <v>Carla Esmara Gomes de Sousa - RADIANTE - Pós-Graduação em Neuropsicopedagogia</v>
      </c>
    </row>
    <row r="3610">
      <c r="A3610" s="390" t="str">
        <f>IFERROR(__xludf.DUMMYFUNCTION("""COMPUTED_VALUE"""),"Carla Esmara Gomes de Sousa - RADIANTE - Pós-Graduação em Neuropsicopedagogia")</f>
        <v>Carla Esmara Gomes de Sousa - RADIANTE - Pós-Graduação em Neuropsicopedagogia</v>
      </c>
    </row>
    <row r="3611">
      <c r="A3611" s="390" t="str">
        <f>IFERROR(__xludf.DUMMYFUNCTION("""COMPUTED_VALUE"""),"Jairo dos Santos castro - #SLUEF - Segunda Licenciatura em Educação Física")</f>
        <v>Jairo dos Santos castro - #SLUEF - Segunda Licenciatura em Educação Física</v>
      </c>
    </row>
    <row r="3612">
      <c r="A3612" s="390" t="str">
        <f>IFERROR(__xludf.DUMMYFUNCTION("""COMPUTED_VALUE"""),"Jairo dos Santos castro - #SLPA- Segunda Licenciatura em Pedagogia 01")</f>
        <v>Jairo dos Santos castro - #SLPA- Segunda Licenciatura em Pedagogia 01</v>
      </c>
    </row>
    <row r="3613">
      <c r="A3613" s="390" t="str">
        <f>IFERROR(__xludf.DUMMYFUNCTION("""COMPUTED_VALUE"""),"Cristina Sebastiana Duarte - #SLAV+1 - Segunda Licenciatura em Artes Visuais 1000 Horas")</f>
        <v>Cristina Sebastiana Duarte - #SLAV+1 - Segunda Licenciatura em Artes Visuais 1000 Horas</v>
      </c>
    </row>
    <row r="3614">
      <c r="A3614" s="390" t="str">
        <f>IFERROR(__xludf.DUMMYFUNCTION("""COMPUTED_VALUE"""),"Cristina Sebastiana Duarte - Pós-Graduação Educação Especial e Inclusiva")</f>
        <v>Cristina Sebastiana Duarte - Pós-Graduação Educação Especial e Inclusiva</v>
      </c>
    </row>
    <row r="3615">
      <c r="A3615" s="390" t="str">
        <f>IFERROR(__xludf.DUMMYFUNCTION("""COMPUTED_VALUE"""),"Márcia Neres Nascimento - Pós-Graduação em Braille e Libras")</f>
        <v>Márcia Neres Nascimento - Pós-Graduação em Braille e Libras</v>
      </c>
    </row>
    <row r="3616">
      <c r="A3616" s="390" t="str">
        <f>IFERROR(__xludf.DUMMYFUNCTION("""COMPUTED_VALUE"""),"Valderisa Soares da Silva - RADIANTE - Pós-Graduação em Psicopedagogia Institucional e Clínica 710Horas")</f>
        <v>Valderisa Soares da Silva - RADIANTE - Pós-Graduação em Psicopedagogia Institucional e Clínica 710Horas</v>
      </c>
    </row>
    <row r="3617">
      <c r="A3617" s="390" t="str">
        <f>IFERROR(__xludf.DUMMYFUNCTION("""COMPUTED_VALUE"""),"Valderisa Soares da Silva - RADIANTE - Pós-Graduação em Neuropsicopedagogia")</f>
        <v>Valderisa Soares da Silva - RADIANTE - Pós-Graduação em Neuropsicopedagogia</v>
      </c>
    </row>
    <row r="3618">
      <c r="A3618" s="390" t="str">
        <f>IFERROR(__xludf.DUMMYFUNCTION("""COMPUTED_VALUE"""),"Valderisa Soares da Silva - RADIANTE - Pós-Graduação em Neuropsicopedagogia")</f>
        <v>Valderisa Soares da Silva - RADIANTE - Pós-Graduação em Neuropsicopedagogia</v>
      </c>
    </row>
    <row r="3619">
      <c r="A3619" s="390" t="str">
        <f>IFERROR(__xludf.DUMMYFUNCTION("""COMPUTED_VALUE"""),"Flávia Alves Panzea - Pós-Graduação em Neuropsicopedagogia Institucional, Clínica e Hospitalar 850h")</f>
        <v>Flávia Alves Panzea - Pós-Graduação em Neuropsicopedagogia Institucional, Clínica e Hospitalar 850h</v>
      </c>
    </row>
    <row r="3620">
      <c r="A3620" s="390" t="str">
        <f>IFERROR(__xludf.DUMMYFUNCTION("""COMPUTED_VALUE"""),"Adiene Martins Melo - #SLUEF - Segunda Licenciatura em Educação Física")</f>
        <v>Adiene Martins Melo - #SLUEF - Segunda Licenciatura em Educação Física</v>
      </c>
    </row>
    <row r="3621">
      <c r="A3621" s="390" t="str">
        <f>IFERROR(__xludf.DUMMYFUNCTION("""COMPUTED_VALUE"""),"Maisa Soares da Silva - #SLUEE - SEGUNDA LICENCIATURA EM EDUCAÇÃO ESPECIAL")</f>
        <v>Maisa Soares da Silva - #SLUEE - SEGUNDA LICENCIATURA EM EDUCAÇÃO ESPECIAL</v>
      </c>
    </row>
    <row r="3622">
      <c r="A3622" s="390" t="str">
        <f>IFERROR(__xludf.DUMMYFUNCTION("""COMPUTED_VALUE"""),"Delio Luis da Silva - Formação Pedagógica em Física")</f>
        <v>Delio Luis da Silva - Formação Pedagógica em Física</v>
      </c>
    </row>
    <row r="3623">
      <c r="A3623" s="390" t="str">
        <f>IFERROR(__xludf.DUMMYFUNCTION("""COMPUTED_VALUE"""),"Delio Luis da Silva - #FPEEF- Formação Pedagógica Educação Física")</f>
        <v>Delio Luis da Silva - #FPEEF- Formação Pedagógica Educação Física</v>
      </c>
    </row>
    <row r="3624">
      <c r="A3624" s="390" t="str">
        <f>IFERROR(__xludf.DUMMYFUNCTION("""COMPUTED_VALUE"""),"Janaina Ribeiro dos Santos - #SLUP - SEGUNDA LICENCIATURA EM PEDAGOGIA")</f>
        <v>Janaina Ribeiro dos Santos - #SLUP - SEGUNDA LICENCIATURA EM PEDAGOGIA</v>
      </c>
    </row>
    <row r="3625">
      <c r="A3625" s="390" t="str">
        <f>IFERROR(__xludf.DUMMYFUNCTION("""COMPUTED_VALUE"""),"Cristiane das Graças Silva Melo - #SLUP - SEGUNDA LICENCIATURA EM PEDAGOGIA")</f>
        <v>Cristiane das Graças Silva Melo - #SLUP - SEGUNDA LICENCIATURA EM PEDAGOGIA</v>
      </c>
    </row>
    <row r="3626">
      <c r="A3626" s="390" t="str">
        <f>IFERROR(__xludf.DUMMYFUNCTION("""COMPUTED_VALUE"""),"Cristiane das Graças Silva Melo - #SLPA- Segunda Licenciatura em Pedagogia 01")</f>
        <v>Cristiane das Graças Silva Melo - #SLPA- Segunda Licenciatura em Pedagogia 01</v>
      </c>
    </row>
    <row r="3627">
      <c r="A3627" s="390" t="str">
        <f>IFERROR(__xludf.DUMMYFUNCTION("""COMPUTED_VALUE"""),"Liliane Miguel da Silva - RADIANTE - Pós-Graduação em Atendimento Educacional Especializado")</f>
        <v>Liliane Miguel da Silva - RADIANTE - Pós-Graduação em Atendimento Educacional Especializado</v>
      </c>
    </row>
    <row r="3628">
      <c r="A3628" s="390" t="str">
        <f>IFERROR(__xludf.DUMMYFUNCTION("""COMPUTED_VALUE"""),"Jessica Conceição dos Santos - Pós-Graduação em Psicanálise")</f>
        <v>Jessica Conceição dos Santos - Pós-Graduação em Psicanálise</v>
      </c>
    </row>
    <row r="3629">
      <c r="A3629" s="390" t="str">
        <f>IFERROR(__xludf.DUMMYFUNCTION("""COMPUTED_VALUE"""),"Jessica Conceição dos Santos - Pós-Graduação em Sexologia")</f>
        <v>Jessica Conceição dos Santos - Pós-Graduação em Sexologia</v>
      </c>
    </row>
    <row r="3630">
      <c r="A3630" s="390" t="str">
        <f>IFERROR(__xludf.DUMMYFUNCTION("""COMPUTED_VALUE"""),"Idneide Inacia Alves - RADIANTE - Pós-Graduação em Ensino da Língua Espanhola")</f>
        <v>Idneide Inacia Alves - RADIANTE - Pós-Graduação em Ensino da Língua Espanhola</v>
      </c>
    </row>
    <row r="3631">
      <c r="A3631" s="390" t="str">
        <f>IFERROR(__xludf.DUMMYFUNCTION("""COMPUTED_VALUE"""),"Helder Bezerra Dos Santos - #FPMF- Formação Pedagógica em Música 2022")</f>
        <v>Helder Bezerra Dos Santos - #FPMF- Formação Pedagógica em Música 2022</v>
      </c>
    </row>
    <row r="3632">
      <c r="A3632" s="390" t="str">
        <f>IFERROR(__xludf.DUMMYFUNCTION("""COMPUTED_VALUE"""),"Helder Bezerra Dos Santos - Pós-Graduação em Educação Musical")</f>
        <v>Helder Bezerra Dos Santos - Pós-Graduação em Educação Musical</v>
      </c>
    </row>
    <row r="3633">
      <c r="A3633" s="390" t="str">
        <f>IFERROR(__xludf.DUMMYFUNCTION("""COMPUTED_VALUE"""),"Helder Bezerra Dos Santos - #FPMF- Formação Pedagógica em Música 1200Horas")</f>
        <v>Helder Bezerra Dos Santos - #FPMF- Formação Pedagógica em Música 1200Horas</v>
      </c>
    </row>
    <row r="3634">
      <c r="A3634" s="390" t="str">
        <f>IFERROR(__xludf.DUMMYFUNCTION("""COMPUTED_VALUE"""),"Helder Bezerra Dos Santos - #FPMF- Formação Pedagógica em Música 2022")</f>
        <v>Helder Bezerra Dos Santos - #FPMF- Formação Pedagógica em Música 2022</v>
      </c>
    </row>
    <row r="3635">
      <c r="A3635" s="390" t="str">
        <f>IFERROR(__xludf.DUMMYFUNCTION("""COMPUTED_VALUE"""),"GRINAURA VIEIRA SILVA - Pós-Graduação em Saúde Mental")</f>
        <v>GRINAURA VIEIRA SILVA - Pós-Graduação em Saúde Mental</v>
      </c>
    </row>
    <row r="3636">
      <c r="A3636" s="390" t="str">
        <f>IFERROR(__xludf.DUMMYFUNCTION("""COMPUTED_VALUE"""),"Larissa Albuquerque de Lima da Silva - Pós-Graduação em Terapia em ABA- Análise do Comportamento Aplicada")</f>
        <v>Larissa Albuquerque de Lima da Silva - Pós-Graduação em Terapia em ABA- Análise do Comportamento Aplicada</v>
      </c>
    </row>
    <row r="3637">
      <c r="A3637" s="390" t="str">
        <f>IFERROR(__xludf.DUMMYFUNCTION("""COMPUTED_VALUE"""),"Audelina de Jesus Macieira dos Santos - #SLCS+- Segunda Licenciatura em Ciências Sociais 2022")</f>
        <v>Audelina de Jesus Macieira dos Santos - #SLCS+- Segunda Licenciatura em Ciências Sociais 2022</v>
      </c>
    </row>
    <row r="3638">
      <c r="A3638" s="390" t="str">
        <f>IFERROR(__xludf.DUMMYFUNCTION("""COMPUTED_VALUE"""),"Noêmia Laurenco Teixeira - Formação Livre Psicanálise")</f>
        <v>Noêmia Laurenco Teixeira - Formação Livre Psicanálise</v>
      </c>
    </row>
    <row r="3639">
      <c r="A3639" s="390" t="str">
        <f>IFERROR(__xludf.DUMMYFUNCTION("""COMPUTED_VALUE"""),"Thaís Yoshie Gonçalves Fukuda - #FPUM Formação Pedagógica em Matemática")</f>
        <v>Thaís Yoshie Gonçalves Fukuda - #FPUM Formação Pedagógica em Matemática</v>
      </c>
    </row>
    <row r="3640">
      <c r="A3640" s="390" t="str">
        <f>IFERROR(__xludf.DUMMYFUNCTION("""COMPUTED_VALUE"""),"Thaís Yoshie Gonçalves Fukuda - Formação Pedagógica em Matemática")</f>
        <v>Thaís Yoshie Gonçalves Fukuda - Formação Pedagógica em Matemática</v>
      </c>
    </row>
    <row r="3641">
      <c r="A3641" s="390" t="str">
        <f>IFERROR(__xludf.DUMMYFUNCTION("""COMPUTED_VALUE"""),"Michel de Almeida Gonçalves - #FPMF- Formação Pedagógica em Música 1200Horas")</f>
        <v>Michel de Almeida Gonçalves - #FPMF- Formação Pedagógica em Música 1200Horas</v>
      </c>
    </row>
    <row r="3642">
      <c r="A3642" s="390" t="str">
        <f>IFERROR(__xludf.DUMMYFUNCTION("""COMPUTED_VALUE"""),"Josefa Andrelino de Sousa - Pós-Graduação em Psicanálise")</f>
        <v>Josefa Andrelino de Sousa - Pós-Graduação em Psicanálise</v>
      </c>
    </row>
    <row r="3643">
      <c r="A3643" s="390" t="str">
        <f>IFERROR(__xludf.DUMMYFUNCTION("""COMPUTED_VALUE"""),"Larissa Aparecida de Lima - #SLUP - SEGUNDA LICENCIATURA EM PEDAGOGIA")</f>
        <v>Larissa Aparecida de Lima - #SLUP - SEGUNDA LICENCIATURA EM PEDAGOGIA</v>
      </c>
    </row>
    <row r="3644">
      <c r="A3644" s="390" t="str">
        <f>IFERROR(__xludf.DUMMYFUNCTION("""COMPUTED_VALUE"""),"Sandra De Campos Silva Borges - RADIANTE - Pós-Graduação em Alfabetização e Letramento e a Psicopedagogia")</f>
        <v>Sandra De Campos Silva Borges - RADIANTE - Pós-Graduação em Alfabetização e Letramento e a Psicopedagogia</v>
      </c>
    </row>
    <row r="3645">
      <c r="A3645" s="390" t="str">
        <f>IFERROR(__xludf.DUMMYFUNCTION("""COMPUTED_VALUE"""),"Fabio Maurício Fanini - #FPMF- Formação Pedagógica em Música 1200Horas")</f>
        <v>Fabio Maurício Fanini - #FPMF- Formação Pedagógica em Música 1200Horas</v>
      </c>
    </row>
    <row r="3646">
      <c r="A3646" s="390" t="str">
        <f>IFERROR(__xludf.DUMMYFUNCTION("""COMPUTED_VALUE"""),"João Domingos Tavares Pereira - RADIANTE - Pós-Graduação em Psicopedagogia Institucional e Clínica 710Horas")</f>
        <v>João Domingos Tavares Pereira - RADIANTE - Pós-Graduação em Psicopedagogia Institucional e Clínica 710Horas</v>
      </c>
    </row>
    <row r="3647">
      <c r="A3647" s="390" t="str">
        <f>IFERROR(__xludf.DUMMYFUNCTION("""COMPUTED_VALUE"""),"Jéssica Gabriela da Silva - RADIANTE - Pós-graduação em Neuropsicologia")</f>
        <v>Jéssica Gabriela da Silva - RADIANTE - Pós-graduação em Neuropsicologia</v>
      </c>
    </row>
    <row r="3648">
      <c r="A3648" s="390" t="str">
        <f>IFERROR(__xludf.DUMMYFUNCTION("""COMPUTED_VALUE"""),"Giovanna Freitas Mafra - Pós-Graduação em Psicomotricidade")</f>
        <v>Giovanna Freitas Mafra - Pós-Graduação em Psicomotricidade</v>
      </c>
    </row>
    <row r="3649">
      <c r="A3649" s="390" t="str">
        <f>IFERROR(__xludf.DUMMYFUNCTION("""COMPUTED_VALUE"""),"Joyce Menezes da Silva - RADIANTE - Pós-Graduação em MBA em Gestão Pública")</f>
        <v>Joyce Menezes da Silva - RADIANTE - Pós-Graduação em MBA em Gestão Pública</v>
      </c>
    </row>
    <row r="3650">
      <c r="A3650" s="390" t="str">
        <f>IFERROR(__xludf.DUMMYFUNCTION("""COMPUTED_VALUE"""),"GRACIELLE ALVES DE ARAÚJO - Pós-Graduação em Gestão em RH com Ênfase em Treinamento e Desenvolvimento")</f>
        <v>GRACIELLE ALVES DE ARAÚJO - Pós-Graduação em Gestão em RH com Ênfase em Treinamento e Desenvolvimento</v>
      </c>
    </row>
    <row r="3651">
      <c r="A3651" s="390" t="str">
        <f>IFERROR(__xludf.DUMMYFUNCTION("""COMPUTED_VALUE"""),"Elaine de Moraes Souza - #SLMF - Segunda Licenciatura em Música 1320Horas")</f>
        <v>Elaine de Moraes Souza - #SLMF - Segunda Licenciatura em Música 1320Horas</v>
      </c>
    </row>
    <row r="3652">
      <c r="A3652" s="390" t="str">
        <f>IFERROR(__xludf.DUMMYFUNCTION("""COMPUTED_VALUE"""),"Jenifer Cunha Rocha - Formação Livre Psicanálise")</f>
        <v>Jenifer Cunha Rocha - Formação Livre Psicanálise</v>
      </c>
    </row>
    <row r="3653">
      <c r="A3653" s="390" t="str">
        <f>IFERROR(__xludf.DUMMYFUNCTION("""COMPUTED_VALUE"""),"Carlos Antonio do Nascimento Santos - #SLMF - Segunda Licenciatura em Música 1320Horas")</f>
        <v>Carlos Antonio do Nascimento Santos - #SLMF - Segunda Licenciatura em Música 1320Horas</v>
      </c>
    </row>
    <row r="3654">
      <c r="A3654" s="390" t="str">
        <f>IFERROR(__xludf.DUMMYFUNCTION("""COMPUTED_VALUE"""),"Justiniano Sidney Monteiro De Souza - Pós-Graduação Neurociência e Aprendizagem")</f>
        <v>Justiniano Sidney Monteiro De Souza - Pós-Graduação Neurociência e Aprendizagem</v>
      </c>
    </row>
    <row r="3655">
      <c r="A3655" s="390" t="str">
        <f>IFERROR(__xludf.DUMMYFUNCTION("""COMPUTED_VALUE"""),"Kátia de Jesus Guimarães - Pós-Graduação em Educação Especial com Ênfase em Transtornos Globais do Desenvolvimento (TGD)")</f>
        <v>Kátia de Jesus Guimarães - Pós-Graduação em Educação Especial com Ênfase em Transtornos Globais do Desenvolvimento (TGD)</v>
      </c>
    </row>
    <row r="3656">
      <c r="A3656" s="390" t="str">
        <f>IFERROR(__xludf.DUMMYFUNCTION("""COMPUTED_VALUE"""),"Luciana Villela Patrício - Pedagogia para Bacharéis")</f>
        <v>Luciana Villela Patrício - Pedagogia para Bacharéis</v>
      </c>
    </row>
    <row r="3657">
      <c r="A3657" s="390" t="str">
        <f>IFERROR(__xludf.DUMMYFUNCTION("""COMPUTED_VALUE"""),"Luciana Villela Patrício - Pós-Graduação em Inspeção Escolar")</f>
        <v>Luciana Villela Patrício - Pós-Graduação em Inspeção Escolar</v>
      </c>
    </row>
    <row r="3658">
      <c r="A3658" s="390" t="str">
        <f>IFERROR(__xludf.DUMMYFUNCTION("""COMPUTED_VALUE"""),"Luciana Villela Patrício - Pós-Graduação em Coordenação e Orientação Escolar")</f>
        <v>Luciana Villela Patrício - Pós-Graduação em Coordenação e Orientação Escolar</v>
      </c>
    </row>
    <row r="3659">
      <c r="A3659" s="390" t="str">
        <f>IFERROR(__xludf.DUMMYFUNCTION("""COMPUTED_VALUE"""),"Isete Araújo Gomes Teixeira - RADIANTE - Pós-Graduação em Enfermagem, Ginecologia e Obstetrícia")</f>
        <v>Isete Araújo Gomes Teixeira - RADIANTE - Pós-Graduação em Enfermagem, Ginecologia e Obstetrícia</v>
      </c>
    </row>
    <row r="3660">
      <c r="A3660" s="390" t="str">
        <f>IFERROR(__xludf.DUMMYFUNCTION("""COMPUTED_VALUE"""),"Rosângela dos Santos Silva - RADIANTE - Pós-Graduação Inspeção Escolar")</f>
        <v>Rosângela dos Santos Silva - RADIANTE - Pós-Graduação Inspeção Escolar</v>
      </c>
    </row>
    <row r="3661">
      <c r="A3661" s="390" t="str">
        <f>IFERROR(__xludf.DUMMYFUNCTION("""COMPUTED_VALUE"""),"Eliane Drosdowski Silva - RADIANTE - Pós-Graduação em Terapia Ocupacional Aplicada à Neurologia")</f>
        <v>Eliane Drosdowski Silva - RADIANTE - Pós-Graduação em Terapia Ocupacional Aplicada à Neurologia</v>
      </c>
    </row>
    <row r="3662">
      <c r="A3662" s="390" t="str">
        <f>IFERROR(__xludf.DUMMYFUNCTION("""COMPUTED_VALUE"""),"João Cesário Oliveira da Silva - RADIANTE - Pós-Graduação em Letras com Ênfase em Linguística")</f>
        <v>João Cesário Oliveira da Silva - RADIANTE - Pós-Graduação em Letras com Ênfase em Linguística</v>
      </c>
    </row>
    <row r="3663">
      <c r="A3663" s="390" t="str">
        <f>IFERROR(__xludf.DUMMYFUNCTION("""COMPUTED_VALUE"""),"Antônio de Jesus Brito Júnio - RADIANTE - Pós-Graduação em Gerontologia e Saúde do Idoso")</f>
        <v>Antônio de Jesus Brito Júnio - RADIANTE - Pós-Graduação em Gerontologia e Saúde do Idoso</v>
      </c>
    </row>
    <row r="3664">
      <c r="A3664" s="390" t="str">
        <f>IFERROR(__xludf.DUMMYFUNCTION("""COMPUTED_VALUE"""),"Raquel Poppi Montagneri - #SLPA- Segunda Licenciatura em Pedagogia 01")</f>
        <v>Raquel Poppi Montagneri - #SLPA- Segunda Licenciatura em Pedagogia 01</v>
      </c>
    </row>
    <row r="3665">
      <c r="A3665" s="390" t="str">
        <f>IFERROR(__xludf.DUMMYFUNCTION("""COMPUTED_VALUE"""),"Francisco Reginaldo A Feitoza - #SLPA- Segunda Licenciatura em Pedagogia 01")</f>
        <v>Francisco Reginaldo A Feitoza - #SLPA- Segunda Licenciatura em Pedagogia 01</v>
      </c>
    </row>
    <row r="3666">
      <c r="A3666" s="390" t="str">
        <f>IFERROR(__xludf.DUMMYFUNCTION("""COMPUTED_VALUE"""),"Helena Silvia Mathei Sather - #SLPA- Segunda Licenciatura em Pedagogia 01")</f>
        <v>Helena Silvia Mathei Sather - #SLPA- Segunda Licenciatura em Pedagogia 01</v>
      </c>
    </row>
    <row r="3667">
      <c r="A3667" s="390" t="str">
        <f>IFERROR(__xludf.DUMMYFUNCTION("""COMPUTED_VALUE"""),"Helena Silvia Mathei Sather - #SLPA- Segunda Licenciatura em Pedagogia 01")</f>
        <v>Helena Silvia Mathei Sather - #SLPA- Segunda Licenciatura em Pedagogia 01</v>
      </c>
    </row>
    <row r="3668">
      <c r="A3668" s="390" t="str">
        <f>IFERROR(__xludf.DUMMYFUNCTION("""COMPUTED_VALUE"""),"Lucas - Pós-Graduação em Língua Portuguesa, Redação e Oratória")</f>
        <v>Lucas - Pós-Graduação em Língua Portuguesa, Redação e Oratória</v>
      </c>
    </row>
    <row r="3669">
      <c r="A3669" s="390" t="str">
        <f>IFERROR(__xludf.DUMMYFUNCTION("""COMPUTED_VALUE"""),"Janete Jane Graciano - #SLMF - Segunda Licenciatura em Música 1320Horas")</f>
        <v>Janete Jane Graciano - #SLMF - Segunda Licenciatura em Música 1320Horas</v>
      </c>
    </row>
    <row r="3670">
      <c r="A3670" s="390" t="str">
        <f>IFERROR(__xludf.DUMMYFUNCTION("""COMPUTED_VALUE"""),"Janete Jane Graciano - Pós-Graduação em Psicanálise")</f>
        <v>Janete Jane Graciano - Pós-Graduação em Psicanálise</v>
      </c>
    </row>
    <row r="3671">
      <c r="A3671" s="390" t="str">
        <f>IFERROR(__xludf.DUMMYFUNCTION("""COMPUTED_VALUE"""),"Janete Jane Graciano - Pós-Graduação em Administração de Redes")</f>
        <v>Janete Jane Graciano - Pós-Graduação em Administração de Redes</v>
      </c>
    </row>
    <row r="3672">
      <c r="A3672" s="390" t="str">
        <f>IFERROR(__xludf.DUMMYFUNCTION("""COMPUTED_VALUE"""),"Gabriela de morais santos - #SLMA - Segunda Licenciatura Matemática")</f>
        <v>Gabriela de morais santos - #SLMA - Segunda Licenciatura Matemática</v>
      </c>
    </row>
    <row r="3673">
      <c r="A3673" s="390" t="str">
        <f>IFERROR(__xludf.DUMMYFUNCTION("""COMPUTED_VALUE"""),"Ani Eliza Martins da Silva - RADIANTE - Pós-Graduação em Educação Infantil")</f>
        <v>Ani Eliza Martins da Silva - RADIANTE - Pós-Graduação em Educação Infantil</v>
      </c>
    </row>
    <row r="3674">
      <c r="A3674" s="390" t="str">
        <f>IFERROR(__xludf.DUMMYFUNCTION("""COMPUTED_VALUE"""),"Maria Luane Cristine Medeiros de Lima - RADIANTE - NOVO-Pós-Graduação em Psicanálise 800 Horas")</f>
        <v>Maria Luane Cristine Medeiros de Lima - RADIANTE - NOVO-Pós-Graduação em Psicanálise 800 Horas</v>
      </c>
    </row>
    <row r="3675">
      <c r="A3675" s="390" t="str">
        <f>IFERROR(__xludf.DUMMYFUNCTION("""COMPUTED_VALUE"""),"Cristiana de Souza Freire - #SLHA - Segunda Licenciatura em História")</f>
        <v>Cristiana de Souza Freire - #SLHA - Segunda Licenciatura em História</v>
      </c>
    </row>
    <row r="3676">
      <c r="A3676" s="390" t="str">
        <f>IFERROR(__xludf.DUMMYFUNCTION("""COMPUTED_VALUE"""),"Cristiana de Souza Freire - Pós-Graduação em Psicanálise")</f>
        <v>Cristiana de Souza Freire - Pós-Graduação em Psicanálise</v>
      </c>
    </row>
    <row r="3677">
      <c r="A3677" s="390" t="str">
        <f>IFERROR(__xludf.DUMMYFUNCTION("""COMPUTED_VALUE"""),"Cristiana de Souza Freire - Pós-Graduação Terapia Cognitiva Comportamental")</f>
        <v>Cristiana de Souza Freire - Pós-Graduação Terapia Cognitiva Comportamental</v>
      </c>
    </row>
    <row r="3678">
      <c r="A3678" s="390" t="str">
        <f>IFERROR(__xludf.DUMMYFUNCTION("""COMPUTED_VALUE"""),"Fernanda Alves da Silva - Pós-Graduação em Enfermagem, Ginecologia e Obstetrícia")</f>
        <v>Fernanda Alves da Silva - Pós-Graduação em Enfermagem, Ginecologia e Obstetrícia</v>
      </c>
    </row>
    <row r="3679">
      <c r="A3679" s="390" t="str">
        <f>IFERROR(__xludf.DUMMYFUNCTION("""COMPUTED_VALUE"""),"CLARINEIDE MIRANDA PORTO SILVA - RADIANTE - Pós-Graduação em Personal Trainer e Treinamento Desportivo")</f>
        <v>CLARINEIDE MIRANDA PORTO SILVA - RADIANTE - Pós-Graduação em Personal Trainer e Treinamento Desportivo</v>
      </c>
    </row>
    <row r="3680">
      <c r="A3680" s="390" t="str">
        <f>IFERROR(__xludf.DUMMYFUNCTION("""COMPUTED_VALUE"""),"Welington Felipe da Silva - Pós-Graduação em Psicanálise")</f>
        <v>Welington Felipe da Silva - Pós-Graduação em Psicanálise</v>
      </c>
    </row>
    <row r="3681">
      <c r="A3681" s="390" t="str">
        <f>IFERROR(__xludf.DUMMYFUNCTION("""COMPUTED_VALUE"""),"Monyre Marques de Carvalho - RADIANTE - Pós-Graduação Educação Especial e Inclusiva")</f>
        <v>Monyre Marques de Carvalho - RADIANTE - Pós-Graduação Educação Especial e Inclusiva</v>
      </c>
    </row>
    <row r="3682">
      <c r="A3682" s="390" t="str">
        <f>IFERROR(__xludf.DUMMYFUNCTION("""COMPUTED_VALUE"""),"Vanderleia Taiza Silva Santos - RADIANTE - Pós-Graduação em Inspeção Escolar")</f>
        <v>Vanderleia Taiza Silva Santos - RADIANTE - Pós-Graduação em Inspeção Escolar</v>
      </c>
    </row>
    <row r="3683">
      <c r="A3683" s="390" t="str">
        <f>IFERROR(__xludf.DUMMYFUNCTION("""COMPUTED_VALUE"""),"Maria do Socorro Medeiros Nogueira - RADIANTE - NOVO-Pós-Graduação em Psicanálise 800 Horas")</f>
        <v>Maria do Socorro Medeiros Nogueira - RADIANTE - NOVO-Pós-Graduação em Psicanálise 800 Horas</v>
      </c>
    </row>
    <row r="3684">
      <c r="A3684" s="390" t="str">
        <f>IFERROR(__xludf.DUMMYFUNCTION("""COMPUTED_VALUE"""),"Edvania da Silva Pereira Graciliano - RADIANTE - Pós-Graduação em Terapia em ABA- Análise do Comportamento Aplicada")</f>
        <v>Edvania da Silva Pereira Graciliano - RADIANTE - Pós-Graduação em Terapia em ABA- Análise do Comportamento Aplicada</v>
      </c>
    </row>
    <row r="3685">
      <c r="A3685" s="390" t="str">
        <f>IFERROR(__xludf.DUMMYFUNCTION("""COMPUTED_VALUE"""),"Nelson Soares dos Santoas - NOVO-Pós-Graduação em Psicanálise 800 Horas")</f>
        <v>Nelson Soares dos Santoas - NOVO-Pós-Graduação em Psicanálise 800 Horas</v>
      </c>
    </row>
    <row r="3686">
      <c r="A3686" s="390" t="str">
        <f>IFERROR(__xludf.DUMMYFUNCTION("""COMPUTED_VALUE"""),"Nelson Soares dos Santoas - Pós-Graduação Educação Financeira")</f>
        <v>Nelson Soares dos Santoas - Pós-Graduação Educação Financeira</v>
      </c>
    </row>
    <row r="3687">
      <c r="A3687" s="390" t="str">
        <f>IFERROR(__xludf.DUMMYFUNCTION("""COMPUTED_VALUE"""),"Gabriela Queiroz Saraiva - #SLMF - Segunda Licenciatura em Música 1320Horas")</f>
        <v>Gabriela Queiroz Saraiva - #SLMF - Segunda Licenciatura em Música 1320Horas</v>
      </c>
    </row>
    <row r="3688">
      <c r="A3688" s="390" t="str">
        <f>IFERROR(__xludf.DUMMYFUNCTION("""COMPUTED_VALUE"""),"Gabriela Queiroz Saraiva - Pós-Graduação em Musicoterapia")</f>
        <v>Gabriela Queiroz Saraiva - Pós-Graduação em Musicoterapia</v>
      </c>
    </row>
    <row r="3689">
      <c r="A3689" s="390" t="str">
        <f>IFERROR(__xludf.DUMMYFUNCTION("""COMPUTED_VALUE"""),"Gabriela Queiroz Saraiva - #SLUP - SEGUNDA LICENCIATURA EM PEDAGOGIA")</f>
        <v>Gabriela Queiroz Saraiva - #SLUP - SEGUNDA LICENCIATURA EM PEDAGOGIA</v>
      </c>
    </row>
    <row r="3690">
      <c r="A3690" s="390" t="str">
        <f>IFERROR(__xludf.DUMMYFUNCTION("""COMPUTED_VALUE"""),"Gabriela Queiroz Saraiva - Pós-Graduação em Terapia em ABA- Análise do Comportamento Aplicada")</f>
        <v>Gabriela Queiroz Saraiva - Pós-Graduação em Terapia em ABA- Análise do Comportamento Aplicada</v>
      </c>
    </row>
    <row r="3691">
      <c r="A3691" s="390" t="str">
        <f>IFERROR(__xludf.DUMMYFUNCTION("""COMPUTED_VALUE"""),"Gabriela Queiroz Saraiva - Pós-Graduação em Terapia em ABA- Análise do Comportamento Aplicada Clínica")</f>
        <v>Gabriela Queiroz Saraiva - Pós-Graduação em Terapia em ABA- Análise do Comportamento Aplicada Clínica</v>
      </c>
    </row>
    <row r="3692">
      <c r="A3692" s="390" t="str">
        <f>IFERROR(__xludf.DUMMYFUNCTION("""COMPUTED_VALUE"""),"Ricardo da Costa Salgueirinho - Pós-Graduação em Perícia e Auditoria Contábil")</f>
        <v>Ricardo da Costa Salgueirinho - Pós-Graduação em Perícia e Auditoria Contábil</v>
      </c>
    </row>
    <row r="3693">
      <c r="A3693" s="390" t="str">
        <f>IFERROR(__xludf.DUMMYFUNCTION("""COMPUTED_VALUE"""),"Marco Antônio Gonçalves - Pós-Graduação Alfabetização e Letramento")</f>
        <v>Marco Antônio Gonçalves - Pós-Graduação Alfabetização e Letramento</v>
      </c>
    </row>
    <row r="3694">
      <c r="A3694" s="390" t="str">
        <f>IFERROR(__xludf.DUMMYFUNCTION("""COMPUTED_VALUE"""),"Marco Antônio Gonçalves - Curso UniCV")</f>
        <v>Marco Antônio Gonçalves - Curso UniCV</v>
      </c>
    </row>
    <row r="3695">
      <c r="A3695" s="390" t="str">
        <f>IFERROR(__xludf.DUMMYFUNCTION("""COMPUTED_VALUE"""),"Marco Antônio Gonçalves - SEGUNDA LICENCIATURA EM MÚSICA - 2024")</f>
        <v>Marco Antônio Gonçalves - SEGUNDA LICENCIATURA EM MÚSICA - 2024</v>
      </c>
    </row>
    <row r="3696">
      <c r="A3696" s="390" t="str">
        <f>IFERROR(__xludf.DUMMYFUNCTION("""COMPUTED_VALUE"""),"Marco Antônio Gonçalves - SEGUNDA LICENCIATURA EM MÚSICA - 2024")</f>
        <v>Marco Antônio Gonçalves - SEGUNDA LICENCIATURA EM MÚSICA - 2024</v>
      </c>
    </row>
    <row r="3697">
      <c r="A3697" s="390" t="str">
        <f>IFERROR(__xludf.DUMMYFUNCTION("""COMPUTED_VALUE"""),"Eva Evorniza Ribeiro de Macedo - Pós-Graduação em Sexologia")</f>
        <v>Eva Evorniza Ribeiro de Macedo - Pós-Graduação em Sexologia</v>
      </c>
    </row>
    <row r="3698">
      <c r="A3698" s="390" t="str">
        <f>IFERROR(__xludf.DUMMYFUNCTION("""COMPUTED_VALUE"""),"Patricia dos Santos Gonçalves Silva - Pós-Graduação em Psicanálise")</f>
        <v>Patricia dos Santos Gonçalves Silva - Pós-Graduação em Psicanálise</v>
      </c>
    </row>
    <row r="3699">
      <c r="A3699" s="390" t="str">
        <f>IFERROR(__xludf.DUMMYFUNCTION("""COMPUTED_VALUE"""),"Cleiton Antonio de Souza e Silva - Formação Livre Psicanálise")</f>
        <v>Cleiton Antonio de Souza e Silva - Formação Livre Psicanálise</v>
      </c>
    </row>
    <row r="3700">
      <c r="A3700" s="390" t="str">
        <f>IFERROR(__xludf.DUMMYFUNCTION("""COMPUTED_VALUE"""),"Milene Brandão Pereira - #SLUP - SEGUNDA LICENCIATURA EM PEDAGOGIA")</f>
        <v>Milene Brandão Pereira - #SLUP - SEGUNDA LICENCIATURA EM PEDAGOGIA</v>
      </c>
    </row>
    <row r="3701">
      <c r="A3701" s="390" t="str">
        <f>IFERROR(__xludf.DUMMYFUNCTION("""COMPUTED_VALUE"""),"Maria Socorro Lima Germano da Silva - Formação Livre Psicanálise")</f>
        <v>Maria Socorro Lima Germano da Silva - Formação Livre Psicanálise</v>
      </c>
    </row>
    <row r="3702">
      <c r="A3702" s="390" t="str">
        <f>IFERROR(__xludf.DUMMYFUNCTION("""COMPUTED_VALUE"""),"Ricardo Lucciane Abreu Denubila - #SLMF - Segunda Licenciatura em Música 1320Horas")</f>
        <v>Ricardo Lucciane Abreu Denubila - #SLMF - Segunda Licenciatura em Música 1320Horas</v>
      </c>
    </row>
    <row r="3703">
      <c r="A3703" s="390" t="str">
        <f>IFERROR(__xludf.DUMMYFUNCTION("""COMPUTED_VALUE"""),"Rita América de Brito Silva - Pós-Graduação em Psicanálise")</f>
        <v>Rita América de Brito Silva - Pós-Graduação em Psicanálise</v>
      </c>
    </row>
    <row r="3704">
      <c r="A3704" s="390" t="str">
        <f>IFERROR(__xludf.DUMMYFUNCTION("""COMPUTED_VALUE"""),"Gabriel do Bonfim Tarantino - #FPUM Formação Pedagógica em Matemática")</f>
        <v>Gabriel do Bonfim Tarantino - #FPUM Formação Pedagógica em Matemática</v>
      </c>
    </row>
    <row r="3705">
      <c r="A3705" s="390" t="str">
        <f>IFERROR(__xludf.DUMMYFUNCTION("""COMPUTED_VALUE"""),"Marilize Santos da Silva de Mello - #SLPT- Segunda Licenciatura em Pedagogia")</f>
        <v>Marilize Santos da Silva de Mello - #SLPT- Segunda Licenciatura em Pedagogia</v>
      </c>
    </row>
    <row r="3706">
      <c r="A3706" s="390" t="str">
        <f>IFERROR(__xludf.DUMMYFUNCTION("""COMPUTED_VALUE"""),"Normeide Oliveira de Jesus - Formação Livre Psicanálise")</f>
        <v>Normeide Oliveira de Jesus - Formação Livre Psicanálise</v>
      </c>
    </row>
    <row r="3707">
      <c r="A3707" s="390" t="str">
        <f>IFERROR(__xludf.DUMMYFUNCTION("""COMPUTED_VALUE"""),"Edriane Araújo Serra Sousa - Pós-Graduação em Neuropsicopedagogia Institucional, Clínica e Hospitalar 850h")</f>
        <v>Edriane Araújo Serra Sousa - Pós-Graduação em Neuropsicopedagogia Institucional, Clínica e Hospitalar 850h</v>
      </c>
    </row>
    <row r="3708">
      <c r="A3708" s="390" t="str">
        <f>IFERROR(__xludf.DUMMYFUNCTION("""COMPUTED_VALUE"""),"Vania de Souza Santos Armani - #SLLPIT1 - Segunda Licenciatura em Letras/Português-Inglês - 1310 Horas")</f>
        <v>Vania de Souza Santos Armani - #SLLPIT1 - Segunda Licenciatura em Letras/Português-Inglês - 1310 Horas</v>
      </c>
    </row>
    <row r="3709">
      <c r="A3709" s="390" t="str">
        <f>IFERROR(__xludf.DUMMYFUNCTION("""COMPUTED_VALUE"""),"Vania de Souza Santos Armani - #SLIA - Segunda Licenciatura Letras - Inglês")</f>
        <v>Vania de Souza Santos Armani - #SLIA - Segunda Licenciatura Letras - Inglês</v>
      </c>
    </row>
    <row r="3710">
      <c r="A3710" s="390" t="str">
        <f>IFERROR(__xludf.DUMMYFUNCTION("""COMPUTED_VALUE"""),"Adriana Rodrigues Nascimento Passos - Pós-Graduação em Neuropsicopedagogia Institucional, Clínica e Hospitalar 850h")</f>
        <v>Adriana Rodrigues Nascimento Passos - Pós-Graduação em Neuropsicopedagogia Institucional, Clínica e Hospitalar 850h</v>
      </c>
    </row>
    <row r="3711">
      <c r="A3711" s="390" t="str">
        <f>IFERROR(__xludf.DUMMYFUNCTION("""COMPUTED_VALUE"""),"Simone Raquel andreis - Formação Livre em Sexologia")</f>
        <v>Simone Raquel andreis - Formação Livre em Sexologia</v>
      </c>
    </row>
    <row r="3712">
      <c r="A3712" s="390" t="str">
        <f>IFERROR(__xludf.DUMMYFUNCTION("""COMPUTED_VALUE"""),"Luciana Muniz Lomba Modolo - #SLMF - Segunda Licenciatura em Música 1320Horas")</f>
        <v>Luciana Muniz Lomba Modolo - #SLMF - Segunda Licenciatura em Música 1320Horas</v>
      </c>
    </row>
    <row r="3713">
      <c r="A3713" s="390" t="str">
        <f>IFERROR(__xludf.DUMMYFUNCTION("""COMPUTED_VALUE"""),"Adriana melo fernandes - Formação Livre em Sexologia")</f>
        <v>Adriana melo fernandes - Formação Livre em Sexologia</v>
      </c>
    </row>
    <row r="3714">
      <c r="A3714" s="390" t="str">
        <f>IFERROR(__xludf.DUMMYFUNCTION("""COMPUTED_VALUE"""),"Adriana melo fernandes - Formação Livre Psicanálise")</f>
        <v>Adriana melo fernandes - Formação Livre Psicanálise</v>
      </c>
    </row>
    <row r="3715">
      <c r="A3715" s="390" t="str">
        <f>IFERROR(__xludf.DUMMYFUNCTION("""COMPUTED_VALUE"""),"Jefferson Pantoja Ferreira - #SLMF - Segunda Licenciatura em Música 1320Horas")</f>
        <v>Jefferson Pantoja Ferreira - #SLMF - Segunda Licenciatura em Música 1320Horas</v>
      </c>
    </row>
    <row r="3716">
      <c r="A3716" s="390" t="str">
        <f>IFERROR(__xludf.DUMMYFUNCTION("""COMPUTED_VALUE"""),"Michel Simbol Prieto De Mattos - FORMAÇÃO PEDAGÓGICA EM LETRAS – PORTUGUÊS E ESPANHOL- U")</f>
        <v>Michel Simbol Prieto De Mattos - FORMAÇÃO PEDAGÓGICA EM LETRAS – PORTUGUÊS E ESPANHOL- U</v>
      </c>
    </row>
    <row r="3717">
      <c r="A3717" s="390" t="str">
        <f>IFERROR(__xludf.DUMMYFUNCTION("""COMPUTED_VALUE"""),"Janaína da Silva de São Pedro - #FPULPI- Formação Pedagógica em Letras – Português e Inglês")</f>
        <v>Janaína da Silva de São Pedro - #FPULPI- Formação Pedagógica em Letras – Português e Inglês</v>
      </c>
    </row>
    <row r="3718">
      <c r="A3718" s="390" t="str">
        <f>IFERROR(__xludf.DUMMYFUNCTION("""COMPUTED_VALUE"""),"Janaína da Silva de São Pedro - #FPLIT - FORMAÇÃO PEDAGÓGICA EM LETRAS - INGLÊS")</f>
        <v>Janaína da Silva de São Pedro - #FPLIT - FORMAÇÃO PEDAGÓGICA EM LETRAS - INGLÊS</v>
      </c>
    </row>
    <row r="3719">
      <c r="A3719" s="390" t="str">
        <f>IFERROR(__xludf.DUMMYFUNCTION("""COMPUTED_VALUE"""),"Francisco de Assis Silva Filho - #FPT1-Pedagogia para Bacharéis e Tecnólogos (2022)")</f>
        <v>Francisco de Assis Silva Filho - #FPT1-Pedagogia para Bacharéis e Tecnólogos (2022)</v>
      </c>
    </row>
    <row r="3720">
      <c r="A3720" s="390" t="str">
        <f>IFERROR(__xludf.DUMMYFUNCTION("""COMPUTED_VALUE"""),"Suely Portal Amador - RADIANTE - Pós-Graduação em Atendimento Educacional Especializado Com Ênfase Em Educação Especial e Inclusiva")</f>
        <v>Suely Portal Amador - RADIANTE - Pós-Graduação em Atendimento Educacional Especializado Com Ênfase Em Educação Especial e Inclusiva</v>
      </c>
    </row>
    <row r="3721">
      <c r="A3721" s="390" t="str">
        <f>IFERROR(__xludf.DUMMYFUNCTION("""COMPUTED_VALUE"""),"ANA CAROLINA FRANZOI - Pós-Graduação em Metodologia do Ensino de Língua Inglesa")</f>
        <v>ANA CAROLINA FRANZOI - Pós-Graduação em Metodologia do Ensino de Língua Inglesa</v>
      </c>
    </row>
    <row r="3722">
      <c r="A3722" s="390" t="str">
        <f>IFERROR(__xludf.DUMMYFUNCTION("""COMPUTED_VALUE"""),"Ana Cristina Brandao Santos - Formação Livre Psicanálise")</f>
        <v>Ana Cristina Brandao Santos - Formação Livre Psicanálise</v>
      </c>
    </row>
    <row r="3723">
      <c r="A3723" s="390" t="str">
        <f>IFERROR(__xludf.DUMMYFUNCTION("""COMPUTED_VALUE"""),"Suzana Moura da Silva Torres - #SLAA - Segunda Licenciatura em Artes Visuais")</f>
        <v>Suzana Moura da Silva Torres - #SLAA - Segunda Licenciatura em Artes Visuais</v>
      </c>
    </row>
    <row r="3724">
      <c r="A3724" s="390" t="str">
        <f>IFERROR(__xludf.DUMMYFUNCTION("""COMPUTED_VALUE"""),"Suzana Moura da Silva Torres - Pós-Graduação em Libras")</f>
        <v>Suzana Moura da Silva Torres - Pós-Graduação em Libras</v>
      </c>
    </row>
    <row r="3725">
      <c r="A3725" s="390" t="str">
        <f>IFERROR(__xludf.DUMMYFUNCTION("""COMPUTED_VALUE"""),"Suzana Moura da Silva Torres - #SLPT- Segunda Licenciatura em Pedagogia")</f>
        <v>Suzana Moura da Silva Torres - #SLPT- Segunda Licenciatura em Pedagogia</v>
      </c>
    </row>
    <row r="3726">
      <c r="A3726" s="390" t="str">
        <f>IFERROR(__xludf.DUMMYFUNCTION("""COMPUTED_VALUE"""),"Cintia fernandes Quintas - #SLPA- Segunda Licenciatura em Pedagogia 01")</f>
        <v>Cintia fernandes Quintas - #SLPA- Segunda Licenciatura em Pedagogia 01</v>
      </c>
    </row>
    <row r="3727">
      <c r="A3727" s="390" t="str">
        <f>IFERROR(__xludf.DUMMYFUNCTION("""COMPUTED_VALUE"""),"Ivanete de Souza Santos - #SLTLP1- Segunda Licenciatura Letras - Português")</f>
        <v>Ivanete de Souza Santos - #SLTLP1- Segunda Licenciatura Letras - Português</v>
      </c>
    </row>
    <row r="3728">
      <c r="A3728" s="390" t="str">
        <f>IFERROR(__xludf.DUMMYFUNCTION("""COMPUTED_VALUE"""),"Priscila Lima da Silva - #SLUP - SEGUNDA LICENCIATURA EM PEDAGOGIA")</f>
        <v>Priscila Lima da Silva - #SLUP - SEGUNDA LICENCIATURA EM PEDAGOGIA</v>
      </c>
    </row>
    <row r="3729">
      <c r="A3729" s="390" t="str">
        <f>IFERROR(__xludf.DUMMYFUNCTION("""COMPUTED_VALUE"""),"Priscila Lima da Silva - #FPP- Formação Pedagógica em Pedagogia R2")</f>
        <v>Priscila Lima da Silva - #FPP- Formação Pedagógica em Pedagogia R2</v>
      </c>
    </row>
    <row r="3730">
      <c r="A3730" s="390" t="str">
        <f>IFERROR(__xludf.DUMMYFUNCTION("""COMPUTED_VALUE"""),"Priscila Lima da Silva - Pós-Graduação em Neuropsicopedagogia Institucional")</f>
        <v>Priscila Lima da Silva - Pós-Graduação em Neuropsicopedagogia Institucional</v>
      </c>
    </row>
    <row r="3731">
      <c r="A3731" s="390" t="str">
        <f>IFERROR(__xludf.DUMMYFUNCTION("""COMPUTED_VALUE"""),"Danielly Sousa Campelo - Pós-Graduação Educação Especial e Inclusiva")</f>
        <v>Danielly Sousa Campelo - Pós-Graduação Educação Especial e Inclusiva</v>
      </c>
    </row>
    <row r="3732">
      <c r="A3732" s="390" t="str">
        <f>IFERROR(__xludf.DUMMYFUNCTION("""COMPUTED_VALUE"""),"Danielly Sousa Campelo - #SLPA- Segunda Licenciatura em Pedagogia 01")</f>
        <v>Danielly Sousa Campelo - #SLPA- Segunda Licenciatura em Pedagogia 01</v>
      </c>
    </row>
    <row r="3733">
      <c r="A3733" s="390" t="str">
        <f>IFERROR(__xludf.DUMMYFUNCTION("""COMPUTED_VALUE"""),"Lenyllson de Moura Bezerra - #FPMF- Formação Pedagógica em Música 1200Horas")</f>
        <v>Lenyllson de Moura Bezerra - #FPMF- Formação Pedagógica em Música 1200Horas</v>
      </c>
    </row>
    <row r="3734">
      <c r="A3734" s="390" t="str">
        <f>IFERROR(__xludf.DUMMYFUNCTION("""COMPUTED_VALUE"""),"Rodrigo Maciel Capanema - Pós-graduação em Gestão Escolar Integradora com Ênfase em Supervisão, Orientação, Administração e Inspeção 740Horas")</f>
        <v>Rodrigo Maciel Capanema - Pós-graduação em Gestão Escolar Integradora com Ênfase em Supervisão, Orientação, Administração e Inspeção 740Horas</v>
      </c>
    </row>
    <row r="3735">
      <c r="A3735" s="390" t="str">
        <f>IFERROR(__xludf.DUMMYFUNCTION("""COMPUTED_VALUE"""),"Rodrigo Maciel Capanema - #SLPA- Segunda Licenciatura em Pedagogia 01")</f>
        <v>Rodrigo Maciel Capanema - #SLPA- Segunda Licenciatura em Pedagogia 01</v>
      </c>
    </row>
    <row r="3736">
      <c r="A3736" s="390" t="str">
        <f>IFERROR(__xludf.DUMMYFUNCTION("""COMPUTED_VALUE"""),"Lucidalva Nobre Lacerda da Silva - Formação Livre Psicanálise")</f>
        <v>Lucidalva Nobre Lacerda da Silva - Formação Livre Psicanálise</v>
      </c>
    </row>
    <row r="3737">
      <c r="A3737" s="390" t="str">
        <f>IFERROR(__xludf.DUMMYFUNCTION("""COMPUTED_VALUE"""),"Andrea Cordeiro Miguel - Pós-Graduação em Saúde Mental")</f>
        <v>Andrea Cordeiro Miguel - Pós-Graduação em Saúde Mental</v>
      </c>
    </row>
    <row r="3738">
      <c r="A3738" s="390" t="str">
        <f>IFERROR(__xludf.DUMMYFUNCTION("""COMPUTED_VALUE"""),"Andrea Cordeiro Miguel - Pós-Graduação em Sexologia")</f>
        <v>Andrea Cordeiro Miguel - Pós-Graduação em Sexologia</v>
      </c>
    </row>
    <row r="3739">
      <c r="A3739" s="390" t="str">
        <f>IFERROR(__xludf.DUMMYFUNCTION("""COMPUTED_VALUE"""),"João Victor da Rocha Barros - #SLPA- Segunda Licenciatura em Pedagogia 01")</f>
        <v>João Victor da Rocha Barros - #SLPA- Segunda Licenciatura em Pedagogia 01</v>
      </c>
    </row>
    <row r="3740">
      <c r="A3740" s="390" t="str">
        <f>IFERROR(__xludf.DUMMYFUNCTION("""COMPUTED_VALUE"""),"Elen cristina martos cruz - #SLUEF - Segunda Licenciatura em Educação Física")</f>
        <v>Elen cristina martos cruz - #SLUEF - Segunda Licenciatura em Educação Física</v>
      </c>
    </row>
    <row r="3741">
      <c r="A3741" s="390" t="str">
        <f>IFERROR(__xludf.DUMMYFUNCTION("""COMPUTED_VALUE"""),"Elen cristina martos cruz - #FPEEF- Formação Pedagógica Educação Física")</f>
        <v>Elen cristina martos cruz - #FPEEF- Formação Pedagógica Educação Física</v>
      </c>
    </row>
    <row r="3742">
      <c r="A3742" s="390" t="str">
        <f>IFERROR(__xludf.DUMMYFUNCTION("""COMPUTED_VALUE"""),"Eloise de Souza Syrio Jose - Pós-Graduação Enfermagem em Estomoterapia")</f>
        <v>Eloise de Souza Syrio Jose - Pós-Graduação Enfermagem em Estomoterapia</v>
      </c>
    </row>
    <row r="3743">
      <c r="A3743" s="390" t="str">
        <f>IFERROR(__xludf.DUMMYFUNCTION("""COMPUTED_VALUE"""),"Eloise de Souza Syrio Jose - Pós-Graduação em Gestão Estratégica de Pessoas")</f>
        <v>Eloise de Souza Syrio Jose - Pós-Graduação em Gestão Estratégica de Pessoas</v>
      </c>
    </row>
    <row r="3744">
      <c r="A3744" s="390" t="str">
        <f>IFERROR(__xludf.DUMMYFUNCTION("""COMPUTED_VALUE"""),"Eloise de Souza Syrio Jose - Pós-Graduação em Enfermagem em Urgência e Emergência")</f>
        <v>Eloise de Souza Syrio Jose - Pós-Graduação em Enfermagem em Urgência e Emergência</v>
      </c>
    </row>
    <row r="3745">
      <c r="A3745" s="390" t="str">
        <f>IFERROR(__xludf.DUMMYFUNCTION("""COMPUTED_VALUE"""),"Débora Vanessa Rocha Alves - Pós-Graduação em Sexologia")</f>
        <v>Débora Vanessa Rocha Alves - Pós-Graduação em Sexologia</v>
      </c>
    </row>
    <row r="3746">
      <c r="A3746" s="390" t="str">
        <f>IFERROR(__xludf.DUMMYFUNCTION("""COMPUTED_VALUE"""),"Débora Vanessa Rocha Alves - #SLEEF- Segunda Licenciatura Educação Física")</f>
        <v>Débora Vanessa Rocha Alves - #SLEEF- Segunda Licenciatura Educação Física</v>
      </c>
    </row>
    <row r="3747">
      <c r="A3747" s="390" t="str">
        <f>IFERROR(__xludf.DUMMYFUNCTION("""COMPUTED_VALUE"""),"Maria Cristina Alves de Souza - Pós-Graduação em Psicanálise")</f>
        <v>Maria Cristina Alves de Souza - Pós-Graduação em Psicanálise</v>
      </c>
    </row>
    <row r="3748">
      <c r="A3748" s="390" t="str">
        <f>IFERROR(__xludf.DUMMYFUNCTION("""COMPUTED_VALUE"""),"Luciana Dalmaschio - Pós-Graduação em Psicanálise")</f>
        <v>Luciana Dalmaschio - Pós-Graduação em Psicanálise</v>
      </c>
    </row>
    <row r="3749">
      <c r="A3749" s="390" t="str">
        <f>IFERROR(__xludf.DUMMYFUNCTION("""COMPUTED_VALUE"""),"Karolaine Silva Dutra Alves - #FPUP-FORMAÇÃO PEDAGÓGICA EM PEDAGOGIA- U")</f>
        <v>Karolaine Silva Dutra Alves - #FPUP-FORMAÇÃO PEDAGÓGICA EM PEDAGOGIA- U</v>
      </c>
    </row>
    <row r="3750">
      <c r="A3750" s="390" t="str">
        <f>IFERROR(__xludf.DUMMYFUNCTION("""COMPUTED_VALUE"""),"Karolaine Silva Dutra Alves - Pós-Graduação em Supervisão e Orientação Escolar-2022")</f>
        <v>Karolaine Silva Dutra Alves - Pós-Graduação em Supervisão e Orientação Escolar-2022</v>
      </c>
    </row>
    <row r="3751">
      <c r="A3751" s="390" t="str">
        <f>IFERROR(__xludf.DUMMYFUNCTION("""COMPUTED_VALUE"""),"Karolaine Silva Dutra Alves - #FPP- Formação Pedagógica em Pedagogia R2")</f>
        <v>Karolaine Silva Dutra Alves - #FPP- Formação Pedagógica em Pedagogia R2</v>
      </c>
    </row>
    <row r="3752">
      <c r="A3752" s="390" t="str">
        <f>IFERROR(__xludf.DUMMYFUNCTION("""COMPUTED_VALUE"""),"Cleudiana araujo de Souza - Pós-Graduação em Gestão em RH com Ênfase em Treinamento e Desenvolvimento")</f>
        <v>Cleudiana araujo de Souza - Pós-Graduação em Gestão em RH com Ênfase em Treinamento e Desenvolvimento</v>
      </c>
    </row>
    <row r="3753">
      <c r="A3753" s="390" t="str">
        <f>IFERROR(__xludf.DUMMYFUNCTION("""COMPUTED_VALUE"""),"Elane Cristina da Silva Dias - #SLLET1 - SEGUNDA LICENCIATURA EM LETRAS-PORTUGUÊS/ESPANHOL")</f>
        <v>Elane Cristina da Silva Dias - #SLLET1 - SEGUNDA LICENCIATURA EM LETRAS-PORTUGUÊS/ESPANHOL</v>
      </c>
    </row>
    <row r="3754">
      <c r="A3754" s="390" t="str">
        <f>IFERROR(__xludf.DUMMYFUNCTION("""COMPUTED_VALUE"""),"Alcilene Morais Rodrigues - #SLLPA - Segunda Licenciatura Letras - Português")</f>
        <v>Alcilene Morais Rodrigues - #SLLPA - Segunda Licenciatura Letras - Português</v>
      </c>
    </row>
    <row r="3755">
      <c r="A3755" s="390" t="str">
        <f>IFERROR(__xludf.DUMMYFUNCTION("""COMPUTED_VALUE"""),"Alcilene Morais Rodrigues - Pós-Graduação em Educação Especial e Inclusiva 600Horas 2022")</f>
        <v>Alcilene Morais Rodrigues - Pós-Graduação em Educação Especial e Inclusiva 600Horas 2022</v>
      </c>
    </row>
    <row r="3756">
      <c r="A3756" s="390" t="str">
        <f>IFERROR(__xludf.DUMMYFUNCTION("""COMPUTED_VALUE"""),"Alcilene Morais Rodrigues - #SLUPE- Segunda Licenciatura em Letras – Português e Espanhol")</f>
        <v>Alcilene Morais Rodrigues - #SLUPE- Segunda Licenciatura em Letras – Português e Espanhol</v>
      </c>
    </row>
    <row r="3757">
      <c r="A3757" s="390" t="str">
        <f>IFERROR(__xludf.DUMMYFUNCTION("""COMPUTED_VALUE"""),"Hildegard Angel Angelim Pereira - #SLPA- Segunda Licenciatura em Pedagogia 01")</f>
        <v>Hildegard Angel Angelim Pereira - #SLPA- Segunda Licenciatura em Pedagogia 01</v>
      </c>
    </row>
    <row r="3758">
      <c r="A3758" s="390" t="str">
        <f>IFERROR(__xludf.DUMMYFUNCTION("""COMPUTED_VALUE"""),"José Gilberto de Souza Filho - #SLMF - Segunda Licenciatura em Música 1320Horas")</f>
        <v>José Gilberto de Souza Filho - #SLMF - Segunda Licenciatura em Música 1320Horas</v>
      </c>
    </row>
    <row r="3759">
      <c r="A3759" s="390" t="str">
        <f>IFERROR(__xludf.DUMMYFUNCTION("""COMPUTED_VALUE"""),"Lucia Aparecida Rabelo Gontijo - #SLPA- Segunda Licenciatura em Pedagogia 01")</f>
        <v>Lucia Aparecida Rabelo Gontijo - #SLPA- Segunda Licenciatura em Pedagogia 01</v>
      </c>
    </row>
    <row r="3760">
      <c r="A3760" s="390" t="str">
        <f>IFERROR(__xludf.DUMMYFUNCTION("""COMPUTED_VALUE"""),"Juazete Soares de Souza - Formação Livre Psicanálise")</f>
        <v>Juazete Soares de Souza - Formação Livre Psicanálise</v>
      </c>
    </row>
    <row r="3761">
      <c r="A3761" s="390" t="str">
        <f>IFERROR(__xludf.DUMMYFUNCTION("""COMPUTED_VALUE"""),"Kaio Henrique Furtado - Pós-Graduação em Perícia e Auditoria Contábil")</f>
        <v>Kaio Henrique Furtado - Pós-Graduação em Perícia e Auditoria Contábil</v>
      </c>
    </row>
    <row r="3762">
      <c r="A3762" s="390" t="str">
        <f>IFERROR(__xludf.DUMMYFUNCTION("""COMPUTED_VALUE"""),"Alvina Isabel Pinho dos Santos - Pós-Graduação em Psicanálise")</f>
        <v>Alvina Isabel Pinho dos Santos - Pós-Graduação em Psicanálise</v>
      </c>
    </row>
    <row r="3763">
      <c r="A3763" s="390" t="str">
        <f>IFERROR(__xludf.DUMMYFUNCTION("""COMPUTED_VALUE"""),"Sebastião Dias Matos - #FPUM Formação Pedagógica em Matemática")</f>
        <v>Sebastião Dias Matos - #FPUM Formação Pedagógica em Matemática</v>
      </c>
    </row>
    <row r="3764">
      <c r="A3764" s="390" t="str">
        <f>IFERROR(__xludf.DUMMYFUNCTION("""COMPUTED_VALUE"""),"Luiz Fernando dos Reis Júnior - Pós-Graduação em Sexologia")</f>
        <v>Luiz Fernando dos Reis Júnior - Pós-Graduação em Sexologia</v>
      </c>
    </row>
    <row r="3765">
      <c r="A3765" s="390" t="str">
        <f>IFERROR(__xludf.DUMMYFUNCTION("""COMPUTED_VALUE"""),"Déa Almeida da Silva Filha lead - Pós-Graduação em Psicanálise")</f>
        <v>Déa Almeida da Silva Filha lead - Pós-Graduação em Psicanálise</v>
      </c>
    </row>
    <row r="3766">
      <c r="A3766" s="390" t="str">
        <f>IFERROR(__xludf.DUMMYFUNCTION("""COMPUTED_VALUE"""),"Juliana Silva de Paula - #SLUPI - SEGUNDA LICENCIATURA EM LETRAS – PORTUGUÊS E INGLÊS")</f>
        <v>Juliana Silva de Paula - #SLUPI - SEGUNDA LICENCIATURA EM LETRAS – PORTUGUÊS E INGLÊS</v>
      </c>
    </row>
    <row r="3767">
      <c r="A3767" s="390" t="str">
        <f>IFERROR(__xludf.DUMMYFUNCTION("""COMPUTED_VALUE"""),"Juliana Silva de Paula - #SLUP - SEGUNDA LICENCIATURA EM PEDAGOGIA")</f>
        <v>Juliana Silva de Paula - #SLUP - SEGUNDA LICENCIATURA EM PEDAGOGIA</v>
      </c>
    </row>
    <row r="3768">
      <c r="A3768" s="390" t="str">
        <f>IFERROR(__xludf.DUMMYFUNCTION("""COMPUTED_VALUE"""),"Franciana lima de morais - Pós-Graduação em Psicanálise")</f>
        <v>Franciana lima de morais - Pós-Graduação em Psicanálise</v>
      </c>
    </row>
    <row r="3769">
      <c r="A3769" s="390" t="str">
        <f>IFERROR(__xludf.DUMMYFUNCTION("""COMPUTED_VALUE"""),"Gilvania Maria Meireles Montalvão - Pós-Graduação em Psicologia Educacional")</f>
        <v>Gilvania Maria Meireles Montalvão - Pós-Graduação em Psicologia Educacional</v>
      </c>
    </row>
    <row r="3770">
      <c r="A3770" s="390" t="str">
        <f>IFERROR(__xludf.DUMMYFUNCTION("""COMPUTED_VALUE"""),"Glaucus Varagnat - Pós-Graduação em Psicanálise")</f>
        <v>Glaucus Varagnat - Pós-Graduação em Psicanálise</v>
      </c>
    </row>
    <row r="3771">
      <c r="A3771" s="390" t="str">
        <f>IFERROR(__xludf.DUMMYFUNCTION("""COMPUTED_VALUE"""),"Gianina Santos Gomes - #SLUP - SEGUNDA LICENCIATURA EM PEDAGOGIA")</f>
        <v>Gianina Santos Gomes - #SLUP - SEGUNDA LICENCIATURA EM PEDAGOGIA</v>
      </c>
    </row>
    <row r="3772">
      <c r="A3772" s="390" t="str">
        <f>IFERROR(__xludf.DUMMYFUNCTION("""COMPUTED_VALUE"""),"Gianina Santos Gomes - Pós-Graduação Educação Especial e Inclusiva")</f>
        <v>Gianina Santos Gomes - Pós-Graduação Educação Especial e Inclusiva</v>
      </c>
    </row>
    <row r="3773">
      <c r="A3773" s="390" t="str">
        <f>IFERROR(__xludf.DUMMYFUNCTION("""COMPUTED_VALUE"""),"Nubia Carla da Silva Luz - Formação Livre Psicanálise")</f>
        <v>Nubia Carla da Silva Luz - Formação Livre Psicanálise</v>
      </c>
    </row>
    <row r="3774">
      <c r="A3774" s="390" t="str">
        <f>IFERROR(__xludf.DUMMYFUNCTION("""COMPUTED_VALUE"""),"Nathan Cruz Pireth dos Santos - Pós-Graduação em Gestão Escolar")</f>
        <v>Nathan Cruz Pireth dos Santos - Pós-Graduação em Gestão Escolar</v>
      </c>
    </row>
    <row r="3775">
      <c r="A3775" s="390" t="str">
        <f>IFERROR(__xludf.DUMMYFUNCTION("""COMPUTED_VALUE"""),"Nathan Cruz Pireth dos Santos - Pós-Graduação em Metodologia do Ensino de Matemática e Física")</f>
        <v>Nathan Cruz Pireth dos Santos - Pós-Graduação em Metodologia do Ensino de Matemática e Física</v>
      </c>
    </row>
    <row r="3776">
      <c r="A3776" s="390" t="str">
        <f>IFERROR(__xludf.DUMMYFUNCTION("""COMPUTED_VALUE"""),"Silvania Moraes Mascarin Bezerra - #SLMF - Segunda Licenciatura em Música 1320Horas")</f>
        <v>Silvania Moraes Mascarin Bezerra - #SLMF - Segunda Licenciatura em Música 1320Horas</v>
      </c>
    </row>
    <row r="3777">
      <c r="A3777" s="390" t="str">
        <f>IFERROR(__xludf.DUMMYFUNCTION("""COMPUTED_VALUE"""),"Silvania Moraes Mascarin Bezerra - Pós-Graduação em Ensino de Artes")</f>
        <v>Silvania Moraes Mascarin Bezerra - Pós-Graduação em Ensino de Artes</v>
      </c>
    </row>
    <row r="3778">
      <c r="A3778" s="390" t="str">
        <f>IFERROR(__xludf.DUMMYFUNCTION("""COMPUTED_VALUE"""),"Juliana Luzia Dias - #SLUP - SEGUNDA LICENCIATURA EM PEDAGOGIA")</f>
        <v>Juliana Luzia Dias - #SLUP - SEGUNDA LICENCIATURA EM PEDAGOGIA</v>
      </c>
    </row>
    <row r="3779">
      <c r="A3779" s="390" t="str">
        <f>IFERROR(__xludf.DUMMYFUNCTION("""COMPUTED_VALUE"""),"Juliana Luzia Dias - #SLUP - SEGUNDA LICENCIATURA EM PEDAGOGIA")</f>
        <v>Juliana Luzia Dias - #SLUP - SEGUNDA LICENCIATURA EM PEDAGOGIA</v>
      </c>
    </row>
    <row r="3780">
      <c r="A3780" s="390" t="str">
        <f>IFERROR(__xludf.DUMMYFUNCTION("""COMPUTED_VALUE"""),"Juliana Luzia Dias - Pós-Graduação em Atendimento Educacional Especializado Com Ênfase Em Educação Especial e Inclusiva")</f>
        <v>Juliana Luzia Dias - Pós-Graduação em Atendimento Educacional Especializado Com Ênfase Em Educação Especial e Inclusiva</v>
      </c>
    </row>
    <row r="3781">
      <c r="A3781" s="390" t="str">
        <f>IFERROR(__xludf.DUMMYFUNCTION("""COMPUTED_VALUE"""),"Glória do Socorro Costa da Cruz - RADIANTE - Pós-Graduação Neurociência e Aprendizagem")</f>
        <v>Glória do Socorro Costa da Cruz - RADIANTE - Pós-Graduação Neurociência e Aprendizagem</v>
      </c>
    </row>
    <row r="3782">
      <c r="A3782" s="390" t="str">
        <f>IFERROR(__xludf.DUMMYFUNCTION("""COMPUTED_VALUE"""),"Eliete Costa - Práticas Pedagógicas")</f>
        <v>Eliete Costa - Práticas Pedagógicas</v>
      </c>
    </row>
    <row r="3783">
      <c r="A3783" s="390" t="str">
        <f>IFERROR(__xludf.DUMMYFUNCTION("""COMPUTED_VALUE"""),"Janicelia Regina Santos Souza - Pós-Graduação em Administração Pública")</f>
        <v>Janicelia Regina Santos Souza - Pós-Graduação em Administração Pública</v>
      </c>
    </row>
    <row r="3784">
      <c r="A3784" s="390" t="str">
        <f>IFERROR(__xludf.DUMMYFUNCTION("""COMPUTED_VALUE"""),"Alexandre Marcello de Souza - Pós-Graduação em Psicanálise")</f>
        <v>Alexandre Marcello de Souza - Pós-Graduação em Psicanálise</v>
      </c>
    </row>
    <row r="3785">
      <c r="A3785" s="390" t="str">
        <f>IFERROR(__xludf.DUMMYFUNCTION("""COMPUTED_VALUE"""),"AMANDA VELLOSO NOGUEIRA CORDEIRO - #SLUP - SEGUNDA LICENCIATURA EM PEDAGOGIA")</f>
        <v>AMANDA VELLOSO NOGUEIRA CORDEIRO - #SLUP - SEGUNDA LICENCIATURA EM PEDAGOGIA</v>
      </c>
    </row>
    <row r="3786">
      <c r="A3786" s="390" t="str">
        <f>IFERROR(__xludf.DUMMYFUNCTION("""COMPUTED_VALUE"""),"Derismar Oliveira Lins - Formação Livre Psicanálise")</f>
        <v>Derismar Oliveira Lins - Formação Livre Psicanálise</v>
      </c>
    </row>
    <row r="3787">
      <c r="A3787" s="390" t="str">
        <f>IFERROR(__xludf.DUMMYFUNCTION("""COMPUTED_VALUE"""),"LUCIANO IANGUAS - #SLUA- Segunda Licenciatura em Artes Visuais")</f>
        <v>LUCIANO IANGUAS - #SLUA- Segunda Licenciatura em Artes Visuais</v>
      </c>
    </row>
    <row r="3788">
      <c r="A3788" s="390" t="str">
        <f>IFERROR(__xludf.DUMMYFUNCTION("""COMPUTED_VALUE"""),"PATRICIA ROCHA LOPES DA SILVA - #SLUP - SEGUNDA LICENCIATURA EM PEDAGOGIA")</f>
        <v>PATRICIA ROCHA LOPES DA SILVA - #SLUP - SEGUNDA LICENCIATURA EM PEDAGOGIA</v>
      </c>
    </row>
    <row r="3789">
      <c r="A3789" s="390" t="str">
        <f>IFERROR(__xludf.DUMMYFUNCTION("""COMPUTED_VALUE"""),"Eliene Alves Dias - #SLPT- Segunda Licenciatura em Pedagogia")</f>
        <v>Eliene Alves Dias - #SLPT- Segunda Licenciatura em Pedagogia</v>
      </c>
    </row>
    <row r="3790">
      <c r="A3790" s="390" t="str">
        <f>IFERROR(__xludf.DUMMYFUNCTION("""COMPUTED_VALUE"""),"Raniere Andrade da Silva - #FPUEF - Formação Pedagógica em Educação Física - 1200 Horas")</f>
        <v>Raniere Andrade da Silva - #FPUEF - Formação Pedagógica em Educação Física - 1200 Horas</v>
      </c>
    </row>
    <row r="3791">
      <c r="A3791" s="390" t="str">
        <f>IFERROR(__xludf.DUMMYFUNCTION("""COMPUTED_VALUE"""),"Raniere Andrade da Silva - #FPUP-FORMAÇÃO PEDAGÓGICA EM PEDAGOGIA- U")</f>
        <v>Raniere Andrade da Silva - #FPUP-FORMAÇÃO PEDAGÓGICA EM PEDAGOGIA- U</v>
      </c>
    </row>
    <row r="3792">
      <c r="A3792" s="390" t="str">
        <f>IFERROR(__xludf.DUMMYFUNCTION("""COMPUTED_VALUE"""),"Julia Lacerda da Silva - Formação Livre Psicanálise")</f>
        <v>Julia Lacerda da Silva - Formação Livre Psicanálise</v>
      </c>
    </row>
    <row r="3793">
      <c r="A3793" s="390" t="str">
        <f>IFERROR(__xludf.DUMMYFUNCTION("""COMPUTED_VALUE"""),"Tatiane Isaias Rohrig - Pós-Graduação em Psicanálise")</f>
        <v>Tatiane Isaias Rohrig - Pós-Graduação em Psicanálise</v>
      </c>
    </row>
    <row r="3794">
      <c r="A3794" s="390" t="str">
        <f>IFERROR(__xludf.DUMMYFUNCTION("""COMPUTED_VALUE"""),"Talita De Gracia Borges - #SLMF - Segunda Licenciatura em Música 1320Horas")</f>
        <v>Talita De Gracia Borges - #SLMF - Segunda Licenciatura em Música 1320Horas</v>
      </c>
    </row>
    <row r="3795">
      <c r="A3795" s="390" t="str">
        <f>IFERROR(__xludf.DUMMYFUNCTION("""COMPUTED_VALUE"""),"Eduarda Prestes Caldas - Pós-Graduação em Biomedicina Estética")</f>
        <v>Eduarda Prestes Caldas - Pós-Graduação em Biomedicina Estética</v>
      </c>
    </row>
    <row r="3796">
      <c r="A3796" s="390" t="str">
        <f>IFERROR(__xludf.DUMMYFUNCTION("""COMPUTED_VALUE"""),"Valmir Antonio de Freitas - Pós-Graduação em Psicanálise")</f>
        <v>Valmir Antonio de Freitas - Pós-Graduação em Psicanálise</v>
      </c>
    </row>
    <row r="3797">
      <c r="A3797" s="390" t="str">
        <f>IFERROR(__xludf.DUMMYFUNCTION("""COMPUTED_VALUE"""),"Margarida Pedro Alves - Pós-Graduação em Psicanálise")</f>
        <v>Margarida Pedro Alves - Pós-Graduação em Psicanálise</v>
      </c>
    </row>
    <row r="3798">
      <c r="A3798" s="390" t="str">
        <f>IFERROR(__xludf.DUMMYFUNCTION("""COMPUTED_VALUE"""),"Isabelle Marques Nascimento de Souza - Pós-Graduação em Psicanálise")</f>
        <v>Isabelle Marques Nascimento de Souza - Pós-Graduação em Psicanálise</v>
      </c>
    </row>
    <row r="3799">
      <c r="A3799" s="390" t="str">
        <f>IFERROR(__xludf.DUMMYFUNCTION("""COMPUTED_VALUE"""),"Elielton Rodrigues de Souza - #SLMF - Segunda Licenciatura em Música 1320Horas")</f>
        <v>Elielton Rodrigues de Souza - #SLMF - Segunda Licenciatura em Música 1320Horas</v>
      </c>
    </row>
    <row r="3800">
      <c r="A3800" s="390" t="str">
        <f>IFERROR(__xludf.DUMMYFUNCTION("""COMPUTED_VALUE"""),"Elielton Rodrigues de Souza - #SLMF- Segunda Licenciatura Música 1200Horas 1")</f>
        <v>Elielton Rodrigues de Souza - #SLMF- Segunda Licenciatura Música 1200Horas 1</v>
      </c>
    </row>
    <row r="3801">
      <c r="A3801" s="390" t="str">
        <f>IFERROR(__xludf.DUMMYFUNCTION("""COMPUTED_VALUE"""),"Paulo Henrique Sousa da Silva - Pós-Graduação em Psicopedagogia Escolar")</f>
        <v>Paulo Henrique Sousa da Silva - Pós-Graduação em Psicopedagogia Escolar</v>
      </c>
    </row>
    <row r="3802">
      <c r="A3802" s="390" t="str">
        <f>IFERROR(__xludf.DUMMYFUNCTION("""COMPUTED_VALUE"""),"Paulo Henrique Sousa da Silva - #SLUEE - SEGUNDA LICENCIATURA EM EDUCAÇÃO ESPECIAL")</f>
        <v>Paulo Henrique Sousa da Silva - #SLUEE - SEGUNDA LICENCIATURA EM EDUCAÇÃO ESPECIAL</v>
      </c>
    </row>
    <row r="3803">
      <c r="A3803" s="390" t="str">
        <f>IFERROR(__xludf.DUMMYFUNCTION("""COMPUTED_VALUE"""),"Luana Alves Soares Teixeira - Pós-Graduação em Educação Ambiental e Sustentabilidade")</f>
        <v>Luana Alves Soares Teixeira - Pós-Graduação em Educação Ambiental e Sustentabilidade</v>
      </c>
    </row>
    <row r="3804">
      <c r="A3804" s="390" t="str">
        <f>IFERROR(__xludf.DUMMYFUNCTION("""COMPUTED_VALUE"""),"Claudineia dos Santos Novaes - Formação Livre Psicanálise")</f>
        <v>Claudineia dos Santos Novaes - Formação Livre Psicanálise</v>
      </c>
    </row>
    <row r="3805">
      <c r="A3805" s="390" t="str">
        <f>IFERROR(__xludf.DUMMYFUNCTION("""COMPUTED_VALUE"""),"Rogeria Alves da Silva - Pós-Graduação Alfabetização e Letramento")</f>
        <v>Rogeria Alves da Silva - Pós-Graduação Alfabetização e Letramento</v>
      </c>
    </row>
    <row r="3806">
      <c r="A3806" s="390" t="str">
        <f>IFERROR(__xludf.DUMMYFUNCTION("""COMPUTED_VALUE"""),"Érica da Silva Fróes - Práticas Pedagógicas")</f>
        <v>Érica da Silva Fróes - Práticas Pedagógicas</v>
      </c>
    </row>
    <row r="3807">
      <c r="A3807" s="390" t="str">
        <f>IFERROR(__xludf.DUMMYFUNCTION("""COMPUTED_VALUE"""),"Érica da Silva Fróes - #SLPT- Segunda Licenciatura em Pedagogia")</f>
        <v>Érica da Silva Fróes - #SLPT- Segunda Licenciatura em Pedagogia</v>
      </c>
    </row>
    <row r="3808">
      <c r="A3808" s="390" t="str">
        <f>IFERROR(__xludf.DUMMYFUNCTION("""COMPUTED_VALUE"""),"Márcia Cristina Borges de Sousa - Pós-Graduação em Coordenação e Orientação Escolar")</f>
        <v>Márcia Cristina Borges de Sousa - Pós-Graduação em Coordenação e Orientação Escolar</v>
      </c>
    </row>
    <row r="3809">
      <c r="A3809" s="390" t="str">
        <f>IFERROR(__xludf.DUMMYFUNCTION("""COMPUTED_VALUE"""),"Márcia Cristina Borges de Sousa - #SLPA- Segunda Licenciatura em Pedagogia 01")</f>
        <v>Márcia Cristina Borges de Sousa - #SLPA- Segunda Licenciatura em Pedagogia 01</v>
      </c>
    </row>
    <row r="3810">
      <c r="A3810" s="390" t="str">
        <f>IFERROR(__xludf.DUMMYFUNCTION("""COMPUTED_VALUE"""),"Lilian Tayane Aparecida Matias - Formação Livre Psicanálise")</f>
        <v>Lilian Tayane Aparecida Matias - Formação Livre Psicanálise</v>
      </c>
    </row>
    <row r="3811">
      <c r="A3811" s="390" t="str">
        <f>IFERROR(__xludf.DUMMYFUNCTION("""COMPUTED_VALUE"""),"Lilian Tayane Aparecida Matias - Formação Livre em Sexologia")</f>
        <v>Lilian Tayane Aparecida Matias - Formação Livre em Sexologia</v>
      </c>
    </row>
    <row r="3812">
      <c r="A3812" s="390" t="str">
        <f>IFERROR(__xludf.DUMMYFUNCTION("""COMPUTED_VALUE"""),"Ana Carolina Darif da Silva Jeremias - Práticas Pedagógicas")</f>
        <v>Ana Carolina Darif da Silva Jeremias - Práticas Pedagógicas</v>
      </c>
    </row>
    <row r="3813">
      <c r="A3813" s="390" t="str">
        <f>IFERROR(__xludf.DUMMYFUNCTION("""COMPUTED_VALUE"""),"Wlademir Aguiar Piva - #FPMF- Formação Pedagógica em Música 1200Horas")</f>
        <v>Wlademir Aguiar Piva - #FPMF- Formação Pedagógica em Música 1200Horas</v>
      </c>
    </row>
    <row r="3814">
      <c r="A3814" s="390" t="str">
        <f>IFERROR(__xludf.DUMMYFUNCTION("""COMPUTED_VALUE"""),"Wlademir Aguiar Piva - Pós-Graduação em Educação Musical-2022")</f>
        <v>Wlademir Aguiar Piva - Pós-Graduação em Educação Musical-2022</v>
      </c>
    </row>
    <row r="3815">
      <c r="A3815" s="390" t="str">
        <f>IFERROR(__xludf.DUMMYFUNCTION("""COMPUTED_VALUE"""),"Marcelo Carneiro do Nascimento - RADIANTE - Pós-Graduação em Terapia Ocupacional Aplicada à Neurologia")</f>
        <v>Marcelo Carneiro do Nascimento - RADIANTE - Pós-Graduação em Terapia Ocupacional Aplicada à Neurologia</v>
      </c>
    </row>
    <row r="3816">
      <c r="A3816" s="390" t="str">
        <f>IFERROR(__xludf.DUMMYFUNCTION("""COMPUTED_VALUE"""),"Marcelo Carneiro do Nascimento - RADIANTE - Pós-Graduação em Psicologia Clínica")</f>
        <v>Marcelo Carneiro do Nascimento - RADIANTE - Pós-Graduação em Psicologia Clínica</v>
      </c>
    </row>
    <row r="3817">
      <c r="A3817" s="390" t="str">
        <f>IFERROR(__xludf.DUMMYFUNCTION("""COMPUTED_VALUE"""),"Aureneide Dias De Andrade - Pós-Graduação em Sexologia")</f>
        <v>Aureneide Dias De Andrade - Pós-Graduação em Sexologia</v>
      </c>
    </row>
    <row r="3818">
      <c r="A3818" s="390" t="str">
        <f>IFERROR(__xludf.DUMMYFUNCTION("""COMPUTED_VALUE"""),"Jander Calixto Costa Silva - Formação Livre Psicanálise")</f>
        <v>Jander Calixto Costa Silva - Formação Livre Psicanálise</v>
      </c>
    </row>
    <row r="3819">
      <c r="A3819" s="390" t="str">
        <f>IFERROR(__xludf.DUMMYFUNCTION("""COMPUTED_VALUE"""),"Jander Calixto Costa Silva - Formação Livre  TDAH – Transtorno do Déficit de Atenção e Hiperatividade")</f>
        <v>Jander Calixto Costa Silva - Formação Livre  TDAH – Transtorno do Déficit de Atenção e Hiperatividade</v>
      </c>
    </row>
    <row r="3820">
      <c r="A3820" s="390" t="str">
        <f>IFERROR(__xludf.DUMMYFUNCTION("""COMPUTED_VALUE"""),"Angela Maria da Silva - #SLUH- Segunda Licenciatura em História")</f>
        <v>Angela Maria da Silva - #SLUH- Segunda Licenciatura em História</v>
      </c>
    </row>
    <row r="3821">
      <c r="A3821" s="390" t="str">
        <f>IFERROR(__xludf.DUMMYFUNCTION("""COMPUTED_VALUE"""),"Angela Maria da Silva - #SLPA- Segunda Licenciatura em Pedagogia 01")</f>
        <v>Angela Maria da Silva - #SLPA- Segunda Licenciatura em Pedagogia 01</v>
      </c>
    </row>
    <row r="3822">
      <c r="A3822" s="390" t="str">
        <f>IFERROR(__xludf.DUMMYFUNCTION("""COMPUTED_VALUE"""),"Juliana Rocha da Silva - #SLUP - SEGUNDA LICENCIATURA EM PEDAGOGIA")</f>
        <v>Juliana Rocha da Silva - #SLUP - SEGUNDA LICENCIATURA EM PEDAGOGIA</v>
      </c>
    </row>
    <row r="3823">
      <c r="A3823" s="390" t="str">
        <f>IFERROR(__xludf.DUMMYFUNCTION("""COMPUTED_VALUE"""),"Ana Claudia Da Silva Lopes - Formação Livre Psicanálise")</f>
        <v>Ana Claudia Da Silva Lopes - Formação Livre Psicanálise</v>
      </c>
    </row>
    <row r="3824">
      <c r="A3824" s="390" t="str">
        <f>IFERROR(__xludf.DUMMYFUNCTION("""COMPUTED_VALUE"""),"Ana Claudia Da Silva Lopes - Formação Livre em Sexologia")</f>
        <v>Ana Claudia Da Silva Lopes - Formação Livre em Sexologia</v>
      </c>
    </row>
    <row r="3825">
      <c r="A3825" s="390" t="str">
        <f>IFERROR(__xludf.DUMMYFUNCTION("""COMPUTED_VALUE"""),"Jonathas Reis de Moraes - #FPMF- Formação Pedagógica em Música 1200Horas")</f>
        <v>Jonathas Reis de Moraes - #FPMF- Formação Pedagógica em Música 1200Horas</v>
      </c>
    </row>
    <row r="3826">
      <c r="A3826" s="390" t="str">
        <f>IFERROR(__xludf.DUMMYFUNCTION("""COMPUTED_VALUE"""),"Luiz Henrique Soares Fontes - #SLMF - Segunda Licenciatura em Música 1320Horas")</f>
        <v>Luiz Henrique Soares Fontes - #SLMF - Segunda Licenciatura em Música 1320Horas</v>
      </c>
    </row>
    <row r="3827">
      <c r="A3827" s="390" t="str">
        <f>IFERROR(__xludf.DUMMYFUNCTION("""COMPUTED_VALUE"""),"Luiz Henrique Soares Fontes - Pós-Graduação em Gestão de Marketing Digital")</f>
        <v>Luiz Henrique Soares Fontes - Pós-Graduação em Gestão de Marketing Digital</v>
      </c>
    </row>
    <row r="3828">
      <c r="A3828" s="390" t="str">
        <f>IFERROR(__xludf.DUMMYFUNCTION("""COMPUTED_VALUE"""),"Jamila Barbosa Garrido - #SLUP - SEGUNDA LICENCIATURA EM PEDAGOGIA")</f>
        <v>Jamila Barbosa Garrido - #SLUP - SEGUNDA LICENCIATURA EM PEDAGOGIA</v>
      </c>
    </row>
    <row r="3829">
      <c r="A3829" s="390" t="str">
        <f>IFERROR(__xludf.DUMMYFUNCTION("""COMPUTED_VALUE"""),"Abrahão Nascimento Dos Santos - #SLMF - Segunda Licenciatura em Música 1320Horas")</f>
        <v>Abrahão Nascimento Dos Santos - #SLMF - Segunda Licenciatura em Música 1320Horas</v>
      </c>
    </row>
    <row r="3830">
      <c r="A3830" s="390" t="str">
        <f>IFERROR(__xludf.DUMMYFUNCTION("""COMPUTED_VALUE"""),"Michelle Lopes do Nascimento Paiva - Pós-Graduação em Psicanálise")</f>
        <v>Michelle Lopes do Nascimento Paiva - Pós-Graduação em Psicanálise</v>
      </c>
    </row>
    <row r="3831">
      <c r="A3831" s="390" t="str">
        <f>IFERROR(__xludf.DUMMYFUNCTION("""COMPUTED_VALUE"""),"Michelle Lopes do Nascimento Paiva - Formação Livre em Sexologia")</f>
        <v>Michelle Lopes do Nascimento Paiva - Formação Livre em Sexologia</v>
      </c>
    </row>
    <row r="3832">
      <c r="A3832" s="390" t="str">
        <f>IFERROR(__xludf.DUMMYFUNCTION("""COMPUTED_VALUE"""),"Michelle Lopes do Nascimento Paiva - Formação Livre Psicanálise")</f>
        <v>Michelle Lopes do Nascimento Paiva - Formação Livre Psicanálise</v>
      </c>
    </row>
    <row r="3833">
      <c r="A3833" s="390" t="str">
        <f>IFERROR(__xludf.DUMMYFUNCTION("""COMPUTED_VALUE"""),"Michele Silveira Rodrigues - Pós-Graduação em Psicanálise")</f>
        <v>Michele Silveira Rodrigues - Pós-Graduação em Psicanálise</v>
      </c>
    </row>
    <row r="3834">
      <c r="A3834" s="390" t="str">
        <f>IFERROR(__xludf.DUMMYFUNCTION("""COMPUTED_VALUE"""),"Felipe Pinheiro Roque - #FPMF- Formação Pedagógica em Música 1200Horas")</f>
        <v>Felipe Pinheiro Roque - #FPMF- Formação Pedagógica em Música 1200Horas</v>
      </c>
    </row>
    <row r="3835">
      <c r="A3835" s="390" t="str">
        <f>IFERROR(__xludf.DUMMYFUNCTION("""COMPUTED_VALUE"""),"Angela Cristina Palhares - Pós-Graduação Educação Especial e Inclusiva")</f>
        <v>Angela Cristina Palhares - Pós-Graduação Educação Especial e Inclusiva</v>
      </c>
    </row>
    <row r="3836">
      <c r="A3836" s="390" t="str">
        <f>IFERROR(__xludf.DUMMYFUNCTION("""COMPUTED_VALUE"""),"Angela Cristina Palhares - #SLPA- Segunda Licenciatura em Pedagogia 01")</f>
        <v>Angela Cristina Palhares - #SLPA- Segunda Licenciatura em Pedagogia 01</v>
      </c>
    </row>
    <row r="3837">
      <c r="A3837" s="390" t="str">
        <f>IFERROR(__xludf.DUMMYFUNCTION("""COMPUTED_VALUE"""),"Renata Santos de Jesus - #SLPA- Segunda Licenciatura em Pedagogia 01")</f>
        <v>Renata Santos de Jesus - #SLPA- Segunda Licenciatura em Pedagogia 01</v>
      </c>
    </row>
    <row r="3838">
      <c r="A3838" s="390" t="str">
        <f>IFERROR(__xludf.DUMMYFUNCTION("""COMPUTED_VALUE"""),"Hudson Caio Martins - Pós-Graduação em Administração Pública")</f>
        <v>Hudson Caio Martins - Pós-Graduação em Administração Pública</v>
      </c>
    </row>
    <row r="3839">
      <c r="A3839" s="390" t="str">
        <f>IFERROR(__xludf.DUMMYFUNCTION("""COMPUTED_VALUE"""),"Hudson Caio Martins - Pós-Graduação em Engenharia Ambiental e Energias Renováveis")</f>
        <v>Hudson Caio Martins - Pós-Graduação em Engenharia Ambiental e Energias Renováveis</v>
      </c>
    </row>
    <row r="3840">
      <c r="A3840" s="390" t="str">
        <f>IFERROR(__xludf.DUMMYFUNCTION("""COMPUTED_VALUE"""),"Aline Rodrigues Neves - #FPP- Formação Pedagógica em Pedagogia R2")</f>
        <v>Aline Rodrigues Neves - #FPP- Formação Pedagógica em Pedagogia R2</v>
      </c>
    </row>
    <row r="3841">
      <c r="A3841" s="390" t="str">
        <f>IFERROR(__xludf.DUMMYFUNCTION("""COMPUTED_VALUE"""),"Rosenildo Da Silva Ramalho - #FPMF- Formação Pedagógica em Música 1200Horas")</f>
        <v>Rosenildo Da Silva Ramalho - #FPMF- Formação Pedagógica em Música 1200Horas</v>
      </c>
    </row>
    <row r="3842">
      <c r="A3842" s="390" t="str">
        <f>IFERROR(__xludf.DUMMYFUNCTION("""COMPUTED_VALUE"""),"Helen Isolani Marques - #SLMF - Segunda Licenciatura em Música 1320Horas")</f>
        <v>Helen Isolani Marques - #SLMF - Segunda Licenciatura em Música 1320Horas</v>
      </c>
    </row>
    <row r="3843">
      <c r="A3843" s="390" t="str">
        <f>IFERROR(__xludf.DUMMYFUNCTION("""COMPUTED_VALUE"""),"Andréa dos Santos Costa - #SLPA- Segunda Licenciatura em Pedagogia 01")</f>
        <v>Andréa dos Santos Costa - #SLPA- Segunda Licenciatura em Pedagogia 01</v>
      </c>
    </row>
    <row r="3844">
      <c r="A3844" s="390" t="str">
        <f>IFERROR(__xludf.DUMMYFUNCTION("""COMPUTED_VALUE"""),"Andréa dos Santos Costa - Pós-Graduação em Orientação Educacional")</f>
        <v>Andréa dos Santos Costa - Pós-Graduação em Orientação Educacional</v>
      </c>
    </row>
    <row r="3845">
      <c r="A3845" s="390" t="str">
        <f>IFERROR(__xludf.DUMMYFUNCTION("""COMPUTED_VALUE"""),"Rosana Daiane Felizardo de Assis Evangelista - #FPUP-FORMAÇÃO PEDAGÓGICA EM PEDAGOGIA- U")</f>
        <v>Rosana Daiane Felizardo de Assis Evangelista - #FPUP-FORMAÇÃO PEDAGÓGICA EM PEDAGOGIA- U</v>
      </c>
    </row>
    <row r="3846">
      <c r="A3846" s="390" t="str">
        <f>IFERROR(__xludf.DUMMYFUNCTION("""COMPUTED_VALUE"""),"Rosana Daiane Felizardo de Assis Evangelista - Pós-Graduação em Gestão Escolar")</f>
        <v>Rosana Daiane Felizardo de Assis Evangelista - Pós-Graduação em Gestão Escolar</v>
      </c>
    </row>
    <row r="3847">
      <c r="A3847" s="390" t="str">
        <f>IFERROR(__xludf.DUMMYFUNCTION("""COMPUTED_VALUE"""),"Rosana Daiane Felizardo de Assis Evangelista - Pós-graduação em Neuropsicologia")</f>
        <v>Rosana Daiane Felizardo de Assis Evangelista - Pós-graduação em Neuropsicologia</v>
      </c>
    </row>
    <row r="3848">
      <c r="A3848" s="390" t="str">
        <f>IFERROR(__xludf.DUMMYFUNCTION("""COMPUTED_VALUE"""),"Rosana Daiane Felizardo de Assis Evangelista - Pós-Graduação em Neuropsicopedagogia")</f>
        <v>Rosana Daiane Felizardo de Assis Evangelista - Pós-Graduação em Neuropsicopedagogia</v>
      </c>
    </row>
    <row r="3849">
      <c r="A3849" s="390" t="str">
        <f>IFERROR(__xludf.DUMMYFUNCTION("""COMPUTED_VALUE"""),"Yago Frederico Salermo Dorneles - #SLMF - Segunda Licenciatura em Música 1320Horas")</f>
        <v>Yago Frederico Salermo Dorneles - #SLMF - Segunda Licenciatura em Música 1320Horas</v>
      </c>
    </row>
    <row r="3850">
      <c r="A3850" s="390" t="str">
        <f>IFERROR(__xludf.DUMMYFUNCTION("""COMPUTED_VALUE"""),"Yago Frederico Salermo Dorneles - Pós-Graduação em Letras com Ênfase em Linguística")</f>
        <v>Yago Frederico Salermo Dorneles - Pós-Graduação em Letras com Ênfase em Linguística</v>
      </c>
    </row>
    <row r="3851">
      <c r="A3851" s="390" t="str">
        <f>IFERROR(__xludf.DUMMYFUNCTION("""COMPUTED_VALUE"""),"Barbara Gilmaria de Marcos Veloso Dias - Pós-Graduação em Psicanálise")</f>
        <v>Barbara Gilmaria de Marcos Veloso Dias - Pós-Graduação em Psicanálise</v>
      </c>
    </row>
    <row r="3852">
      <c r="A3852" s="390" t="str">
        <f>IFERROR(__xludf.DUMMYFUNCTION("""COMPUTED_VALUE"""),"Cristiane Sousa Gomes Duarte - Formação Livre Psicanálise")</f>
        <v>Cristiane Sousa Gomes Duarte - Formação Livre Psicanálise</v>
      </c>
    </row>
    <row r="3853">
      <c r="A3853" s="390" t="str">
        <f>IFERROR(__xludf.DUMMYFUNCTION("""COMPUTED_VALUE"""),"ABIMAEL LUIZ DE OLIVEIRA - #FPMF- Formação Pedagógica em Música 1200Horas")</f>
        <v>ABIMAEL LUIZ DE OLIVEIRA - #FPMF- Formação Pedagógica em Música 1200Horas</v>
      </c>
    </row>
    <row r="3854">
      <c r="A3854" s="390" t="str">
        <f>IFERROR(__xludf.DUMMYFUNCTION("""COMPUTED_VALUE"""),"ABIMAEL LUIZ DE OLIVEIRA - Práticas Pedagógicas")</f>
        <v>ABIMAEL LUIZ DE OLIVEIRA - Práticas Pedagógicas</v>
      </c>
    </row>
    <row r="3855">
      <c r="A3855" s="390" t="str">
        <f>IFERROR(__xludf.DUMMYFUNCTION("""COMPUTED_VALUE"""),"Andhrew Raphael Nunes Dos Santos - #FPMF- Formação Pedagógica em Música 1200Horas")</f>
        <v>Andhrew Raphael Nunes Dos Santos - #FPMF- Formação Pedagógica em Música 1200Horas</v>
      </c>
    </row>
    <row r="3856">
      <c r="A3856" s="390" t="str">
        <f>IFERROR(__xludf.DUMMYFUNCTION("""COMPUTED_VALUE"""),"Evila Cristiane de Almeida Martin - Pós-Graduação em Neuropsicopedagogia Institucional, Clínica e Hospitalar 850h")</f>
        <v>Evila Cristiane de Almeida Martin - Pós-Graduação em Neuropsicopedagogia Institucional, Clínica e Hospitalar 850h</v>
      </c>
    </row>
    <row r="3857">
      <c r="A3857" s="390" t="str">
        <f>IFERROR(__xludf.DUMMYFUNCTION("""COMPUTED_VALUE"""),"Regina Elena Costa - Pós-Graduação Psicopedagogia e Educação Especial")</f>
        <v>Regina Elena Costa - Pós-Graduação Psicopedagogia e Educação Especial</v>
      </c>
    </row>
    <row r="3858">
      <c r="A3858" s="390" t="str">
        <f>IFERROR(__xludf.DUMMYFUNCTION("""COMPUTED_VALUE"""),"Regina Elena Costa - Pós-Graduação em Psicopedagogia e Educação Especial PEE2022")</f>
        <v>Regina Elena Costa - Pós-Graduação em Psicopedagogia e Educação Especial PEE2022</v>
      </c>
    </row>
    <row r="3859">
      <c r="A3859" s="390" t="str">
        <f>IFERROR(__xludf.DUMMYFUNCTION("""COMPUTED_VALUE"""),"Rania Pereira Ribeiro - #SLUP - SEGUNDA LICENCIATURA EM PEDAGOGIA")</f>
        <v>Rania Pereira Ribeiro - #SLUP - SEGUNDA LICENCIATURA EM PEDAGOGIA</v>
      </c>
    </row>
    <row r="3860">
      <c r="A3860" s="390" t="str">
        <f>IFERROR(__xludf.DUMMYFUNCTION("""COMPUTED_VALUE"""),"Rania Pereira Ribeiro - #SLPT- Segunda Licenciatura em Pedagogia")</f>
        <v>Rania Pereira Ribeiro - #SLPT- Segunda Licenciatura em Pedagogia</v>
      </c>
    </row>
    <row r="3861">
      <c r="A3861" s="390" t="str">
        <f>IFERROR(__xludf.DUMMYFUNCTION("""COMPUTED_VALUE"""),"Islano Santos de Lima - Pedagogia para Bacharéis")</f>
        <v>Islano Santos de Lima - Pedagogia para Bacharéis</v>
      </c>
    </row>
    <row r="3862">
      <c r="A3862" s="390" t="str">
        <f>IFERROR(__xludf.DUMMYFUNCTION("""COMPUTED_VALUE"""),"José Antônio dos Santos Silva - #FPMF- Formação Pedagógica em Música 1200Horas")</f>
        <v>José Antônio dos Santos Silva - #FPMF- Formação Pedagógica em Música 1200Horas</v>
      </c>
    </row>
    <row r="3863">
      <c r="A3863" s="390" t="str">
        <f>IFERROR(__xludf.DUMMYFUNCTION("""COMPUTED_VALUE"""),"José Antônio dos Santos Silva - Pós-Graduação em Administração Pública")</f>
        <v>José Antônio dos Santos Silva - Pós-Graduação em Administração Pública</v>
      </c>
    </row>
    <row r="3864">
      <c r="A3864" s="390" t="str">
        <f>IFERROR(__xludf.DUMMYFUNCTION("""COMPUTED_VALUE"""),"Claudia Adriana dos Santos - #SLPA- Segunda Licenciatura em Pedagogia 01")</f>
        <v>Claudia Adriana dos Santos - #SLPA- Segunda Licenciatura em Pedagogia 01</v>
      </c>
    </row>
    <row r="3865">
      <c r="A3865" s="390" t="str">
        <f>IFERROR(__xludf.DUMMYFUNCTION("""COMPUTED_VALUE"""),"Lêda Neres da Silva Melo - Pós-Graduação em Neuropsicopedagogia Institucional, Clínica e Hospitalar 850h")</f>
        <v>Lêda Neres da Silva Melo - Pós-Graduação em Neuropsicopedagogia Institucional, Clínica e Hospitalar 850h</v>
      </c>
    </row>
    <row r="3866">
      <c r="A3866" s="390" t="str">
        <f>IFERROR(__xludf.DUMMYFUNCTION("""COMPUTED_VALUE"""),"Lêda Neres da Silva Melo - Pós-Graduação em Educação Ambiental e Sustentabilidade")</f>
        <v>Lêda Neres da Silva Melo - Pós-Graduação em Educação Ambiental e Sustentabilidade</v>
      </c>
    </row>
    <row r="3867">
      <c r="A3867" s="390" t="str">
        <f>IFERROR(__xludf.DUMMYFUNCTION("""COMPUTED_VALUE"""),"Sergio Menezes Baldez - Formação pedagógica Letras - Português")</f>
        <v>Sergio Menezes Baldez - Formação pedagógica Letras - Português</v>
      </c>
    </row>
    <row r="3868">
      <c r="A3868" s="390" t="str">
        <f>IFERROR(__xludf.DUMMYFUNCTION("""COMPUTED_VALUE"""),"Francisco de Assis Oliveira - Pós-Graduação em Psicanálise")</f>
        <v>Francisco de Assis Oliveira - Pós-Graduação em Psicanálise</v>
      </c>
    </row>
    <row r="3869">
      <c r="A3869" s="390" t="str">
        <f>IFERROR(__xludf.DUMMYFUNCTION("""COMPUTED_VALUE"""),"Elaine Reis Laureano - Pós-Graduação Neurociência e Aprendizagem")</f>
        <v>Elaine Reis Laureano - Pós-Graduação Neurociência e Aprendizagem</v>
      </c>
    </row>
    <row r="3870">
      <c r="A3870" s="390" t="str">
        <f>IFERROR(__xludf.DUMMYFUNCTION("""COMPUTED_VALUE"""),"Ghedoneis Galdino De Almeida - Pós-Graduação Psicopedagogia Clínica, Institucional e Hospitalar")</f>
        <v>Ghedoneis Galdino De Almeida - Pós-Graduação Psicopedagogia Clínica, Institucional e Hospitalar</v>
      </c>
    </row>
    <row r="3871">
      <c r="A3871" s="390" t="str">
        <f>IFERROR(__xludf.DUMMYFUNCTION("""COMPUTED_VALUE"""),"Ghedoneis Galdino De Almeida - Pós-Graduação em Alfabetização e Letramento e a Psicopedagogia")</f>
        <v>Ghedoneis Galdino De Almeida - Pós-Graduação em Alfabetização e Letramento e a Psicopedagogia</v>
      </c>
    </row>
    <row r="3872">
      <c r="A3872" s="390" t="str">
        <f>IFERROR(__xludf.DUMMYFUNCTION("""COMPUTED_VALUE"""),"Villana Mércia Oliveira Freire - Pós-Graduação em Psicanálise")</f>
        <v>Villana Mércia Oliveira Freire - Pós-Graduação em Psicanálise</v>
      </c>
    </row>
    <row r="3873">
      <c r="A3873" s="390" t="str">
        <f>IFERROR(__xludf.DUMMYFUNCTION("""COMPUTED_VALUE"""),"Clarisvaldo Silva Brito - #SLLIT - Segunda Licenciatura em Letras-Inglês 1090Horas")</f>
        <v>Clarisvaldo Silva Brito - #SLLIT - Segunda Licenciatura em Letras-Inglês 1090Horas</v>
      </c>
    </row>
    <row r="3874">
      <c r="A3874" s="390" t="str">
        <f>IFERROR(__xludf.DUMMYFUNCTION("""COMPUTED_VALUE"""),"Ataildo Ferreira Barbosa - #SLMF - Segunda Licenciatura em Música 1320Horas")</f>
        <v>Ataildo Ferreira Barbosa - #SLMF - Segunda Licenciatura em Música 1320Horas</v>
      </c>
    </row>
    <row r="3875">
      <c r="A3875" s="390" t="str">
        <f>IFERROR(__xludf.DUMMYFUNCTION("""COMPUTED_VALUE"""),"Janaína Pinho de Oliveira Anthonijsz - Pós-Graduação em Psicanálise")</f>
        <v>Janaína Pinho de Oliveira Anthonijsz - Pós-Graduação em Psicanálise</v>
      </c>
    </row>
    <row r="3876">
      <c r="A3876" s="390" t="str">
        <f>IFERROR(__xludf.DUMMYFUNCTION("""COMPUTED_VALUE"""),"Janaína Pinho de Oliveira Anthonijsz - NOVO-Pós-Graduação em Psicanálise 800 Horas")</f>
        <v>Janaína Pinho de Oliveira Anthonijsz - NOVO-Pós-Graduação em Psicanálise 800 Horas</v>
      </c>
    </row>
    <row r="3877">
      <c r="A3877" s="390" t="str">
        <f>IFERROR(__xludf.DUMMYFUNCTION("""COMPUTED_VALUE"""),"Diana Beatriz Moraes Soares - #FPP- Formação Pedagógica em Pedagogia R2")</f>
        <v>Diana Beatriz Moraes Soares - #FPP- Formação Pedagógica em Pedagogia R2</v>
      </c>
    </row>
    <row r="3878">
      <c r="A3878" s="390" t="str">
        <f>IFERROR(__xludf.DUMMYFUNCTION("""COMPUTED_VALUE"""),"Diana Beatriz Moraes Soares - #FPP- Formação Pedagógica em Pedagogia R2")</f>
        <v>Diana Beatriz Moraes Soares - #FPP- Formação Pedagógica em Pedagogia R2</v>
      </c>
    </row>
    <row r="3879">
      <c r="A3879" s="390" t="str">
        <f>IFERROR(__xludf.DUMMYFUNCTION("""COMPUTED_VALUE"""),"Diana Beatriz Moraes Soares - Pós-Graduação em Docência do Ensino Superior e Tutoria de Educação a Distância")</f>
        <v>Diana Beatriz Moraes Soares - Pós-Graduação em Docência do Ensino Superior e Tutoria de Educação a Distância</v>
      </c>
    </row>
    <row r="3880">
      <c r="A3880" s="390" t="str">
        <f>IFERROR(__xludf.DUMMYFUNCTION("""COMPUTED_VALUE"""),"Ricardo Alexandre Castro - #SLPT- Segunda Licenciatura em Pedagogia")</f>
        <v>Ricardo Alexandre Castro - #SLPT- Segunda Licenciatura em Pedagogia</v>
      </c>
    </row>
    <row r="3881">
      <c r="A3881" s="390" t="str">
        <f>IFERROR(__xludf.DUMMYFUNCTION("""COMPUTED_VALUE"""),"Juliana Rosa - #FPLIT - FORMAÇÃO PEDAGÓGICA EM LETRAS - INGLÊS")</f>
        <v>Juliana Rosa - #FPLIT - FORMAÇÃO PEDAGÓGICA EM LETRAS - INGLÊS</v>
      </c>
    </row>
    <row r="3882">
      <c r="A3882" s="390" t="str">
        <f>IFERROR(__xludf.DUMMYFUNCTION("""COMPUTED_VALUE"""),"Jullyana Celly de Melo Ferreira - Formação Livre Psicanálise")</f>
        <v>Jullyana Celly de Melo Ferreira - Formação Livre Psicanálise</v>
      </c>
    </row>
    <row r="3883">
      <c r="A3883" s="390" t="str">
        <f>IFERROR(__xludf.DUMMYFUNCTION("""COMPUTED_VALUE"""),"Renato Gomes de Oliveira - #FPMF- Formação Pedagógica em Música 1200Horas")</f>
        <v>Renato Gomes de Oliveira - #FPMF- Formação Pedagógica em Música 1200Horas</v>
      </c>
    </row>
    <row r="3884">
      <c r="A3884" s="390" t="str">
        <f>IFERROR(__xludf.DUMMYFUNCTION("""COMPUTED_VALUE"""),"Cassia de Oliveira Souza Pereira - Formação Livre em Sexologia")</f>
        <v>Cassia de Oliveira Souza Pereira - Formação Livre em Sexologia</v>
      </c>
    </row>
    <row r="3885">
      <c r="A3885" s="390" t="str">
        <f>IFERROR(__xludf.DUMMYFUNCTION("""COMPUTED_VALUE"""),"Karina Fabiana de Vasconcelos Pacheco - Pós-Graduação em Psicanálise")</f>
        <v>Karina Fabiana de Vasconcelos Pacheco - Pós-Graduação em Psicanálise</v>
      </c>
    </row>
    <row r="3886">
      <c r="A3886" s="390" t="str">
        <f>IFERROR(__xludf.DUMMYFUNCTION("""COMPUTED_VALUE"""),"Karina Fabiana de Vasconcelos Pacheco - Pós-Graduação em Psicomotricidade na Educação Infantil")</f>
        <v>Karina Fabiana de Vasconcelos Pacheco - Pós-Graduação em Psicomotricidade na Educação Infantil</v>
      </c>
    </row>
    <row r="3887">
      <c r="A3887" s="390" t="str">
        <f>IFERROR(__xludf.DUMMYFUNCTION("""COMPUTED_VALUE"""),"Kairo Roniely Brito Souza - Formação Livre Psicanálise")</f>
        <v>Kairo Roniely Brito Souza - Formação Livre Psicanálise</v>
      </c>
    </row>
    <row r="3888">
      <c r="A3888" s="390" t="str">
        <f>IFERROR(__xludf.DUMMYFUNCTION("""COMPUTED_VALUE"""),"Adriano jacyntho ribeiro - #SLMF - Segunda Licenciatura em Música 1320Horas")</f>
        <v>Adriano jacyntho ribeiro - #SLMF - Segunda Licenciatura em Música 1320Horas</v>
      </c>
    </row>
    <row r="3889">
      <c r="A3889" s="390" t="str">
        <f>IFERROR(__xludf.DUMMYFUNCTION("""COMPUTED_VALUE"""),"Adriano jacyntho ribeiro - Pós-Graduação em Educação Musical")</f>
        <v>Adriano jacyntho ribeiro - Pós-Graduação em Educação Musical</v>
      </c>
    </row>
    <row r="3890">
      <c r="A3890" s="390" t="str">
        <f>IFERROR(__xludf.DUMMYFUNCTION("""COMPUTED_VALUE"""),"Juliana Maria Balan Viana - #SLUA- Segunda Licenciatura em Artes Visuais")</f>
        <v>Juliana Maria Balan Viana - #SLUA- Segunda Licenciatura em Artes Visuais</v>
      </c>
    </row>
    <row r="3891">
      <c r="A3891" s="390" t="str">
        <f>IFERROR(__xludf.DUMMYFUNCTION("""COMPUTED_VALUE"""),"Juliana Maria Balan Viana - Pós-Graduação em Metodologia Ativas e Tecnologias Educacionais")</f>
        <v>Juliana Maria Balan Viana - Pós-Graduação em Metodologia Ativas e Tecnologias Educacionais</v>
      </c>
    </row>
    <row r="3892">
      <c r="A3892" s="390" t="str">
        <f>IFERROR(__xludf.DUMMYFUNCTION("""COMPUTED_VALUE"""),"Adao Edeilson dos Santos - #FPUEF - Formação Pedagógica em Educação Física - 1200 Horas")</f>
        <v>Adao Edeilson dos Santos - #FPUEF - Formação Pedagógica em Educação Física - 1200 Horas</v>
      </c>
    </row>
    <row r="3893">
      <c r="A3893" s="390" t="str">
        <f>IFERROR(__xludf.DUMMYFUNCTION("""COMPUTED_VALUE"""),"Clarkson Henrique Santos Lemos - #SLUP - SEGUNDA LICENCIATURA EM PEDAGOGIA")</f>
        <v>Clarkson Henrique Santos Lemos - #SLUP - SEGUNDA LICENCIATURA EM PEDAGOGIA</v>
      </c>
    </row>
    <row r="3894">
      <c r="A3894" s="390" t="str">
        <f>IFERROR(__xludf.DUMMYFUNCTION("""COMPUTED_VALUE"""),"Laurene Vieira Cardoso Braz - Pedagogia para Bacharéis")</f>
        <v>Laurene Vieira Cardoso Braz - Pedagogia para Bacharéis</v>
      </c>
    </row>
    <row r="3895">
      <c r="A3895" s="390" t="str">
        <f>IFERROR(__xludf.DUMMYFUNCTION("""COMPUTED_VALUE"""),"Ana Carolina Pereira de Sousa Valadares - #SLUP - SEGUNDA LICENCIATURA EM PEDAGOGIA")</f>
        <v>Ana Carolina Pereira de Sousa Valadares - #SLUP - SEGUNDA LICENCIATURA EM PEDAGOGIA</v>
      </c>
    </row>
    <row r="3896">
      <c r="A3896" s="390" t="str">
        <f>IFERROR(__xludf.DUMMYFUNCTION("""COMPUTED_VALUE"""),"Ana Carolina Pereira de Sousa Valadares - #SLPA- Segunda Licenciatura em Pedagogia 01")</f>
        <v>Ana Carolina Pereira de Sousa Valadares - #SLPA- Segunda Licenciatura em Pedagogia 01</v>
      </c>
    </row>
    <row r="3897">
      <c r="A3897" s="390" t="str">
        <f>IFERROR(__xludf.DUMMYFUNCTION("""COMPUTED_VALUE"""),"Fábio Alves do Carmo - Pós-Graduação em Musicoterapia")</f>
        <v>Fábio Alves do Carmo - Pós-Graduação em Musicoterapia</v>
      </c>
    </row>
    <row r="3898">
      <c r="A3898" s="390" t="str">
        <f>IFERROR(__xludf.DUMMYFUNCTION("""COMPUTED_VALUE"""),"Letícia Abadia Prata Teodoro - #FPUM Formação Pedagógica em Matemática")</f>
        <v>Letícia Abadia Prata Teodoro - #FPUM Formação Pedagógica em Matemática</v>
      </c>
    </row>
    <row r="3899">
      <c r="A3899" s="390" t="str">
        <f>IFERROR(__xludf.DUMMYFUNCTION("""COMPUTED_VALUE"""),"Letícia Abadia Prata Teodoro - Pós-Graduação em Ciências de Dados")</f>
        <v>Letícia Abadia Prata Teodoro - Pós-Graduação em Ciências de Dados</v>
      </c>
    </row>
    <row r="3900">
      <c r="A3900" s="390" t="str">
        <f>IFERROR(__xludf.DUMMYFUNCTION("""COMPUTED_VALUE"""),"Stela Paula Félix - #SLUP - SEGUNDA LICENCIATURA EM PEDAGOGIA")</f>
        <v>Stela Paula Félix - #SLUP - SEGUNDA LICENCIATURA EM PEDAGOGIA</v>
      </c>
    </row>
    <row r="3901">
      <c r="A3901" s="390" t="str">
        <f>IFERROR(__xludf.DUMMYFUNCTION("""COMPUTED_VALUE"""),"Janaina Maoa de Oliveira - Formação Livre Psicanálise")</f>
        <v>Janaina Maoa de Oliveira - Formação Livre Psicanálise</v>
      </c>
    </row>
    <row r="3902">
      <c r="A3902" s="390" t="str">
        <f>IFERROR(__xludf.DUMMYFUNCTION("""COMPUTED_VALUE"""),"Rebeka Cavalcanti Silva Bezerra - #FPUP-FORMAÇÃO PEDAGÓGICA EM PEDAGOGIA- U")</f>
        <v>Rebeka Cavalcanti Silva Bezerra - #FPUP-FORMAÇÃO PEDAGÓGICA EM PEDAGOGIA- U</v>
      </c>
    </row>
    <row r="3903">
      <c r="A3903" s="390" t="str">
        <f>IFERROR(__xludf.DUMMYFUNCTION("""COMPUTED_VALUE"""),"Carolina Santos de Souza - #FPUH- Formação Pedagógica em História")</f>
        <v>Carolina Santos de Souza - #FPUH- Formação Pedagógica em História</v>
      </c>
    </row>
    <row r="3904">
      <c r="A3904" s="390" t="str">
        <f>IFERROR(__xludf.DUMMYFUNCTION("""COMPUTED_VALUE"""),"Carolina Santos de Souza - Pedagogia para Bacharéis")</f>
        <v>Carolina Santos de Souza - Pedagogia para Bacharéis</v>
      </c>
    </row>
    <row r="3905">
      <c r="A3905" s="390" t="str">
        <f>IFERROR(__xludf.DUMMYFUNCTION("""COMPUTED_VALUE"""),"Carolina Santos de Souza - Formação Pedagógica História")</f>
        <v>Carolina Santos de Souza - Formação Pedagógica História</v>
      </c>
    </row>
    <row r="3906">
      <c r="A3906" s="390" t="str">
        <f>IFERROR(__xludf.DUMMYFUNCTION("""COMPUTED_VALUE"""),"Carolina Santos de Souza - #FPT1-Pedagogia para Bacharéis e Tecnólogos (2022)")</f>
        <v>Carolina Santos de Souza - #FPT1-Pedagogia para Bacharéis e Tecnólogos (2022)</v>
      </c>
    </row>
    <row r="3907">
      <c r="A3907" s="390" t="str">
        <f>IFERROR(__xludf.DUMMYFUNCTION("""COMPUTED_VALUE"""),"Carolina Santos de Souza - #FPH+1 Formação Pedagógica em História 1200Hora")</f>
        <v>Carolina Santos de Souza - #FPH+1 Formação Pedagógica em História 1200Hora</v>
      </c>
    </row>
    <row r="3908">
      <c r="A3908" s="390" t="str">
        <f>IFERROR(__xludf.DUMMYFUNCTION("""COMPUTED_VALUE"""),"Paulo Sidney Silva de Souza - Formação Livre Psicanálise")</f>
        <v>Paulo Sidney Silva de Souza - Formação Livre Psicanálise</v>
      </c>
    </row>
    <row r="3909">
      <c r="A3909" s="390" t="str">
        <f>IFERROR(__xludf.DUMMYFUNCTION("""COMPUTED_VALUE"""),"Helenita Maria de Oliveira Sousa Couto - #FPLP- Formação Pedagógica em Letras/Português 850Horas")</f>
        <v>Helenita Maria de Oliveira Sousa Couto - #FPLP- Formação Pedagógica em Letras/Português 850Horas</v>
      </c>
    </row>
    <row r="3910">
      <c r="A3910" s="390" t="str">
        <f>IFERROR(__xludf.DUMMYFUNCTION("""COMPUTED_VALUE"""),"Victor Daniel Ríos Ortiz - Tecnólogo Gestão de Recursos Humanos")</f>
        <v>Victor Daniel Ríos Ortiz - Tecnólogo Gestão de Recursos Humanos</v>
      </c>
    </row>
    <row r="3911">
      <c r="A3911" s="390" t="str">
        <f>IFERROR(__xludf.DUMMYFUNCTION("""COMPUTED_VALUE"""),"Ingridi dapper da costa - teste psicanalise")</f>
        <v>Ingridi dapper da costa - teste psicanalise</v>
      </c>
    </row>
    <row r="3912">
      <c r="A3912" s="390" t="str">
        <f>IFERROR(__xludf.DUMMYFUNCTION("""COMPUTED_VALUE"""),"Ingridi dapper da costa - Formação Livre em Psicanálise-2022")</f>
        <v>Ingridi dapper da costa - Formação Livre em Psicanálise-2022</v>
      </c>
    </row>
    <row r="3913">
      <c r="A3913" s="390" t="str">
        <f>IFERROR(__xludf.DUMMYFUNCTION("""COMPUTED_VALUE"""),"Melquisedec Kleber da Silva - #SLUG - SEGUNDA LICENCIATURA EM GEOGRAFIA")</f>
        <v>Melquisedec Kleber da Silva - #SLUG - SEGUNDA LICENCIATURA EM GEOGRAFIA</v>
      </c>
    </row>
    <row r="3914">
      <c r="A3914" s="390" t="str">
        <f>IFERROR(__xludf.DUMMYFUNCTION("""COMPUTED_VALUE"""),"Monise de Freitas Santos - Formação Livre Psicanálise")</f>
        <v>Monise de Freitas Santos - Formação Livre Psicanálise</v>
      </c>
    </row>
    <row r="3915">
      <c r="A3915" s="390" t="str">
        <f>IFERROR(__xludf.DUMMYFUNCTION("""COMPUTED_VALUE"""),"Monise de Freitas Santos - Formação Livre em Sexologia")</f>
        <v>Monise de Freitas Santos - Formação Livre em Sexologia</v>
      </c>
    </row>
    <row r="3916">
      <c r="A3916" s="390" t="str">
        <f>IFERROR(__xludf.DUMMYFUNCTION("""COMPUTED_VALUE"""),"Amanda Stephanie Freitas Moura Pereira - Pós-Graduação em Enfermagem em Urgência e Emergência")</f>
        <v>Amanda Stephanie Freitas Moura Pereira - Pós-Graduação em Enfermagem em Urgência e Emergência</v>
      </c>
    </row>
    <row r="3917">
      <c r="A3917" s="390" t="str">
        <f>IFERROR(__xludf.DUMMYFUNCTION("""COMPUTED_VALUE"""),"Kalyza Silva Severino - Pedagogia para Bacharéis")</f>
        <v>Kalyza Silva Severino - Pedagogia para Bacharéis</v>
      </c>
    </row>
    <row r="3918">
      <c r="A3918" s="390" t="str">
        <f>IFERROR(__xludf.DUMMYFUNCTION("""COMPUTED_VALUE"""),"Maria do Socorro Aguiar Lima - Pós-Graduação em Neuropsicopedagogia Institucional, Clínica e Hospitalar 850h")</f>
        <v>Maria do Socorro Aguiar Lima - Pós-Graduação em Neuropsicopedagogia Institucional, Clínica e Hospitalar 850h</v>
      </c>
    </row>
    <row r="3919">
      <c r="A3919" s="390" t="str">
        <f>IFERROR(__xludf.DUMMYFUNCTION("""COMPUTED_VALUE"""),"Rodrigo Amaro Sel - Pós-Graduação em Engenharia de Segurança do Trabalho")</f>
        <v>Rodrigo Amaro Sel - Pós-Graduação em Engenharia de Segurança do Trabalho</v>
      </c>
    </row>
    <row r="3920">
      <c r="A3920" s="390" t="str">
        <f>IFERROR(__xludf.DUMMYFUNCTION("""COMPUTED_VALUE"""),"Gabriele Silva monção - Formação Livre Psicanálise")</f>
        <v>Gabriele Silva monção - Formação Livre Psicanálise</v>
      </c>
    </row>
    <row r="3921">
      <c r="A3921" s="390" t="str">
        <f>IFERROR(__xludf.DUMMYFUNCTION("""COMPUTED_VALUE"""),"Selma Francisca Benevides - #SLTLP1- Segunda Licenciatura Letras - Português")</f>
        <v>Selma Francisca Benevides - #SLTLP1- Segunda Licenciatura Letras - Português</v>
      </c>
    </row>
    <row r="3922">
      <c r="A3922" s="390" t="str">
        <f>IFERROR(__xludf.DUMMYFUNCTION("""COMPUTED_VALUE"""),"Éricson Fabrício Alves Vieira da Silva - #SLMF - Segunda Licenciatura em Música 1320Horas")</f>
        <v>Éricson Fabrício Alves Vieira da Silva - #SLMF - Segunda Licenciatura em Música 1320Horas</v>
      </c>
    </row>
    <row r="3923">
      <c r="A3923" s="390" t="str">
        <f>IFERROR(__xludf.DUMMYFUNCTION("""COMPUTED_VALUE"""),"JACICLEIDE DE LIMA ALBUQUERQUE - #SLUF- Segunda Licenciatura em Filosofia")</f>
        <v>JACICLEIDE DE LIMA ALBUQUERQUE - #SLUF- Segunda Licenciatura em Filosofia</v>
      </c>
    </row>
    <row r="3924">
      <c r="A3924" s="390" t="str">
        <f>IFERROR(__xludf.DUMMYFUNCTION("""COMPUTED_VALUE"""),"JACICLEIDE DE LIMA ALBUQUERQUE - Pós-Graduação em Musicoterapia")</f>
        <v>JACICLEIDE DE LIMA ALBUQUERQUE - Pós-Graduação em Musicoterapia</v>
      </c>
    </row>
    <row r="3925">
      <c r="A3925" s="390" t="str">
        <f>IFERROR(__xludf.DUMMYFUNCTION("""COMPUTED_VALUE"""),"JACICLEIDE DE LIMA ALBUQUERQUE - Pós-Graduação Psicopedagogia Clínica, Institucional e Hospitalar")</f>
        <v>JACICLEIDE DE LIMA ALBUQUERQUE - Pós-Graduação Psicopedagogia Clínica, Institucional e Hospitalar</v>
      </c>
    </row>
    <row r="3926">
      <c r="A3926" s="390" t="str">
        <f>IFERROR(__xludf.DUMMYFUNCTION("""COMPUTED_VALUE"""),"Renata Pinheiro da Silva Ribeiro - Formação Livre Psicanálise")</f>
        <v>Renata Pinheiro da Silva Ribeiro - Formação Livre Psicanálise</v>
      </c>
    </row>
    <row r="3927">
      <c r="A3927" s="390" t="str">
        <f>IFERROR(__xludf.DUMMYFUNCTION("""COMPUTED_VALUE"""),"Renata Pinheiro da Silva Ribeiro - Formação Livre em Psicanálise-2022")</f>
        <v>Renata Pinheiro da Silva Ribeiro - Formação Livre em Psicanálise-2022</v>
      </c>
    </row>
    <row r="3928">
      <c r="A3928" s="390" t="str">
        <f>IFERROR(__xludf.DUMMYFUNCTION("""COMPUTED_VALUE"""),"Renata Pinheiro da Silva Ribeiro - Formação Livre em Terapia Familiar")</f>
        <v>Renata Pinheiro da Silva Ribeiro - Formação Livre em Terapia Familiar</v>
      </c>
    </row>
    <row r="3929">
      <c r="A3929" s="390" t="str">
        <f>IFERROR(__xludf.DUMMYFUNCTION("""COMPUTED_VALUE"""),"Joyce Gonçalves da Silva - #SLMF - Segunda Licenciatura em Música 1320Horas")</f>
        <v>Joyce Gonçalves da Silva - #SLMF - Segunda Licenciatura em Música 1320Horas</v>
      </c>
    </row>
    <row r="3930">
      <c r="A3930" s="390" t="str">
        <f>IFERROR(__xludf.DUMMYFUNCTION("""COMPUTED_VALUE"""),"Alvecy Souza Lima de Oliveira - #SLPA- Segunda Licenciatura em Pedagogia 01")</f>
        <v>Alvecy Souza Lima de Oliveira - #SLPA- Segunda Licenciatura em Pedagogia 01</v>
      </c>
    </row>
    <row r="3931">
      <c r="A3931" s="390" t="str">
        <f>IFERROR(__xludf.DUMMYFUNCTION("""COMPUTED_VALUE"""),"Carla Franciele Alves de Souza - Formação Livre Psicanálise")</f>
        <v>Carla Franciele Alves de Souza - Formação Livre Psicanálise</v>
      </c>
    </row>
    <row r="3932">
      <c r="A3932" s="390" t="str">
        <f>IFERROR(__xludf.DUMMYFUNCTION("""COMPUTED_VALUE"""),"Angelica Alves Machado - Pós-Graduação em Psicomotricidade e Educação Especial")</f>
        <v>Angelica Alves Machado - Pós-Graduação em Psicomotricidade e Educação Especial</v>
      </c>
    </row>
    <row r="3933">
      <c r="A3933" s="390" t="str">
        <f>IFERROR(__xludf.DUMMYFUNCTION("""COMPUTED_VALUE"""),"Angelica Alves Machado - #FPMF- Formação Pedagógica em Música 1200Horas")</f>
        <v>Angelica Alves Machado - #FPMF- Formação Pedagógica em Música 1200Horas</v>
      </c>
    </row>
    <row r="3934">
      <c r="A3934" s="390" t="str">
        <f>IFERROR(__xludf.DUMMYFUNCTION("""COMPUTED_VALUE"""),"Jeozadaque Santos Martins - Formação Livre Psicanálise")</f>
        <v>Jeozadaque Santos Martins - Formação Livre Psicanálise</v>
      </c>
    </row>
    <row r="3935">
      <c r="A3935" s="390" t="str">
        <f>IFERROR(__xludf.DUMMYFUNCTION("""COMPUTED_VALUE"""),"Jeozadaque Santos Martins - Pós-Graduação Terapia Cognitiva Comportamental")</f>
        <v>Jeozadaque Santos Martins - Pós-Graduação Terapia Cognitiva Comportamental</v>
      </c>
    </row>
    <row r="3936">
      <c r="A3936" s="390" t="str">
        <f>IFERROR(__xludf.DUMMYFUNCTION("""COMPUTED_VALUE"""),"Débora Pereira de Oliveira - #SLUP - SEGUNDA LICENCIATURA EM PEDAGOGIA")</f>
        <v>Débora Pereira de Oliveira - #SLUP - SEGUNDA LICENCIATURA EM PEDAGOGIA</v>
      </c>
    </row>
    <row r="3937">
      <c r="A3937" s="390" t="str">
        <f>IFERROR(__xludf.DUMMYFUNCTION("""COMPUTED_VALUE"""),"Débora Pereira de Oliveira - #SLMF - Segunda Licenciatura em Música 1320Horas")</f>
        <v>Débora Pereira de Oliveira - #SLMF - Segunda Licenciatura em Música 1320Horas</v>
      </c>
    </row>
    <row r="3938">
      <c r="A3938" s="390" t="str">
        <f>IFERROR(__xludf.DUMMYFUNCTION("""COMPUTED_VALUE"""),"Viviane de Araújo Nascimento - #SLUP - SEGUNDA LICENCIATURA EM PEDAGOGIA")</f>
        <v>Viviane de Araújo Nascimento - #SLUP - SEGUNDA LICENCIATURA EM PEDAGOGIA</v>
      </c>
    </row>
    <row r="3939">
      <c r="A3939" s="390" t="str">
        <f>IFERROR(__xludf.DUMMYFUNCTION("""COMPUTED_VALUE"""),"Elaine Gomes da Conceição - #FPP- Formação Pedagógica em Pedagogia R2")</f>
        <v>Elaine Gomes da Conceição - #FPP- Formação Pedagógica em Pedagogia R2</v>
      </c>
    </row>
    <row r="3940">
      <c r="A3940" s="390" t="str">
        <f>IFERROR(__xludf.DUMMYFUNCTION("""COMPUTED_VALUE"""),"Antônio Henrique da Silva - Pós-Graduação em Biomedicina Estética")</f>
        <v>Antônio Henrique da Silva - Pós-Graduação em Biomedicina Estética</v>
      </c>
    </row>
    <row r="3941">
      <c r="A3941" s="390" t="str">
        <f>IFERROR(__xludf.DUMMYFUNCTION("""COMPUTED_VALUE"""),"Lys Gomes Figueira da Silva - Pedagogia para Bacharéis")</f>
        <v>Lys Gomes Figueira da Silva - Pedagogia para Bacharéis</v>
      </c>
    </row>
    <row r="3942">
      <c r="A3942" s="390" t="str">
        <f>IFERROR(__xludf.DUMMYFUNCTION("""COMPUTED_VALUE"""),"Flávia Gonçalves da Silva - Pós-Graduação em Neuropsicopedagogia Institucional, Clínica e Hospitalar 850h")</f>
        <v>Flávia Gonçalves da Silva - Pós-Graduação em Neuropsicopedagogia Institucional, Clínica e Hospitalar 850h</v>
      </c>
    </row>
    <row r="3943">
      <c r="A3943" s="390" t="str">
        <f>IFERROR(__xludf.DUMMYFUNCTION("""COMPUTED_VALUE"""),"Wagner Dias Lopes - #SLMF - Segunda Licenciatura em Música 1320Horas")</f>
        <v>Wagner Dias Lopes - #SLMF - Segunda Licenciatura em Música 1320Horas</v>
      </c>
    </row>
    <row r="3944">
      <c r="A3944" s="390" t="str">
        <f>IFERROR(__xludf.DUMMYFUNCTION("""COMPUTED_VALUE"""),"EDIVALDO RIBEIRO DOS SANTOS - Formação Livre Psicanálise")</f>
        <v>EDIVALDO RIBEIRO DOS SANTOS - Formação Livre Psicanálise</v>
      </c>
    </row>
    <row r="3945">
      <c r="A3945" s="390" t="str">
        <f>IFERROR(__xludf.DUMMYFUNCTION("""COMPUTED_VALUE"""),"Clarice Emanuelle de Souza Lima - Pós-Graduação em Sexologia")</f>
        <v>Clarice Emanuelle de Souza Lima - Pós-Graduação em Sexologia</v>
      </c>
    </row>
    <row r="3946">
      <c r="A3946" s="390" t="str">
        <f>IFERROR(__xludf.DUMMYFUNCTION("""COMPUTED_VALUE"""),"Rogério Fontes Tomaz - #FPMF- Formação Pedagógica em Música 1200Horas")</f>
        <v>Rogério Fontes Tomaz - #FPMF- Formação Pedagógica em Música 1200Horas</v>
      </c>
    </row>
    <row r="3947">
      <c r="A3947" s="390" t="str">
        <f>IFERROR(__xludf.DUMMYFUNCTION("""COMPUTED_VALUE"""),"Simoni de Fátima de Oliveira Godoi - #SLPA- Segunda Licenciatura em Pedagogia 01")</f>
        <v>Simoni de Fátima de Oliveira Godoi - #SLPA- Segunda Licenciatura em Pedagogia 01</v>
      </c>
    </row>
    <row r="3948">
      <c r="A3948" s="390" t="str">
        <f>IFERROR(__xludf.DUMMYFUNCTION("""COMPUTED_VALUE"""),"Deize Cristina Alves Maciel - #SLUP - SEGUNDA LICENCIATURA EM PEDAGOGIA")</f>
        <v>Deize Cristina Alves Maciel - #SLUP - SEGUNDA LICENCIATURA EM PEDAGOGIA</v>
      </c>
    </row>
    <row r="3949">
      <c r="A3949" s="390" t="str">
        <f>IFERROR(__xludf.DUMMYFUNCTION("""COMPUTED_VALUE"""),"Edília Viana Carvalho - Pós-Graduação em Supervisão e Orientação Escolar-2022")</f>
        <v>Edília Viana Carvalho - Pós-Graduação em Supervisão e Orientação Escolar-2022</v>
      </c>
    </row>
    <row r="3950">
      <c r="A3950" s="390" t="str">
        <f>IFERROR(__xludf.DUMMYFUNCTION("""COMPUTED_VALUE"""),"Isabel Cristina da Costa Rodrigues - Pós-Graduação em Sexologia")</f>
        <v>Isabel Cristina da Costa Rodrigues - Pós-Graduação em Sexologia</v>
      </c>
    </row>
    <row r="3951">
      <c r="A3951" s="390" t="str">
        <f>IFERROR(__xludf.DUMMYFUNCTION("""COMPUTED_VALUE"""),"Isabel Cristina da Costa Rodrigues - Novo-Pós-Graduação em Sexologia 800Horas")</f>
        <v>Isabel Cristina da Costa Rodrigues - Novo-Pós-Graduação em Sexologia 800Horas</v>
      </c>
    </row>
    <row r="3952">
      <c r="A3952" s="390" t="str">
        <f>IFERROR(__xludf.DUMMYFUNCTION("""COMPUTED_VALUE"""),"Ana Paula Massarelli Ianello - #SLUP - SEGUNDA LICENCIATURA EM PEDAGOGIA")</f>
        <v>Ana Paula Massarelli Ianello - #SLUP - SEGUNDA LICENCIATURA EM PEDAGOGIA</v>
      </c>
    </row>
    <row r="3953">
      <c r="A3953" s="390" t="str">
        <f>IFERROR(__xludf.DUMMYFUNCTION("""COMPUTED_VALUE"""),"Ana Paula Massarelli Ianello - Pós-Graduação em Educação Especial e Inclusiva com Ênfase em Defiência Visual, Auditiva e Surdocegueira")</f>
        <v>Ana Paula Massarelli Ianello - Pós-Graduação em Educação Especial e Inclusiva com Ênfase em Defiência Visual, Auditiva e Surdocegueira</v>
      </c>
    </row>
    <row r="3954">
      <c r="A3954" s="390" t="str">
        <f>IFERROR(__xludf.DUMMYFUNCTION("""COMPUTED_VALUE"""),"Maricélia Rodrigues de Paula - Capacitação em Sexologia")</f>
        <v>Maricélia Rodrigues de Paula - Capacitação em Sexologia</v>
      </c>
    </row>
    <row r="3955">
      <c r="A3955" s="390" t="str">
        <f>IFERROR(__xludf.DUMMYFUNCTION("""COMPUTED_VALUE"""),"Antônio Valdocir Hoffman - Pós-Graduação em Psicanálise")</f>
        <v>Antônio Valdocir Hoffman - Pós-Graduação em Psicanálise</v>
      </c>
    </row>
    <row r="3956">
      <c r="A3956" s="390" t="str">
        <f>IFERROR(__xludf.DUMMYFUNCTION("""COMPUTED_VALUE"""),"Antônio Valdocir Hoffman - Novo-Pós-Graduação em Sexologia 800Horas")</f>
        <v>Antônio Valdocir Hoffman - Novo-Pós-Graduação em Sexologia 800Horas</v>
      </c>
    </row>
    <row r="3957">
      <c r="A3957" s="390" t="str">
        <f>IFERROR(__xludf.DUMMYFUNCTION("""COMPUTED_VALUE"""),"Antônio Valdocir Hoffman - NOVO-Pós-Graduação em Psicanálise 800 Horas")</f>
        <v>Antônio Valdocir Hoffman - NOVO-Pós-Graduação em Psicanálise 800 Horas</v>
      </c>
    </row>
    <row r="3958">
      <c r="A3958" s="390" t="str">
        <f>IFERROR(__xludf.DUMMYFUNCTION("""COMPUTED_VALUE"""),"Letícia Gomes D' Agostin - Pedagogia para Bacharéis")</f>
        <v>Letícia Gomes D' Agostin - Pedagogia para Bacharéis</v>
      </c>
    </row>
    <row r="3959">
      <c r="A3959" s="390" t="str">
        <f>IFERROR(__xludf.DUMMYFUNCTION("""COMPUTED_VALUE"""),"Dione Medeiros de Souza - Pós-Graduação em Sexologia")</f>
        <v>Dione Medeiros de Souza - Pós-Graduação em Sexologia</v>
      </c>
    </row>
    <row r="3960">
      <c r="A3960" s="390" t="str">
        <f>IFERROR(__xludf.DUMMYFUNCTION("""COMPUTED_VALUE"""),"Dione Medeiros de Souza - Pós-Graduação em Enfermagem do Trabalho")</f>
        <v>Dione Medeiros de Souza - Pós-Graduação em Enfermagem do Trabalho</v>
      </c>
    </row>
    <row r="3961">
      <c r="A3961" s="390" t="str">
        <f>IFERROR(__xludf.DUMMYFUNCTION("""COMPUTED_VALUE"""),"Wilma Lima Dino da Silva - #SLUP - SEGUNDA LICENCIATURA EM PEDAGOGIA")</f>
        <v>Wilma Lima Dino da Silva - #SLUP - SEGUNDA LICENCIATURA EM PEDAGOGIA</v>
      </c>
    </row>
    <row r="3962">
      <c r="A3962" s="390" t="str">
        <f>IFERROR(__xludf.DUMMYFUNCTION("""COMPUTED_VALUE"""),"Jéssica Lorraine Pereira Crispim - Pós-Graduação em Psicanálise")</f>
        <v>Jéssica Lorraine Pereira Crispim - Pós-Graduação em Psicanálise</v>
      </c>
    </row>
    <row r="3963">
      <c r="A3963" s="390" t="str">
        <f>IFERROR(__xludf.DUMMYFUNCTION("""COMPUTED_VALUE"""),"Fabricio dos Santos Pompeu - #SLMF - Segunda Licenciatura em Música 1320Horas")</f>
        <v>Fabricio dos Santos Pompeu - #SLMF - Segunda Licenciatura em Música 1320Horas</v>
      </c>
    </row>
    <row r="3964">
      <c r="A3964" s="390" t="str">
        <f>IFERROR(__xludf.DUMMYFUNCTION("""COMPUTED_VALUE"""),"Andrezza da Silva Machado Neto - #FPUM Formação Pedagógica em Matemática")</f>
        <v>Andrezza da Silva Machado Neto - #FPUM Formação Pedagógica em Matemática</v>
      </c>
    </row>
    <row r="3965">
      <c r="A3965" s="390" t="str">
        <f>IFERROR(__xludf.DUMMYFUNCTION("""COMPUTED_VALUE"""),"Antonio dos Santos Souza - Pós-Graduação em Psicanálise")</f>
        <v>Antonio dos Santos Souza - Pós-Graduação em Psicanálise</v>
      </c>
    </row>
    <row r="3966">
      <c r="A3966" s="390" t="str">
        <f>IFERROR(__xludf.DUMMYFUNCTION("""COMPUTED_VALUE"""),"Dennize Oliveira de Aquino - Pós-Graduação em Neuropsicopedagogia Institucional, Clínica e Hospitalar 850h")</f>
        <v>Dennize Oliveira de Aquino - Pós-Graduação em Neuropsicopedagogia Institucional, Clínica e Hospitalar 850h</v>
      </c>
    </row>
    <row r="3967">
      <c r="A3967" s="390" t="str">
        <f>IFERROR(__xludf.DUMMYFUNCTION("""COMPUTED_VALUE"""),"Eder Monteiro Salgado - #FPUH- Formação Pedagógica em História")</f>
        <v>Eder Monteiro Salgado - #FPUH- Formação Pedagógica em História</v>
      </c>
    </row>
    <row r="3968">
      <c r="A3968" s="390" t="str">
        <f>IFERROR(__xludf.DUMMYFUNCTION("""COMPUTED_VALUE"""),"Roberta Maia Saldanha - #SLUPI - SEGUNDA LICENCIATURA EM LETRAS – PORTUGUÊS E INGLÊS")</f>
        <v>Roberta Maia Saldanha - #SLUPI - SEGUNDA LICENCIATURA EM LETRAS – PORTUGUÊS E INGLÊS</v>
      </c>
    </row>
    <row r="3969">
      <c r="A3969" s="390" t="str">
        <f>IFERROR(__xludf.DUMMYFUNCTION("""COMPUTED_VALUE"""),"Roberta Maia Saldanha - #SLLIT - Segunda Licenciatura em Letras-Inglês 1090Horas")</f>
        <v>Roberta Maia Saldanha - #SLLIT - Segunda Licenciatura em Letras-Inglês 1090Horas</v>
      </c>
    </row>
    <row r="3970">
      <c r="A3970" s="390" t="str">
        <f>IFERROR(__xludf.DUMMYFUNCTION("""COMPUTED_VALUE"""),"Roberta Maia Saldanha - #SLLIA - Segunda Licenciatura em Letras Inglês 760Horas")</f>
        <v>Roberta Maia Saldanha - #SLLIA - Segunda Licenciatura em Letras Inglês 760Horas</v>
      </c>
    </row>
    <row r="3971">
      <c r="A3971" s="390" t="str">
        <f>IFERROR(__xludf.DUMMYFUNCTION("""COMPUTED_VALUE"""),"Izabel Maria Magalhaes da Costa - #FPUP-FORMAÇÃO PEDAGÓGICA EM PEDAGOGIA- U")</f>
        <v>Izabel Maria Magalhaes da Costa - #FPUP-FORMAÇÃO PEDAGÓGICA EM PEDAGOGIA- U</v>
      </c>
    </row>
    <row r="3972">
      <c r="A3972" s="390" t="str">
        <f>IFERROR(__xludf.DUMMYFUNCTION("""COMPUTED_VALUE"""),"Izabel Maria Magalhaes da Costa - #FPT1-Pedagogia para Bacharéis e Tecnólogos (2022)")</f>
        <v>Izabel Maria Magalhaes da Costa - #FPT1-Pedagogia para Bacharéis e Tecnólogos (2022)</v>
      </c>
    </row>
    <row r="3973">
      <c r="A3973" s="390" t="str">
        <f>IFERROR(__xludf.DUMMYFUNCTION("""COMPUTED_VALUE"""),"José Holanda Venancio Santos - #SLMF - Segunda Licenciatura em Música 1320Horas")</f>
        <v>José Holanda Venancio Santos - #SLMF - Segunda Licenciatura em Música 1320Horas</v>
      </c>
    </row>
    <row r="3974">
      <c r="A3974" s="390" t="str">
        <f>IFERROR(__xludf.DUMMYFUNCTION("""COMPUTED_VALUE"""),"Eliana Oliveira Vieira da Silva - #SLUEE - SEGUNDA LICENCIATURA EM EDUCAÇÃO ESPECIAL")</f>
        <v>Eliana Oliveira Vieira da Silva - #SLUEE - SEGUNDA LICENCIATURA EM EDUCAÇÃO ESPECIAL</v>
      </c>
    </row>
    <row r="3975">
      <c r="A3975" s="390" t="str">
        <f>IFERROR(__xludf.DUMMYFUNCTION("""COMPUTED_VALUE"""),"Maria Shirley Macedo Sampaio - #SLUP - SEGUNDA LICENCIATURA EM PEDAGOGIA")</f>
        <v>Maria Shirley Macedo Sampaio - #SLUP - SEGUNDA LICENCIATURA EM PEDAGOGIA</v>
      </c>
    </row>
    <row r="3976">
      <c r="A3976" s="390" t="str">
        <f>IFERROR(__xludf.DUMMYFUNCTION("""COMPUTED_VALUE"""),"Wilson Roberto Diamente - #SLUP - SEGUNDA LICENCIATURA EM PEDAGOGIA")</f>
        <v>Wilson Roberto Diamente - #SLUP - SEGUNDA LICENCIATURA EM PEDAGOGIA</v>
      </c>
    </row>
    <row r="3977">
      <c r="A3977" s="390" t="str">
        <f>IFERROR(__xludf.DUMMYFUNCTION("""COMPUTED_VALUE"""),"Marcia De Fátima Garcia Gallego - Pós-Graduação em Sexologia")</f>
        <v>Marcia De Fátima Garcia Gallego - Pós-Graduação em Sexologia</v>
      </c>
    </row>
    <row r="3978">
      <c r="A3978" s="390" t="str">
        <f>IFERROR(__xludf.DUMMYFUNCTION("""COMPUTED_VALUE"""),"Cristiane de Jesus Alves Santos - Formação Livre Psicanálise")</f>
        <v>Cristiane de Jesus Alves Santos - Formação Livre Psicanálise</v>
      </c>
    </row>
    <row r="3979">
      <c r="A3979" s="390" t="str">
        <f>IFERROR(__xludf.DUMMYFUNCTION("""COMPUTED_VALUE"""),"Jean Carla do Nascimento - Formação Livre Psicanálise")</f>
        <v>Jean Carla do Nascimento - Formação Livre Psicanálise</v>
      </c>
    </row>
    <row r="3980">
      <c r="A3980" s="390" t="str">
        <f>IFERROR(__xludf.DUMMYFUNCTION("""COMPUTED_VALUE"""),"Jean Carla do Nascimento - Formação Livre em Psicanálise-2022")</f>
        <v>Jean Carla do Nascimento - Formação Livre em Psicanálise-2022</v>
      </c>
    </row>
    <row r="3981">
      <c r="A3981" s="390" t="str">
        <f>IFERROR(__xludf.DUMMYFUNCTION("""COMPUTED_VALUE"""),"Edna Florentino de Oliveira Ferreira - Formação Livre Psicanálise")</f>
        <v>Edna Florentino de Oliveira Ferreira - Formação Livre Psicanálise</v>
      </c>
    </row>
    <row r="3982">
      <c r="A3982" s="390" t="str">
        <f>IFERROR(__xludf.DUMMYFUNCTION("""COMPUTED_VALUE"""),"Antonia Jessica Dantas Ferreira - Pós-Graduação em Sexologia")</f>
        <v>Antonia Jessica Dantas Ferreira - Pós-Graduação em Sexologia</v>
      </c>
    </row>
    <row r="3983">
      <c r="A3983" s="390" t="str">
        <f>IFERROR(__xludf.DUMMYFUNCTION("""COMPUTED_VALUE"""),"Tatiane do Espírito santo Leão - Formação Livre Psicanálise")</f>
        <v>Tatiane do Espírito santo Leão - Formação Livre Psicanálise</v>
      </c>
    </row>
    <row r="3984">
      <c r="A3984" s="390" t="str">
        <f>IFERROR(__xludf.DUMMYFUNCTION("""COMPUTED_VALUE"""),"Simone Silva Rocha - Pós-Graduação em Psicanálise")</f>
        <v>Simone Silva Rocha - Pós-Graduação em Psicanálise</v>
      </c>
    </row>
    <row r="3985">
      <c r="A3985" s="390" t="str">
        <f>IFERROR(__xludf.DUMMYFUNCTION("""COMPUTED_VALUE"""),"Ederson Farley Riedel - #FPMF- Formação Pedagógica em Música 1200Horas")</f>
        <v>Ederson Farley Riedel - #FPMF- Formação Pedagógica em Música 1200Horas</v>
      </c>
    </row>
    <row r="3986">
      <c r="A3986" s="390" t="str">
        <f>IFERROR(__xludf.DUMMYFUNCTION("""COMPUTED_VALUE"""),"Ederson Farley Riedel - PÓS-GRADUAÇÃO EM MUSICOTERAPIA-2022")</f>
        <v>Ederson Farley Riedel - PÓS-GRADUAÇÃO EM MUSICOTERAPIA-2022</v>
      </c>
    </row>
    <row r="3987">
      <c r="A3987" s="390" t="str">
        <f>IFERROR(__xludf.DUMMYFUNCTION("""COMPUTED_VALUE"""),"Marinês dos Santos Silva Duarte - Pós-Graduação em Psicopedagogia Institucional e Clínica 710Horas")</f>
        <v>Marinês dos Santos Silva Duarte - Pós-Graduação em Psicopedagogia Institucional e Clínica 710Horas</v>
      </c>
    </row>
    <row r="3988">
      <c r="A3988" s="390" t="str">
        <f>IFERROR(__xludf.DUMMYFUNCTION("""COMPUTED_VALUE"""),"Marcos Aurélio cruz da Fonseca - #FPUA- Formação Pedagógica em Artes Visuais")</f>
        <v>Marcos Aurélio cruz da Fonseca - #FPUA- Formação Pedagógica em Artes Visuais</v>
      </c>
    </row>
    <row r="3989">
      <c r="A3989" s="390" t="str">
        <f>IFERROR(__xludf.DUMMYFUNCTION("""COMPUTED_VALUE"""),"Marcos Aurélio cruz da Fonseca - NOVO-Pós-Graduação em Psicanálise 800 Horas")</f>
        <v>Marcos Aurélio cruz da Fonseca - NOVO-Pós-Graduação em Psicanálise 800 Horas</v>
      </c>
    </row>
    <row r="3990">
      <c r="A3990" s="390" t="str">
        <f>IFERROR(__xludf.DUMMYFUNCTION("""COMPUTED_VALUE"""),"Marcos Aurélio cruz da Fonseca - FORMAÇÃO PEDAGÓGICA EM PEDAGOGIA - 2024")</f>
        <v>Marcos Aurélio cruz da Fonseca - FORMAÇÃO PEDAGÓGICA EM PEDAGOGIA - 2024</v>
      </c>
    </row>
    <row r="3991">
      <c r="A3991" s="390" t="str">
        <f>IFERROR(__xludf.DUMMYFUNCTION("""COMPUTED_VALUE"""),"Alfredo Vaz Neto - #SLPT- Segunda Licenciatura em Pedagogia")</f>
        <v>Alfredo Vaz Neto - #SLPT- Segunda Licenciatura em Pedagogia</v>
      </c>
    </row>
    <row r="3992">
      <c r="A3992" s="390" t="str">
        <f>IFERROR(__xludf.DUMMYFUNCTION("""COMPUTED_VALUE"""),"Alfredo Vaz Neto - #SLPA- Segunda Licenciatura em Pedagogia 01")</f>
        <v>Alfredo Vaz Neto - #SLPA- Segunda Licenciatura em Pedagogia 01</v>
      </c>
    </row>
    <row r="3993">
      <c r="A3993" s="390" t="str">
        <f>IFERROR(__xludf.DUMMYFUNCTION("""COMPUTED_VALUE"""),"Alfredo Vaz Neto - Pós-Graduação em Letras com Ênfase em Linguística")</f>
        <v>Alfredo Vaz Neto - Pós-Graduação em Letras com Ênfase em Linguística</v>
      </c>
    </row>
    <row r="3994">
      <c r="A3994" s="390" t="str">
        <f>IFERROR(__xludf.DUMMYFUNCTION("""COMPUTED_VALUE"""),"Bernadete Aparecida Fernandes - Pós-Graduação em Neuropsicopedagogia Institucional, Clínica e Hospitalar 850h")</f>
        <v>Bernadete Aparecida Fernandes - Pós-Graduação em Neuropsicopedagogia Institucional, Clínica e Hospitalar 850h</v>
      </c>
    </row>
    <row r="3995">
      <c r="A3995" s="390" t="str">
        <f>IFERROR(__xludf.DUMMYFUNCTION("""COMPUTED_VALUE"""),"Thamiris Araújo de lima - Pedagogia para Bacharéis")</f>
        <v>Thamiris Araújo de lima - Pedagogia para Bacharéis</v>
      </c>
    </row>
    <row r="3996">
      <c r="A3996" s="390" t="str">
        <f>IFERROR(__xludf.DUMMYFUNCTION("""COMPUTED_VALUE"""),"Márcia Cristina dos Santos Bandeira - #SLPA- Segunda Licenciatura em Pedagogia 01")</f>
        <v>Márcia Cristina dos Santos Bandeira - #SLPA- Segunda Licenciatura em Pedagogia 01</v>
      </c>
    </row>
    <row r="3997">
      <c r="A3997" s="390" t="str">
        <f>IFERROR(__xludf.DUMMYFUNCTION("""COMPUTED_VALUE"""),"Bianca Marques Gouveia - #SLMA - Segunda Licenciatura Matemática")</f>
        <v>Bianca Marques Gouveia - #SLMA - Segunda Licenciatura Matemática</v>
      </c>
    </row>
    <row r="3998">
      <c r="A3998" s="390" t="str">
        <f>IFERROR(__xludf.DUMMYFUNCTION("""COMPUTED_VALUE"""),"Bianca Marques Gouveia - #SLPA- Segunda Licenciatura em Pedagogia 01")</f>
        <v>Bianca Marques Gouveia - #SLPA- Segunda Licenciatura em Pedagogia 01</v>
      </c>
    </row>
    <row r="3999">
      <c r="A3999" s="390" t="str">
        <f>IFERROR(__xludf.DUMMYFUNCTION("""COMPUTED_VALUE"""),"Cátia Silene Oliveira Puglia - #SLUP - SEGUNDA LICENCIATURA EM PEDAGOGIA")</f>
        <v>Cátia Silene Oliveira Puglia - #SLUP - SEGUNDA LICENCIATURA EM PEDAGOGIA</v>
      </c>
    </row>
    <row r="4000">
      <c r="A4000" s="390" t="str">
        <f>IFERROR(__xludf.DUMMYFUNCTION("""COMPUTED_VALUE"""),"Cátia Silene Oliveira Puglia - Pós-Graduação em Neuropsicopedagogia Clínica e Institucional")</f>
        <v>Cátia Silene Oliveira Puglia - Pós-Graduação em Neuropsicopedagogia Clínica e Institucional</v>
      </c>
    </row>
    <row r="4001">
      <c r="A4001" s="390" t="str">
        <f>IFERROR(__xludf.DUMMYFUNCTION("""COMPUTED_VALUE"""),"Marina de Freitas Rodrigues Andrade - #SLUP - SEGUNDA LICENCIATURA EM PEDAGOGIA")</f>
        <v>Marina de Freitas Rodrigues Andrade - #SLUP - SEGUNDA LICENCIATURA EM PEDAGOGIA</v>
      </c>
    </row>
    <row r="4002">
      <c r="A4002" s="390" t="str">
        <f>IFERROR(__xludf.DUMMYFUNCTION("""COMPUTED_VALUE"""),"Josielma Sanches da Silva - Pós-Graduação em Terapia em ABA- Análise do Comportamento Aplicada")</f>
        <v>Josielma Sanches da Silva - Pós-Graduação em Terapia em ABA- Análise do Comportamento Aplicada</v>
      </c>
    </row>
    <row r="4003">
      <c r="A4003" s="390" t="str">
        <f>IFERROR(__xludf.DUMMYFUNCTION("""COMPUTED_VALUE"""),"Maria Vanessa dos santos - #SLMA - Segunda Licenciatura Matemática")</f>
        <v>Maria Vanessa dos santos - #SLMA - Segunda Licenciatura Matemática</v>
      </c>
    </row>
    <row r="4004">
      <c r="A4004" s="390" t="str">
        <f>IFERROR(__xludf.DUMMYFUNCTION("""COMPUTED_VALUE"""),"Maria Vanessa dos santos - Pós-Graduação em Gestão de Marketing Digital")</f>
        <v>Maria Vanessa dos santos - Pós-Graduação em Gestão de Marketing Digital</v>
      </c>
    </row>
    <row r="4005">
      <c r="A4005" s="390" t="str">
        <f>IFERROR(__xludf.DUMMYFUNCTION("""COMPUTED_VALUE"""),"Maria Vanessa dos santos - PÓS-GRADUAÇÃO EM METODOLOGIA DO ENSINO DA MATEMÁTICA - 2024")</f>
        <v>Maria Vanessa dos santos - PÓS-GRADUAÇÃO EM METODOLOGIA DO ENSINO DA MATEMÁTICA - 2024</v>
      </c>
    </row>
    <row r="4006">
      <c r="A4006" s="390" t="str">
        <f>IFERROR(__xludf.DUMMYFUNCTION("""COMPUTED_VALUE"""),"Angélica da Silva Santana Santos - #SLUP - SEGUNDA LICENCIATURA EM PEDAGOGIA")</f>
        <v>Angélica da Silva Santana Santos - #SLUP - SEGUNDA LICENCIATURA EM PEDAGOGIA</v>
      </c>
    </row>
    <row r="4007">
      <c r="A4007" s="390" t="str">
        <f>IFERROR(__xludf.DUMMYFUNCTION("""COMPUTED_VALUE"""),"Angélica da Silva Santana Santos - #SLPA- Segunda Licenciatura em Pedagogia 01")</f>
        <v>Angélica da Silva Santana Santos - #SLPA- Segunda Licenciatura em Pedagogia 01</v>
      </c>
    </row>
    <row r="4008">
      <c r="A4008" s="390" t="str">
        <f>IFERROR(__xludf.DUMMYFUNCTION("""COMPUTED_VALUE"""),"Beatriz Neri Nascimento - #SLPA- Segunda Licenciatura em Pedagogia 01")</f>
        <v>Beatriz Neri Nascimento - #SLPA- Segunda Licenciatura em Pedagogia 01</v>
      </c>
    </row>
    <row r="4009">
      <c r="A4009" s="390" t="str">
        <f>IFERROR(__xludf.DUMMYFUNCTION("""COMPUTED_VALUE"""),"Carolina Fernanda de Faria Leite - #SLUEE - SEGUNDA LICENCIATURA EM EDUCAÇÃO ESPECIAL")</f>
        <v>Carolina Fernanda de Faria Leite - #SLUEE - SEGUNDA LICENCIATURA EM EDUCAÇÃO ESPECIAL</v>
      </c>
    </row>
    <row r="4010">
      <c r="A4010" s="390" t="str">
        <f>IFERROR(__xludf.DUMMYFUNCTION("""COMPUTED_VALUE"""),"Marcos Coelho da Silva - #SLPA- Segunda Licenciatura em Pedagogia 01")</f>
        <v>Marcos Coelho da Silva - #SLPA- Segunda Licenciatura em Pedagogia 01</v>
      </c>
    </row>
    <row r="4011">
      <c r="A4011" s="390" t="str">
        <f>IFERROR(__xludf.DUMMYFUNCTION("""COMPUTED_VALUE"""),"Daniel Lucio Camara de Morais - Formação Livre Psicanálise")</f>
        <v>Daniel Lucio Camara de Morais - Formação Livre Psicanálise</v>
      </c>
    </row>
    <row r="4012">
      <c r="A4012" s="390" t="str">
        <f>IFERROR(__xludf.DUMMYFUNCTION("""COMPUTED_VALUE"""),"Marilza Dias Borges Silva - Pós-Graduação Gestão da Saúde Municipal")</f>
        <v>Marilza Dias Borges Silva - Pós-Graduação Gestão da Saúde Municipal</v>
      </c>
    </row>
    <row r="4013">
      <c r="A4013" s="390" t="str">
        <f>IFERROR(__xludf.DUMMYFUNCTION("""COMPUTED_VALUE"""),"Fernanda Viana Azevedo Protasio - #SLUP - SEGUNDA LICENCIATURA EM PEDAGOGIA")</f>
        <v>Fernanda Viana Azevedo Protasio - #SLUP - SEGUNDA LICENCIATURA EM PEDAGOGIA</v>
      </c>
    </row>
    <row r="4014">
      <c r="A4014" s="390" t="str">
        <f>IFERROR(__xludf.DUMMYFUNCTION("""COMPUTED_VALUE"""),"Fernanda Viana Azevedo Protasio - Pós-graduação em Gestão Escolar Integradora com Ênfase em Supervisão, Orientação, Administração e Inspeção 740Horas")</f>
        <v>Fernanda Viana Azevedo Protasio - Pós-graduação em Gestão Escolar Integradora com Ênfase em Supervisão, Orientação, Administração e Inspeção 740Horas</v>
      </c>
    </row>
    <row r="4015">
      <c r="A4015" s="390" t="str">
        <f>IFERROR(__xludf.DUMMYFUNCTION("""COMPUTED_VALUE"""),"Cássia Braga Andalécio - Pós-Graduação em Psicanálise")</f>
        <v>Cássia Braga Andalécio - Pós-Graduação em Psicanálise</v>
      </c>
    </row>
    <row r="4016">
      <c r="A4016" s="390" t="str">
        <f>IFERROR(__xludf.DUMMYFUNCTION("""COMPUTED_VALUE"""),"Samuel de Souza Monico - #FPMF- Formação Pedagógica em Música 1200Horas")</f>
        <v>Samuel de Souza Monico - #FPMF- Formação Pedagógica em Música 1200Horas</v>
      </c>
    </row>
    <row r="4017">
      <c r="A4017" s="390" t="str">
        <f>IFERROR(__xludf.DUMMYFUNCTION("""COMPUTED_VALUE"""),"Samuel de Souza Monico - Pós-Graduação em Educação Musical-2022")</f>
        <v>Samuel de Souza Monico - Pós-Graduação em Educação Musical-2022</v>
      </c>
    </row>
    <row r="4018">
      <c r="A4018" s="390" t="str">
        <f>IFERROR(__xludf.DUMMYFUNCTION("""COMPUTED_VALUE"""),"Maria Valdiluce Silva Oliveira Carlos - Pós-graduação em Neuropsicologia")</f>
        <v>Maria Valdiluce Silva Oliveira Carlos - Pós-graduação em Neuropsicologia</v>
      </c>
    </row>
    <row r="4019">
      <c r="A4019" s="390" t="str">
        <f>IFERROR(__xludf.DUMMYFUNCTION("""COMPUTED_VALUE"""),"Maria Valdiluce Silva Oliveira Carlos - Pós-Graduação em Neuropsicopedagogia Institucional, Clínica e Hospitalar 850h")</f>
        <v>Maria Valdiluce Silva Oliveira Carlos - Pós-Graduação em Neuropsicopedagogia Institucional, Clínica e Hospitalar 850h</v>
      </c>
    </row>
    <row r="4020">
      <c r="A4020" s="390" t="str">
        <f>IFERROR(__xludf.DUMMYFUNCTION("""COMPUTED_VALUE"""),"Maria do Socorro Araújo Alves - Pós-Graduação em Sexologia")</f>
        <v>Maria do Socorro Araújo Alves - Pós-Graduação em Sexologia</v>
      </c>
    </row>
    <row r="4021">
      <c r="A4021" s="390" t="str">
        <f>IFERROR(__xludf.DUMMYFUNCTION("""COMPUTED_VALUE"""),"Sandra Maria dos Santos - #SLUP - SEGUNDA LICENCIATURA EM PEDAGOGIA")</f>
        <v>Sandra Maria dos Santos - #SLUP - SEGUNDA LICENCIATURA EM PEDAGOGIA</v>
      </c>
    </row>
    <row r="4022">
      <c r="A4022" s="390" t="str">
        <f>IFERROR(__xludf.DUMMYFUNCTION("""COMPUTED_VALUE"""),"Sandra Maria dos Santos - Pós-Graduação Alfabetização e Letramento")</f>
        <v>Sandra Maria dos Santos - Pós-Graduação Alfabetização e Letramento</v>
      </c>
    </row>
    <row r="4023">
      <c r="A4023" s="390" t="str">
        <f>IFERROR(__xludf.DUMMYFUNCTION("""COMPUTED_VALUE"""),"Sandra Maria dos Santos - #FPP- Formação Pedagógica em Pedagogia R2")</f>
        <v>Sandra Maria dos Santos - #FPP- Formação Pedagógica em Pedagogia R2</v>
      </c>
    </row>
    <row r="4024">
      <c r="A4024" s="390" t="str">
        <f>IFERROR(__xludf.DUMMYFUNCTION("""COMPUTED_VALUE"""),"Wilson Alves Pacheco - #SLAA - Segunda Licenciatura em Artes Visuais")</f>
        <v>Wilson Alves Pacheco - #SLAA - Segunda Licenciatura em Artes Visuais</v>
      </c>
    </row>
    <row r="4025">
      <c r="A4025" s="390" t="str">
        <f>IFERROR(__xludf.DUMMYFUNCTION("""COMPUTED_VALUE"""),"Tiago Fernandes Rosas - #FPMF- Formação Pedagógica em Música 1200Horas")</f>
        <v>Tiago Fernandes Rosas - #FPMF- Formação Pedagógica em Música 1200Horas</v>
      </c>
    </row>
    <row r="4026">
      <c r="A4026" s="390" t="str">
        <f>IFERROR(__xludf.DUMMYFUNCTION("""COMPUTED_VALUE"""),"Ivanilde Helena Braga - #SLUEF - Segunda Licenciatura em Educação Física")</f>
        <v>Ivanilde Helena Braga - #SLUEF - Segunda Licenciatura em Educação Física</v>
      </c>
    </row>
    <row r="4027">
      <c r="A4027" s="390" t="str">
        <f>IFERROR(__xludf.DUMMYFUNCTION("""COMPUTED_VALUE"""),"Tiago Da Silva Pitts Carneiro - Formação Pedagógica em Letras - Inglês")</f>
        <v>Tiago Da Silva Pitts Carneiro - Formação Pedagógica em Letras - Inglês</v>
      </c>
    </row>
    <row r="4028">
      <c r="A4028" s="390" t="str">
        <f>IFERROR(__xludf.DUMMYFUNCTION("""COMPUTED_VALUE"""),"Elaine Regina Heimovski Ribeiro - #SLPA- Segunda Licenciatura em Pedagogia 01")</f>
        <v>Elaine Regina Heimovski Ribeiro - #SLPA- Segunda Licenciatura em Pedagogia 01</v>
      </c>
    </row>
    <row r="4029">
      <c r="A4029" s="390" t="str">
        <f>IFERROR(__xludf.DUMMYFUNCTION("""COMPUTED_VALUE"""),"Elaine Regina Heimovski Ribeiro - Pós-Graduação Educação Especial e Inclusiva")</f>
        <v>Elaine Regina Heimovski Ribeiro - Pós-Graduação Educação Especial e Inclusiva</v>
      </c>
    </row>
    <row r="4030">
      <c r="A4030" s="390" t="str">
        <f>IFERROR(__xludf.DUMMYFUNCTION("""COMPUTED_VALUE"""),"Josirene Reis Cunha - Pedagogia para Bacharéis")</f>
        <v>Josirene Reis Cunha - Pedagogia para Bacharéis</v>
      </c>
    </row>
    <row r="4031">
      <c r="A4031" s="390" t="str">
        <f>IFERROR(__xludf.DUMMYFUNCTION("""COMPUTED_VALUE"""),"Silvia Letícia Carvalho de Souza Arruda - Pós-Graduação em Psicanálise")</f>
        <v>Silvia Letícia Carvalho de Souza Arruda - Pós-Graduação em Psicanálise</v>
      </c>
    </row>
    <row r="4032">
      <c r="A4032" s="390" t="str">
        <f>IFERROR(__xludf.DUMMYFUNCTION("""COMPUTED_VALUE"""),"Vanessa Moura Cotrin - #SLUA- Segunda Licenciatura em Artes Visuais")</f>
        <v>Vanessa Moura Cotrin - #SLUA- Segunda Licenciatura em Artes Visuais</v>
      </c>
    </row>
    <row r="4033">
      <c r="A4033" s="390" t="str">
        <f>IFERROR(__xludf.DUMMYFUNCTION("""COMPUTED_VALUE"""),"Vanessa Moura Cotrin - Pós-Graduação Educação Especial e Inclusiva")</f>
        <v>Vanessa Moura Cotrin - Pós-Graduação Educação Especial e Inclusiva</v>
      </c>
    </row>
    <row r="4034">
      <c r="A4034" s="390" t="str">
        <f>IFERROR(__xludf.DUMMYFUNCTION("""COMPUTED_VALUE"""),"DILEIDE FERREIRA CAMILO - #SLUP - SEGUNDA LICENCIATURA EM PEDAGOGIA")</f>
        <v>DILEIDE FERREIRA CAMILO - #SLUP - SEGUNDA LICENCIATURA EM PEDAGOGIA</v>
      </c>
    </row>
    <row r="4035">
      <c r="A4035" s="390" t="str">
        <f>IFERROR(__xludf.DUMMYFUNCTION("""COMPUTED_VALUE"""),"DILEIDE FERREIRA CAMILO - Pós-Graduação em Atendimento Educacional Especializado Com Ênfase Em Educação Especial e Inclusiva")</f>
        <v>DILEIDE FERREIRA CAMILO - Pós-Graduação em Atendimento Educacional Especializado Com Ênfase Em Educação Especial e Inclusiva</v>
      </c>
    </row>
    <row r="4036">
      <c r="A4036" s="390" t="str">
        <f>IFERROR(__xludf.DUMMYFUNCTION("""COMPUTED_VALUE"""),"Nivaldo Lisboa da Silva - #SLUEE - SEGUNDA LICENCIATURA EM EDUCAÇÃO ESPECIAL")</f>
        <v>Nivaldo Lisboa da Silva - #SLUEE - SEGUNDA LICENCIATURA EM EDUCAÇÃO ESPECIAL</v>
      </c>
    </row>
    <row r="4037">
      <c r="A4037" s="390" t="str">
        <f>IFERROR(__xludf.DUMMYFUNCTION("""COMPUTED_VALUE"""),"Nivaldo Lisboa da Silva - Pós-Graduação em Autismo")</f>
        <v>Nivaldo Lisboa da Silva - Pós-Graduação em Autismo</v>
      </c>
    </row>
    <row r="4038">
      <c r="A4038" s="390" t="str">
        <f>IFERROR(__xludf.DUMMYFUNCTION("""COMPUTED_VALUE"""),"Nivaldo Lisboa da Silva - Pós-Graduação em Neuropsicopedagogia Clínica e Institucional")</f>
        <v>Nivaldo Lisboa da Silva - Pós-Graduação em Neuropsicopedagogia Clínica e Institucional</v>
      </c>
    </row>
    <row r="4039">
      <c r="A4039" s="390" t="str">
        <f>IFERROR(__xludf.DUMMYFUNCTION("""COMPUTED_VALUE"""),"Fabrício Santos de Melo - Pós-Graduação em Metodologia do Ensino da Matemática")</f>
        <v>Fabrício Santos de Melo - Pós-Graduação em Metodologia do Ensino da Matemática</v>
      </c>
    </row>
    <row r="4040">
      <c r="A4040" s="390" t="str">
        <f>IFERROR(__xludf.DUMMYFUNCTION("""COMPUTED_VALUE"""),"Letícia da Silva Lemes - #SLMF - Segunda Licenciatura em Música 1320Horas")</f>
        <v>Letícia da Silva Lemes - #SLMF - Segunda Licenciatura em Música 1320Horas</v>
      </c>
    </row>
    <row r="4041">
      <c r="A4041" s="390" t="str">
        <f>IFERROR(__xludf.DUMMYFUNCTION("""COMPUTED_VALUE"""),"Darques Celso Domingues Leite - #FPMF- Formação Pedagógica em Música 1200Horas")</f>
        <v>Darques Celso Domingues Leite - #FPMF- Formação Pedagógica em Música 1200Horas</v>
      </c>
    </row>
    <row r="4042">
      <c r="A4042" s="390" t="str">
        <f>IFERROR(__xludf.DUMMYFUNCTION("""COMPUTED_VALUE"""),"Karina Landim - Pós-Graduação em Sexologia")</f>
        <v>Karina Landim - Pós-Graduação em Sexologia</v>
      </c>
    </row>
    <row r="4043">
      <c r="A4043" s="390" t="str">
        <f>IFERROR(__xludf.DUMMYFUNCTION("""COMPUTED_VALUE"""),"Alexandre Felizardo Da Cruz - #SLUP - SEGUNDA LICENCIATURA EM PEDAGOGIA")</f>
        <v>Alexandre Felizardo Da Cruz - #SLUP - SEGUNDA LICENCIATURA EM PEDAGOGIA</v>
      </c>
    </row>
    <row r="4044">
      <c r="A4044" s="390" t="str">
        <f>IFERROR(__xludf.DUMMYFUNCTION("""COMPUTED_VALUE"""),"Alexandre Felizardo Da Cruz - Pós-Graduação em Neuropsicologia Clínica")</f>
        <v>Alexandre Felizardo Da Cruz - Pós-Graduação em Neuropsicologia Clínica</v>
      </c>
    </row>
    <row r="4045">
      <c r="A4045" s="390" t="str">
        <f>IFERROR(__xludf.DUMMYFUNCTION("""COMPUTED_VALUE"""),"Hálesi de Carvalho Gomes - #SLPA- Segunda Licenciatura em Pedagogia 01")</f>
        <v>Hálesi de Carvalho Gomes - #SLPA- Segunda Licenciatura em Pedagogia 01</v>
      </c>
    </row>
    <row r="4046">
      <c r="A4046" s="390" t="str">
        <f>IFERROR(__xludf.DUMMYFUNCTION("""COMPUTED_VALUE"""),"Maria Lucivane De Oliveira Morais - #SLUPI - SEGUNDA LICENCIATURA EM LETRAS – PORTUGUÊS E INGLÊS")</f>
        <v>Maria Lucivane De Oliveira Morais - #SLUPI - SEGUNDA LICENCIATURA EM LETRAS – PORTUGUÊS E INGLÊS</v>
      </c>
    </row>
    <row r="4047">
      <c r="A4047" s="390" t="str">
        <f>IFERROR(__xludf.DUMMYFUNCTION("""COMPUTED_VALUE"""),"Charles Araújo Oliveira - #FPEEF- Formação Pedagógica Educação Física")</f>
        <v>Charles Araújo Oliveira - #FPEEF- Formação Pedagógica Educação Física</v>
      </c>
    </row>
    <row r="4048">
      <c r="A4048" s="390" t="str">
        <f>IFERROR(__xludf.DUMMYFUNCTION("""COMPUTED_VALUE"""),"Lindinalva Araújo Faustino Barboa - Pós-Graduação em Psicanálise")</f>
        <v>Lindinalva Araújo Faustino Barboa - Pós-Graduação em Psicanálise</v>
      </c>
    </row>
    <row r="4049">
      <c r="A4049" s="390" t="str">
        <f>IFERROR(__xludf.DUMMYFUNCTION("""COMPUTED_VALUE"""),"Lindinalva Araújo Faustino Barboa - Formação Livre em Psicanálise-2022")</f>
        <v>Lindinalva Araújo Faustino Barboa - Formação Livre em Psicanálise-2022</v>
      </c>
    </row>
    <row r="4050">
      <c r="A4050" s="390" t="str">
        <f>IFERROR(__xludf.DUMMYFUNCTION("""COMPUTED_VALUE"""),"Kelly Cristina Quimello - Pós-Graduação em Sexologia")</f>
        <v>Kelly Cristina Quimello - Pós-Graduação em Sexologia</v>
      </c>
    </row>
    <row r="4051">
      <c r="A4051" s="390" t="str">
        <f>IFERROR(__xludf.DUMMYFUNCTION("""COMPUTED_VALUE"""),"Kelly Cristina Quimello - Pós-Graduação em Psicanálise")</f>
        <v>Kelly Cristina Quimello - Pós-Graduação em Psicanálise</v>
      </c>
    </row>
    <row r="4052">
      <c r="A4052" s="390" t="str">
        <f>IFERROR(__xludf.DUMMYFUNCTION("""COMPUTED_VALUE"""),"Kelly Cristina Quimello - NOVO-Pós-Graduação em Psicanálise 800 Horas")</f>
        <v>Kelly Cristina Quimello - NOVO-Pós-Graduação em Psicanálise 800 Horas</v>
      </c>
    </row>
    <row r="4053">
      <c r="A4053" s="390" t="str">
        <f>IFERROR(__xludf.DUMMYFUNCTION("""COMPUTED_VALUE"""),"Wenis Marques - Capacitação em Sexologia")</f>
        <v>Wenis Marques - Capacitação em Sexologia</v>
      </c>
    </row>
    <row r="4054">
      <c r="A4054" s="390" t="str">
        <f>IFERROR(__xludf.DUMMYFUNCTION("""COMPUTED_VALUE"""),"Sérgio Rodrigo Coêlho de Oliveira - #FPLIT - FORMAÇÃO PEDAGÓGICA EM LETRAS - INGLÊS")</f>
        <v>Sérgio Rodrigo Coêlho de Oliveira - #FPLIT - FORMAÇÃO PEDAGÓGICA EM LETRAS - INGLÊS</v>
      </c>
    </row>
    <row r="4055">
      <c r="A4055" s="390" t="str">
        <f>IFERROR(__xludf.DUMMYFUNCTION("""COMPUTED_VALUE"""),"Sérgio Rodrigo Coêlho de Oliveira - FORMAÇÃO PEDAGÓGICA EM LETRAS – PORTUGUÊS E ESPANHOL- U")</f>
        <v>Sérgio Rodrigo Coêlho de Oliveira - FORMAÇÃO PEDAGÓGICA EM LETRAS – PORTUGUÊS E ESPANHOL- U</v>
      </c>
    </row>
    <row r="4056">
      <c r="A4056" s="390" t="str">
        <f>IFERROR(__xludf.DUMMYFUNCTION("""COMPUTED_VALUE"""),"Sérgio Rodrigo Coêlho de Oliveira - Formação Pedagógica em Letras - Inglês")</f>
        <v>Sérgio Rodrigo Coêlho de Oliveira - Formação Pedagógica em Letras - Inglês</v>
      </c>
    </row>
    <row r="4057">
      <c r="A4057" s="390" t="str">
        <f>IFERROR(__xludf.DUMMYFUNCTION("""COMPUTED_VALUE"""),"Sérgio Rodrigo Coêlho de Oliveira - #FPTLPI1- Formação Pedagógica Letras - Português/Inglês")</f>
        <v>Sérgio Rodrigo Coêlho de Oliveira - #FPTLPI1- Formação Pedagógica Letras - Português/Inglês</v>
      </c>
    </row>
    <row r="4058">
      <c r="A4058" s="390" t="str">
        <f>IFERROR(__xludf.DUMMYFUNCTION("""COMPUTED_VALUE"""),"Vanessa machado de sousa de Lima - #SLUP - SEGUNDA LICENCIATURA EM PEDAGOGIA")</f>
        <v>Vanessa machado de sousa de Lima - #SLUP - SEGUNDA LICENCIATURA EM PEDAGOGIA</v>
      </c>
    </row>
    <row r="4059">
      <c r="A4059" s="390" t="str">
        <f>IFERROR(__xludf.DUMMYFUNCTION("""COMPUTED_VALUE"""),"Meiry Hellen Rocha Ferreira de Oliveira - #FPUP-FORMAÇÃO PEDAGÓGICA EM PEDAGOGIA- U")</f>
        <v>Meiry Hellen Rocha Ferreira de Oliveira - #FPUP-FORMAÇÃO PEDAGÓGICA EM PEDAGOGIA- U</v>
      </c>
    </row>
    <row r="4060">
      <c r="A4060" s="390" t="str">
        <f>IFERROR(__xludf.DUMMYFUNCTION("""COMPUTED_VALUE"""),"ELISIAMA DE RAMOS - Formação Livre Psicanálise")</f>
        <v>ELISIAMA DE RAMOS - Formação Livre Psicanálise</v>
      </c>
    </row>
    <row r="4061">
      <c r="A4061" s="390" t="str">
        <f>IFERROR(__xludf.DUMMYFUNCTION("""COMPUTED_VALUE"""),"Antonio Carlos Nascimento de Oliveira - Formação Livre Psicanálise")</f>
        <v>Antonio Carlos Nascimento de Oliveira - Formação Livre Psicanálise</v>
      </c>
    </row>
    <row r="4062">
      <c r="A4062" s="390" t="str">
        <f>IFERROR(__xludf.DUMMYFUNCTION("""COMPUTED_VALUE"""),"Manassés dos Santos Silva - #FPMF- Formação Pedagógica em Música 1200Horas")</f>
        <v>Manassés dos Santos Silva - #FPMF- Formação Pedagógica em Música 1200Horas</v>
      </c>
    </row>
    <row r="4063">
      <c r="A4063" s="390" t="str">
        <f>IFERROR(__xludf.DUMMYFUNCTION("""COMPUTED_VALUE"""),"André Garnério Numes Dantas Araújo - #FPLIT - FORMAÇÃO PEDAGÓGICA EM LETRAS - INGLÊS")</f>
        <v>André Garnério Numes Dantas Araújo - #FPLIT - FORMAÇÃO PEDAGÓGICA EM LETRAS - INGLÊS</v>
      </c>
    </row>
    <row r="4064">
      <c r="A4064" s="390" t="str">
        <f>IFERROR(__xludf.DUMMYFUNCTION("""COMPUTED_VALUE"""),"André Garnério Numes Dantas Araújo - #FPMF- Formação Pedagógica em Música 1200Horas")</f>
        <v>André Garnério Numes Dantas Araújo - #FPMF- Formação Pedagógica em Música 1200Horas</v>
      </c>
    </row>
    <row r="4065">
      <c r="A4065" s="390" t="str">
        <f>IFERROR(__xludf.DUMMYFUNCTION("""COMPUTED_VALUE"""),"André Garnério Numes Dantas Araújo - #FPTLPI1- Formação Pedagógica Letras - Português/Inglês")</f>
        <v>André Garnério Numes Dantas Araújo - #FPTLPI1- Formação Pedagógica Letras - Português/Inglês</v>
      </c>
    </row>
    <row r="4066">
      <c r="A4066" s="390" t="str">
        <f>IFERROR(__xludf.DUMMYFUNCTION("""COMPUTED_VALUE"""),"André Garnério Numes Dantas Araújo - #FPMF- Formação Pedagógica em Música 2022")</f>
        <v>André Garnério Numes Dantas Araújo - #FPMF- Formação Pedagógica em Música 2022</v>
      </c>
    </row>
    <row r="4067">
      <c r="A4067" s="390" t="str">
        <f>IFERROR(__xludf.DUMMYFUNCTION("""COMPUTED_VALUE"""),"Anderson Montenegro dos Santos - #SLPT- Segunda Licenciatura em Pedagogia")</f>
        <v>Anderson Montenegro dos Santos - #SLPT- Segunda Licenciatura em Pedagogia</v>
      </c>
    </row>
    <row r="4068">
      <c r="A4068" s="390" t="str">
        <f>IFERROR(__xludf.DUMMYFUNCTION("""COMPUTED_VALUE"""),"Renata Pires Tavares - Pós-Graduação em Neuropsicopedagogia Institucional, Clínica e Hospitalar 850h")</f>
        <v>Renata Pires Tavares - Pós-Graduação em Neuropsicopedagogia Institucional, Clínica e Hospitalar 850h</v>
      </c>
    </row>
    <row r="4069">
      <c r="A4069" s="390" t="str">
        <f>IFERROR(__xludf.DUMMYFUNCTION("""COMPUTED_VALUE"""),"Wagner Barbosa de Oliveira - Pós-Graduação em Psicanálise")</f>
        <v>Wagner Barbosa de Oliveira - Pós-Graduação em Psicanálise</v>
      </c>
    </row>
    <row r="4070">
      <c r="A4070" s="390" t="str">
        <f>IFERROR(__xludf.DUMMYFUNCTION("""COMPUTED_VALUE"""),"Maria Enacarla da Trindade - Pós-Graduação em Enfermagem em Urgência e Emergência")</f>
        <v>Maria Enacarla da Trindade - Pós-Graduação em Enfermagem em Urgência e Emergência</v>
      </c>
    </row>
    <row r="4071">
      <c r="A4071" s="390" t="str">
        <f>IFERROR(__xludf.DUMMYFUNCTION("""COMPUTED_VALUE"""),"Maria Enacarla da Trindade - Pós-Graduação em Enfermagem do Trabalho")</f>
        <v>Maria Enacarla da Trindade - Pós-Graduação em Enfermagem do Trabalho</v>
      </c>
    </row>
    <row r="4072">
      <c r="A4072" s="390" t="str">
        <f>IFERROR(__xludf.DUMMYFUNCTION("""COMPUTED_VALUE"""),"Valquiria Medeiros de Santana de Aguiar - Formação Livre Psicanálise")</f>
        <v>Valquiria Medeiros de Santana de Aguiar - Formação Livre Psicanálise</v>
      </c>
    </row>
    <row r="4073">
      <c r="A4073" s="390" t="str">
        <f>IFERROR(__xludf.DUMMYFUNCTION("""COMPUTED_VALUE"""),"Lucimara Valdambrini Moriconi - Pós-Graduação em Neuropsicopedagogia")</f>
        <v>Lucimara Valdambrini Moriconi - Pós-Graduação em Neuropsicopedagogia</v>
      </c>
    </row>
    <row r="4074">
      <c r="A4074" s="390" t="str">
        <f>IFERROR(__xludf.DUMMYFUNCTION("""COMPUTED_VALUE"""),"Lucimara Valdambrini Moriconi - Pós-Graduação em Psicopedagogia em Educação Especial")</f>
        <v>Lucimara Valdambrini Moriconi - Pós-Graduação em Psicopedagogia em Educação Especial</v>
      </c>
    </row>
    <row r="4075">
      <c r="A4075" s="390" t="str">
        <f>IFERROR(__xludf.DUMMYFUNCTION("""COMPUTED_VALUE"""),"Keliane Leandro Nascimento Sales - Pós-Graduação em Neuropsicopedagogia Institucional, Clínica e Hospitalar 850h")</f>
        <v>Keliane Leandro Nascimento Sales - Pós-Graduação em Neuropsicopedagogia Institucional, Clínica e Hospitalar 850h</v>
      </c>
    </row>
    <row r="4076">
      <c r="A4076" s="390" t="str">
        <f>IFERROR(__xludf.DUMMYFUNCTION("""COMPUTED_VALUE"""),"Antônio Valdocir Hoffman - Pós-Graduação em Psicanálise")</f>
        <v>Antônio Valdocir Hoffman - Pós-Graduação em Psicanálise</v>
      </c>
    </row>
    <row r="4077">
      <c r="A4077" s="390" t="str">
        <f>IFERROR(__xludf.DUMMYFUNCTION("""COMPUTED_VALUE"""),"Antônio Valdocir Hoffman - Pós-Graduação em Sexologia")</f>
        <v>Antônio Valdocir Hoffman - Pós-Graduação em Sexologia</v>
      </c>
    </row>
    <row r="4078">
      <c r="A4078" s="390" t="str">
        <f>IFERROR(__xludf.DUMMYFUNCTION("""COMPUTED_VALUE"""),"Antônio Valdocir Hoffman - Novo-Pós-Graduação em Sexologia 800Horas")</f>
        <v>Antônio Valdocir Hoffman - Novo-Pós-Graduação em Sexologia 800Horas</v>
      </c>
    </row>
    <row r="4079">
      <c r="A4079" s="390" t="str">
        <f>IFERROR(__xludf.DUMMYFUNCTION("""COMPUTED_VALUE"""),"Antônio Valdocir Hoffman - NOVO-Pós-Graduação em Psicanálise 800 Horas")</f>
        <v>Antônio Valdocir Hoffman - NOVO-Pós-Graduação em Psicanálise 800 Horas</v>
      </c>
    </row>
    <row r="4080">
      <c r="A4080" s="390" t="str">
        <f>IFERROR(__xludf.DUMMYFUNCTION("""COMPUTED_VALUE"""),"Renata Gabrielle Soares Santos - #SLLIT - Segunda Licenciatura em Letras-Inglês 1090Horas")</f>
        <v>Renata Gabrielle Soares Santos - #SLLIT - Segunda Licenciatura em Letras-Inglês 1090Horas</v>
      </c>
    </row>
    <row r="4081">
      <c r="A4081" s="390" t="str">
        <f>IFERROR(__xludf.DUMMYFUNCTION("""COMPUTED_VALUE"""),"Aline Raquel Fraga Damaceno - Formação Livre em Sexologia")</f>
        <v>Aline Raquel Fraga Damaceno - Formação Livre em Sexologia</v>
      </c>
    </row>
    <row r="4082">
      <c r="A4082" s="390" t="str">
        <f>IFERROR(__xludf.DUMMYFUNCTION("""COMPUTED_VALUE"""),"Viviane de Araújo Nascimento - #SLPA- Segunda Licenciatura em Pedagogia 01")</f>
        <v>Viviane de Araújo Nascimento - #SLPA- Segunda Licenciatura em Pedagogia 01</v>
      </c>
    </row>
    <row r="4083">
      <c r="A4083" s="390" t="str">
        <f>IFERROR(__xludf.DUMMYFUNCTION("""COMPUTED_VALUE"""),"Liliane de Paula Sérgio Santos - Pós-Graduação em Neuropsicopedagogia Institucional, Clínica e Hospitalar 850h")</f>
        <v>Liliane de Paula Sérgio Santos - Pós-Graduação em Neuropsicopedagogia Institucional, Clínica e Hospitalar 850h</v>
      </c>
    </row>
    <row r="4084">
      <c r="A4084" s="390" t="str">
        <f>IFERROR(__xludf.DUMMYFUNCTION("""COMPUTED_VALUE"""),"Regiane Rodrigues de Jesus - Formação Livre Psicanálise")</f>
        <v>Regiane Rodrigues de Jesus - Formação Livre Psicanálise</v>
      </c>
    </row>
    <row r="4085">
      <c r="A4085" s="390" t="str">
        <f>IFERROR(__xludf.DUMMYFUNCTION("""COMPUTED_VALUE"""),"Regiane Rodrigues de Jesus - Capacitação em Sexologia")</f>
        <v>Regiane Rodrigues de Jesus - Capacitação em Sexologia</v>
      </c>
    </row>
    <row r="4086">
      <c r="A4086" s="390" t="str">
        <f>IFERROR(__xludf.DUMMYFUNCTION("""COMPUTED_VALUE"""),"Ana Paula Magro da Silva - Capacitação em Psicologia Familiar")</f>
        <v>Ana Paula Magro da Silva - Capacitação em Psicologia Familiar</v>
      </c>
    </row>
    <row r="4087">
      <c r="A4087" s="390" t="str">
        <f>IFERROR(__xludf.DUMMYFUNCTION("""COMPUTED_VALUE"""),"Ana Paula Magro da Silva - Pós-Graduação em Psicanálise")</f>
        <v>Ana Paula Magro da Silva - Pós-Graduação em Psicanálise</v>
      </c>
    </row>
    <row r="4088">
      <c r="A4088" s="390" t="str">
        <f>IFERROR(__xludf.DUMMYFUNCTION("""COMPUTED_VALUE"""),"Karla Patrícia Menezes Costa - #SLPA- Segunda Licenciatura em Pedagogia 01")</f>
        <v>Karla Patrícia Menezes Costa - #SLPA- Segunda Licenciatura em Pedagogia 01</v>
      </c>
    </row>
    <row r="4089">
      <c r="A4089" s="390" t="str">
        <f>IFERROR(__xludf.DUMMYFUNCTION("""COMPUTED_VALUE"""),"Karla Patrícia Menezes Costa - Pós-Graduação em Psicologia Educacional")</f>
        <v>Karla Patrícia Menezes Costa - Pós-Graduação em Psicologia Educacional</v>
      </c>
    </row>
    <row r="4090">
      <c r="A4090" s="390" t="str">
        <f>IFERROR(__xludf.DUMMYFUNCTION("""COMPUTED_VALUE"""),"Karla Patrícia Menezes Costa - Pós-Graduação em Psicopedagogia Escolar")</f>
        <v>Karla Patrícia Menezes Costa - Pós-Graduação em Psicopedagogia Escolar</v>
      </c>
    </row>
    <row r="4091">
      <c r="A4091" s="390" t="str">
        <f>IFERROR(__xludf.DUMMYFUNCTION("""COMPUTED_VALUE"""),"Rogério Belmiro Tampellini - #FPMF- Formação Pedagógica em Música 1200Horas")</f>
        <v>Rogério Belmiro Tampellini - #FPMF- Formação Pedagógica em Música 1200Horas</v>
      </c>
    </row>
    <row r="4092">
      <c r="A4092" s="390" t="str">
        <f>IFERROR(__xludf.DUMMYFUNCTION("""COMPUTED_VALUE"""),"Rogério Belmiro Tampellini - FORMAÇÃO PEDAGÓGICA EM SOCIOLOGIA- U")</f>
        <v>Rogério Belmiro Tampellini - FORMAÇÃO PEDAGÓGICA EM SOCIOLOGIA- U</v>
      </c>
    </row>
    <row r="4093">
      <c r="A4093" s="390" t="str">
        <f>IFERROR(__xludf.DUMMYFUNCTION("""COMPUTED_VALUE"""),"Rogério Belmiro Tampellini - Pós-Graduação em Avaliação Psicológica e Psicodiagnóstico")</f>
        <v>Rogério Belmiro Tampellini - Pós-Graduação em Avaliação Psicológica e Psicodiagnóstico</v>
      </c>
    </row>
    <row r="4094">
      <c r="A4094" s="390" t="str">
        <f>IFERROR(__xludf.DUMMYFUNCTION("""COMPUTED_VALUE"""),"Rogério Belmiro Tampellini - Pós-Graduação em Saúde Mental")</f>
        <v>Rogério Belmiro Tampellini - Pós-Graduação em Saúde Mental</v>
      </c>
    </row>
    <row r="4095">
      <c r="A4095" s="390" t="str">
        <f>IFERROR(__xludf.DUMMYFUNCTION("""COMPUTED_VALUE"""),"Jorge Luiz Nunes - Formação Livre Psicanálise")</f>
        <v>Jorge Luiz Nunes - Formação Livre Psicanálise</v>
      </c>
    </row>
    <row r="4096">
      <c r="A4096" s="390" t="str">
        <f>IFERROR(__xludf.DUMMYFUNCTION("""COMPUTED_VALUE"""),"Jorge Luiz Nunes - Formação Livre Psicanálise")</f>
        <v>Jorge Luiz Nunes - Formação Livre Psicanálise</v>
      </c>
    </row>
    <row r="4097">
      <c r="A4097" s="390" t="str">
        <f>IFERROR(__xludf.DUMMYFUNCTION("""COMPUTED_VALUE"""),"Telma Lucia Pinheiro Santos Paulo - Pós-Graduação em Direito Imobiliário")</f>
        <v>Telma Lucia Pinheiro Santos Paulo - Pós-Graduação em Direito Imobiliário</v>
      </c>
    </row>
    <row r="4098">
      <c r="A4098" s="390" t="str">
        <f>IFERROR(__xludf.DUMMYFUNCTION("""COMPUTED_VALUE"""),"Christian Pierini Macena - Práticas Pedagógicas")</f>
        <v>Christian Pierini Macena - Práticas Pedagógicas</v>
      </c>
    </row>
    <row r="4099">
      <c r="A4099" s="390" t="str">
        <f>IFERROR(__xludf.DUMMYFUNCTION("""COMPUTED_VALUE"""),"Leni Rodrigues dos Santos - Pós-Graduação em Psicanálise")</f>
        <v>Leni Rodrigues dos Santos - Pós-Graduação em Psicanálise</v>
      </c>
    </row>
    <row r="4100">
      <c r="A4100" s="390" t="str">
        <f>IFERROR(__xludf.DUMMYFUNCTION("""COMPUTED_VALUE"""),"Marivalda de Cassia Almeida Mendes Soares - Pós-graduação em Neuropsicologia")</f>
        <v>Marivalda de Cassia Almeida Mendes Soares - Pós-graduação em Neuropsicologia</v>
      </c>
    </row>
    <row r="4101">
      <c r="A4101" s="390" t="str">
        <f>IFERROR(__xludf.DUMMYFUNCTION("""COMPUTED_VALUE"""),"Gustavo Luis Santos de Arruda - Pós-Graduação Gestão Empresarial 600Horas")</f>
        <v>Gustavo Luis Santos de Arruda - Pós-Graduação Gestão Empresarial 600Horas</v>
      </c>
    </row>
    <row r="4102">
      <c r="A4102" s="390" t="str">
        <f>IFERROR(__xludf.DUMMYFUNCTION("""COMPUTED_VALUE"""),"CLÁUDIA CRISTINA VIEIRA - #SLPA- Segunda Licenciatura em Pedagogia 01")</f>
        <v>CLÁUDIA CRISTINA VIEIRA - #SLPA- Segunda Licenciatura em Pedagogia 01</v>
      </c>
    </row>
    <row r="4103">
      <c r="A4103" s="390" t="str">
        <f>IFERROR(__xludf.DUMMYFUNCTION("""COMPUTED_VALUE"""),"Cíntia Batista Lima - Formação Livre Psicanálise")</f>
        <v>Cíntia Batista Lima - Formação Livre Psicanálise</v>
      </c>
    </row>
    <row r="4104">
      <c r="A4104" s="390" t="str">
        <f>IFERROR(__xludf.DUMMYFUNCTION("""COMPUTED_VALUE"""),"Rinaldo Ramos de Sales - #FPMF- Formação Pedagógica em Música 1200Horas")</f>
        <v>Rinaldo Ramos de Sales - #FPMF- Formação Pedagógica em Música 1200Horas</v>
      </c>
    </row>
    <row r="4105">
      <c r="A4105" s="390" t="str">
        <f>IFERROR(__xludf.DUMMYFUNCTION("""COMPUTED_VALUE"""),"Magali de Oliveira Andrade - Formação Livre em Música")</f>
        <v>Magali de Oliveira Andrade - Formação Livre em Música</v>
      </c>
    </row>
    <row r="4106">
      <c r="A4106" s="390" t="str">
        <f>IFERROR(__xludf.DUMMYFUNCTION("""COMPUTED_VALUE"""),"Suellen Lays Neves Monteiro - #SLMF - Segunda Licenciatura em Música 1320Horas")</f>
        <v>Suellen Lays Neves Monteiro - #SLMF - Segunda Licenciatura em Música 1320Horas</v>
      </c>
    </row>
    <row r="4107">
      <c r="A4107" s="390" t="str">
        <f>IFERROR(__xludf.DUMMYFUNCTION("""COMPUTED_VALUE"""),"Thays karoline da Silva Xavier - #SLUA- Segunda Licenciatura em Artes Visuais")</f>
        <v>Thays karoline da Silva Xavier - #SLUA- Segunda Licenciatura em Artes Visuais</v>
      </c>
    </row>
    <row r="4108">
      <c r="A4108" s="390" t="str">
        <f>IFERROR(__xludf.DUMMYFUNCTION("""COMPUTED_VALUE"""),"Viviane Márcia Gonçalves Silva - Formação Livre Psicanálise")</f>
        <v>Viviane Márcia Gonçalves Silva - Formação Livre Psicanálise</v>
      </c>
    </row>
    <row r="4109">
      <c r="A4109" s="390" t="str">
        <f>IFERROR(__xludf.DUMMYFUNCTION("""COMPUTED_VALUE"""),"Viviane Márcia Gonçalves Silva - #FPUP-FORMAÇÃO PEDAGÓGICA EM PEDAGOGIA- U")</f>
        <v>Viviane Márcia Gonçalves Silva - #FPUP-FORMAÇÃO PEDAGÓGICA EM PEDAGOGIA- U</v>
      </c>
    </row>
    <row r="4110">
      <c r="A4110" s="390" t="str">
        <f>IFERROR(__xludf.DUMMYFUNCTION("""COMPUTED_VALUE"""),"Emelly Aparecida Rocha Borges - Pós-Graduação em Sexologia")</f>
        <v>Emelly Aparecida Rocha Borges - Pós-Graduação em Sexologia</v>
      </c>
    </row>
    <row r="4111">
      <c r="A4111" s="390" t="str">
        <f>IFERROR(__xludf.DUMMYFUNCTION("""COMPUTED_VALUE"""),"Emelly Aparecida Rocha Borges - #SLPT- Segunda Licenciatura em Pedagogia")</f>
        <v>Emelly Aparecida Rocha Borges - #SLPT- Segunda Licenciatura em Pedagogia</v>
      </c>
    </row>
    <row r="4112">
      <c r="A4112" s="390" t="str">
        <f>IFERROR(__xludf.DUMMYFUNCTION("""COMPUTED_VALUE"""),"Emelly Aparecida Rocha Borges - Pós-Graduação em Ensino de História")</f>
        <v>Emelly Aparecida Rocha Borges - Pós-Graduação em Ensino de História</v>
      </c>
    </row>
    <row r="4113">
      <c r="A4113" s="390" t="str">
        <f>IFERROR(__xludf.DUMMYFUNCTION("""COMPUTED_VALUE"""),"Maria Luanda da Costa Santana - Formação Livre em Terapia em ABA- Análise do Comportamento Aplicada")</f>
        <v>Maria Luanda da Costa Santana - Formação Livre em Terapia em ABA- Análise do Comportamento Aplicada</v>
      </c>
    </row>
    <row r="4114">
      <c r="A4114" s="390" t="str">
        <f>IFERROR(__xludf.DUMMYFUNCTION("""COMPUTED_VALUE"""),"Maria Luanda da Costa Santana - #SLMF - Segunda Licenciatura em Música 1320Horas")</f>
        <v>Maria Luanda da Costa Santana - #SLMF - Segunda Licenciatura em Música 1320Horas</v>
      </c>
    </row>
    <row r="4115">
      <c r="A4115" s="390" t="str">
        <f>IFERROR(__xludf.DUMMYFUNCTION("""COMPUTED_VALUE"""),"Maria Luanda da Costa Santana - Pós-Graduação em Metodologia do Ensino de Música")</f>
        <v>Maria Luanda da Costa Santana - Pós-Graduação em Metodologia do Ensino de Música</v>
      </c>
    </row>
    <row r="4116">
      <c r="A4116" s="390" t="str">
        <f>IFERROR(__xludf.DUMMYFUNCTION("""COMPUTED_VALUE"""),"Reijane Salazar Costa - Pedagogia para Bacharéis")</f>
        <v>Reijane Salazar Costa - Pedagogia para Bacharéis</v>
      </c>
    </row>
    <row r="4117">
      <c r="A4117" s="390" t="str">
        <f>IFERROR(__xludf.DUMMYFUNCTION("""COMPUTED_VALUE"""),"Cláudia Cristina Barrozo da Silva - #SLUP - SEGUNDA LICENCIATURA EM PEDAGOGIA")</f>
        <v>Cláudia Cristina Barrozo da Silva - #SLUP - SEGUNDA LICENCIATURA EM PEDAGOGIA</v>
      </c>
    </row>
    <row r="4118">
      <c r="A4118" s="390" t="str">
        <f>IFERROR(__xludf.DUMMYFUNCTION("""COMPUTED_VALUE"""),"Roseane de Oliveira - #SLUP - SEGUNDA LICENCIATURA EM PEDAGOGIA")</f>
        <v>Roseane de Oliveira - #SLUP - SEGUNDA LICENCIATURA EM PEDAGOGIA</v>
      </c>
    </row>
    <row r="4119">
      <c r="A4119" s="390" t="str">
        <f>IFERROR(__xludf.DUMMYFUNCTION("""COMPUTED_VALUE"""),"Roseane de Oliveira - #SLPT- Segunda Licenciatura em Pedagogia")</f>
        <v>Roseane de Oliveira - #SLPT- Segunda Licenciatura em Pedagogia</v>
      </c>
    </row>
    <row r="4120">
      <c r="A4120" s="390" t="str">
        <f>IFERROR(__xludf.DUMMYFUNCTION("""COMPUTED_VALUE"""),"Flaviane Antonielle Machado - Bacharelado em Educação Física")</f>
        <v>Flaviane Antonielle Machado - Bacharelado em Educação Física</v>
      </c>
    </row>
    <row r="4121">
      <c r="A4121" s="390" t="str">
        <f>IFERROR(__xludf.DUMMYFUNCTION("""COMPUTED_VALUE"""),"Maria Aparecida Claudino da Silva - #SLHA - Segunda Licenciatura em História")</f>
        <v>Maria Aparecida Claudino da Silva - #SLHA - Segunda Licenciatura em História</v>
      </c>
    </row>
    <row r="4122">
      <c r="A4122" s="390" t="str">
        <f>IFERROR(__xludf.DUMMYFUNCTION("""COMPUTED_VALUE"""),"Maria Aparecida Claudino da Silva - #SLH+- SEGUNDA LICENCIATURA EM HISTÓRIA")</f>
        <v>Maria Aparecida Claudino da Silva - #SLH+- SEGUNDA LICENCIATURA EM HISTÓRIA</v>
      </c>
    </row>
    <row r="4123">
      <c r="A4123" s="390" t="str">
        <f>IFERROR(__xludf.DUMMYFUNCTION("""COMPUTED_VALUE"""),"Marlla Angélica dos Santos da Costa - #SLUP - SEGUNDA LICENCIATURA EM PEDAGOGIA")</f>
        <v>Marlla Angélica dos Santos da Costa - #SLUP - SEGUNDA LICENCIATURA EM PEDAGOGIA</v>
      </c>
    </row>
    <row r="4124">
      <c r="A4124" s="390" t="str">
        <f>IFERROR(__xludf.DUMMYFUNCTION("""COMPUTED_VALUE"""),"Marlla Angélica dos Santos da Costa - Pós-Graduação em Gestão Escolar")</f>
        <v>Marlla Angélica dos Santos da Costa - Pós-Graduação em Gestão Escolar</v>
      </c>
    </row>
    <row r="4125">
      <c r="A4125" s="390" t="str">
        <f>IFERROR(__xludf.DUMMYFUNCTION("""COMPUTED_VALUE"""),"Marlla Angélica dos Santos da Costa - #FPP- Formação Pedagógica em Pedagogia R2")</f>
        <v>Marlla Angélica dos Santos da Costa - #FPP- Formação Pedagógica em Pedagogia R2</v>
      </c>
    </row>
    <row r="4126">
      <c r="A4126" s="390" t="str">
        <f>IFERROR(__xludf.DUMMYFUNCTION("""COMPUTED_VALUE"""),"Daniela Carla de Melo Dias - Pós-Graduação em Ensino de Artes")</f>
        <v>Daniela Carla de Melo Dias - Pós-Graduação em Ensino de Artes</v>
      </c>
    </row>
    <row r="4127">
      <c r="A4127" s="390" t="str">
        <f>IFERROR(__xludf.DUMMYFUNCTION("""COMPUTED_VALUE"""),"Daniela Carla de Melo Dias - Pós-Graduação em Ensino da Língua Portuguesa")</f>
        <v>Daniela Carla de Melo Dias - Pós-Graduação em Ensino da Língua Portuguesa</v>
      </c>
    </row>
    <row r="4128">
      <c r="A4128" s="390" t="str">
        <f>IFERROR(__xludf.DUMMYFUNCTION("""COMPUTED_VALUE"""),"Silvana de Souza Amaro - Pós-Graduação em Psicanálise")</f>
        <v>Silvana de Souza Amaro - Pós-Graduação em Psicanálise</v>
      </c>
    </row>
    <row r="4129">
      <c r="A4129" s="390" t="str">
        <f>IFERROR(__xludf.DUMMYFUNCTION("""COMPUTED_VALUE"""),"Vera Lucia França de oliveira - Pós-Graduação em Psicanálise")</f>
        <v>Vera Lucia França de oliveira - Pós-Graduação em Psicanálise</v>
      </c>
    </row>
    <row r="4130">
      <c r="A4130" s="390" t="str">
        <f>IFERROR(__xludf.DUMMYFUNCTION("""COMPUTED_VALUE"""),"Vera Lucia França de oliveira - Pós-Graduação Biomedicina Estética 750Horas")</f>
        <v>Vera Lucia França de oliveira - Pós-Graduação Biomedicina Estética 750Horas</v>
      </c>
    </row>
    <row r="4131">
      <c r="A4131" s="390" t="str">
        <f>IFERROR(__xludf.DUMMYFUNCTION("""COMPUTED_VALUE"""),"Vera Lucia França de oliveira - Pós-Graduação em Ciências da Religião")</f>
        <v>Vera Lucia França de oliveira - Pós-Graduação em Ciências da Religião</v>
      </c>
    </row>
    <row r="4132">
      <c r="A4132" s="390" t="str">
        <f>IFERROR(__xludf.DUMMYFUNCTION("""COMPUTED_VALUE"""),"Silvana Cenci - Pós-Graduação em MBA Logística Empresarial 840Horas")</f>
        <v>Silvana Cenci - Pós-Graduação em MBA Logística Empresarial 840Horas</v>
      </c>
    </row>
    <row r="4133">
      <c r="A4133" s="390" t="str">
        <f>IFERROR(__xludf.DUMMYFUNCTION("""COMPUTED_VALUE"""),"Maria Josetania de Oliveira Teixeira - Pedagogia para Bacharéis")</f>
        <v>Maria Josetania de Oliveira Teixeira - Pedagogia para Bacharéis</v>
      </c>
    </row>
    <row r="4134">
      <c r="A4134" s="390" t="str">
        <f>IFERROR(__xludf.DUMMYFUNCTION("""COMPUTED_VALUE"""),"Raiana Ferreira da silva - Pós-Graduação em Psicanálise")</f>
        <v>Raiana Ferreira da silva - Pós-Graduação em Psicanálise</v>
      </c>
    </row>
    <row r="4135">
      <c r="A4135" s="390" t="str">
        <f>IFERROR(__xludf.DUMMYFUNCTION("""COMPUTED_VALUE"""),"Claudilene Martins Fialho - #SLUP - SEGUNDA LICENCIATURA EM PEDAGOGIA")</f>
        <v>Claudilene Martins Fialho - #SLUP - SEGUNDA LICENCIATURA EM PEDAGOGIA</v>
      </c>
    </row>
    <row r="4136">
      <c r="A4136" s="390" t="str">
        <f>IFERROR(__xludf.DUMMYFUNCTION("""COMPUTED_VALUE"""),"Claudilene Martins Fialho - Práticas Pedagógicas")</f>
        <v>Claudilene Martins Fialho - Práticas Pedagógicas</v>
      </c>
    </row>
    <row r="4137">
      <c r="A4137" s="390" t="str">
        <f>IFERROR(__xludf.DUMMYFUNCTION("""COMPUTED_VALUE"""),"Claudilene Martins Fialho - Pós-Graduação em Supervisão e Inspeção Escolar-500Horas")</f>
        <v>Claudilene Martins Fialho - Pós-Graduação em Supervisão e Inspeção Escolar-500Horas</v>
      </c>
    </row>
    <row r="4138">
      <c r="A4138" s="390" t="str">
        <f>IFERROR(__xludf.DUMMYFUNCTION("""COMPUTED_VALUE"""),"Ticiana Saraiva Barroso Marinho - Formação Livre em Terapia em ABA- Análise do Comportamento Aplicada")</f>
        <v>Ticiana Saraiva Barroso Marinho - Formação Livre em Terapia em ABA- Análise do Comportamento Aplicada</v>
      </c>
    </row>
    <row r="4139">
      <c r="A4139" s="390" t="str">
        <f>IFERROR(__xludf.DUMMYFUNCTION("""COMPUTED_VALUE"""),"Josicleide Alves de Oliveira - Pós-Graduação em Sexologia")</f>
        <v>Josicleide Alves de Oliveira - Pós-Graduação em Sexologia</v>
      </c>
    </row>
    <row r="4140">
      <c r="A4140" s="390" t="str">
        <f>IFERROR(__xludf.DUMMYFUNCTION("""COMPUTED_VALUE"""),"Josicleide Alves de Oliveira - Pós-Graduação Terapia Cognitiva Comportamental")</f>
        <v>Josicleide Alves de Oliveira - Pós-Graduação Terapia Cognitiva Comportamental</v>
      </c>
    </row>
    <row r="4141">
      <c r="A4141" s="390" t="str">
        <f>IFERROR(__xludf.DUMMYFUNCTION("""COMPUTED_VALUE"""),"Josicleide Alves de Oliveira - Pós-Graduação em Neuropsicologia")</f>
        <v>Josicleide Alves de Oliveira - Pós-Graduação em Neuropsicologia</v>
      </c>
    </row>
    <row r="4142">
      <c r="A4142" s="390" t="str">
        <f>IFERROR(__xludf.DUMMYFUNCTION("""COMPUTED_VALUE"""),"Josicleide Alves de Oliveira - Pós-Graduação em Neuropsicologia Clínica 2022")</f>
        <v>Josicleide Alves de Oliveira - Pós-Graduação em Neuropsicologia Clínica 2022</v>
      </c>
    </row>
    <row r="4143">
      <c r="A4143" s="390" t="str">
        <f>IFERROR(__xludf.DUMMYFUNCTION("""COMPUTED_VALUE"""),"Josicleide Alves de Oliveira - PÓS-GRADUAÇÃO EM NEUROPSICOLOGIA 540h")</f>
        <v>Josicleide Alves de Oliveira - PÓS-GRADUAÇÃO EM NEUROPSICOLOGIA 540h</v>
      </c>
    </row>
    <row r="4144">
      <c r="A4144" s="390" t="str">
        <f>IFERROR(__xludf.DUMMYFUNCTION("""COMPUTED_VALUE"""),"Josicleide Alves de Oliveira - PÓS-GRADUAÇÃO EM TERAPIA COGNITIVA E COMPORTAMENTAL")</f>
        <v>Josicleide Alves de Oliveira - PÓS-GRADUAÇÃO EM TERAPIA COGNITIVA E COMPORTAMENTAL</v>
      </c>
    </row>
    <row r="4145">
      <c r="A4145" s="390" t="str">
        <f>IFERROR(__xludf.DUMMYFUNCTION("""COMPUTED_VALUE"""),"Kleber Fabiano de Oliveira - #FPMF- Formação Pedagógica em Música 1200Horas")</f>
        <v>Kleber Fabiano de Oliveira - #FPMF- Formação Pedagógica em Música 1200Horas</v>
      </c>
    </row>
    <row r="4146">
      <c r="A4146" s="390" t="str">
        <f>IFERROR(__xludf.DUMMYFUNCTION("""COMPUTED_VALUE"""),"Marcos Fernando Gratao - Formação Pedagógica em Artes Visuais")</f>
        <v>Marcos Fernando Gratao - Formação Pedagógica em Artes Visuais</v>
      </c>
    </row>
    <row r="4147">
      <c r="A4147" s="390" t="str">
        <f>IFERROR(__xludf.DUMMYFUNCTION("""COMPUTED_VALUE"""),"Laís Natália Nogueira Pedrosa - #SLMF - Segunda Licenciatura em Música 1320Horas")</f>
        <v>Laís Natália Nogueira Pedrosa - #SLMF - Segunda Licenciatura em Música 1320Horas</v>
      </c>
    </row>
    <row r="4148">
      <c r="A4148" s="390" t="str">
        <f>IFERROR(__xludf.DUMMYFUNCTION("""COMPUTED_VALUE"""),"Laís Natália Nogueira Pedrosa - Pós-Graduação em Educação Musical")</f>
        <v>Laís Natália Nogueira Pedrosa - Pós-Graduação em Educação Musical</v>
      </c>
    </row>
    <row r="4149">
      <c r="A4149" s="390" t="str">
        <f>IFERROR(__xludf.DUMMYFUNCTION("""COMPUTED_VALUE"""),"Liciane Aparecida Luza Anjos Da Rosa - Pós-Graduação Transtorno do Espectro Autista - TEA")</f>
        <v>Liciane Aparecida Luza Anjos Da Rosa - Pós-Graduação Transtorno do Espectro Autista - TEA</v>
      </c>
    </row>
    <row r="4150">
      <c r="A4150" s="390" t="str">
        <f>IFERROR(__xludf.DUMMYFUNCTION("""COMPUTED_VALUE"""),"Liciane Aparecida Luza Anjos Da Rosa - Pós-Graduação em Neuropsicologia Clínica")</f>
        <v>Liciane Aparecida Luza Anjos Da Rosa - Pós-Graduação em Neuropsicologia Clínica</v>
      </c>
    </row>
    <row r="4151">
      <c r="A4151" s="390" t="str">
        <f>IFERROR(__xludf.DUMMYFUNCTION("""COMPUTED_VALUE"""),"Liciane Aparecida Luza Anjos Da Rosa - Pós-Graduação em Neuropsicologia Clínica 2022")</f>
        <v>Liciane Aparecida Luza Anjos Da Rosa - Pós-Graduação em Neuropsicologia Clínica 2022</v>
      </c>
    </row>
    <row r="4152">
      <c r="A4152" s="390" t="str">
        <f>IFERROR(__xludf.DUMMYFUNCTION("""COMPUTED_VALUE"""),"Isaías Lima Dias - #SLLPA - Segunda Licenciatura Letras - Português")</f>
        <v>Isaías Lima Dias - #SLLPA - Segunda Licenciatura Letras - Português</v>
      </c>
    </row>
    <row r="4153">
      <c r="A4153" s="390" t="str">
        <f>IFERROR(__xludf.DUMMYFUNCTION("""COMPUTED_VALUE"""),"Isaías Lima Dias - #SLLPIT1 - Segunda Licenciatura em Letras/Português-Inglês - 1310 Horas")</f>
        <v>Isaías Lima Dias - #SLLPIT1 - Segunda Licenciatura em Letras/Português-Inglês - 1310 Horas</v>
      </c>
    </row>
    <row r="4154">
      <c r="A4154" s="390" t="str">
        <f>IFERROR(__xludf.DUMMYFUNCTION("""COMPUTED_VALUE"""),"Isaías Lima Dias - #SLTLP1- Segunda Licenciatura Letras - Português")</f>
        <v>Isaías Lima Dias - #SLTLP1- Segunda Licenciatura Letras - Português</v>
      </c>
    </row>
    <row r="4155">
      <c r="A4155" s="390" t="str">
        <f>IFERROR(__xludf.DUMMYFUNCTION("""COMPUTED_VALUE"""),"Isaías Lima Dias - #SLTLP1- Segunda Licenciatura Letras - Português")</f>
        <v>Isaías Lima Dias - #SLTLP1- Segunda Licenciatura Letras - Português</v>
      </c>
    </row>
    <row r="4156">
      <c r="A4156" s="390" t="str">
        <f>IFERROR(__xludf.DUMMYFUNCTION("""COMPUTED_VALUE"""),"Meigue Ferreira Duarte Coutinho - #SLEEF- Segunda Licenciatura Educação Física")</f>
        <v>Meigue Ferreira Duarte Coutinho - #SLEEF- Segunda Licenciatura Educação Física</v>
      </c>
    </row>
    <row r="4157">
      <c r="A4157" s="390" t="str">
        <f>IFERROR(__xludf.DUMMYFUNCTION("""COMPUTED_VALUE"""),"Meigue Ferreira Duarte Coutinho - Práticas Pedagógicas")</f>
        <v>Meigue Ferreira Duarte Coutinho - Práticas Pedagógicas</v>
      </c>
    </row>
    <row r="4158">
      <c r="A4158" s="390" t="str">
        <f>IFERROR(__xludf.DUMMYFUNCTION("""COMPUTED_VALUE"""),"Gláucia Silva - #SLMF - Segunda Licenciatura em Música 1320Horas")</f>
        <v>Gláucia Silva - #SLMF - Segunda Licenciatura em Música 1320Horas</v>
      </c>
    </row>
    <row r="4159">
      <c r="A4159" s="390" t="str">
        <f>IFERROR(__xludf.DUMMYFUNCTION("""COMPUTED_VALUE"""),"Aline Franciele de Oliveira Lima - #SLUA- Segunda Licenciatura em Artes Visuais")</f>
        <v>Aline Franciele de Oliveira Lima - #SLUA- Segunda Licenciatura em Artes Visuais</v>
      </c>
    </row>
    <row r="4160">
      <c r="A4160" s="390" t="str">
        <f>IFERROR(__xludf.DUMMYFUNCTION("""COMPUTED_VALUE"""),"Aline Franciele de Oliveira Lima - Pós-Graduação em Neuropsicopedagogia")</f>
        <v>Aline Franciele de Oliveira Lima - Pós-Graduação em Neuropsicopedagogia</v>
      </c>
    </row>
    <row r="4161">
      <c r="A4161" s="390" t="str">
        <f>IFERROR(__xludf.DUMMYFUNCTION("""COMPUTED_VALUE"""),"Vania Mendes Moreira - Pós-Graduação em Psicanálise")</f>
        <v>Vania Mendes Moreira - Pós-Graduação em Psicanálise</v>
      </c>
    </row>
    <row r="4162">
      <c r="A4162" s="390" t="str">
        <f>IFERROR(__xludf.DUMMYFUNCTION("""COMPUTED_VALUE"""),"Vania Mendes Moreira - Formação Livre Psicanálise")</f>
        <v>Vania Mendes Moreira - Formação Livre Psicanálise</v>
      </c>
    </row>
    <row r="4163">
      <c r="A4163" s="390" t="str">
        <f>IFERROR(__xludf.DUMMYFUNCTION("""COMPUTED_VALUE"""),"Vitor Duque Miranda - #FPP- Formação Pedagógica em Pedagogia R2")</f>
        <v>Vitor Duque Miranda - #FPP- Formação Pedagógica em Pedagogia R2</v>
      </c>
    </row>
    <row r="4164">
      <c r="A4164" s="390" t="str">
        <f>IFERROR(__xludf.DUMMYFUNCTION("""COMPUTED_VALUE"""),"Vitor Duque Miranda - Pós-Graduação em Inspeção Escolar")</f>
        <v>Vitor Duque Miranda - Pós-Graduação em Inspeção Escolar</v>
      </c>
    </row>
    <row r="4165">
      <c r="A4165" s="390" t="str">
        <f>IFERROR(__xludf.DUMMYFUNCTION("""COMPUTED_VALUE"""),"Kleber Roberto Pereira Rodrigues Sassazawa Bueno - #FPMF- Formação Pedagógica em Música 1200Horas")</f>
        <v>Kleber Roberto Pereira Rodrigues Sassazawa Bueno - #FPMF- Formação Pedagógica em Música 1200Horas</v>
      </c>
    </row>
    <row r="4166">
      <c r="A4166" s="390" t="str">
        <f>IFERROR(__xludf.DUMMYFUNCTION("""COMPUTED_VALUE"""),"Kleber Roberto Pereira Rodrigues Sassazawa Bueno - #FPMF- Formação Pedagógica em Música 2022")</f>
        <v>Kleber Roberto Pereira Rodrigues Sassazawa Bueno - #FPMF- Formação Pedagógica em Música 2022</v>
      </c>
    </row>
    <row r="4167">
      <c r="A4167" s="390" t="str">
        <f>IFERROR(__xludf.DUMMYFUNCTION("""COMPUTED_VALUE"""),"Cleonice Lusena Romualdo Mauro - #SLPT- Segunda Licenciatura em Pedagogia")</f>
        <v>Cleonice Lusena Romualdo Mauro - #SLPT- Segunda Licenciatura em Pedagogia</v>
      </c>
    </row>
    <row r="4168">
      <c r="A4168" s="390" t="str">
        <f>IFERROR(__xludf.DUMMYFUNCTION("""COMPUTED_VALUE"""),"Joao Gilberto Oliveira - #SLMF - Segunda Licenciatura em Música 1320Horas")</f>
        <v>Joao Gilberto Oliveira - #SLMF - Segunda Licenciatura em Música 1320Horas</v>
      </c>
    </row>
    <row r="4169">
      <c r="A4169" s="390" t="str">
        <f>IFERROR(__xludf.DUMMYFUNCTION("""COMPUTED_VALUE"""),"Joao Gilberto Oliveira - #SLMF- Segunda Licenciatura em Música 2022 880Horas")</f>
        <v>Joao Gilberto Oliveira - #SLMF- Segunda Licenciatura em Música 2022 880Horas</v>
      </c>
    </row>
    <row r="4170">
      <c r="A4170" s="390" t="str">
        <f>IFERROR(__xludf.DUMMYFUNCTION("""COMPUTED_VALUE"""),"Rubens Teixeira Gomes - Formação Livre Psicanálise")</f>
        <v>Rubens Teixeira Gomes - Formação Livre Psicanálise</v>
      </c>
    </row>
    <row r="4171">
      <c r="A4171" s="390" t="str">
        <f>IFERROR(__xludf.DUMMYFUNCTION("""COMPUTED_VALUE"""),"Regiane Lilian Giongo - #SLPA- Segunda Licenciatura em Pedagogia 01")</f>
        <v>Regiane Lilian Giongo - #SLPA- Segunda Licenciatura em Pedagogia 01</v>
      </c>
    </row>
    <row r="4172">
      <c r="A4172" s="390" t="str">
        <f>IFERROR(__xludf.DUMMYFUNCTION("""COMPUTED_VALUE"""),"Elaine Michele Escaravajal Nascimento - #FPT1-Pedagogia para Bacharéis e Tecnólogos (2022)")</f>
        <v>Elaine Michele Escaravajal Nascimento - #FPT1-Pedagogia para Bacharéis e Tecnólogos (2022)</v>
      </c>
    </row>
    <row r="4173">
      <c r="A4173" s="390" t="str">
        <f>IFERROR(__xludf.DUMMYFUNCTION("""COMPUTED_VALUE"""),"Maria Aparecida da Costa - #SLUPI - SEGUNDA LICENCIATURA EM LETRAS – PORTUGUÊS E INGLÊS")</f>
        <v>Maria Aparecida da Costa - #SLUPI - SEGUNDA LICENCIATURA EM LETRAS – PORTUGUÊS E INGLÊS</v>
      </c>
    </row>
    <row r="4174">
      <c r="A4174" s="390" t="str">
        <f>IFERROR(__xludf.DUMMYFUNCTION("""COMPUTED_VALUE"""),"Gracieli Covre - Pós-Graduação em Sexologia")</f>
        <v>Gracieli Covre - Pós-Graduação em Sexologia</v>
      </c>
    </row>
    <row r="4175">
      <c r="A4175" s="390" t="str">
        <f>IFERROR(__xludf.DUMMYFUNCTION("""COMPUTED_VALUE"""),"Janaelma Cardoso Martins de Lemos - #FPMF- Formação Pedagógica em Música 1200Horas")</f>
        <v>Janaelma Cardoso Martins de Lemos - #FPMF- Formação Pedagógica em Música 1200Horas</v>
      </c>
    </row>
    <row r="4176">
      <c r="A4176" s="390" t="str">
        <f>IFERROR(__xludf.DUMMYFUNCTION("""COMPUTED_VALUE"""),"Maria dos Santos Cardoso - #FPP- Formação Pedagógica em Pedagogia R2")</f>
        <v>Maria dos Santos Cardoso - #FPP- Formação Pedagógica em Pedagogia R2</v>
      </c>
    </row>
    <row r="4177">
      <c r="A4177" s="390" t="str">
        <f>IFERROR(__xludf.DUMMYFUNCTION("""COMPUTED_VALUE"""),"Luis Felipe França Silva - #FPMF- Formação Pedagógica em Música 1200Horas")</f>
        <v>Luis Felipe França Silva - #FPMF- Formação Pedagógica em Música 1200Horas</v>
      </c>
    </row>
    <row r="4178">
      <c r="A4178" s="390" t="str">
        <f>IFERROR(__xludf.DUMMYFUNCTION("""COMPUTED_VALUE"""),"Daniela Aparecida de Oliveira - #SLLPA - Segunda Licenciatura Letras - Português")</f>
        <v>Daniela Aparecida de Oliveira - #SLLPA - Segunda Licenciatura Letras - Português</v>
      </c>
    </row>
    <row r="4179">
      <c r="A4179" s="390" t="str">
        <f>IFERROR(__xludf.DUMMYFUNCTION("""COMPUTED_VALUE"""),"Antonio Marcos Schiavo - #SLUEF - Segunda Licenciatura em Educação Física")</f>
        <v>Antonio Marcos Schiavo - #SLUEF - Segunda Licenciatura em Educação Física</v>
      </c>
    </row>
    <row r="4180">
      <c r="A4180" s="390" t="str">
        <f>IFERROR(__xludf.DUMMYFUNCTION("""COMPUTED_VALUE"""),"Antonio Marcos Schiavo - Pós-Graduação em Educação Física Escolar e Treinamento Desportivo")</f>
        <v>Antonio Marcos Schiavo - Pós-Graduação em Educação Física Escolar e Treinamento Desportivo</v>
      </c>
    </row>
    <row r="4181">
      <c r="A4181" s="390" t="str">
        <f>IFERROR(__xludf.DUMMYFUNCTION("""COMPUTED_VALUE"""),"MARCOS AURÉLIO TELES BARRETO - #FPUF- Formação Pedagógica em Filosofia")</f>
        <v>MARCOS AURÉLIO TELES BARRETO - #FPUF- Formação Pedagógica em Filosofia</v>
      </c>
    </row>
    <row r="4182">
      <c r="A4182" s="390" t="str">
        <f>IFERROR(__xludf.DUMMYFUNCTION("""COMPUTED_VALUE"""),"MARCOS AURÉLIO TELES BARRETO - Formação Pedagógica em Sociologia")</f>
        <v>MARCOS AURÉLIO TELES BARRETO - Formação Pedagógica em Sociologia</v>
      </c>
    </row>
    <row r="4183">
      <c r="A4183" s="390" t="str">
        <f>IFERROR(__xludf.DUMMYFUNCTION("""COMPUTED_VALUE"""),"Risomara Regina Do Nascimento - Pós-Graduação em Educação Infantil")</f>
        <v>Risomara Regina Do Nascimento - Pós-Graduação em Educação Infantil</v>
      </c>
    </row>
    <row r="4184">
      <c r="A4184" s="390" t="str">
        <f>IFERROR(__xludf.DUMMYFUNCTION("""COMPUTED_VALUE"""),"Risomara Regina Do Nascimento - Pós-Graduação em Psicopedagogia Institucional e Clínica 710Horas")</f>
        <v>Risomara Regina Do Nascimento - Pós-Graduação em Psicopedagogia Institucional e Clínica 710Horas</v>
      </c>
    </row>
    <row r="4185">
      <c r="A4185" s="390" t="str">
        <f>IFERROR(__xludf.DUMMYFUNCTION("""COMPUTED_VALUE"""),"Juliana Gomes de Oliveira - #SLUP - SEGUNDA LICENCIATURA EM PEDAGOGIA")</f>
        <v>Juliana Gomes de Oliveira - #SLUP - SEGUNDA LICENCIATURA EM PEDAGOGIA</v>
      </c>
    </row>
    <row r="4186">
      <c r="A4186" s="390" t="str">
        <f>IFERROR(__xludf.DUMMYFUNCTION("""COMPUTED_VALUE"""),"Juliana Gomes de Oliveira - Pós-Graduação Neuroeducação")</f>
        <v>Juliana Gomes de Oliveira - Pós-Graduação Neuroeducação</v>
      </c>
    </row>
    <row r="4187">
      <c r="A4187" s="390" t="str">
        <f>IFERROR(__xludf.DUMMYFUNCTION("""COMPUTED_VALUE"""),"Andreia Rosa da Silva - #FPUP-FORMAÇÃO PEDAGÓGICA EM PEDAGOGIA- U")</f>
        <v>Andreia Rosa da Silva - #FPUP-FORMAÇÃO PEDAGÓGICA EM PEDAGOGIA- U</v>
      </c>
    </row>
    <row r="4188">
      <c r="A4188" s="390" t="str">
        <f>IFERROR(__xludf.DUMMYFUNCTION("""COMPUTED_VALUE"""),"Dina Monir Abdel Haleim - Pós-Graduação em Psicanálise")</f>
        <v>Dina Monir Abdel Haleim - Pós-Graduação em Psicanálise</v>
      </c>
    </row>
    <row r="4189">
      <c r="A4189" s="390" t="str">
        <f>IFERROR(__xludf.DUMMYFUNCTION("""COMPUTED_VALUE"""),"Dina Monir Abdel Haleim - Pós-Graduação em Ciências da Religião")</f>
        <v>Dina Monir Abdel Haleim - Pós-Graduação em Ciências da Religião</v>
      </c>
    </row>
    <row r="4190">
      <c r="A4190" s="390" t="str">
        <f>IFERROR(__xludf.DUMMYFUNCTION("""COMPUTED_VALUE"""),"FRANCISCO WALTER DE OLIVEIRA SILVA - #FPMF- Formação Pedagógica em Música 1200Horas")</f>
        <v>FRANCISCO WALTER DE OLIVEIRA SILVA - #FPMF- Formação Pedagógica em Música 1200Horas</v>
      </c>
    </row>
    <row r="4191">
      <c r="A4191" s="390" t="str">
        <f>IFERROR(__xludf.DUMMYFUNCTION("""COMPUTED_VALUE"""),"JONATAS PRATES LIMA - Pós-Graduação em Administração Pública")</f>
        <v>JONATAS PRATES LIMA - Pós-Graduação em Administração Pública</v>
      </c>
    </row>
    <row r="4192">
      <c r="A4192" s="390" t="str">
        <f>IFERROR(__xludf.DUMMYFUNCTION("""COMPUTED_VALUE"""),"Nelson Henrique Galhardo Mistura - #SLMF - Segunda Licenciatura em Música 1320Horas")</f>
        <v>Nelson Henrique Galhardo Mistura - #SLMF - Segunda Licenciatura em Música 1320Horas</v>
      </c>
    </row>
    <row r="4193">
      <c r="A4193" s="390" t="str">
        <f>IFERROR(__xludf.DUMMYFUNCTION("""COMPUTED_VALUE"""),"Nelson Henrique Galhardo Mistura - Pós-Graduação em Psicanálise")</f>
        <v>Nelson Henrique Galhardo Mistura - Pós-Graduação em Psicanálise</v>
      </c>
    </row>
    <row r="4194">
      <c r="A4194" s="390" t="str">
        <f>IFERROR(__xludf.DUMMYFUNCTION("""COMPUTED_VALUE"""),"DAMIANA MAURICIO DE LIRA GALINDO - Pós-Graduação Neurociência e Aprendizagem")</f>
        <v>DAMIANA MAURICIO DE LIRA GALINDO - Pós-Graduação Neurociência e Aprendizagem</v>
      </c>
    </row>
    <row r="4195">
      <c r="A4195" s="390" t="str">
        <f>IFERROR(__xludf.DUMMYFUNCTION("""COMPUTED_VALUE"""),"Paulo Fábio Rezende Junior - Pós-Graduação em Sexologia")</f>
        <v>Paulo Fábio Rezende Junior - Pós-Graduação em Sexologia</v>
      </c>
    </row>
    <row r="4196">
      <c r="A4196" s="390" t="str">
        <f>IFERROR(__xludf.DUMMYFUNCTION("""COMPUTED_VALUE"""),"Suze Dalrósi Mello Ramos - Formação Livre Psicanálise")</f>
        <v>Suze Dalrósi Mello Ramos - Formação Livre Psicanálise</v>
      </c>
    </row>
    <row r="4197">
      <c r="A4197" s="390" t="str">
        <f>IFERROR(__xludf.DUMMYFUNCTION("""COMPUTED_VALUE"""),"Alana Maria Santos - Pós-Graduação em Psicanálise")</f>
        <v>Alana Maria Santos - Pós-Graduação em Psicanálise</v>
      </c>
    </row>
    <row r="4198">
      <c r="A4198" s="390" t="str">
        <f>IFERROR(__xludf.DUMMYFUNCTION("""COMPUTED_VALUE"""),"Nordinei Sebastião Silva - Formação Livre Psicanálise")</f>
        <v>Nordinei Sebastião Silva - Formação Livre Psicanálise</v>
      </c>
    </row>
    <row r="4199">
      <c r="A4199" s="390" t="str">
        <f>IFERROR(__xludf.DUMMYFUNCTION("""COMPUTED_VALUE"""),"Antonia Regina Ferreira Silva - #SLUP - SEGUNDA LICENCIATURA EM PEDAGOGIA")</f>
        <v>Antonia Regina Ferreira Silva - #SLUP - SEGUNDA LICENCIATURA EM PEDAGOGIA</v>
      </c>
    </row>
    <row r="4200">
      <c r="A4200" s="390" t="str">
        <f>IFERROR(__xludf.DUMMYFUNCTION("""COMPUTED_VALUE"""),"Antonia Regina Ferreira Silva - Pós-Graduação em Psicanálise")</f>
        <v>Antonia Regina Ferreira Silva - Pós-Graduação em Psicanálise</v>
      </c>
    </row>
    <row r="4201">
      <c r="A4201" s="390" t="str">
        <f>IFERROR(__xludf.DUMMYFUNCTION("""COMPUTED_VALUE"""),"Laís Natália Nogueira Pedrosa - #SLMF - Segunda Licenciatura em Música 1320Horas")</f>
        <v>Laís Natália Nogueira Pedrosa - #SLMF - Segunda Licenciatura em Música 1320Horas</v>
      </c>
    </row>
    <row r="4202">
      <c r="A4202" s="390" t="str">
        <f>IFERROR(__xludf.DUMMYFUNCTION("""COMPUTED_VALUE"""),"Laís Natália Nogueira Pedrosa - Pós-Graduação em Educação Musical")</f>
        <v>Laís Natália Nogueira Pedrosa - Pós-Graduação em Educação Musical</v>
      </c>
    </row>
    <row r="4203">
      <c r="A4203" s="390" t="str">
        <f>IFERROR(__xludf.DUMMYFUNCTION("""COMPUTED_VALUE"""),"Jayni Sampaio dos Santos - #SLUPI - SEGUNDA LICENCIATURA EM LETRAS – PORTUGUÊS E INGLÊS")</f>
        <v>Jayni Sampaio dos Santos - #SLUPI - SEGUNDA LICENCIATURA EM LETRAS – PORTUGUÊS E INGLÊS</v>
      </c>
    </row>
    <row r="4204">
      <c r="A4204" s="390" t="str">
        <f>IFERROR(__xludf.DUMMYFUNCTION("""COMPUTED_VALUE"""),"Daiana Souza Alvim - Pós-Graduação em Neuropsicopedagogia Institucional, Clínica e Hospitalar 850h")</f>
        <v>Daiana Souza Alvim - Pós-Graduação em Neuropsicopedagogia Institucional, Clínica e Hospitalar 850h</v>
      </c>
    </row>
    <row r="4205">
      <c r="A4205" s="390" t="str">
        <f>IFERROR(__xludf.DUMMYFUNCTION("""COMPUTED_VALUE"""),"Lillian de Sousa Sá - #SLMF - Segunda Licenciatura em Música 1320Horas")</f>
        <v>Lillian de Sousa Sá - #SLMF - Segunda Licenciatura em Música 1320Horas</v>
      </c>
    </row>
    <row r="4206">
      <c r="A4206" s="390" t="str">
        <f>IFERROR(__xludf.DUMMYFUNCTION("""COMPUTED_VALUE"""),"Lúcia Helena Castro dos Santos Barreto - Pós-Graduação em Sexologia")</f>
        <v>Lúcia Helena Castro dos Santos Barreto - Pós-Graduação em Sexologia</v>
      </c>
    </row>
    <row r="4207">
      <c r="A4207" s="390" t="str">
        <f>IFERROR(__xludf.DUMMYFUNCTION("""COMPUTED_VALUE"""),"Joana Carina souza Araujo mendes Pereira - Pós-Graduação em Sexologia")</f>
        <v>Joana Carina souza Araujo mendes Pereira - Pós-Graduação em Sexologia</v>
      </c>
    </row>
    <row r="4208">
      <c r="A4208" s="390" t="str">
        <f>IFERROR(__xludf.DUMMYFUNCTION("""COMPUTED_VALUE"""),"Joana Carina souza Araujo mendes Pereira - Pós-Graduação Neurociência e Aprendizagem")</f>
        <v>Joana Carina souza Araujo mendes Pereira - Pós-Graduação Neurociência e Aprendizagem</v>
      </c>
    </row>
    <row r="4209">
      <c r="A4209" s="390" t="str">
        <f>IFERROR(__xludf.DUMMYFUNCTION("""COMPUTED_VALUE"""),"Ruy Ribeiro Crespo Filho - Formação Livre Psicanálise")</f>
        <v>Ruy Ribeiro Crespo Filho - Formação Livre Psicanálise</v>
      </c>
    </row>
    <row r="4210">
      <c r="A4210" s="390" t="str">
        <f>IFERROR(__xludf.DUMMYFUNCTION("""COMPUTED_VALUE"""),"Eliana de Oliveira Costa - Pós-Graduação em Psicanálise")</f>
        <v>Eliana de Oliveira Costa - Pós-Graduação em Psicanálise</v>
      </c>
    </row>
    <row r="4211">
      <c r="A4211" s="390" t="str">
        <f>IFERROR(__xludf.DUMMYFUNCTION("""COMPUTED_VALUE"""),"Eliana de Oliveira Costa - NOVO-Pós-Graduação em Psicanálise 800 Horas")</f>
        <v>Eliana de Oliveira Costa - NOVO-Pós-Graduação em Psicanálise 800 Horas</v>
      </c>
    </row>
    <row r="4212">
      <c r="A4212" s="390" t="str">
        <f>IFERROR(__xludf.DUMMYFUNCTION("""COMPUTED_VALUE"""),"Tatiane Jericó da Silva - Formação Livre Psicanálise")</f>
        <v>Tatiane Jericó da Silva - Formação Livre Psicanálise</v>
      </c>
    </row>
    <row r="4213">
      <c r="A4213" s="390" t="str">
        <f>IFERROR(__xludf.DUMMYFUNCTION("""COMPUTED_VALUE"""),"Luciene do Nascimento da Cruz - #SLUP - SEGUNDA LICENCIATURA EM PEDAGOGIA")</f>
        <v>Luciene do Nascimento da Cruz - #SLUP - SEGUNDA LICENCIATURA EM PEDAGOGIA</v>
      </c>
    </row>
    <row r="4214">
      <c r="A4214" s="390" t="str">
        <f>IFERROR(__xludf.DUMMYFUNCTION("""COMPUTED_VALUE"""),"Luciene do Nascimento da Cruz - Pós-Graduação em Libras")</f>
        <v>Luciene do Nascimento da Cruz - Pós-Graduação em Libras</v>
      </c>
    </row>
    <row r="4215">
      <c r="A4215" s="390" t="str">
        <f>IFERROR(__xludf.DUMMYFUNCTION("""COMPUTED_VALUE"""),"Nilza Cristina Santana - Formação Livre Psicanálise")</f>
        <v>Nilza Cristina Santana - Formação Livre Psicanálise</v>
      </c>
    </row>
    <row r="4216">
      <c r="A4216" s="390" t="str">
        <f>IFERROR(__xludf.DUMMYFUNCTION("""COMPUTED_VALUE"""),"José Brasil Vilela - Formação Livre Psicanálise")</f>
        <v>José Brasil Vilela - Formação Livre Psicanálise</v>
      </c>
    </row>
    <row r="4217">
      <c r="A4217" s="390" t="str">
        <f>IFERROR(__xludf.DUMMYFUNCTION("""COMPUTED_VALUE"""),"Marina Ratts Da Silva - Pós-Graduação em Psicanálise")</f>
        <v>Marina Ratts Da Silva - Pós-Graduação em Psicanálise</v>
      </c>
    </row>
    <row r="4218">
      <c r="A4218" s="390" t="str">
        <f>IFERROR(__xludf.DUMMYFUNCTION("""COMPUTED_VALUE"""),"Taisson Paim Dill - Formação Livre Psicanálise")</f>
        <v>Taisson Paim Dill - Formação Livre Psicanálise</v>
      </c>
    </row>
    <row r="4219">
      <c r="A4219" s="390" t="str">
        <f>IFERROR(__xludf.DUMMYFUNCTION("""COMPUTED_VALUE"""),"Taisson Paim Dill - Formação Livre em Psicanálise-2022")</f>
        <v>Taisson Paim Dill - Formação Livre em Psicanálise-2022</v>
      </c>
    </row>
    <row r="4220">
      <c r="A4220" s="390" t="str">
        <f>IFERROR(__xludf.DUMMYFUNCTION("""COMPUTED_VALUE"""),"Vera Lúcia klimeck - Pós-Graduação em Psicanálise")</f>
        <v>Vera Lúcia klimeck - Pós-Graduação em Psicanálise</v>
      </c>
    </row>
    <row r="4221">
      <c r="A4221" s="390" t="str">
        <f>IFERROR(__xludf.DUMMYFUNCTION("""COMPUTED_VALUE"""),"Camila de Paiva Leal - #FPP- Formação Pedagógica em Pedagogia R2")</f>
        <v>Camila de Paiva Leal - #FPP- Formação Pedagógica em Pedagogia R2</v>
      </c>
    </row>
    <row r="4222">
      <c r="A4222" s="390" t="str">
        <f>IFERROR(__xludf.DUMMYFUNCTION("""COMPUTED_VALUE"""),"Camila de Paiva Leal - #FPUH- Formação Pedagógica em História")</f>
        <v>Camila de Paiva Leal - #FPUH- Formação Pedagógica em História</v>
      </c>
    </row>
    <row r="4223">
      <c r="A4223" s="390" t="str">
        <f>IFERROR(__xludf.DUMMYFUNCTION("""COMPUTED_VALUE"""),"Manuel Carneiro de Andrade - Pós-Graduação em Psicanálise")</f>
        <v>Manuel Carneiro de Andrade - Pós-Graduação em Psicanálise</v>
      </c>
    </row>
    <row r="4224">
      <c r="A4224" s="390" t="str">
        <f>IFERROR(__xludf.DUMMYFUNCTION("""COMPUTED_VALUE"""),"Quesia Natalina Figueiredo Freitas - Formação Livre Psicanálise")</f>
        <v>Quesia Natalina Figueiredo Freitas - Formação Livre Psicanálise</v>
      </c>
    </row>
    <row r="4225">
      <c r="A4225" s="390" t="str">
        <f>IFERROR(__xludf.DUMMYFUNCTION("""COMPUTED_VALUE"""),"Mauricir Lourenço da Silva - #SLMF - Segunda Licenciatura em Música 1320Horas")</f>
        <v>Mauricir Lourenço da Silva - #SLMF - Segunda Licenciatura em Música 1320Horas</v>
      </c>
    </row>
    <row r="4226">
      <c r="A4226" s="390" t="str">
        <f>IFERROR(__xludf.DUMMYFUNCTION("""COMPUTED_VALUE"""),"Célia Regina Ribeiro Machado - Pós-Graduação em Psicanálise")</f>
        <v>Célia Regina Ribeiro Machado - Pós-Graduação em Psicanálise</v>
      </c>
    </row>
    <row r="4227">
      <c r="A4227" s="390" t="str">
        <f>IFERROR(__xludf.DUMMYFUNCTION("""COMPUTED_VALUE"""),"Eunice Alves - #SLMF - Segunda Licenciatura em Música 1320Horas")</f>
        <v>Eunice Alves - #SLMF - Segunda Licenciatura em Música 1320Horas</v>
      </c>
    </row>
    <row r="4228">
      <c r="A4228" s="390" t="str">
        <f>IFERROR(__xludf.DUMMYFUNCTION("""COMPUTED_VALUE"""),"Regilaine Miranda de Moraes - #FPULPI- Formação Pedagógica em Letras – Português e Inglês")</f>
        <v>Regilaine Miranda de Moraes - #FPULPI- Formação Pedagógica em Letras – Português e Inglês</v>
      </c>
    </row>
    <row r="4229">
      <c r="A4229" s="390" t="str">
        <f>IFERROR(__xludf.DUMMYFUNCTION("""COMPUTED_VALUE"""),"Regilaine Miranda de Moraes - #FPT1-Pedagogia para Bacharéis e Tecnólogos (2022)")</f>
        <v>Regilaine Miranda de Moraes - #FPT1-Pedagogia para Bacharéis e Tecnólogos (2022)</v>
      </c>
    </row>
    <row r="4230">
      <c r="A4230" s="390" t="str">
        <f>IFERROR(__xludf.DUMMYFUNCTION("""COMPUTED_VALUE"""),"Regilaine Miranda de Moraes - #FPTLP- Formação Pedagógica em Letras-Português 1360Horas ")</f>
        <v>Regilaine Miranda de Moraes - #FPTLP- Formação Pedagógica em Letras-Português 1360Horas </v>
      </c>
    </row>
    <row r="4231">
      <c r="A4231" s="390" t="str">
        <f>IFERROR(__xludf.DUMMYFUNCTION("""COMPUTED_VALUE"""),"Paulo Lúcio Scheffer Lima - #SLMF - Segunda Licenciatura em Música 1320Horas")</f>
        <v>Paulo Lúcio Scheffer Lima - #SLMF - Segunda Licenciatura em Música 1320Horas</v>
      </c>
    </row>
    <row r="4232">
      <c r="A4232" s="390" t="str">
        <f>IFERROR(__xludf.DUMMYFUNCTION("""COMPUTED_VALUE"""),"Carlos Eduardo Xavier Damasceno - Pós-Graduação em Psicanálise")</f>
        <v>Carlos Eduardo Xavier Damasceno - Pós-Graduação em Psicanálise</v>
      </c>
    </row>
    <row r="4233">
      <c r="A4233" s="390" t="str">
        <f>IFERROR(__xludf.DUMMYFUNCTION("""COMPUTED_VALUE"""),"Carlos Eduardo Xavier Damasceno - Pós-Graduação em Sexologia")</f>
        <v>Carlos Eduardo Xavier Damasceno - Pós-Graduação em Sexologia</v>
      </c>
    </row>
    <row r="4234">
      <c r="A4234" s="390" t="str">
        <f>IFERROR(__xludf.DUMMYFUNCTION("""COMPUTED_VALUE"""),"Anderson Antunes da Silva - #SLMF - Segunda Licenciatura em Música 1320Horas")</f>
        <v>Anderson Antunes da Silva - #SLMF - Segunda Licenciatura em Música 1320Horas</v>
      </c>
    </row>
    <row r="4235">
      <c r="A4235" s="390" t="str">
        <f>IFERROR(__xludf.DUMMYFUNCTION("""COMPUTED_VALUE"""),"Roberta de Carvalho - #FPP- Formação Pedagógica em Pedagogia R2")</f>
        <v>Roberta de Carvalho - #FPP- Formação Pedagógica em Pedagogia R2</v>
      </c>
    </row>
    <row r="4236">
      <c r="A4236" s="390" t="str">
        <f>IFERROR(__xludf.DUMMYFUNCTION("""COMPUTED_VALUE"""),"Roberta de Carvalho - Pós-Graduação em Gestão Educacional")</f>
        <v>Roberta de Carvalho - Pós-Graduação em Gestão Educacional</v>
      </c>
    </row>
    <row r="4237">
      <c r="A4237" s="390" t="str">
        <f>IFERROR(__xludf.DUMMYFUNCTION("""COMPUTED_VALUE"""),"Lidiene Cristina de Oliveira santos - #SLUC - SEGUNDA LICENCIATURA EM CIÊNCIAS DA RELIGIÃO- U")</f>
        <v>Lidiene Cristina de Oliveira santos - #SLUC - SEGUNDA LICENCIATURA EM CIÊNCIAS DA RELIGIÃO- U</v>
      </c>
    </row>
    <row r="4238">
      <c r="A4238" s="390" t="str">
        <f>IFERROR(__xludf.DUMMYFUNCTION("""COMPUTED_VALUE"""),"Lidiene Cristina de Oliveira santos - #SLUPI - SEGUNDA LICENCIATURA EM LETRAS – PORTUGUÊS E INGLÊS")</f>
        <v>Lidiene Cristina de Oliveira santos - #SLUPI - SEGUNDA LICENCIATURA EM LETRAS – PORTUGUÊS E INGLÊS</v>
      </c>
    </row>
    <row r="4239">
      <c r="A4239" s="390" t="str">
        <f>IFERROR(__xludf.DUMMYFUNCTION("""COMPUTED_VALUE"""),"Juliana Lisboa de Oliveira - Formação Livre Psicanálise")</f>
        <v>Juliana Lisboa de Oliveira - Formação Livre Psicanálise</v>
      </c>
    </row>
    <row r="4240">
      <c r="A4240" s="390" t="str">
        <f>IFERROR(__xludf.DUMMYFUNCTION("""COMPUTED_VALUE"""),"Adriane da Silva Lobato - Pós-Graduação em Terapia em ABA- Análise do Comportamento Aplicada")</f>
        <v>Adriane da Silva Lobato - Pós-Graduação em Terapia em ABA- Análise do Comportamento Aplicada</v>
      </c>
    </row>
    <row r="4241">
      <c r="A4241" s="390" t="str">
        <f>IFERROR(__xludf.DUMMYFUNCTION("""COMPUTED_VALUE"""),"Sara Nikayse da Silva Marinho Mota - #SLUP - SEGUNDA LICENCIATURA EM PEDAGOGIA")</f>
        <v>Sara Nikayse da Silva Marinho Mota - #SLUP - SEGUNDA LICENCIATURA EM PEDAGOGIA</v>
      </c>
    </row>
    <row r="4242">
      <c r="A4242" s="390" t="str">
        <f>IFERROR(__xludf.DUMMYFUNCTION("""COMPUTED_VALUE"""),"Sara Nikayse da Silva Marinho Mota - #SLPA- Segunda Licenciatura em Pedagogia 01")</f>
        <v>Sara Nikayse da Silva Marinho Mota - #SLPA- Segunda Licenciatura em Pedagogia 01</v>
      </c>
    </row>
    <row r="4243">
      <c r="A4243" s="390" t="str">
        <f>IFERROR(__xludf.DUMMYFUNCTION("""COMPUTED_VALUE"""),"Laurimar Aparecida Silva Martins - #FPUP-FORMAÇÃO PEDAGÓGICA EM PEDAGOGIA- U")</f>
        <v>Laurimar Aparecida Silva Martins - #FPUP-FORMAÇÃO PEDAGÓGICA EM PEDAGOGIA- U</v>
      </c>
    </row>
    <row r="4244">
      <c r="A4244" s="390" t="str">
        <f>IFERROR(__xludf.DUMMYFUNCTION("""COMPUTED_VALUE"""),"Lucas Cotrin da Silva - #SLMF - Segunda Licenciatura em Música 1320Horas")</f>
        <v>Lucas Cotrin da Silva - #SLMF - Segunda Licenciatura em Música 1320Horas</v>
      </c>
    </row>
    <row r="4245">
      <c r="A4245" s="390" t="str">
        <f>IFERROR(__xludf.DUMMYFUNCTION("""COMPUTED_VALUE"""),"Guilherme de Jesus Straccini - #SLMF - Segunda Licenciatura em Música 1320Horas")</f>
        <v>Guilherme de Jesus Straccini - #SLMF - Segunda Licenciatura em Música 1320Horas</v>
      </c>
    </row>
    <row r="4246">
      <c r="A4246" s="390" t="str">
        <f>IFERROR(__xludf.DUMMYFUNCTION("""COMPUTED_VALUE"""),"Camila Prado dos Santos - #SLPA- Segunda Licenciatura em Pedagogia 01")</f>
        <v>Camila Prado dos Santos - #SLPA- Segunda Licenciatura em Pedagogia 01</v>
      </c>
    </row>
    <row r="4247">
      <c r="A4247" s="390" t="str">
        <f>IFERROR(__xludf.DUMMYFUNCTION("""COMPUTED_VALUE"""),"João Messias Fernandes da Silva - Pós-Graduação em Psicanálise")</f>
        <v>João Messias Fernandes da Silva - Pós-Graduação em Psicanálise</v>
      </c>
    </row>
    <row r="4248">
      <c r="A4248" s="390" t="str">
        <f>IFERROR(__xludf.DUMMYFUNCTION("""COMPUTED_VALUE"""),"João Messias Fernandes da Silva - NOVO-Pós-Graduação em Psicanálise 800 Horas")</f>
        <v>João Messias Fernandes da Silva - NOVO-Pós-Graduação em Psicanálise 800 Horas</v>
      </c>
    </row>
    <row r="4249">
      <c r="A4249" s="390" t="str">
        <f>IFERROR(__xludf.DUMMYFUNCTION("""COMPUTED_VALUE"""),"Luiz Henrique de  Oliveira - #SLPA- Segunda Licenciatura em Pedagogia 01")</f>
        <v>Luiz Henrique de  Oliveira - #SLPA- Segunda Licenciatura em Pedagogia 01</v>
      </c>
    </row>
    <row r="4250">
      <c r="A4250" s="390" t="str">
        <f>IFERROR(__xludf.DUMMYFUNCTION("""COMPUTED_VALUE"""),"Luiz Henrique de  Oliveira - Pós-Graduação em Metodologia do Ensino de Filosofia e Sociologia")</f>
        <v>Luiz Henrique de  Oliveira - Pós-Graduação em Metodologia do Ensino de Filosofia e Sociologia</v>
      </c>
    </row>
    <row r="4251">
      <c r="A4251" s="390" t="str">
        <f>IFERROR(__xludf.DUMMYFUNCTION("""COMPUTED_VALUE"""),"Luiz Henrique de  Oliveira - Pós-Graduação em Ciências da Religião")</f>
        <v>Luiz Henrique de  Oliveira - Pós-Graduação em Ciências da Religião</v>
      </c>
    </row>
    <row r="4252">
      <c r="A4252" s="390" t="str">
        <f>IFERROR(__xludf.DUMMYFUNCTION("""COMPUTED_VALUE"""),"Sérgio Da Silva Gonçalves - #SLMF - Segunda Licenciatura em Música 1320Horas")</f>
        <v>Sérgio Da Silva Gonçalves - #SLMF - Segunda Licenciatura em Música 1320Horas</v>
      </c>
    </row>
    <row r="4253">
      <c r="A4253" s="390" t="str">
        <f>IFERROR(__xludf.DUMMYFUNCTION("""COMPUTED_VALUE"""),"Maria Cláudia Antunes Feliciano - Pós-Graduação em Psicanálise")</f>
        <v>Maria Cláudia Antunes Feliciano - Pós-Graduação em Psicanálise</v>
      </c>
    </row>
    <row r="4254">
      <c r="A4254" s="390" t="str">
        <f>IFERROR(__xludf.DUMMYFUNCTION("""COMPUTED_VALUE"""),"klynder Ribeiro do Carmo - #SLMF - Segunda Licenciatura em Música 1320Horas")</f>
        <v>klynder Ribeiro do Carmo - #SLMF - Segunda Licenciatura em Música 1320Horas</v>
      </c>
    </row>
    <row r="4255">
      <c r="A4255" s="390" t="str">
        <f>IFERROR(__xludf.DUMMYFUNCTION("""COMPUTED_VALUE"""),"Marcos Aurelio Evangelista - #FPMF- Formação Pedagógica em Música 1200Horas")</f>
        <v>Marcos Aurelio Evangelista - #FPMF- Formação Pedagógica em Música 1200Horas</v>
      </c>
    </row>
    <row r="4256">
      <c r="A4256" s="390" t="str">
        <f>IFERROR(__xludf.DUMMYFUNCTION("""COMPUTED_VALUE"""),"Marcos Aurelio Evangelista - Pós-Graduação em Docência do Ensino Superior e Tutoria de Educação a Distância")</f>
        <v>Marcos Aurelio Evangelista - Pós-Graduação em Docência do Ensino Superior e Tutoria de Educação a Distância</v>
      </c>
    </row>
    <row r="4257">
      <c r="A4257" s="390" t="str">
        <f>IFERROR(__xludf.DUMMYFUNCTION("""COMPUTED_VALUE"""),"Gislene Ferreira Evangelista - Pós-Graduação Psicopedagogia e Educação Especial")</f>
        <v>Gislene Ferreira Evangelista - Pós-Graduação Psicopedagogia e Educação Especial</v>
      </c>
    </row>
    <row r="4258">
      <c r="A4258" s="390" t="str">
        <f>IFERROR(__xludf.DUMMYFUNCTION("""COMPUTED_VALUE"""),"Gustavo Silva Rufino - #FPUEF - Formação Pedagógica em Educação Física - 1200 Horas")</f>
        <v>Gustavo Silva Rufino - #FPUEF - Formação Pedagógica em Educação Física - 1200 Horas</v>
      </c>
    </row>
    <row r="4259">
      <c r="A4259" s="390" t="str">
        <f>IFERROR(__xludf.DUMMYFUNCTION("""COMPUTED_VALUE"""),"Gustavo Silva Rufino - #FPFEF- Formação Pedagógica em Educação Física 2022")</f>
        <v>Gustavo Silva Rufino - #FPFEF- Formação Pedagógica em Educação Física 2022</v>
      </c>
    </row>
    <row r="4260">
      <c r="A4260" s="390" t="str">
        <f>IFERROR(__xludf.DUMMYFUNCTION("""COMPUTED_VALUE"""),"Ednilson Fernandes de Souza - Formação Livre Psicanálise")</f>
        <v>Ednilson Fernandes de Souza - Formação Livre Psicanálise</v>
      </c>
    </row>
    <row r="4261">
      <c r="A4261" s="390" t="str">
        <f>IFERROR(__xludf.DUMMYFUNCTION("""COMPUTED_VALUE"""),"Nathalia Ribeiro Pelegrino - RADIANTE - Pós-Graduação em Terapia em ABA- Análise do Comportamento Aplicada")</f>
        <v>Nathalia Ribeiro Pelegrino - RADIANTE - Pós-Graduação em Terapia em ABA- Análise do Comportamento Aplicada</v>
      </c>
    </row>
    <row r="4262">
      <c r="A4262" s="390" t="str">
        <f>IFERROR(__xludf.DUMMYFUNCTION("""COMPUTED_VALUE"""),"Cláudia Pereira de Azevedo - Pós-Graduação em Neuropsicologia Clínica")</f>
        <v>Cláudia Pereira de Azevedo - Pós-Graduação em Neuropsicologia Clínica</v>
      </c>
    </row>
    <row r="4263">
      <c r="A4263" s="390" t="str">
        <f>IFERROR(__xludf.DUMMYFUNCTION("""COMPUTED_VALUE"""),"Rafaela Macedo de Araujo - Pós-Graduação em Neuropsicologia Clínica")</f>
        <v>Rafaela Macedo de Araujo - Pós-Graduação em Neuropsicologia Clínica</v>
      </c>
    </row>
    <row r="4264">
      <c r="A4264" s="390" t="str">
        <f>IFERROR(__xludf.DUMMYFUNCTION("""COMPUTED_VALUE"""),"William Alves da Silva - #SLUP - SEGUNDA LICENCIATURA EM PEDAGOGIA")</f>
        <v>William Alves da Silva - #SLUP - SEGUNDA LICENCIATURA EM PEDAGOGIA</v>
      </c>
    </row>
    <row r="4265">
      <c r="A4265" s="390" t="str">
        <f>IFERROR(__xludf.DUMMYFUNCTION("""COMPUTED_VALUE"""),"William Alves da Silva - Pós-Graduação Neurociência e Aprendizagem")</f>
        <v>William Alves da Silva - Pós-Graduação Neurociência e Aprendizagem</v>
      </c>
    </row>
    <row r="4266">
      <c r="A4266" s="390" t="str">
        <f>IFERROR(__xludf.DUMMYFUNCTION("""COMPUTED_VALUE"""),"Marcia Filgueiras de Oliveira Fogaça - Pós-Graduação em Saúde Mental")</f>
        <v>Marcia Filgueiras de Oliveira Fogaça - Pós-Graduação em Saúde Mental</v>
      </c>
    </row>
    <row r="4267">
      <c r="A4267" s="390" t="str">
        <f>IFERROR(__xludf.DUMMYFUNCTION("""COMPUTED_VALUE"""),"Marcia Filgueiras de Oliveira Fogaça - Pós-Graduação em Neuropsicopedagogia Clínica e Institucional")</f>
        <v>Marcia Filgueiras de Oliveira Fogaça - Pós-Graduação em Neuropsicopedagogia Clínica e Institucional</v>
      </c>
    </row>
    <row r="4268">
      <c r="A4268" s="390" t="str">
        <f>IFERROR(__xludf.DUMMYFUNCTION("""COMPUTED_VALUE"""),"Larissa Andrade dos Anjos Lima - Pós-Graduação em Educação Especial 720Horas")</f>
        <v>Larissa Andrade dos Anjos Lima - Pós-Graduação em Educação Especial 720Horas</v>
      </c>
    </row>
    <row r="4269">
      <c r="A4269" s="390" t="str">
        <f>IFERROR(__xludf.DUMMYFUNCTION("""COMPUTED_VALUE"""),"Larissa Andrade dos Anjos Lima - Pós-Graduação em Gestão Escolar Integrada com Ênfase em Supervisão, Orientação, Administração e Inspeção")</f>
        <v>Larissa Andrade dos Anjos Lima - Pós-Graduação em Gestão Escolar Integrada com Ênfase em Supervisão, Orientação, Administração e Inspeção</v>
      </c>
    </row>
    <row r="4270">
      <c r="A4270" s="390" t="str">
        <f>IFERROR(__xludf.DUMMYFUNCTION("""COMPUTED_VALUE"""),"Ana Maria Leite Melo - NOVO-Pós-Graduação em Psicanálise 800 Horas")</f>
        <v>Ana Maria Leite Melo - NOVO-Pós-Graduação em Psicanálise 800 Horas</v>
      </c>
    </row>
    <row r="4271">
      <c r="A4271" s="390" t="str">
        <f>IFERROR(__xludf.DUMMYFUNCTION("""COMPUTED_VALUE"""),"Sue Hellen Cristina Pereira Ferreira - #SLMF - Segunda Licenciatura em Música 1320Horas")</f>
        <v>Sue Hellen Cristina Pereira Ferreira - #SLMF - Segunda Licenciatura em Música 1320Horas</v>
      </c>
    </row>
    <row r="4272">
      <c r="A4272" s="390" t="str">
        <f>IFERROR(__xludf.DUMMYFUNCTION("""COMPUTED_VALUE"""),"Ana Paula Rosa Silva - Formação Livre Psicanálise")</f>
        <v>Ana Paula Rosa Silva - Formação Livre Psicanálise</v>
      </c>
    </row>
    <row r="4273">
      <c r="A4273" s="390" t="str">
        <f>IFERROR(__xludf.DUMMYFUNCTION("""COMPUTED_VALUE"""),"Samuel do Nascimento Rodrigues - Formação Livre Psicanálise")</f>
        <v>Samuel do Nascimento Rodrigues - Formação Livre Psicanálise</v>
      </c>
    </row>
    <row r="4274">
      <c r="A4274" s="390" t="str">
        <f>IFERROR(__xludf.DUMMYFUNCTION("""COMPUTED_VALUE"""),"Lucas Ribeiro Mello - #FPMF- Formação Pedagógica em Música 1200Horas")</f>
        <v>Lucas Ribeiro Mello - #FPMF- Formação Pedagógica em Música 1200Horas</v>
      </c>
    </row>
    <row r="4275">
      <c r="A4275" s="390" t="str">
        <f>IFERROR(__xludf.DUMMYFUNCTION("""COMPUTED_VALUE"""),"Luis Carlos Bereta Botelho - #SLMF - Segunda Licenciatura em Música 1320Horas")</f>
        <v>Luis Carlos Bereta Botelho - #SLMF - Segunda Licenciatura em Música 1320Horas</v>
      </c>
    </row>
    <row r="4276">
      <c r="A4276" s="390" t="str">
        <f>IFERROR(__xludf.DUMMYFUNCTION("""COMPUTED_VALUE"""),"Maura Aparecida da Silva Serapiao - #SLUP - SEGUNDA LICENCIATURA EM PEDAGOGIA")</f>
        <v>Maura Aparecida da Silva Serapiao - #SLUP - SEGUNDA LICENCIATURA EM PEDAGOGIA</v>
      </c>
    </row>
    <row r="4277">
      <c r="A4277" s="390" t="str">
        <f>IFERROR(__xludf.DUMMYFUNCTION("""COMPUTED_VALUE"""),"Cristina da Costa Pereira - #SLMF - Segunda Licenciatura em Música 1320Horas")</f>
        <v>Cristina da Costa Pereira - #SLMF - Segunda Licenciatura em Música 1320Horas</v>
      </c>
    </row>
    <row r="4278">
      <c r="A4278" s="390" t="str">
        <f>IFERROR(__xludf.DUMMYFUNCTION("""COMPUTED_VALUE"""),"Claudenir De Oliveira Rocha - NOVO-Pós-Graduação em Psicanálise 800 Horas")</f>
        <v>Claudenir De Oliveira Rocha - NOVO-Pós-Graduação em Psicanálise 800 Horas</v>
      </c>
    </row>
    <row r="4279">
      <c r="A4279" s="390" t="str">
        <f>IFERROR(__xludf.DUMMYFUNCTION("""COMPUTED_VALUE"""),"Renata Borges Ferreira - #FPUA- Formação Pedagógica em Artes Visuais")</f>
        <v>Renata Borges Ferreira - #FPUA- Formação Pedagógica em Artes Visuais</v>
      </c>
    </row>
    <row r="4280">
      <c r="A4280" s="390" t="str">
        <f>IFERROR(__xludf.DUMMYFUNCTION("""COMPUTED_VALUE"""),"Daniela Carvalho Ximendes - Formação Livre Psicanálise")</f>
        <v>Daniela Carvalho Ximendes - Formação Livre Psicanálise</v>
      </c>
    </row>
    <row r="4281">
      <c r="A4281" s="390" t="str">
        <f>IFERROR(__xludf.DUMMYFUNCTION("""COMPUTED_VALUE"""),"Gisele Virgínia Becker de Oliveira - Pós-Graduação em Sexologia")</f>
        <v>Gisele Virgínia Becker de Oliveira - Pós-Graduação em Sexologia</v>
      </c>
    </row>
    <row r="4282">
      <c r="A4282" s="390" t="str">
        <f>IFERROR(__xludf.DUMMYFUNCTION("""COMPUTED_VALUE"""),"Margarida Pedro Alves - NOVO-Pós-Graduação em Psicanálise 800 Horas")</f>
        <v>Margarida Pedro Alves - NOVO-Pós-Graduação em Psicanálise 800 Horas</v>
      </c>
    </row>
    <row r="4283">
      <c r="A4283" s="390" t="str">
        <f>IFERROR(__xludf.DUMMYFUNCTION("""COMPUTED_VALUE"""),"Gleika Martins Damacena - RADIANTE - Pós-Graduação em Educação Infantil")</f>
        <v>Gleika Martins Damacena - RADIANTE - Pós-Graduação em Educação Infantil</v>
      </c>
    </row>
    <row r="4284">
      <c r="A4284" s="390" t="str">
        <f>IFERROR(__xludf.DUMMYFUNCTION("""COMPUTED_VALUE"""),"Ivan Bolonini Mariano - Formação Livre Psicanálise")</f>
        <v>Ivan Bolonini Mariano - Formação Livre Psicanálise</v>
      </c>
    </row>
    <row r="4285">
      <c r="A4285" s="390" t="str">
        <f>IFERROR(__xludf.DUMMYFUNCTION("""COMPUTED_VALUE"""),"Marcela oliveira dos Santos - #SLPA- Segunda Licenciatura em Pedagogia 01")</f>
        <v>Marcela oliveira dos Santos - #SLPA- Segunda Licenciatura em Pedagogia 01</v>
      </c>
    </row>
    <row r="4286">
      <c r="A4286" s="390" t="str">
        <f>IFERROR(__xludf.DUMMYFUNCTION("""COMPUTED_VALUE"""),"Marcela oliveira dos Santos - #SLPT- Segunda Licenciatura em Pedagogia")</f>
        <v>Marcela oliveira dos Santos - #SLPT- Segunda Licenciatura em Pedagogia</v>
      </c>
    </row>
    <row r="4287">
      <c r="A4287" s="390" t="str">
        <f>IFERROR(__xludf.DUMMYFUNCTION("""COMPUTED_VALUE"""),"Elencris Correia de Almeida da Silva - Pós-Graduação em Sexologia")</f>
        <v>Elencris Correia de Almeida da Silva - Pós-Graduação em Sexologia</v>
      </c>
    </row>
    <row r="4288">
      <c r="A4288" s="390" t="str">
        <f>IFERROR(__xludf.DUMMYFUNCTION("""COMPUTED_VALUE"""),"Marcia Lidia de Oliveira Ghaffar - NOVO-Pós-Graduação em Psicanálise 800 Horas")</f>
        <v>Marcia Lidia de Oliveira Ghaffar - NOVO-Pós-Graduação em Psicanálise 800 Horas</v>
      </c>
    </row>
    <row r="4289">
      <c r="A4289" s="390" t="str">
        <f>IFERROR(__xludf.DUMMYFUNCTION("""COMPUTED_VALUE"""),"Marcia Lidia de Oliveira Ghaffar - Pós-Graduação em Psicanálise")</f>
        <v>Marcia Lidia de Oliveira Ghaffar - Pós-Graduação em Psicanálise</v>
      </c>
    </row>
    <row r="4290">
      <c r="A4290" s="390" t="str">
        <f>IFERROR(__xludf.DUMMYFUNCTION("""COMPUTED_VALUE"""),"Rozana Ferreira da Silva - Formação Livre Psicanálise")</f>
        <v>Rozana Ferreira da Silva - Formação Livre Psicanálise</v>
      </c>
    </row>
    <row r="4291">
      <c r="A4291" s="390" t="str">
        <f>IFERROR(__xludf.DUMMYFUNCTION("""COMPUTED_VALUE"""),"Fabrício Ribeiro da Silva - #SLUP - SEGUNDA LICENCIATURA EM PEDAGOGIA")</f>
        <v>Fabrício Ribeiro da Silva - #SLUP - SEGUNDA LICENCIATURA EM PEDAGOGIA</v>
      </c>
    </row>
    <row r="4292">
      <c r="A4292" s="390" t="str">
        <f>IFERROR(__xludf.DUMMYFUNCTION("""COMPUTED_VALUE"""),"Viviane de Oliveira Arantes Cardoso - #FPUP-FORMAÇÃO PEDAGÓGICA EM PEDAGOGIA- U")</f>
        <v>Viviane de Oliveira Arantes Cardoso - #FPUP-FORMAÇÃO PEDAGÓGICA EM PEDAGOGIA- U</v>
      </c>
    </row>
    <row r="4293">
      <c r="A4293" s="390" t="str">
        <f>IFERROR(__xludf.DUMMYFUNCTION("""COMPUTED_VALUE"""),"Viviane de Oliveira Arantes Cardoso - #SLUA- Segunda Licenciatura em Artes Visuais")</f>
        <v>Viviane de Oliveira Arantes Cardoso - #SLUA- Segunda Licenciatura em Artes Visuais</v>
      </c>
    </row>
    <row r="4294">
      <c r="A4294" s="390" t="str">
        <f>IFERROR(__xludf.DUMMYFUNCTION("""COMPUTED_VALUE"""),"Viviane de Oliveira Arantes Cardoso - #SLUP - SEGUNDA LICENCIATURA EM PEDAGOGIA")</f>
        <v>Viviane de Oliveira Arantes Cardoso - #SLUP - SEGUNDA LICENCIATURA EM PEDAGOGIA</v>
      </c>
    </row>
    <row r="4295">
      <c r="A4295" s="390" t="str">
        <f>IFERROR(__xludf.DUMMYFUNCTION("""COMPUTED_VALUE"""),"Viviane de Oliveira Arantes Cardoso - #SLUA- Segunda Licenciatura em Artes Visuais")</f>
        <v>Viviane de Oliveira Arantes Cardoso - #SLUA- Segunda Licenciatura em Artes Visuais</v>
      </c>
    </row>
    <row r="4296">
      <c r="A4296" s="390" t="str">
        <f>IFERROR(__xludf.DUMMYFUNCTION("""COMPUTED_VALUE"""),"Viviane de Oliveira Arantes Cardoso - Pós-Graduação em Terapia em ABA- Análise do Comportamento Aplicada")</f>
        <v>Viviane de Oliveira Arantes Cardoso - Pós-Graduação em Terapia em ABA- Análise do Comportamento Aplicada</v>
      </c>
    </row>
    <row r="4297">
      <c r="A4297" s="390" t="str">
        <f>IFERROR(__xludf.DUMMYFUNCTION("""COMPUTED_VALUE"""),"Viviane de Oliveira Arantes Cardoso - Pós-Graduação em Metodologia do Ensino da Matemática")</f>
        <v>Viviane de Oliveira Arantes Cardoso - Pós-Graduação em Metodologia do Ensino da Matemática</v>
      </c>
    </row>
    <row r="4298">
      <c r="A4298" s="390" t="str">
        <f>IFERROR(__xludf.DUMMYFUNCTION("""COMPUTED_VALUE"""),"Jaqueline de Oliveira Fernandes - Pós-Graduação em Neuropsicopedagogia")</f>
        <v>Jaqueline de Oliveira Fernandes - Pós-Graduação em Neuropsicopedagogia</v>
      </c>
    </row>
    <row r="4299">
      <c r="A4299" s="390" t="str">
        <f>IFERROR(__xludf.DUMMYFUNCTION("""COMPUTED_VALUE"""),"Tânia Regina Novelino - NOVO-Pós-Graduação em Psicanálise 800 Horas")</f>
        <v>Tânia Regina Novelino - NOVO-Pós-Graduação em Psicanálise 800 Horas</v>
      </c>
    </row>
    <row r="4300">
      <c r="A4300" s="390" t="str">
        <f>IFERROR(__xludf.DUMMYFUNCTION("""COMPUTED_VALUE"""),"Sergio Alves Muniz - #SLMF - Segunda Licenciatura em Música 1320Horas")</f>
        <v>Sergio Alves Muniz - #SLMF - Segunda Licenciatura em Música 1320Horas</v>
      </c>
    </row>
    <row r="4301">
      <c r="A4301" s="390" t="str">
        <f>IFERROR(__xludf.DUMMYFUNCTION("""COMPUTED_VALUE"""),"Sirlene de Aquino Brito - #SLMF - Segunda Licenciatura em Música 1320Horas")</f>
        <v>Sirlene de Aquino Brito - #SLMF - Segunda Licenciatura em Música 1320Horas</v>
      </c>
    </row>
    <row r="4302">
      <c r="A4302" s="390" t="str">
        <f>IFERROR(__xludf.DUMMYFUNCTION("""COMPUTED_VALUE"""),"Célio Gomes de Oliveira - Formação Livre Psicanálise")</f>
        <v>Célio Gomes de Oliveira - Formação Livre Psicanálise</v>
      </c>
    </row>
    <row r="4303">
      <c r="A4303" s="390" t="str">
        <f>IFERROR(__xludf.DUMMYFUNCTION("""COMPUTED_VALUE"""),"Célio Gomes de Oliveira - Formação Livre em Psicanálise-2022")</f>
        <v>Célio Gomes de Oliveira - Formação Livre em Psicanálise-2022</v>
      </c>
    </row>
    <row r="4304">
      <c r="A4304" s="390" t="str">
        <f>IFERROR(__xludf.DUMMYFUNCTION("""COMPUTED_VALUE"""),"Roger Roberto Brochi - #SLUP - SEGUNDA LICENCIATURA EM PEDAGOGIA")</f>
        <v>Roger Roberto Brochi - #SLUP - SEGUNDA LICENCIATURA EM PEDAGOGIA</v>
      </c>
    </row>
    <row r="4305">
      <c r="A4305" s="390" t="str">
        <f>IFERROR(__xludf.DUMMYFUNCTION("""COMPUTED_VALUE"""),"Lucilene Além Cardoso - #SLUA- Segunda Licenciatura em Artes Visuais")</f>
        <v>Lucilene Além Cardoso - #SLUA- Segunda Licenciatura em Artes Visuais</v>
      </c>
    </row>
    <row r="4306">
      <c r="A4306" s="390" t="str">
        <f>IFERROR(__xludf.DUMMYFUNCTION("""COMPUTED_VALUE"""),"Lucilene Além Cardoso - #SLAV+1 - Segunda Licenciatura em Artes Visuais 1000 Horas")</f>
        <v>Lucilene Além Cardoso - #SLAV+1 - Segunda Licenciatura em Artes Visuais 1000 Horas</v>
      </c>
    </row>
    <row r="4307">
      <c r="A4307" s="390" t="str">
        <f>IFERROR(__xludf.DUMMYFUNCTION("""COMPUTED_VALUE"""),"Ana Paula Santana do Rosario Barbosa - #SLLPA - Segunda Licenciatura Letras - Português")</f>
        <v>Ana Paula Santana do Rosario Barbosa - #SLLPA - Segunda Licenciatura Letras - Português</v>
      </c>
    </row>
    <row r="4308">
      <c r="A4308" s="390" t="str">
        <f>IFERROR(__xludf.DUMMYFUNCTION("""COMPUTED_VALUE"""),"Elionete María Regina Souza Rezende - #FPUP-FORMAÇÃO PEDAGÓGICA EM PEDAGOGIA- U")</f>
        <v>Elionete María Regina Souza Rezende - #FPUP-FORMAÇÃO PEDAGÓGICA EM PEDAGOGIA- U</v>
      </c>
    </row>
    <row r="4309">
      <c r="A4309" s="390" t="str">
        <f>IFERROR(__xludf.DUMMYFUNCTION("""COMPUTED_VALUE"""),"Elionete María Regina Souza Rezende - Pós-Graduação em Educação Ambiental e Sustentabilidade")</f>
        <v>Elionete María Regina Souza Rezende - Pós-Graduação em Educação Ambiental e Sustentabilidade</v>
      </c>
    </row>
    <row r="4310">
      <c r="A4310" s="390" t="str">
        <f>IFERROR(__xludf.DUMMYFUNCTION("""COMPUTED_VALUE"""),"Rute dos Santos Oliveira - Pós-Graduação em Neuropsicopedagogia Institucional, Clínica e Hospitalar 850h")</f>
        <v>Rute dos Santos Oliveira - Pós-Graduação em Neuropsicopedagogia Institucional, Clínica e Hospitalar 850h</v>
      </c>
    </row>
    <row r="4311">
      <c r="A4311" s="390" t="str">
        <f>IFERROR(__xludf.DUMMYFUNCTION("""COMPUTED_VALUE"""),"Otávio Antonio Almeida da Silva - #SLPA- Segunda Licenciatura em Pedagogia 01")</f>
        <v>Otávio Antonio Almeida da Silva - #SLPA- Segunda Licenciatura em Pedagogia 01</v>
      </c>
    </row>
    <row r="4312">
      <c r="A4312" s="390" t="str">
        <f>IFERROR(__xludf.DUMMYFUNCTION("""COMPUTED_VALUE"""),"Rafaela Ferreira virgolino - Formação Livre Psicanálise")</f>
        <v>Rafaela Ferreira virgolino - Formação Livre Psicanálise</v>
      </c>
    </row>
    <row r="4313">
      <c r="A4313" s="390" t="str">
        <f>IFERROR(__xludf.DUMMYFUNCTION("""COMPUTED_VALUE"""),"Rafaela Ferreira virgolino - Formação Livre em Terapia Cognitiva Comportamental")</f>
        <v>Rafaela Ferreira virgolino - Formação Livre em Terapia Cognitiva Comportamental</v>
      </c>
    </row>
    <row r="4314">
      <c r="A4314" s="390" t="str">
        <f>IFERROR(__xludf.DUMMYFUNCTION("""COMPUTED_VALUE"""),"Claudiany de Souza Coelho Boechat - #SLAA - Segunda Licenciatura em Artes Visuais")</f>
        <v>Claudiany de Souza Coelho Boechat - #SLAA - Segunda Licenciatura em Artes Visuais</v>
      </c>
    </row>
    <row r="4315">
      <c r="A4315" s="390" t="str">
        <f>IFERROR(__xludf.DUMMYFUNCTION("""COMPUTED_VALUE"""),"Norberto Félix de Jesus - NOVO-Pós-Graduação em Psicanálise 800 Horas")</f>
        <v>Norberto Félix de Jesus - NOVO-Pós-Graduação em Psicanálise 800 Horas</v>
      </c>
    </row>
    <row r="4316">
      <c r="A4316" s="390" t="str">
        <f>IFERROR(__xludf.DUMMYFUNCTION("""COMPUTED_VALUE"""),"Leonete Sena Silva - Pós-Graduação em Neuropsicopedagogia Institucional, Clínica e Hospitalar 850h")</f>
        <v>Leonete Sena Silva - Pós-Graduação em Neuropsicopedagogia Institucional, Clínica e Hospitalar 850h</v>
      </c>
    </row>
    <row r="4317">
      <c r="A4317" s="390" t="str">
        <f>IFERROR(__xludf.DUMMYFUNCTION("""COMPUTED_VALUE"""),"Antonio Castro de Sousa - #SLPA- Segunda Licenciatura em Pedagogia 01")</f>
        <v>Antonio Castro de Sousa - #SLPA- Segunda Licenciatura em Pedagogia 01</v>
      </c>
    </row>
    <row r="4318">
      <c r="A4318" s="390" t="str">
        <f>IFERROR(__xludf.DUMMYFUNCTION("""COMPUTED_VALUE"""),"Antonio Castro de Sousa - Pós-Graduação em Educação Física Escolar e Treinamento Desportivo")</f>
        <v>Antonio Castro de Sousa - Pós-Graduação em Educação Física Escolar e Treinamento Desportivo</v>
      </c>
    </row>
    <row r="4319">
      <c r="A4319" s="390" t="str">
        <f>IFERROR(__xludf.DUMMYFUNCTION("""COMPUTED_VALUE"""),"Gisele Josino Felicidade - #FPUP-FORMAÇÃO PEDAGÓGICA EM PEDAGOGIA- U")</f>
        <v>Gisele Josino Felicidade - #FPUP-FORMAÇÃO PEDAGÓGICA EM PEDAGOGIA- U</v>
      </c>
    </row>
    <row r="4320">
      <c r="A4320" s="390" t="str">
        <f>IFERROR(__xludf.DUMMYFUNCTION("""COMPUTED_VALUE"""),"Vanessa Das Merces Moreira Marques - #SLPA- Segunda Licenciatura em Pedagogia 01")</f>
        <v>Vanessa Das Merces Moreira Marques - #SLPA- Segunda Licenciatura em Pedagogia 01</v>
      </c>
    </row>
    <row r="4321">
      <c r="A4321" s="390" t="str">
        <f>IFERROR(__xludf.DUMMYFUNCTION("""COMPUTED_VALUE"""),"Yrli Ribeiro de Lima - NOVO-Pós-Graduação em Psicanálise 800 Horas")</f>
        <v>Yrli Ribeiro de Lima - NOVO-Pós-Graduação em Psicanálise 800 Horas</v>
      </c>
    </row>
    <row r="4322">
      <c r="A4322" s="390" t="str">
        <f>IFERROR(__xludf.DUMMYFUNCTION("""COMPUTED_VALUE"""),"Antonio Rodrigues Dos Ouros - Pós-Graduação em Psicanálise")</f>
        <v>Antonio Rodrigues Dos Ouros - Pós-Graduação em Psicanálise</v>
      </c>
    </row>
    <row r="4323">
      <c r="A4323" s="390" t="str">
        <f>IFERROR(__xludf.DUMMYFUNCTION("""COMPUTED_VALUE"""),"Islaine Maria Aparecida Dos Santos Franceschi - Pós-Graduação em Enfermagem em Oncológica")</f>
        <v>Islaine Maria Aparecida Dos Santos Franceschi - Pós-Graduação em Enfermagem em Oncológica</v>
      </c>
    </row>
    <row r="4324">
      <c r="A4324" s="390" t="str">
        <f>IFERROR(__xludf.DUMMYFUNCTION("""COMPUTED_VALUE"""),"Railena Pereira Braga - #SLPT- Segunda Licenciatura em Pedagogia")</f>
        <v>Railena Pereira Braga - #SLPT- Segunda Licenciatura em Pedagogia</v>
      </c>
    </row>
    <row r="4325">
      <c r="A4325" s="390" t="str">
        <f>IFERROR(__xludf.DUMMYFUNCTION("""COMPUTED_VALUE"""),"Maurício Fogli Cruzeiro Machado - #FPT1-Pedagogia para Bacharéis e Tecnólogos (2022)")</f>
        <v>Maurício Fogli Cruzeiro Machado - #FPT1-Pedagogia para Bacharéis e Tecnólogos (2022)</v>
      </c>
    </row>
    <row r="4326">
      <c r="A4326" s="390" t="str">
        <f>IFERROR(__xludf.DUMMYFUNCTION("""COMPUTED_VALUE"""),"EMERSON VIZZOTTO DE BARROS - #SLUP - SEGUNDA LICENCIATURA EM PEDAGOGIA")</f>
        <v>EMERSON VIZZOTTO DE BARROS - #SLUP - SEGUNDA LICENCIATURA EM PEDAGOGIA</v>
      </c>
    </row>
    <row r="4327">
      <c r="A4327" s="390" t="str">
        <f>IFERROR(__xludf.DUMMYFUNCTION("""COMPUTED_VALUE"""),"EMERSON VIZZOTTO DE BARROS - #SLPA- Segunda Licenciatura em Pedagogia 01")</f>
        <v>EMERSON VIZZOTTO DE BARROS - #SLPA- Segunda Licenciatura em Pedagogia 01</v>
      </c>
    </row>
    <row r="4328">
      <c r="A4328" s="390" t="str">
        <f>IFERROR(__xludf.DUMMYFUNCTION("""COMPUTED_VALUE"""),"EMERSON VIZZOTTO DE BARROS - Pós-Graduação em Neuropsicopedagogia Institucional, Clínica e Hospitalar 850h")</f>
        <v>EMERSON VIZZOTTO DE BARROS - Pós-Graduação em Neuropsicopedagogia Institucional, Clínica e Hospitalar 850h</v>
      </c>
    </row>
    <row r="4329">
      <c r="A4329" s="390" t="str">
        <f>IFERROR(__xludf.DUMMYFUNCTION("""COMPUTED_VALUE"""),"Rosângela Souza Fuchs - Formação Livre Psicanálise")</f>
        <v>Rosângela Souza Fuchs - Formação Livre Psicanálise</v>
      </c>
    </row>
    <row r="4330">
      <c r="A4330" s="390" t="str">
        <f>IFERROR(__xludf.DUMMYFUNCTION("""COMPUTED_VALUE"""),"WANDERLEI RODRIGUES DOS SANTOS - Pós-Graduação em Engenharia de Segurança do Trabalho")</f>
        <v>WANDERLEI RODRIGUES DOS SANTOS - Pós-Graduação em Engenharia de Segurança do Trabalho</v>
      </c>
    </row>
    <row r="4331">
      <c r="A4331" s="390" t="str">
        <f>IFERROR(__xludf.DUMMYFUNCTION("""COMPUTED_VALUE"""),"Jogli Rabelo Leitao - NOVO-Pós-Graduação em Psicanálise 800 Horas")</f>
        <v>Jogli Rabelo Leitao - NOVO-Pós-Graduação em Psicanálise 800 Horas</v>
      </c>
    </row>
    <row r="4332">
      <c r="A4332" s="390" t="str">
        <f>IFERROR(__xludf.DUMMYFUNCTION("""COMPUTED_VALUE"""),"Betania do Carmo Cunha - Pós-Graduação em Psicopedagogia Institucional e Clínica 710Horas")</f>
        <v>Betania do Carmo Cunha - Pós-Graduação em Psicopedagogia Institucional e Clínica 710Horas</v>
      </c>
    </row>
    <row r="4333">
      <c r="A4333" s="390" t="str">
        <f>IFERROR(__xludf.DUMMYFUNCTION("""COMPUTED_VALUE"""),"Eliene Ferreira Barros da Silva - Pós-Graduação em Sexologia")</f>
        <v>Eliene Ferreira Barros da Silva - Pós-Graduação em Sexologia</v>
      </c>
    </row>
    <row r="4334">
      <c r="A4334" s="390" t="str">
        <f>IFERROR(__xludf.DUMMYFUNCTION("""COMPUTED_VALUE"""),"Matheus Conçole Boechat - #SLAV+1 - Segunda Licenciatura em Artes Visuais 1000 Horas")</f>
        <v>Matheus Conçole Boechat - #SLAV+1 - Segunda Licenciatura em Artes Visuais 1000 Horas</v>
      </c>
    </row>
    <row r="4335">
      <c r="A4335" s="390" t="str">
        <f>IFERROR(__xludf.DUMMYFUNCTION("""COMPUTED_VALUE"""),"Dannielle Harumi de Lucena Babachinas - #FPT1-Pedagogia para Bacharéis e Tecnólogos (2022)")</f>
        <v>Dannielle Harumi de Lucena Babachinas - #FPT1-Pedagogia para Bacharéis e Tecnólogos (2022)</v>
      </c>
    </row>
    <row r="4336">
      <c r="A4336" s="390" t="str">
        <f>IFERROR(__xludf.DUMMYFUNCTION("""COMPUTED_VALUE"""),"Daniele Ferreira dos Santos Avelar - #SLUM - SEGUNDA LICENCIATURA EM MATEMÁTICA")</f>
        <v>Daniele Ferreira dos Santos Avelar - #SLUM - SEGUNDA LICENCIATURA EM MATEMÁTICA</v>
      </c>
    </row>
    <row r="4337">
      <c r="A4337" s="390" t="str">
        <f>IFERROR(__xludf.DUMMYFUNCTION("""COMPUTED_VALUE"""),"Vilma da Cruz - Pós-Graduação em Psicanálise")</f>
        <v>Vilma da Cruz - Pós-Graduação em Psicanálise</v>
      </c>
    </row>
    <row r="4338">
      <c r="A4338" s="390" t="str">
        <f>IFERROR(__xludf.DUMMYFUNCTION("""COMPUTED_VALUE"""),"Daniele Ferreira Silverio Soares - NOVO-Pós-Graduação em Psicanálise 800 Horas")</f>
        <v>Daniele Ferreira Silverio Soares - NOVO-Pós-Graduação em Psicanálise 800 Horas</v>
      </c>
    </row>
    <row r="4339">
      <c r="A4339" s="390" t="str">
        <f>IFERROR(__xludf.DUMMYFUNCTION("""COMPUTED_VALUE"""),"Maria Serrat Amorim - Pós-Graduação em Psicanálise")</f>
        <v>Maria Serrat Amorim - Pós-Graduação em Psicanálise</v>
      </c>
    </row>
    <row r="4340">
      <c r="A4340" s="390" t="str">
        <f>IFERROR(__xludf.DUMMYFUNCTION("""COMPUTED_VALUE"""),"Adilson Faria dos Santos - #FPUP-FORMAÇÃO PEDAGÓGICA EM PEDAGOGIA- U")</f>
        <v>Adilson Faria dos Santos - #FPUP-FORMAÇÃO PEDAGÓGICA EM PEDAGOGIA- U</v>
      </c>
    </row>
    <row r="4341">
      <c r="A4341" s="390" t="str">
        <f>IFERROR(__xludf.DUMMYFUNCTION("""COMPUTED_VALUE"""),"Adilson Faria dos Santos - Pós-Graduação Educação Especial e Inclusiva")</f>
        <v>Adilson Faria dos Santos - Pós-Graduação Educação Especial e Inclusiva</v>
      </c>
    </row>
    <row r="4342">
      <c r="A4342" s="390" t="str">
        <f>IFERROR(__xludf.DUMMYFUNCTION("""COMPUTED_VALUE"""),"Maria do Carmo Gregório silva - Formação Livre Psicanálise")</f>
        <v>Maria do Carmo Gregório silva - Formação Livre Psicanálise</v>
      </c>
    </row>
    <row r="4343">
      <c r="A4343" s="390" t="str">
        <f>IFERROR(__xludf.DUMMYFUNCTION("""COMPUTED_VALUE"""),"LEANDRO FREITAS DOS SANTOS - #SLMF - Segunda Licenciatura em Música 1320Horas")</f>
        <v>LEANDRO FREITAS DOS SANTOS - #SLMF - Segunda Licenciatura em Música 1320Horas</v>
      </c>
    </row>
    <row r="4344">
      <c r="A4344" s="390" t="str">
        <f>IFERROR(__xludf.DUMMYFUNCTION("""COMPUTED_VALUE"""),"LEANDRO FREITAS DOS SANTOS - #SLMF- Segunda Licenciatura em Música 2022 880Horas")</f>
        <v>LEANDRO FREITAS DOS SANTOS - #SLMF- Segunda Licenciatura em Música 2022 880Horas</v>
      </c>
    </row>
    <row r="4345">
      <c r="A4345" s="390" t="str">
        <f>IFERROR(__xludf.DUMMYFUNCTION("""COMPUTED_VALUE"""),"Maria do Socorro Silva da Costa - Pós-Graduação em Ensino de História")</f>
        <v>Maria do Socorro Silva da Costa - Pós-Graduação em Ensino de História</v>
      </c>
    </row>
    <row r="4346">
      <c r="A4346" s="390" t="str">
        <f>IFERROR(__xludf.DUMMYFUNCTION("""COMPUTED_VALUE"""),"Osni Santos Ribeiro - #SLUP - SEGUNDA LICENCIATURA EM PEDAGOGIA")</f>
        <v>Osni Santos Ribeiro - #SLUP - SEGUNDA LICENCIATURA EM PEDAGOGIA</v>
      </c>
    </row>
    <row r="4347">
      <c r="A4347" s="390" t="str">
        <f>IFERROR(__xludf.DUMMYFUNCTION("""COMPUTED_VALUE"""),"Osni Santos Ribeiro - #SLPA- Segunda Licenciatura em Pedagogia 01")</f>
        <v>Osni Santos Ribeiro - #SLPA- Segunda Licenciatura em Pedagogia 01</v>
      </c>
    </row>
    <row r="4348">
      <c r="A4348" s="390" t="str">
        <f>IFERROR(__xludf.DUMMYFUNCTION("""COMPUTED_VALUE"""),"Isabel Cristina Silva Oliveira - #SLUP - SEGUNDA LICENCIATURA EM PEDAGOGIA")</f>
        <v>Isabel Cristina Silva Oliveira - #SLUP - SEGUNDA LICENCIATURA EM PEDAGOGIA</v>
      </c>
    </row>
    <row r="4349">
      <c r="A4349" s="390" t="str">
        <f>IFERROR(__xludf.DUMMYFUNCTION("""COMPUTED_VALUE"""),"Isabel Cristina Silva Oliveira - #SLPA- Segunda Licenciatura em Pedagogia 01")</f>
        <v>Isabel Cristina Silva Oliveira - #SLPA- Segunda Licenciatura em Pedagogia 01</v>
      </c>
    </row>
    <row r="4350">
      <c r="A4350" s="390" t="str">
        <f>IFERROR(__xludf.DUMMYFUNCTION("""COMPUTED_VALUE"""),"Everaldo Araújo - Formação Livre Psicanálise")</f>
        <v>Everaldo Araújo - Formação Livre Psicanálise</v>
      </c>
    </row>
    <row r="4351">
      <c r="A4351" s="390" t="str">
        <f>IFERROR(__xludf.DUMMYFUNCTION("""COMPUTED_VALUE"""),"Maria Jane Campinho de Jesus Sena. - Formação Livre Psicanálise")</f>
        <v>Maria Jane Campinho de Jesus Sena. - Formação Livre Psicanálise</v>
      </c>
    </row>
    <row r="4352">
      <c r="A4352" s="390" t="str">
        <f>IFERROR(__xludf.DUMMYFUNCTION("""COMPUTED_VALUE"""),"Leidiane Aparecida Ribeiro Cassiano - #SLMF - Segunda Licenciatura em Música 1320Horas")</f>
        <v>Leidiane Aparecida Ribeiro Cassiano - #SLMF - Segunda Licenciatura em Música 1320Horas</v>
      </c>
    </row>
    <row r="4353">
      <c r="A4353" s="390" t="str">
        <f>IFERROR(__xludf.DUMMYFUNCTION("""COMPUTED_VALUE"""),"Leidiane Aparecida Ribeiro Cassiano - Pós-Graduação em Gestão Escolar Integrada com Ênfase em Supervisão, Orientação, Administração e Inspeção")</f>
        <v>Leidiane Aparecida Ribeiro Cassiano - Pós-Graduação em Gestão Escolar Integrada com Ênfase em Supervisão, Orientação, Administração e Inspeção</v>
      </c>
    </row>
    <row r="4354">
      <c r="A4354" s="390" t="str">
        <f>IFERROR(__xludf.DUMMYFUNCTION("""COMPUTED_VALUE"""),"Priscilla Cristina de Bortoli da Silva - Pós-Graduação em Psicanálise")</f>
        <v>Priscilla Cristina de Bortoli da Silva - Pós-Graduação em Psicanálise</v>
      </c>
    </row>
    <row r="4355">
      <c r="A4355" s="390" t="str">
        <f>IFERROR(__xludf.DUMMYFUNCTION("""COMPUTED_VALUE"""),"Ruth Araújo Lustosa - Pós-Graduação em Psicanálise")</f>
        <v>Ruth Araújo Lustosa - Pós-Graduação em Psicanálise</v>
      </c>
    </row>
    <row r="4356">
      <c r="A4356" s="390" t="str">
        <f>IFERROR(__xludf.DUMMYFUNCTION("""COMPUTED_VALUE"""),"Alessandra Ribeiro de Paula - Formação Pedagógica em Matemática")</f>
        <v>Alessandra Ribeiro de Paula - Formação Pedagógica em Matemática</v>
      </c>
    </row>
    <row r="4357">
      <c r="A4357" s="390" t="str">
        <f>IFERROR(__xludf.DUMMYFUNCTION("""COMPUTED_VALUE"""),"Alessandra Ribeiro de Paula - #FPM+ Formação Pedagógica em Matemática-760 Horas")</f>
        <v>Alessandra Ribeiro de Paula - #FPM+ Formação Pedagógica em Matemática-760 Horas</v>
      </c>
    </row>
    <row r="4358">
      <c r="A4358" s="390" t="str">
        <f>IFERROR(__xludf.DUMMYFUNCTION("""COMPUTED_VALUE"""),"Michele Chaves Amancio Teubner - Pós-Graduação em Psicanálise")</f>
        <v>Michele Chaves Amancio Teubner - Pós-Graduação em Psicanálise</v>
      </c>
    </row>
    <row r="4359">
      <c r="A4359" s="390" t="str">
        <f>IFERROR(__xludf.DUMMYFUNCTION("""COMPUTED_VALUE"""),"Ise Maria da Silva - #FPUP-FORMAÇÃO PEDAGÓGICA EM PEDAGOGIA- U")</f>
        <v>Ise Maria da Silva - #FPUP-FORMAÇÃO PEDAGÓGICA EM PEDAGOGIA- U</v>
      </c>
    </row>
    <row r="4360">
      <c r="A4360" s="390" t="str">
        <f>IFERROR(__xludf.DUMMYFUNCTION("""COMPUTED_VALUE"""),"Everton Luis Gardinal - Pós-Graduação em Neuropsicologia Clínica")</f>
        <v>Everton Luis Gardinal - Pós-Graduação em Neuropsicologia Clínica</v>
      </c>
    </row>
    <row r="4361">
      <c r="A4361" s="390" t="str">
        <f>IFERROR(__xludf.DUMMYFUNCTION("""COMPUTED_VALUE"""),"Everton Luis Gardinal - #FPP- Formação Pedagógica em Pedagogia R2")</f>
        <v>Everton Luis Gardinal - #FPP- Formação Pedagógica em Pedagogia R2</v>
      </c>
    </row>
    <row r="4362">
      <c r="A4362" s="390" t="str">
        <f>IFERROR(__xludf.DUMMYFUNCTION("""COMPUTED_VALUE"""),"MAURO RAMIS RAMOS - #SLMF - Segunda Licenciatura em Música 1320Horas")</f>
        <v>MAURO RAMIS RAMOS - #SLMF - Segunda Licenciatura em Música 1320Horas</v>
      </c>
    </row>
    <row r="4363">
      <c r="A4363" s="390" t="str">
        <f>IFERROR(__xludf.DUMMYFUNCTION("""COMPUTED_VALUE"""),"Leiva Nery Alves Barros Freire - Pós-Graduação em Sexologia")</f>
        <v>Leiva Nery Alves Barros Freire - Pós-Graduação em Sexologia</v>
      </c>
    </row>
    <row r="4364">
      <c r="A4364" s="390" t="str">
        <f>IFERROR(__xludf.DUMMYFUNCTION("""COMPUTED_VALUE"""),"Giovana Cristiane dos Santos Ferreira - Pós-Graduação em Neuropsicopedagogia Institucional, Clínica e Hospitalar 850h")</f>
        <v>Giovana Cristiane dos Santos Ferreira - Pós-Graduação em Neuropsicopedagogia Institucional, Clínica e Hospitalar 850h</v>
      </c>
    </row>
    <row r="4365">
      <c r="A4365" s="390" t="str">
        <f>IFERROR(__xludf.DUMMYFUNCTION("""COMPUTED_VALUE"""),"Giovana Cristiane dos Santos Ferreira - Pós-Graduação em Psicopedagogia Escolar")</f>
        <v>Giovana Cristiane dos Santos Ferreira - Pós-Graduação em Psicopedagogia Escolar</v>
      </c>
    </row>
    <row r="4366">
      <c r="A4366" s="390" t="str">
        <f>IFERROR(__xludf.DUMMYFUNCTION("""COMPUTED_VALUE"""),"Giovana Cristiane dos Santos Ferreira - Pós-Graduação em Biblioteconomia")</f>
        <v>Giovana Cristiane dos Santos Ferreira - Pós-Graduação em Biblioteconomia</v>
      </c>
    </row>
    <row r="4367">
      <c r="A4367" s="390" t="str">
        <f>IFERROR(__xludf.DUMMYFUNCTION("""COMPUTED_VALUE"""),"Giovana Cristiane dos Santos Ferreira - Pós-Graduação Neurociência e Aprendizagem")</f>
        <v>Giovana Cristiane dos Santos Ferreira - Pós-Graduação Neurociência e Aprendizagem</v>
      </c>
    </row>
    <row r="4368">
      <c r="A4368" s="390" t="str">
        <f>IFERROR(__xludf.DUMMYFUNCTION("""COMPUTED_VALUE"""),"Rodrigo dos Santos Dutra - #SLUP - SEGUNDA LICENCIATURA EM PEDAGOGIA")</f>
        <v>Rodrigo dos Santos Dutra - #SLUP - SEGUNDA LICENCIATURA EM PEDAGOGIA</v>
      </c>
    </row>
    <row r="4369">
      <c r="A4369" s="390" t="str">
        <f>IFERROR(__xludf.DUMMYFUNCTION("""COMPUTED_VALUE"""),"Fabiana Marinho da Silva - Pós-Graduação em Psicanálise")</f>
        <v>Fabiana Marinho da Silva - Pós-Graduação em Psicanálise</v>
      </c>
    </row>
    <row r="4370">
      <c r="A4370" s="390" t="str">
        <f>IFERROR(__xludf.DUMMYFUNCTION("""COMPUTED_VALUE"""),"Eliane França Marchi - NOVO-Pós-Graduação em Psicanálise 800 Horas")</f>
        <v>Eliane França Marchi - NOVO-Pós-Graduação em Psicanálise 800 Horas</v>
      </c>
    </row>
    <row r="4371">
      <c r="A4371" s="390" t="str">
        <f>IFERROR(__xludf.DUMMYFUNCTION("""COMPUTED_VALUE"""),"Claudiany de Souza Coelho Boechat - #SLAA - Segunda Licenciatura em Artes Visuais")</f>
        <v>Claudiany de Souza Coelho Boechat - #SLAA - Segunda Licenciatura em Artes Visuais</v>
      </c>
    </row>
    <row r="4372">
      <c r="A4372" s="390" t="str">
        <f>IFERROR(__xludf.DUMMYFUNCTION("""COMPUTED_VALUE"""),"Fabiano Alves Veloso - #FPMF- Formação Pedagógica em Música 1200Horas")</f>
        <v>Fabiano Alves Veloso - #FPMF- Formação Pedagógica em Música 1200Horas</v>
      </c>
    </row>
    <row r="4373">
      <c r="A4373" s="390" t="str">
        <f>IFERROR(__xludf.DUMMYFUNCTION("""COMPUTED_VALUE"""),"Fabiano Alves Veloso - #FPMF- Formação Pedagógica em Música 2022")</f>
        <v>Fabiano Alves Veloso - #FPMF- Formação Pedagógica em Música 2022</v>
      </c>
    </row>
    <row r="4374">
      <c r="A4374" s="390" t="str">
        <f>IFERROR(__xludf.DUMMYFUNCTION("""COMPUTED_VALUE"""),"Carlos Diego Haag - SEGUNDA LICENCIATURA EM MÚSICA - 2024")</f>
        <v>Carlos Diego Haag - SEGUNDA LICENCIATURA EM MÚSICA - 2024</v>
      </c>
    </row>
    <row r="4375">
      <c r="A4375" s="390" t="str">
        <f>IFERROR(__xludf.DUMMYFUNCTION("""COMPUTED_VALUE"""),"Carlos Diego Haag - #FPMF- Formação Pedagógica em Música 1200Horas")</f>
        <v>Carlos Diego Haag - #FPMF- Formação Pedagógica em Música 1200Horas</v>
      </c>
    </row>
    <row r="4376">
      <c r="A4376" s="390" t="str">
        <f>IFERROR(__xludf.DUMMYFUNCTION("""COMPUTED_VALUE"""),"Joviano Follmam - Pós-Graduação em Psicanálise")</f>
        <v>Joviano Follmam - Pós-Graduação em Psicanálise</v>
      </c>
    </row>
    <row r="4377">
      <c r="A4377" s="390" t="str">
        <f>IFERROR(__xludf.DUMMYFUNCTION("""COMPUTED_VALUE"""),": Islaine Maria Aparecida Dos Santos Franceschi - Pós-Graduação em Enfermagem em Oncológica")</f>
        <v>: Islaine Maria Aparecida Dos Santos Franceschi - Pós-Graduação em Enfermagem em Oncológica</v>
      </c>
    </row>
    <row r="4378">
      <c r="A4378" s="390" t="str">
        <f>IFERROR(__xludf.DUMMYFUNCTION("""COMPUTED_VALUE"""),"Flávio Fonseca da Silva - #SLMF - Segunda Licenciatura em Música 1320Horas")</f>
        <v>Flávio Fonseca da Silva - #SLMF - Segunda Licenciatura em Música 1320Horas</v>
      </c>
    </row>
    <row r="4379">
      <c r="A4379" s="390" t="str">
        <f>IFERROR(__xludf.DUMMYFUNCTION("""COMPUTED_VALUE"""),"Flávio Fonseca da Silva - Pós-Graduação em Educação Musical")</f>
        <v>Flávio Fonseca da Silva - Pós-Graduação em Educação Musical</v>
      </c>
    </row>
    <row r="4380">
      <c r="A4380" s="390" t="str">
        <f>IFERROR(__xludf.DUMMYFUNCTION("""COMPUTED_VALUE"""),"Flávio Fonseca da Silva - #FPMF- Formação Pedagógica em Música 1200Horas")</f>
        <v>Flávio Fonseca da Silva - #FPMF- Formação Pedagógica em Música 1200Horas</v>
      </c>
    </row>
    <row r="4381">
      <c r="A4381" s="390" t="str">
        <f>IFERROR(__xludf.DUMMYFUNCTION("""COMPUTED_VALUE"""),"Flávio Fonseca da Silva - Pós-Graduação em Educação Musical-2022")</f>
        <v>Flávio Fonseca da Silva - Pós-Graduação em Educação Musical-2022</v>
      </c>
    </row>
    <row r="4382">
      <c r="A4382" s="390" t="str">
        <f>IFERROR(__xludf.DUMMYFUNCTION("""COMPUTED_VALUE"""),"VIVIAN PATRÍCIA VIEIRA TORRES - Formação Livre Psicanálise")</f>
        <v>VIVIAN PATRÍCIA VIEIRA TORRES - Formação Livre Psicanálise</v>
      </c>
    </row>
    <row r="4383">
      <c r="A4383" s="390" t="str">
        <f>IFERROR(__xludf.DUMMYFUNCTION("""COMPUTED_VALUE"""),"Gisele Barbosa de Sousa - Formação Livre Psicanálise")</f>
        <v>Gisele Barbosa de Sousa - Formação Livre Psicanálise</v>
      </c>
    </row>
    <row r="4384">
      <c r="A4384" s="390" t="str">
        <f>IFERROR(__xludf.DUMMYFUNCTION("""COMPUTED_VALUE"""),"Gisele Barbosa de Sousa - Formação Livre em Psicanálise-2022")</f>
        <v>Gisele Barbosa de Sousa - Formação Livre em Psicanálise-2022</v>
      </c>
    </row>
    <row r="4385">
      <c r="A4385" s="390" t="str">
        <f>IFERROR(__xludf.DUMMYFUNCTION("""COMPUTED_VALUE"""),"Leonardo Moreira da Silva - #SLUEF - Segunda Licenciatura em Educação Física")</f>
        <v>Leonardo Moreira da Silva - #SLUEF - Segunda Licenciatura em Educação Física</v>
      </c>
    </row>
    <row r="4386">
      <c r="A4386" s="390" t="str">
        <f>IFERROR(__xludf.DUMMYFUNCTION("""COMPUTED_VALUE"""),"Leonardo Moreira da Silva - Pós-Graduação em Educação Física Escolar e Treinamento Desportivo")</f>
        <v>Leonardo Moreira da Silva - Pós-Graduação em Educação Física Escolar e Treinamento Desportivo</v>
      </c>
    </row>
    <row r="4387">
      <c r="A4387" s="390" t="str">
        <f>IFERROR(__xludf.DUMMYFUNCTION("""COMPUTED_VALUE"""),"Salomão David Vergne Cardoso - Pós-Graduação em Psicanálise")</f>
        <v>Salomão David Vergne Cardoso - Pós-Graduação em Psicanálise</v>
      </c>
    </row>
    <row r="4388">
      <c r="A4388" s="390" t="str">
        <f>IFERROR(__xludf.DUMMYFUNCTION("""COMPUTED_VALUE"""),"Salomão David Vergne Cardoso - #SLUP - SEGUNDA LICENCIATURA EM PEDAGOGIA")</f>
        <v>Salomão David Vergne Cardoso - #SLUP - SEGUNDA LICENCIATURA EM PEDAGOGIA</v>
      </c>
    </row>
    <row r="4389">
      <c r="A4389" s="390" t="str">
        <f>IFERROR(__xludf.DUMMYFUNCTION("""COMPUTED_VALUE"""),"Siney Tavares Ribeiro - #SLUEE - SEGUNDA LICENCIATURA EM EDUCAÇÃO ESPECIAL")</f>
        <v>Siney Tavares Ribeiro - #SLUEE - SEGUNDA LICENCIATURA EM EDUCAÇÃO ESPECIAL</v>
      </c>
    </row>
    <row r="4390">
      <c r="A4390" s="390" t="str">
        <f>IFERROR(__xludf.DUMMYFUNCTION("""COMPUTED_VALUE"""),"Alcione Maria Terra - #SLUEE - SEGUNDA LICENCIATURA EM EDUCAÇÃO ESPECIAL")</f>
        <v>Alcione Maria Terra - #SLUEE - SEGUNDA LICENCIATURA EM EDUCAÇÃO ESPECIAL</v>
      </c>
    </row>
    <row r="4391">
      <c r="A4391" s="390" t="str">
        <f>IFERROR(__xludf.DUMMYFUNCTION("""COMPUTED_VALUE"""),"Alcione Maria Terra - Pós-Graduação em Atendimento Educacional Especializado Com Ênfase Em Educação Especial e Inclusiva")</f>
        <v>Alcione Maria Terra - Pós-Graduação em Atendimento Educacional Especializado Com Ênfase Em Educação Especial e Inclusiva</v>
      </c>
    </row>
    <row r="4392">
      <c r="A4392" s="390" t="str">
        <f>IFERROR(__xludf.DUMMYFUNCTION("""COMPUTED_VALUE"""),"Ana Paula Menini Perusini - #SLUEE - SEGUNDA LICENCIATURA EM EDUCAÇÃO ESPECIAL")</f>
        <v>Ana Paula Menini Perusini - #SLUEE - SEGUNDA LICENCIATURA EM EDUCAÇÃO ESPECIAL</v>
      </c>
    </row>
    <row r="4393">
      <c r="A4393" s="390" t="str">
        <f>IFERROR(__xludf.DUMMYFUNCTION("""COMPUTED_VALUE"""),"Verônica Costa Vila Nova - Pós-Graduação em Coordenação e Orientação Escolar")</f>
        <v>Verônica Costa Vila Nova - Pós-Graduação em Coordenação e Orientação Escolar</v>
      </c>
    </row>
    <row r="4394">
      <c r="A4394" s="390" t="str">
        <f>IFERROR(__xludf.DUMMYFUNCTION("""COMPUTED_VALUE"""),"Franciany Januario da Silva - Formação Livre Psicanálise")</f>
        <v>Franciany Januario da Silva - Formação Livre Psicanálise</v>
      </c>
    </row>
    <row r="4395">
      <c r="A4395" s="390" t="str">
        <f>IFERROR(__xludf.DUMMYFUNCTION("""COMPUTED_VALUE"""),"Taissa Gabriela Alves Gonzaga - FORMAÇÃO PEDAGÓGICA EM LETRAS – LÍNGUA PORTUGUESA E LIBRAS- U")</f>
        <v>Taissa Gabriela Alves Gonzaga - FORMAÇÃO PEDAGÓGICA EM LETRAS – LÍNGUA PORTUGUESA E LIBRAS- U</v>
      </c>
    </row>
    <row r="4396">
      <c r="A4396" s="390" t="str">
        <f>IFERROR(__xludf.DUMMYFUNCTION("""COMPUTED_VALUE"""),"Jocival Oliveira Melo - #SLHA - Segunda Licenciatura em História")</f>
        <v>Jocival Oliveira Melo - #SLHA - Segunda Licenciatura em História</v>
      </c>
    </row>
    <row r="4397">
      <c r="A4397" s="390" t="str">
        <f>IFERROR(__xludf.DUMMYFUNCTION("""COMPUTED_VALUE"""),"Fábio Luís Soares Gomes - Formação Livre Psicanálise")</f>
        <v>Fábio Luís Soares Gomes - Formação Livre Psicanálise</v>
      </c>
    </row>
    <row r="4398">
      <c r="A4398" s="390" t="str">
        <f>IFERROR(__xludf.DUMMYFUNCTION("""COMPUTED_VALUE"""),"Rita De Cassia Ávila Da Matta - NOVO-Pós-Graduação em Psicanálise 800 Horas")</f>
        <v>Rita De Cassia Ávila Da Matta - NOVO-Pós-Graduação em Psicanálise 800 Horas</v>
      </c>
    </row>
    <row r="4399">
      <c r="A4399" s="390" t="str">
        <f>IFERROR(__xludf.DUMMYFUNCTION("""COMPUTED_VALUE"""),"Rita De Cassia Ávila Da Matta - Pós-Graduação em Psicanálise 2/2023")</f>
        <v>Rita De Cassia Ávila Da Matta - Pós-Graduação em Psicanálise 2/2023</v>
      </c>
    </row>
    <row r="4400">
      <c r="A4400" s="390" t="str">
        <f>IFERROR(__xludf.DUMMYFUNCTION("""COMPUTED_VALUE"""),"Madequier Jesus Naressi - Pós-Graduação em História e Fundamentos da Filosofia")</f>
        <v>Madequier Jesus Naressi - Pós-Graduação em História e Fundamentos da Filosofia</v>
      </c>
    </row>
    <row r="4401">
      <c r="A4401" s="390" t="str">
        <f>IFERROR(__xludf.DUMMYFUNCTION("""COMPUTED_VALUE"""),"Madequier Jesus Naressi - #SLPA- Segunda Licenciatura em Pedagogia 01")</f>
        <v>Madequier Jesus Naressi - #SLPA- Segunda Licenciatura em Pedagogia 01</v>
      </c>
    </row>
    <row r="4402">
      <c r="A4402" s="390" t="str">
        <f>IFERROR(__xludf.DUMMYFUNCTION("""COMPUTED_VALUE"""),"Diana Vitória Venske Marchioro - Formação Livre em Sexologia")</f>
        <v>Diana Vitória Venske Marchioro - Formação Livre em Sexologia</v>
      </c>
    </row>
    <row r="4403">
      <c r="A4403" s="390" t="str">
        <f>IFERROR(__xludf.DUMMYFUNCTION("""COMPUTED_VALUE"""),"Evani Aparecida Melchior Machado - Pós-Graduação em Psicanálise")</f>
        <v>Evani Aparecida Melchior Machado - Pós-Graduação em Psicanálise</v>
      </c>
    </row>
    <row r="4404">
      <c r="A4404" s="390" t="str">
        <f>IFERROR(__xludf.DUMMYFUNCTION("""COMPUTED_VALUE"""),"Evani Aparecida Melchior Machado - Formação Livre Psicanálise")</f>
        <v>Evani Aparecida Melchior Machado - Formação Livre Psicanálise</v>
      </c>
    </row>
    <row r="4405">
      <c r="A4405" s="390" t="str">
        <f>IFERROR(__xludf.DUMMYFUNCTION("""COMPUTED_VALUE"""),"Jocival Oliveira Melo - #SLUH- Segunda Licenciatura em História")</f>
        <v>Jocival Oliveira Melo - #SLUH- Segunda Licenciatura em História</v>
      </c>
    </row>
    <row r="4406">
      <c r="A4406" s="390" t="str">
        <f>IFERROR(__xludf.DUMMYFUNCTION("""COMPUTED_VALUE"""),"Alzira Caetana Nogueira - Pós-Graduação em Terapia Familíar")</f>
        <v>Alzira Caetana Nogueira - Pós-Graduação em Terapia Familíar</v>
      </c>
    </row>
    <row r="4407">
      <c r="A4407" s="390" t="str">
        <f>IFERROR(__xludf.DUMMYFUNCTION("""COMPUTED_VALUE"""),"Madalena Santana de Jesus - Pós-Graduação em Psicomotricidade na Educação Infantil")</f>
        <v>Madalena Santana de Jesus - Pós-Graduação em Psicomotricidade na Educação Infantil</v>
      </c>
    </row>
    <row r="4408">
      <c r="A4408" s="390" t="str">
        <f>IFERROR(__xludf.DUMMYFUNCTION("""COMPUTED_VALUE"""),"Madalena Santana de Jesus - #SLPA- Segunda Licenciatura em Pedagogia 01")</f>
        <v>Madalena Santana de Jesus - #SLPA- Segunda Licenciatura em Pedagogia 01</v>
      </c>
    </row>
    <row r="4409">
      <c r="A4409" s="390" t="str">
        <f>IFERROR(__xludf.DUMMYFUNCTION("""COMPUTED_VALUE"""),"Eduardo Ferreira Moura Ribeiro - Pós-Graduação em Psicanálise")</f>
        <v>Eduardo Ferreira Moura Ribeiro - Pós-Graduação em Psicanálise</v>
      </c>
    </row>
    <row r="4410">
      <c r="A4410" s="390" t="str">
        <f>IFERROR(__xludf.DUMMYFUNCTION("""COMPUTED_VALUE"""),"Izabel Cristina Rosa da Silva - Pós-Graduação em Psicanálise")</f>
        <v>Izabel Cristina Rosa da Silva - Pós-Graduação em Psicanálise</v>
      </c>
    </row>
    <row r="4411">
      <c r="A4411" s="390" t="str">
        <f>IFERROR(__xludf.DUMMYFUNCTION("""COMPUTED_VALUE"""),"Izabel Cristina Rosa da Silva - Pós-Graduação em MBA em Gestão de Pessoas e Talentos")</f>
        <v>Izabel Cristina Rosa da Silva - Pós-Graduação em MBA em Gestão de Pessoas e Talentos</v>
      </c>
    </row>
    <row r="4412">
      <c r="A4412" s="390" t="str">
        <f>IFERROR(__xludf.DUMMYFUNCTION("""COMPUTED_VALUE"""),"Maria De Lourdes Gouveia Muniz - Pós-Graduação em Psicanálise")</f>
        <v>Maria De Lourdes Gouveia Muniz - Pós-Graduação em Psicanálise</v>
      </c>
    </row>
    <row r="4413">
      <c r="A4413" s="390" t="str">
        <f>IFERROR(__xludf.DUMMYFUNCTION("""COMPUTED_VALUE"""),"Flávio Eduardo Rocco - Formação Livre Psicanálise")</f>
        <v>Flávio Eduardo Rocco - Formação Livre Psicanálise</v>
      </c>
    </row>
    <row r="4414">
      <c r="A4414" s="390" t="str">
        <f>IFERROR(__xludf.DUMMYFUNCTION("""COMPUTED_VALUE"""),"Alexandre Oliveira de Sousa - Pós-Graduação em Engenharia de Segurança do Trabalho")</f>
        <v>Alexandre Oliveira de Sousa - Pós-Graduação em Engenharia de Segurança do Trabalho</v>
      </c>
    </row>
    <row r="4415">
      <c r="A4415" s="390" t="str">
        <f>IFERROR(__xludf.DUMMYFUNCTION("""COMPUTED_VALUE"""),"Alexandre Oliveira de Sousa - Pós-Graduação em Enfermagem do Trabalho")</f>
        <v>Alexandre Oliveira de Sousa - Pós-Graduação em Enfermagem do Trabalho</v>
      </c>
    </row>
    <row r="4416">
      <c r="A4416" s="390" t="str">
        <f>IFERROR(__xludf.DUMMYFUNCTION("""COMPUTED_VALUE"""),"Cristiane Geralda Luzia Goncalves Lima Soares - Formação Livre Psicanálise")</f>
        <v>Cristiane Geralda Luzia Goncalves Lima Soares - Formação Livre Psicanálise</v>
      </c>
    </row>
    <row r="4417">
      <c r="A4417" s="390" t="str">
        <f>IFERROR(__xludf.DUMMYFUNCTION("""COMPUTED_VALUE"""),"Suelen Ferreira Barbosa - #SLMF - Segunda Licenciatura em Música 1320Horas")</f>
        <v>Suelen Ferreira Barbosa - #SLMF - Segunda Licenciatura em Música 1320Horas</v>
      </c>
    </row>
    <row r="4418">
      <c r="A4418" s="390" t="str">
        <f>IFERROR(__xludf.DUMMYFUNCTION("""COMPUTED_VALUE"""),"Suelen Ferreira Barbosa - #SLMF- Segunda Licenciatura em Música 2022 880Horas")</f>
        <v>Suelen Ferreira Barbosa - #SLMF- Segunda Licenciatura em Música 2022 880Horas</v>
      </c>
    </row>
    <row r="4419">
      <c r="A4419" s="390" t="str">
        <f>IFERROR(__xludf.DUMMYFUNCTION("""COMPUTED_VALUE"""),"Thatiane Sulemara Ipiranga de Souza - #SLUP - SEGUNDA LICENCIATURA EM PEDAGOGIA")</f>
        <v>Thatiane Sulemara Ipiranga de Souza - #SLUP - SEGUNDA LICENCIATURA EM PEDAGOGIA</v>
      </c>
    </row>
    <row r="4420">
      <c r="A4420" s="390" t="str">
        <f>IFERROR(__xludf.DUMMYFUNCTION("""COMPUTED_VALUE"""),"Jassonia Costa de Oliveira - #SLH+- SEGUNDA LICENCIATURA EM HISTÓRIA")</f>
        <v>Jassonia Costa de Oliveira - #SLH+- SEGUNDA LICENCIATURA EM HISTÓRIA</v>
      </c>
    </row>
    <row r="4421">
      <c r="A4421" s="390" t="str">
        <f>IFERROR(__xludf.DUMMYFUNCTION("""COMPUTED_VALUE"""),"Monique Ribeiro dos Santos - Pós-Graduação em Gestão Escolar")</f>
        <v>Monique Ribeiro dos Santos - Pós-Graduação em Gestão Escolar</v>
      </c>
    </row>
    <row r="4422">
      <c r="A4422" s="390" t="str">
        <f>IFERROR(__xludf.DUMMYFUNCTION("""COMPUTED_VALUE"""),"Monique Ribeiro dos Santos - #SLUPI - SEGUNDA LICENCIATURA EM LETRAS – PORTUGUÊS E INGLÊS")</f>
        <v>Monique Ribeiro dos Santos - #SLUPI - SEGUNDA LICENCIATURA EM LETRAS – PORTUGUÊS E INGLÊS</v>
      </c>
    </row>
    <row r="4423">
      <c r="A4423" s="390" t="str">
        <f>IFERROR(__xludf.DUMMYFUNCTION("""COMPUTED_VALUE"""),"Marina Camargo Kabariti - Pós-Graduação em Direito do Trabalho e Processual Trabalhista 600Horas")</f>
        <v>Marina Camargo Kabariti - Pós-Graduação em Direito do Trabalho e Processual Trabalhista 600Horas</v>
      </c>
    </row>
    <row r="4424">
      <c r="A4424" s="390" t="str">
        <f>IFERROR(__xludf.DUMMYFUNCTION("""COMPUTED_VALUE"""),"Marina Camargo Kabariti - Pós-Graduação Direito Digital 600Horas")</f>
        <v>Marina Camargo Kabariti - Pós-Graduação Direito Digital 600Horas</v>
      </c>
    </row>
    <row r="4425">
      <c r="A4425" s="390" t="str">
        <f>IFERROR(__xludf.DUMMYFUNCTION("""COMPUTED_VALUE"""),"Nilson Negrão Filho - #SLEEF- Segunda Licenciatura Educação Física")</f>
        <v>Nilson Negrão Filho - #SLEEF- Segunda Licenciatura Educação Física</v>
      </c>
    </row>
    <row r="4426">
      <c r="A4426" s="390" t="str">
        <f>IFERROR(__xludf.DUMMYFUNCTION("""COMPUTED_VALUE"""),"Michelle Ferreira de Barros Souza Lemos - #FPUP-FORMAÇÃO PEDAGÓGICA EM PEDAGOGIA- U")</f>
        <v>Michelle Ferreira de Barros Souza Lemos - #FPUP-FORMAÇÃO PEDAGÓGICA EM PEDAGOGIA- U</v>
      </c>
    </row>
    <row r="4427">
      <c r="A4427" s="390" t="str">
        <f>IFERROR(__xludf.DUMMYFUNCTION("""COMPUTED_VALUE"""),"Tamires Costa Ribeiro - #SLUPI - SEGUNDA LICENCIATURA EM LETRAS – PORTUGUÊS E INGLÊS")</f>
        <v>Tamires Costa Ribeiro - #SLUPI - SEGUNDA LICENCIATURA EM LETRAS – PORTUGUÊS E INGLÊS</v>
      </c>
    </row>
    <row r="4428">
      <c r="A4428" s="390" t="str">
        <f>IFERROR(__xludf.DUMMYFUNCTION("""COMPUTED_VALUE"""),"Claudia Teresa Romualdo da Silva - #SLIA - Segunda Licenciatura Letras - Inglês")</f>
        <v>Claudia Teresa Romualdo da Silva - #SLIA - Segunda Licenciatura Letras - Inglês</v>
      </c>
    </row>
    <row r="4429">
      <c r="A4429" s="390" t="str">
        <f>IFERROR(__xludf.DUMMYFUNCTION("""COMPUTED_VALUE"""),"Claudia Teresa Romualdo da Silva - #SLCSA - Segunda Licenciatura em Ciências Sociais")</f>
        <v>Claudia Teresa Romualdo da Silva - #SLCSA - Segunda Licenciatura em Ciências Sociais</v>
      </c>
    </row>
    <row r="4430">
      <c r="A4430" s="390" t="str">
        <f>IFERROR(__xludf.DUMMYFUNCTION("""COMPUTED_VALUE"""),"Claudia Teresa Romualdo da Silva - Pós-Graduação Educação Especial e Inclusiva")</f>
        <v>Claudia Teresa Romualdo da Silva - Pós-Graduação Educação Especial e Inclusiva</v>
      </c>
    </row>
    <row r="4431">
      <c r="A4431" s="390" t="str">
        <f>IFERROR(__xludf.DUMMYFUNCTION("""COMPUTED_VALUE"""),"Angela Maria da Silva Barros - Formação Livre Psicanálise")</f>
        <v>Angela Maria da Silva Barros - Formação Livre Psicanálise</v>
      </c>
    </row>
    <row r="4432">
      <c r="A4432" s="390" t="str">
        <f>IFERROR(__xludf.DUMMYFUNCTION("""COMPUTED_VALUE"""),"Angela Maria da Silva Barros - Formação Livre em Sexologia")</f>
        <v>Angela Maria da Silva Barros - Formação Livre em Sexologia</v>
      </c>
    </row>
    <row r="4433">
      <c r="A4433" s="390" t="str">
        <f>IFERROR(__xludf.DUMMYFUNCTION("""COMPUTED_VALUE"""),"Liliane Aparecida da Silva Domingues - Pedagogia para Bacharéis")</f>
        <v>Liliane Aparecida da Silva Domingues - Pedagogia para Bacharéis</v>
      </c>
    </row>
    <row r="4434">
      <c r="A4434" s="390" t="str">
        <f>IFERROR(__xludf.DUMMYFUNCTION("""COMPUTED_VALUE"""),"Máira Aparecida da Cunha Resende - Pós-Graduação em Direito Civil e Processual Civil")</f>
        <v>Máira Aparecida da Cunha Resende - Pós-Graduação em Direito Civil e Processual Civil</v>
      </c>
    </row>
    <row r="4435">
      <c r="A4435" s="390" t="str">
        <f>IFERROR(__xludf.DUMMYFUNCTION("""COMPUTED_VALUE"""),"Cibele Regina Passio de Almeida - #SLMF - Segunda Licenciatura em Música 1320Horas")</f>
        <v>Cibele Regina Passio de Almeida - #SLMF - Segunda Licenciatura em Música 1320Horas</v>
      </c>
    </row>
    <row r="4436">
      <c r="A4436" s="390" t="str">
        <f>IFERROR(__xludf.DUMMYFUNCTION("""COMPUTED_VALUE"""),"Cibele Regina Passio de Almeida - #SLMF- Segunda Licenciatura em Música 2022 880Horas")</f>
        <v>Cibele Regina Passio de Almeida - #SLMF- Segunda Licenciatura em Música 2022 880Horas</v>
      </c>
    </row>
    <row r="4437">
      <c r="A4437" s="390" t="str">
        <f>IFERROR(__xludf.DUMMYFUNCTION("""COMPUTED_VALUE"""),"Francisco Evandro Pinheiro Mota - #SLMF - Segunda Licenciatura em Música 1320Horas")</f>
        <v>Francisco Evandro Pinheiro Mota - #SLMF - Segunda Licenciatura em Música 1320Horas</v>
      </c>
    </row>
    <row r="4438">
      <c r="A4438" s="390" t="str">
        <f>IFERROR(__xludf.DUMMYFUNCTION("""COMPUTED_VALUE"""),"Francisco Evandro Pinheiro Mota - #SLMF- Segunda Licenciatura em Música 2022 880Horas")</f>
        <v>Francisco Evandro Pinheiro Mota - #SLMF- Segunda Licenciatura em Música 2022 880Horas</v>
      </c>
    </row>
    <row r="4439">
      <c r="A4439" s="390" t="str">
        <f>IFERROR(__xludf.DUMMYFUNCTION("""COMPUTED_VALUE"""),"Paula Roberta rodrigues - Formação Livre em Sexologia")</f>
        <v>Paula Roberta rodrigues - Formação Livre em Sexologia</v>
      </c>
    </row>
    <row r="4440">
      <c r="A4440" s="390" t="str">
        <f>IFERROR(__xludf.DUMMYFUNCTION("""COMPUTED_VALUE"""),"Aline Santos De Moura Pastura - Pós-Graduação em Psicanálise")</f>
        <v>Aline Santos De Moura Pastura - Pós-Graduação em Psicanálise</v>
      </c>
    </row>
    <row r="4441">
      <c r="A4441" s="390" t="str">
        <f>IFERROR(__xludf.DUMMYFUNCTION("""COMPUTED_VALUE"""),"Natalino Henriqueta dos Santos - Pós-Graduação em Gestão Educacional")</f>
        <v>Natalino Henriqueta dos Santos - Pós-Graduação em Gestão Educacional</v>
      </c>
    </row>
    <row r="4442">
      <c r="A4442" s="390" t="str">
        <f>IFERROR(__xludf.DUMMYFUNCTION("""COMPUTED_VALUE"""),"Natalino Henriqueta dos Santos - Pós-Graduação em Coordenação Educacional")</f>
        <v>Natalino Henriqueta dos Santos - Pós-Graduação em Coordenação Educacional</v>
      </c>
    </row>
    <row r="4443">
      <c r="A4443" s="390" t="str">
        <f>IFERROR(__xludf.DUMMYFUNCTION("""COMPUTED_VALUE"""),"Natalino Henriqueta dos Santos - #FPT1-Pedagogia para Bacharéis e Tecnólogos (2022)")</f>
        <v>Natalino Henriqueta dos Santos - #FPT1-Pedagogia para Bacharéis e Tecnólogos (2022)</v>
      </c>
    </row>
    <row r="4444">
      <c r="A4444" s="390" t="str">
        <f>IFERROR(__xludf.DUMMYFUNCTION("""COMPUTED_VALUE"""),"Luciana Aparecida Raymundo dos Santos - Pós-Graduação em Neuropsicopedagogia Institucional, Clínica e Hospitalar 850h")</f>
        <v>Luciana Aparecida Raymundo dos Santos - Pós-Graduação em Neuropsicopedagogia Institucional, Clínica e Hospitalar 850h</v>
      </c>
    </row>
    <row r="4445">
      <c r="A4445" s="390" t="str">
        <f>IFERROR(__xludf.DUMMYFUNCTION("""COMPUTED_VALUE"""),"Fabiana Regina do Amaral Souza - #SLUP - SEGUNDA LICENCIATURA EM PEDAGOGIA")</f>
        <v>Fabiana Regina do Amaral Souza - #SLUP - SEGUNDA LICENCIATURA EM PEDAGOGIA</v>
      </c>
    </row>
    <row r="4446">
      <c r="A4446" s="390" t="str">
        <f>IFERROR(__xludf.DUMMYFUNCTION("""COMPUTED_VALUE"""),"Fabiana Regina do Amaral Souza - #SLUA- Segunda Licenciatura em Artes Visuais")</f>
        <v>Fabiana Regina do Amaral Souza - #SLUA- Segunda Licenciatura em Artes Visuais</v>
      </c>
    </row>
    <row r="4447">
      <c r="A4447" s="390" t="str">
        <f>IFERROR(__xludf.DUMMYFUNCTION("""COMPUTED_VALUE"""),"Edlenne Cristina Pereira Rodrigues dos Santos - #SLUP - SEGUNDA LICENCIATURA EM PEDAGOGIA")</f>
        <v>Edlenne Cristina Pereira Rodrigues dos Santos - #SLUP - SEGUNDA LICENCIATURA EM PEDAGOGIA</v>
      </c>
    </row>
    <row r="4448">
      <c r="A4448" s="390" t="str">
        <f>IFERROR(__xludf.DUMMYFUNCTION("""COMPUTED_VALUE"""),"Sandra Iara Kichler de Fraga - Capacitação em Educação Especial e Inclusiva 240 Horas")</f>
        <v>Sandra Iara Kichler de Fraga - Capacitação em Educação Especial e Inclusiva 240 Horas</v>
      </c>
    </row>
    <row r="4449">
      <c r="A4449" s="390" t="str">
        <f>IFERROR(__xludf.DUMMYFUNCTION("""COMPUTED_VALUE"""),"Sandra Iara Kichler de Fraga - Capacitação em Gestão Educacional 180 Horas")</f>
        <v>Sandra Iara Kichler de Fraga - Capacitação em Gestão Educacional 180 Horas</v>
      </c>
    </row>
    <row r="4450">
      <c r="A4450" s="390" t="str">
        <f>IFERROR(__xludf.DUMMYFUNCTION("""COMPUTED_VALUE"""),"Benedito Antônio dos Santos - #SLMF - Segunda Licenciatura em Música 1320Horas")</f>
        <v>Benedito Antônio dos Santos - #SLMF - Segunda Licenciatura em Música 1320Horas</v>
      </c>
    </row>
    <row r="4451">
      <c r="A4451" s="390" t="str">
        <f>IFERROR(__xludf.DUMMYFUNCTION("""COMPUTED_VALUE"""),"Beatriz Silvério Mariano - #SLUEE - SEGUNDA LICENCIATURA EM EDUCAÇÃO ESPECIAL")</f>
        <v>Beatriz Silvério Mariano - #SLUEE - SEGUNDA LICENCIATURA EM EDUCAÇÃO ESPECIAL</v>
      </c>
    </row>
    <row r="4452">
      <c r="A4452" s="390" t="str">
        <f>IFERROR(__xludf.DUMMYFUNCTION("""COMPUTED_VALUE"""),"Beatriz Silvério Mariano - Pós-Graduação em Biblioteconomia")</f>
        <v>Beatriz Silvério Mariano - Pós-Graduação em Biblioteconomia</v>
      </c>
    </row>
    <row r="4453">
      <c r="A4453" s="390" t="str">
        <f>IFERROR(__xludf.DUMMYFUNCTION("""COMPUTED_VALUE"""),"Aislan Marreiro de Melo Cavalcante - #SLUEF - Segunda Licenciatura em Educação Física")</f>
        <v>Aislan Marreiro de Melo Cavalcante - #SLUEF - Segunda Licenciatura em Educação Física</v>
      </c>
    </row>
    <row r="4454">
      <c r="A4454" s="390" t="str">
        <f>IFERROR(__xludf.DUMMYFUNCTION("""COMPUTED_VALUE"""),"Aislan Marreiro de Melo Cavalcante - Pós-Graduação em Educação Física Escolar")</f>
        <v>Aislan Marreiro de Melo Cavalcante - Pós-Graduação em Educação Física Escolar</v>
      </c>
    </row>
    <row r="4455">
      <c r="A4455" s="390" t="str">
        <f>IFERROR(__xludf.DUMMYFUNCTION("""COMPUTED_VALUE"""),"Marineide dos Santos Policarpo de Souza - Formação Livre Psicanálise")</f>
        <v>Marineide dos Santos Policarpo de Souza - Formação Livre Psicanálise</v>
      </c>
    </row>
    <row r="4456">
      <c r="A4456" s="390" t="str">
        <f>IFERROR(__xludf.DUMMYFUNCTION("""COMPUTED_VALUE"""),"Edson da Cruz Silva - Pós-Graduação em Psicanálise")</f>
        <v>Edson da Cruz Silva - Pós-Graduação em Psicanálise</v>
      </c>
    </row>
    <row r="4457">
      <c r="A4457" s="390" t="str">
        <f>IFERROR(__xludf.DUMMYFUNCTION("""COMPUTED_VALUE"""),"Edna da Silva Maciel - Pós-Graduação em Ensino de História")</f>
        <v>Edna da Silva Maciel - Pós-Graduação em Ensino de História</v>
      </c>
    </row>
    <row r="4458">
      <c r="A4458" s="390" t="str">
        <f>IFERROR(__xludf.DUMMYFUNCTION("""COMPUTED_VALUE"""),"Edna da Silva Maciel - Pós-Graduação em História e Fundamentos da Filosofia")</f>
        <v>Edna da Silva Maciel - Pós-Graduação em História e Fundamentos da Filosofia</v>
      </c>
    </row>
    <row r="4459">
      <c r="A4459" s="390" t="str">
        <f>IFERROR(__xludf.DUMMYFUNCTION("""COMPUTED_VALUE"""),"Priscila Gomes Silva - Pós-Graduação Psicopedagogia Clínica, Institucional e Hospitalar")</f>
        <v>Priscila Gomes Silva - Pós-Graduação Psicopedagogia Clínica, Institucional e Hospitalar</v>
      </c>
    </row>
    <row r="4460">
      <c r="A4460" s="390" t="str">
        <f>IFERROR(__xludf.DUMMYFUNCTION("""COMPUTED_VALUE"""),"Priscila Gomes Silva - #SLPA- Segunda Licenciatura em Pedagogia 01")</f>
        <v>Priscila Gomes Silva - #SLPA- Segunda Licenciatura em Pedagogia 01</v>
      </c>
    </row>
    <row r="4461">
      <c r="A4461" s="390" t="str">
        <f>IFERROR(__xludf.DUMMYFUNCTION("""COMPUTED_VALUE"""),"EDCARLOS BATISTA DOS SANTOS - #SLUP - SEGUNDA LICENCIATURA EM PEDAGOGIA")</f>
        <v>EDCARLOS BATISTA DOS SANTOS - #SLUP - SEGUNDA LICENCIATURA EM PEDAGOGIA</v>
      </c>
    </row>
    <row r="4462">
      <c r="A4462" s="390" t="str">
        <f>IFERROR(__xludf.DUMMYFUNCTION("""COMPUTED_VALUE"""),"EDCARLOS BATISTA DOS SANTOS - #SLUG - SEGUNDA LICENCIATURA EM GEOGRAFIA")</f>
        <v>EDCARLOS BATISTA DOS SANTOS - #SLUG - SEGUNDA LICENCIATURA EM GEOGRAFIA</v>
      </c>
    </row>
    <row r="4463">
      <c r="A4463" s="390" t="str">
        <f>IFERROR(__xludf.DUMMYFUNCTION("""COMPUTED_VALUE"""),"EDCARLOS BATISTA DOS SANTOS - #SLAA - Segunda Licenciatura em Artes Visuais")</f>
        <v>EDCARLOS BATISTA DOS SANTOS - #SLAA - Segunda Licenciatura em Artes Visuais</v>
      </c>
    </row>
    <row r="4464">
      <c r="A4464" s="390" t="str">
        <f>IFERROR(__xludf.DUMMYFUNCTION("""COMPUTED_VALUE"""),"Márcio Luís Bueno - #SLMF - Segunda Licenciatura em Música 1320Horas")</f>
        <v>Márcio Luís Bueno - #SLMF - Segunda Licenciatura em Música 1320Horas</v>
      </c>
    </row>
    <row r="4465">
      <c r="A4465" s="390" t="str">
        <f>IFERROR(__xludf.DUMMYFUNCTION("""COMPUTED_VALUE"""),"Christi Robert de Jesus Vieira - #SLUP - SEGUNDA LICENCIATURA EM PEDAGOGIA")</f>
        <v>Christi Robert de Jesus Vieira - #SLUP - SEGUNDA LICENCIATURA EM PEDAGOGIA</v>
      </c>
    </row>
    <row r="4466">
      <c r="A4466" s="390" t="str">
        <f>IFERROR(__xludf.DUMMYFUNCTION("""COMPUTED_VALUE"""),"Christi Robert de Jesus Vieira - #SLPT- Segunda Licenciatura em Pedagogia")</f>
        <v>Christi Robert de Jesus Vieira - #SLPT- Segunda Licenciatura em Pedagogia</v>
      </c>
    </row>
    <row r="4467">
      <c r="A4467" s="390" t="str">
        <f>IFERROR(__xludf.DUMMYFUNCTION("""COMPUTED_VALUE"""),"Flauber de Andrade Ferreira Grecco - Formação Livre Psicanálise")</f>
        <v>Flauber de Andrade Ferreira Grecco - Formação Livre Psicanálise</v>
      </c>
    </row>
    <row r="4468">
      <c r="A4468" s="390" t="str">
        <f>IFERROR(__xludf.DUMMYFUNCTION("""COMPUTED_VALUE"""),"Jonellis Neves Barcelos - Formação Livre Psicanálise")</f>
        <v>Jonellis Neves Barcelos - Formação Livre Psicanálise</v>
      </c>
    </row>
    <row r="4469">
      <c r="A4469" s="390" t="str">
        <f>IFERROR(__xludf.DUMMYFUNCTION("""COMPUTED_VALUE"""),"Jeciara de Brito Santos - Pós-Graduação em Psicanálise")</f>
        <v>Jeciara de Brito Santos - Pós-Graduação em Psicanálise</v>
      </c>
    </row>
    <row r="4470">
      <c r="A4470" s="390" t="str">
        <f>IFERROR(__xludf.DUMMYFUNCTION("""COMPUTED_VALUE"""),"EMANUELLI SENRA DE OLIVEIRA BAHIA - Pós-Graduação em Psicanálise")</f>
        <v>EMANUELLI SENRA DE OLIVEIRA BAHIA - Pós-Graduação em Psicanálise</v>
      </c>
    </row>
    <row r="4471">
      <c r="A4471" s="390" t="str">
        <f>IFERROR(__xludf.DUMMYFUNCTION("""COMPUTED_VALUE"""),"Lisandra Fagundes de Souza - #FPUH- Formação Pedagógica em História")</f>
        <v>Lisandra Fagundes de Souza - #FPUH- Formação Pedagógica em História</v>
      </c>
    </row>
    <row r="4472">
      <c r="A4472" s="390" t="str">
        <f>IFERROR(__xludf.DUMMYFUNCTION("""COMPUTED_VALUE"""),"Lisandra Fagundes de Souza - #FPH+- Formação Pedagógica em História 2022")</f>
        <v>Lisandra Fagundes de Souza - #FPH+- Formação Pedagógica em História 2022</v>
      </c>
    </row>
    <row r="4473">
      <c r="A4473" s="390" t="str">
        <f>IFERROR(__xludf.DUMMYFUNCTION("""COMPUTED_VALUE"""),"SULLIVAN CANDIDO LAURINDO - #FPUP-FORMAÇÃO PEDAGÓGICA EM PEDAGOGIA- U")</f>
        <v>SULLIVAN CANDIDO LAURINDO - #FPUP-FORMAÇÃO PEDAGÓGICA EM PEDAGOGIA- U</v>
      </c>
    </row>
    <row r="4474">
      <c r="A4474" s="390" t="str">
        <f>IFERROR(__xludf.DUMMYFUNCTION("""COMPUTED_VALUE"""),"MARINETE DOS SANTOS PEREIRA - #SLUP - SEGUNDA LICENCIATURA EM PEDAGOGIA")</f>
        <v>MARINETE DOS SANTOS PEREIRA - #SLUP - SEGUNDA LICENCIATURA EM PEDAGOGIA</v>
      </c>
    </row>
    <row r="4475">
      <c r="A4475" s="390" t="str">
        <f>IFERROR(__xludf.DUMMYFUNCTION("""COMPUTED_VALUE"""),"Ozéias Prata Bento - #SLUP - SEGUNDA LICENCIATURA EM PEDAGOGIA")</f>
        <v>Ozéias Prata Bento - #SLUP - SEGUNDA LICENCIATURA EM PEDAGOGIA</v>
      </c>
    </row>
    <row r="4476">
      <c r="A4476" s="390" t="str">
        <f>IFERROR(__xludf.DUMMYFUNCTION("""COMPUTED_VALUE"""),"Ozéias Prata Bento - #SLPA- Segunda Licenciatura em Pedagogia 01")</f>
        <v>Ozéias Prata Bento - #SLPA- Segunda Licenciatura em Pedagogia 01</v>
      </c>
    </row>
    <row r="4477">
      <c r="A4477" s="390" t="str">
        <f>IFERROR(__xludf.DUMMYFUNCTION("""COMPUTED_VALUE"""),"Ozéias Prata Bento - Pós-Graduação em Gestão Escolar Integrada com Ênfase em Supervisão, Orientação, Administração e Inspeção")</f>
        <v>Ozéias Prata Bento - Pós-Graduação em Gestão Escolar Integrada com Ênfase em Supervisão, Orientação, Administração e Inspeção</v>
      </c>
    </row>
    <row r="4478">
      <c r="A4478" s="390" t="str">
        <f>IFERROR(__xludf.DUMMYFUNCTION("""COMPUTED_VALUE"""),"Jessica Fabiane da Silva - #SLMF - Segunda Licenciatura em Música 1320Horas")</f>
        <v>Jessica Fabiane da Silva - #SLMF - Segunda Licenciatura em Música 1320Horas</v>
      </c>
    </row>
    <row r="4479">
      <c r="A4479" s="390" t="str">
        <f>IFERROR(__xludf.DUMMYFUNCTION("""COMPUTED_VALUE"""),"José Eloir Bornancin - Pós-Graduação em Psicanálise")</f>
        <v>José Eloir Bornancin - Pós-Graduação em Psicanálise</v>
      </c>
    </row>
    <row r="4480">
      <c r="A4480" s="390" t="str">
        <f>IFERROR(__xludf.DUMMYFUNCTION("""COMPUTED_VALUE"""),"Railana Ingridy Pontes e Silva - Formação Livre Psicanálise")</f>
        <v>Railana Ingridy Pontes e Silva - Formação Livre Psicanálise</v>
      </c>
    </row>
    <row r="4481">
      <c r="A4481" s="390" t="str">
        <f>IFERROR(__xludf.DUMMYFUNCTION("""COMPUTED_VALUE"""),"Sidney de Jesus Moreira - Formação Livre Psicanálise")</f>
        <v>Sidney de Jesus Moreira - Formação Livre Psicanálise</v>
      </c>
    </row>
    <row r="4482">
      <c r="A4482" s="390" t="str">
        <f>IFERROR(__xludf.DUMMYFUNCTION("""COMPUTED_VALUE"""),"Barbara Wotter Dutra - #SLPA- Segunda Licenciatura em Pedagogia 01")</f>
        <v>Barbara Wotter Dutra - #SLPA- Segunda Licenciatura em Pedagogia 01</v>
      </c>
    </row>
    <row r="4483">
      <c r="A4483" s="390" t="str">
        <f>IFERROR(__xludf.DUMMYFUNCTION("""COMPUTED_VALUE"""),"Edneia Haweroth - Pós-Graduação em Sexologia")</f>
        <v>Edneia Haweroth - Pós-Graduação em Sexologia</v>
      </c>
    </row>
    <row r="4484">
      <c r="A4484" s="390" t="str">
        <f>IFERROR(__xludf.DUMMYFUNCTION("""COMPUTED_VALUE"""),"Pedrinho Antonio Julião Filho - #FPUEF - Formação Pedagógica em Educação Física - 1200 Horas")</f>
        <v>Pedrinho Antonio Julião Filho - #FPUEF - Formação Pedagógica em Educação Física - 1200 Horas</v>
      </c>
    </row>
    <row r="4485">
      <c r="A4485" s="390" t="str">
        <f>IFERROR(__xludf.DUMMYFUNCTION("""COMPUTED_VALUE"""),"Mariá do Carmo Vaz Nunes - Formação Livre Psicanálise")</f>
        <v>Mariá do Carmo Vaz Nunes - Formação Livre Psicanálise</v>
      </c>
    </row>
    <row r="4486">
      <c r="A4486" s="390" t="str">
        <f>IFERROR(__xludf.DUMMYFUNCTION("""COMPUTED_VALUE"""),"Maria Helena Alves Ramos - #SLUP - SEGUNDA LICENCIATURA EM PEDAGOGIA")</f>
        <v>Maria Helena Alves Ramos - #SLUP - SEGUNDA LICENCIATURA EM PEDAGOGIA</v>
      </c>
    </row>
    <row r="4487">
      <c r="A4487" s="390" t="str">
        <f>IFERROR(__xludf.DUMMYFUNCTION("""COMPUTED_VALUE"""),"Anderson Fernando de Araújo da Silva - #SLUM - SEGUNDA LICENCIATURA EM MATEMÁTICA")</f>
        <v>Anderson Fernando de Araújo da Silva - #SLUM - SEGUNDA LICENCIATURA EM MATEMÁTICA</v>
      </c>
    </row>
    <row r="4488">
      <c r="A4488" s="390" t="str">
        <f>IFERROR(__xludf.DUMMYFUNCTION("""COMPUTED_VALUE"""),"Mariah Gomes de Souza - #FPUM Formação Pedagógica em Matemática")</f>
        <v>Mariah Gomes de Souza - #FPUM Formação Pedagógica em Matemática</v>
      </c>
    </row>
    <row r="4489">
      <c r="A4489" s="390" t="str">
        <f>IFERROR(__xludf.DUMMYFUNCTION("""COMPUTED_VALUE"""),"Mariah Gomes de Souza - Pós-Graduação em Alfabetização e Letramento e a Psicopedagogia")</f>
        <v>Mariah Gomes de Souza - Pós-Graduação em Alfabetização e Letramento e a Psicopedagogia</v>
      </c>
    </row>
    <row r="4490">
      <c r="A4490" s="390" t="str">
        <f>IFERROR(__xludf.DUMMYFUNCTION("""COMPUTED_VALUE"""),"Ailton Farias dos Santos - #FPUEF - Formação Pedagógica em Educação Física - 1200 Horas")</f>
        <v>Ailton Farias dos Santos - #FPUEF - Formação Pedagógica em Educação Física - 1200 Horas</v>
      </c>
    </row>
    <row r="4491">
      <c r="A4491" s="390" t="str">
        <f>IFERROR(__xludf.DUMMYFUNCTION("""COMPUTED_VALUE"""),"Ailton Farias dos Santos - Pós-Graduação Educação Especial e Inclusiva")</f>
        <v>Ailton Farias dos Santos - Pós-Graduação Educação Especial e Inclusiva</v>
      </c>
    </row>
    <row r="4492">
      <c r="A4492" s="390" t="str">
        <f>IFERROR(__xludf.DUMMYFUNCTION("""COMPUTED_VALUE"""),"Mônica Ferreira Santana Alves Silva - Pós-Graduação em Psicologia Educacional 800H")</f>
        <v>Mônica Ferreira Santana Alves Silva - Pós-Graduação em Psicologia Educacional 800H</v>
      </c>
    </row>
    <row r="4493">
      <c r="A4493" s="390" t="str">
        <f>IFERROR(__xludf.DUMMYFUNCTION("""COMPUTED_VALUE"""),"Paulo Guilherme Palitot Ramalho - #FPUA- Formação Pedagógica em Artes Visuais")</f>
        <v>Paulo Guilherme Palitot Ramalho - #FPUA- Formação Pedagógica em Artes Visuais</v>
      </c>
    </row>
    <row r="4494">
      <c r="A4494" s="390" t="str">
        <f>IFERROR(__xludf.DUMMYFUNCTION("""COMPUTED_VALUE"""),"Paulo Guilherme Palitot Ramalho - Pós-Graduação Educação Especial e Inclusiva")</f>
        <v>Paulo Guilherme Palitot Ramalho - Pós-Graduação Educação Especial e Inclusiva</v>
      </c>
    </row>
    <row r="4495">
      <c r="A4495" s="390" t="str">
        <f>IFERROR(__xludf.DUMMYFUNCTION("""COMPUTED_VALUE"""),"Regina Celli Pimentel da Cunha - Formação Livre Psicanálise")</f>
        <v>Regina Celli Pimentel da Cunha - Formação Livre Psicanálise</v>
      </c>
    </row>
    <row r="4496">
      <c r="A4496" s="390" t="str">
        <f>IFERROR(__xludf.DUMMYFUNCTION("""COMPUTED_VALUE"""),"Daniela Ceolin Palhano - #SLPT- Segunda Licenciatura em Pedagogia")</f>
        <v>Daniela Ceolin Palhano - #SLPT- Segunda Licenciatura em Pedagogia</v>
      </c>
    </row>
    <row r="4497">
      <c r="A4497" s="390" t="str">
        <f>IFERROR(__xludf.DUMMYFUNCTION("""COMPUTED_VALUE"""),"Daniela Ceolin Palhano - #SLUA- Segunda Licenciatura em Artes Visuais")</f>
        <v>Daniela Ceolin Palhano - #SLUA- Segunda Licenciatura em Artes Visuais</v>
      </c>
    </row>
    <row r="4498">
      <c r="A4498" s="390" t="str">
        <f>IFERROR(__xludf.DUMMYFUNCTION("""COMPUTED_VALUE"""),"Daniela Ceolin Palhano - SEGUNDA LICENCIATURA EM ARTES VISUAIS E+")</f>
        <v>Daniela Ceolin Palhano - SEGUNDA LICENCIATURA EM ARTES VISUAIS E+</v>
      </c>
    </row>
    <row r="4499">
      <c r="A4499" s="390" t="str">
        <f>IFERROR(__xludf.DUMMYFUNCTION("""COMPUTED_VALUE"""),"Magno Lopes de Oliveira - #SLMF - Segunda Licenciatura em Música 1320Horas")</f>
        <v>Magno Lopes de Oliveira - #SLMF - Segunda Licenciatura em Música 1320Horas</v>
      </c>
    </row>
    <row r="4500">
      <c r="A4500" s="390" t="str">
        <f>IFERROR(__xludf.DUMMYFUNCTION("""COMPUTED_VALUE"""),"Fernanda Ferreira Gomes - Formação Livre Psicanálise")</f>
        <v>Fernanda Ferreira Gomes - Formação Livre Psicanálise</v>
      </c>
    </row>
    <row r="4501">
      <c r="A4501" s="390" t="str">
        <f>IFERROR(__xludf.DUMMYFUNCTION("""COMPUTED_VALUE"""),"Luciana antunes da Silva Lima - Pós-Graduação em Neuropsicopedagogia Institucional, Clínica e Hospitalar 850h")</f>
        <v>Luciana antunes da Silva Lima - Pós-Graduação em Neuropsicopedagogia Institucional, Clínica e Hospitalar 850h</v>
      </c>
    </row>
    <row r="4502">
      <c r="A4502" s="390" t="str">
        <f>IFERROR(__xludf.DUMMYFUNCTION("""COMPUTED_VALUE"""),"Debora da Conceição de Araújo - Formação Livre Psicanálise")</f>
        <v>Debora da Conceição de Araújo - Formação Livre Psicanálise</v>
      </c>
    </row>
    <row r="4503">
      <c r="A4503" s="390" t="str">
        <f>IFERROR(__xludf.DUMMYFUNCTION("""COMPUTED_VALUE"""),"Amabilie Cristina Fernandes - Pós-Graduação em Neuropsicopedagogia Institucional, Clínica e Hospitalar 850h")</f>
        <v>Amabilie Cristina Fernandes - Pós-Graduação em Neuropsicopedagogia Institucional, Clínica e Hospitalar 850h</v>
      </c>
    </row>
    <row r="4504">
      <c r="A4504" s="390" t="str">
        <f>IFERROR(__xludf.DUMMYFUNCTION("""COMPUTED_VALUE"""),"Amabilie Cristina Fernandes - Pós-Graduação em Terapia em ABA- Análise do Comportamento Aplicada")</f>
        <v>Amabilie Cristina Fernandes - Pós-Graduação em Terapia em ABA- Análise do Comportamento Aplicada</v>
      </c>
    </row>
    <row r="4505">
      <c r="A4505" s="390" t="str">
        <f>IFERROR(__xludf.DUMMYFUNCTION("""COMPUTED_VALUE"""),"Amabilie Cristina Fernandes - Pós-Graduação Psicopedagogia Clínica, Institucional e Hospitalar")</f>
        <v>Amabilie Cristina Fernandes - Pós-Graduação Psicopedagogia Clínica, Institucional e Hospitalar</v>
      </c>
    </row>
    <row r="4506">
      <c r="A4506" s="390" t="str">
        <f>IFERROR(__xludf.DUMMYFUNCTION("""COMPUTED_VALUE"""),"Sueli Catarina Da Silva - Formação Livre Psicanálise")</f>
        <v>Sueli Catarina Da Silva - Formação Livre Psicanálise</v>
      </c>
    </row>
    <row r="4507">
      <c r="A4507" s="390" t="str">
        <f>IFERROR(__xludf.DUMMYFUNCTION("""COMPUTED_VALUE"""),"Marines Paifer martins - #FPUA- Formação Pedagógica em Artes Visuais")</f>
        <v>Marines Paifer martins - #FPUA- Formação Pedagógica em Artes Visuais</v>
      </c>
    </row>
    <row r="4508">
      <c r="A4508" s="390" t="str">
        <f>IFERROR(__xludf.DUMMYFUNCTION("""COMPUTED_VALUE"""),"Marines Paifer martins - #FPT1-Pedagogia para Bacharéis e Tecnólogos (2022)")</f>
        <v>Marines Paifer martins - #FPT1-Pedagogia para Bacharéis e Tecnólogos (2022)</v>
      </c>
    </row>
    <row r="4509">
      <c r="A4509" s="390" t="str">
        <f>IFERROR(__xludf.DUMMYFUNCTION("""COMPUTED_VALUE"""),"Maria Rita Marques Da Costa - #SLMF - Segunda Licenciatura em Música 1320Horas")</f>
        <v>Maria Rita Marques Da Costa - #SLMF - Segunda Licenciatura em Música 1320Horas</v>
      </c>
    </row>
    <row r="4510">
      <c r="A4510" s="390" t="str">
        <f>IFERROR(__xludf.DUMMYFUNCTION("""COMPUTED_VALUE"""),"Valdenira Amancio dos Santos Albuquerque - #FPUP-FORMAÇÃO PEDAGÓGICA EM PEDAGOGIA- U")</f>
        <v>Valdenira Amancio dos Santos Albuquerque - #FPUP-FORMAÇÃO PEDAGÓGICA EM PEDAGOGIA- U</v>
      </c>
    </row>
    <row r="4511">
      <c r="A4511" s="390" t="str">
        <f>IFERROR(__xludf.DUMMYFUNCTION("""COMPUTED_VALUE"""),"Elis Regina Gonçalves Vieira - #SLUP - SEGUNDA LICENCIATURA EM PEDAGOGIA")</f>
        <v>Elis Regina Gonçalves Vieira - #SLUP - SEGUNDA LICENCIATURA EM PEDAGOGIA</v>
      </c>
    </row>
    <row r="4512">
      <c r="A4512" s="390" t="str">
        <f>IFERROR(__xludf.DUMMYFUNCTION("""COMPUTED_VALUE"""),"Elis Regina Gonçalves Vieira - Pós-Graduação Alfabetização e Letramento")</f>
        <v>Elis Regina Gonçalves Vieira - Pós-Graduação Alfabetização e Letramento</v>
      </c>
    </row>
    <row r="4513">
      <c r="A4513" s="390" t="str">
        <f>IFERROR(__xludf.DUMMYFUNCTION("""COMPUTED_VALUE"""),"Herllon de Souza Carneiro Bonfim - #FPPUA Formação Pedagógica Pedagogia - 1000Horas")</f>
        <v>Herllon de Souza Carneiro Bonfim - #FPPUA Formação Pedagógica Pedagogia - 1000Horas</v>
      </c>
    </row>
    <row r="4514">
      <c r="A4514" s="390" t="str">
        <f>IFERROR(__xludf.DUMMYFUNCTION("""COMPUTED_VALUE"""),"Ariana Guimarães Silva - #SLUP - SEGUNDA LICENCIATURA EM PEDAGOGIA")</f>
        <v>Ariana Guimarães Silva - #SLUP - SEGUNDA LICENCIATURA EM PEDAGOGIA</v>
      </c>
    </row>
    <row r="4515">
      <c r="A4515" s="390" t="str">
        <f>IFERROR(__xludf.DUMMYFUNCTION("""COMPUTED_VALUE"""),"Ariana Guimarães Silva - Pós-Graduação em Neuropsicopedagogia Institucional, Clínica e Hospitalar 850h")</f>
        <v>Ariana Guimarães Silva - Pós-Graduação em Neuropsicopedagogia Institucional, Clínica e Hospitalar 850h</v>
      </c>
    </row>
    <row r="4516">
      <c r="A4516" s="390" t="str">
        <f>IFERROR(__xludf.DUMMYFUNCTION("""COMPUTED_VALUE"""),"Ernandes Santos Xavier - #SLUM - SEGUNDA LICENCIATURA EM MATEMÁTICA")</f>
        <v>Ernandes Santos Xavier - #SLUM - SEGUNDA LICENCIATURA EM MATEMÁTICA</v>
      </c>
    </row>
    <row r="4517">
      <c r="A4517" s="390" t="str">
        <f>IFERROR(__xludf.DUMMYFUNCTION("""COMPUTED_VALUE"""),"Gabrielle Barra Tarocco - Pós-Graduação em História da Arte-2022")</f>
        <v>Gabrielle Barra Tarocco - Pós-Graduação em História da Arte-2022</v>
      </c>
    </row>
    <row r="4518">
      <c r="A4518" s="390" t="str">
        <f>IFERROR(__xludf.DUMMYFUNCTION("""COMPUTED_VALUE"""),"Elizabete Gaspar de Oliveira - #SLAA - Segunda Licenciatura em Artes Visuais")</f>
        <v>Elizabete Gaspar de Oliveira - #SLAA - Segunda Licenciatura em Artes Visuais</v>
      </c>
    </row>
    <row r="4519">
      <c r="A4519" s="390" t="str">
        <f>IFERROR(__xludf.DUMMYFUNCTION("""COMPUTED_VALUE"""),"Elizabete Gaspar de Oliveira - #SLAV+ - Segunda Licenciatura em Artes Visuais - 1000 Horas")</f>
        <v>Elizabete Gaspar de Oliveira - #SLAV+ - Segunda Licenciatura em Artes Visuais - 1000 Horas</v>
      </c>
    </row>
    <row r="4520">
      <c r="A4520" s="390" t="str">
        <f>IFERROR(__xludf.DUMMYFUNCTION("""COMPUTED_VALUE"""),"Letícia Rodrigues lovato - Formação Livre Psicanálise")</f>
        <v>Letícia Rodrigues lovato - Formação Livre Psicanálise</v>
      </c>
    </row>
    <row r="4521">
      <c r="A4521" s="390" t="str">
        <f>IFERROR(__xludf.DUMMYFUNCTION("""COMPUTED_VALUE"""),"Letícia Rodrigues lovato - Formação Livre  TDAH – Transtorno do Déficit de Atenção e Hiperatividade")</f>
        <v>Letícia Rodrigues lovato - Formação Livre  TDAH – Transtorno do Déficit de Atenção e Hiperatividade</v>
      </c>
    </row>
    <row r="4522">
      <c r="A4522" s="390" t="str">
        <f>IFERROR(__xludf.DUMMYFUNCTION("""COMPUTED_VALUE"""),"Andrea Nogueira da Silva Gomes - Pós-Graduação em Alfabetização e Letramento e a Psicopedagogia")</f>
        <v>Andrea Nogueira da Silva Gomes - Pós-Graduação em Alfabetização e Letramento e a Psicopedagogia</v>
      </c>
    </row>
    <row r="4523">
      <c r="A4523" s="390" t="str">
        <f>IFERROR(__xludf.DUMMYFUNCTION("""COMPUTED_VALUE"""),"Izabella Dias Basso Aragão - #SLUP - SEGUNDA LICENCIATURA EM PEDAGOGIA")</f>
        <v>Izabella Dias Basso Aragão - #SLUP - SEGUNDA LICENCIATURA EM PEDAGOGIA</v>
      </c>
    </row>
    <row r="4524">
      <c r="A4524" s="390" t="str">
        <f>IFERROR(__xludf.DUMMYFUNCTION("""COMPUTED_VALUE"""),"Izabella Dias Basso Aragão - Pós-Graduação em Coordenação Educacional")</f>
        <v>Izabella Dias Basso Aragão - Pós-Graduação em Coordenação Educacional</v>
      </c>
    </row>
    <row r="4525">
      <c r="A4525" s="390" t="str">
        <f>IFERROR(__xludf.DUMMYFUNCTION("""COMPUTED_VALUE"""),"Tatiana Valéria Pereira - Formação Livre Psicanálise")</f>
        <v>Tatiana Valéria Pereira - Formação Livre Psicanálise</v>
      </c>
    </row>
    <row r="4526">
      <c r="A4526" s="390" t="str">
        <f>IFERROR(__xludf.DUMMYFUNCTION("""COMPUTED_VALUE"""),"Daniela Mative Caires Giroto - #SLUP - SEGUNDA LICENCIATURA EM PEDAGOGIA")</f>
        <v>Daniela Mative Caires Giroto - #SLUP - SEGUNDA LICENCIATURA EM PEDAGOGIA</v>
      </c>
    </row>
    <row r="4527">
      <c r="A4527" s="390" t="str">
        <f>IFERROR(__xludf.DUMMYFUNCTION("""COMPUTED_VALUE"""),"Daniela Mative Caires Giroto - Pós-Graduação em Alfabetização e Letramento e a Psicopedagogia")</f>
        <v>Daniela Mative Caires Giroto - Pós-Graduação em Alfabetização e Letramento e a Psicopedagogia</v>
      </c>
    </row>
    <row r="4528">
      <c r="A4528" s="390" t="str">
        <f>IFERROR(__xludf.DUMMYFUNCTION("""COMPUTED_VALUE"""),"Ana Laura dos santos ferreira - #SLPA- Segunda Licenciatura em Pedagogia 01")</f>
        <v>Ana Laura dos santos ferreira - #SLPA- Segunda Licenciatura em Pedagogia 01</v>
      </c>
    </row>
    <row r="4529">
      <c r="A4529" s="390" t="str">
        <f>IFERROR(__xludf.DUMMYFUNCTION("""COMPUTED_VALUE"""),"Ana Laura dos santos ferreira - #SLPA- Segunda Licenciatura em Pedagogia 01")</f>
        <v>Ana Laura dos santos ferreira - #SLPA- Segunda Licenciatura em Pedagogia 01</v>
      </c>
    </row>
    <row r="4530">
      <c r="A4530" s="390" t="str">
        <f>IFERROR(__xludf.DUMMYFUNCTION("""COMPUTED_VALUE"""),"Ana Laura dos santos ferreira - #FPP- Formação Pedagógica em Pedagogia R2")</f>
        <v>Ana Laura dos santos ferreira - #FPP- Formação Pedagógica em Pedagogia R2</v>
      </c>
    </row>
    <row r="4531">
      <c r="A4531" s="390" t="str">
        <f>IFERROR(__xludf.DUMMYFUNCTION("""COMPUTED_VALUE"""),"Ana Laura dos santos ferreira - Pós-Graduação em Fisiologia do Exercício 2022")</f>
        <v>Ana Laura dos santos ferreira - Pós-Graduação em Fisiologia do Exercício 2022</v>
      </c>
    </row>
    <row r="4532">
      <c r="A4532" s="390" t="str">
        <f>IFERROR(__xludf.DUMMYFUNCTION("""COMPUTED_VALUE"""),"Ricardo Nunes - NOVO-Pós-Graduação em Psicanálise 800 Horas")</f>
        <v>Ricardo Nunes - NOVO-Pós-Graduação em Psicanálise 800 Horas</v>
      </c>
    </row>
    <row r="4533">
      <c r="A4533" s="390" t="str">
        <f>IFERROR(__xludf.DUMMYFUNCTION("""COMPUTED_VALUE"""),"ROSICLEIA MOREIRA SOUZA - #SLUH- Segunda Licenciatura em História")</f>
        <v>ROSICLEIA MOREIRA SOUZA - #SLUH- Segunda Licenciatura em História</v>
      </c>
    </row>
    <row r="4534">
      <c r="A4534" s="390" t="str">
        <f>IFERROR(__xludf.DUMMYFUNCTION("""COMPUTED_VALUE"""),"Cristiano Grigio - #FPUP-FORMAÇÃO PEDAGÓGICA EM PEDAGOGIA- U")</f>
        <v>Cristiano Grigio - #FPUP-FORMAÇÃO PEDAGÓGICA EM PEDAGOGIA- U</v>
      </c>
    </row>
    <row r="4535">
      <c r="A4535" s="390" t="str">
        <f>IFERROR(__xludf.DUMMYFUNCTION("""COMPUTED_VALUE"""),"Cristiano Grigio - Pós-Graduação em Segurança Pública e Cidadania")</f>
        <v>Cristiano Grigio - Pós-Graduação em Segurança Pública e Cidadania</v>
      </c>
    </row>
    <row r="4536">
      <c r="A4536" s="390" t="str">
        <f>IFERROR(__xludf.DUMMYFUNCTION("""COMPUTED_VALUE"""),"Alice Bernardi Braga - #FPUP-FORMAÇÃO PEDAGÓGICA EM PEDAGOGIA- U")</f>
        <v>Alice Bernardi Braga - #FPUP-FORMAÇÃO PEDAGÓGICA EM PEDAGOGIA- U</v>
      </c>
    </row>
    <row r="4537">
      <c r="A4537" s="390" t="str">
        <f>IFERROR(__xludf.DUMMYFUNCTION("""COMPUTED_VALUE"""),"Alice Bernardi Braga - #FPMF- Formação Pedagógica em Música 1200Horas")</f>
        <v>Alice Bernardi Braga - #FPMF- Formação Pedagógica em Música 1200Horas</v>
      </c>
    </row>
    <row r="4538">
      <c r="A4538" s="390" t="str">
        <f>IFERROR(__xludf.DUMMYFUNCTION("""COMPUTED_VALUE"""),"Alice Bernardi Braga - Pós-Graduação em TDAH – Transtorno do Déficit de Atenção e Hiperatividade")</f>
        <v>Alice Bernardi Braga - Pós-Graduação em TDAH – Transtorno do Déficit de Atenção e Hiperatividade</v>
      </c>
    </row>
    <row r="4539">
      <c r="A4539" s="390" t="str">
        <f>IFERROR(__xludf.DUMMYFUNCTION("""COMPUTED_VALUE"""),"Arthur Veloso Leal Ardizzoni - #SLUEF - Segunda Licenciatura em Educação Física")</f>
        <v>Arthur Veloso Leal Ardizzoni - #SLUEF - Segunda Licenciatura em Educação Física</v>
      </c>
    </row>
    <row r="4540">
      <c r="A4540" s="390" t="str">
        <f>IFERROR(__xludf.DUMMYFUNCTION("""COMPUTED_VALUE"""),"Arthur Veloso Leal Ardizzoni - Pós-Graduação Neurociência e Aprendizagem")</f>
        <v>Arthur Veloso Leal Ardizzoni - Pós-Graduação Neurociência e Aprendizagem</v>
      </c>
    </row>
    <row r="4541">
      <c r="A4541" s="390" t="str">
        <f>IFERROR(__xludf.DUMMYFUNCTION("""COMPUTED_VALUE"""),"Cleide Marta da Silva - #SLUP - SEGUNDA LICENCIATURA EM PEDAGOGIA")</f>
        <v>Cleide Marta da Silva - #SLUP - SEGUNDA LICENCIATURA EM PEDAGOGIA</v>
      </c>
    </row>
    <row r="4542">
      <c r="A4542" s="390" t="str">
        <f>IFERROR(__xludf.DUMMYFUNCTION("""COMPUTED_VALUE"""),"Elisa Rossi Bueno - #SLUP - SEGUNDA LICENCIATURA EM PEDAGOGIA")</f>
        <v>Elisa Rossi Bueno - #SLUP - SEGUNDA LICENCIATURA EM PEDAGOGIA</v>
      </c>
    </row>
    <row r="4543">
      <c r="A4543" s="390" t="str">
        <f>IFERROR(__xludf.DUMMYFUNCTION("""COMPUTED_VALUE"""),"Elisa Rossi Bueno - #SLPA- Segunda Licenciatura em Pedagogia 01")</f>
        <v>Elisa Rossi Bueno - #SLPA- Segunda Licenciatura em Pedagogia 01</v>
      </c>
    </row>
    <row r="4544">
      <c r="A4544" s="390" t="str">
        <f>IFERROR(__xludf.DUMMYFUNCTION("""COMPUTED_VALUE"""),"Felix Leonardo de Araujo - Formação Livre Psicanálise")</f>
        <v>Felix Leonardo de Araujo - Formação Livre Psicanálise</v>
      </c>
    </row>
    <row r="4545">
      <c r="A4545" s="390" t="str">
        <f>IFERROR(__xludf.DUMMYFUNCTION("""COMPUTED_VALUE"""),"Alessandra Silva Gurgel - Formação Livre Psicanálise")</f>
        <v>Alessandra Silva Gurgel - Formação Livre Psicanálise</v>
      </c>
    </row>
    <row r="4546">
      <c r="A4546" s="390" t="str">
        <f>IFERROR(__xludf.DUMMYFUNCTION("""COMPUTED_VALUE"""),"Rafael Fernandes - Formação Livre Psicanálise")</f>
        <v>Rafael Fernandes - Formação Livre Psicanálise</v>
      </c>
    </row>
    <row r="4547">
      <c r="A4547" s="390" t="str">
        <f>IFERROR(__xludf.DUMMYFUNCTION("""COMPUTED_VALUE"""),"Marceli da Silva Eugênio - Formação Livre Psicanálise")</f>
        <v>Marceli da Silva Eugênio - Formação Livre Psicanálise</v>
      </c>
    </row>
    <row r="4548">
      <c r="A4548" s="390" t="str">
        <f>IFERROR(__xludf.DUMMYFUNCTION("""COMPUTED_VALUE"""),"Renato da Silva Oliveira - NOVO-Pós-Graduação em Psicanálise 800 Horas")</f>
        <v>Renato da Silva Oliveira - NOVO-Pós-Graduação em Psicanálise 800 Horas</v>
      </c>
    </row>
    <row r="4549">
      <c r="A4549" s="390" t="str">
        <f>IFERROR(__xludf.DUMMYFUNCTION("""COMPUTED_VALUE"""),"Rafael Araújo Menezes - #SLMF - Segunda Licenciatura em Música 1320Horas")</f>
        <v>Rafael Araújo Menezes - #SLMF - Segunda Licenciatura em Música 1320Horas</v>
      </c>
    </row>
    <row r="4550">
      <c r="A4550" s="390" t="str">
        <f>IFERROR(__xludf.DUMMYFUNCTION("""COMPUTED_VALUE"""),"Fernanda Bastos Rezende Siqueira - #FPUP-FORMAÇÃO PEDAGÓGICA EM PEDAGOGIA- U")</f>
        <v>Fernanda Bastos Rezende Siqueira - #FPUP-FORMAÇÃO PEDAGÓGICA EM PEDAGOGIA- U</v>
      </c>
    </row>
    <row r="4551">
      <c r="A4551" s="390" t="str">
        <f>IFERROR(__xludf.DUMMYFUNCTION("""COMPUTED_VALUE"""),"Fernanda Bastos Rezende Siqueira - #FPP- Formação Pedagógica em Pedagogia R2")</f>
        <v>Fernanda Bastos Rezende Siqueira - #FPP- Formação Pedagógica em Pedagogia R2</v>
      </c>
    </row>
    <row r="4552">
      <c r="A4552" s="390" t="str">
        <f>IFERROR(__xludf.DUMMYFUNCTION("""COMPUTED_VALUE"""),"Esther Cristina Santos Pereira Alves - Capacitação em Terapia em TDAH Clínico")</f>
        <v>Esther Cristina Santos Pereira Alves - Capacitação em Terapia em TDAH Clínico</v>
      </c>
    </row>
    <row r="4553">
      <c r="A4553" s="390" t="str">
        <f>IFERROR(__xludf.DUMMYFUNCTION("""COMPUTED_VALUE"""),"Sabrina da Silva Magalhães Martins - #FPUA- Formação Pedagógica em Artes Visuais")</f>
        <v>Sabrina da Silva Magalhães Martins - #FPUA- Formação Pedagógica em Artes Visuais</v>
      </c>
    </row>
    <row r="4554">
      <c r="A4554" s="390" t="str">
        <f>IFERROR(__xludf.DUMMYFUNCTION("""COMPUTED_VALUE"""),"Sabrina da Silva Magalhães Martins - Pós-Graduação em Gestão Escolar Integrada com Ênfase em Supervisão, Orientação, Administração e Inspeção")</f>
        <v>Sabrina da Silva Magalhães Martins - Pós-Graduação em Gestão Escolar Integrada com Ênfase em Supervisão, Orientação, Administração e Inspeção</v>
      </c>
    </row>
    <row r="4555">
      <c r="A4555" s="390" t="str">
        <f>IFERROR(__xludf.DUMMYFUNCTION("""COMPUTED_VALUE"""),"Isabel Cristina Dos Santos Pereira Vilani - Pós-Graduação em Supervisão Escolar e Orientação Educacional")</f>
        <v>Isabel Cristina Dos Santos Pereira Vilani - Pós-Graduação em Supervisão Escolar e Orientação Educacional</v>
      </c>
    </row>
    <row r="4556">
      <c r="A4556" s="390" t="str">
        <f>IFERROR(__xludf.DUMMYFUNCTION("""COMPUTED_VALUE"""),"Hinara Moreira Raymundo - #FPUP-FORMAÇÃO PEDAGÓGICA EM PEDAGOGIA- U")</f>
        <v>Hinara Moreira Raymundo - #FPUP-FORMAÇÃO PEDAGÓGICA EM PEDAGOGIA- U</v>
      </c>
    </row>
    <row r="4557">
      <c r="A4557" s="390" t="str">
        <f>IFERROR(__xludf.DUMMYFUNCTION("""COMPUTED_VALUE"""),"Rainer Costa Ferreira - #FPUA- Formação Pedagógica em Artes Visuais")</f>
        <v>Rainer Costa Ferreira - #FPUA- Formação Pedagógica em Artes Visuais</v>
      </c>
    </row>
    <row r="4558">
      <c r="A4558" s="390" t="str">
        <f>IFERROR(__xludf.DUMMYFUNCTION("""COMPUTED_VALUE"""),"Alex Almeida da Silva - Pós-Graduação em Gestão Escolar Integrada com Ênfase em Supervisão, Orientação, Administração e Inspeção")</f>
        <v>Alex Almeida da Silva - Pós-Graduação em Gestão Escolar Integrada com Ênfase em Supervisão, Orientação, Administração e Inspeção</v>
      </c>
    </row>
    <row r="4559">
      <c r="A4559" s="390" t="str">
        <f>IFERROR(__xludf.DUMMYFUNCTION("""COMPUTED_VALUE"""),"Alex Almeida da Silva - Pós-Graduação em Gestão Escolar")</f>
        <v>Alex Almeida da Silva - Pós-Graduação em Gestão Escolar</v>
      </c>
    </row>
    <row r="4560">
      <c r="A4560" s="390" t="str">
        <f>IFERROR(__xludf.DUMMYFUNCTION("""COMPUTED_VALUE"""),"Michele Tiemi Takano Aoki - #FPUP-FORMAÇÃO PEDAGÓGICA EM PEDAGOGIA- U")</f>
        <v>Michele Tiemi Takano Aoki - #FPUP-FORMAÇÃO PEDAGÓGICA EM PEDAGOGIA- U</v>
      </c>
    </row>
    <row r="4561">
      <c r="A4561" s="390" t="str">
        <f>IFERROR(__xludf.DUMMYFUNCTION("""COMPUTED_VALUE"""),"SAULO ARAUJO DE MENEZES - #SLUP - SEGUNDA LICENCIATURA EM PEDAGOGIA")</f>
        <v>SAULO ARAUJO DE MENEZES - #SLUP - SEGUNDA LICENCIATURA EM PEDAGOGIA</v>
      </c>
    </row>
    <row r="4562">
      <c r="A4562" s="390" t="str">
        <f>IFERROR(__xludf.DUMMYFUNCTION("""COMPUTED_VALUE"""),"Douglas Henrique - Curso UniCV")</f>
        <v>Douglas Henrique - Curso UniCV</v>
      </c>
    </row>
    <row r="4563">
      <c r="A4563" s="390" t="str">
        <f>IFERROR(__xludf.DUMMYFUNCTION("""COMPUTED_VALUE"""),"Douglas Henrique - Pós-Graduação Alfabetização e Letramento")</f>
        <v>Douglas Henrique - Pós-Graduação Alfabetização e Letramento</v>
      </c>
    </row>
    <row r="4564">
      <c r="A4564" s="390" t="str">
        <f>IFERROR(__xludf.DUMMYFUNCTION("""COMPUTED_VALUE"""),"Douglas Henrique - #SLCBA - Segunda Licenciatura em Ciências Biológicas")</f>
        <v>Douglas Henrique - #SLCBA - Segunda Licenciatura em Ciências Biológicas</v>
      </c>
    </row>
    <row r="4565">
      <c r="A4565" s="390" t="str">
        <f>IFERROR(__xludf.DUMMYFUNCTION("""COMPUTED_VALUE"""),"Douglas Henrique - Capacitação em Educação e Inclusiva")</f>
        <v>Douglas Henrique - Capacitação em Educação e Inclusiva</v>
      </c>
    </row>
    <row r="4566">
      <c r="A4566" s="390" t="str">
        <f>IFERROR(__xludf.DUMMYFUNCTION("""COMPUTED_VALUE"""),"TAINARA GONZAGA DO AMARAL - #SLUP - SEGUNDA LICENCIATURA EM PEDAGOGIA")</f>
        <v>TAINARA GONZAGA DO AMARAL - #SLUP - SEGUNDA LICENCIATURA EM PEDAGOGIA</v>
      </c>
    </row>
    <row r="4567">
      <c r="A4567" s="390" t="str">
        <f>IFERROR(__xludf.DUMMYFUNCTION("""COMPUTED_VALUE"""),"TAINARA GONZAGA DO AMARAL - #SLUPI - SEGUNDA LICENCIATURA EM LETRAS – PORTUGUÊS E INGLÊS")</f>
        <v>TAINARA GONZAGA DO AMARAL - #SLUPI - SEGUNDA LICENCIATURA EM LETRAS – PORTUGUÊS E INGLÊS</v>
      </c>
    </row>
    <row r="4568">
      <c r="A4568" s="390" t="str">
        <f>IFERROR(__xludf.DUMMYFUNCTION("""COMPUTED_VALUE"""),"João Clemente Costa - #SLUG - SEGUNDA LICENCIATURA EM GEOGRAFIA")</f>
        <v>João Clemente Costa - #SLUG - SEGUNDA LICENCIATURA EM GEOGRAFIA</v>
      </c>
    </row>
    <row r="4569">
      <c r="A4569" s="390" t="str">
        <f>IFERROR(__xludf.DUMMYFUNCTION("""COMPUTED_VALUE"""),"Adão Lima Felix - #FPUEF - Formação Pedagógica em Educação Física - 1200 Horas")</f>
        <v>Adão Lima Felix - #FPUEF - Formação Pedagógica em Educação Física - 1200 Horas</v>
      </c>
    </row>
    <row r="4570">
      <c r="A4570" s="390" t="str">
        <f>IFERROR(__xludf.DUMMYFUNCTION("""COMPUTED_VALUE"""),"Adão Lima Felix - Pós-Graduação em Nutrição Esportiva")</f>
        <v>Adão Lima Felix - Pós-Graduação em Nutrição Esportiva</v>
      </c>
    </row>
    <row r="4571">
      <c r="A4571" s="390" t="str">
        <f>IFERROR(__xludf.DUMMYFUNCTION("""COMPUTED_VALUE"""),"Ketlin Naiara Machado Pedretti - #FPUM Formação Pedagógica em Matemática")</f>
        <v>Ketlin Naiara Machado Pedretti - #FPUM Formação Pedagógica em Matemática</v>
      </c>
    </row>
    <row r="4572">
      <c r="A4572" s="390" t="str">
        <f>IFERROR(__xludf.DUMMYFUNCTION("""COMPUTED_VALUE"""),"Ketlin Naiara Machado Pedretti - Pós-Graduação em Engenharia de Segurança do Trabalho")</f>
        <v>Ketlin Naiara Machado Pedretti - Pós-Graduação em Engenharia de Segurança do Trabalho</v>
      </c>
    </row>
    <row r="4573">
      <c r="A4573" s="390" t="str">
        <f>IFERROR(__xludf.DUMMYFUNCTION("""COMPUTED_VALUE"""),"Lais Pinheiro Assumpção - #SLUPI - SEGUNDA LICENCIATURA EM LETRAS – PORTUGUÊS E INGLÊS")</f>
        <v>Lais Pinheiro Assumpção - #SLUPI - SEGUNDA LICENCIATURA EM LETRAS – PORTUGUÊS E INGLÊS</v>
      </c>
    </row>
    <row r="4574">
      <c r="A4574" s="390" t="str">
        <f>IFERROR(__xludf.DUMMYFUNCTION("""COMPUTED_VALUE"""),"Lais Pinheiro Assumpção - Pós-Graduação em Psicologia Educacional")</f>
        <v>Lais Pinheiro Assumpção - Pós-Graduação em Psicologia Educacional</v>
      </c>
    </row>
    <row r="4575">
      <c r="A4575" s="390" t="str">
        <f>IFERROR(__xludf.DUMMYFUNCTION("""COMPUTED_VALUE"""),"Beatriz Feliciano Fabri - #SLUEE - SEGUNDA LICENCIATURA EM EDUCAÇÃO ESPECIAL")</f>
        <v>Beatriz Feliciano Fabri - #SLUEE - SEGUNDA LICENCIATURA EM EDUCAÇÃO ESPECIAL</v>
      </c>
    </row>
    <row r="4576">
      <c r="A4576" s="390" t="str">
        <f>IFERROR(__xludf.DUMMYFUNCTION("""COMPUTED_VALUE"""),"Jozinete Vinhas de Deus - #SLUF- Segunda Licenciatura em Filosofia")</f>
        <v>Jozinete Vinhas de Deus - #SLUF- Segunda Licenciatura em Filosofia</v>
      </c>
    </row>
    <row r="4577">
      <c r="A4577" s="390" t="str">
        <f>IFERROR(__xludf.DUMMYFUNCTION("""COMPUTED_VALUE"""),"Jozinete Vinhas de Deus - Pós-Graduação em Metodologia do Ensino de Filosofia e Sociologia")</f>
        <v>Jozinete Vinhas de Deus - Pós-Graduação em Metodologia do Ensino de Filosofia e Sociologia</v>
      </c>
    </row>
    <row r="4578">
      <c r="A4578" s="390" t="str">
        <f>IFERROR(__xludf.DUMMYFUNCTION("""COMPUTED_VALUE"""),"Maria de Jesus Silva - Formação Livre Psicanálise")</f>
        <v>Maria de Jesus Silva - Formação Livre Psicanálise</v>
      </c>
    </row>
    <row r="4579">
      <c r="A4579" s="390" t="str">
        <f>IFERROR(__xludf.DUMMYFUNCTION("""COMPUTED_VALUE"""),"Vanessa Ribeiro Reis Cianci - Pós-Graduação em Sexologia")</f>
        <v>Vanessa Ribeiro Reis Cianci - Pós-Graduação em Sexologia</v>
      </c>
    </row>
    <row r="4580">
      <c r="A4580" s="390" t="str">
        <f>IFERROR(__xludf.DUMMYFUNCTION("""COMPUTED_VALUE"""),"Jaime Dias da Silva Filho - Pós-Graduação em Psicanálise")</f>
        <v>Jaime Dias da Silva Filho - Pós-Graduação em Psicanálise</v>
      </c>
    </row>
    <row r="4581">
      <c r="A4581" s="390" t="str">
        <f>IFERROR(__xludf.DUMMYFUNCTION("""COMPUTED_VALUE"""),"Tania Malheiros - Formação Livre Psicanálise")</f>
        <v>Tania Malheiros - Formação Livre Psicanálise</v>
      </c>
    </row>
    <row r="4582">
      <c r="A4582" s="390" t="str">
        <f>IFERROR(__xludf.DUMMYFUNCTION("""COMPUTED_VALUE"""),"Maria Neusa Da Silva leite - Pós-Graduação em Psicanálise")</f>
        <v>Maria Neusa Da Silva leite - Pós-Graduação em Psicanálise</v>
      </c>
    </row>
    <row r="4583">
      <c r="A4583" s="390" t="str">
        <f>IFERROR(__xludf.DUMMYFUNCTION("""COMPUTED_VALUE"""),"Juliana Galvão Pinto - Pós-Graduação em Psicanálise")</f>
        <v>Juliana Galvão Pinto - Pós-Graduação em Psicanálise</v>
      </c>
    </row>
    <row r="4584">
      <c r="A4584" s="390" t="str">
        <f>IFERROR(__xludf.DUMMYFUNCTION("""COMPUTED_VALUE"""),"Marcos Willians da Silva - Pós-Graduação em Psicanálise")</f>
        <v>Marcos Willians da Silva - Pós-Graduação em Psicanálise</v>
      </c>
    </row>
    <row r="4585">
      <c r="A4585" s="390" t="str">
        <f>IFERROR(__xludf.DUMMYFUNCTION("""COMPUTED_VALUE"""),"Marcos Willians da Silva - Pós-Graduação em Ensino Religioso")</f>
        <v>Marcos Willians da Silva - Pós-Graduação em Ensino Religioso</v>
      </c>
    </row>
    <row r="4586">
      <c r="A4586" s="390" t="str">
        <f>IFERROR(__xludf.DUMMYFUNCTION("""COMPUTED_VALUE"""),"Marcos Willians da Silva - Pós-Graduação em Sexologia")</f>
        <v>Marcos Willians da Silva - Pós-Graduação em Sexologia</v>
      </c>
    </row>
    <row r="4587">
      <c r="A4587" s="390" t="str">
        <f>IFERROR(__xludf.DUMMYFUNCTION("""COMPUTED_VALUE"""),"Vânia Cícero Dionizio de Souza - Formação Livre Psicanálise")</f>
        <v>Vânia Cícero Dionizio de Souza - Formação Livre Psicanálise</v>
      </c>
    </row>
    <row r="4588">
      <c r="A4588" s="390" t="str">
        <f>IFERROR(__xludf.DUMMYFUNCTION("""COMPUTED_VALUE"""),"Valéria do nascimento Silva - Formação Livre Psicanálise")</f>
        <v>Valéria do nascimento Silva - Formação Livre Psicanálise</v>
      </c>
    </row>
    <row r="4589">
      <c r="A4589" s="390" t="str">
        <f>IFERROR(__xludf.DUMMYFUNCTION("""COMPUTED_VALUE"""),"Carla Gonçalves Pires - #SLUPE- Segunda Licenciatura em Letras – Português e Espanhol")</f>
        <v>Carla Gonçalves Pires - #SLUPE- Segunda Licenciatura em Letras – Português e Espanhol</v>
      </c>
    </row>
    <row r="4590">
      <c r="A4590" s="390" t="str">
        <f>IFERROR(__xludf.DUMMYFUNCTION("""COMPUTED_VALUE"""),"Cícero Mauro Ferreira Santa Isabel - Formação Livre Psicanálise")</f>
        <v>Cícero Mauro Ferreira Santa Isabel - Formação Livre Psicanálise</v>
      </c>
    </row>
    <row r="4591">
      <c r="A4591" s="390" t="str">
        <f>IFERROR(__xludf.DUMMYFUNCTION("""COMPUTED_VALUE"""),"Rogério da Silva - FORMAÇÃO PEDAGÓGICA EM LETRAS – LÍNGUA PORTUGUESA E LIBRAS- U")</f>
        <v>Rogério da Silva - FORMAÇÃO PEDAGÓGICA EM LETRAS – LÍNGUA PORTUGUESA E LIBRAS- U</v>
      </c>
    </row>
    <row r="4592">
      <c r="A4592" s="390" t="str">
        <f>IFERROR(__xludf.DUMMYFUNCTION("""COMPUTED_VALUE"""),"Rogério da Silva - #FPULPI- Formação Pedagógica em Letras – Português e Inglês")</f>
        <v>Rogério da Silva - #FPULPI- Formação Pedagógica em Letras – Português e Inglês</v>
      </c>
    </row>
    <row r="4593">
      <c r="A4593" s="390" t="str">
        <f>IFERROR(__xludf.DUMMYFUNCTION("""COMPUTED_VALUE"""),"Luiz Adalberto Xavier Cardoso - Práticas Pedagógicas")</f>
        <v>Luiz Adalberto Xavier Cardoso - Práticas Pedagógicas</v>
      </c>
    </row>
    <row r="4594">
      <c r="A4594" s="390" t="str">
        <f>IFERROR(__xludf.DUMMYFUNCTION("""COMPUTED_VALUE"""),"Mirela de Souza Lourenço - Pós-Graduação em Psicanálise")</f>
        <v>Mirela de Souza Lourenço - Pós-Graduação em Psicanálise</v>
      </c>
    </row>
    <row r="4595">
      <c r="A4595" s="390" t="str">
        <f>IFERROR(__xludf.DUMMYFUNCTION("""COMPUTED_VALUE"""),"Ottilia Terezinha de Araújo - Formação Livre Psicanálise")</f>
        <v>Ottilia Terezinha de Araújo - Formação Livre Psicanálise</v>
      </c>
    </row>
    <row r="4596">
      <c r="A4596" s="390" t="str">
        <f>IFERROR(__xludf.DUMMYFUNCTION("""COMPUTED_VALUE"""),"Claudia Cândido Gouveia - #SLUA- Segunda Licenciatura em Artes Visuais")</f>
        <v>Claudia Cândido Gouveia - #SLUA- Segunda Licenciatura em Artes Visuais</v>
      </c>
    </row>
    <row r="4597">
      <c r="A4597" s="390" t="str">
        <f>IFERROR(__xludf.DUMMYFUNCTION("""COMPUTED_VALUE"""),"Thiago Ribeiro Silva - Pós-Graduação em Psicanálise")</f>
        <v>Thiago Ribeiro Silva - Pós-Graduação em Psicanálise</v>
      </c>
    </row>
    <row r="4598">
      <c r="A4598" s="390" t="str">
        <f>IFERROR(__xludf.DUMMYFUNCTION("""COMPUTED_VALUE"""),"Eliana de Lima Pereira - #FPUEF - Formação Pedagógica em Educação Física - 1200 Horas")</f>
        <v>Eliana de Lima Pereira - #FPUEF - Formação Pedagógica em Educação Física - 1200 Horas</v>
      </c>
    </row>
    <row r="4599">
      <c r="A4599" s="390" t="str">
        <f>IFERROR(__xludf.DUMMYFUNCTION("""COMPUTED_VALUE"""),"Selma da conceição Alexandre Fernandes - Formação Livre Psicanálise")</f>
        <v>Selma da conceição Alexandre Fernandes - Formação Livre Psicanálise</v>
      </c>
    </row>
    <row r="4600">
      <c r="A4600" s="390" t="str">
        <f>IFERROR(__xludf.DUMMYFUNCTION("""COMPUTED_VALUE"""),"CLEIDEMARA OLIVEIRA DOS SANTOS - Formação Livre Psicanálise")</f>
        <v>CLEIDEMARA OLIVEIRA DOS SANTOS - Formação Livre Psicanálise</v>
      </c>
    </row>
    <row r="4601">
      <c r="A4601" s="390" t="str">
        <f>IFERROR(__xludf.DUMMYFUNCTION("""COMPUTED_VALUE"""),"Aglailson Sousa França - #SLMF - Segunda Licenciatura em Música 1320Horas")</f>
        <v>Aglailson Sousa França - #SLMF - Segunda Licenciatura em Música 1320Horas</v>
      </c>
    </row>
    <row r="4602">
      <c r="A4602" s="390" t="str">
        <f>IFERROR(__xludf.DUMMYFUNCTION("""COMPUTED_VALUE"""),"Fernanda Patrícia Macedo silva - Pós-Graduação em Psicanálise")</f>
        <v>Fernanda Patrícia Macedo silva - Pós-Graduação em Psicanálise</v>
      </c>
    </row>
    <row r="4603">
      <c r="A4603" s="390" t="str">
        <f>IFERROR(__xludf.DUMMYFUNCTION("""COMPUTED_VALUE"""),"Tânia Cristina de Silveira Silva - Formação Livre Psicanálise")</f>
        <v>Tânia Cristina de Silveira Silva - Formação Livre Psicanálise</v>
      </c>
    </row>
    <row r="4604">
      <c r="A4604" s="390" t="str">
        <f>IFERROR(__xludf.DUMMYFUNCTION("""COMPUTED_VALUE"""),"Roberta Liliane Gonçalves - Pós-Graduação em Psicanálise")</f>
        <v>Roberta Liliane Gonçalves - Pós-Graduação em Psicanálise</v>
      </c>
    </row>
    <row r="4605">
      <c r="A4605" s="390" t="str">
        <f>IFERROR(__xludf.DUMMYFUNCTION("""COMPUTED_VALUE"""),"Roberta Liliane Gonçalves - Formação Livre Psicanálise")</f>
        <v>Roberta Liliane Gonçalves - Formação Livre Psicanálise</v>
      </c>
    </row>
    <row r="4606">
      <c r="A4606" s="390" t="str">
        <f>IFERROR(__xludf.DUMMYFUNCTION("""COMPUTED_VALUE"""),"Aurineide de Amorim de Sousa - Formação Livre em Terapia em ABA- Análise do Comportamento Aplicada")</f>
        <v>Aurineide de Amorim de Sousa - Formação Livre em Terapia em ABA- Análise do Comportamento Aplicada</v>
      </c>
    </row>
    <row r="4607">
      <c r="A4607" s="390" t="str">
        <f>IFERROR(__xludf.DUMMYFUNCTION("""COMPUTED_VALUE"""),"Aurineide de Amorim de Sousa - FORMAÇÃO LIVRE EM TERAPIA COGNITIVO COMPORTAMENTAL - 2024")</f>
        <v>Aurineide de Amorim de Sousa - FORMAÇÃO LIVRE EM TERAPIA COGNITIVO COMPORTAMENTAL - 2024</v>
      </c>
    </row>
    <row r="4608">
      <c r="A4608" s="390" t="str">
        <f>IFERROR(__xludf.DUMMYFUNCTION("""COMPUTED_VALUE"""),"Aurineide de Amorim de Sousa - FORMAÇÃO LIVRE EM TERAPIA COGNITIVO COMPORTAMENTAL - 2024")</f>
        <v>Aurineide de Amorim de Sousa - FORMAÇÃO LIVRE EM TERAPIA COGNITIVO COMPORTAMENTAL - 2024</v>
      </c>
    </row>
    <row r="4609">
      <c r="A4609" s="390" t="str">
        <f>IFERROR(__xludf.DUMMYFUNCTION("""COMPUTED_VALUE"""),"Aurineide de Amorim de Sousa - FORMAÇÃO LIVRE EM TERAPIA COGNITIVO COMPORTAMENTAL - 2024")</f>
        <v>Aurineide de Amorim de Sousa - FORMAÇÃO LIVRE EM TERAPIA COGNITIVO COMPORTAMENTAL - 2024</v>
      </c>
    </row>
    <row r="4610">
      <c r="A4610" s="390" t="str">
        <f>IFERROR(__xludf.DUMMYFUNCTION("""COMPUTED_VALUE"""),"Aurineide de Amorim de Sousa - FORMAÇÃO LIVRE EM TERAPIA COGNITIVO COMPORTAMENTAL - 2024")</f>
        <v>Aurineide de Amorim de Sousa - FORMAÇÃO LIVRE EM TERAPIA COGNITIVO COMPORTAMENTAL - 2024</v>
      </c>
    </row>
    <row r="4611">
      <c r="A4611" s="390" t="str">
        <f>IFERROR(__xludf.DUMMYFUNCTION("""COMPUTED_VALUE"""),"Aurineide de Amorim de Sousa - #SLHA - Segunda Licenciatura em História")</f>
        <v>Aurineide de Amorim de Sousa - #SLHA - Segunda Licenciatura em História</v>
      </c>
    </row>
    <row r="4612">
      <c r="A4612" s="390" t="str">
        <f>IFERROR(__xludf.DUMMYFUNCTION("""COMPUTED_VALUE"""),"Joseneide de Oliveira Santana - #SLUH- Segunda Licenciatura em História")</f>
        <v>Joseneide de Oliveira Santana - #SLUH- Segunda Licenciatura em História</v>
      </c>
    </row>
    <row r="4613">
      <c r="A4613" s="390" t="str">
        <f>IFERROR(__xludf.DUMMYFUNCTION("""COMPUTED_VALUE"""),"Lucia Aparecida de França Correa - Formação Livre Psicanálise")</f>
        <v>Lucia Aparecida de França Correa - Formação Livre Psicanálise</v>
      </c>
    </row>
    <row r="4614">
      <c r="A4614" s="390" t="str">
        <f>IFERROR(__xludf.DUMMYFUNCTION("""COMPUTED_VALUE"""),"Lucia Aparecida de França Correa - Pós-Graduação em Psicanálise")</f>
        <v>Lucia Aparecida de França Correa - Pós-Graduação em Psicanálise</v>
      </c>
    </row>
    <row r="4615">
      <c r="A4615" s="390" t="str">
        <f>IFERROR(__xludf.DUMMYFUNCTION("""COMPUTED_VALUE"""),":Eulasia Moreira de Melo da Rocha - Formação Livre Psicanálise")</f>
        <v>:Eulasia Moreira de Melo da Rocha - Formação Livre Psicanálise</v>
      </c>
    </row>
    <row r="4616">
      <c r="A4616" s="390" t="str">
        <f>IFERROR(__xludf.DUMMYFUNCTION("""COMPUTED_VALUE"""),"KEYLA SILVA GOMES BARBOSA - Pós-Graduação em Psicanálise")</f>
        <v>KEYLA SILVA GOMES BARBOSA - Pós-Graduação em Psicanálise</v>
      </c>
    </row>
    <row r="4617">
      <c r="A4617" s="390" t="str">
        <f>IFERROR(__xludf.DUMMYFUNCTION("""COMPUTED_VALUE"""),"Dineia Braga da Silva - #SLMF - Segunda Licenciatura em Música 1320Horas")</f>
        <v>Dineia Braga da Silva - #SLMF - Segunda Licenciatura em Música 1320Horas</v>
      </c>
    </row>
    <row r="4618">
      <c r="A4618" s="390" t="str">
        <f>IFERROR(__xludf.DUMMYFUNCTION("""COMPUTED_VALUE"""),"Eliani da Silva Gonçalves - Pós-Graduação Alfabetização e Letramento")</f>
        <v>Eliani da Silva Gonçalves - Pós-Graduação Alfabetização e Letramento</v>
      </c>
    </row>
    <row r="4619">
      <c r="A4619" s="390" t="str">
        <f>IFERROR(__xludf.DUMMYFUNCTION("""COMPUTED_VALUE"""),"Maria Madalena Francelino de Carvalho Santos - Pós-Graduação em Psicanálise")</f>
        <v>Maria Madalena Francelino de Carvalho Santos - Pós-Graduação em Psicanálise</v>
      </c>
    </row>
    <row r="4620">
      <c r="A4620" s="390" t="str">
        <f>IFERROR(__xludf.DUMMYFUNCTION("""COMPUTED_VALUE"""),"Maria Tânia de Santana - PÓS-GRADUAÇÃO EM NEUROPSICOLOGIA 540h")</f>
        <v>Maria Tânia de Santana - PÓS-GRADUAÇÃO EM NEUROPSICOLOGIA 540h</v>
      </c>
    </row>
    <row r="4621">
      <c r="A4621" s="390" t="str">
        <f>IFERROR(__xludf.DUMMYFUNCTION("""COMPUTED_VALUE"""),"Maria Tânia de Santana - Pós-Graduação em Neuropsicopedagogia Institucional, Clínica e Hospitalar 850h")</f>
        <v>Maria Tânia de Santana - Pós-Graduação em Neuropsicopedagogia Institucional, Clínica e Hospitalar 850h</v>
      </c>
    </row>
    <row r="4622">
      <c r="A4622" s="390" t="str">
        <f>IFERROR(__xludf.DUMMYFUNCTION("""COMPUTED_VALUE"""),"Cristiane Giamberardino Rochavetz Rosa - #FPUP-FORMAÇÃO PEDAGÓGICA EM PEDAGOGIA- U")</f>
        <v>Cristiane Giamberardino Rochavetz Rosa - #FPUP-FORMAÇÃO PEDAGÓGICA EM PEDAGOGIA- U</v>
      </c>
    </row>
    <row r="4623">
      <c r="A4623" s="390" t="str">
        <f>IFERROR(__xludf.DUMMYFUNCTION("""COMPUTED_VALUE"""),"Tânisa Silvana Rodrigues dos Santos - #FPMF- Formação Pedagógica em Música 1200Horas")</f>
        <v>Tânisa Silvana Rodrigues dos Santos - #FPMF- Formação Pedagógica em Música 1200Horas</v>
      </c>
    </row>
    <row r="4624">
      <c r="A4624" s="390" t="str">
        <f>IFERROR(__xludf.DUMMYFUNCTION("""COMPUTED_VALUE"""),"Jucicley Matos Dos Santos - #SLUH- Segunda Licenciatura em História")</f>
        <v>Jucicley Matos Dos Santos - #SLUH- Segunda Licenciatura em História</v>
      </c>
    </row>
    <row r="4625">
      <c r="A4625" s="390" t="str">
        <f>IFERROR(__xludf.DUMMYFUNCTION("""COMPUTED_VALUE"""),"Patrícia Demétria Castello Branco Ioshitake - #SLUP - SEGUNDA LICENCIATURA EM PEDAGOGIA")</f>
        <v>Patrícia Demétria Castello Branco Ioshitake - #SLUP - SEGUNDA LICENCIATURA EM PEDAGOGIA</v>
      </c>
    </row>
    <row r="4626">
      <c r="A4626" s="390" t="str">
        <f>IFERROR(__xludf.DUMMYFUNCTION("""COMPUTED_VALUE"""),"Patrícia Demétria Castello Branco Ioshitake - Pós-Graduação em Gestão Escolar")</f>
        <v>Patrícia Demétria Castello Branco Ioshitake - Pós-Graduação em Gestão Escolar</v>
      </c>
    </row>
    <row r="4627">
      <c r="A4627" s="390" t="str">
        <f>IFERROR(__xludf.DUMMYFUNCTION("""COMPUTED_VALUE"""),"Felipe da Silva Carvalho - #FPMF- Formação Pedagógica em Música 1200Horas")</f>
        <v>Felipe da Silva Carvalho - #FPMF- Formação Pedagógica em Música 1200Horas</v>
      </c>
    </row>
    <row r="4628">
      <c r="A4628" s="390" t="str">
        <f>IFERROR(__xludf.DUMMYFUNCTION("""COMPUTED_VALUE"""),"Janaciara Moreira Ribas - #SLPA- Segunda Licenciatura em Pedagogia 01")</f>
        <v>Janaciara Moreira Ribas - #SLPA- Segunda Licenciatura em Pedagogia 01</v>
      </c>
    </row>
    <row r="4629">
      <c r="A4629" s="390" t="str">
        <f>IFERROR(__xludf.DUMMYFUNCTION("""COMPUTED_VALUE"""),"Janaciara Moreira Ribas - #FPUP-FORMAÇÃO PEDAGÓGICA EM PEDAGOGIA- U")</f>
        <v>Janaciara Moreira Ribas - #FPUP-FORMAÇÃO PEDAGÓGICA EM PEDAGOGIA- U</v>
      </c>
    </row>
    <row r="4630">
      <c r="A4630" s="390" t="str">
        <f>IFERROR(__xludf.DUMMYFUNCTION("""COMPUTED_VALUE"""),"Carolina de Carvalho Almeida Dorigon - NOVO-Pós-Graduação em Psicanálise 800 Horas")</f>
        <v>Carolina de Carvalho Almeida Dorigon - NOVO-Pós-Graduação em Psicanálise 800 Horas</v>
      </c>
    </row>
    <row r="4631">
      <c r="A4631" s="390" t="str">
        <f>IFERROR(__xludf.DUMMYFUNCTION("""COMPUTED_VALUE"""),"Carolina de Carvalho Almeida Dorigon - Pós-Graduação Terapia em TDAH Clínica 920Horas")</f>
        <v>Carolina de Carvalho Almeida Dorigon - Pós-Graduação Terapia em TDAH Clínica 920Horas</v>
      </c>
    </row>
    <row r="4632">
      <c r="A4632" s="390" t="str">
        <f>IFERROR(__xludf.DUMMYFUNCTION("""COMPUTED_VALUE"""),"Simone Grimaldi - Formação Livre Psicanálise")</f>
        <v>Simone Grimaldi - Formação Livre Psicanálise</v>
      </c>
    </row>
    <row r="4633">
      <c r="A4633" s="390" t="str">
        <f>IFERROR(__xludf.DUMMYFUNCTION("""COMPUTED_VALUE"""),"Lígia Carrion Sanvezzo Tofaneli - #FPUP-FORMAÇÃO PEDAGÓGICA EM PEDAGOGIA- U")</f>
        <v>Lígia Carrion Sanvezzo Tofaneli - #FPUP-FORMAÇÃO PEDAGÓGICA EM PEDAGOGIA- U</v>
      </c>
    </row>
    <row r="4634">
      <c r="A4634" s="390" t="str">
        <f>IFERROR(__xludf.DUMMYFUNCTION("""COMPUTED_VALUE"""),"Lígia Carrion Sanvezzo Tofaneli - Pós-Graduação em Educação Infantil")</f>
        <v>Lígia Carrion Sanvezzo Tofaneli - Pós-Graduação em Educação Infantil</v>
      </c>
    </row>
    <row r="4635">
      <c r="A4635" s="390" t="str">
        <f>IFERROR(__xludf.DUMMYFUNCTION("""COMPUTED_VALUE"""),"Sandra da Silva Bovolato Machado - #FPMF- Formação Pedagógica em Música 1200Horas")</f>
        <v>Sandra da Silva Bovolato Machado - #FPMF- Formação Pedagógica em Música 1200Horas</v>
      </c>
    </row>
    <row r="4636">
      <c r="A4636" s="390" t="str">
        <f>IFERROR(__xludf.DUMMYFUNCTION("""COMPUTED_VALUE"""),"Mateus Cardoso Soares dos Santos - Pós-Graduação em Compliance")</f>
        <v>Mateus Cardoso Soares dos Santos - Pós-Graduação em Compliance</v>
      </c>
    </row>
    <row r="4637">
      <c r="A4637" s="390" t="str">
        <f>IFERROR(__xludf.DUMMYFUNCTION("""COMPUTED_VALUE"""),"Mateus Cardoso Soares dos Santos - #FPMF- Formação Pedagógica em Música 1200Horas")</f>
        <v>Mateus Cardoso Soares dos Santos - #FPMF- Formação Pedagógica em Música 1200Horas</v>
      </c>
    </row>
    <row r="4638">
      <c r="A4638" s="390" t="str">
        <f>IFERROR(__xludf.DUMMYFUNCTION("""COMPUTED_VALUE"""),"Mariana Luize Souza Zaupa Silva - #FPUP-FORMAÇÃO PEDAGÓGICA EM PEDAGOGIA- U")</f>
        <v>Mariana Luize Souza Zaupa Silva - #FPUP-FORMAÇÃO PEDAGÓGICA EM PEDAGOGIA- U</v>
      </c>
    </row>
    <row r="4639">
      <c r="A4639" s="390" t="str">
        <f>IFERROR(__xludf.DUMMYFUNCTION("""COMPUTED_VALUE"""),"Mariana Luize Souza Zaupa Silva - Pós-Graduação em Educação Infantil")</f>
        <v>Mariana Luize Souza Zaupa Silva - Pós-Graduação em Educação Infantil</v>
      </c>
    </row>
    <row r="4640">
      <c r="A4640" s="390" t="str">
        <f>IFERROR(__xludf.DUMMYFUNCTION("""COMPUTED_VALUE"""),"Ivete de Carvalho e Almeida Galanti - NOVO-Pós-Graduação em Psicanálise 800 Horas")</f>
        <v>Ivete de Carvalho e Almeida Galanti - NOVO-Pós-Graduação em Psicanálise 800 Horas</v>
      </c>
    </row>
    <row r="4641">
      <c r="A4641" s="390" t="str">
        <f>IFERROR(__xludf.DUMMYFUNCTION("""COMPUTED_VALUE"""),"Ivete de Carvalho e Almeida Galanti - Pós-Graduação Terapia em TDAH Clínica 920Horas")</f>
        <v>Ivete de Carvalho e Almeida Galanti - Pós-Graduação Terapia em TDAH Clínica 920Horas</v>
      </c>
    </row>
    <row r="4642">
      <c r="A4642" s="390" t="str">
        <f>IFERROR(__xludf.DUMMYFUNCTION("""COMPUTED_VALUE"""),"Ana Paula dos Santos Dias Braga - #FPULPI- Formação Pedagógica em Letras – Português e Inglês")</f>
        <v>Ana Paula dos Santos Dias Braga - #FPULPI- Formação Pedagógica em Letras – Português e Inglês</v>
      </c>
    </row>
    <row r="4643">
      <c r="A4643" s="390" t="str">
        <f>IFERROR(__xludf.DUMMYFUNCTION("""COMPUTED_VALUE"""),"Robson Rodrigues de Siqueira - #SLMF- Segunda Licenciatura em Música 2022 880Horas")</f>
        <v>Robson Rodrigues de Siqueira - #SLMF- Segunda Licenciatura em Música 2022 880Horas</v>
      </c>
    </row>
    <row r="4644">
      <c r="A4644" s="390" t="str">
        <f>IFERROR(__xludf.DUMMYFUNCTION("""COMPUTED_VALUE"""),"Fernando Leite Miranda - #SLPA- Segunda Licenciatura em Pedagogia 01")</f>
        <v>Fernando Leite Miranda - #SLPA- Segunda Licenciatura em Pedagogia 01</v>
      </c>
    </row>
    <row r="4645">
      <c r="A4645" s="390" t="str">
        <f>IFERROR(__xludf.DUMMYFUNCTION("""COMPUTED_VALUE"""),"Fernando Leite Miranda - Pós-Graduação em Gestão Escolar Integrada com Ênfase em Supervisão, Orientação, Administração e Inspeção")</f>
        <v>Fernando Leite Miranda - Pós-Graduação em Gestão Escolar Integrada com Ênfase em Supervisão, Orientação, Administração e Inspeção</v>
      </c>
    </row>
    <row r="4646">
      <c r="A4646" s="390" t="str">
        <f>IFERROR(__xludf.DUMMYFUNCTION("""COMPUTED_VALUE"""),"Fernando Leite Miranda - #SLUP - SEGUNDA LICENCIATURA EM PEDAGOGIA")</f>
        <v>Fernando Leite Miranda - #SLUP - SEGUNDA LICENCIATURA EM PEDAGOGIA</v>
      </c>
    </row>
    <row r="4647">
      <c r="A4647" s="390" t="str">
        <f>IFERROR(__xludf.DUMMYFUNCTION("""COMPUTED_VALUE"""),"Fernando Leite Miranda - #SLPA- Segunda Licenciatura em Pedagogia 01")</f>
        <v>Fernando Leite Miranda - #SLPA- Segunda Licenciatura em Pedagogia 01</v>
      </c>
    </row>
    <row r="4648">
      <c r="A4648" s="390" t="str">
        <f>IFERROR(__xludf.DUMMYFUNCTION("""COMPUTED_VALUE"""),"Marcia de Oliveira Duarte - Pedagogia para Bacharéis")</f>
        <v>Marcia de Oliveira Duarte - Pedagogia para Bacharéis</v>
      </c>
    </row>
    <row r="4649">
      <c r="A4649" s="390" t="str">
        <f>IFERROR(__xludf.DUMMYFUNCTION("""COMPUTED_VALUE"""),"Marcia de Oliveira Duarte - Pós-Graduação em Gestão Escolar")</f>
        <v>Marcia de Oliveira Duarte - Pós-Graduação em Gestão Escolar</v>
      </c>
    </row>
    <row r="4650">
      <c r="A4650" s="390" t="str">
        <f>IFERROR(__xludf.DUMMYFUNCTION("""COMPUTED_VALUE"""),"Anaci Pantoja coelho - #SLUP - SEGUNDA LICENCIATURA EM PEDAGOGIA")</f>
        <v>Anaci Pantoja coelho - #SLUP - SEGUNDA LICENCIATURA EM PEDAGOGIA</v>
      </c>
    </row>
    <row r="4651">
      <c r="A4651" s="390" t="str">
        <f>IFERROR(__xludf.DUMMYFUNCTION("""COMPUTED_VALUE"""),"Meireângela Fontes Silva - NOVO-Pós-Graduação em Psicanálise 800 Horas")</f>
        <v>Meireângela Fontes Silva - NOVO-Pós-Graduação em Psicanálise 800 Horas</v>
      </c>
    </row>
    <row r="4652">
      <c r="A4652" s="390" t="str">
        <f>IFERROR(__xludf.DUMMYFUNCTION("""COMPUTED_VALUE"""),"Arnaldo da Silva lino - #SLPA- Segunda Licenciatura em Pedagogia 01")</f>
        <v>Arnaldo da Silva lino - #SLPA- Segunda Licenciatura em Pedagogia 01</v>
      </c>
    </row>
    <row r="4653">
      <c r="A4653" s="390" t="str">
        <f>IFERROR(__xludf.DUMMYFUNCTION("""COMPUTED_VALUE"""),"Arnaldo da Silva lino - Pós-Graduação em Psicopedagogia Escolar")</f>
        <v>Arnaldo da Silva lino - Pós-Graduação em Psicopedagogia Escolar</v>
      </c>
    </row>
    <row r="4654">
      <c r="A4654" s="390" t="str">
        <f>IFERROR(__xludf.DUMMYFUNCTION("""COMPUTED_VALUE"""),"Simone Rosa da Silva Adelino - #SLP22- Segunda Licenciatura em Pedagogia")</f>
        <v>Simone Rosa da Silva Adelino - #SLP22- Segunda Licenciatura em Pedagogia</v>
      </c>
    </row>
    <row r="4655">
      <c r="A4655" s="390" t="str">
        <f>IFERROR(__xludf.DUMMYFUNCTION("""COMPUTED_VALUE"""),"Simone Rosa da Silva Adelino - #SLPA- Segunda Licenciatura em Pedagogia 01")</f>
        <v>Simone Rosa da Silva Adelino - #SLPA- Segunda Licenciatura em Pedagogia 01</v>
      </c>
    </row>
    <row r="4656">
      <c r="A4656" s="390" t="str">
        <f>IFERROR(__xludf.DUMMYFUNCTION("""COMPUTED_VALUE"""),"Joel Júlio Salomé da Costa - #SLUS - Segunda Licenciatura em Sociologia")</f>
        <v>Joel Júlio Salomé da Costa - #SLUS - Segunda Licenciatura em Sociologia</v>
      </c>
    </row>
    <row r="4657">
      <c r="A4657" s="390" t="str">
        <f>IFERROR(__xludf.DUMMYFUNCTION("""COMPUTED_VALUE"""),"Melissa Parada de Souza - #SLUP - SEGUNDA LICENCIATURA EM PEDAGOGIA")</f>
        <v>Melissa Parada de Souza - #SLUP - SEGUNDA LICENCIATURA EM PEDAGOGIA</v>
      </c>
    </row>
    <row r="4658">
      <c r="A4658" s="390" t="str">
        <f>IFERROR(__xludf.DUMMYFUNCTION("""COMPUTED_VALUE"""),"Melissa Parada de Souza - Pós-Graduação em Psicopedagogia Escolar")</f>
        <v>Melissa Parada de Souza - Pós-Graduação em Psicopedagogia Escolar</v>
      </c>
    </row>
    <row r="4659">
      <c r="A4659" s="390" t="str">
        <f>IFERROR(__xludf.DUMMYFUNCTION("""COMPUTED_VALUE"""),"Silvia Aparecida Amorim Lopes Dias - Formação Pedagógica em Ciências Sociais")</f>
        <v>Silvia Aparecida Amorim Lopes Dias - Formação Pedagógica em Ciências Sociais</v>
      </c>
    </row>
    <row r="4660">
      <c r="A4660" s="390" t="str">
        <f>IFERROR(__xludf.DUMMYFUNCTION("""COMPUTED_VALUE"""),"Ana Elisa dos santos santana - #SLUPI - SEGUNDA LICENCIATURA EM LETRAS – PORTUGUÊS E INGLÊS")</f>
        <v>Ana Elisa dos santos santana - #SLUPI - SEGUNDA LICENCIATURA EM LETRAS – PORTUGUÊS E INGLÊS</v>
      </c>
    </row>
    <row r="4661">
      <c r="A4661" s="390" t="str">
        <f>IFERROR(__xludf.DUMMYFUNCTION("""COMPUTED_VALUE"""),"Denilton Patricio Porto - Pós-Graduação em Sexologia")</f>
        <v>Denilton Patricio Porto - Pós-Graduação em Sexologia</v>
      </c>
    </row>
    <row r="4662">
      <c r="A4662" s="390" t="str">
        <f>IFERROR(__xludf.DUMMYFUNCTION("""COMPUTED_VALUE"""),"Emily Guimarães Silva - Pós-Graduação em Engenharia de Segurança do Trabalho")</f>
        <v>Emily Guimarães Silva - Pós-Graduação em Engenharia de Segurança do Trabalho</v>
      </c>
    </row>
    <row r="4663">
      <c r="A4663" s="390" t="str">
        <f>IFERROR(__xludf.DUMMYFUNCTION("""COMPUTED_VALUE"""),"Aline Ferreira de souza - NOVO-Pós-Graduação em Psicanálise 800 Horas")</f>
        <v>Aline Ferreira de souza - NOVO-Pós-Graduação em Psicanálise 800 Horas</v>
      </c>
    </row>
    <row r="4664">
      <c r="A4664" s="390" t="str">
        <f>IFERROR(__xludf.DUMMYFUNCTION("""COMPUTED_VALUE"""),"Gislaine Cristina da Silva santos - #SLAA - Segunda Licenciatura em Artes Visuais")</f>
        <v>Gislaine Cristina da Silva santos - #SLAA - Segunda Licenciatura em Artes Visuais</v>
      </c>
    </row>
    <row r="4665">
      <c r="A4665" s="390" t="str">
        <f>IFERROR(__xludf.DUMMYFUNCTION("""COMPUTED_VALUE"""),"Daianny Emanuelly Gomes Azevedo - NOVO-Pós-Graduação em Psicanálise 800 Horas")</f>
        <v>Daianny Emanuelly Gomes Azevedo - NOVO-Pós-Graduação em Psicanálise 800 Horas</v>
      </c>
    </row>
    <row r="4666">
      <c r="A4666" s="390" t="str">
        <f>IFERROR(__xludf.DUMMYFUNCTION("""COMPUTED_VALUE"""),"Sandra Maria de Amorim - Formação Livre Psicanálise")</f>
        <v>Sandra Maria de Amorim - Formação Livre Psicanálise</v>
      </c>
    </row>
    <row r="4667">
      <c r="A4667" s="390" t="str">
        <f>IFERROR(__xludf.DUMMYFUNCTION("""COMPUTED_VALUE"""),"Sandra Maria de Amorim - Formação Livre em Psicanálise-2022")</f>
        <v>Sandra Maria de Amorim - Formação Livre em Psicanálise-2022</v>
      </c>
    </row>
    <row r="4668">
      <c r="A4668" s="390" t="str">
        <f>IFERROR(__xludf.DUMMYFUNCTION("""COMPUTED_VALUE"""),"Bruno Soares da Silva - #FPUM Formação Pedagógica em Matemática")</f>
        <v>Bruno Soares da Silva - #FPUM Formação Pedagógica em Matemática</v>
      </c>
    </row>
    <row r="4669">
      <c r="A4669" s="390" t="str">
        <f>IFERROR(__xludf.DUMMYFUNCTION("""COMPUTED_VALUE"""),"Bruno Soares da Silva - #FPM+ Formação Pedagógica em Matemática-760 Horas")</f>
        <v>Bruno Soares da Silva - #FPM+ Formação Pedagógica em Matemática-760 Horas</v>
      </c>
    </row>
    <row r="4670">
      <c r="A4670" s="390" t="str">
        <f>IFERROR(__xludf.DUMMYFUNCTION("""COMPUTED_VALUE"""),"Valdenisa Ferreira Fontenele de Morais - Pós-Graduação em Personal Trainer e Treinamento Desportivo")</f>
        <v>Valdenisa Ferreira Fontenele de Morais - Pós-Graduação em Personal Trainer e Treinamento Desportivo</v>
      </c>
    </row>
    <row r="4671">
      <c r="A4671" s="390" t="str">
        <f>IFERROR(__xludf.DUMMYFUNCTION("""COMPUTED_VALUE"""),"Adeonis Alves Cavalcante - #FPP- Formação Pedagógica em Pedagogia R2")</f>
        <v>Adeonis Alves Cavalcante - #FPP- Formação Pedagógica em Pedagogia R2</v>
      </c>
    </row>
    <row r="4672">
      <c r="A4672" s="390" t="str">
        <f>IFERROR(__xludf.DUMMYFUNCTION("""COMPUTED_VALUE"""),"Adeonis Alves Cavalcante - #FPP- Formação Pedagógica em Pedagogia R2")</f>
        <v>Adeonis Alves Cavalcante - #FPP- Formação Pedagógica em Pedagogia R2</v>
      </c>
    </row>
    <row r="4673">
      <c r="A4673" s="390" t="str">
        <f>IFERROR(__xludf.DUMMYFUNCTION("""COMPUTED_VALUE"""),"Nataly da Conceição dos Santos Araújo - Novo-Pós-Graduação em Sexologia 800Horas")</f>
        <v>Nataly da Conceição dos Santos Araújo - Novo-Pós-Graduação em Sexologia 800Horas</v>
      </c>
    </row>
    <row r="4674">
      <c r="A4674" s="390" t="str">
        <f>IFERROR(__xludf.DUMMYFUNCTION("""COMPUTED_VALUE"""),"Nataly da Conceição dos Santos Araújo - Pós-Graduação em Sexologia")</f>
        <v>Nataly da Conceição dos Santos Araújo - Pós-Graduação em Sexologia</v>
      </c>
    </row>
    <row r="4675">
      <c r="A4675" s="390" t="str">
        <f>IFERROR(__xludf.DUMMYFUNCTION("""COMPUTED_VALUE"""),"Damiana Nascimento de Oliveira - Capacitação em Sexologia")</f>
        <v>Damiana Nascimento de Oliveira - Capacitação em Sexologia</v>
      </c>
    </row>
    <row r="4676">
      <c r="A4676" s="390" t="str">
        <f>IFERROR(__xludf.DUMMYFUNCTION("""COMPUTED_VALUE"""),"Whallef dos Reis Silva - Pós-Graduação em Psicologia Educacional")</f>
        <v>Whallef dos Reis Silva - Pós-Graduação em Psicologia Educacional</v>
      </c>
    </row>
    <row r="4677">
      <c r="A4677" s="390" t="str">
        <f>IFERROR(__xludf.DUMMYFUNCTION("""COMPUTED_VALUE"""),"SIMONE MATOS DOS SANTOS - Pós-Graduação Terapia em TDAH Clínica 920Horas")</f>
        <v>SIMONE MATOS DOS SANTOS - Pós-Graduação Terapia em TDAH Clínica 920Horas</v>
      </c>
    </row>
    <row r="4678">
      <c r="A4678" s="390" t="str">
        <f>IFERROR(__xludf.DUMMYFUNCTION("""COMPUTED_VALUE"""),"Cassia Silene Rebolho Pereira - Pós-Graduação Psicopedagogia Institucional")</f>
        <v>Cassia Silene Rebolho Pereira - Pós-Graduação Psicopedagogia Institucional</v>
      </c>
    </row>
    <row r="4679">
      <c r="A4679" s="390" t="str">
        <f>IFERROR(__xludf.DUMMYFUNCTION("""COMPUTED_VALUE"""),"Cassia Silene Rebolho Pereira - Pós-Graduação em Psicopedagogia Institucional e Clínica 710Horas")</f>
        <v>Cassia Silene Rebolho Pereira - Pós-Graduação em Psicopedagogia Institucional e Clínica 710Horas</v>
      </c>
    </row>
    <row r="4680">
      <c r="A4680" s="390" t="str">
        <f>IFERROR(__xludf.DUMMYFUNCTION("""COMPUTED_VALUE"""),"Eliza Maria Tiago da Silva - Pedagogia para Bacharéis")</f>
        <v>Eliza Maria Tiago da Silva - Pedagogia para Bacharéis</v>
      </c>
    </row>
    <row r="4681">
      <c r="A4681" s="390" t="str">
        <f>IFERROR(__xludf.DUMMYFUNCTION("""COMPUTED_VALUE"""),"Helton Hermes De Oliveira - #FPH+ Formação Pedagógica em História - 2022 790Horas")</f>
        <v>Helton Hermes De Oliveira - #FPH+ Formação Pedagógica em História - 2022 790Horas</v>
      </c>
    </row>
    <row r="4682">
      <c r="A4682" s="390" t="str">
        <f>IFERROR(__xludf.DUMMYFUNCTION("""COMPUTED_VALUE"""),"Helton Hermes De Oliveira - Formação Pedagógica História")</f>
        <v>Helton Hermes De Oliveira - Formação Pedagógica História</v>
      </c>
    </row>
    <row r="4683">
      <c r="A4683" s="390" t="str">
        <f>IFERROR(__xludf.DUMMYFUNCTION("""COMPUTED_VALUE"""),"Patrícia de Sousa Gomes - #FPMF- Formação Pedagógica em Música 1200Horas")</f>
        <v>Patrícia de Sousa Gomes - #FPMF- Formação Pedagógica em Música 1200Horas</v>
      </c>
    </row>
    <row r="4684">
      <c r="A4684" s="390" t="str">
        <f>IFERROR(__xludf.DUMMYFUNCTION("""COMPUTED_VALUE"""),"Patrícia de Sousa Gomes - #SLMF- Segunda Licenciatura em Música 2022 880Horas")</f>
        <v>Patrícia de Sousa Gomes - #SLMF- Segunda Licenciatura em Música 2022 880Horas</v>
      </c>
    </row>
    <row r="4685">
      <c r="A4685" s="390" t="str">
        <f>IFERROR(__xludf.DUMMYFUNCTION("""COMPUTED_VALUE"""),"Patrícia de Sousa Gomes - #FPMF- Formação Pedagógica em Música 2022")</f>
        <v>Patrícia de Sousa Gomes - #FPMF- Formação Pedagógica em Música 2022</v>
      </c>
    </row>
    <row r="4686">
      <c r="A4686" s="390" t="str">
        <f>IFERROR(__xludf.DUMMYFUNCTION("""COMPUTED_VALUE"""),"Rafaella Pereira de Araujo Carneiro - Formação Livre Psicanálise")</f>
        <v>Rafaella Pereira de Araujo Carneiro - Formação Livre Psicanálise</v>
      </c>
    </row>
    <row r="4687">
      <c r="A4687" s="390" t="str">
        <f>IFERROR(__xludf.DUMMYFUNCTION("""COMPUTED_VALUE"""),"Maísa Castro de Andrade - NOVO-Pós-Graduação em Psicanálise 800 Horas")</f>
        <v>Maísa Castro de Andrade - NOVO-Pós-Graduação em Psicanálise 800 Horas</v>
      </c>
    </row>
    <row r="4688">
      <c r="A4688" s="390" t="str">
        <f>IFERROR(__xludf.DUMMYFUNCTION("""COMPUTED_VALUE"""),"Roberto Lima Alcântara Marques - NOVO-Pós-Graduação em Psicanálise 800 Horas")</f>
        <v>Roberto Lima Alcântara Marques - NOVO-Pós-Graduação em Psicanálise 800 Horas</v>
      </c>
    </row>
    <row r="4689">
      <c r="A4689" s="390" t="str">
        <f>IFERROR(__xludf.DUMMYFUNCTION("""COMPUTED_VALUE"""),"Alexandra Cristina Siqueira - Pós-Graduação em Atendimento na Unidade Básica de Saúde-Enfermagem")</f>
        <v>Alexandra Cristina Siqueira - Pós-Graduação em Atendimento na Unidade Básica de Saúde-Enfermagem</v>
      </c>
    </row>
    <row r="4690">
      <c r="A4690" s="390" t="str">
        <f>IFERROR(__xludf.DUMMYFUNCTION("""COMPUTED_VALUE"""),"Natalia Regina Dias Amaral - Pós-Graduação em Ensino de História e Geografia")</f>
        <v>Natalia Regina Dias Amaral - Pós-Graduação em Ensino de História e Geografia</v>
      </c>
    </row>
    <row r="4691">
      <c r="A4691" s="390" t="str">
        <f>IFERROR(__xludf.DUMMYFUNCTION("""COMPUTED_VALUE"""),"Natalia Regina Dias Amaral - Pós-Graduação em Ensino da Literatura e Produção de Textos em Língua Portuguesa")</f>
        <v>Natalia Regina Dias Amaral - Pós-Graduação em Ensino da Literatura e Produção de Textos em Língua Portuguesa</v>
      </c>
    </row>
    <row r="4692">
      <c r="A4692" s="390" t="str">
        <f>IFERROR(__xludf.DUMMYFUNCTION("""COMPUTED_VALUE"""),"RENATA ARAUJO EVANGELISTA FERREIRA - Pós-Graduação em TDAH – Transtorno do Déficit de Atenção e Hiperatividade")</f>
        <v>RENATA ARAUJO EVANGELISTA FERREIRA - Pós-Graduação em TDAH – Transtorno do Déficit de Atenção e Hiperatividade</v>
      </c>
    </row>
    <row r="4693">
      <c r="A4693" s="390" t="str">
        <f>IFERROR(__xludf.DUMMYFUNCTION("""COMPUTED_VALUE"""),"Alexandra Moreira Cortes Souto Maior Bastos Luiz - Pós-Graduação em Psicomotricidade")</f>
        <v>Alexandra Moreira Cortes Souto Maior Bastos Luiz - Pós-Graduação em Psicomotricidade</v>
      </c>
    </row>
    <row r="4694">
      <c r="A4694" s="390" t="str">
        <f>IFERROR(__xludf.DUMMYFUNCTION("""COMPUTED_VALUE"""),"Joyce Elaine Corrêa Gobette - #SLPA- Segunda Licenciatura em Pedagogia 01")</f>
        <v>Joyce Elaine Corrêa Gobette - #SLPA- Segunda Licenciatura em Pedagogia 01</v>
      </c>
    </row>
    <row r="4695">
      <c r="A4695" s="390" t="str">
        <f>IFERROR(__xludf.DUMMYFUNCTION("""COMPUTED_VALUE"""),"Fabiano de Moura Rosa - Pedagogia para Bacharéis")</f>
        <v>Fabiano de Moura Rosa - Pedagogia para Bacharéis</v>
      </c>
    </row>
    <row r="4696">
      <c r="A4696" s="390" t="str">
        <f>IFERROR(__xludf.DUMMYFUNCTION("""COMPUTED_VALUE"""),"Marco Túlio de Abreu - Pós-Graduação Em Direito De Família E Sucessões 2022")</f>
        <v>Marco Túlio de Abreu - Pós-Graduação Em Direito De Família E Sucessões 2022</v>
      </c>
    </row>
    <row r="4697">
      <c r="A4697" s="390" t="str">
        <f>IFERROR(__xludf.DUMMYFUNCTION("""COMPUTED_VALUE"""),"Marco Túlio de Abreu - Práticas Pedagógicas")</f>
        <v>Marco Túlio de Abreu - Práticas Pedagógicas</v>
      </c>
    </row>
    <row r="4698">
      <c r="A4698" s="390" t="str">
        <f>IFERROR(__xludf.DUMMYFUNCTION("""COMPUTED_VALUE"""),"Marco Túlio de Abreu - Pós-Graduação em Inspeção Escolar")</f>
        <v>Marco Túlio de Abreu - Pós-Graduação em Inspeção Escolar</v>
      </c>
    </row>
    <row r="4699">
      <c r="A4699" s="390" t="str">
        <f>IFERROR(__xludf.DUMMYFUNCTION("""COMPUTED_VALUE"""),"Marco Túlio de Abreu - Pós-Graduação Inspeção Escolar")</f>
        <v>Marco Túlio de Abreu - Pós-Graduação Inspeção Escolar</v>
      </c>
    </row>
    <row r="4700">
      <c r="A4700" s="390" t="str">
        <f>IFERROR(__xludf.DUMMYFUNCTION("""COMPUTED_VALUE"""),"Marco Túlio de Abreu - #SLUP - SEGUNDA LICENCIATURA EM PEDAGOGIA")</f>
        <v>Marco Túlio de Abreu - #SLUP - SEGUNDA LICENCIATURA EM PEDAGOGIA</v>
      </c>
    </row>
    <row r="4701">
      <c r="A4701" s="390" t="str">
        <f>IFERROR(__xludf.DUMMYFUNCTION("""COMPUTED_VALUE"""),"Greiciane francinete Alves - Formação Livre Psicanálise")</f>
        <v>Greiciane francinete Alves - Formação Livre Psicanálise</v>
      </c>
    </row>
    <row r="4702">
      <c r="A4702" s="390" t="str">
        <f>IFERROR(__xludf.DUMMYFUNCTION("""COMPUTED_VALUE"""),"Tatiane Vareschini - Pós-Graduação em Ensino de Geografia")</f>
        <v>Tatiane Vareschini - Pós-Graduação em Ensino de Geografia</v>
      </c>
    </row>
    <row r="4703">
      <c r="A4703" s="390" t="str">
        <f>IFERROR(__xludf.DUMMYFUNCTION("""COMPUTED_VALUE"""),"Tatiane Vareschini - Pós-Graduação em Educação Infantil")</f>
        <v>Tatiane Vareschini - Pós-Graduação em Educação Infantil</v>
      </c>
    </row>
    <row r="4704">
      <c r="A4704" s="390" t="str">
        <f>IFERROR(__xludf.DUMMYFUNCTION("""COMPUTED_VALUE"""),"Ivanaldo Arruda do Nascimento - Pós-Graduação em Supervisão e Orientação Escolar-2022")</f>
        <v>Ivanaldo Arruda do Nascimento - Pós-Graduação em Supervisão e Orientação Escolar-2022</v>
      </c>
    </row>
    <row r="4705">
      <c r="A4705" s="390" t="str">
        <f>IFERROR(__xludf.DUMMYFUNCTION("""COMPUTED_VALUE"""),"Ivanaldo Arruda do Nascimento - Pós-graduação em gestão e orientação escolar 600h")</f>
        <v>Ivanaldo Arruda do Nascimento - Pós-graduação em gestão e orientação escolar 600h</v>
      </c>
    </row>
    <row r="4706">
      <c r="A4706" s="390" t="str">
        <f>IFERROR(__xludf.DUMMYFUNCTION("""COMPUTED_VALUE"""),"Elisabete Patrícia Fonseca Barbosa Dias - Formação Livre Psicanálise")</f>
        <v>Elisabete Patrícia Fonseca Barbosa Dias - Formação Livre Psicanálise</v>
      </c>
    </row>
    <row r="4707">
      <c r="A4707" s="390" t="str">
        <f>IFERROR(__xludf.DUMMYFUNCTION("""COMPUTED_VALUE"""),"Elisabete Patrícia Fonseca Barbosa Dias - Formação Livre em Psicanálise-2022")</f>
        <v>Elisabete Patrícia Fonseca Barbosa Dias - Formação Livre em Psicanálise-2022</v>
      </c>
    </row>
    <row r="4708">
      <c r="A4708" s="390" t="str">
        <f>IFERROR(__xludf.DUMMYFUNCTION("""COMPUTED_VALUE"""),"Nelson Enrique Meléndez Alcalá - Formação Livre Psicanálise")</f>
        <v>Nelson Enrique Meléndez Alcalá - Formação Livre Psicanálise</v>
      </c>
    </row>
    <row r="4709">
      <c r="A4709" s="390" t="str">
        <f>IFERROR(__xludf.DUMMYFUNCTION("""COMPUTED_VALUE"""),"Lúcio Marcelino Ribeiro - #SLUH- Segunda Licenciatura em História")</f>
        <v>Lúcio Marcelino Ribeiro - #SLUH- Segunda Licenciatura em História</v>
      </c>
    </row>
    <row r="4710">
      <c r="A4710" s="390" t="str">
        <f>IFERROR(__xludf.DUMMYFUNCTION("""COMPUTED_VALUE"""),"Lúcio Marcelino Ribeiro - #SLH+1- Segunda Licenciatura em História")</f>
        <v>Lúcio Marcelino Ribeiro - #SLH+1- Segunda Licenciatura em História</v>
      </c>
    </row>
    <row r="4711">
      <c r="A4711" s="390" t="str">
        <f>IFERROR(__xludf.DUMMYFUNCTION("""COMPUTED_VALUE"""),"Lucas Neves de Brito - #SLMF- Segunda Licenciatura em Música 2022 880Horas")</f>
        <v>Lucas Neves de Brito - #SLMF- Segunda Licenciatura em Música 2022 880Horas</v>
      </c>
    </row>
    <row r="4712">
      <c r="A4712" s="390" t="str">
        <f>IFERROR(__xludf.DUMMYFUNCTION("""COMPUTED_VALUE"""),"Lucas Neves de Brito - Pós-Graduação em Educação Musical")</f>
        <v>Lucas Neves de Brito - Pós-Graduação em Educação Musical</v>
      </c>
    </row>
    <row r="4713">
      <c r="A4713" s="390" t="str">
        <f>IFERROR(__xludf.DUMMYFUNCTION("""COMPUTED_VALUE"""),"Michael Douglas Conceição de Oliveira - Formação Livre Psicanálise")</f>
        <v>Michael Douglas Conceição de Oliveira - Formação Livre Psicanálise</v>
      </c>
    </row>
    <row r="4714">
      <c r="A4714" s="390" t="str">
        <f>IFERROR(__xludf.DUMMYFUNCTION("""COMPUTED_VALUE"""),"Lidiane Melo de Sousa - Formação Livre Psicanálise")</f>
        <v>Lidiane Melo de Sousa - Formação Livre Psicanálise</v>
      </c>
    </row>
    <row r="4715">
      <c r="A4715" s="390" t="str">
        <f>IFERROR(__xludf.DUMMYFUNCTION("""COMPUTED_VALUE"""),"Kelly Paulina Assunção da Silva - Pós-Graduação em Psicanálise")</f>
        <v>Kelly Paulina Assunção da Silva - Pós-Graduação em Psicanálise</v>
      </c>
    </row>
    <row r="4716">
      <c r="A4716" s="390" t="str">
        <f>IFERROR(__xludf.DUMMYFUNCTION("""COMPUTED_VALUE"""),"Mara Cristina Nobrega - Formação Livre Psicanálise")</f>
        <v>Mara Cristina Nobrega - Formação Livre Psicanálise</v>
      </c>
    </row>
    <row r="4717">
      <c r="A4717" s="390" t="str">
        <f>IFERROR(__xludf.DUMMYFUNCTION("""COMPUTED_VALUE"""),"Ronise Malheiros Nishioka - Pós-Graduação em Psicanálise")</f>
        <v>Ronise Malheiros Nishioka - Pós-Graduação em Psicanálise</v>
      </c>
    </row>
    <row r="4718">
      <c r="A4718" s="390" t="str">
        <f>IFERROR(__xludf.DUMMYFUNCTION("""COMPUTED_VALUE"""),"Andressa da Silva Guedes Abreu - Formação Livre Psicanálise")</f>
        <v>Andressa da Silva Guedes Abreu - Formação Livre Psicanálise</v>
      </c>
    </row>
    <row r="4719">
      <c r="A4719" s="390" t="str">
        <f>IFERROR(__xludf.DUMMYFUNCTION("""COMPUTED_VALUE"""),"Alberto Tavares de Souza - Pós-Graduação em Educação Musical-2022")</f>
        <v>Alberto Tavares de Souza - Pós-Graduação em Educação Musical-2022</v>
      </c>
    </row>
    <row r="4720">
      <c r="A4720" s="390" t="str">
        <f>IFERROR(__xludf.DUMMYFUNCTION("""COMPUTED_VALUE"""),"Gilvana Coelho Penedo - #SLPA- Segunda Licenciatura em Pedagogia 01")</f>
        <v>Gilvana Coelho Penedo - #SLPA- Segunda Licenciatura em Pedagogia 01</v>
      </c>
    </row>
    <row r="4721">
      <c r="A4721" s="390" t="str">
        <f>IFERROR(__xludf.DUMMYFUNCTION("""COMPUTED_VALUE"""),"Gilvana Coelho Penedo - Pós-Graduação em Ensino de Ciências")</f>
        <v>Gilvana Coelho Penedo - Pós-Graduação em Ensino de Ciências</v>
      </c>
    </row>
    <row r="4722">
      <c r="A4722" s="390" t="str">
        <f>IFERROR(__xludf.DUMMYFUNCTION("""COMPUTED_VALUE"""),"Lisânia Alves Lessa - #SLMF- Segunda Licenciatura em Música 2022 880Horas")</f>
        <v>Lisânia Alves Lessa - #SLMF- Segunda Licenciatura em Música 2022 880Horas</v>
      </c>
    </row>
    <row r="4723">
      <c r="A4723" s="390" t="str">
        <f>IFERROR(__xludf.DUMMYFUNCTION("""COMPUTED_VALUE"""),"Lisânia Alves Lessa - #SLMF - Segunda Licenciatura em Música 1320Horas")</f>
        <v>Lisânia Alves Lessa - #SLMF - Segunda Licenciatura em Música 1320Horas</v>
      </c>
    </row>
    <row r="4724">
      <c r="A4724" s="390" t="str">
        <f>IFERROR(__xludf.DUMMYFUNCTION("""COMPUTED_VALUE"""),"Adriana Maria Alves da Silva - #SLSEA - Segunda Licenciatura Letras - Espanhol")</f>
        <v>Adriana Maria Alves da Silva - #SLSEA - Segunda Licenciatura Letras - Espanhol</v>
      </c>
    </row>
    <row r="4725">
      <c r="A4725" s="390" t="str">
        <f>IFERROR(__xludf.DUMMYFUNCTION("""COMPUTED_VALUE"""),"Vanessa Domingues Pinto - Formação Pedagógica em Artes Visuais")</f>
        <v>Vanessa Domingues Pinto - Formação Pedagógica em Artes Visuais</v>
      </c>
    </row>
    <row r="4726">
      <c r="A4726" s="390" t="str">
        <f>IFERROR(__xludf.DUMMYFUNCTION("""COMPUTED_VALUE"""),"Juliana da Gama Gilio - Formação Pedagógica em Artes Visuais")</f>
        <v>Juliana da Gama Gilio - Formação Pedagógica em Artes Visuais</v>
      </c>
    </row>
    <row r="4727">
      <c r="A4727" s="390" t="str">
        <f>IFERROR(__xludf.DUMMYFUNCTION("""COMPUTED_VALUE"""),"Juliana da Gama Gilio - #FPA+- Formação Pedagógica em Artes Visuais-2022")</f>
        <v>Juliana da Gama Gilio - #FPA+- Formação Pedagógica em Artes Visuais-2022</v>
      </c>
    </row>
    <row r="4728">
      <c r="A4728" s="390" t="str">
        <f>IFERROR(__xludf.DUMMYFUNCTION("""COMPUTED_VALUE"""),"Maria Aparecida Bandeira da Silva - #SLLPIT1 - Segunda Licenciatura em Letras/Português-Inglês - 1310 Horas")</f>
        <v>Maria Aparecida Bandeira da Silva - #SLLPIT1 - Segunda Licenciatura em Letras/Português-Inglês - 1310 Horas</v>
      </c>
    </row>
    <row r="4729">
      <c r="A4729" s="390" t="str">
        <f>IFERROR(__xludf.DUMMYFUNCTION("""COMPUTED_VALUE"""),"Milene Lanziani Murakami - #SLUP - SEGUNDA LICENCIATURA EM PEDAGOGIA")</f>
        <v>Milene Lanziani Murakami - #SLUP - SEGUNDA LICENCIATURA EM PEDAGOGIA</v>
      </c>
    </row>
    <row r="4730">
      <c r="A4730" s="390" t="str">
        <f>IFERROR(__xludf.DUMMYFUNCTION("""COMPUTED_VALUE"""),"Milene Lanziani Murakami - Pós-Graduação em Gestão Educacional Pública")</f>
        <v>Milene Lanziani Murakami - Pós-Graduação em Gestão Educacional Pública</v>
      </c>
    </row>
    <row r="4731">
      <c r="A4731" s="390" t="str">
        <f>IFERROR(__xludf.DUMMYFUNCTION("""COMPUTED_VALUE"""),"Cláudio Henrique Gomes - Formação Pedagógica em Letras - Inglês")</f>
        <v>Cláudio Henrique Gomes - Formação Pedagógica em Letras - Inglês</v>
      </c>
    </row>
    <row r="4732">
      <c r="A4732" s="390" t="str">
        <f>IFERROR(__xludf.DUMMYFUNCTION("""COMPUTED_VALUE"""),"Patrick Kyoshi Shibana - Pós-Graduação em Engenharia de Segurança do Trabalho")</f>
        <v>Patrick Kyoshi Shibana - Pós-Graduação em Engenharia de Segurança do Trabalho</v>
      </c>
    </row>
    <row r="4733">
      <c r="A4733" s="390" t="str">
        <f>IFERROR(__xludf.DUMMYFUNCTION("""COMPUTED_VALUE"""),"Daniel Vitor Mariano Bonfim - #SLUP - SEGUNDA LICENCIATURA EM PEDAGOGIA")</f>
        <v>Daniel Vitor Mariano Bonfim - #SLUP - SEGUNDA LICENCIATURA EM PEDAGOGIA</v>
      </c>
    </row>
    <row r="4734">
      <c r="A4734" s="390" t="str">
        <f>IFERROR(__xludf.DUMMYFUNCTION("""COMPUTED_VALUE"""),"Clarice Martins Ramalho - #SLP22- Segunda Licenciatura em Pedagogia")</f>
        <v>Clarice Martins Ramalho - #SLP22- Segunda Licenciatura em Pedagogia</v>
      </c>
    </row>
    <row r="4735">
      <c r="A4735" s="390" t="str">
        <f>IFERROR(__xludf.DUMMYFUNCTION("""COMPUTED_VALUE"""),"Clarice Martins Ramalho - #SLPT- Segunda Licenciatura em Pedagogia")</f>
        <v>Clarice Martins Ramalho - #SLPT- Segunda Licenciatura em Pedagogia</v>
      </c>
    </row>
    <row r="4736">
      <c r="A4736" s="390" t="str">
        <f>IFERROR(__xludf.DUMMYFUNCTION("""COMPUTED_VALUE"""),"Camila Braga Ferro de Novais - Formação Livre Psicanálise")</f>
        <v>Camila Braga Ferro de Novais - Formação Livre Psicanálise</v>
      </c>
    </row>
    <row r="4737">
      <c r="A4737" s="390" t="str">
        <f>IFERROR(__xludf.DUMMYFUNCTION("""COMPUTED_VALUE"""),"andressa leviski guedes - #SLUP - SEGUNDA LICENCIATURA EM PEDAGOGIA")</f>
        <v>andressa leviski guedes - #SLUP - SEGUNDA LICENCIATURA EM PEDAGOGIA</v>
      </c>
    </row>
    <row r="4738">
      <c r="A4738" s="390" t="str">
        <f>IFERROR(__xludf.DUMMYFUNCTION("""COMPUTED_VALUE"""),"andressa leviski guedes - Pós-Graduação em Libras")</f>
        <v>andressa leviski guedes - Pós-Graduação em Libras</v>
      </c>
    </row>
    <row r="4739">
      <c r="A4739" s="390" t="str">
        <f>IFERROR(__xludf.DUMMYFUNCTION("""COMPUTED_VALUE"""),"Weslei Pasqualino - #FPUH- Formação Pedagógica em História")</f>
        <v>Weslei Pasqualino - #FPUH- Formação Pedagógica em História</v>
      </c>
    </row>
    <row r="4740">
      <c r="A4740" s="390" t="str">
        <f>IFERROR(__xludf.DUMMYFUNCTION("""COMPUTED_VALUE"""),"Weslei Pasqualino - #FPH+- Formação Pedagógica em História 2022")</f>
        <v>Weslei Pasqualino - #FPH+- Formação Pedagógica em História 2022</v>
      </c>
    </row>
    <row r="4741">
      <c r="A4741" s="390" t="str">
        <f>IFERROR(__xludf.DUMMYFUNCTION("""COMPUTED_VALUE"""),"JAQUELINE DE JESUS LANÇONE - Pós-Graduação Psicopedagogia Clínica, Institucional e Hospitalar")</f>
        <v>JAQUELINE DE JESUS LANÇONE - Pós-Graduação Psicopedagogia Clínica, Institucional e Hospitalar</v>
      </c>
    </row>
    <row r="4742">
      <c r="A4742" s="390" t="str">
        <f>IFERROR(__xludf.DUMMYFUNCTION("""COMPUTED_VALUE"""),"Guilherme Cappellanes Gunela - Pós-Graduação Direito Digital 600Horas")</f>
        <v>Guilherme Cappellanes Gunela - Pós-Graduação Direito Digital 600Horas</v>
      </c>
    </row>
    <row r="4743">
      <c r="A4743" s="390" t="str">
        <f>IFERROR(__xludf.DUMMYFUNCTION("""COMPUTED_VALUE"""),"Guilherme Cappellanes Gunela - Pós-Graduação em Direito do Trabalho e Processual Trabalhista 600Horas")</f>
        <v>Guilherme Cappellanes Gunela - Pós-Graduação em Direito do Trabalho e Processual Trabalhista 600Horas</v>
      </c>
    </row>
    <row r="4744">
      <c r="A4744" s="390" t="str">
        <f>IFERROR(__xludf.DUMMYFUNCTION("""COMPUTED_VALUE"""),"Liliane de Souza Xavier e Xavier - Formação Livre Psicanálise")</f>
        <v>Liliane de Souza Xavier e Xavier - Formação Livre Psicanálise</v>
      </c>
    </row>
    <row r="4745">
      <c r="A4745" s="390" t="str">
        <f>IFERROR(__xludf.DUMMYFUNCTION("""COMPUTED_VALUE"""),"Wilson Pereira Costa - Pós-Graduação em Coordenação e Orientação Escolar")</f>
        <v>Wilson Pereira Costa - Pós-Graduação em Coordenação e Orientação Escolar</v>
      </c>
    </row>
    <row r="4746">
      <c r="A4746" s="390" t="str">
        <f>IFERROR(__xludf.DUMMYFUNCTION("""COMPUTED_VALUE"""),"Adriana de Oliveira Ramos dos Santos Cherubin - Pós-Graduação em Gestão Escolar Integrada com Ênfase em Supervisão, Orientação, Administração e Inspeção")</f>
        <v>Adriana de Oliveira Ramos dos Santos Cherubin - Pós-Graduação em Gestão Escolar Integrada com Ênfase em Supervisão, Orientação, Administração e Inspeção</v>
      </c>
    </row>
    <row r="4747">
      <c r="A4747" s="390" t="str">
        <f>IFERROR(__xludf.DUMMYFUNCTION("""COMPUTED_VALUE"""),"Adriana de Oliveira Ramos dos Santos Cherubin - Pós-Graduação em Gestão Escolar Integradora com Ênfase em Supervisão, Orientação, Administração e Inspeção 870Horas")</f>
        <v>Adriana de Oliveira Ramos dos Santos Cherubin - Pós-Graduação em Gestão Escolar Integradora com Ênfase em Supervisão, Orientação, Administração e Inspeção 870Horas</v>
      </c>
    </row>
    <row r="4748">
      <c r="A4748" s="390" t="str">
        <f>IFERROR(__xludf.DUMMYFUNCTION("""COMPUTED_VALUE"""),"Elizabeth Baptista Ribeiro da Silva - #SLUP - SEGUNDA LICENCIATURA EM PEDAGOGIA")</f>
        <v>Elizabeth Baptista Ribeiro da Silva - #SLUP - SEGUNDA LICENCIATURA EM PEDAGOGIA</v>
      </c>
    </row>
    <row r="4749">
      <c r="A4749" s="390" t="str">
        <f>IFERROR(__xludf.DUMMYFUNCTION("""COMPUTED_VALUE"""),"Elizabeth Baptista Ribeiro da Silva - Pós-Graduação em Orientação Educacional")</f>
        <v>Elizabeth Baptista Ribeiro da Silva - Pós-Graduação em Orientação Educacional</v>
      </c>
    </row>
    <row r="4750">
      <c r="A4750" s="390" t="str">
        <f>IFERROR(__xludf.DUMMYFUNCTION("""COMPUTED_VALUE"""),"Luciana Maria Pastor Masala - Pós-Graduação em Psicanálise")</f>
        <v>Luciana Maria Pastor Masala - Pós-Graduação em Psicanálise</v>
      </c>
    </row>
    <row r="4751">
      <c r="A4751" s="390" t="str">
        <f>IFERROR(__xludf.DUMMYFUNCTION("""COMPUTED_VALUE"""),"Luciana Maria Pastor Masala - Pós-Graduação em Neuropsicopedagogia")</f>
        <v>Luciana Maria Pastor Masala - Pós-Graduação em Neuropsicopedagogia</v>
      </c>
    </row>
    <row r="4752">
      <c r="A4752" s="390" t="str">
        <f>IFERROR(__xludf.DUMMYFUNCTION("""COMPUTED_VALUE"""),"Eucilane Aparecida Fernandes - Pós-Graduação em Neuropsicologia Clínica")</f>
        <v>Eucilane Aparecida Fernandes - Pós-Graduação em Neuropsicologia Clínica</v>
      </c>
    </row>
    <row r="4753">
      <c r="A4753" s="390" t="str">
        <f>IFERROR(__xludf.DUMMYFUNCTION("""COMPUTED_VALUE"""),"Cirlene José da silva - Pós-Graduação em Psicanálise")</f>
        <v>Cirlene José da silva - Pós-Graduação em Psicanálise</v>
      </c>
    </row>
    <row r="4754">
      <c r="A4754" s="390" t="str">
        <f>IFERROR(__xludf.DUMMYFUNCTION("""COMPUTED_VALUE"""),"Francisco gerferson da costa Brito - Pós-Graduação em Atendimento Educacional Especializado Com Ênfase Em Educação Especial e Inclusiva")</f>
        <v>Francisco gerferson da costa Brito - Pós-Graduação em Atendimento Educacional Especializado Com Ênfase Em Educação Especial e Inclusiva</v>
      </c>
    </row>
    <row r="4755">
      <c r="A4755" s="390" t="str">
        <f>IFERROR(__xludf.DUMMYFUNCTION("""COMPUTED_VALUE"""),"Francisco gerferson da costa Brito - #SLMF - Segunda Licenciatura em Música 1320Horas")</f>
        <v>Francisco gerferson da costa Brito - #SLMF - Segunda Licenciatura em Música 1320Horas</v>
      </c>
    </row>
    <row r="4756">
      <c r="A4756" s="390" t="str">
        <f>IFERROR(__xludf.DUMMYFUNCTION("""COMPUTED_VALUE"""),"Nayane Campos Rodrigues - #SLUA- Segunda Licenciatura em Artes Visuais")</f>
        <v>Nayane Campos Rodrigues - #SLUA- Segunda Licenciatura em Artes Visuais</v>
      </c>
    </row>
    <row r="4757">
      <c r="A4757" s="390" t="str">
        <f>IFERROR(__xludf.DUMMYFUNCTION("""COMPUTED_VALUE"""),"Silvia Esther Azambuja Pereira - #SLUP - SEGUNDA LICENCIATURA EM PEDAGOGIA")</f>
        <v>Silvia Esther Azambuja Pereira - #SLUP - SEGUNDA LICENCIATURA EM PEDAGOGIA</v>
      </c>
    </row>
    <row r="4758">
      <c r="A4758" s="390" t="str">
        <f>IFERROR(__xludf.DUMMYFUNCTION("""COMPUTED_VALUE"""),"Silvia Esther Azambuja Pereira - SUPERVISÃO E ORIENTAÇÃO EM EDUCAÇÃO INFANTIL - 600h")</f>
        <v>Silvia Esther Azambuja Pereira - SUPERVISÃO E ORIENTAÇÃO EM EDUCAÇÃO INFANTIL - 600h</v>
      </c>
    </row>
    <row r="4759">
      <c r="A4759" s="390" t="str">
        <f>IFERROR(__xludf.DUMMYFUNCTION("""COMPUTED_VALUE"""),"Silvia Esther Azambuja Pereira - #SLPT- Segunda Licenciatura em Pedagogia")</f>
        <v>Silvia Esther Azambuja Pereira - #SLPT- Segunda Licenciatura em Pedagogia</v>
      </c>
    </row>
    <row r="4760">
      <c r="A4760" s="390" t="str">
        <f>IFERROR(__xludf.DUMMYFUNCTION("""COMPUTED_VALUE"""),"Silvia Esther Azambuja Pereira - #SLPA- Segunda Licenciatura em Pedagogia 01")</f>
        <v>Silvia Esther Azambuja Pereira - #SLPA- Segunda Licenciatura em Pedagogia 01</v>
      </c>
    </row>
    <row r="4761">
      <c r="A4761" s="390" t="str">
        <f>IFERROR(__xludf.DUMMYFUNCTION("""COMPUTED_VALUE"""),"Débora Elisa de Souza - Pós-Graduação em Sexologia")</f>
        <v>Débora Elisa de Souza - Pós-Graduação em Sexologia</v>
      </c>
    </row>
    <row r="4762">
      <c r="A4762" s="390" t="str">
        <f>IFERROR(__xludf.DUMMYFUNCTION("""COMPUTED_VALUE"""),"Thaís Silva Rodrigues - #SLTLP1- Segunda Licenciatura Letras - Português")</f>
        <v>Thaís Silva Rodrigues - #SLTLP1- Segunda Licenciatura Letras - Português</v>
      </c>
    </row>
    <row r="4763">
      <c r="A4763" s="390" t="str">
        <f>IFERROR(__xludf.DUMMYFUNCTION("""COMPUTED_VALUE"""),"Carol Costa Meis - NOVO-Pós-Graduação em Psicanálise 800 Horas")</f>
        <v>Carol Costa Meis - NOVO-Pós-Graduação em Psicanálise 800 Horas</v>
      </c>
    </row>
    <row r="4764">
      <c r="A4764" s="390" t="str">
        <f>IFERROR(__xludf.DUMMYFUNCTION("""COMPUTED_VALUE"""),"FRANCISCO FLAVIO TATAGIBA JUNIOR - Pós-Graduação em Neuropsicologia Clínica")</f>
        <v>FRANCISCO FLAVIO TATAGIBA JUNIOR - Pós-Graduação em Neuropsicologia Clínica</v>
      </c>
    </row>
    <row r="4765">
      <c r="A4765" s="390" t="str">
        <f>IFERROR(__xludf.DUMMYFUNCTION("""COMPUTED_VALUE"""),"FRANCISCO FLAVIO TATAGIBA JUNIOR - Pós-Graduação em Psicanálise")</f>
        <v>FRANCISCO FLAVIO TATAGIBA JUNIOR - Pós-Graduação em Psicanálise</v>
      </c>
    </row>
    <row r="4766">
      <c r="A4766" s="390" t="str">
        <f>IFERROR(__xludf.DUMMYFUNCTION("""COMPUTED_VALUE"""),"Sônia Maria Gomes Coelho - #SLUA- Segunda Licenciatura em Artes Visuais")</f>
        <v>Sônia Maria Gomes Coelho - #SLUA- Segunda Licenciatura em Artes Visuais</v>
      </c>
    </row>
    <row r="4767">
      <c r="A4767" s="390" t="str">
        <f>IFERROR(__xludf.DUMMYFUNCTION("""COMPUTED_VALUE"""),"Sônia Maria Gomes Coelho - Pós-Graduação em Ensino de Artes")</f>
        <v>Sônia Maria Gomes Coelho - Pós-Graduação em Ensino de Artes</v>
      </c>
    </row>
    <row r="4768">
      <c r="A4768" s="390" t="str">
        <f>IFERROR(__xludf.DUMMYFUNCTION("""COMPUTED_VALUE"""),"Adiel da Silva Siqueira - #SLMF - Segunda Licenciatura em Música 1320Horas")</f>
        <v>Adiel da Silva Siqueira - #SLMF - Segunda Licenciatura em Música 1320Horas</v>
      </c>
    </row>
    <row r="4769">
      <c r="A4769" s="390" t="str">
        <f>IFERROR(__xludf.DUMMYFUNCTION("""COMPUTED_VALUE"""),"Tarcisia Nascimento de Carvalho - #SLTLP1- Segunda Licenciatura Letras - Português")</f>
        <v>Tarcisia Nascimento de Carvalho - #SLTLP1- Segunda Licenciatura Letras - Português</v>
      </c>
    </row>
    <row r="4770">
      <c r="A4770" s="390" t="str">
        <f>IFERROR(__xludf.DUMMYFUNCTION("""COMPUTED_VALUE"""),"Ana Paula Malaquias Pires - Pós-Graduação em Neuropsicopedagogia Institucional, Clínica e Hospitalar 850h")</f>
        <v>Ana Paula Malaquias Pires - Pós-Graduação em Neuropsicopedagogia Institucional, Clínica e Hospitalar 850h</v>
      </c>
    </row>
    <row r="4771">
      <c r="A4771" s="390" t="str">
        <f>IFERROR(__xludf.DUMMYFUNCTION("""COMPUTED_VALUE"""),"Fellipo Mello Moreira - Pós-Graduação em Enfermagem em Oncológica")</f>
        <v>Fellipo Mello Moreira - Pós-Graduação em Enfermagem em Oncológica</v>
      </c>
    </row>
    <row r="4772">
      <c r="A4772" s="390" t="str">
        <f>IFERROR(__xludf.DUMMYFUNCTION("""COMPUTED_VALUE"""),"Fellipo Mello Moreira - Pós-Graduação em Oncologia e Geriatria")</f>
        <v>Fellipo Mello Moreira - Pós-Graduação em Oncologia e Geriatria</v>
      </c>
    </row>
    <row r="4773">
      <c r="A4773" s="390" t="str">
        <f>IFERROR(__xludf.DUMMYFUNCTION("""COMPUTED_VALUE"""),"Arquimedes David de Sousa Breder - Pós-Graduação em Personal Trainer e Treinamento Desportivo")</f>
        <v>Arquimedes David de Sousa Breder - Pós-Graduação em Personal Trainer e Treinamento Desportivo</v>
      </c>
    </row>
    <row r="4774">
      <c r="A4774" s="390" t="str">
        <f>IFERROR(__xludf.DUMMYFUNCTION("""COMPUTED_VALUE"""),"Ana Lúcia Santos Costa - NOVO-Pós-Graduação em Psicanálise 800 Horas")</f>
        <v>Ana Lúcia Santos Costa - NOVO-Pós-Graduação em Psicanálise 800 Horas</v>
      </c>
    </row>
    <row r="4775">
      <c r="A4775" s="390" t="str">
        <f>IFERROR(__xludf.DUMMYFUNCTION("""COMPUTED_VALUE"""),"Ana Lúcia Santos Costa - PÓS-GRADUAÇÃO EM PSICANÁLISE 2022")</f>
        <v>Ana Lúcia Santos Costa - PÓS-GRADUAÇÃO EM PSICANÁLISE 2022</v>
      </c>
    </row>
    <row r="4776">
      <c r="A4776" s="390" t="str">
        <f>IFERROR(__xludf.DUMMYFUNCTION("""COMPUTED_VALUE"""),"Ana Lúcia Santos Costa - Formação Livre em Psicanálise-2022")</f>
        <v>Ana Lúcia Santos Costa - Formação Livre em Psicanálise-2022</v>
      </c>
    </row>
    <row r="4777">
      <c r="A4777" s="390" t="str">
        <f>IFERROR(__xludf.DUMMYFUNCTION("""COMPUTED_VALUE"""),"Ana Lúcia Santos Costa - PÓS-GRADUAÇÃO EM PSICANÁLISE 2022")</f>
        <v>Ana Lúcia Santos Costa - PÓS-GRADUAÇÃO EM PSICANÁLISE 2022</v>
      </c>
    </row>
    <row r="4778">
      <c r="A4778" s="390" t="str">
        <f>IFERROR(__xludf.DUMMYFUNCTION("""COMPUTED_VALUE"""),"Ana Lúcia Santos Costa - Pós-Graduação em Psicanálise 2/2023")</f>
        <v>Ana Lúcia Santos Costa - Pós-Graduação em Psicanálise 2/2023</v>
      </c>
    </row>
    <row r="4779">
      <c r="A4779" s="390" t="str">
        <f>IFERROR(__xludf.DUMMYFUNCTION("""COMPUTED_VALUE"""),"Ana Lúcia Santos Costa - PÓS-GRADUAÇÃO EM PSICANÁLISE 2022")</f>
        <v>Ana Lúcia Santos Costa - PÓS-GRADUAÇÃO EM PSICANÁLISE 2022</v>
      </c>
    </row>
    <row r="4780">
      <c r="A4780" s="390" t="str">
        <f>IFERROR(__xludf.DUMMYFUNCTION("""COMPUTED_VALUE"""),"Thiago André dos Santos Silva - Formação Livre Psicanálise")</f>
        <v>Thiago André dos Santos Silva - Formação Livre Psicanálise</v>
      </c>
    </row>
    <row r="4781">
      <c r="A4781" s="390" t="str">
        <f>IFERROR(__xludf.DUMMYFUNCTION("""COMPUTED_VALUE"""),"Tiago Henrique Mussato Lazaro - Pós-Graduação em Tecnologias Educacionais")</f>
        <v>Tiago Henrique Mussato Lazaro - Pós-Graduação em Tecnologias Educacionais</v>
      </c>
    </row>
    <row r="4782">
      <c r="A4782" s="390" t="str">
        <f>IFERROR(__xludf.DUMMYFUNCTION("""COMPUTED_VALUE"""),"JUSLEY CAROLINY SANTOS ROCHA - #SLUPI - SEGUNDA LICENCIATURA EM LETRAS – PORTUGUÊS E INGLÊS")</f>
        <v>JUSLEY CAROLINY SANTOS ROCHA - #SLUPI - SEGUNDA LICENCIATURA EM LETRAS – PORTUGUÊS E INGLÊS</v>
      </c>
    </row>
    <row r="4783">
      <c r="A4783" s="390" t="str">
        <f>IFERROR(__xludf.DUMMYFUNCTION("""COMPUTED_VALUE"""),"JUSLEY CAROLINY SANTOS ROCHA - Pós-Graduação em Metodologia do Ensino de Filosofia e Sociologia")</f>
        <v>JUSLEY CAROLINY SANTOS ROCHA - Pós-Graduação em Metodologia do Ensino de Filosofia e Sociologia</v>
      </c>
    </row>
    <row r="4784">
      <c r="A4784" s="390" t="str">
        <f>IFERROR(__xludf.DUMMYFUNCTION("""COMPUTED_VALUE"""),"JUSLEY CAROLINY SANTOS ROCHA - Pós-Graduação em Educação Física Escolar")</f>
        <v>JUSLEY CAROLINY SANTOS ROCHA - Pós-Graduação em Educação Física Escolar</v>
      </c>
    </row>
    <row r="4785">
      <c r="A4785" s="390" t="str">
        <f>IFERROR(__xludf.DUMMYFUNCTION("""COMPUTED_VALUE"""),"Pedro kraus - #SLMF - Segunda Licenciatura em Música 1320Horas")</f>
        <v>Pedro kraus - #SLMF - Segunda Licenciatura em Música 1320Horas</v>
      </c>
    </row>
    <row r="4786">
      <c r="A4786" s="390" t="str">
        <f>IFERROR(__xludf.DUMMYFUNCTION("""COMPUTED_VALUE"""),"Rosiane Gomes Alves - #FPUM Formação Pedagógica em Matemática")</f>
        <v>Rosiane Gomes Alves - #FPUM Formação Pedagógica em Matemática</v>
      </c>
    </row>
    <row r="4787">
      <c r="A4787" s="390" t="str">
        <f>IFERROR(__xludf.DUMMYFUNCTION("""COMPUTED_VALUE"""),"Rosiane Guedelha de Souza - #FPUF- Formação Pedagógica em Filosofia")</f>
        <v>Rosiane Guedelha de Souza - #FPUF- Formação Pedagógica em Filosofia</v>
      </c>
    </row>
    <row r="4788">
      <c r="A4788" s="390" t="str">
        <f>IFERROR(__xludf.DUMMYFUNCTION("""COMPUTED_VALUE"""),"Joselita Joaquina dos Santos - Pós-Graduação em Psicanálise")</f>
        <v>Joselita Joaquina dos Santos - Pós-Graduação em Psicanálise</v>
      </c>
    </row>
    <row r="4789">
      <c r="A4789" s="390" t="str">
        <f>IFERROR(__xludf.DUMMYFUNCTION("""COMPUTED_VALUE"""),"Kayck Ríchard da Cruz Rodrigues - #FPULPI- Formação Pedagógica em Letras – Português e Inglês")</f>
        <v>Kayck Ríchard da Cruz Rodrigues - #FPULPI- Formação Pedagógica em Letras – Português e Inglês</v>
      </c>
    </row>
    <row r="4790">
      <c r="A4790" s="390" t="str">
        <f>IFERROR(__xludf.DUMMYFUNCTION("""COMPUTED_VALUE"""),"Kayck Ríchard da Cruz Rodrigues - Pós-Graduação em Coordenação e Orientação Escolar")</f>
        <v>Kayck Ríchard da Cruz Rodrigues - Pós-Graduação em Coordenação e Orientação Escolar</v>
      </c>
    </row>
    <row r="4791">
      <c r="A4791" s="390" t="str">
        <f>IFERROR(__xludf.DUMMYFUNCTION("""COMPUTED_VALUE"""),"Fernando Cordeiro Nazário - #SLUPE- Segunda Licenciatura em Letras – Português e Espanhol")</f>
        <v>Fernando Cordeiro Nazário - #SLUPE- Segunda Licenciatura em Letras – Português e Espanhol</v>
      </c>
    </row>
    <row r="4792">
      <c r="A4792" s="390" t="str">
        <f>IFERROR(__xludf.DUMMYFUNCTION("""COMPUTED_VALUE"""),"Fernando Cordeiro Nazário - #SLUPE- Segunda Licenciatura em Letras – Português e Espanhol")</f>
        <v>Fernando Cordeiro Nazário - #SLUPE- Segunda Licenciatura em Letras – Português e Espanhol</v>
      </c>
    </row>
    <row r="4793">
      <c r="A4793" s="390" t="str">
        <f>IFERROR(__xludf.DUMMYFUNCTION("""COMPUTED_VALUE"""),"Davi Oliveira Azevedo - #SLUPE- Segunda Licenciatura em Letras – Português e Espanhol")</f>
        <v>Davi Oliveira Azevedo - #SLUPE- Segunda Licenciatura em Letras – Português e Espanhol</v>
      </c>
    </row>
    <row r="4794">
      <c r="A4794" s="390" t="str">
        <f>IFERROR(__xludf.DUMMYFUNCTION("""COMPUTED_VALUE"""),"Davi Oliveira Azevedo - Pós-Graduação em Letras com Ênfase em Linguística")</f>
        <v>Davi Oliveira Azevedo - Pós-Graduação em Letras com Ênfase em Linguística</v>
      </c>
    </row>
    <row r="4795">
      <c r="A4795" s="390" t="str">
        <f>IFERROR(__xludf.DUMMYFUNCTION("""COMPUTED_VALUE"""),"Antônio Onofre Bueno - Formação Livre Psicanálise")</f>
        <v>Antônio Onofre Bueno - Formação Livre Psicanálise</v>
      </c>
    </row>
    <row r="4796">
      <c r="A4796" s="390" t="str">
        <f>IFERROR(__xludf.DUMMYFUNCTION("""COMPUTED_VALUE"""),"Anacy da Silva Magalhães Vilarinho - #SLUP - SEGUNDA LICENCIATURA EM PEDAGOGIA")</f>
        <v>Anacy da Silva Magalhães Vilarinho - #SLUP - SEGUNDA LICENCIATURA EM PEDAGOGIA</v>
      </c>
    </row>
    <row r="4797">
      <c r="A4797" s="390" t="str">
        <f>IFERROR(__xludf.DUMMYFUNCTION("""COMPUTED_VALUE"""),"Renata de Melo Pereira Zacarias - #SLUS - Segunda Licenciatura em Sociologia")</f>
        <v>Renata de Melo Pereira Zacarias - #SLUS - Segunda Licenciatura em Sociologia</v>
      </c>
    </row>
    <row r="4798">
      <c r="A4798" s="390" t="str">
        <f>IFERROR(__xludf.DUMMYFUNCTION("""COMPUTED_VALUE"""),"Renata de Melo Pereira Zacarias - Pós-Graduação em Ensino Religioso")</f>
        <v>Renata de Melo Pereira Zacarias - Pós-Graduação em Ensino Religioso</v>
      </c>
    </row>
    <row r="4799">
      <c r="A4799" s="390" t="str">
        <f>IFERROR(__xludf.DUMMYFUNCTION("""COMPUTED_VALUE"""),"André Luis Lazaro - #FPUM Formação Pedagógica em Matemática")</f>
        <v>André Luis Lazaro - #FPUM Formação Pedagógica em Matemática</v>
      </c>
    </row>
    <row r="4800">
      <c r="A4800" s="390" t="str">
        <f>IFERROR(__xludf.DUMMYFUNCTION("""COMPUTED_VALUE"""),"Sebastião Jorge Siqueira - #SLMF- Segunda Licenciatura em Música 2022 880Horas")</f>
        <v>Sebastião Jorge Siqueira - #SLMF- Segunda Licenciatura em Música 2022 880Horas</v>
      </c>
    </row>
    <row r="4801">
      <c r="A4801" s="390" t="str">
        <f>IFERROR(__xludf.DUMMYFUNCTION("""COMPUTED_VALUE"""),"Sérgio Cordeiro - #SLUP - SEGUNDA LICENCIATURA EM PEDAGOGIA")</f>
        <v>Sérgio Cordeiro - #SLUP - SEGUNDA LICENCIATURA EM PEDAGOGIA</v>
      </c>
    </row>
    <row r="4802">
      <c r="A4802" s="390" t="str">
        <f>IFERROR(__xludf.DUMMYFUNCTION("""COMPUTED_VALUE"""),"Fabilaine Telles de Andrade Gonçalves - RADIANTE - Pós-Graduação Neurociência e Aprendizagem")</f>
        <v>Fabilaine Telles de Andrade Gonçalves - RADIANTE - Pós-Graduação Neurociência e Aprendizagem</v>
      </c>
    </row>
    <row r="4803">
      <c r="A4803" s="390" t="str">
        <f>IFERROR(__xludf.DUMMYFUNCTION("""COMPUTED_VALUE"""),"Marcio Goulart Coutinho - #SLUA- Segunda Licenciatura em Artes Visuais")</f>
        <v>Marcio Goulart Coutinho - #SLUA- Segunda Licenciatura em Artes Visuais</v>
      </c>
    </row>
    <row r="4804">
      <c r="A4804" s="390" t="str">
        <f>IFERROR(__xludf.DUMMYFUNCTION("""COMPUTED_VALUE"""),"Érica Nayara Santana do Nascimento - #SLPA- Segunda Licenciatura em Pedagogia 01")</f>
        <v>Érica Nayara Santana do Nascimento - #SLPA- Segunda Licenciatura em Pedagogia 01</v>
      </c>
    </row>
    <row r="4805">
      <c r="A4805" s="390" t="str">
        <f>IFERROR(__xludf.DUMMYFUNCTION("""COMPUTED_VALUE"""),"Lília Elísia Dos Reis - Capacitação em Sexologia")</f>
        <v>Lília Elísia Dos Reis - Capacitação em Sexologia</v>
      </c>
    </row>
    <row r="4806">
      <c r="A4806" s="390" t="str">
        <f>IFERROR(__xludf.DUMMYFUNCTION("""COMPUTED_VALUE"""),"Rodrigo Silva Ambrósio - #FPP- Formação Pedagógica em Pedagogia R2")</f>
        <v>Rodrigo Silva Ambrósio - #FPP- Formação Pedagógica em Pedagogia R2</v>
      </c>
    </row>
    <row r="4807">
      <c r="A4807" s="390" t="str">
        <f>IFERROR(__xludf.DUMMYFUNCTION("""COMPUTED_VALUE"""),"Rodrigo Silva Ambrósio - SEGUNDA LICENCIATURA EM SOCIOLOGIA - 2024")</f>
        <v>Rodrigo Silva Ambrósio - SEGUNDA LICENCIATURA EM SOCIOLOGIA - 2024</v>
      </c>
    </row>
    <row r="4808">
      <c r="A4808" s="390" t="str">
        <f>IFERROR(__xludf.DUMMYFUNCTION("""COMPUTED_VALUE"""),"Hiago Souza Pereira - Pós-Graduação Educação Especial e Inclusiva")</f>
        <v>Hiago Souza Pereira - Pós-Graduação Educação Especial e Inclusiva</v>
      </c>
    </row>
    <row r="4809">
      <c r="A4809" s="390" t="str">
        <f>IFERROR(__xludf.DUMMYFUNCTION("""COMPUTED_VALUE"""),"EDI HORST MAIDANA - Pós-Graduação em Terapia em ABA- Análise do Comportamento Aplicada")</f>
        <v>EDI HORST MAIDANA - Pós-Graduação em Terapia em ABA- Análise do Comportamento Aplicada</v>
      </c>
    </row>
    <row r="4810">
      <c r="A4810" s="390" t="str">
        <f>IFERROR(__xludf.DUMMYFUNCTION("""COMPUTED_VALUE"""),"Jesiane Alaise Cardoso - #SLUP - SEGUNDA LICENCIATURA EM PEDAGOGIA")</f>
        <v>Jesiane Alaise Cardoso - #SLUP - SEGUNDA LICENCIATURA EM PEDAGOGIA</v>
      </c>
    </row>
    <row r="4811">
      <c r="A4811" s="390" t="str">
        <f>IFERROR(__xludf.DUMMYFUNCTION("""COMPUTED_VALUE"""),"Núbia Cristina Borges Milian - Pós-Graduação em Psicanálise")</f>
        <v>Núbia Cristina Borges Milian - Pós-Graduação em Psicanálise</v>
      </c>
    </row>
    <row r="4812">
      <c r="A4812" s="390" t="str">
        <f>IFERROR(__xludf.DUMMYFUNCTION("""COMPUTED_VALUE"""),"Núbia Cristina Borges Milian - Pós-Graduação em Sexologia")</f>
        <v>Núbia Cristina Borges Milian - Pós-Graduação em Sexologia</v>
      </c>
    </row>
    <row r="4813">
      <c r="A4813" s="390" t="str">
        <f>IFERROR(__xludf.DUMMYFUNCTION("""COMPUTED_VALUE"""),"Uiara Castorina Pereira de Sousa Martins - #FPMF- Formação Pedagógica em Música 1200Horas")</f>
        <v>Uiara Castorina Pereira de Sousa Martins - #FPMF- Formação Pedagógica em Música 1200Horas</v>
      </c>
    </row>
    <row r="4814">
      <c r="A4814" s="390" t="str">
        <f>IFERROR(__xludf.DUMMYFUNCTION("""COMPUTED_VALUE"""),"Uiara Castorina Pereira de Sousa Martins - Pós-Graduação em Educação Musical")</f>
        <v>Uiara Castorina Pereira de Sousa Martins - Pós-Graduação em Educação Musical</v>
      </c>
    </row>
    <row r="4815">
      <c r="A4815" s="390" t="str">
        <f>IFERROR(__xludf.DUMMYFUNCTION("""COMPUTED_VALUE"""),"Pâmela Dutra Neto - Pós-Graduação em Libras")</f>
        <v>Pâmela Dutra Neto - Pós-Graduação em Libras</v>
      </c>
    </row>
    <row r="4816">
      <c r="A4816" s="390" t="str">
        <f>IFERROR(__xludf.DUMMYFUNCTION("""COMPUTED_VALUE"""),"Pâmela Dutra Neto - NOVO-Pós-Graduação em Psicanálise 800 Horas")</f>
        <v>Pâmela Dutra Neto - NOVO-Pós-Graduação em Psicanálise 800 Horas</v>
      </c>
    </row>
    <row r="4817">
      <c r="A4817" s="390" t="str">
        <f>IFERROR(__xludf.DUMMYFUNCTION("""COMPUTED_VALUE"""),"Laily Souza Benedictis - #SLUP - SEGUNDA LICENCIATURA EM PEDAGOGIA")</f>
        <v>Laily Souza Benedictis - #SLUP - SEGUNDA LICENCIATURA EM PEDAGOGIA</v>
      </c>
    </row>
    <row r="4818">
      <c r="A4818" s="390" t="str">
        <f>IFERROR(__xludf.DUMMYFUNCTION("""COMPUTED_VALUE"""),"Laily Souza Benedictis - Pós-Graduação em Neuropsicopedagogia Clínica e Institucional")</f>
        <v>Laily Souza Benedictis - Pós-Graduação em Neuropsicopedagogia Clínica e Institucional</v>
      </c>
    </row>
    <row r="4819">
      <c r="A4819" s="390" t="str">
        <f>IFERROR(__xludf.DUMMYFUNCTION("""COMPUTED_VALUE"""),"Christiani Oliveira Faria - Formação Pedagógica em Matemática")</f>
        <v>Christiani Oliveira Faria - Formação Pedagógica em Matemática</v>
      </c>
    </row>
    <row r="4820">
      <c r="A4820" s="390" t="str">
        <f>IFERROR(__xludf.DUMMYFUNCTION("""COMPUTED_VALUE"""),"Christiani Oliveira Faria - #FPM+ Formação Pedagógica em Matemática-1200Horas")</f>
        <v>Christiani Oliveira Faria - #FPM+ Formação Pedagógica em Matemática-1200Horas</v>
      </c>
    </row>
    <row r="4821">
      <c r="A4821" s="390" t="str">
        <f>IFERROR(__xludf.DUMMYFUNCTION("""COMPUTED_VALUE"""),"Ingrid Louzeiro De Sousa - Pós-Graduação em Psicanálise")</f>
        <v>Ingrid Louzeiro De Sousa - Pós-Graduação em Psicanálise</v>
      </c>
    </row>
    <row r="4822">
      <c r="A4822" s="390" t="str">
        <f>IFERROR(__xludf.DUMMYFUNCTION("""COMPUTED_VALUE"""),"Marileia Pereira dos Santos - #SLUP - SEGUNDA LICENCIATURA EM PEDAGOGIA")</f>
        <v>Marileia Pereira dos Santos - #SLUP - SEGUNDA LICENCIATURA EM PEDAGOGIA</v>
      </c>
    </row>
    <row r="4823">
      <c r="A4823" s="390" t="str">
        <f>IFERROR(__xludf.DUMMYFUNCTION("""COMPUTED_VALUE"""),"Nataly Santana de Araújo - Pós-Graduação em Terapia em ABA- Análise do Comportamento Aplicada")</f>
        <v>Nataly Santana de Araújo - Pós-Graduação em Terapia em ABA- Análise do Comportamento Aplicada</v>
      </c>
    </row>
    <row r="4824">
      <c r="A4824" s="390" t="str">
        <f>IFERROR(__xludf.DUMMYFUNCTION("""COMPUTED_VALUE"""),"Carlos Eduardo Martins dos Santos - Formação Livre Psicanálise")</f>
        <v>Carlos Eduardo Martins dos Santos - Formação Livre Psicanálise</v>
      </c>
    </row>
    <row r="4825">
      <c r="A4825" s="390" t="str">
        <f>IFERROR(__xludf.DUMMYFUNCTION("""COMPUTED_VALUE"""),"Kaina Weiber Waisbek - Pós-Graduação em Tecnologias Educacionais")</f>
        <v>Kaina Weiber Waisbek - Pós-Graduação em Tecnologias Educacionais</v>
      </c>
    </row>
    <row r="4826">
      <c r="A4826" s="390" t="str">
        <f>IFERROR(__xludf.DUMMYFUNCTION("""COMPUTED_VALUE"""),"Kaina Weiber Waisbek - Pós-Graduação em Biblioteconomia")</f>
        <v>Kaina Weiber Waisbek - Pós-Graduação em Biblioteconomia</v>
      </c>
    </row>
    <row r="4827">
      <c r="A4827" s="390" t="str">
        <f>IFERROR(__xludf.DUMMYFUNCTION("""COMPUTED_VALUE"""),"Kaina Weiber Waisbek - SEGUNDA LICENCIATURA EM ARTES VISUAIS - 2024")</f>
        <v>Kaina Weiber Waisbek - SEGUNDA LICENCIATURA EM ARTES VISUAIS - 2024</v>
      </c>
    </row>
    <row r="4828">
      <c r="A4828" s="390" t="str">
        <f>IFERROR(__xludf.DUMMYFUNCTION("""COMPUTED_VALUE"""),"Maritelma Sperancin Silva - Pós-Graduação em Psicanálise")</f>
        <v>Maritelma Sperancin Silva - Pós-Graduação em Psicanálise</v>
      </c>
    </row>
    <row r="4829">
      <c r="A4829" s="390" t="str">
        <f>IFERROR(__xludf.DUMMYFUNCTION("""COMPUTED_VALUE"""),"Maritelma Sperancin Silva - Pós-Graduação em Psicologia Clínica")</f>
        <v>Maritelma Sperancin Silva - Pós-Graduação em Psicologia Clínica</v>
      </c>
    </row>
    <row r="4830">
      <c r="A4830" s="390" t="str">
        <f>IFERROR(__xludf.DUMMYFUNCTION("""COMPUTED_VALUE"""),"Luiz Fernando de Oliveira - #SLUC - SEGUNDA LICENCIATURA EM CIÊNCIAS DA RELIGIÃO- U")</f>
        <v>Luiz Fernando de Oliveira - #SLUC - SEGUNDA LICENCIATURA EM CIÊNCIAS DA RELIGIÃO- U</v>
      </c>
    </row>
    <row r="4831">
      <c r="A4831" s="390" t="str">
        <f>IFERROR(__xludf.DUMMYFUNCTION("""COMPUTED_VALUE"""),"Luiz Fernando de Oliveira - Pós-Graduação em Psicanálise")</f>
        <v>Luiz Fernando de Oliveira - Pós-Graduação em Psicanálise</v>
      </c>
    </row>
    <row r="4832">
      <c r="A4832" s="390" t="str">
        <f>IFERROR(__xludf.DUMMYFUNCTION("""COMPUTED_VALUE"""),"Luiz Fernando de Oliveira - Pós-Graduação em Direito LGBTQIAPN")</f>
        <v>Luiz Fernando de Oliveira - Pós-Graduação em Direito LGBTQIAPN</v>
      </c>
    </row>
    <row r="4833">
      <c r="A4833" s="390" t="str">
        <f>IFERROR(__xludf.DUMMYFUNCTION("""COMPUTED_VALUE"""),"Luiz Fernando de Oliveira - Pós-Graduação em MBA Gestão de Marketing Digital")</f>
        <v>Luiz Fernando de Oliveira - Pós-Graduação em MBA Gestão de Marketing Digital</v>
      </c>
    </row>
    <row r="4834">
      <c r="A4834" s="390" t="str">
        <f>IFERROR(__xludf.DUMMYFUNCTION("""COMPUTED_VALUE"""),"Luiz Fernando de Oliveira - #SLUA- Segunda Licenciatura em Artes Visuais")</f>
        <v>Luiz Fernando de Oliveira - #SLUA- Segunda Licenciatura em Artes Visuais</v>
      </c>
    </row>
    <row r="4835">
      <c r="A4835" s="390" t="str">
        <f>IFERROR(__xludf.DUMMYFUNCTION("""COMPUTED_VALUE"""),"Luiz Fernando de Oliveira - Pós-Graduação em Sexologia")</f>
        <v>Luiz Fernando de Oliveira - Pós-Graduação em Sexologia</v>
      </c>
    </row>
    <row r="4836">
      <c r="A4836" s="390" t="str">
        <f>IFERROR(__xludf.DUMMYFUNCTION("""COMPUTED_VALUE"""),"Luiz Fernando de Oliveira - #SLMF- Segunda Licenciatura em Música 2022 880Horas")</f>
        <v>Luiz Fernando de Oliveira - #SLMF- Segunda Licenciatura em Música 2022 880Horas</v>
      </c>
    </row>
    <row r="4837">
      <c r="A4837" s="390" t="str">
        <f>IFERROR(__xludf.DUMMYFUNCTION("""COMPUTED_VALUE"""),"Vagner Procópio da Silva - #SLMF - Segunda Licenciatura em Música 1320Horas")</f>
        <v>Vagner Procópio da Silva - #SLMF - Segunda Licenciatura em Música 1320Horas</v>
      </c>
    </row>
    <row r="4838">
      <c r="A4838" s="390" t="str">
        <f>IFERROR(__xludf.DUMMYFUNCTION("""COMPUTED_VALUE"""),"Cristiana da Silva Ferreira - Pós-Graduação em Sexologia")</f>
        <v>Cristiana da Silva Ferreira - Pós-Graduação em Sexologia</v>
      </c>
    </row>
    <row r="4839">
      <c r="A4839" s="390" t="str">
        <f>IFERROR(__xludf.DUMMYFUNCTION("""COMPUTED_VALUE"""),"Mayara Cathuicy Carvalho de Souza - Pós-Graduação em Terapia em ABA- Análise do Comportamento Aplicada")</f>
        <v>Mayara Cathuicy Carvalho de Souza - Pós-Graduação em Terapia em ABA- Análise do Comportamento Aplicada</v>
      </c>
    </row>
    <row r="4840">
      <c r="A4840" s="390" t="str">
        <f>IFERROR(__xludf.DUMMYFUNCTION("""COMPUTED_VALUE"""),"Francisca Lima Oliveira Brandão - Formação Livre Psicanálise")</f>
        <v>Francisca Lima Oliveira Brandão - Formação Livre Psicanálise</v>
      </c>
    </row>
    <row r="4841">
      <c r="A4841" s="390" t="str">
        <f>IFERROR(__xludf.DUMMYFUNCTION("""COMPUTED_VALUE"""),"Antonio Carlos de Jesus - Formação Livre Psicanálise")</f>
        <v>Antonio Carlos de Jesus - Formação Livre Psicanálise</v>
      </c>
    </row>
    <row r="4842">
      <c r="A4842" s="390" t="str">
        <f>IFERROR(__xludf.DUMMYFUNCTION("""COMPUTED_VALUE"""),"Milcelia Ferreira Silva - Pós-Graduação em Ensino de Artes")</f>
        <v>Milcelia Ferreira Silva - Pós-Graduação em Ensino de Artes</v>
      </c>
    </row>
    <row r="4843">
      <c r="A4843" s="390" t="str">
        <f>IFERROR(__xludf.DUMMYFUNCTION("""COMPUTED_VALUE"""),"Milcelia Ferreira Silva - #SLUG - SEGUNDA LICENCIATURA EM GEOGRAFIA")</f>
        <v>Milcelia Ferreira Silva - #SLUG - SEGUNDA LICENCIATURA EM GEOGRAFIA</v>
      </c>
    </row>
    <row r="4844">
      <c r="A4844" s="390" t="str">
        <f>IFERROR(__xludf.DUMMYFUNCTION("""COMPUTED_VALUE"""),"NICOLLE LUIZA BENFICA BRANDÃO - #SLUEE - SEGUNDA LICENCIATURA EM EDUCAÇÃO ESPECIAL")</f>
        <v>NICOLLE LUIZA BENFICA BRANDÃO - #SLUEE - SEGUNDA LICENCIATURA EM EDUCAÇÃO ESPECIAL</v>
      </c>
    </row>
    <row r="4845">
      <c r="A4845" s="390" t="str">
        <f>IFERROR(__xludf.DUMMYFUNCTION("""COMPUTED_VALUE"""),"Lucas dos Santos Fávaro - Formação Livre em Música")</f>
        <v>Lucas dos Santos Fávaro - Formação Livre em Música</v>
      </c>
    </row>
    <row r="4846">
      <c r="A4846" s="390" t="str">
        <f>IFERROR(__xludf.DUMMYFUNCTION("""COMPUTED_VALUE"""),"Jean Cláudio de Moraes - Pós-Graduação em Psicanálise")</f>
        <v>Jean Cláudio de Moraes - Pós-Graduação em Psicanálise</v>
      </c>
    </row>
    <row r="4847">
      <c r="A4847" s="390" t="str">
        <f>IFERROR(__xludf.DUMMYFUNCTION("""COMPUTED_VALUE"""),"Jean Cláudio de Moraes - Pós-Graduação em Sexologia")</f>
        <v>Jean Cláudio de Moraes - Pós-Graduação em Sexologia</v>
      </c>
    </row>
    <row r="4848">
      <c r="A4848" s="390" t="str">
        <f>IFERROR(__xludf.DUMMYFUNCTION("""COMPUTED_VALUE"""),"LUCAS SÁ ARAÚJO - #SLUP - SEGUNDA LICENCIATURA EM PEDAGOGIA")</f>
        <v>LUCAS SÁ ARAÚJO - #SLUP - SEGUNDA LICENCIATURA EM PEDAGOGIA</v>
      </c>
    </row>
    <row r="4849">
      <c r="A4849" s="390" t="str">
        <f>IFERROR(__xludf.DUMMYFUNCTION("""COMPUTED_VALUE"""),"Elenice Ferreira dos Santos Tamborim - RADIANTE - Pós-Graduação em Psicomotricidade")</f>
        <v>Elenice Ferreira dos Santos Tamborim - RADIANTE - Pós-Graduação em Psicomotricidade</v>
      </c>
    </row>
    <row r="4850">
      <c r="A4850" s="390" t="str">
        <f>IFERROR(__xludf.DUMMYFUNCTION("""COMPUTED_VALUE"""),"Elenice Ferreira dos Santos Tamborim - RADIANTE - Pós-Graduação Terapia em TDAH Clínica 920Horas")</f>
        <v>Elenice Ferreira dos Santos Tamborim - RADIANTE - Pós-Graduação Terapia em TDAH Clínica 920Horas</v>
      </c>
    </row>
    <row r="4851">
      <c r="A4851" s="390" t="str">
        <f>IFERROR(__xludf.DUMMYFUNCTION("""COMPUTED_VALUE"""),"Alexandre Castelhano Gabriel - RADIANTE - Pós-Graduação em Psicologia Clínica")</f>
        <v>Alexandre Castelhano Gabriel - RADIANTE - Pós-Graduação em Psicologia Clínica</v>
      </c>
    </row>
    <row r="4852">
      <c r="A4852" s="390" t="str">
        <f>IFERROR(__xludf.DUMMYFUNCTION("""COMPUTED_VALUE"""),"Izabel Cristina Calixto Caetano - Formação Livre Psicanálise")</f>
        <v>Izabel Cristina Calixto Caetano - Formação Livre Psicanálise</v>
      </c>
    </row>
    <row r="4853">
      <c r="A4853" s="390" t="str">
        <f>IFERROR(__xludf.DUMMYFUNCTION("""COMPUTED_VALUE"""),"Cecília Fabyana da Silva - Pós-Graduação em Sexologia")</f>
        <v>Cecília Fabyana da Silva - Pós-Graduação em Sexologia</v>
      </c>
    </row>
    <row r="4854">
      <c r="A4854" s="390" t="str">
        <f>IFERROR(__xludf.DUMMYFUNCTION("""COMPUTED_VALUE"""),"Damaris Ramos Mendes Chagas - #SLMF - Segunda Licenciatura em Música 1320Horas")</f>
        <v>Damaris Ramos Mendes Chagas - #SLMF - Segunda Licenciatura em Música 1320Horas</v>
      </c>
    </row>
    <row r="4855">
      <c r="A4855" s="390" t="str">
        <f>IFERROR(__xludf.DUMMYFUNCTION("""COMPUTED_VALUE"""),"Samuel Benedito Luz - FORMAÇÃO PEDAGÓGICA EM CIÊNCIAS DA RELIGIÃO- U")</f>
        <v>Samuel Benedito Luz - FORMAÇÃO PEDAGÓGICA EM CIÊNCIAS DA RELIGIÃO- U</v>
      </c>
    </row>
    <row r="4856">
      <c r="A4856" s="390" t="str">
        <f>IFERROR(__xludf.DUMMYFUNCTION("""COMPUTED_VALUE"""),"Emily Becker Ribeiro - Formação Livre em Sexologia")</f>
        <v>Emily Becker Ribeiro - Formação Livre em Sexologia</v>
      </c>
    </row>
    <row r="4857">
      <c r="A4857" s="390" t="str">
        <f>IFERROR(__xludf.DUMMYFUNCTION("""COMPUTED_VALUE"""),"Silvana Campos de Faria - #FPUP-FORMAÇÃO PEDAGÓGICA EM PEDAGOGIA- U")</f>
        <v>Silvana Campos de Faria - #FPUP-FORMAÇÃO PEDAGÓGICA EM PEDAGOGIA- U</v>
      </c>
    </row>
    <row r="4858">
      <c r="A4858" s="390" t="str">
        <f>IFERROR(__xludf.DUMMYFUNCTION("""COMPUTED_VALUE"""),"Hamilton Portella Junior - #FPMF- Formação Pedagógica em Música 1200Horas")</f>
        <v>Hamilton Portella Junior - #FPMF- Formação Pedagógica em Música 1200Horas</v>
      </c>
    </row>
    <row r="4859">
      <c r="A4859" s="390" t="str">
        <f>IFERROR(__xludf.DUMMYFUNCTION("""COMPUTED_VALUE"""),"Hamilton Portella Junior - Pós-Graduação em Ensino de Artes")</f>
        <v>Hamilton Portella Junior - Pós-Graduação em Ensino de Artes</v>
      </c>
    </row>
    <row r="4860">
      <c r="A4860" s="390" t="str">
        <f>IFERROR(__xludf.DUMMYFUNCTION("""COMPUTED_VALUE"""),"ELEYNE SILVA LOPES - Pós-Graduação em Psicanálise")</f>
        <v>ELEYNE SILVA LOPES - Pós-Graduação em Psicanálise</v>
      </c>
    </row>
    <row r="4861">
      <c r="A4861" s="390" t="str">
        <f>IFERROR(__xludf.DUMMYFUNCTION("""COMPUTED_VALUE"""),"Sueli da Silva Feitosa de Sousa - Formação Livre em Psicanálise-2022")</f>
        <v>Sueli da Silva Feitosa de Sousa - Formação Livre em Psicanálise-2022</v>
      </c>
    </row>
    <row r="4862">
      <c r="A4862" s="390" t="str">
        <f>IFERROR(__xludf.DUMMYFUNCTION("""COMPUTED_VALUE"""),"Rafael Junio Moreira Silva - Práticas Pedagógicas")</f>
        <v>Rafael Junio Moreira Silva - Práticas Pedagógicas</v>
      </c>
    </row>
    <row r="4863">
      <c r="A4863" s="390" t="str">
        <f>IFERROR(__xludf.DUMMYFUNCTION("""COMPUTED_VALUE"""),"Monique Eves Souza dos Santos - #SLUP - SEGUNDA LICENCIATURA EM PEDAGOGIA")</f>
        <v>Monique Eves Souza dos Santos - #SLUP - SEGUNDA LICENCIATURA EM PEDAGOGIA</v>
      </c>
    </row>
    <row r="4864">
      <c r="A4864" s="390" t="str">
        <f>IFERROR(__xludf.DUMMYFUNCTION("""COMPUTED_VALUE"""),"Paula Freire Mendes - #FPUP-FORMAÇÃO PEDAGÓGICA EM PEDAGOGIA- U")</f>
        <v>Paula Freire Mendes - #FPUP-FORMAÇÃO PEDAGÓGICA EM PEDAGOGIA- U</v>
      </c>
    </row>
    <row r="4865">
      <c r="A4865" s="390" t="str">
        <f>IFERROR(__xludf.DUMMYFUNCTION("""COMPUTED_VALUE"""),"Paula Freire Mendes - #FPUA- Formação Pedagógica em Artes Visuais")</f>
        <v>Paula Freire Mendes - #FPUA- Formação Pedagógica em Artes Visuais</v>
      </c>
    </row>
    <row r="4866">
      <c r="A4866" s="390" t="str">
        <f>IFERROR(__xludf.DUMMYFUNCTION("""COMPUTED_VALUE"""),"Hitalo Wedemberg de Andrade Santos - #SLUP - SEGUNDA LICENCIATURA EM PEDAGOGIA")</f>
        <v>Hitalo Wedemberg de Andrade Santos - #SLUP - SEGUNDA LICENCIATURA EM PEDAGOGIA</v>
      </c>
    </row>
    <row r="4867">
      <c r="A4867" s="390" t="str">
        <f>IFERROR(__xludf.DUMMYFUNCTION("""COMPUTED_VALUE"""),"Ricardo Teófilo da Silva - #FPMF- Formação Pedagógica em Música 1200Horas")</f>
        <v>Ricardo Teófilo da Silva - #FPMF- Formação Pedagógica em Música 1200Horas</v>
      </c>
    </row>
    <row r="4868">
      <c r="A4868" s="390" t="str">
        <f>IFERROR(__xludf.DUMMYFUNCTION("""COMPUTED_VALUE"""),"Ricardo Teófilo da Silva - Pós-Graduação em Musicoterapia")</f>
        <v>Ricardo Teófilo da Silva - Pós-Graduação em Musicoterapia</v>
      </c>
    </row>
    <row r="4869">
      <c r="A4869" s="390" t="str">
        <f>IFERROR(__xludf.DUMMYFUNCTION("""COMPUTED_VALUE"""),"Leandro Bicalho de Andrade - #FPUEF - Formação Pedagógica em Educação Física - 1200 Horas")</f>
        <v>Leandro Bicalho de Andrade - #FPUEF - Formação Pedagógica em Educação Física - 1200 Horas</v>
      </c>
    </row>
    <row r="4870">
      <c r="A4870" s="390" t="str">
        <f>IFERROR(__xludf.DUMMYFUNCTION("""COMPUTED_VALUE"""),"Alexandre Sabbagh Benetti - #SLMF - Segunda Licenciatura em Música 1320Horas")</f>
        <v>Alexandre Sabbagh Benetti - #SLMF - Segunda Licenciatura em Música 1320Horas</v>
      </c>
    </row>
    <row r="4871">
      <c r="A4871" s="390" t="str">
        <f>IFERROR(__xludf.DUMMYFUNCTION("""COMPUTED_VALUE"""),"Cintia Marques Caldeira Aoki - #FPUP-FORMAÇÃO PEDAGÓGICA EM PEDAGOGIA- U")</f>
        <v>Cintia Marques Caldeira Aoki - #FPUP-FORMAÇÃO PEDAGÓGICA EM PEDAGOGIA- U</v>
      </c>
    </row>
    <row r="4872">
      <c r="A4872" s="390" t="str">
        <f>IFERROR(__xludf.DUMMYFUNCTION("""COMPUTED_VALUE"""),"Cintia Marques Caldeira Aoki - Pós-Graduação em Psicomotricidade na Educação Infantil")</f>
        <v>Cintia Marques Caldeira Aoki - Pós-Graduação em Psicomotricidade na Educação Infantil</v>
      </c>
    </row>
    <row r="4873">
      <c r="A4873" s="390" t="str">
        <f>IFERROR(__xludf.DUMMYFUNCTION("""COMPUTED_VALUE"""),"Fábio Zanussi Mortol - #FPMF- Formação Pedagógica em Música 1200Horas")</f>
        <v>Fábio Zanussi Mortol - #FPMF- Formação Pedagógica em Música 1200Horas</v>
      </c>
    </row>
    <row r="4874">
      <c r="A4874" s="390" t="str">
        <f>IFERROR(__xludf.DUMMYFUNCTION("""COMPUTED_VALUE"""),"Luana Tamires Bernardo Santos - Formação Livre em Psicanálise-2022")</f>
        <v>Luana Tamires Bernardo Santos - Formação Livre em Psicanálise-2022</v>
      </c>
    </row>
    <row r="4875">
      <c r="A4875" s="390" t="str">
        <f>IFERROR(__xludf.DUMMYFUNCTION("""COMPUTED_VALUE"""),"Uilza Maria Martins Dantas Santos - NOVO-Pós-Graduação em Psicanálise 800 Horas")</f>
        <v>Uilza Maria Martins Dantas Santos - NOVO-Pós-Graduação em Psicanálise 800 Horas</v>
      </c>
    </row>
    <row r="4876">
      <c r="A4876" s="390" t="str">
        <f>IFERROR(__xludf.DUMMYFUNCTION("""COMPUTED_VALUE"""),"Uilza Maria Martins Dantas Santos - PÓS-GRADUAÇÃO EM PSICANÁLISE 2022")</f>
        <v>Uilza Maria Martins Dantas Santos - PÓS-GRADUAÇÃO EM PSICANÁLISE 2022</v>
      </c>
    </row>
    <row r="4877">
      <c r="A4877" s="390" t="str">
        <f>IFERROR(__xludf.DUMMYFUNCTION("""COMPUTED_VALUE"""),"Luciana Perácio Finelli - Pós-Graduação em Metodologias do Ensino Superior nas Várias Modalidades")</f>
        <v>Luciana Perácio Finelli - Pós-Graduação em Metodologias do Ensino Superior nas Várias Modalidades</v>
      </c>
    </row>
    <row r="4878">
      <c r="A4878" s="390" t="str">
        <f>IFERROR(__xludf.DUMMYFUNCTION("""COMPUTED_VALUE"""),"Clarissa Leite Mendes - Pós-Graduação em Sexologia")</f>
        <v>Clarissa Leite Mendes - Pós-Graduação em Sexologia</v>
      </c>
    </row>
    <row r="4879">
      <c r="A4879" s="390" t="str">
        <f>IFERROR(__xludf.DUMMYFUNCTION("""COMPUTED_VALUE"""),"Clarissa Leite Mendes - Pós-Graduação em Ensino de Geografia e História")</f>
        <v>Clarissa Leite Mendes - Pós-Graduação em Ensino de Geografia e História</v>
      </c>
    </row>
    <row r="4880">
      <c r="A4880" s="390" t="str">
        <f>IFERROR(__xludf.DUMMYFUNCTION("""COMPUTED_VALUE"""),"Soraya Aboim Freire Pereira - #FPMF- Formação Pedagógica em Música 1200Horas")</f>
        <v>Soraya Aboim Freire Pereira - #FPMF- Formação Pedagógica em Música 1200Horas</v>
      </c>
    </row>
    <row r="4881">
      <c r="A4881" s="390" t="str">
        <f>IFERROR(__xludf.DUMMYFUNCTION("""COMPUTED_VALUE"""),"Soraya Aboim Freire Pereira - Pós-Graduação Fonoaudiologia em Saúde Coletiva")</f>
        <v>Soraya Aboim Freire Pereira - Pós-Graduação Fonoaudiologia em Saúde Coletiva</v>
      </c>
    </row>
    <row r="4882">
      <c r="A4882" s="390" t="str">
        <f>IFERROR(__xludf.DUMMYFUNCTION("""COMPUTED_VALUE"""),"Anderson Bruno Costa - Pós-Graduação em Psicanálise")</f>
        <v>Anderson Bruno Costa - Pós-Graduação em Psicanálise</v>
      </c>
    </row>
    <row r="4883">
      <c r="A4883" s="390" t="str">
        <f>IFERROR(__xludf.DUMMYFUNCTION("""COMPUTED_VALUE"""),"Maria de Lourdes Querino - Formação Livre em Psicanálise-2022")</f>
        <v>Maria de Lourdes Querino - Formação Livre em Psicanálise-2022</v>
      </c>
    </row>
    <row r="4884">
      <c r="A4884" s="390" t="str">
        <f>IFERROR(__xludf.DUMMYFUNCTION("""COMPUTED_VALUE"""),"Maria Helena Leal da Silva - Pós-Graduação em Psicanálise")</f>
        <v>Maria Helena Leal da Silva - Pós-Graduação em Psicanálise</v>
      </c>
    </row>
    <row r="4885">
      <c r="A4885" s="390" t="str">
        <f>IFERROR(__xludf.DUMMYFUNCTION("""COMPUTED_VALUE"""),"Marcilene Cristina Souza Araujo Menon Lopes - Formação Livre em Psicanálise-2022")</f>
        <v>Marcilene Cristina Souza Araujo Menon Lopes - Formação Livre em Psicanálise-2022</v>
      </c>
    </row>
    <row r="4886">
      <c r="A4886" s="390" t="str">
        <f>IFERROR(__xludf.DUMMYFUNCTION("""COMPUTED_VALUE"""),"Marcilene Cristina Souza Araujo Menon Lopes - PÓS-GRADUAÇÃO EM PSICANÁLISE - 2024")</f>
        <v>Marcilene Cristina Souza Araujo Menon Lopes - PÓS-GRADUAÇÃO EM PSICANÁLISE - 2024</v>
      </c>
    </row>
    <row r="4887">
      <c r="A4887" s="390" t="str">
        <f>IFERROR(__xludf.DUMMYFUNCTION("""COMPUTED_VALUE"""),"ANA MARIA MENEZES DO NASCIMENTO - #SLPA- Segunda Licenciatura em Pedagogia 01")</f>
        <v>ANA MARIA MENEZES DO NASCIMENTO - #SLPA- Segunda Licenciatura em Pedagogia 01</v>
      </c>
    </row>
    <row r="4888">
      <c r="A4888" s="390" t="str">
        <f>IFERROR(__xludf.DUMMYFUNCTION("""COMPUTED_VALUE"""),"Antonio José Ferreira Junior - Formação Pedagógica em Ciências Sociais")</f>
        <v>Antonio José Ferreira Junior - Formação Pedagógica em Ciências Sociais</v>
      </c>
    </row>
    <row r="4889">
      <c r="A4889" s="390" t="str">
        <f>IFERROR(__xludf.DUMMYFUNCTION("""COMPUTED_VALUE"""),"AURELIO DA SILVA GOES - Formação Livre em Psicanálise-2022")</f>
        <v>AURELIO DA SILVA GOES - Formação Livre em Psicanálise-2022</v>
      </c>
    </row>
    <row r="4890">
      <c r="A4890" s="390" t="str">
        <f>IFERROR(__xludf.DUMMYFUNCTION("""COMPUTED_VALUE"""),"Fernando Ferreira de Lima Santana - Pós-Graduação em Psicanálise")</f>
        <v>Fernando Ferreira de Lima Santana - Pós-Graduação em Psicanálise</v>
      </c>
    </row>
    <row r="4891">
      <c r="A4891" s="390" t="str">
        <f>IFERROR(__xludf.DUMMYFUNCTION("""COMPUTED_VALUE"""),"AMARO LIMA DA SILVA - #SLPA- Segunda Licenciatura em Pedagogia 01")</f>
        <v>AMARO LIMA DA SILVA - #SLPA- Segunda Licenciatura em Pedagogia 01</v>
      </c>
    </row>
    <row r="4892">
      <c r="A4892" s="390" t="str">
        <f>IFERROR(__xludf.DUMMYFUNCTION("""COMPUTED_VALUE"""),"AMARO LIMA DA SILVA - Pós-Graduação em Gestão Escolar")</f>
        <v>AMARO LIMA DA SILVA - Pós-Graduação em Gestão Escolar</v>
      </c>
    </row>
    <row r="4893">
      <c r="A4893" s="390" t="str">
        <f>IFERROR(__xludf.DUMMYFUNCTION("""COMPUTED_VALUE"""),"Noélia de Jesus Silva mata - #SLUP - SEGUNDA LICENCIATURA EM PEDAGOGIA")</f>
        <v>Noélia de Jesus Silva mata - #SLUP - SEGUNDA LICENCIATURA EM PEDAGOGIA</v>
      </c>
    </row>
    <row r="4894">
      <c r="A4894" s="390" t="str">
        <f>IFERROR(__xludf.DUMMYFUNCTION("""COMPUTED_VALUE"""),"Noélia de Jesus Silva mata - #SLPT- Segunda Licenciatura em Pedagogia")</f>
        <v>Noélia de Jesus Silva mata - #SLPT- Segunda Licenciatura em Pedagogia</v>
      </c>
    </row>
    <row r="4895">
      <c r="A4895" s="390" t="str">
        <f>IFERROR(__xludf.DUMMYFUNCTION("""COMPUTED_VALUE"""),"José Carlos Travassos Martins - Formação Livre em Psicanálise-2022")</f>
        <v>José Carlos Travassos Martins - Formação Livre em Psicanálise-2022</v>
      </c>
    </row>
    <row r="4896">
      <c r="A4896" s="390" t="str">
        <f>IFERROR(__xludf.DUMMYFUNCTION("""COMPUTED_VALUE"""),"Daniel de Matos Martins - #FPMF- Formação Pedagógica em Música 1200Horas")</f>
        <v>Daniel de Matos Martins - #FPMF- Formação Pedagógica em Música 1200Horas</v>
      </c>
    </row>
    <row r="4897">
      <c r="A4897" s="390" t="str">
        <f>IFERROR(__xludf.DUMMYFUNCTION("""COMPUTED_VALUE"""),"Cátia Rissi - Formação Livre em Psicanálise-2022")</f>
        <v>Cátia Rissi - Formação Livre em Psicanálise-2022</v>
      </c>
    </row>
    <row r="4898">
      <c r="A4898" s="390" t="str">
        <f>IFERROR(__xludf.DUMMYFUNCTION("""COMPUTED_VALUE"""),"Luis Augusto Diniz Pinto - Formação Livre em Psicanálise-2022")</f>
        <v>Luis Augusto Diniz Pinto - Formação Livre em Psicanálise-2022</v>
      </c>
    </row>
    <row r="4899">
      <c r="A4899" s="390" t="str">
        <f>IFERROR(__xludf.DUMMYFUNCTION("""COMPUTED_VALUE"""),"Sílvio José da Silva - Formação Livre em Música")</f>
        <v>Sílvio José da Silva - Formação Livre em Música</v>
      </c>
    </row>
    <row r="4900">
      <c r="A4900" s="390" t="str">
        <f>IFERROR(__xludf.DUMMYFUNCTION("""COMPUTED_VALUE"""),"Sílvio José da Silva - Pós-Graduação em Psicanálise")</f>
        <v>Sílvio José da Silva - Pós-Graduação em Psicanálise</v>
      </c>
    </row>
    <row r="4901">
      <c r="A4901" s="390" t="str">
        <f>IFERROR(__xludf.DUMMYFUNCTION("""COMPUTED_VALUE"""),"Nelsi Kaiser Diesel - Pós-Graduação em Neuropsicopedagogia Institucional, Clínica e Hospitalar 850h")</f>
        <v>Nelsi Kaiser Diesel - Pós-Graduação em Neuropsicopedagogia Institucional, Clínica e Hospitalar 850h</v>
      </c>
    </row>
    <row r="4902">
      <c r="A4902" s="390" t="str">
        <f>IFERROR(__xludf.DUMMYFUNCTION("""COMPUTED_VALUE"""),"Carlos Roberto Santos Oliveira - #SLUC - SEGUNDA LICENCIATURA EM CIÊNCIAS DA RELIGIÃO- U")</f>
        <v>Carlos Roberto Santos Oliveira - #SLUC - SEGUNDA LICENCIATURA EM CIÊNCIAS DA RELIGIÃO- U</v>
      </c>
    </row>
    <row r="4903">
      <c r="A4903" s="390" t="str">
        <f>IFERROR(__xludf.DUMMYFUNCTION("""COMPUTED_VALUE"""),"Carlos Roberto Santos Oliveira - Pós-Graduação em Sexologia")</f>
        <v>Carlos Roberto Santos Oliveira - Pós-Graduação em Sexologia</v>
      </c>
    </row>
    <row r="4904">
      <c r="A4904" s="390" t="str">
        <f>IFERROR(__xludf.DUMMYFUNCTION("""COMPUTED_VALUE"""),"Ladson Ferreira de Matos - #FPMF- Formação Pedagógica em Música 1200Horas")</f>
        <v>Ladson Ferreira de Matos - #FPMF- Formação Pedagógica em Música 1200Horas</v>
      </c>
    </row>
    <row r="4905">
      <c r="A4905" s="390" t="str">
        <f>IFERROR(__xludf.DUMMYFUNCTION("""COMPUTED_VALUE"""),"Ladson Ferreira de Matos - #FPMF- Formação Pedagógica em Música 2022")</f>
        <v>Ladson Ferreira de Matos - #FPMF- Formação Pedagógica em Música 2022</v>
      </c>
    </row>
    <row r="4906">
      <c r="A4906" s="390" t="str">
        <f>IFERROR(__xludf.DUMMYFUNCTION("""COMPUTED_VALUE"""),"Marta Chrisostomo Silvares - Formação Livre em Psicanálise-2022")</f>
        <v>Marta Chrisostomo Silvares - Formação Livre em Psicanálise-2022</v>
      </c>
    </row>
    <row r="4907">
      <c r="A4907" s="390" t="str">
        <f>IFERROR(__xludf.DUMMYFUNCTION("""COMPUTED_VALUE"""),"Dihego Flores Espíndola - #SLUF- Segunda Licenciatura em Filosofia")</f>
        <v>Dihego Flores Espíndola - #SLUF- Segunda Licenciatura em Filosofia</v>
      </c>
    </row>
    <row r="4908">
      <c r="A4908" s="390" t="str">
        <f>IFERROR(__xludf.DUMMYFUNCTION("""COMPUTED_VALUE"""),"Dihego Flores Espíndola - #SLUS - Segunda Licenciatura em Sociologia")</f>
        <v>Dihego Flores Espíndola - #SLUS - Segunda Licenciatura em Sociologia</v>
      </c>
    </row>
    <row r="4909">
      <c r="A4909" s="390" t="str">
        <f>IFERROR(__xludf.DUMMYFUNCTION("""COMPUTED_VALUE"""),"Poliana carneiro Irineu - Pós-Graduação em Neuropsicopedagogia Institucional, Clínica e Hospitalar 850h")</f>
        <v>Poliana carneiro Irineu - Pós-Graduação em Neuropsicopedagogia Institucional, Clínica e Hospitalar 850h</v>
      </c>
    </row>
    <row r="4910">
      <c r="A4910" s="390" t="str">
        <f>IFERROR(__xludf.DUMMYFUNCTION("""COMPUTED_VALUE"""),"Suely Candida Ribeiro - Pós-Graduação em Psicanálise")</f>
        <v>Suely Candida Ribeiro - Pós-Graduação em Psicanálise</v>
      </c>
    </row>
    <row r="4911">
      <c r="A4911" s="390" t="str">
        <f>IFERROR(__xludf.DUMMYFUNCTION("""COMPUTED_VALUE"""),"Renan Sampaio Da Silva Dias - Pós-Graduação em Psicanálise")</f>
        <v>Renan Sampaio Da Silva Dias - Pós-Graduação em Psicanálise</v>
      </c>
    </row>
    <row r="4912">
      <c r="A4912" s="390" t="str">
        <f>IFERROR(__xludf.DUMMYFUNCTION("""COMPUTED_VALUE"""),"JOSELAINE LOPES DE SOUSA BARBOSA - Pós-Graduação em Neuropsicopedagogia Institucional, Clínica e Hospitalar 850h")</f>
        <v>JOSELAINE LOPES DE SOUSA BARBOSA - Pós-Graduação em Neuropsicopedagogia Institucional, Clínica e Hospitalar 850h</v>
      </c>
    </row>
    <row r="4913">
      <c r="A4913" s="390" t="str">
        <f>IFERROR(__xludf.DUMMYFUNCTION("""COMPUTED_VALUE"""),"JOSELAINE LOPES DE SOUSA BARBOSA - Pós-graduação em Neuropsicologia")</f>
        <v>JOSELAINE LOPES DE SOUSA BARBOSA - Pós-graduação em Neuropsicologia</v>
      </c>
    </row>
    <row r="4914">
      <c r="A4914" s="390" t="str">
        <f>IFERROR(__xludf.DUMMYFUNCTION("""COMPUTED_VALUE"""),"Ederson Da Silva Santos - Formação Livre em Psicanálise-2022")</f>
        <v>Ederson Da Silva Santos - Formação Livre em Psicanálise-2022</v>
      </c>
    </row>
    <row r="4915">
      <c r="A4915" s="390" t="str">
        <f>IFERROR(__xludf.DUMMYFUNCTION("""COMPUTED_VALUE"""),"Márcia Cardoso Dias - Pós-Graduação Psicopedagogia Clínica, Institucional e Hospitalar")</f>
        <v>Márcia Cardoso Dias - Pós-Graduação Psicopedagogia Clínica, Institucional e Hospitalar</v>
      </c>
    </row>
    <row r="4916">
      <c r="A4916" s="390" t="str">
        <f>IFERROR(__xludf.DUMMYFUNCTION("""COMPUTED_VALUE"""),"Rosangela Santana Batista - Pós-Graduação em Psicanálise")</f>
        <v>Rosangela Santana Batista - Pós-Graduação em Psicanálise</v>
      </c>
    </row>
    <row r="4917">
      <c r="A4917" s="390" t="str">
        <f>IFERROR(__xludf.DUMMYFUNCTION("""COMPUTED_VALUE"""),"Valquiria Notaro Furlan - Pós-Graduação em Psicanálise 2/2023")</f>
        <v>Valquiria Notaro Furlan - Pós-Graduação em Psicanálise 2/2023</v>
      </c>
    </row>
    <row r="4918">
      <c r="A4918" s="390" t="str">
        <f>IFERROR(__xludf.DUMMYFUNCTION("""COMPUTED_VALUE"""),"Vanda Alves da Silva - Formação Livre em Psicanálise-2022")</f>
        <v>Vanda Alves da Silva - Formação Livre em Psicanálise-2022</v>
      </c>
    </row>
    <row r="4919">
      <c r="A4919" s="390" t="str">
        <f>IFERROR(__xludf.DUMMYFUNCTION("""COMPUTED_VALUE"""),"Graziele Vecchi Bernini - #SLP22- Segunda Licenciatura em Pedagogia")</f>
        <v>Graziele Vecchi Bernini - #SLP22- Segunda Licenciatura em Pedagogia</v>
      </c>
    </row>
    <row r="4920">
      <c r="A4920" s="390" t="str">
        <f>IFERROR(__xludf.DUMMYFUNCTION("""COMPUTED_VALUE"""),"Siro de oliveira santos - #SLMF - Segunda Licenciatura em Música 1320Horas")</f>
        <v>Siro de oliveira santos - #SLMF - Segunda Licenciatura em Música 1320Horas</v>
      </c>
    </row>
    <row r="4921">
      <c r="A4921" s="390" t="str">
        <f>IFERROR(__xludf.DUMMYFUNCTION("""COMPUTED_VALUE"""),"Ezequiel Teixeira Cruz - #FPMF- Formação Pedagógica em Música 1200Horas")</f>
        <v>Ezequiel Teixeira Cruz - #FPMF- Formação Pedagógica em Música 1200Horas</v>
      </c>
    </row>
    <row r="4922">
      <c r="A4922" s="390" t="str">
        <f>IFERROR(__xludf.DUMMYFUNCTION("""COMPUTED_VALUE"""),"Ezequiel Teixeira Cruz - Pós-Graduação em Inteligência Artificial")</f>
        <v>Ezequiel Teixeira Cruz - Pós-Graduação em Inteligência Artificial</v>
      </c>
    </row>
    <row r="4923">
      <c r="A4923" s="390" t="str">
        <f>IFERROR(__xludf.DUMMYFUNCTION("""COMPUTED_VALUE"""),"Airton da Silva Marotti - Pós-Graduação em Psicanálise 2/2023")</f>
        <v>Airton da Silva Marotti - Pós-Graduação em Psicanálise 2/2023</v>
      </c>
    </row>
    <row r="4924">
      <c r="A4924" s="390" t="str">
        <f>IFERROR(__xludf.DUMMYFUNCTION("""COMPUTED_VALUE"""),"Odair Leandro de matos - #SLMF - Segunda Licenciatura em Música 1320Horas")</f>
        <v>Odair Leandro de matos - #SLMF - Segunda Licenciatura em Música 1320Horas</v>
      </c>
    </row>
    <row r="4925">
      <c r="A4925" s="390" t="str">
        <f>IFERROR(__xludf.DUMMYFUNCTION("""COMPUTED_VALUE"""),"Francisco Eduardo Castro de Oliveira - Capacitação em Sexologia")</f>
        <v>Francisco Eduardo Castro de Oliveira - Capacitação em Sexologia</v>
      </c>
    </row>
    <row r="4926">
      <c r="A4926" s="390" t="str">
        <f>IFERROR(__xludf.DUMMYFUNCTION("""COMPUTED_VALUE"""),"Francisco Eduardo Castro de Oliveira - Pós-Graduação em Sexologia")</f>
        <v>Francisco Eduardo Castro de Oliveira - Pós-Graduação em Sexologia</v>
      </c>
    </row>
    <row r="4927">
      <c r="A4927" s="390" t="str">
        <f>IFERROR(__xludf.DUMMYFUNCTION("""COMPUTED_VALUE"""),"Letícia Aparecida Caseca - Formação Livre em Psicanálise-2022")</f>
        <v>Letícia Aparecida Caseca - Formação Livre em Psicanálise-2022</v>
      </c>
    </row>
    <row r="4928">
      <c r="A4928" s="390" t="str">
        <f>IFERROR(__xludf.DUMMYFUNCTION("""COMPUTED_VALUE"""),"Ivanice Silva de Arruda Rocha - #SLH+- SEGUNDA LICENCIATURA EM HISTÓRIA")</f>
        <v>Ivanice Silva de Arruda Rocha - #SLH+- SEGUNDA LICENCIATURA EM HISTÓRIA</v>
      </c>
    </row>
    <row r="4929">
      <c r="A4929" s="390" t="str">
        <f>IFERROR(__xludf.DUMMYFUNCTION("""COMPUTED_VALUE"""),"Lucia Margareth Bezerra - #FPULPI- Formação Pedagógica em Letras – Português e Inglês")</f>
        <v>Lucia Margareth Bezerra - #FPULPI- Formação Pedagógica em Letras – Português e Inglês</v>
      </c>
    </row>
    <row r="4930">
      <c r="A4930" s="390" t="str">
        <f>IFERROR(__xludf.DUMMYFUNCTION("""COMPUTED_VALUE"""),"Lucia Margareth Bezerra - Pós-Graduação em Gestão Escolar")</f>
        <v>Lucia Margareth Bezerra - Pós-Graduação em Gestão Escolar</v>
      </c>
    </row>
    <row r="4931">
      <c r="A4931" s="390" t="str">
        <f>IFERROR(__xludf.DUMMYFUNCTION("""COMPUTED_VALUE"""),"Rita de Cassia da Silva de Oliveira - NOVO-Pós-Graduação em Psicanálise 800 Horas")</f>
        <v>Rita de Cassia da Silva de Oliveira - NOVO-Pós-Graduação em Psicanálise 800 Horas</v>
      </c>
    </row>
    <row r="4932">
      <c r="A4932" s="390" t="str">
        <f>IFERROR(__xludf.DUMMYFUNCTION("""COMPUTED_VALUE"""),"Marta Gabriela Miranda Silva - Formação Livre em Psicanálise-2022")</f>
        <v>Marta Gabriela Miranda Silva - Formação Livre em Psicanálise-2022</v>
      </c>
    </row>
    <row r="4933">
      <c r="A4933" s="390" t="str">
        <f>IFERROR(__xludf.DUMMYFUNCTION("""COMPUTED_VALUE"""),"Luciana de Oliveira Batalha - Pós-Graduação em Psicanálise")</f>
        <v>Luciana de Oliveira Batalha - Pós-Graduação em Psicanálise</v>
      </c>
    </row>
    <row r="4934">
      <c r="A4934" s="390" t="str">
        <f>IFERROR(__xludf.DUMMYFUNCTION("""COMPUTED_VALUE"""),"Ederclinger Melo Reis - #FPT1-Pedagogia para Bacharéis e Tecnólogos (2022)")</f>
        <v>Ederclinger Melo Reis - #FPT1-Pedagogia para Bacharéis e Tecnólogos (2022)</v>
      </c>
    </row>
    <row r="4935">
      <c r="A4935" s="390" t="str">
        <f>IFERROR(__xludf.DUMMYFUNCTION("""COMPUTED_VALUE"""),"Alex Rodrigo Pereira - #FPMF- Formação Pedagógica em Música 1200Horas")</f>
        <v>Alex Rodrigo Pereira - #FPMF- Formação Pedagógica em Música 1200Horas</v>
      </c>
    </row>
    <row r="4936">
      <c r="A4936" s="390" t="str">
        <f>IFERROR(__xludf.DUMMYFUNCTION("""COMPUTED_VALUE"""),"Alex Rodrigo Pereira - #FPMF- Formação Pedagógica em Música 1200Horas")</f>
        <v>Alex Rodrigo Pereira - #FPMF- Formação Pedagógica em Música 1200Horas</v>
      </c>
    </row>
    <row r="4937">
      <c r="A4937" s="390" t="str">
        <f>IFERROR(__xludf.DUMMYFUNCTION("""COMPUTED_VALUE"""),"Maria Aline dos Santos - #SLP22- Segunda Licenciatura em Pedagogia")</f>
        <v>Maria Aline dos Santos - #SLP22- Segunda Licenciatura em Pedagogia</v>
      </c>
    </row>
    <row r="4938">
      <c r="A4938" s="390" t="str">
        <f>IFERROR(__xludf.DUMMYFUNCTION("""COMPUTED_VALUE"""),"Danilo da Silva Gomes - Formação Livre em Psicanálise-2022")</f>
        <v>Danilo da Silva Gomes - Formação Livre em Psicanálise-2022</v>
      </c>
    </row>
    <row r="4939">
      <c r="A4939" s="390" t="str">
        <f>IFERROR(__xludf.DUMMYFUNCTION("""COMPUTED_VALUE"""),"JULIO CEZAR DE OLIVEIRA SANTOS - #SLMF - Segunda Licenciatura em Música 1320Horas")</f>
        <v>JULIO CEZAR DE OLIVEIRA SANTOS - #SLMF - Segunda Licenciatura em Música 1320Horas</v>
      </c>
    </row>
    <row r="4940">
      <c r="A4940" s="390" t="str">
        <f>IFERROR(__xludf.DUMMYFUNCTION("""COMPUTED_VALUE"""),"JULIO CEZAR DE OLIVEIRA SANTOS - Pós-Graduação em Gestão Escolar Integradora com Ênfase em Supervisão, Orientação, Administração e Inspeção 870Horas")</f>
        <v>JULIO CEZAR DE OLIVEIRA SANTOS - Pós-Graduação em Gestão Escolar Integradora com Ênfase em Supervisão, Orientação, Administração e Inspeção 870Horas</v>
      </c>
    </row>
    <row r="4941">
      <c r="A4941" s="390" t="str">
        <f>IFERROR(__xludf.DUMMYFUNCTION("""COMPUTED_VALUE"""),"Osmano Luiz Pereira - #SLUP - SEGUNDA LICENCIATURA EM PEDAGOGIA")</f>
        <v>Osmano Luiz Pereira - #SLUP - SEGUNDA LICENCIATURA EM PEDAGOGIA</v>
      </c>
    </row>
    <row r="4942">
      <c r="A4942" s="390" t="str">
        <f>IFERROR(__xludf.DUMMYFUNCTION("""COMPUTED_VALUE"""),"Rafaela Silva Martins - #SLPA- Segunda Licenciatura em Pedagogia 01")</f>
        <v>Rafaela Silva Martins - #SLPA- Segunda Licenciatura em Pedagogia 01</v>
      </c>
    </row>
    <row r="4943">
      <c r="A4943" s="390" t="str">
        <f>IFERROR(__xludf.DUMMYFUNCTION("""COMPUTED_VALUE"""),"Rafaela Silva Martins - Pós-Graduação Psicopedagogia Clínica, Institucional e Hospitalar")</f>
        <v>Rafaela Silva Martins - Pós-Graduação Psicopedagogia Clínica, Institucional e Hospitalar</v>
      </c>
    </row>
    <row r="4944">
      <c r="A4944" s="390" t="str">
        <f>IFERROR(__xludf.DUMMYFUNCTION("""COMPUTED_VALUE"""),"Laíssa Rodrigues Novais Duarte - Pós-Graduação em Educação Ambiental e Sustentabilidade")</f>
        <v>Laíssa Rodrigues Novais Duarte - Pós-Graduação em Educação Ambiental e Sustentabilidade</v>
      </c>
    </row>
    <row r="4945">
      <c r="A4945" s="390" t="str">
        <f>IFERROR(__xludf.DUMMYFUNCTION("""COMPUTED_VALUE"""),"Laíssa Rodrigues Novais Duarte - #SLIA - Segunda Licenciatura Letras - Inglês")</f>
        <v>Laíssa Rodrigues Novais Duarte - #SLIA - Segunda Licenciatura Letras - Inglês</v>
      </c>
    </row>
    <row r="4946">
      <c r="A4946" s="390" t="str">
        <f>IFERROR(__xludf.DUMMYFUNCTION("""COMPUTED_VALUE"""),"Laíssa Rodrigues Novais Duarte - #FPLIT - FORMAÇÃO PEDAGÓGICA EM LETRAS - INGLÊS")</f>
        <v>Laíssa Rodrigues Novais Duarte - #FPLIT - FORMAÇÃO PEDAGÓGICA EM LETRAS - INGLÊS</v>
      </c>
    </row>
    <row r="4947">
      <c r="A4947" s="390" t="str">
        <f>IFERROR(__xludf.DUMMYFUNCTION("""COMPUTED_VALUE"""),"Maria Cecilia Starke - Formação Livre em Psicanálise-2022")</f>
        <v>Maria Cecilia Starke - Formação Livre em Psicanálise-2022</v>
      </c>
    </row>
    <row r="4948">
      <c r="A4948" s="390" t="str">
        <f>IFERROR(__xludf.DUMMYFUNCTION("""COMPUTED_VALUE"""),"Marcelo Quinhones Martins - Formação Livre em Psicanálise-2022")</f>
        <v>Marcelo Quinhones Martins - Formação Livre em Psicanálise-2022</v>
      </c>
    </row>
    <row r="4949">
      <c r="A4949" s="390" t="str">
        <f>IFERROR(__xludf.DUMMYFUNCTION("""COMPUTED_VALUE"""),"Fabiana Frederico da Silva Pinto - Pós-Graduação em Ensino de Artes")</f>
        <v>Fabiana Frederico da Silva Pinto - Pós-Graduação em Ensino de Artes</v>
      </c>
    </row>
    <row r="4950">
      <c r="A4950" s="390" t="str">
        <f>IFERROR(__xludf.DUMMYFUNCTION("""COMPUTED_VALUE"""),"Hadilla de Sousa Dias - Pós-Graduação em Psicanálise")</f>
        <v>Hadilla de Sousa Dias - Pós-Graduação em Psicanálise</v>
      </c>
    </row>
    <row r="4951">
      <c r="A4951" s="390" t="str">
        <f>IFERROR(__xludf.DUMMYFUNCTION("""COMPUTED_VALUE"""),"Edvânia Aparecida Vinhal - RADIANTE - Pós-Graduação em Direito Imobiliário")</f>
        <v>Edvânia Aparecida Vinhal - RADIANTE - Pós-Graduação em Direito Imobiliário</v>
      </c>
    </row>
    <row r="4952">
      <c r="A4952" s="390" t="str">
        <f>IFERROR(__xludf.DUMMYFUNCTION("""COMPUTED_VALUE"""),"Valéria Santos Ribeiro Felix - #SLUPI - SEGUNDA LICENCIATURA EM LETRAS – PORTUGUÊS E INGLÊS")</f>
        <v>Valéria Santos Ribeiro Felix - #SLUPI - SEGUNDA LICENCIATURA EM LETRAS – PORTUGUÊS E INGLÊS</v>
      </c>
    </row>
    <row r="4953">
      <c r="A4953" s="390" t="str">
        <f>IFERROR(__xludf.DUMMYFUNCTION("""COMPUTED_VALUE"""),"Alice Pereira Sousa - Formação Livre em Música")</f>
        <v>Alice Pereira Sousa - Formação Livre em Música</v>
      </c>
    </row>
    <row r="4954">
      <c r="A4954" s="390" t="str">
        <f>IFERROR(__xludf.DUMMYFUNCTION("""COMPUTED_VALUE"""),"Rejane Ines Da Silva - Formação Livre em Psicanálise-2022")</f>
        <v>Rejane Ines Da Silva - Formação Livre em Psicanálise-2022</v>
      </c>
    </row>
    <row r="4955">
      <c r="A4955" s="390" t="str">
        <f>IFERROR(__xludf.DUMMYFUNCTION("""COMPUTED_VALUE"""),"Thaís do Sacramento Catramby - Formação pedagógica Letras - Português")</f>
        <v>Thaís do Sacramento Catramby - Formação pedagógica Letras - Português</v>
      </c>
    </row>
    <row r="4956">
      <c r="A4956" s="390" t="str">
        <f>IFERROR(__xludf.DUMMYFUNCTION("""COMPUTED_VALUE"""),"Thaís do Sacramento Catramby - #FPULPI- Formação Pedagógica em Letras – Português e Inglês")</f>
        <v>Thaís do Sacramento Catramby - #FPULPI- Formação Pedagógica em Letras – Português e Inglês</v>
      </c>
    </row>
    <row r="4957">
      <c r="A4957" s="390" t="str">
        <f>IFERROR(__xludf.DUMMYFUNCTION("""COMPUTED_VALUE"""),"Maria Aparecida Melequías de Oliveira - Pós-Graduação em Atendimento Educacional Especializado Com Ênfase Em Educação Especial e Inclusiva")</f>
        <v>Maria Aparecida Melequías de Oliveira - Pós-Graduação em Atendimento Educacional Especializado Com Ênfase Em Educação Especial e Inclusiva</v>
      </c>
    </row>
    <row r="4958">
      <c r="A4958" s="390" t="str">
        <f>IFERROR(__xludf.DUMMYFUNCTION("""COMPUTED_VALUE"""),"Gleyce Raquel Soares de Sousa - #SLUP - SEGUNDA LICENCIATURA EM PEDAGOGIA")</f>
        <v>Gleyce Raquel Soares de Sousa - #SLUP - SEGUNDA LICENCIATURA EM PEDAGOGIA</v>
      </c>
    </row>
    <row r="4959">
      <c r="A4959" s="390" t="str">
        <f>IFERROR(__xludf.DUMMYFUNCTION("""COMPUTED_VALUE"""),"Gleyce Raquel Soares de Sousa - Pós-Graduação em Educação Infantil")</f>
        <v>Gleyce Raquel Soares de Sousa - Pós-Graduação em Educação Infantil</v>
      </c>
    </row>
    <row r="4960">
      <c r="A4960" s="390" t="str">
        <f>IFERROR(__xludf.DUMMYFUNCTION("""COMPUTED_VALUE"""),"Maria Aparecida Borges Leal da Silva - #FPMF- Formação Pedagógica em Música 1200Horas")</f>
        <v>Maria Aparecida Borges Leal da Silva - #FPMF- Formação Pedagógica em Música 1200Horas</v>
      </c>
    </row>
    <row r="4961">
      <c r="A4961" s="390" t="str">
        <f>IFERROR(__xludf.DUMMYFUNCTION("""COMPUTED_VALUE"""),"Maria Aparecida Borges Leal da Silva - #FPP- Formação Pedagógica em Pedagogia R2")</f>
        <v>Maria Aparecida Borges Leal da Silva - #FPP- Formação Pedagógica em Pedagogia R2</v>
      </c>
    </row>
    <row r="4962">
      <c r="A4962" s="390" t="str">
        <f>IFERROR(__xludf.DUMMYFUNCTION("""COMPUTED_VALUE"""),"FRANCISCO FELIPE DE LIMA ARAUJO - #SLMF - Segunda Licenciatura em Música 1320Horas")</f>
        <v>FRANCISCO FELIPE DE LIMA ARAUJO - #SLMF - Segunda Licenciatura em Música 1320Horas</v>
      </c>
    </row>
    <row r="4963">
      <c r="A4963" s="390" t="str">
        <f>IFERROR(__xludf.DUMMYFUNCTION("""COMPUTED_VALUE"""),"FRANCISCO FELIPE DE LIMA ARAUJO - Pós-Graduação em Neuropsicopedagogia Institucional, Clínica e Hospitalar 850h")</f>
        <v>FRANCISCO FELIPE DE LIMA ARAUJO - Pós-Graduação em Neuropsicopedagogia Institucional, Clínica e Hospitalar 850h</v>
      </c>
    </row>
    <row r="4964">
      <c r="A4964" s="390" t="str">
        <f>IFERROR(__xludf.DUMMYFUNCTION("""COMPUTED_VALUE"""),"Andréia Lucinda de Aquino - Formação Livre em Psicanálise-2022")</f>
        <v>Andréia Lucinda de Aquino - Formação Livre em Psicanálise-2022</v>
      </c>
    </row>
    <row r="4965">
      <c r="A4965" s="390" t="str">
        <f>IFERROR(__xludf.DUMMYFUNCTION("""COMPUTED_VALUE"""),"Fabiana Da Rocha Ribeiro - Pós-Graduação em Psicanálise")</f>
        <v>Fabiana Da Rocha Ribeiro - Pós-Graduação em Psicanálise</v>
      </c>
    </row>
    <row r="4966">
      <c r="A4966" s="390" t="str">
        <f>IFERROR(__xludf.DUMMYFUNCTION("""COMPUTED_VALUE"""),"Thamiris Gomes Simões De Souza - RADIANTE - NOVO-Pós-Graduação em Psicanálise 800 Horas")</f>
        <v>Thamiris Gomes Simões De Souza - RADIANTE - NOVO-Pós-Graduação em Psicanálise 800 Horas</v>
      </c>
    </row>
    <row r="4967">
      <c r="A4967" s="390" t="str">
        <f>IFERROR(__xludf.DUMMYFUNCTION("""COMPUTED_VALUE"""),"Carlos Henrique dos Santos Faina - Formação Livre em Psicanálise-2022")</f>
        <v>Carlos Henrique dos Santos Faina - Formação Livre em Psicanálise-2022</v>
      </c>
    </row>
    <row r="4968">
      <c r="A4968" s="390" t="str">
        <f>IFERROR(__xludf.DUMMYFUNCTION("""COMPUTED_VALUE"""),"Paulo Sergio Viana - Formação Livre em Psicanálise-2022")</f>
        <v>Paulo Sergio Viana - Formação Livre em Psicanálise-2022</v>
      </c>
    </row>
    <row r="4969">
      <c r="A4969" s="390" t="str">
        <f>IFERROR(__xludf.DUMMYFUNCTION("""COMPUTED_VALUE"""),"Isaías Pereira Castelo - #SLUEF - Segunda Licenciatura em Educação Física")</f>
        <v>Isaías Pereira Castelo - #SLUEF - Segunda Licenciatura em Educação Física</v>
      </c>
    </row>
    <row r="4970">
      <c r="A4970" s="390" t="str">
        <f>IFERROR(__xludf.DUMMYFUNCTION("""COMPUTED_VALUE"""),"Isaías Pereira Castelo - Pós-Graduação em Ensino de Artes")</f>
        <v>Isaías Pereira Castelo - Pós-Graduação em Ensino de Artes</v>
      </c>
    </row>
    <row r="4971">
      <c r="A4971" s="390" t="str">
        <f>IFERROR(__xludf.DUMMYFUNCTION("""COMPUTED_VALUE"""),"Christiano Martins de Oliveira - #FPUP-FORMAÇÃO PEDAGÓGICA EM PEDAGOGIA- U")</f>
        <v>Christiano Martins de Oliveira - #FPUP-FORMAÇÃO PEDAGÓGICA EM PEDAGOGIA- U</v>
      </c>
    </row>
    <row r="4972">
      <c r="A4972" s="390" t="str">
        <f>IFERROR(__xludf.DUMMYFUNCTION("""COMPUTED_VALUE"""),"Christiano Martins de Oliveira - Pós-Graduação Educação Especial e Inclusiva")</f>
        <v>Christiano Martins de Oliveira - Pós-Graduação Educação Especial e Inclusiva</v>
      </c>
    </row>
    <row r="4973">
      <c r="A4973" s="390" t="str">
        <f>IFERROR(__xludf.DUMMYFUNCTION("""COMPUTED_VALUE"""),"Christiano Martins de Oliveira - #FPUA- Formação Pedagógica em Artes Visuais")</f>
        <v>Christiano Martins de Oliveira - #FPUA- Formação Pedagógica em Artes Visuais</v>
      </c>
    </row>
    <row r="4974">
      <c r="A4974" s="390" t="str">
        <f>IFERROR(__xludf.DUMMYFUNCTION("""COMPUTED_VALUE"""),"Arthur Silva Neto - Formação Livre em Psicanálise-2022")</f>
        <v>Arthur Silva Neto - Formação Livre em Psicanálise-2022</v>
      </c>
    </row>
    <row r="4975">
      <c r="A4975" s="390" t="str">
        <f>IFERROR(__xludf.DUMMYFUNCTION("""COMPUTED_VALUE"""),"CLAUBER CUNHA DE LIMA - FORMAÇÃO PEDAGÓGICA EM SOCIOLOGIA- U")</f>
        <v>CLAUBER CUNHA DE LIMA - FORMAÇÃO PEDAGÓGICA EM SOCIOLOGIA- U</v>
      </c>
    </row>
    <row r="4976">
      <c r="A4976" s="390" t="str">
        <f>IFERROR(__xludf.DUMMYFUNCTION("""COMPUTED_VALUE"""),"Antonio Silvano Gonçalves Santos - Pós-Graduação em Psicanálise")</f>
        <v>Antonio Silvano Gonçalves Santos - Pós-Graduação em Psicanálise</v>
      </c>
    </row>
    <row r="4977">
      <c r="A4977" s="390" t="str">
        <f>IFERROR(__xludf.DUMMYFUNCTION("""COMPUTED_VALUE"""),"Lorena Batista da Costa - #FPUP-FORMAÇÃO PEDAGÓGICA EM PEDAGOGIA- U")</f>
        <v>Lorena Batista da Costa - #FPUP-FORMAÇÃO PEDAGÓGICA EM PEDAGOGIA- U</v>
      </c>
    </row>
    <row r="4978">
      <c r="A4978" s="390" t="str">
        <f>IFERROR(__xludf.DUMMYFUNCTION("""COMPUTED_VALUE"""),"Antônio Sávio de Oliveira Grécia - Formação Livre em Música")</f>
        <v>Antônio Sávio de Oliveira Grécia - Formação Livre em Música</v>
      </c>
    </row>
    <row r="4979">
      <c r="A4979" s="390" t="str">
        <f>IFERROR(__xludf.DUMMYFUNCTION("""COMPUTED_VALUE"""),"FELIPE REIS RODRIGUES - #FPMF- Formação Pedagógica em Música 1200Horas")</f>
        <v>FELIPE REIS RODRIGUES - #FPMF- Formação Pedagógica em Música 1200Horas</v>
      </c>
    </row>
    <row r="4980">
      <c r="A4980" s="390" t="str">
        <f>IFERROR(__xludf.DUMMYFUNCTION("""COMPUTED_VALUE"""),"Paulo César Beato - Pós-Graduação em Psicanálise")</f>
        <v>Paulo César Beato - Pós-Graduação em Psicanálise</v>
      </c>
    </row>
    <row r="4981">
      <c r="A4981" s="390" t="str">
        <f>IFERROR(__xludf.DUMMYFUNCTION("""COMPUTED_VALUE"""),"Paulo César Beato - #FPMF- Formação Pedagógica em Música 1200Horas")</f>
        <v>Paulo César Beato - #FPMF- Formação Pedagógica em Música 1200Horas</v>
      </c>
    </row>
    <row r="4982">
      <c r="A4982" s="390" t="str">
        <f>IFERROR(__xludf.DUMMYFUNCTION("""COMPUTED_VALUE"""),"Fábio Lima da Cruz - #FPMF- Formação Pedagógica em Música 1200Horas")</f>
        <v>Fábio Lima da Cruz - #FPMF- Formação Pedagógica em Música 1200Horas</v>
      </c>
    </row>
    <row r="4983">
      <c r="A4983" s="390" t="str">
        <f>IFERROR(__xludf.DUMMYFUNCTION("""COMPUTED_VALUE"""),"Jessica Kaelinne Maia de Melo Gusmão - FORMAÇÃO PEDAGÓGICA EM GEOGRAFIA- U")</f>
        <v>Jessica Kaelinne Maia de Melo Gusmão - FORMAÇÃO PEDAGÓGICA EM GEOGRAFIA- U</v>
      </c>
    </row>
    <row r="4984">
      <c r="A4984" s="390" t="str">
        <f>IFERROR(__xludf.DUMMYFUNCTION("""COMPUTED_VALUE"""),"Luana Ribeiro Matos Rosa - #SLUA- Segunda Licenciatura em Artes Visuais")</f>
        <v>Luana Ribeiro Matos Rosa - #SLUA- Segunda Licenciatura em Artes Visuais</v>
      </c>
    </row>
    <row r="4985">
      <c r="A4985" s="390" t="str">
        <f>IFERROR(__xludf.DUMMYFUNCTION("""COMPUTED_VALUE"""),"Renata da Silva Santiago - Formação Livre em Sexologia")</f>
        <v>Renata da Silva Santiago - Formação Livre em Sexologia</v>
      </c>
    </row>
    <row r="4986">
      <c r="A4986" s="390" t="str">
        <f>IFERROR(__xludf.DUMMYFUNCTION("""COMPUTED_VALUE"""),"Dejivane Marla Lúcia dos Santos - #FPUP-FORMAÇÃO PEDAGÓGICA EM PEDAGOGIA- U")</f>
        <v>Dejivane Marla Lúcia dos Santos - #FPUP-FORMAÇÃO PEDAGÓGICA EM PEDAGOGIA- U</v>
      </c>
    </row>
    <row r="4987">
      <c r="A4987" s="390" t="str">
        <f>IFERROR(__xludf.DUMMYFUNCTION("""COMPUTED_VALUE"""),"Alba Valeria Gomes Baptista - Formação Livre em Psicanálise-2022")</f>
        <v>Alba Valeria Gomes Baptista - Formação Livre em Psicanálise-2022</v>
      </c>
    </row>
    <row r="4988">
      <c r="A4988" s="390" t="str">
        <f>IFERROR(__xludf.DUMMYFUNCTION("""COMPUTED_VALUE"""),"Vanessa Rodrigues Belarmino - Pós-Graduação em Sexologia")</f>
        <v>Vanessa Rodrigues Belarmino - Pós-Graduação em Sexologia</v>
      </c>
    </row>
    <row r="4989">
      <c r="A4989" s="390" t="str">
        <f>IFERROR(__xludf.DUMMYFUNCTION("""COMPUTED_VALUE"""),"Naisa Cândida Garcia - Pós-Graduação em Terapia Familíar")</f>
        <v>Naisa Cândida Garcia - Pós-Graduação em Terapia Familíar</v>
      </c>
    </row>
    <row r="4990">
      <c r="A4990" s="390" t="str">
        <f>IFERROR(__xludf.DUMMYFUNCTION("""COMPUTED_VALUE"""),"Rosangela Rosas Teixeira - Pós-Graduação em Psicanálise")</f>
        <v>Rosangela Rosas Teixeira - Pós-Graduação em Psicanálise</v>
      </c>
    </row>
    <row r="4991">
      <c r="A4991" s="390" t="str">
        <f>IFERROR(__xludf.DUMMYFUNCTION("""COMPUTED_VALUE"""),"Adalberto Rodrigues Costa - #SLMF - Segunda Licenciatura em Música 1320Horas")</f>
        <v>Adalberto Rodrigues Costa - #SLMF - Segunda Licenciatura em Música 1320Horas</v>
      </c>
    </row>
    <row r="4992">
      <c r="A4992" s="390" t="str">
        <f>IFERROR(__xludf.DUMMYFUNCTION("""COMPUTED_VALUE"""),"CHAYENNE CAPITÃO DE SOUZA PIMENTA - Pós-Graduação em Sexologia")</f>
        <v>CHAYENNE CAPITÃO DE SOUZA PIMENTA - Pós-Graduação em Sexologia</v>
      </c>
    </row>
    <row r="4993">
      <c r="A4993" s="390" t="str">
        <f>IFERROR(__xludf.DUMMYFUNCTION("""COMPUTED_VALUE"""),"Marlena Cristina cruz - #SLUH- Segunda Licenciatura em História")</f>
        <v>Marlena Cristina cruz - #SLUH- Segunda Licenciatura em História</v>
      </c>
    </row>
    <row r="4994">
      <c r="A4994" s="390" t="str">
        <f>IFERROR(__xludf.DUMMYFUNCTION("""COMPUTED_VALUE"""),"Marlena Cristina cruz - #SLH+- SEGUNDA LICENCIATURA EM HISTÓRIA")</f>
        <v>Marlena Cristina cruz - #SLH+- SEGUNDA LICENCIATURA EM HISTÓRIA</v>
      </c>
    </row>
    <row r="4995">
      <c r="A4995" s="390" t="str">
        <f>IFERROR(__xludf.DUMMYFUNCTION("""COMPUTED_VALUE"""),"Marcela Marques de Oliveira Martins - Pós-Graduação Educação Especial e Inclusiva")</f>
        <v>Marcela Marques de Oliveira Martins - Pós-Graduação Educação Especial e Inclusiva</v>
      </c>
    </row>
    <row r="4996">
      <c r="A4996" s="390" t="str">
        <f>IFERROR(__xludf.DUMMYFUNCTION("""COMPUTED_VALUE"""),"Marcela Marques de Oliveira Martins - Pós-Graduação em Neuropsicopedagogia Institucional, Clínica e Hospitalar 850h")</f>
        <v>Marcela Marques de Oliveira Martins - Pós-Graduação em Neuropsicopedagogia Institucional, Clínica e Hospitalar 850h</v>
      </c>
    </row>
    <row r="4997">
      <c r="A4997" s="390" t="str">
        <f>IFERROR(__xludf.DUMMYFUNCTION("""COMPUTED_VALUE"""),"Gineide Barbosa dos Santos - Formação Livre em Psicanálise-2022")</f>
        <v>Gineide Barbosa dos Santos - Formação Livre em Psicanálise-2022</v>
      </c>
    </row>
    <row r="4998">
      <c r="A4998" s="390" t="str">
        <f>IFERROR(__xludf.DUMMYFUNCTION("""COMPUTED_VALUE"""),"Ludmilla de Oliveira capucho - Formação Livre em Psicanálise-2022")</f>
        <v>Ludmilla de Oliveira capucho - Formação Livre em Psicanálise-2022</v>
      </c>
    </row>
    <row r="4999">
      <c r="A4999" s="390" t="str">
        <f>IFERROR(__xludf.DUMMYFUNCTION("""COMPUTED_VALUE"""),"Nicole Vivian e Castro Silva da Silveira - Formação Livre em Psicanálise-2022")</f>
        <v>Nicole Vivian e Castro Silva da Silveira - Formação Livre em Psicanálise-2022</v>
      </c>
    </row>
    <row r="5000">
      <c r="A5000" s="390" t="str">
        <f>IFERROR(__xludf.DUMMYFUNCTION("""COMPUTED_VALUE"""),"Cleini Fernandes Matos Cortes - Pós-Graduação em Sexologia")</f>
        <v>Cleini Fernandes Matos Cortes - Pós-Graduação em Sexologia</v>
      </c>
    </row>
    <row r="5001">
      <c r="A5001" s="390" t="str">
        <f>IFERROR(__xludf.DUMMYFUNCTION("""COMPUTED_VALUE"""),"Monica Cristiane dos Santos Oliveira - #SLUP - SEGUNDA LICENCIATURA EM PEDAGOGIA")</f>
        <v>Monica Cristiane dos Santos Oliveira - #SLUP - SEGUNDA LICENCIATURA EM PEDAGOGIA</v>
      </c>
    </row>
    <row r="5002">
      <c r="A5002" s="390" t="str">
        <f>IFERROR(__xludf.DUMMYFUNCTION("""COMPUTED_VALUE"""),"Thágyne Cristina Lima de Souza Silveira - #FPULPI- Formação Pedagógica em Letras – Português e Inglês")</f>
        <v>Thágyne Cristina Lima de Souza Silveira - #FPULPI- Formação Pedagógica em Letras – Português e Inglês</v>
      </c>
    </row>
    <row r="5003">
      <c r="A5003" s="390" t="str">
        <f>IFERROR(__xludf.DUMMYFUNCTION("""COMPUTED_VALUE"""),"Eliana Rodrigues Alves - Pós-Graduação em Administração Pública")</f>
        <v>Eliana Rodrigues Alves - Pós-Graduação em Administração Pública</v>
      </c>
    </row>
    <row r="5004">
      <c r="A5004" s="390" t="str">
        <f>IFERROR(__xludf.DUMMYFUNCTION("""COMPUTED_VALUE"""),"Guilherme Severino de Santana - #SLUM - SEGUNDA LICENCIATURA EM MATEMÁTICA")</f>
        <v>Guilherme Severino de Santana - #SLUM - SEGUNDA LICENCIATURA EM MATEMÁTICA</v>
      </c>
    </row>
    <row r="5005">
      <c r="A5005" s="390" t="str">
        <f>IFERROR(__xludf.DUMMYFUNCTION("""COMPUTED_VALUE"""),"Guilherme Severino de Santana - #SLM+1- Segunda Licenciatura em Matemática 1040Horas")</f>
        <v>Guilherme Severino de Santana - #SLM+1- Segunda Licenciatura em Matemática 1040Horas</v>
      </c>
    </row>
    <row r="5006">
      <c r="A5006" s="390" t="str">
        <f>IFERROR(__xludf.DUMMYFUNCTION("""COMPUTED_VALUE"""),"Nelson del Pezzo - #SLMF - Segunda Licenciatura em Música 1320Horas")</f>
        <v>Nelson del Pezzo - #SLMF - Segunda Licenciatura em Música 1320Horas</v>
      </c>
    </row>
    <row r="5007">
      <c r="A5007" s="390" t="str">
        <f>IFERROR(__xludf.DUMMYFUNCTION("""COMPUTED_VALUE"""),"Agnaldo Olegário de Araújo - #SLMF - Segunda Licenciatura em Música 1320Horas")</f>
        <v>Agnaldo Olegário de Araújo - #SLMF - Segunda Licenciatura em Música 1320Horas</v>
      </c>
    </row>
    <row r="5008">
      <c r="A5008" s="390" t="str">
        <f>IFERROR(__xludf.DUMMYFUNCTION("""COMPUTED_VALUE"""),"Agnaldo Olegário de Araújo - Graduação em Licenciatura em Música")</f>
        <v>Agnaldo Olegário de Araújo - Graduação em Licenciatura em Música</v>
      </c>
    </row>
    <row r="5009">
      <c r="A5009" s="390" t="str">
        <f>IFERROR(__xludf.DUMMYFUNCTION("""COMPUTED_VALUE"""),"Daiana Mariano do Prado Costa - Pós-Graduação em Sexologia")</f>
        <v>Daiana Mariano do Prado Costa - Pós-Graduação em Sexologia</v>
      </c>
    </row>
    <row r="5010">
      <c r="A5010" s="390" t="str">
        <f>IFERROR(__xludf.DUMMYFUNCTION("""COMPUTED_VALUE"""),"Lidia Santos Pereira - #FPUP-FORMAÇÃO PEDAGÓGICA EM PEDAGOGIA- U")</f>
        <v>Lidia Santos Pereira - #FPUP-FORMAÇÃO PEDAGÓGICA EM PEDAGOGIA- U</v>
      </c>
    </row>
    <row r="5011">
      <c r="A5011" s="390" t="str">
        <f>IFERROR(__xludf.DUMMYFUNCTION("""COMPUTED_VALUE"""),"Jefferson Aristiano Vargas - Pós-Graduação em Psicomotricidade e Educação Especial")</f>
        <v>Jefferson Aristiano Vargas - Pós-Graduação em Psicomotricidade e Educação Especial</v>
      </c>
    </row>
    <row r="5012">
      <c r="A5012" s="390" t="str">
        <f>IFERROR(__xludf.DUMMYFUNCTION("""COMPUTED_VALUE"""),"Jefferson Aristiano Vargas - #FPUEF - Formação Pedagógica em Educação Física - 1200 Horas")</f>
        <v>Jefferson Aristiano Vargas - #FPUEF - Formação Pedagógica em Educação Física - 1200 Horas</v>
      </c>
    </row>
    <row r="5013">
      <c r="A5013" s="390" t="str">
        <f>IFERROR(__xludf.DUMMYFUNCTION("""COMPUTED_VALUE"""),"Edinalva Alves de Oliveira - Pós-Graduação em Psicanálise")</f>
        <v>Edinalva Alves de Oliveira - Pós-Graduação em Psicanálise</v>
      </c>
    </row>
    <row r="5014">
      <c r="A5014" s="390" t="str">
        <f>IFERROR(__xludf.DUMMYFUNCTION("""COMPUTED_VALUE"""),"Rachel Menezes Oliveira dos Santos - Formação Pedagógica em Artes Visuais")</f>
        <v>Rachel Menezes Oliveira dos Santos - Formação Pedagógica em Artes Visuais</v>
      </c>
    </row>
    <row r="5015">
      <c r="A5015" s="390" t="str">
        <f>IFERROR(__xludf.DUMMYFUNCTION("""COMPUTED_VALUE"""),"Rachel Menezes Oliveira dos Santos - Pós-Graduação em Docência do Ensino Superior e Tutoria de Educação a Distância")</f>
        <v>Rachel Menezes Oliveira dos Santos - Pós-Graduação em Docência do Ensino Superior e Tutoria de Educação a Distância</v>
      </c>
    </row>
    <row r="5016">
      <c r="A5016" s="390" t="str">
        <f>IFERROR(__xludf.DUMMYFUNCTION("""COMPUTED_VALUE"""),"Rachel Menezes Oliveira dos Santos - #SLEEF- Segunda Licenciatura Educação Física")</f>
        <v>Rachel Menezes Oliveira dos Santos - #SLEEF- Segunda Licenciatura Educação Física</v>
      </c>
    </row>
    <row r="5017">
      <c r="A5017" s="390" t="str">
        <f>IFERROR(__xludf.DUMMYFUNCTION("""COMPUTED_VALUE"""),"Rachel Menezes Oliveira dos Santos - #SLAA - Segunda Licenciatura em Artes Visuais")</f>
        <v>Rachel Menezes Oliveira dos Santos - #SLAA - Segunda Licenciatura em Artes Visuais</v>
      </c>
    </row>
    <row r="5018">
      <c r="A5018" s="390" t="str">
        <f>IFERROR(__xludf.DUMMYFUNCTION("""COMPUTED_VALUE"""),"Thais Almeida Santana - Capacitação em Sexologia")</f>
        <v>Thais Almeida Santana - Capacitação em Sexologia</v>
      </c>
    </row>
    <row r="5019">
      <c r="A5019" s="390" t="str">
        <f>IFERROR(__xludf.DUMMYFUNCTION("""COMPUTED_VALUE"""),"Antônio Vagner Mendes Costa - #SLUP - SEGUNDA LICENCIATURA EM PEDAGOGIA")</f>
        <v>Antônio Vagner Mendes Costa - #SLUP - SEGUNDA LICENCIATURA EM PEDAGOGIA</v>
      </c>
    </row>
    <row r="5020">
      <c r="A5020" s="390" t="str">
        <f>IFERROR(__xludf.DUMMYFUNCTION("""COMPUTED_VALUE"""),"Antônio Vagner Mendes Costa - #SLPA- Segunda Licenciatura em Pedagogia 01")</f>
        <v>Antônio Vagner Mendes Costa - #SLPA- Segunda Licenciatura em Pedagogia 01</v>
      </c>
    </row>
    <row r="5021">
      <c r="A5021" s="390" t="str">
        <f>IFERROR(__xludf.DUMMYFUNCTION("""COMPUTED_VALUE"""),"Lucas Santos Dias - Formação Livre em Psicanálise-2022")</f>
        <v>Lucas Santos Dias - Formação Livre em Psicanálise-2022</v>
      </c>
    </row>
    <row r="5022">
      <c r="A5022" s="390" t="str">
        <f>IFERROR(__xludf.DUMMYFUNCTION("""COMPUTED_VALUE"""),"Mariusa Rodrigues Lima Azambuja - #SLUA- Segunda Licenciatura em Artes Visuais")</f>
        <v>Mariusa Rodrigues Lima Azambuja - #SLUA- Segunda Licenciatura em Artes Visuais</v>
      </c>
    </row>
    <row r="5023">
      <c r="A5023" s="390" t="str">
        <f>IFERROR(__xludf.DUMMYFUNCTION("""COMPUTED_VALUE"""),"Lázaro Valverde Campos - Pós-Graduação em Psicanálise 2/2023")</f>
        <v>Lázaro Valverde Campos - Pós-Graduação em Psicanálise 2/2023</v>
      </c>
    </row>
    <row r="5024">
      <c r="A5024" s="390" t="str">
        <f>IFERROR(__xludf.DUMMYFUNCTION("""COMPUTED_VALUE"""),"Douglas Farias - Pós-Graduação em Direito Penal e Processual Penal")</f>
        <v>Douglas Farias - Pós-Graduação em Direito Penal e Processual Penal</v>
      </c>
    </row>
    <row r="5025">
      <c r="A5025" s="390" t="str">
        <f>IFERROR(__xludf.DUMMYFUNCTION("""COMPUTED_VALUE"""),"Douglas Farias - Pós-Graduação Direito Constitucional")</f>
        <v>Douglas Farias - Pós-Graduação Direito Constitucional</v>
      </c>
    </row>
    <row r="5026">
      <c r="A5026" s="390" t="str">
        <f>IFERROR(__xludf.DUMMYFUNCTION("""COMPUTED_VALUE"""),"Ana Kely Barbosa de Amorim - #FPP- Formação Pedagógica em Pedagogia R2")</f>
        <v>Ana Kely Barbosa de Amorim - #FPP- Formação Pedagógica em Pedagogia R2</v>
      </c>
    </row>
    <row r="5027">
      <c r="A5027" s="390" t="str">
        <f>IFERROR(__xludf.DUMMYFUNCTION("""COMPUTED_VALUE"""),"Ana Kely Barbosa de Amorim - #SLPA- Segunda Licenciatura em Pedagogia 01")</f>
        <v>Ana Kely Barbosa de Amorim - #SLPA- Segunda Licenciatura em Pedagogia 01</v>
      </c>
    </row>
    <row r="5028">
      <c r="A5028" s="390" t="str">
        <f>IFERROR(__xludf.DUMMYFUNCTION("""COMPUTED_VALUE"""),"Eliani Laurentino da Silva Sperfeld - Formação Livre em Sexologia")</f>
        <v>Eliani Laurentino da Silva Sperfeld - Formação Livre em Sexologia</v>
      </c>
    </row>
    <row r="5029">
      <c r="A5029" s="390" t="str">
        <f>IFERROR(__xludf.DUMMYFUNCTION("""COMPUTED_VALUE"""),"Márcia Xavier Bezerra - Pós-Graduação em Psicanálise")</f>
        <v>Márcia Xavier Bezerra - Pós-Graduação em Psicanálise</v>
      </c>
    </row>
    <row r="5030">
      <c r="A5030" s="390" t="str">
        <f>IFERROR(__xludf.DUMMYFUNCTION("""COMPUTED_VALUE"""),"Carlos Antônio da Silva Soares - #FPUH- Formação Pedagógica em História")</f>
        <v>Carlos Antônio da Silva Soares - #FPUH- Formação Pedagógica em História</v>
      </c>
    </row>
    <row r="5031">
      <c r="A5031" s="390" t="str">
        <f>IFERROR(__xludf.DUMMYFUNCTION("""COMPUTED_VALUE"""),"Clėcia Silva Neves - #FPUP-FORMAÇÃO PEDAGÓGICA EM PEDAGOGIA- U")</f>
        <v>Clėcia Silva Neves - #FPUP-FORMAÇÃO PEDAGÓGICA EM PEDAGOGIA- U</v>
      </c>
    </row>
    <row r="5032">
      <c r="A5032" s="390" t="str">
        <f>IFERROR(__xludf.DUMMYFUNCTION("""COMPUTED_VALUE"""),"Juciene dos Santos Silva - #SLUP - SEGUNDA LICENCIATURA EM PEDAGOGIA")</f>
        <v>Juciene dos Santos Silva - #SLUP - SEGUNDA LICENCIATURA EM PEDAGOGIA</v>
      </c>
    </row>
    <row r="5033">
      <c r="A5033" s="390" t="str">
        <f>IFERROR(__xludf.DUMMYFUNCTION("""COMPUTED_VALUE"""),"Alberto Damas da Silva - Pós-Graduação em Psicanálise")</f>
        <v>Alberto Damas da Silva - Pós-Graduação em Psicanálise</v>
      </c>
    </row>
    <row r="5034">
      <c r="A5034" s="390" t="str">
        <f>IFERROR(__xludf.DUMMYFUNCTION("""COMPUTED_VALUE"""),"Gesiane Silva Damacena - #SLUP - SEGUNDA LICENCIATURA EM PEDAGOGIA")</f>
        <v>Gesiane Silva Damacena - #SLUP - SEGUNDA LICENCIATURA EM PEDAGOGIA</v>
      </c>
    </row>
    <row r="5035">
      <c r="A5035" s="390" t="str">
        <f>IFERROR(__xludf.DUMMYFUNCTION("""COMPUTED_VALUE"""),"João Marcelo dos Santos de Oliveira - #SLUA- Segunda Licenciatura em Artes Visuais")</f>
        <v>João Marcelo dos Santos de Oliveira - #SLUA- Segunda Licenciatura em Artes Visuais</v>
      </c>
    </row>
    <row r="5036">
      <c r="A5036" s="390" t="str">
        <f>IFERROR(__xludf.DUMMYFUNCTION("""COMPUTED_VALUE"""),"Pollyanna Sela - #FPMF- Formação Pedagógica em Música 2022")</f>
        <v>Pollyanna Sela - #FPMF- Formação Pedagógica em Música 2022</v>
      </c>
    </row>
    <row r="5037">
      <c r="A5037" s="390" t="str">
        <f>IFERROR(__xludf.DUMMYFUNCTION("""COMPUTED_VALUE"""),"Davidson Erivelto Previdelli - Pós-Graduação em MBA Gestão da Tecnologia da Informação")</f>
        <v>Davidson Erivelto Previdelli - Pós-Graduação em MBA Gestão da Tecnologia da Informação</v>
      </c>
    </row>
    <row r="5038">
      <c r="A5038" s="390" t="str">
        <f>IFERROR(__xludf.DUMMYFUNCTION("""COMPUTED_VALUE"""),"Davidson Erivelto Previdelli - Pós-Graduação em MBA em Gestão da Saúde")</f>
        <v>Davidson Erivelto Previdelli - Pós-Graduação em MBA em Gestão da Saúde</v>
      </c>
    </row>
    <row r="5039">
      <c r="A5039" s="390" t="str">
        <f>IFERROR(__xludf.DUMMYFUNCTION("""COMPUTED_VALUE"""),"Adauto Freire Filho - #SLLET1 - SEGUNDA LICENCIATURA EM LETRAS-PORTUGUÊS/ESPANHOL")</f>
        <v>Adauto Freire Filho - #SLLET1 - SEGUNDA LICENCIATURA EM LETRAS-PORTUGUÊS/ESPANHOL</v>
      </c>
    </row>
    <row r="5040">
      <c r="A5040" s="390" t="str">
        <f>IFERROR(__xludf.DUMMYFUNCTION("""COMPUTED_VALUE"""),"Adauto Freire Filho - #SLLET1 - SEGUNDA LICENCIATURA EM LETRAS-PORTUGUÊS/ESPANHOL")</f>
        <v>Adauto Freire Filho - #SLLET1 - SEGUNDA LICENCIATURA EM LETRAS-PORTUGUÊS/ESPANHOL</v>
      </c>
    </row>
    <row r="5041">
      <c r="A5041" s="390" t="str">
        <f>IFERROR(__xludf.DUMMYFUNCTION("""COMPUTED_VALUE"""),"Adauto Freire Filho - Pós-Graduação em Ensino da Língua Espanhola")</f>
        <v>Adauto Freire Filho - Pós-Graduação em Ensino da Língua Espanhola</v>
      </c>
    </row>
    <row r="5042">
      <c r="A5042" s="390" t="str">
        <f>IFERROR(__xludf.DUMMYFUNCTION("""COMPUTED_VALUE"""),"Sérgio Henrique de Campos Esporte - #SLEEF- Segunda Licenciatura Educação Física")</f>
        <v>Sérgio Henrique de Campos Esporte - #SLEEF- Segunda Licenciatura Educação Física</v>
      </c>
    </row>
    <row r="5043">
      <c r="A5043" s="390" t="str">
        <f>IFERROR(__xludf.DUMMYFUNCTION("""COMPUTED_VALUE"""),"Sérgio Henrique de Campos Esporte - Pós-Graduação em Psicomotricidade")</f>
        <v>Sérgio Henrique de Campos Esporte - Pós-Graduação em Psicomotricidade</v>
      </c>
    </row>
    <row r="5044">
      <c r="A5044" s="390" t="str">
        <f>IFERROR(__xludf.DUMMYFUNCTION("""COMPUTED_VALUE"""),"Maria José Ferreira de Souza - Pós-Graduação em Sexologia")</f>
        <v>Maria José Ferreira de Souza - Pós-Graduação em Sexologia</v>
      </c>
    </row>
    <row r="5045">
      <c r="A5045" s="390" t="str">
        <f>IFERROR(__xludf.DUMMYFUNCTION("""COMPUTED_VALUE"""),"José Eduardo Alves da Silva - #FPMF- Formação Pedagógica em Música 1200Horas")</f>
        <v>José Eduardo Alves da Silva - #FPMF- Formação Pedagógica em Música 1200Horas</v>
      </c>
    </row>
    <row r="5046">
      <c r="A5046" s="390" t="str">
        <f>IFERROR(__xludf.DUMMYFUNCTION("""COMPUTED_VALUE"""),"José Eduardo Alves da Silva - Pós-Graduação em Psicomotricidade e Educação Especial")</f>
        <v>José Eduardo Alves da Silva - Pós-Graduação em Psicomotricidade e Educação Especial</v>
      </c>
    </row>
    <row r="5047">
      <c r="A5047" s="390" t="str">
        <f>IFERROR(__xludf.DUMMYFUNCTION("""COMPUTED_VALUE"""),"João Vicente Marques de Souza - #SLMF - Segunda Licenciatura em Música 1320Horas")</f>
        <v>João Vicente Marques de Souza - #SLMF - Segunda Licenciatura em Música 1320Horas</v>
      </c>
    </row>
    <row r="5048">
      <c r="A5048" s="390" t="str">
        <f>IFERROR(__xludf.DUMMYFUNCTION("""COMPUTED_VALUE"""),"Macicleide Silva Carvalho - #SLUG - SEGUNDA LICENCIATURA EM GEOGRAFIA")</f>
        <v>Macicleide Silva Carvalho - #SLUG - SEGUNDA LICENCIATURA EM GEOGRAFIA</v>
      </c>
    </row>
    <row r="5049">
      <c r="A5049" s="390" t="str">
        <f>IFERROR(__xludf.DUMMYFUNCTION("""COMPUTED_VALUE"""),"Anderson Lopes Marcolino - Formação Livre em Psicanálise-2022")</f>
        <v>Anderson Lopes Marcolino - Formação Livre em Psicanálise-2022</v>
      </c>
    </row>
    <row r="5050">
      <c r="A5050" s="390" t="str">
        <f>IFERROR(__xludf.DUMMYFUNCTION("""COMPUTED_VALUE"""),"Silvana Franscisca de Souza - Formação Livre em Psicanálise-2022")</f>
        <v>Silvana Franscisca de Souza - Formação Livre em Psicanálise-2022</v>
      </c>
    </row>
    <row r="5051">
      <c r="A5051" s="390" t="str">
        <f>IFERROR(__xludf.DUMMYFUNCTION("""COMPUTED_VALUE"""),"Marcelo Alves Novais - #SLP22- Segunda Licenciatura em Pedagogia")</f>
        <v>Marcelo Alves Novais - #SLP22- Segunda Licenciatura em Pedagogia</v>
      </c>
    </row>
    <row r="5052">
      <c r="A5052" s="390" t="str">
        <f>IFERROR(__xludf.DUMMYFUNCTION("""COMPUTED_VALUE"""),"Marcelo Alves Novais - #SLPA- Segunda Licenciatura em Pedagogia 01")</f>
        <v>Marcelo Alves Novais - #SLPA- Segunda Licenciatura em Pedagogia 01</v>
      </c>
    </row>
    <row r="5053">
      <c r="A5053" s="390" t="str">
        <f>IFERROR(__xludf.DUMMYFUNCTION("""COMPUTED_VALUE"""),"Meire Lopes de Azevedo Correa - Formação Livre em Psicanálise-2022")</f>
        <v>Meire Lopes de Azevedo Correa - Formação Livre em Psicanálise-2022</v>
      </c>
    </row>
    <row r="5054">
      <c r="A5054" s="390" t="str">
        <f>IFERROR(__xludf.DUMMYFUNCTION("""COMPUTED_VALUE"""),"Maria Helena dos Santos - Formação Livre em Psicanálise-2022")</f>
        <v>Maria Helena dos Santos - Formação Livre em Psicanálise-2022</v>
      </c>
    </row>
    <row r="5055">
      <c r="A5055" s="390" t="str">
        <f>IFERROR(__xludf.DUMMYFUNCTION("""COMPUTED_VALUE"""),"Elisângela Cruz Pereira - #SLPT- Segunda Licenciatura em Pedagogia")</f>
        <v>Elisângela Cruz Pereira - #SLPT- Segunda Licenciatura em Pedagogia</v>
      </c>
    </row>
    <row r="5056">
      <c r="A5056" s="390" t="str">
        <f>IFERROR(__xludf.DUMMYFUNCTION("""COMPUTED_VALUE"""),"Oseias Paulo Fernandes - Pós-graduação em Gestão Escolar Integradora com Ênfase em Supervisão, Orientação, Administração e Inspeção 740Horas")</f>
        <v>Oseias Paulo Fernandes - Pós-graduação em Gestão Escolar Integradora com Ênfase em Supervisão, Orientação, Administração e Inspeção 740Horas</v>
      </c>
    </row>
    <row r="5057">
      <c r="A5057" s="390" t="str">
        <f>IFERROR(__xludf.DUMMYFUNCTION("""COMPUTED_VALUE"""),"Oseias Paulo Fernandes - Pós-Graduação em Direito Previdenciário com Habilitação em docência no Ensino Superior")</f>
        <v>Oseias Paulo Fernandes - Pós-Graduação em Direito Previdenciário com Habilitação em docência no Ensino Superior</v>
      </c>
    </row>
    <row r="5058">
      <c r="A5058" s="390" t="str">
        <f>IFERROR(__xludf.DUMMYFUNCTION("""COMPUTED_VALUE"""),"Emanuele Santos de Assis - Formação Livre em Psicanálise-2022")</f>
        <v>Emanuele Santos de Assis - Formação Livre em Psicanálise-2022</v>
      </c>
    </row>
    <row r="5059">
      <c r="A5059" s="390" t="str">
        <f>IFERROR(__xludf.DUMMYFUNCTION("""COMPUTED_VALUE"""),"Rita Moreira Costa - #FPUH- Formação Pedagógica em História")</f>
        <v>Rita Moreira Costa - #FPUH- Formação Pedagógica em História</v>
      </c>
    </row>
    <row r="5060">
      <c r="A5060" s="390" t="str">
        <f>IFERROR(__xludf.DUMMYFUNCTION("""COMPUTED_VALUE"""),"Rita Moreira Costa - #FPULPI- Formação Pedagógica em Letras – Português e Inglês")</f>
        <v>Rita Moreira Costa - #FPULPI- Formação Pedagógica em Letras – Português e Inglês</v>
      </c>
    </row>
    <row r="5061">
      <c r="A5061" s="390" t="str">
        <f>IFERROR(__xludf.DUMMYFUNCTION("""COMPUTED_VALUE"""),"Celina Maria De Souza Olivindo - NOVO-Pós-Graduação em Psicanálise 800 Horas")</f>
        <v>Celina Maria De Souza Olivindo - NOVO-Pós-Graduação em Psicanálise 800 Horas</v>
      </c>
    </row>
    <row r="5062">
      <c r="A5062" s="390" t="str">
        <f>IFERROR(__xludf.DUMMYFUNCTION("""COMPUTED_VALUE"""),"Celina Maria De Souza Olivindo - Pós-Graduação em Engenharia Ambiental e Energias Renováveis")</f>
        <v>Celina Maria De Souza Olivindo - Pós-Graduação em Engenharia Ambiental e Energias Renováveis</v>
      </c>
    </row>
    <row r="5063">
      <c r="A5063" s="390" t="str">
        <f>IFERROR(__xludf.DUMMYFUNCTION("""COMPUTED_VALUE"""),"Giancarlo Lucena dos Santos - FORMAÇÃO PEDAGÓGICA EM GEOGRAFIA- U")</f>
        <v>Giancarlo Lucena dos Santos - FORMAÇÃO PEDAGÓGICA EM GEOGRAFIA- U</v>
      </c>
    </row>
    <row r="5064">
      <c r="A5064" s="390" t="str">
        <f>IFERROR(__xludf.DUMMYFUNCTION("""COMPUTED_VALUE"""),"Giancarlo Lucena dos Santos - PÓS-GRADUAÇÃO EM METODOLOGIA DO ENSINO DE GEOGRAFIA")</f>
        <v>Giancarlo Lucena dos Santos - PÓS-GRADUAÇÃO EM METODOLOGIA DO ENSINO DE GEOGRAFIA</v>
      </c>
    </row>
    <row r="5065">
      <c r="A5065" s="390" t="str">
        <f>IFERROR(__xludf.DUMMYFUNCTION("""COMPUTED_VALUE"""),"Cheila Aparecida Amandio Rinaldo - Pós-Graduação em Neuropsicopedagogia")</f>
        <v>Cheila Aparecida Amandio Rinaldo - Pós-Graduação em Neuropsicopedagogia</v>
      </c>
    </row>
    <row r="5066">
      <c r="A5066" s="390" t="str">
        <f>IFERROR(__xludf.DUMMYFUNCTION("""COMPUTED_VALUE"""),"Cheila Aparecida Amandio Rinaldo - Pós-Graduação Educação Especial e Inclusiva")</f>
        <v>Cheila Aparecida Amandio Rinaldo - Pós-Graduação Educação Especial e Inclusiva</v>
      </c>
    </row>
    <row r="5067">
      <c r="A5067" s="390" t="str">
        <f>IFERROR(__xludf.DUMMYFUNCTION("""COMPUTED_VALUE"""),"Cheila Aparecida Amandio Rinaldo - Pós-Graduação em Psicopedagogia Institucional e Clínica 710Horas")</f>
        <v>Cheila Aparecida Amandio Rinaldo - Pós-Graduação em Psicopedagogia Institucional e Clínica 710Horas</v>
      </c>
    </row>
    <row r="5068">
      <c r="A5068" s="390" t="str">
        <f>IFERROR(__xludf.DUMMYFUNCTION("""COMPUTED_VALUE"""),"Cheila Aparecida Amandio Rinaldo - Pós-Graduação em Gestão Educacional")</f>
        <v>Cheila Aparecida Amandio Rinaldo - Pós-Graduação em Gestão Educacional</v>
      </c>
    </row>
    <row r="5069">
      <c r="A5069" s="390" t="str">
        <f>IFERROR(__xludf.DUMMYFUNCTION("""COMPUTED_VALUE"""),"Cheila Aparecida Amandio Rinaldo - Pós-Graduação em Gestão Educacional")</f>
        <v>Cheila Aparecida Amandio Rinaldo - Pós-Graduação em Gestão Educacional</v>
      </c>
    </row>
    <row r="5070">
      <c r="A5070" s="390" t="str">
        <f>IFERROR(__xludf.DUMMYFUNCTION("""COMPUTED_VALUE"""),"Cheila Aparecida Amandio Rinaldo - Pós-Graduação em Gestão Educacional")</f>
        <v>Cheila Aparecida Amandio Rinaldo - Pós-Graduação em Gestão Educacional</v>
      </c>
    </row>
    <row r="5071">
      <c r="A5071" s="390" t="str">
        <f>IFERROR(__xludf.DUMMYFUNCTION("""COMPUTED_VALUE"""),"Fernando de Paula Moreira - Pós-Graduação em Inteligência Artificial")</f>
        <v>Fernando de Paula Moreira - Pós-Graduação em Inteligência Artificial</v>
      </c>
    </row>
    <row r="5072">
      <c r="A5072" s="390" t="str">
        <f>IFERROR(__xludf.DUMMYFUNCTION("""COMPUTED_VALUE"""),"Fernando de Paula Moreira - Pós-Graduação em Internet das Coisas")</f>
        <v>Fernando de Paula Moreira - Pós-Graduação em Internet das Coisas</v>
      </c>
    </row>
    <row r="5073">
      <c r="A5073" s="390" t="str">
        <f>IFERROR(__xludf.DUMMYFUNCTION("""COMPUTED_VALUE"""),"Sheylineth Morais dos Santos - #SLMF - Segunda Licenciatura em Música 1320Horas")</f>
        <v>Sheylineth Morais dos Santos - #SLMF - Segunda Licenciatura em Música 1320Horas</v>
      </c>
    </row>
    <row r="5074">
      <c r="A5074" s="390" t="str">
        <f>IFERROR(__xludf.DUMMYFUNCTION("""COMPUTED_VALUE"""),"Marcelo Alves da Costa - Formação Livre em Psicanálise-2022")</f>
        <v>Marcelo Alves da Costa - Formação Livre em Psicanálise-2022</v>
      </c>
    </row>
    <row r="5075">
      <c r="A5075" s="390" t="str">
        <f>IFERROR(__xludf.DUMMYFUNCTION("""COMPUTED_VALUE"""),"Leandro Da Silva Costa - Pós-Graduação em Metodologia do Ensino de Filosofia e Sociologia")</f>
        <v>Leandro Da Silva Costa - Pós-Graduação em Metodologia do Ensino de Filosofia e Sociologia</v>
      </c>
    </row>
    <row r="5076">
      <c r="A5076" s="390" t="str">
        <f>IFERROR(__xludf.DUMMYFUNCTION("""COMPUTED_VALUE"""),"Márcia Helena Chaves Martins - Pós-Graduação Neurociência e Aprendizagem")</f>
        <v>Márcia Helena Chaves Martins - Pós-Graduação Neurociência e Aprendizagem</v>
      </c>
    </row>
    <row r="5077">
      <c r="A5077" s="390" t="str">
        <f>IFERROR(__xludf.DUMMYFUNCTION("""COMPUTED_VALUE"""),"Edmilson Freitas de Lima - Formação Livre em Psicanálise-2022")</f>
        <v>Edmilson Freitas de Lima - Formação Livre em Psicanálise-2022</v>
      </c>
    </row>
    <row r="5078">
      <c r="A5078" s="390" t="str">
        <f>IFERROR(__xludf.DUMMYFUNCTION("""COMPUTED_VALUE"""),"Alexandre de Oliveira - Formação Livre em Psicanálise-2022")</f>
        <v>Alexandre de Oliveira - Formação Livre em Psicanálise-2022</v>
      </c>
    </row>
    <row r="5079">
      <c r="A5079" s="390" t="str">
        <f>IFERROR(__xludf.DUMMYFUNCTION("""COMPUTED_VALUE"""),"Bruno do Santos Pereira Costa - Pós-Graduação em Educação Física Escolar e Treinamento Desportivo")</f>
        <v>Bruno do Santos Pereira Costa - Pós-Graduação em Educação Física Escolar e Treinamento Desportivo</v>
      </c>
    </row>
    <row r="5080">
      <c r="A5080" s="390" t="str">
        <f>IFERROR(__xludf.DUMMYFUNCTION("""COMPUTED_VALUE"""),"Bruno do Santos Pereira Costa - Pós-Graduação em Educação Física Escolar e Treinamento Desportivo 2022")</f>
        <v>Bruno do Santos Pereira Costa - Pós-Graduação em Educação Física Escolar e Treinamento Desportivo 2022</v>
      </c>
    </row>
    <row r="5081">
      <c r="A5081" s="390" t="str">
        <f>IFERROR(__xludf.DUMMYFUNCTION("""COMPUTED_VALUE"""),"Nayra Bitencourt - #SLULPL- Segunda Licenciatura em Letras – Língua Portuguesa e Libras")</f>
        <v>Nayra Bitencourt - #SLULPL- Segunda Licenciatura em Letras – Língua Portuguesa e Libras</v>
      </c>
    </row>
    <row r="5082">
      <c r="A5082" s="390" t="str">
        <f>IFERROR(__xludf.DUMMYFUNCTION("""COMPUTED_VALUE"""),"Juliete de Sá Sousa - Formação Livre em Sexologia")</f>
        <v>Juliete de Sá Sousa - Formação Livre em Sexologia</v>
      </c>
    </row>
    <row r="5083">
      <c r="A5083" s="390" t="str">
        <f>IFERROR(__xludf.DUMMYFUNCTION("""COMPUTED_VALUE"""),"Jorge Luis Gomes de Oliveira - Formação Livre em Psicanálise-2022")</f>
        <v>Jorge Luis Gomes de Oliveira - Formação Livre em Psicanálise-2022</v>
      </c>
    </row>
    <row r="5084">
      <c r="A5084" s="390" t="str">
        <f>IFERROR(__xludf.DUMMYFUNCTION("""COMPUTED_VALUE"""),"Leila Cristine Rambo - #SLPT- Segunda Licenciatura em Pedagogia")</f>
        <v>Leila Cristine Rambo - #SLPT- Segunda Licenciatura em Pedagogia</v>
      </c>
    </row>
    <row r="5085">
      <c r="A5085" s="390" t="str">
        <f>IFERROR(__xludf.DUMMYFUNCTION("""COMPUTED_VALUE"""),"Christiane Melo da Cruz - Formação Livre em Psicanálise-2022")</f>
        <v>Christiane Melo da Cruz - Formação Livre em Psicanálise-2022</v>
      </c>
    </row>
    <row r="5086">
      <c r="A5086" s="390" t="str">
        <f>IFERROR(__xludf.DUMMYFUNCTION("""COMPUTED_VALUE"""),"Edney Fernando de Barros soares - Formação Livre em Psicanálise-2022")</f>
        <v>Edney Fernando de Barros soares - Formação Livre em Psicanálise-2022</v>
      </c>
    </row>
    <row r="5087">
      <c r="A5087" s="390" t="str">
        <f>IFERROR(__xludf.DUMMYFUNCTION("""COMPUTED_VALUE"""),"Anderson Aprigio dos Santos - #FPMF- Formação Pedagógica em Música 1200Horas")</f>
        <v>Anderson Aprigio dos Santos - #FPMF- Formação Pedagógica em Música 1200Horas</v>
      </c>
    </row>
    <row r="5088">
      <c r="A5088" s="390" t="str">
        <f>IFERROR(__xludf.DUMMYFUNCTION("""COMPUTED_VALUE"""),"Anderson Aprigio dos Santos - #FPMF- Formação Pedagógica em Música 2022")</f>
        <v>Anderson Aprigio dos Santos - #FPMF- Formação Pedagógica em Música 2022</v>
      </c>
    </row>
    <row r="5089">
      <c r="A5089" s="390" t="str">
        <f>IFERROR(__xludf.DUMMYFUNCTION("""COMPUTED_VALUE"""),"INGRID MAYARA DOS SANTOS VALERIO - Formação Livre em Psicanálise-2022")</f>
        <v>INGRID MAYARA DOS SANTOS VALERIO - Formação Livre em Psicanálise-2022</v>
      </c>
    </row>
    <row r="5090">
      <c r="A5090" s="390" t="str">
        <f>IFERROR(__xludf.DUMMYFUNCTION("""COMPUTED_VALUE"""),"Priscila Carlos Marafioti - NOVO-Pós-Graduação em Psicanálise 800 Horas")</f>
        <v>Priscila Carlos Marafioti - NOVO-Pós-Graduação em Psicanálise 800 Horas</v>
      </c>
    </row>
    <row r="5091">
      <c r="A5091" s="390" t="str">
        <f>IFERROR(__xludf.DUMMYFUNCTION("""COMPUTED_VALUE"""),"Lander Matheus de Oliveira - Pós-Graduação em Gestão de Logística e Gestão Empresarial")</f>
        <v>Lander Matheus de Oliveira - Pós-Graduação em Gestão de Logística e Gestão Empresarial</v>
      </c>
    </row>
    <row r="5092">
      <c r="A5092" s="390" t="str">
        <f>IFERROR(__xludf.DUMMYFUNCTION("""COMPUTED_VALUE"""),"Lander Matheus de Oliveira - Pós-Graduação em Gestão da Produção e Qualidade")</f>
        <v>Lander Matheus de Oliveira - Pós-Graduação em Gestão da Produção e Qualidade</v>
      </c>
    </row>
    <row r="5093">
      <c r="A5093" s="390" t="str">
        <f>IFERROR(__xludf.DUMMYFUNCTION("""COMPUTED_VALUE"""),"Lander Matheus de Oliveira - Pós-Graduação em MBA Gerenciamento de Projetos")</f>
        <v>Lander Matheus de Oliveira - Pós-Graduação em MBA Gerenciamento de Projetos</v>
      </c>
    </row>
    <row r="5094">
      <c r="A5094" s="390" t="str">
        <f>IFERROR(__xludf.DUMMYFUNCTION("""COMPUTED_VALUE"""),"Silvana Hennicka - Formação Livre em Sexologia")</f>
        <v>Silvana Hennicka - Formação Livre em Sexologia</v>
      </c>
    </row>
    <row r="5095">
      <c r="A5095" s="390" t="str">
        <f>IFERROR(__xludf.DUMMYFUNCTION("""COMPUTED_VALUE"""),"Érica Arcelino de Macedo - Pós-graduação em Neuropsicologia")</f>
        <v>Érica Arcelino de Macedo - Pós-graduação em Neuropsicologia</v>
      </c>
    </row>
    <row r="5096">
      <c r="A5096" s="390" t="str">
        <f>IFERROR(__xludf.DUMMYFUNCTION("""COMPUTED_VALUE"""),"Rosane Isabella Oliveira de Melo - Pós-Graduação em TDAH – Transtorno do Déficit de Atenção e Hiperatividade")</f>
        <v>Rosane Isabella Oliveira de Melo - Pós-Graduação em TDAH – Transtorno do Déficit de Atenção e Hiperatividade</v>
      </c>
    </row>
    <row r="5097">
      <c r="A5097" s="390" t="str">
        <f>IFERROR(__xludf.DUMMYFUNCTION("""COMPUTED_VALUE"""),"Rosane Isabella Oliveira de Melo - Pós-Graduação em Sexologia")</f>
        <v>Rosane Isabella Oliveira de Melo - Pós-Graduação em Sexologia</v>
      </c>
    </row>
    <row r="5098">
      <c r="A5098" s="390" t="str">
        <f>IFERROR(__xludf.DUMMYFUNCTION("""COMPUTED_VALUE"""),"Daiane Aparecida Henrique - #SLUP - SEGUNDA LICENCIATURA EM PEDAGOGIA")</f>
        <v>Daiane Aparecida Henrique - #SLUP - SEGUNDA LICENCIATURA EM PEDAGOGIA</v>
      </c>
    </row>
    <row r="5099">
      <c r="A5099" s="390" t="str">
        <f>IFERROR(__xludf.DUMMYFUNCTION("""COMPUTED_VALUE"""),"Daiane Aparecida Henrique - Pós-Graduação Alfabetização e Letramento")</f>
        <v>Daiane Aparecida Henrique - Pós-Graduação Alfabetização e Letramento</v>
      </c>
    </row>
    <row r="5100">
      <c r="A5100" s="390" t="str">
        <f>IFERROR(__xludf.DUMMYFUNCTION("""COMPUTED_VALUE"""),"Josi Domingues da Silva - #SLP22- Segunda Licenciatura em Pedagogia")</f>
        <v>Josi Domingues da Silva - #SLP22- Segunda Licenciatura em Pedagogia</v>
      </c>
    </row>
    <row r="5101">
      <c r="A5101" s="390" t="str">
        <f>IFERROR(__xludf.DUMMYFUNCTION("""COMPUTED_VALUE"""),"Wilza karla Ramos de sousa Ferreira - Pós-Graduação em Sexologia")</f>
        <v>Wilza karla Ramos de sousa Ferreira - Pós-Graduação em Sexologia</v>
      </c>
    </row>
    <row r="5102">
      <c r="A5102" s="390" t="str">
        <f>IFERROR(__xludf.DUMMYFUNCTION("""COMPUTED_VALUE"""),"Wilza karla Ramos de sousa Ferreira - Pós-Graduação em Sexologia")</f>
        <v>Wilza karla Ramos de sousa Ferreira - Pós-Graduação em Sexologia</v>
      </c>
    </row>
    <row r="5103">
      <c r="A5103" s="390" t="str">
        <f>IFERROR(__xludf.DUMMYFUNCTION("""COMPUTED_VALUE"""),"Ana Greice Alves Teixeira Nogueira - Formação Pedagógica Letras - Português")</f>
        <v>Ana Greice Alves Teixeira Nogueira - Formação Pedagógica Letras - Português</v>
      </c>
    </row>
    <row r="5104">
      <c r="A5104" s="390" t="str">
        <f>IFERROR(__xludf.DUMMYFUNCTION("""COMPUTED_VALUE"""),"Ana Greice Alves Teixeira Nogueira - #FPLP- Formação Pedagógica em Letras/Português 850Horas")</f>
        <v>Ana Greice Alves Teixeira Nogueira - #FPLP- Formação Pedagógica em Letras/Português 850Horas</v>
      </c>
    </row>
    <row r="5105">
      <c r="A5105" s="390" t="str">
        <f>IFERROR(__xludf.DUMMYFUNCTION("""COMPUTED_VALUE"""),"Nariele Fontoura coutinho - Capacitação em Sexologia")</f>
        <v>Nariele Fontoura coutinho - Capacitação em Sexologia</v>
      </c>
    </row>
    <row r="5106">
      <c r="A5106" s="390" t="str">
        <f>IFERROR(__xludf.DUMMYFUNCTION("""COMPUTED_VALUE"""),"Ernane Miyazaki Aoki - Pós-Graduação em Ensino de Ciências")</f>
        <v>Ernane Miyazaki Aoki - Pós-Graduação em Ensino de Ciências</v>
      </c>
    </row>
    <row r="5107">
      <c r="A5107" s="390" t="str">
        <f>IFERROR(__xludf.DUMMYFUNCTION("""COMPUTED_VALUE"""),"Darci Antonio Siqueira - Pós-Graduação em Psicologia Clínica")</f>
        <v>Darci Antonio Siqueira - Pós-Graduação em Psicologia Clínica</v>
      </c>
    </row>
    <row r="5108">
      <c r="A5108" s="390" t="str">
        <f>IFERROR(__xludf.DUMMYFUNCTION("""COMPUTED_VALUE"""),"Caio Freitas - Pós-Graduação Biomedicina Estética 750Horas")</f>
        <v>Caio Freitas - Pós-Graduação Biomedicina Estética 750Horas</v>
      </c>
    </row>
    <row r="5109">
      <c r="A5109" s="390" t="str">
        <f>IFERROR(__xludf.DUMMYFUNCTION("""COMPUTED_VALUE"""),"NATHAN SILVA COVRE - #SLMF - Segunda Licenciatura em Música 1320Horas")</f>
        <v>NATHAN SILVA COVRE - #SLMF - Segunda Licenciatura em Música 1320Horas</v>
      </c>
    </row>
    <row r="5110">
      <c r="A5110" s="390" t="str">
        <f>IFERROR(__xludf.DUMMYFUNCTION("""COMPUTED_VALUE"""),"Mauro Garritano de Carvalho - #SLUP - SEGUNDA LICENCIATURA EM PEDAGOGIA")</f>
        <v>Mauro Garritano de Carvalho - #SLUP - SEGUNDA LICENCIATURA EM PEDAGOGIA</v>
      </c>
    </row>
    <row r="5111">
      <c r="A5111" s="390" t="str">
        <f>IFERROR(__xludf.DUMMYFUNCTION("""COMPUTED_VALUE"""),"Mara Regina de Oliveira Ceccon Coelho - #SLMF - Segunda Licenciatura em Música 1320Horas")</f>
        <v>Mara Regina de Oliveira Ceccon Coelho - #SLMF - Segunda Licenciatura em Música 1320Horas</v>
      </c>
    </row>
    <row r="5112">
      <c r="A5112" s="390" t="str">
        <f>IFERROR(__xludf.DUMMYFUNCTION("""COMPUTED_VALUE"""),"Rita de Cássia Bertoldo Vendite - #SLUP - SEGUNDA LICENCIATURA EM PEDAGOGIA")</f>
        <v>Rita de Cássia Bertoldo Vendite - #SLUP - SEGUNDA LICENCIATURA EM PEDAGOGIA</v>
      </c>
    </row>
    <row r="5113">
      <c r="A5113" s="390" t="str">
        <f>IFERROR(__xludf.DUMMYFUNCTION("""COMPUTED_VALUE"""),"Edna Cardoso - Formação Livre em Psicanálise-2022")</f>
        <v>Edna Cardoso - Formação Livre em Psicanálise-2022</v>
      </c>
    </row>
    <row r="5114">
      <c r="A5114" s="390" t="str">
        <f>IFERROR(__xludf.DUMMYFUNCTION("""COMPUTED_VALUE"""),"Cristino Renato da Silva - #SLMF - Segunda Licenciatura em Música 1320Horas")</f>
        <v>Cristino Renato da Silva - #SLMF - Segunda Licenciatura em Música 1320Horas</v>
      </c>
    </row>
    <row r="5115">
      <c r="A5115" s="390" t="str">
        <f>IFERROR(__xludf.DUMMYFUNCTION("""COMPUTED_VALUE"""),"Lidiane de Oliveira Batalha Valentim - RADIANTE - Pós-Graduação em Direito Penal e Processual Penal")</f>
        <v>Lidiane de Oliveira Batalha Valentim - RADIANTE - Pós-Graduação em Direito Penal e Processual Penal</v>
      </c>
    </row>
    <row r="5116">
      <c r="A5116" s="390" t="str">
        <f>IFERROR(__xludf.DUMMYFUNCTION("""COMPUTED_VALUE"""),"Paulo Henrique de Oliveira Lopes - RADIANTE - Pós-Graduação em Engenharia de Segurança do Trabalho")</f>
        <v>Paulo Henrique de Oliveira Lopes - RADIANTE - Pós-Graduação em Engenharia de Segurança do Trabalho</v>
      </c>
    </row>
    <row r="5117">
      <c r="A5117" s="390" t="str">
        <f>IFERROR(__xludf.DUMMYFUNCTION("""COMPUTED_VALUE"""),"Joelia Silva Pereira - RADIANTE - Pós-Graduação em Enfermagem do Trabalho")</f>
        <v>Joelia Silva Pereira - RADIANTE - Pós-Graduação em Enfermagem do Trabalho</v>
      </c>
    </row>
    <row r="5118">
      <c r="A5118" s="390" t="str">
        <f>IFERROR(__xludf.DUMMYFUNCTION("""COMPUTED_VALUE"""),"Thais Cristina Costa Barbosa - #SLPT- Segunda Licenciatura em Pedagogia")</f>
        <v>Thais Cristina Costa Barbosa - #SLPT- Segunda Licenciatura em Pedagogia</v>
      </c>
    </row>
    <row r="5119">
      <c r="A5119" s="390" t="str">
        <f>IFERROR(__xludf.DUMMYFUNCTION("""COMPUTED_VALUE"""),"Alekson dos Santos Oliveira - RADIANTE - Pós-Graduação em Administração Pública")</f>
        <v>Alekson dos Santos Oliveira - RADIANTE - Pós-Graduação em Administração Pública</v>
      </c>
    </row>
    <row r="5120">
      <c r="A5120" s="390" t="str">
        <f>IFERROR(__xludf.DUMMYFUNCTION("""COMPUTED_VALUE"""),"Caroline Vannucci - Formação Livre em Psicanálise-2022")</f>
        <v>Caroline Vannucci - Formação Livre em Psicanálise-2022</v>
      </c>
    </row>
    <row r="5121">
      <c r="A5121" s="390" t="str">
        <f>IFERROR(__xludf.DUMMYFUNCTION("""COMPUTED_VALUE"""),"Cristiano Nogueira dos Santos - #SLMF - Segunda Licenciatura em Música 1320Horas")</f>
        <v>Cristiano Nogueira dos Santos - #SLMF - Segunda Licenciatura em Música 1320Horas</v>
      </c>
    </row>
    <row r="5122">
      <c r="A5122" s="390" t="str">
        <f>IFERROR(__xludf.DUMMYFUNCTION("""COMPUTED_VALUE"""),"Maria Helena Menezes - RADIANTE - Pós-Graduação Direito Constitucional")</f>
        <v>Maria Helena Menezes - RADIANTE - Pós-Graduação Direito Constitucional</v>
      </c>
    </row>
    <row r="5123">
      <c r="A5123" s="390" t="str">
        <f>IFERROR(__xludf.DUMMYFUNCTION("""COMPUTED_VALUE"""),"Jolisson Almeida Carmo - Formação Livre em Psicanálise-2022")</f>
        <v>Jolisson Almeida Carmo - Formação Livre em Psicanálise-2022</v>
      </c>
    </row>
    <row r="5124">
      <c r="A5124" s="390" t="str">
        <f>IFERROR(__xludf.DUMMYFUNCTION("""COMPUTED_VALUE"""),"Diese Alini Alves - RADIANTE - Pós-Graduação em Terapia em ABA- Análise do Comportamento Aplicada")</f>
        <v>Diese Alini Alves - RADIANTE - Pós-Graduação em Terapia em ABA- Análise do Comportamento Aplicada</v>
      </c>
    </row>
    <row r="5125">
      <c r="A5125" s="390" t="str">
        <f>IFERROR(__xludf.DUMMYFUNCTION("""COMPUTED_VALUE"""),"Ana Carolina Lemes Martins - RADIANTE - Pós-Graduação em Psicopedagogia Institucional e Clínica 710Horas")</f>
        <v>Ana Carolina Lemes Martins - RADIANTE - Pós-Graduação em Psicopedagogia Institucional e Clínica 710Horas</v>
      </c>
    </row>
    <row r="5126">
      <c r="A5126" s="390" t="str">
        <f>IFERROR(__xludf.DUMMYFUNCTION("""COMPUTED_VALUE"""),"Ana Carolina Lemes Martins - RADIANTE - Pós-Graduação em Neuropsicopedagogia Institucional, Clínica e Hospitalar 850h")</f>
        <v>Ana Carolina Lemes Martins - RADIANTE - Pós-Graduação em Neuropsicopedagogia Institucional, Clínica e Hospitalar 850h</v>
      </c>
    </row>
    <row r="5127">
      <c r="A5127" s="390" t="str">
        <f>IFERROR(__xludf.DUMMYFUNCTION("""COMPUTED_VALUE"""),"Taynara Cristiny da Rocha Lavra - RADIANTE - Pós-Graduação em Psicologia Educacional")</f>
        <v>Taynara Cristiny da Rocha Lavra - RADIANTE - Pós-Graduação em Psicologia Educacional</v>
      </c>
    </row>
    <row r="5128">
      <c r="A5128" s="390" t="str">
        <f>IFERROR(__xludf.DUMMYFUNCTION("""COMPUTED_VALUE"""),"Miriam Cecilia Goems do Nascimento - RADIANTE - Pós-Graduação em Inspeção Escolar")</f>
        <v>Miriam Cecilia Goems do Nascimento - RADIANTE - Pós-Graduação em Inspeção Escolar</v>
      </c>
    </row>
    <row r="5129">
      <c r="A5129" s="390" t="str">
        <f>IFERROR(__xludf.DUMMYFUNCTION("""COMPUTED_VALUE"""),"Francisca Maria Albino Mendes - RADIANTE - Pós-Graduação em Psicopedagogia Institucional e Clínica 710Horas")</f>
        <v>Francisca Maria Albino Mendes - RADIANTE - Pós-Graduação em Psicopedagogia Institucional e Clínica 710Horas</v>
      </c>
    </row>
    <row r="5130">
      <c r="A5130" s="390" t="str">
        <f>IFERROR(__xludf.DUMMYFUNCTION("""COMPUTED_VALUE"""),"Monica Maria Borges - RADIANTE - Pós-Graduação em Supervisão Escolar e Orientação Educacional")</f>
        <v>Monica Maria Borges - RADIANTE - Pós-Graduação em Supervisão Escolar e Orientação Educacional</v>
      </c>
    </row>
    <row r="5131">
      <c r="A5131" s="390" t="str">
        <f>IFERROR(__xludf.DUMMYFUNCTION("""COMPUTED_VALUE"""),"Patrícia Armenio de Moraes - RADIANTE - Pós-Graduação em Neuropsicopedagogia")</f>
        <v>Patrícia Armenio de Moraes - RADIANTE - Pós-Graduação em Neuropsicopedagogia</v>
      </c>
    </row>
    <row r="5132">
      <c r="A5132" s="390" t="str">
        <f>IFERROR(__xludf.DUMMYFUNCTION("""COMPUTED_VALUE"""),"Josiane Pereira Correa Barbosa - RADIANTE - Pós-Graduação em Enfermagem em Urgência e Emergência")</f>
        <v>Josiane Pereira Correa Barbosa - RADIANTE - Pós-Graduação em Enfermagem em Urgência e Emergência</v>
      </c>
    </row>
    <row r="5133">
      <c r="A5133" s="390" t="str">
        <f>IFERROR(__xludf.DUMMYFUNCTION("""COMPUTED_VALUE"""),"Delizangela Alves Ferreira da Silva - RADIANTE - Pós-Graduação em Enfermagem em Urgência e Emergência")</f>
        <v>Delizangela Alves Ferreira da Silva - RADIANTE - Pós-Graduação em Enfermagem em Urgência e Emergência</v>
      </c>
    </row>
    <row r="5134">
      <c r="A5134" s="390" t="str">
        <f>IFERROR(__xludf.DUMMYFUNCTION("""COMPUTED_VALUE"""),"Diego Souza Arruda - #FPMF- Formação Pedagógica em Música 1200Horas")</f>
        <v>Diego Souza Arruda - #FPMF- Formação Pedagógica em Música 1200Horas</v>
      </c>
    </row>
    <row r="5135">
      <c r="A5135" s="390" t="str">
        <f>IFERROR(__xludf.DUMMYFUNCTION("""COMPUTED_VALUE"""),"Vivaldo Gomes Dos Santos - #SLUEF - Segunda Licenciatura em Educação Física")</f>
        <v>Vivaldo Gomes Dos Santos - #SLUEF - Segunda Licenciatura em Educação Física</v>
      </c>
    </row>
    <row r="5136">
      <c r="A5136" s="390" t="str">
        <f>IFERROR(__xludf.DUMMYFUNCTION("""COMPUTED_VALUE"""),"Gleriston Marcos de Lima - FORMAÇÃO PEDAGÓGICA EM GEOGRAFIA- U")</f>
        <v>Gleriston Marcos de Lima - FORMAÇÃO PEDAGÓGICA EM GEOGRAFIA- U</v>
      </c>
    </row>
    <row r="5137">
      <c r="A5137" s="390" t="str">
        <f>IFERROR(__xludf.DUMMYFUNCTION("""COMPUTED_VALUE"""),"Daniel da Silva Garcia - #FPUM Formação Pedagógica em Matemática")</f>
        <v>Daniel da Silva Garcia - #FPUM Formação Pedagógica em Matemática</v>
      </c>
    </row>
    <row r="5138">
      <c r="A5138" s="390" t="str">
        <f>IFERROR(__xludf.DUMMYFUNCTION("""COMPUTED_VALUE"""),"Vera Lúcia Jorge De Oliveira - Pós-Graduação em Psicanálise")</f>
        <v>Vera Lúcia Jorge De Oliveira - Pós-Graduação em Psicanálise</v>
      </c>
    </row>
    <row r="5139">
      <c r="A5139" s="390" t="str">
        <f>IFERROR(__xludf.DUMMYFUNCTION("""COMPUTED_VALUE"""),"ANA CARLA DA SILVA FERREIRA - #SLMF - Segunda Licenciatura em Música 1320Horas")</f>
        <v>ANA CARLA DA SILVA FERREIRA - #SLMF - Segunda Licenciatura em Música 1320Horas</v>
      </c>
    </row>
    <row r="5140">
      <c r="A5140" s="390" t="str">
        <f>IFERROR(__xludf.DUMMYFUNCTION("""COMPUTED_VALUE"""),"ANA CARLA DA SILVA FERREIRA - Pós-Graduação em Educação Musical")</f>
        <v>ANA CARLA DA SILVA FERREIRA - Pós-Graduação em Educação Musical</v>
      </c>
    </row>
    <row r="5141">
      <c r="A5141" s="390" t="str">
        <f>IFERROR(__xludf.DUMMYFUNCTION("""COMPUTED_VALUE"""),"Raquel Costa Melo - Pós-Graduação em Ensino de Língua Inglesa")</f>
        <v>Raquel Costa Melo - Pós-Graduação em Ensino de Língua Inglesa</v>
      </c>
    </row>
    <row r="5142">
      <c r="A5142" s="390" t="str">
        <f>IFERROR(__xludf.DUMMYFUNCTION("""COMPUTED_VALUE"""),"Bruno Pontes da Costa - NOVO-Pós-Graduação em Psicanálise 800 Horas")</f>
        <v>Bruno Pontes da Costa - NOVO-Pós-Graduação em Psicanálise 800 Horas</v>
      </c>
    </row>
    <row r="5143">
      <c r="A5143" s="390" t="str">
        <f>IFERROR(__xludf.DUMMYFUNCTION("""COMPUTED_VALUE"""),"Bruno Pontes da Costa - #FPUP-FORMAÇÃO PEDAGÓGICA EM PEDAGOGIA- U")</f>
        <v>Bruno Pontes da Costa - #FPUP-FORMAÇÃO PEDAGÓGICA EM PEDAGOGIA- U</v>
      </c>
    </row>
    <row r="5144">
      <c r="A5144" s="390" t="str">
        <f>IFERROR(__xludf.DUMMYFUNCTION("""COMPUTED_VALUE"""),"Bruno Pontes da Costa - FORMAÇÃO PEDAGÓGICA EM LETRAS – LÍNGUA PORTUGUESA E LIBRAS- U")</f>
        <v>Bruno Pontes da Costa - FORMAÇÃO PEDAGÓGICA EM LETRAS – LÍNGUA PORTUGUESA E LIBRAS- U</v>
      </c>
    </row>
    <row r="5145">
      <c r="A5145" s="390" t="str">
        <f>IFERROR(__xludf.DUMMYFUNCTION("""COMPUTED_VALUE"""),"Lucinete Santos Nascimento - Pós-Graduação em Psicanálise 2/2023")</f>
        <v>Lucinete Santos Nascimento - Pós-Graduação em Psicanálise 2/2023</v>
      </c>
    </row>
    <row r="5146">
      <c r="A5146" s="390" t="str">
        <f>IFERROR(__xludf.DUMMYFUNCTION("""COMPUTED_VALUE"""),"Luiza Biasi Placedino - #SLUM - SEGUNDA LICENCIATURA EM MATEMÁTICA")</f>
        <v>Luiza Biasi Placedino - #SLUM - SEGUNDA LICENCIATURA EM MATEMÁTICA</v>
      </c>
    </row>
    <row r="5147">
      <c r="A5147" s="390" t="str">
        <f>IFERROR(__xludf.DUMMYFUNCTION("""COMPUTED_VALUE"""),"Jairo Rodrigues Ribeiro - Pós-graduação em Neuropsicologia")</f>
        <v>Jairo Rodrigues Ribeiro - Pós-graduação em Neuropsicologia</v>
      </c>
    </row>
    <row r="5148">
      <c r="A5148" s="390" t="str">
        <f>IFERROR(__xludf.DUMMYFUNCTION("""COMPUTED_VALUE"""),"Jairo Rodrigues Ribeiro - Pós-Graduação em Avaliação Psicológica e Psicodiagnóstico")</f>
        <v>Jairo Rodrigues Ribeiro - Pós-Graduação em Avaliação Psicológica e Psicodiagnóstico</v>
      </c>
    </row>
    <row r="5149">
      <c r="A5149" s="390" t="str">
        <f>IFERROR(__xludf.DUMMYFUNCTION("""COMPUTED_VALUE"""),"Jairo Rodrigues Ribeiro - Pós-Graduação Terapia Cognitiva Comportamental")</f>
        <v>Jairo Rodrigues Ribeiro - Pós-Graduação Terapia Cognitiva Comportamental</v>
      </c>
    </row>
    <row r="5150">
      <c r="A5150" s="390" t="str">
        <f>IFERROR(__xludf.DUMMYFUNCTION("""COMPUTED_VALUE"""),"Rute Célia Marsiglio da Silva - Pós-Graduação em Psicanálise 2/2023")</f>
        <v>Rute Célia Marsiglio da Silva - Pós-Graduação em Psicanálise 2/2023</v>
      </c>
    </row>
    <row r="5151">
      <c r="A5151" s="390" t="str">
        <f>IFERROR(__xludf.DUMMYFUNCTION("""COMPUTED_VALUE"""),"Rute Célia Marsiglio da Silva - PÓS-GRADUAÇÃO EM PSICANÁLISE 2022")</f>
        <v>Rute Célia Marsiglio da Silva - PÓS-GRADUAÇÃO EM PSICANÁLISE 2022</v>
      </c>
    </row>
    <row r="5152">
      <c r="A5152" s="390" t="str">
        <f>IFERROR(__xludf.DUMMYFUNCTION("""COMPUTED_VALUE"""),"Thainara Ribeiro dos Santos - #SLMA - Segunda Licenciatura Matemática")</f>
        <v>Thainara Ribeiro dos Santos - #SLMA - Segunda Licenciatura Matemática</v>
      </c>
    </row>
    <row r="5153">
      <c r="A5153" s="390" t="str">
        <f>IFERROR(__xludf.DUMMYFUNCTION("""COMPUTED_VALUE"""),"Thainara Ribeiro dos Santos - #SLM+- Segunda Licenciatura em Matemática-760 horas")</f>
        <v>Thainara Ribeiro dos Santos - #SLM+- Segunda Licenciatura em Matemática-760 horas</v>
      </c>
    </row>
    <row r="5154">
      <c r="A5154" s="390" t="str">
        <f>IFERROR(__xludf.DUMMYFUNCTION("""COMPUTED_VALUE"""),"Ricardo Luiz Rodrigues - #SLUP - SEGUNDA LICENCIATURA EM PEDAGOGIA")</f>
        <v>Ricardo Luiz Rodrigues - #SLUP - SEGUNDA LICENCIATURA EM PEDAGOGIA</v>
      </c>
    </row>
    <row r="5155">
      <c r="A5155" s="390" t="str">
        <f>IFERROR(__xludf.DUMMYFUNCTION("""COMPUTED_VALUE"""),"Josenilson Gobira Dos Santos - #FPM+ Formação Pedagógica em Matemática-1200Horas")</f>
        <v>Josenilson Gobira Dos Santos - #FPM+ Formação Pedagógica em Matemática-1200Horas</v>
      </c>
    </row>
    <row r="5156">
      <c r="A5156" s="390" t="str">
        <f>IFERROR(__xludf.DUMMYFUNCTION("""COMPUTED_VALUE"""),"Jackellynne Júnia de Lima Alves Timóte - RADIANTE - Pós-Graduação em Psicopedagogia Institucional e Clínica 710Horas")</f>
        <v>Jackellynne Júnia de Lima Alves Timóte - RADIANTE - Pós-Graduação em Psicopedagogia Institucional e Clínica 710Horas</v>
      </c>
    </row>
    <row r="5157">
      <c r="A5157" s="390" t="str">
        <f>IFERROR(__xludf.DUMMYFUNCTION("""COMPUTED_VALUE"""),"Beatriz Moreira Sander - Graduação em Licenciatura em Música")</f>
        <v>Beatriz Moreira Sander - Graduação em Licenciatura em Música</v>
      </c>
    </row>
    <row r="5158">
      <c r="A5158" s="390" t="str">
        <f>IFERROR(__xludf.DUMMYFUNCTION("""COMPUTED_VALUE"""),"Edna Maria silva rosalem - Graduação em Licenciatura em Música")</f>
        <v>Edna Maria silva rosalem - Graduação em Licenciatura em Música</v>
      </c>
    </row>
    <row r="5159">
      <c r="A5159" s="390" t="str">
        <f>IFERROR(__xludf.DUMMYFUNCTION("""COMPUTED_VALUE"""),"Emerson Luis Marques Da Costa - Graduação em Licenciatura em Música")</f>
        <v>Emerson Luis Marques Da Costa - Graduação em Licenciatura em Música</v>
      </c>
    </row>
    <row r="5160">
      <c r="A5160" s="390" t="str">
        <f>IFERROR(__xludf.DUMMYFUNCTION("""COMPUTED_VALUE"""),"José Marcelo da Silva Perez - Graduação em Licenciatura em Música")</f>
        <v>José Marcelo da Silva Perez - Graduação em Licenciatura em Música</v>
      </c>
    </row>
    <row r="5161">
      <c r="A5161" s="390" t="str">
        <f>IFERROR(__xludf.DUMMYFUNCTION("""COMPUTED_VALUE"""),"Kevin Denis Souza Oliveira Santos - Graduação em Licenciatura em Música")</f>
        <v>Kevin Denis Souza Oliveira Santos - Graduação em Licenciatura em Música</v>
      </c>
    </row>
    <row r="5162">
      <c r="A5162" s="390" t="str">
        <f>IFERROR(__xludf.DUMMYFUNCTION("""COMPUTED_VALUE"""),"Nélinton Tadeu C. Da Silva Filho - Graduação em Licenciatura em Música")</f>
        <v>Nélinton Tadeu C. Da Silva Filho - Graduação em Licenciatura em Música</v>
      </c>
    </row>
    <row r="5163">
      <c r="A5163" s="390" t="str">
        <f>IFERROR(__xludf.DUMMYFUNCTION("""COMPUTED_VALUE"""),"Ranielly Alves de Carvalho Rocha - Graduação em Licenciatura em Música")</f>
        <v>Ranielly Alves de Carvalho Rocha - Graduação em Licenciatura em Música</v>
      </c>
    </row>
    <row r="5164">
      <c r="A5164" s="390" t="str">
        <f>IFERROR(__xludf.DUMMYFUNCTION("""COMPUTED_VALUE"""),"Zélia Magaly Oliveira Seixas Betoldo - Graduação em Licenciatura em Música")</f>
        <v>Zélia Magaly Oliveira Seixas Betoldo - Graduação em Licenciatura em Música</v>
      </c>
    </row>
    <row r="5165">
      <c r="A5165" s="390" t="str">
        <f>IFERROR(__xludf.DUMMYFUNCTION("""COMPUTED_VALUE"""),"Ester Silva de Magalhães - Graduação em Licenciatura em Música")</f>
        <v>Ester Silva de Magalhães - Graduação em Licenciatura em Música</v>
      </c>
    </row>
    <row r="5166">
      <c r="A5166" s="390" t="str">
        <f>IFERROR(__xludf.DUMMYFUNCTION("""COMPUTED_VALUE"""),"Simone dos Santos Araújo - #SLUPI - SEGUNDA LICENCIATURA EM LETRAS – PORTUGUÊS E INGLÊS")</f>
        <v>Simone dos Santos Araújo - #SLUPI - SEGUNDA LICENCIATURA EM LETRAS – PORTUGUÊS E INGLÊS</v>
      </c>
    </row>
    <row r="5167">
      <c r="A5167" s="390" t="str">
        <f>IFERROR(__xludf.DUMMYFUNCTION("""COMPUTED_VALUE"""),"Simone dos Santos Araújo - #SLLPI- Segunda Licenciatura em Letras-Português/Inglês")</f>
        <v>Simone dos Santos Araújo - #SLLPI- Segunda Licenciatura em Letras-Português/Inglês</v>
      </c>
    </row>
    <row r="5168">
      <c r="A5168" s="390" t="str">
        <f>IFERROR(__xludf.DUMMYFUNCTION("""COMPUTED_VALUE"""),"GESSÉ BARBOSA SAMPAIO - #SLMF - Segunda Licenciatura em Música 1320Horas")</f>
        <v>GESSÉ BARBOSA SAMPAIO - #SLMF - Segunda Licenciatura em Música 1320Horas</v>
      </c>
    </row>
    <row r="5169">
      <c r="A5169" s="390" t="str">
        <f>IFERROR(__xludf.DUMMYFUNCTION("""COMPUTED_VALUE"""),"Rafael Fernandes Ferreira - #FPUEF - Formação Pedagógica em Educação Física - 1200 Horas")</f>
        <v>Rafael Fernandes Ferreira - #FPUEF - Formação Pedagógica em Educação Física - 1200 Horas</v>
      </c>
    </row>
    <row r="5170">
      <c r="A5170" s="390" t="str">
        <f>IFERROR(__xludf.DUMMYFUNCTION("""COMPUTED_VALUE"""),"Valdenice Alves Batista - #SLUP - SEGUNDA LICENCIATURA EM PEDAGOGIA")</f>
        <v>Valdenice Alves Batista - #SLUP - SEGUNDA LICENCIATURA EM PEDAGOGIA</v>
      </c>
    </row>
    <row r="5171">
      <c r="A5171" s="390" t="str">
        <f>IFERROR(__xludf.DUMMYFUNCTION("""COMPUTED_VALUE"""),"Adriana Batista Mauro Silva - #SLUP - SEGUNDA LICENCIATURA EM PEDAGOGIA")</f>
        <v>Adriana Batista Mauro Silva - #SLUP - SEGUNDA LICENCIATURA EM PEDAGOGIA</v>
      </c>
    </row>
    <row r="5172">
      <c r="A5172" s="390" t="str">
        <f>IFERROR(__xludf.DUMMYFUNCTION("""COMPUTED_VALUE"""),"Eduardo Francisco Sobral da Silva - #SLUH- Segunda Licenciatura em História")</f>
        <v>Eduardo Francisco Sobral da Silva - #SLUH- Segunda Licenciatura em História</v>
      </c>
    </row>
    <row r="5173">
      <c r="A5173" s="390" t="str">
        <f>IFERROR(__xludf.DUMMYFUNCTION("""COMPUTED_VALUE"""),"Eduardo Francisco Sobral da Silva - Pós-Graduação em Docência do Ensino Superior e Tutoria de Educação a Distância")</f>
        <v>Eduardo Francisco Sobral da Silva - Pós-Graduação em Docência do Ensino Superior e Tutoria de Educação a Distância</v>
      </c>
    </row>
    <row r="5174">
      <c r="A5174" s="390" t="str">
        <f>IFERROR(__xludf.DUMMYFUNCTION("""COMPUTED_VALUE"""),"Eduardo Francisco Sobral da Silva - Pós-Graduação em Docência do Ensino Superior e Tutoria de Educação a Distância")</f>
        <v>Eduardo Francisco Sobral da Silva - Pós-Graduação em Docência do Ensino Superior e Tutoria de Educação a Distância</v>
      </c>
    </row>
    <row r="5175">
      <c r="A5175" s="390" t="str">
        <f>IFERROR(__xludf.DUMMYFUNCTION("""COMPUTED_VALUE"""),"Priscilla da Silva Dantas - Formação Livre em Sexologia")</f>
        <v>Priscilla da Silva Dantas - Formação Livre em Sexologia</v>
      </c>
    </row>
    <row r="5176">
      <c r="A5176" s="390" t="str">
        <f>IFERROR(__xludf.DUMMYFUNCTION("""COMPUTED_VALUE"""),"Karla Cristina dos Santos Klotz - #SLUPI - SEGUNDA LICENCIATURA EM LETRAS – PORTUGUÊS E INGLÊS")</f>
        <v>Karla Cristina dos Santos Klotz - #SLUPI - SEGUNDA LICENCIATURA EM LETRAS – PORTUGUÊS E INGLÊS</v>
      </c>
    </row>
    <row r="5177">
      <c r="A5177" s="390" t="str">
        <f>IFERROR(__xludf.DUMMYFUNCTION("""COMPUTED_VALUE"""),"Karla Cristina dos Santos Klotz - Pós-Graduação em Ensino de Língua Inglesa")</f>
        <v>Karla Cristina dos Santos Klotz - Pós-Graduação em Ensino de Língua Inglesa</v>
      </c>
    </row>
    <row r="5178">
      <c r="A5178" s="390" t="str">
        <f>IFERROR(__xludf.DUMMYFUNCTION("""COMPUTED_VALUE"""),"Crispim Souza Santos - #SLMF - Segunda Licenciatura em Música 1320Horas")</f>
        <v>Crispim Souza Santos - #SLMF - Segunda Licenciatura em Música 1320Horas</v>
      </c>
    </row>
    <row r="5179">
      <c r="A5179" s="390" t="str">
        <f>IFERROR(__xludf.DUMMYFUNCTION("""COMPUTED_VALUE"""),"Crispim Souza Santos - Pós-Graduação em Educação Musical")</f>
        <v>Crispim Souza Santos - Pós-Graduação em Educação Musical</v>
      </c>
    </row>
    <row r="5180">
      <c r="A5180" s="390" t="str">
        <f>IFERROR(__xludf.DUMMYFUNCTION("""COMPUTED_VALUE"""),"Mônica dos Santos Soares - #SLUP - SEGUNDA LICENCIATURA EM PEDAGOGIA")</f>
        <v>Mônica dos Santos Soares - #SLUP - SEGUNDA LICENCIATURA EM PEDAGOGIA</v>
      </c>
    </row>
    <row r="5181">
      <c r="A5181" s="390" t="str">
        <f>IFERROR(__xludf.DUMMYFUNCTION("""COMPUTED_VALUE"""),"Cristiane Alves de Araújo - Pós-Graduação em Psicanálise")</f>
        <v>Cristiane Alves de Araújo - Pós-Graduação em Psicanálise</v>
      </c>
    </row>
    <row r="5182">
      <c r="A5182" s="390" t="str">
        <f>IFERROR(__xludf.DUMMYFUNCTION("""COMPUTED_VALUE"""),"Luzia Justina da Silva - Pós-Graduação em Neuropsicopedagogia")</f>
        <v>Luzia Justina da Silva - Pós-Graduação em Neuropsicopedagogia</v>
      </c>
    </row>
    <row r="5183">
      <c r="A5183" s="390" t="str">
        <f>IFERROR(__xludf.DUMMYFUNCTION("""COMPUTED_VALUE"""),"Luzia Justina da Silva - Formação Livre em Psicanálise-2022")</f>
        <v>Luzia Justina da Silva - Formação Livre em Psicanálise-2022</v>
      </c>
    </row>
    <row r="5184">
      <c r="A5184" s="390" t="str">
        <f>IFERROR(__xludf.DUMMYFUNCTION("""COMPUTED_VALUE"""),"Elisabete Barnabé - #SLMF - Segunda Licenciatura em Música 1320Horas")</f>
        <v>Elisabete Barnabé - #SLMF - Segunda Licenciatura em Música 1320Horas</v>
      </c>
    </row>
    <row r="5185">
      <c r="A5185" s="390" t="str">
        <f>IFERROR(__xludf.DUMMYFUNCTION("""COMPUTED_VALUE"""),"Márcia Tereza da Silva Machado - Formação Livre em Psicanálise-2022")</f>
        <v>Márcia Tereza da Silva Machado - Formação Livre em Psicanálise-2022</v>
      </c>
    </row>
    <row r="5186">
      <c r="A5186" s="390" t="str">
        <f>IFERROR(__xludf.DUMMYFUNCTION("""COMPUTED_VALUE"""),"Ana Maria Pessoa Coelho - #SLPT- Segunda Licenciatura em Pedagogia")</f>
        <v>Ana Maria Pessoa Coelho - #SLPT- Segunda Licenciatura em Pedagogia</v>
      </c>
    </row>
    <row r="5187">
      <c r="A5187" s="390" t="str">
        <f>IFERROR(__xludf.DUMMYFUNCTION("""COMPUTED_VALUE"""),"Ana Maria Pessoa Coelho - #SLAV+1 - Segunda Licenciatura em Artes Visuais 1000 Horas")</f>
        <v>Ana Maria Pessoa Coelho - #SLAV+1 - Segunda Licenciatura em Artes Visuais 1000 Horas</v>
      </c>
    </row>
    <row r="5188">
      <c r="A5188" s="390" t="str">
        <f>IFERROR(__xludf.DUMMYFUNCTION("""COMPUTED_VALUE"""),"Cristiane Luciano de Almeida - Formação Livre em Psicanálise-2022")</f>
        <v>Cristiane Luciano de Almeida - Formação Livre em Psicanálise-2022</v>
      </c>
    </row>
    <row r="5189">
      <c r="A5189" s="390" t="str">
        <f>IFERROR(__xludf.DUMMYFUNCTION("""COMPUTED_VALUE"""),"Cintia Paulino Sales - #SLUP - SEGUNDA LICENCIATURA EM PEDAGOGIA")</f>
        <v>Cintia Paulino Sales - #SLUP - SEGUNDA LICENCIATURA EM PEDAGOGIA</v>
      </c>
    </row>
    <row r="5190">
      <c r="A5190" s="390" t="str">
        <f>IFERROR(__xludf.DUMMYFUNCTION("""COMPUTED_VALUE"""),"Julia Christina Silva dos Santos - #FPULPI- Formação Pedagógica em Letras – Português e Inglês")</f>
        <v>Julia Christina Silva dos Santos - #FPULPI- Formação Pedagógica em Letras – Português e Inglês</v>
      </c>
    </row>
    <row r="5191">
      <c r="A5191" s="390" t="str">
        <f>IFERROR(__xludf.DUMMYFUNCTION("""COMPUTED_VALUE"""),"Alexandre Silva Nogueira - #FPUM Formação Pedagógica em Matemática")</f>
        <v>Alexandre Silva Nogueira - #FPUM Formação Pedagógica em Matemática</v>
      </c>
    </row>
    <row r="5192">
      <c r="A5192" s="390" t="str">
        <f>IFERROR(__xludf.DUMMYFUNCTION("""COMPUTED_VALUE"""),"Marli Lúcia Calixto - #SLUP - SEGUNDA LICENCIATURA EM PEDAGOGIA")</f>
        <v>Marli Lúcia Calixto - #SLUP - SEGUNDA LICENCIATURA EM PEDAGOGIA</v>
      </c>
    </row>
    <row r="5193">
      <c r="A5193" s="390" t="str">
        <f>IFERROR(__xludf.DUMMYFUNCTION("""COMPUTED_VALUE"""),"Marli Lúcia Calixto - Pós-Graduação em Coordenação e Orientação Escolar")</f>
        <v>Marli Lúcia Calixto - Pós-Graduação em Coordenação e Orientação Escolar</v>
      </c>
    </row>
    <row r="5194">
      <c r="A5194" s="390" t="str">
        <f>IFERROR(__xludf.DUMMYFUNCTION("""COMPUTED_VALUE"""),"José Arnaud Damasceno Vieira - #SLUEF - Segunda Licenciatura em Educação Física")</f>
        <v>José Arnaud Damasceno Vieira - #SLUEF - Segunda Licenciatura em Educação Física</v>
      </c>
    </row>
    <row r="5195">
      <c r="A5195" s="390" t="str">
        <f>IFERROR(__xludf.DUMMYFUNCTION("""COMPUTED_VALUE"""),"Mariangela Benedita de Oliveira - #SLUP - SEGUNDA LICENCIATURA EM PEDAGOGIA")</f>
        <v>Mariangela Benedita de Oliveira - #SLUP - SEGUNDA LICENCIATURA EM PEDAGOGIA</v>
      </c>
    </row>
    <row r="5196">
      <c r="A5196" s="390" t="str">
        <f>IFERROR(__xludf.DUMMYFUNCTION("""COMPUTED_VALUE"""),"Josélia Fernandes Da Silva Oliveira - #SLMF - Segunda Licenciatura em Música 1320Horas")</f>
        <v>Josélia Fernandes Da Silva Oliveira - #SLMF - Segunda Licenciatura em Música 1320Horas</v>
      </c>
    </row>
    <row r="5197">
      <c r="A5197" s="390" t="str">
        <f>IFERROR(__xludf.DUMMYFUNCTION("""COMPUTED_VALUE"""),"Lilian Alexandre Santiago - Formação Livre em Psicanálise-2022")</f>
        <v>Lilian Alexandre Santiago - Formação Livre em Psicanálise-2022</v>
      </c>
    </row>
    <row r="5198">
      <c r="A5198" s="390" t="str">
        <f>IFERROR(__xludf.DUMMYFUNCTION("""COMPUTED_VALUE"""),"Jeneffer Mayara da Luz - Pós-Graduação em Sexologia")</f>
        <v>Jeneffer Mayara da Luz - Pós-Graduação em Sexologia</v>
      </c>
    </row>
    <row r="5199">
      <c r="A5199" s="390" t="str">
        <f>IFERROR(__xludf.DUMMYFUNCTION("""COMPUTED_VALUE"""),"Carliane Maria da Silva - #FPUP-FORMAÇÃO PEDAGÓGICA EM PEDAGOGIA- U")</f>
        <v>Carliane Maria da Silva - #FPUP-FORMAÇÃO PEDAGÓGICA EM PEDAGOGIA- U</v>
      </c>
    </row>
    <row r="5200">
      <c r="A5200" s="390" t="str">
        <f>IFERROR(__xludf.DUMMYFUNCTION("""COMPUTED_VALUE"""),"Magdalva Aparecida Silva - #FPUP-FORMAÇÃO PEDAGÓGICA EM PEDAGOGIA- U")</f>
        <v>Magdalva Aparecida Silva - #FPUP-FORMAÇÃO PEDAGÓGICA EM PEDAGOGIA- U</v>
      </c>
    </row>
    <row r="5201">
      <c r="A5201" s="390" t="str">
        <f>IFERROR(__xludf.DUMMYFUNCTION("""COMPUTED_VALUE"""),"Edna Maria dos Santos marcelino - Formação Livre em Psicanálise-2022")</f>
        <v>Edna Maria dos Santos marcelino - Formação Livre em Psicanálise-2022</v>
      </c>
    </row>
    <row r="5202">
      <c r="A5202" s="390" t="str">
        <f>IFERROR(__xludf.DUMMYFUNCTION("""COMPUTED_VALUE"""),"MARINALVA FARIA NOGUEIRA - RADIANTE - Pós-Graduação Alfabetização e Letramento")</f>
        <v>MARINALVA FARIA NOGUEIRA - RADIANTE - Pós-Graduação Alfabetização e Letramento</v>
      </c>
    </row>
    <row r="5203">
      <c r="A5203" s="390" t="str">
        <f>IFERROR(__xludf.DUMMYFUNCTION("""COMPUTED_VALUE"""),"MARINALVA FARIA NOGUEIRA - RADIANTE - Pós-Graduação em Autismo 1100 Horas")</f>
        <v>MARINALVA FARIA NOGUEIRA - RADIANTE - Pós-Graduação em Autismo 1100 Horas</v>
      </c>
    </row>
    <row r="5204">
      <c r="A5204" s="390" t="str">
        <f>IFERROR(__xludf.DUMMYFUNCTION("""COMPUTED_VALUE"""),"Jamili Elias - RADIANTE - Pós-Graduação em Arteterapia")</f>
        <v>Jamili Elias - RADIANTE - Pós-Graduação em Arteterapia</v>
      </c>
    </row>
    <row r="5205">
      <c r="A5205" s="390" t="str">
        <f>IFERROR(__xludf.DUMMYFUNCTION("""COMPUTED_VALUE"""),"Valdecir Ferreira da Cruz - #SLMF - Segunda Licenciatura em Música 1320Horas")</f>
        <v>Valdecir Ferreira da Cruz - #SLMF - Segunda Licenciatura em Música 1320Horas</v>
      </c>
    </row>
    <row r="5206">
      <c r="A5206" s="390" t="str">
        <f>IFERROR(__xludf.DUMMYFUNCTION("""COMPUTED_VALUE"""),"Silvia Aparecida de Lima - #FPP- Formação Pedagógica em Pedagogia R2")</f>
        <v>Silvia Aparecida de Lima - #FPP- Formação Pedagógica em Pedagogia R2</v>
      </c>
    </row>
    <row r="5207">
      <c r="A5207" s="390" t="str">
        <f>IFERROR(__xludf.DUMMYFUNCTION("""COMPUTED_VALUE"""),"Silvia Aparecida de Lima - Pós-Graduação em Neuropsicologia Clínica")</f>
        <v>Silvia Aparecida de Lima - Pós-Graduação em Neuropsicologia Clínica</v>
      </c>
    </row>
    <row r="5208">
      <c r="A5208" s="390" t="str">
        <f>IFERROR(__xludf.DUMMYFUNCTION("""COMPUTED_VALUE"""),"Marilaine Germano - Formação Livre Psicanálise")</f>
        <v>Marilaine Germano - Formação Livre Psicanálise</v>
      </c>
    </row>
    <row r="5209">
      <c r="A5209" s="390" t="str">
        <f>IFERROR(__xludf.DUMMYFUNCTION("""COMPUTED_VALUE"""),"Adriana de Araújo Costa Ferreira - Formação Livre Psicanálise")</f>
        <v>Adriana de Araújo Costa Ferreira - Formação Livre Psicanálise</v>
      </c>
    </row>
    <row r="5210">
      <c r="A5210" s="390" t="str">
        <f>IFERROR(__xludf.DUMMYFUNCTION("""COMPUTED_VALUE"""),"Jaqueline Balestra Vilas Boas do Couto - #SLUG - SEGUNDA LICENCIATURA EM GEOGRAFIA")</f>
        <v>Jaqueline Balestra Vilas Boas do Couto - #SLUG - SEGUNDA LICENCIATURA EM GEOGRAFIA</v>
      </c>
    </row>
    <row r="5211">
      <c r="A5211" s="390" t="str">
        <f>IFERROR(__xludf.DUMMYFUNCTION("""COMPUTED_VALUE"""),"Andrea Felix Ribeiro - #SLUEF - Segunda Licenciatura em Educação Física")</f>
        <v>Andrea Felix Ribeiro - #SLUEF - Segunda Licenciatura em Educação Física</v>
      </c>
    </row>
    <row r="5212">
      <c r="A5212" s="390" t="str">
        <f>IFERROR(__xludf.DUMMYFUNCTION("""COMPUTED_VALUE"""),"Andrea Felix Ribeiro - Pós-Graduação em TDAH – Transtorno do Déficit de Atenção e Hiperatividade")</f>
        <v>Andrea Felix Ribeiro - Pós-Graduação em TDAH – Transtorno do Déficit de Atenção e Hiperatividade</v>
      </c>
    </row>
    <row r="5213">
      <c r="A5213" s="390" t="str">
        <f>IFERROR(__xludf.DUMMYFUNCTION("""COMPUTED_VALUE"""),"Angelica Azaias dos Santos Pin - Formação Livre em Sexologia")</f>
        <v>Angelica Azaias dos Santos Pin - Formação Livre em Sexologia</v>
      </c>
    </row>
    <row r="5214">
      <c r="A5214" s="390" t="str">
        <f>IFERROR(__xludf.DUMMYFUNCTION("""COMPUTED_VALUE"""),"Ana Claudia Alves Lima - Formação Livre em Psicanálise-2022")</f>
        <v>Ana Claudia Alves Lima - Formação Livre em Psicanálise-2022</v>
      </c>
    </row>
    <row r="5215">
      <c r="A5215" s="390" t="str">
        <f>IFERROR(__xludf.DUMMYFUNCTION("""COMPUTED_VALUE"""),"Cristiane da Silva Martins - Pós-Graduação em Psicanálise")</f>
        <v>Cristiane da Silva Martins - Pós-Graduação em Psicanálise</v>
      </c>
    </row>
    <row r="5216">
      <c r="A5216" s="390" t="str">
        <f>IFERROR(__xludf.DUMMYFUNCTION("""COMPUTED_VALUE"""),"Paula Diniz Azevedo - NOVO-Pós-Graduação em Psicanálise 800 Horas")</f>
        <v>Paula Diniz Azevedo - NOVO-Pós-Graduação em Psicanálise 800 Horas</v>
      </c>
    </row>
    <row r="5217">
      <c r="A5217" s="390" t="str">
        <f>IFERROR(__xludf.DUMMYFUNCTION("""COMPUTED_VALUE"""),"Clerinéia Araldi - Pós-Graduação em Sexologia")</f>
        <v>Clerinéia Araldi - Pós-Graduação em Sexologia</v>
      </c>
    </row>
    <row r="5218">
      <c r="A5218" s="390" t="str">
        <f>IFERROR(__xludf.DUMMYFUNCTION("""COMPUTED_VALUE"""),"Roberta Morais Moura - Pós-Graduação em Alfabetização e Letramento e a Psicopedagogia")</f>
        <v>Roberta Morais Moura - Pós-Graduação em Alfabetização e Letramento e a Psicopedagogia</v>
      </c>
    </row>
    <row r="5219">
      <c r="A5219" s="390" t="str">
        <f>IFERROR(__xludf.DUMMYFUNCTION("""COMPUTED_VALUE"""),"Jefferson Henrique Honorato Dos Santos - FORMAÇÃO PEDAGÓGICA EM GEOGRAFIA- U")</f>
        <v>Jefferson Henrique Honorato Dos Santos - FORMAÇÃO PEDAGÓGICA EM GEOGRAFIA- U</v>
      </c>
    </row>
    <row r="5220">
      <c r="A5220" s="390" t="str">
        <f>IFERROR(__xludf.DUMMYFUNCTION("""COMPUTED_VALUE"""),"Adriano Maraucci Rea - FORMAÇÃO PEDAGÓGICA EM SOCIOLOGIA- U")</f>
        <v>Adriano Maraucci Rea - FORMAÇÃO PEDAGÓGICA EM SOCIOLOGIA- U</v>
      </c>
    </row>
    <row r="5221">
      <c r="A5221" s="390" t="str">
        <f>IFERROR(__xludf.DUMMYFUNCTION("""COMPUTED_VALUE"""),"Marcos Evangelista Silva - Pós-Graduação em Psicanálise")</f>
        <v>Marcos Evangelista Silva - Pós-Graduação em Psicanálise</v>
      </c>
    </row>
    <row r="5222">
      <c r="A5222" s="390" t="str">
        <f>IFERROR(__xludf.DUMMYFUNCTION("""COMPUTED_VALUE"""),"Cleber Claus Garcia Salvatico - #SLMF - Segunda Licenciatura em Música 1320Horas")</f>
        <v>Cleber Claus Garcia Salvatico - #SLMF - Segunda Licenciatura em Música 1320Horas</v>
      </c>
    </row>
    <row r="5223">
      <c r="A5223" s="390" t="str">
        <f>IFERROR(__xludf.DUMMYFUNCTION("""COMPUTED_VALUE"""),"Cleber Claus Garcia Salvatico - #SLMF- Segunda Licenciatura em Música 2022 880Horas")</f>
        <v>Cleber Claus Garcia Salvatico - #SLMF- Segunda Licenciatura em Música 2022 880Horas</v>
      </c>
    </row>
    <row r="5224">
      <c r="A5224" s="390" t="str">
        <f>IFERROR(__xludf.DUMMYFUNCTION("""COMPUTED_VALUE"""),"Rodrigo Ramiro Ferreira Pereira - #FPMF- Formação Pedagógica em Música 1200Horas")</f>
        <v>Rodrigo Ramiro Ferreira Pereira - #FPMF- Formação Pedagógica em Música 1200Horas</v>
      </c>
    </row>
    <row r="5225">
      <c r="A5225" s="390" t="str">
        <f>IFERROR(__xludf.DUMMYFUNCTION("""COMPUTED_VALUE"""),"Carolina de Almeida Ciriaco - Pós-Graduação em Neuropsicopedagogia Institucional, Clínica e Hospitalar 850h")</f>
        <v>Carolina de Almeida Ciriaco - Pós-Graduação em Neuropsicopedagogia Institucional, Clínica e Hospitalar 850h</v>
      </c>
    </row>
    <row r="5226">
      <c r="A5226" s="390" t="str">
        <f>IFERROR(__xludf.DUMMYFUNCTION("""COMPUTED_VALUE"""),"Luis Nazareno Palacios - #FPUP-FORMAÇÃO PEDAGÓGICA EM PEDAGOGIA- U")</f>
        <v>Luis Nazareno Palacios - #FPUP-FORMAÇÃO PEDAGÓGICA EM PEDAGOGIA- U</v>
      </c>
    </row>
    <row r="5227">
      <c r="A5227" s="390" t="str">
        <f>IFERROR(__xludf.DUMMYFUNCTION("""COMPUTED_VALUE"""),"Tiago Aparecido de Godoi Tomazi - Pós-Graduação em Ensino de Geografia")</f>
        <v>Tiago Aparecido de Godoi Tomazi - Pós-Graduação em Ensino de Geografia</v>
      </c>
    </row>
    <row r="5228">
      <c r="A5228" s="390" t="str">
        <f>IFERROR(__xludf.DUMMYFUNCTION("""COMPUTED_VALUE"""),"Lucas Jesus Alves - #FPMF- Formação Pedagógica em Música 1200Horas")</f>
        <v>Lucas Jesus Alves - #FPMF- Formação Pedagógica em Música 1200Horas</v>
      </c>
    </row>
    <row r="5229">
      <c r="A5229" s="390" t="str">
        <f>IFERROR(__xludf.DUMMYFUNCTION("""COMPUTED_VALUE"""),"Maria Carolina Oliveira Rocha Cerbino - #SLP22- Segunda Licenciatura em Pedagogia")</f>
        <v>Maria Carolina Oliveira Rocha Cerbino - #SLP22- Segunda Licenciatura em Pedagogia</v>
      </c>
    </row>
    <row r="5230">
      <c r="A5230" s="390" t="str">
        <f>IFERROR(__xludf.DUMMYFUNCTION("""COMPUTED_VALUE"""),"Shirley Vilas Boas - #SLPT- Segunda Licenciatura em Pedagogia")</f>
        <v>Shirley Vilas Boas - #SLPT- Segunda Licenciatura em Pedagogia</v>
      </c>
    </row>
    <row r="5231">
      <c r="A5231" s="390" t="str">
        <f>IFERROR(__xludf.DUMMYFUNCTION("""COMPUTED_VALUE"""),"Epaminondas Almeida Leite Júnior - #FPMF- Formação Pedagógica em Música 1200Horas")</f>
        <v>Epaminondas Almeida Leite Júnior - #FPMF- Formação Pedagógica em Música 1200Horas</v>
      </c>
    </row>
    <row r="5232">
      <c r="A5232" s="390" t="str">
        <f>IFERROR(__xludf.DUMMYFUNCTION("""COMPUTED_VALUE"""),"Alessandra Jussara Santos da Silva Oliveira - #FPUP-FORMAÇÃO PEDAGÓGICA EM PEDAGOGIA- U")</f>
        <v>Alessandra Jussara Santos da Silva Oliveira - #FPUP-FORMAÇÃO PEDAGÓGICA EM PEDAGOGIA- U</v>
      </c>
    </row>
    <row r="5233">
      <c r="A5233" s="390" t="str">
        <f>IFERROR(__xludf.DUMMYFUNCTION("""COMPUTED_VALUE"""),"Cristiane Aparecida Lopes Campos - Formação Livre em Psicanálise-2022")</f>
        <v>Cristiane Aparecida Lopes Campos - Formação Livre em Psicanálise-2022</v>
      </c>
    </row>
    <row r="5234">
      <c r="A5234" s="390" t="str">
        <f>IFERROR(__xludf.DUMMYFUNCTION("""COMPUTED_VALUE"""),"Letícia Pereira Peromingo - #FPULPI- Formação Pedagógica em Letras – Português e Inglês")</f>
        <v>Letícia Pereira Peromingo - #FPULPI- Formação Pedagógica em Letras – Português e Inglês</v>
      </c>
    </row>
    <row r="5235">
      <c r="A5235" s="390" t="str">
        <f>IFERROR(__xludf.DUMMYFUNCTION("""COMPUTED_VALUE"""),"Liliane Malaquias Fernandes - #SLUM - SEGUNDA LICENCIATURA EM MATEMÁTICA")</f>
        <v>Liliane Malaquias Fernandes - #SLUM - SEGUNDA LICENCIATURA EM MATEMÁTICA</v>
      </c>
    </row>
    <row r="5236">
      <c r="A5236" s="390" t="str">
        <f>IFERROR(__xludf.DUMMYFUNCTION("""COMPUTED_VALUE"""),"Ana Paula da Costa Ozorio - Formação Livre em Psicanálise-2022")</f>
        <v>Ana Paula da Costa Ozorio - Formação Livre em Psicanálise-2022</v>
      </c>
    </row>
    <row r="5237">
      <c r="A5237" s="390" t="str">
        <f>IFERROR(__xludf.DUMMYFUNCTION("""COMPUTED_VALUE"""),"Deivid Washington Módena Pardinho - #SLMF - Segunda Licenciatura em Música 1320Horas")</f>
        <v>Deivid Washington Módena Pardinho - #SLMF - Segunda Licenciatura em Música 1320Horas</v>
      </c>
    </row>
    <row r="5238">
      <c r="A5238" s="390" t="str">
        <f>IFERROR(__xludf.DUMMYFUNCTION("""COMPUTED_VALUE"""),"Elton Reis Mancuzo - #FPMF- Formação Pedagógica em Música 1200Horas")</f>
        <v>Elton Reis Mancuzo - #FPMF- Formação Pedagógica em Música 1200Horas</v>
      </c>
    </row>
    <row r="5239">
      <c r="A5239" s="390" t="str">
        <f>IFERROR(__xludf.DUMMYFUNCTION("""COMPUTED_VALUE"""),"Cristiane de Lazari Poli - #FPUP-FORMAÇÃO PEDAGÓGICA EM PEDAGOGIA- U")</f>
        <v>Cristiane de Lazari Poli - #FPUP-FORMAÇÃO PEDAGÓGICA EM PEDAGOGIA- U</v>
      </c>
    </row>
    <row r="5240">
      <c r="A5240" s="390" t="str">
        <f>IFERROR(__xludf.DUMMYFUNCTION("""COMPUTED_VALUE"""),"Antonia Regiane Barbosa Almeida - #SLUEE - SEGUNDA LICENCIATURA EM EDUCAÇÃO ESPECIAL")</f>
        <v>Antonia Regiane Barbosa Almeida - #SLUEE - SEGUNDA LICENCIATURA EM EDUCAÇÃO ESPECIAL</v>
      </c>
    </row>
    <row r="5241">
      <c r="A5241" s="390" t="str">
        <f>IFERROR(__xludf.DUMMYFUNCTION("""COMPUTED_VALUE"""),"Jacqueline Hedwiges Santos de Azevedo - Pós-Graduação em Psicanálise")</f>
        <v>Jacqueline Hedwiges Santos de Azevedo - Pós-Graduação em Psicanálise</v>
      </c>
    </row>
    <row r="5242">
      <c r="A5242" s="390" t="str">
        <f>IFERROR(__xludf.DUMMYFUNCTION("""COMPUTED_VALUE"""),"Júlio César Ferreira Lima - #FPUEF - Formação Pedagógica em Educação Física - 1200 Horas")</f>
        <v>Júlio César Ferreira Lima - #FPUEF - Formação Pedagógica em Educação Física - 1200 Horas</v>
      </c>
    </row>
    <row r="5243">
      <c r="A5243" s="390" t="str">
        <f>IFERROR(__xludf.DUMMYFUNCTION("""COMPUTED_VALUE"""),"Júlio César Ferreira Lima - Pós-Graduação em Educação Física Escolar")</f>
        <v>Júlio César Ferreira Lima - Pós-Graduação em Educação Física Escolar</v>
      </c>
    </row>
    <row r="5244">
      <c r="A5244" s="390" t="str">
        <f>IFERROR(__xludf.DUMMYFUNCTION("""COMPUTED_VALUE"""),"Mauro Fogaça Vieira - Pós-Graduação em Psicanálise")</f>
        <v>Mauro Fogaça Vieira - Pós-Graduação em Psicanálise</v>
      </c>
    </row>
    <row r="5245">
      <c r="A5245" s="390" t="str">
        <f>IFERROR(__xludf.DUMMYFUNCTION("""COMPUTED_VALUE"""),"Gilmar Rodrigues - Pós-Graduação em Neuropsicanálise Clínica")</f>
        <v>Gilmar Rodrigues - Pós-Graduação em Neuropsicanálise Clínica</v>
      </c>
    </row>
    <row r="5246">
      <c r="A5246" s="390" t="str">
        <f>IFERROR(__xludf.DUMMYFUNCTION("""COMPUTED_VALUE"""),"Gilmar Rodrigues - Pós-Graduação em Psicanálise")</f>
        <v>Gilmar Rodrigues - Pós-Graduação em Psicanálise</v>
      </c>
    </row>
    <row r="5247">
      <c r="A5247" s="390" t="str">
        <f>IFERROR(__xludf.DUMMYFUNCTION("""COMPUTED_VALUE"""),"GEDIELSON PINTO DA SILVA - Pós-Graduação em MBA Finanças Corporativas e Controladoria")</f>
        <v>GEDIELSON PINTO DA SILVA - Pós-Graduação em MBA Finanças Corporativas e Controladoria</v>
      </c>
    </row>
    <row r="5248">
      <c r="A5248" s="390" t="str">
        <f>IFERROR(__xludf.DUMMYFUNCTION("""COMPUTED_VALUE"""),"Luciana Fernandes Lopes - Pós-Graduação em Sexologia")</f>
        <v>Luciana Fernandes Lopes - Pós-Graduação em Sexologia</v>
      </c>
    </row>
    <row r="5249">
      <c r="A5249" s="390" t="str">
        <f>IFERROR(__xludf.DUMMYFUNCTION("""COMPUTED_VALUE"""),"Berenice de Castro Hervulano Silva - Pós-Graduação em História da Arte-2022")</f>
        <v>Berenice de Castro Hervulano Silva - Pós-Graduação em História da Arte-2022</v>
      </c>
    </row>
    <row r="5250">
      <c r="A5250" s="390" t="str">
        <f>IFERROR(__xludf.DUMMYFUNCTION("""COMPUTED_VALUE"""),"Irleyde Brito Alencar - Pós-Graduação em Psicanálise 2/2023")</f>
        <v>Irleyde Brito Alencar - Pós-Graduação em Psicanálise 2/2023</v>
      </c>
    </row>
    <row r="5251">
      <c r="A5251" s="390" t="str">
        <f>IFERROR(__xludf.DUMMYFUNCTION("""COMPUTED_VALUE"""),"Flavio Roberto Caetano - NOVO-Pós-Graduação em Psicanálise 800 Horas")</f>
        <v>Flavio Roberto Caetano - NOVO-Pós-Graduação em Psicanálise 800 Horas</v>
      </c>
    </row>
    <row r="5252">
      <c r="A5252" s="390" t="str">
        <f>IFERROR(__xludf.DUMMYFUNCTION("""COMPUTED_VALUE"""),"Maria Aparecida dos santos Lossávaro - Pós-Graduação em Neuropsicopedagogia Institucional, Clínica e Hospitalar 850h")</f>
        <v>Maria Aparecida dos santos Lossávaro - Pós-Graduação em Neuropsicopedagogia Institucional, Clínica e Hospitalar 850h</v>
      </c>
    </row>
    <row r="5253">
      <c r="A5253" s="390" t="str">
        <f>IFERROR(__xludf.DUMMYFUNCTION("""COMPUTED_VALUE"""),"Carolina Francisca Buss Barua - #FPUP-FORMAÇÃO PEDAGÓGICA EM PEDAGOGIA- U")</f>
        <v>Carolina Francisca Buss Barua - #FPUP-FORMAÇÃO PEDAGÓGICA EM PEDAGOGIA- U</v>
      </c>
    </row>
    <row r="5254">
      <c r="A5254" s="390" t="str">
        <f>IFERROR(__xludf.DUMMYFUNCTION("""COMPUTED_VALUE"""),"Carolina Francisca Buss Barua - FORMAÇÃO PEDAGÓGICA EM LETRAS – PORTUGUÊS E ESPANHOL- U")</f>
        <v>Carolina Francisca Buss Barua - FORMAÇÃO PEDAGÓGICA EM LETRAS – PORTUGUÊS E ESPANHOL- U</v>
      </c>
    </row>
    <row r="5255">
      <c r="A5255" s="390" t="str">
        <f>IFERROR(__xludf.DUMMYFUNCTION("""COMPUTED_VALUE"""),"Thiago Possidônio Pinto - #FPMF- Formação Pedagógica em Música 1200Horas")</f>
        <v>Thiago Possidônio Pinto - #FPMF- Formação Pedagógica em Música 1200Horas</v>
      </c>
    </row>
    <row r="5256">
      <c r="A5256" s="390" t="str">
        <f>IFERROR(__xludf.DUMMYFUNCTION("""COMPUTED_VALUE"""),"Thiago Possidônio Pinto - Pós-Graduação em Terapia em ABA- Análise do Comportamento Aplicada Clínica")</f>
        <v>Thiago Possidônio Pinto - Pós-Graduação em Terapia em ABA- Análise do Comportamento Aplicada Clínica</v>
      </c>
    </row>
    <row r="5257">
      <c r="A5257" s="390" t="str">
        <f>IFERROR(__xludf.DUMMYFUNCTION("""COMPUTED_VALUE"""),"Iuri Sousa do Ó - #FPUF- Formação Pedagógica em Filosofia")</f>
        <v>Iuri Sousa do Ó - #FPUF- Formação Pedagógica em Filosofia</v>
      </c>
    </row>
    <row r="5258">
      <c r="A5258" s="390" t="str">
        <f>IFERROR(__xludf.DUMMYFUNCTION("""COMPUTED_VALUE"""),"Ana Lucia Carvalho Pereira - #SLUP - SEGUNDA LICENCIATURA EM PEDAGOGIA")</f>
        <v>Ana Lucia Carvalho Pereira - #SLUP - SEGUNDA LICENCIATURA EM PEDAGOGIA</v>
      </c>
    </row>
    <row r="5259">
      <c r="A5259" s="390" t="str">
        <f>IFERROR(__xludf.DUMMYFUNCTION("""COMPUTED_VALUE"""),"Filipe Lopes de Oliveira - #FPMF- Formação Pedagógica em Música 1200Horas")</f>
        <v>Filipe Lopes de Oliveira - #FPMF- Formação Pedagógica em Música 1200Horas</v>
      </c>
    </row>
    <row r="5260">
      <c r="A5260" s="390" t="str">
        <f>IFERROR(__xludf.DUMMYFUNCTION("""COMPUTED_VALUE"""),"Fernanda Moraes Chaves - #SLMF - Segunda Licenciatura em Música 1320Horas")</f>
        <v>Fernanda Moraes Chaves - #SLMF - Segunda Licenciatura em Música 1320Horas</v>
      </c>
    </row>
    <row r="5261">
      <c r="A5261" s="390" t="str">
        <f>IFERROR(__xludf.DUMMYFUNCTION("""COMPUTED_VALUE"""),"Milton Cardoso de Oliveira Neto - Pós-Graduação em Educação Musical")</f>
        <v>Milton Cardoso de Oliveira Neto - Pós-Graduação em Educação Musical</v>
      </c>
    </row>
    <row r="5262">
      <c r="A5262" s="390" t="str">
        <f>IFERROR(__xludf.DUMMYFUNCTION("""COMPUTED_VALUE"""),"Adriano dos Santos Raimundo - #FPP- Formação Pedagógica em Pedagogia R2")</f>
        <v>Adriano dos Santos Raimundo - #FPP- Formação Pedagógica em Pedagogia R2</v>
      </c>
    </row>
    <row r="5263">
      <c r="A5263" s="390" t="str">
        <f>IFERROR(__xludf.DUMMYFUNCTION("""COMPUTED_VALUE"""),"Adriano dos Santos Raimundo - Pós-Graduação em Orientação Escolar")</f>
        <v>Adriano dos Santos Raimundo - Pós-Graduação em Orientação Escolar</v>
      </c>
    </row>
    <row r="5264">
      <c r="A5264" s="390" t="str">
        <f>IFERROR(__xludf.DUMMYFUNCTION("""COMPUTED_VALUE"""),"Francisca Judite Maia Chaves - Pós-Graduação em Neuropsicopedagogia Institucional, Clínica e Hospitalar 850h")</f>
        <v>Francisca Judite Maia Chaves - Pós-Graduação em Neuropsicopedagogia Institucional, Clínica e Hospitalar 850h</v>
      </c>
    </row>
    <row r="5265">
      <c r="A5265" s="390" t="str">
        <f>IFERROR(__xludf.DUMMYFUNCTION("""COMPUTED_VALUE"""),"Alexandre Castro Silva - #FPMF- Formação Pedagógica em Música 2022")</f>
        <v>Alexandre Castro Silva - #FPMF- Formação Pedagógica em Música 2022</v>
      </c>
    </row>
    <row r="5266">
      <c r="A5266" s="390" t="str">
        <f>IFERROR(__xludf.DUMMYFUNCTION("""COMPUTED_VALUE"""),"Luiz Henrique Mascioli - Pós-Graduação em Psicanálise")</f>
        <v>Luiz Henrique Mascioli - Pós-Graduação em Psicanálise</v>
      </c>
    </row>
    <row r="5267">
      <c r="A5267" s="390" t="str">
        <f>IFERROR(__xludf.DUMMYFUNCTION("""COMPUTED_VALUE"""),"Luiz Henrique Mascioli - NOVO-Pós-Graduação em Psicanálise 800 Horas")</f>
        <v>Luiz Henrique Mascioli - NOVO-Pós-Graduação em Psicanálise 800 Horas</v>
      </c>
    </row>
    <row r="5268">
      <c r="A5268" s="390" t="str">
        <f>IFERROR(__xludf.DUMMYFUNCTION("""COMPUTED_VALUE"""),"Roberto Carlos de Souza Silva - #SLMF- Segunda Licenciatura em Música 2022 880Horas")</f>
        <v>Roberto Carlos de Souza Silva - #SLMF- Segunda Licenciatura em Música 2022 880Horas</v>
      </c>
    </row>
    <row r="5269">
      <c r="A5269" s="390" t="str">
        <f>IFERROR(__xludf.DUMMYFUNCTION("""COMPUTED_VALUE"""),"Alexandra Aparecida Bauman de Andrade - Pós-Graduação em Psicanálise")</f>
        <v>Alexandra Aparecida Bauman de Andrade - Pós-Graduação em Psicanálise</v>
      </c>
    </row>
    <row r="5270">
      <c r="A5270" s="390" t="str">
        <f>IFERROR(__xludf.DUMMYFUNCTION("""COMPUTED_VALUE"""),"Cintia Carla Natale Purisco Alves - Pós-Graduação em Educação Especial e Inclusiva - 520Horas")</f>
        <v>Cintia Carla Natale Purisco Alves - Pós-Graduação em Educação Especial e Inclusiva - 520Horas</v>
      </c>
    </row>
    <row r="5271">
      <c r="A5271" s="390" t="str">
        <f>IFERROR(__xludf.DUMMYFUNCTION("""COMPUTED_VALUE"""),"Cintia Carla Natale Purisco Alves - FORMAÇÃO PEDAGÓGICA EM MATEMÁTICA - 2024")</f>
        <v>Cintia Carla Natale Purisco Alves - FORMAÇÃO PEDAGÓGICA EM MATEMÁTICA - 2024</v>
      </c>
    </row>
    <row r="5272">
      <c r="A5272" s="390" t="str">
        <f>IFERROR(__xludf.DUMMYFUNCTION("""COMPUTED_VALUE"""),"Cintia Carla Natale Purisco Alves - FORMAÇÃO PEDAGÓGICA EM HISTÓRIA - 2024")</f>
        <v>Cintia Carla Natale Purisco Alves - FORMAÇÃO PEDAGÓGICA EM HISTÓRIA - 2024</v>
      </c>
    </row>
    <row r="5273">
      <c r="A5273" s="390" t="str">
        <f>IFERROR(__xludf.DUMMYFUNCTION("""COMPUTED_VALUE"""),"Juliana Cristina da Silveira Arruda - Pós-Graduação em Sexologia")</f>
        <v>Juliana Cristina da Silveira Arruda - Pós-Graduação em Sexologia</v>
      </c>
    </row>
    <row r="5274">
      <c r="A5274" s="390" t="str">
        <f>IFERROR(__xludf.DUMMYFUNCTION("""COMPUTED_VALUE"""),"Ricardo Alves Ribeiro - Pós-Graduação em Engenharia Elétrica 570 Horas 01/23")</f>
        <v>Ricardo Alves Ribeiro - Pós-Graduação em Engenharia Elétrica 570 Horas 01/23</v>
      </c>
    </row>
    <row r="5275">
      <c r="A5275" s="390" t="str">
        <f>IFERROR(__xludf.DUMMYFUNCTION("""COMPUTED_VALUE"""),"Ricardo Alves Ribeiro - #FPM+ Formação Pedagógica em Matemática-1200Horas")</f>
        <v>Ricardo Alves Ribeiro - #FPM+ Formação Pedagógica em Matemática-1200Horas</v>
      </c>
    </row>
    <row r="5276">
      <c r="A5276" s="390" t="str">
        <f>IFERROR(__xludf.DUMMYFUNCTION("""COMPUTED_VALUE"""),"Eveline Maria da Conceição Sousa e Silva de Carvalho - Pós-Graduação em Psicanálise")</f>
        <v>Eveline Maria da Conceição Sousa e Silva de Carvalho - Pós-Graduação em Psicanálise</v>
      </c>
    </row>
    <row r="5277">
      <c r="A5277" s="390" t="str">
        <f>IFERROR(__xludf.DUMMYFUNCTION("""COMPUTED_VALUE"""),"João Batista Dalmacio Rodrigues - Pós-Graduação Biomedicina Estética 750Horas")</f>
        <v>João Batista Dalmacio Rodrigues - Pós-Graduação Biomedicina Estética 750Horas</v>
      </c>
    </row>
    <row r="5278">
      <c r="A5278" s="390" t="str">
        <f>IFERROR(__xludf.DUMMYFUNCTION("""COMPUTED_VALUE"""),"João Batista Dalmacio Rodrigues - Pós-Graduação em Análises Clínicas e Diagnóstico Laboratorial")</f>
        <v>João Batista Dalmacio Rodrigues - Pós-Graduação em Análises Clínicas e Diagnóstico Laboratorial</v>
      </c>
    </row>
    <row r="5279">
      <c r="A5279" s="390" t="str">
        <f>IFERROR(__xludf.DUMMYFUNCTION("""COMPUTED_VALUE"""),"André Oliveira Silva - #SLMF - Segunda Licenciatura em Música 1320Horas")</f>
        <v>André Oliveira Silva - #SLMF - Segunda Licenciatura em Música 1320Horas</v>
      </c>
    </row>
    <row r="5280">
      <c r="A5280" s="390" t="str">
        <f>IFERROR(__xludf.DUMMYFUNCTION("""COMPUTED_VALUE"""),"GILCENYR ARESTIDES ALVES - #SLPT- Segunda Licenciatura em Pedagogia")</f>
        <v>GILCENYR ARESTIDES ALVES - #SLPT- Segunda Licenciatura em Pedagogia</v>
      </c>
    </row>
    <row r="5281">
      <c r="A5281" s="390" t="str">
        <f>IFERROR(__xludf.DUMMYFUNCTION("""COMPUTED_VALUE"""),"Luana Carolina Alexandre Dantas - #FPUEF - Formação Pedagógica em Educação Física - 1200 Horas")</f>
        <v>Luana Carolina Alexandre Dantas - #FPUEF - Formação Pedagógica em Educação Física - 1200 Horas</v>
      </c>
    </row>
    <row r="5282">
      <c r="A5282" s="390" t="str">
        <f>IFERROR(__xludf.DUMMYFUNCTION("""COMPUTED_VALUE"""),"Edivaldo Nogueira de Souza - #FPUP-FORMAÇÃO PEDAGÓGICA EM PEDAGOGIA- U")</f>
        <v>Edivaldo Nogueira de Souza - #FPUP-FORMAÇÃO PEDAGÓGICA EM PEDAGOGIA- U</v>
      </c>
    </row>
    <row r="5283">
      <c r="A5283" s="390" t="str">
        <f>IFERROR(__xludf.DUMMYFUNCTION("""COMPUTED_VALUE"""),"Patrícia de Souza Pedroso Bregiatto - #SLUH- Segunda Licenciatura em História")</f>
        <v>Patrícia de Souza Pedroso Bregiatto - #SLUH- Segunda Licenciatura em História</v>
      </c>
    </row>
    <row r="5284">
      <c r="A5284" s="390" t="str">
        <f>IFERROR(__xludf.DUMMYFUNCTION("""COMPUTED_VALUE"""),"Sonia vitor da costa duarte - Formação Livre em Psicanálise-2022")</f>
        <v>Sonia vitor da costa duarte - Formação Livre em Psicanálise-2022</v>
      </c>
    </row>
    <row r="5285">
      <c r="A5285" s="390" t="str">
        <f>IFERROR(__xludf.DUMMYFUNCTION("""COMPUTED_VALUE"""),"Marden Soares de Oliveira - #FPMF- Formação Pedagógica em Música 1200Horas")</f>
        <v>Marden Soares de Oliveira - #FPMF- Formação Pedagógica em Música 1200Horas</v>
      </c>
    </row>
    <row r="5286">
      <c r="A5286" s="390" t="str">
        <f>IFERROR(__xludf.DUMMYFUNCTION("""COMPUTED_VALUE"""),"Mário Sérgio Mazzolli - #FPUM Formação Pedagógica em Matemática")</f>
        <v>Mário Sérgio Mazzolli - #FPUM Formação Pedagógica em Matemática</v>
      </c>
    </row>
    <row r="5287">
      <c r="A5287" s="390" t="str">
        <f>IFERROR(__xludf.DUMMYFUNCTION("""COMPUTED_VALUE"""),"Esdras Araújo Rodrigues - #FPUH- Formação Pedagógica em História")</f>
        <v>Esdras Araújo Rodrigues - #FPUH- Formação Pedagógica em História</v>
      </c>
    </row>
    <row r="5288">
      <c r="A5288" s="390" t="str">
        <f>IFERROR(__xludf.DUMMYFUNCTION("""COMPUTED_VALUE"""),"Everson Gomes de Oliveira - #FPMF- Formação Pedagógica em Música 1200Horas")</f>
        <v>Everson Gomes de Oliveira - #FPMF- Formação Pedagógica em Música 1200Horas</v>
      </c>
    </row>
    <row r="5289">
      <c r="A5289" s="390" t="str">
        <f>IFERROR(__xludf.DUMMYFUNCTION("""COMPUTED_VALUE"""),"Everson Gomes de Oliveira - PÓS-GRADUAÇÃO EM PSICANÁLISE - 2024")</f>
        <v>Everson Gomes de Oliveira - PÓS-GRADUAÇÃO EM PSICANÁLISE - 2024</v>
      </c>
    </row>
    <row r="5290">
      <c r="A5290" s="390" t="str">
        <f>IFERROR(__xludf.DUMMYFUNCTION("""COMPUTED_VALUE"""),"Tanisio Emanuel Neves de Aguiar - Pós-Graduação em Nutrição Esportiva")</f>
        <v>Tanisio Emanuel Neves de Aguiar - Pós-Graduação em Nutrição Esportiva</v>
      </c>
    </row>
    <row r="5291">
      <c r="A5291" s="390" t="str">
        <f>IFERROR(__xludf.DUMMYFUNCTION("""COMPUTED_VALUE"""),"Tanisio Emanuel Neves de Aguiar - #FPFEF- Formação Pedagógica em Educação Física 2022")</f>
        <v>Tanisio Emanuel Neves de Aguiar - #FPFEF- Formação Pedagógica em Educação Física 2022</v>
      </c>
    </row>
    <row r="5292">
      <c r="A5292" s="390" t="str">
        <f>IFERROR(__xludf.DUMMYFUNCTION("""COMPUTED_VALUE"""),"Taise Helena Soares da Costa - Pós-Graduação em Terapia em ABA- Análise do Comportamento Aplicada Clínica")</f>
        <v>Taise Helena Soares da Costa - Pós-Graduação em Terapia em ABA- Análise do Comportamento Aplicada Clínica</v>
      </c>
    </row>
    <row r="5293">
      <c r="A5293" s="390" t="str">
        <f>IFERROR(__xludf.DUMMYFUNCTION("""COMPUTED_VALUE"""),"PATRÍCIA DA SILVA NEVES - Pós-Graduação Alfabetização e Letramento")</f>
        <v>PATRÍCIA DA SILVA NEVES - Pós-Graduação Alfabetização e Letramento</v>
      </c>
    </row>
    <row r="5294">
      <c r="A5294" s="390" t="str">
        <f>IFERROR(__xludf.DUMMYFUNCTION("""COMPUTED_VALUE"""),"PATRÍCIA DA SILVA NEVES - Pós-graduação em Neuropsicologia")</f>
        <v>PATRÍCIA DA SILVA NEVES - Pós-graduação em Neuropsicologia</v>
      </c>
    </row>
    <row r="5295">
      <c r="A5295" s="390" t="str">
        <f>IFERROR(__xludf.DUMMYFUNCTION("""COMPUTED_VALUE"""),"Marcos biesek Vollbrecht - #SLMF - Segunda Licenciatura em Música 1320Horas")</f>
        <v>Marcos biesek Vollbrecht - #SLMF - Segunda Licenciatura em Música 1320Horas</v>
      </c>
    </row>
    <row r="5296">
      <c r="A5296" s="390" t="str">
        <f>IFERROR(__xludf.DUMMYFUNCTION("""COMPUTED_VALUE"""),"Luana Eugenio Santos - Pós-Graduação em Sexologia")</f>
        <v>Luana Eugenio Santos - Pós-Graduação em Sexologia</v>
      </c>
    </row>
    <row r="5297">
      <c r="A5297" s="390" t="str">
        <f>IFERROR(__xludf.DUMMYFUNCTION("""COMPUTED_VALUE"""),"Roberta Cassia da Silva de Faria - Pós-Graduação em Neuropsicopedagogia")</f>
        <v>Roberta Cassia da Silva de Faria - Pós-Graduação em Neuropsicopedagogia</v>
      </c>
    </row>
    <row r="5298">
      <c r="A5298" s="390" t="str">
        <f>IFERROR(__xludf.DUMMYFUNCTION("""COMPUTED_VALUE"""),"Roberta Cassia da Silva de Faria - Pós-Graduação Alfabetização e Letramento")</f>
        <v>Roberta Cassia da Silva de Faria - Pós-Graduação Alfabetização e Letramento</v>
      </c>
    </row>
    <row r="5299">
      <c r="A5299" s="390" t="str">
        <f>IFERROR(__xludf.DUMMYFUNCTION("""COMPUTED_VALUE"""),"Marcos André Gomes de Andrade - Formação Livre em Psicanálise-2022")</f>
        <v>Marcos André Gomes de Andrade - Formação Livre em Psicanálise-2022</v>
      </c>
    </row>
    <row r="5300">
      <c r="A5300" s="390" t="str">
        <f>IFERROR(__xludf.DUMMYFUNCTION("""COMPUTED_VALUE"""),"Karine Monteiro Silva Brasil Almeida - Pós-Graduação em Sexologia")</f>
        <v>Karine Monteiro Silva Brasil Almeida - Pós-Graduação em Sexologia</v>
      </c>
    </row>
    <row r="5301">
      <c r="A5301" s="390" t="str">
        <f>IFERROR(__xludf.DUMMYFUNCTION("""COMPUTED_VALUE"""),"Karine Monteiro Silva Brasil Almeida - Pós-graduação em Neuropsicologia")</f>
        <v>Karine Monteiro Silva Brasil Almeida - Pós-graduação em Neuropsicologia</v>
      </c>
    </row>
    <row r="5302">
      <c r="A5302" s="390" t="str">
        <f>IFERROR(__xludf.DUMMYFUNCTION("""COMPUTED_VALUE"""),"Misias Francisco Furtado - Pós-Graduação em Administração Pública")</f>
        <v>Misias Francisco Furtado - Pós-Graduação em Administração Pública</v>
      </c>
    </row>
    <row r="5303">
      <c r="A5303" s="390" t="str">
        <f>IFERROR(__xludf.DUMMYFUNCTION("""COMPUTED_VALUE"""),"Misias Francisco Furtado - Pós-Graduação MBA em Marketing Estratégico 600Horas")</f>
        <v>Misias Francisco Furtado - Pós-Graduação MBA em Marketing Estratégico 600Horas</v>
      </c>
    </row>
    <row r="5304">
      <c r="A5304" s="390" t="str">
        <f>IFERROR(__xludf.DUMMYFUNCTION("""COMPUTED_VALUE"""),"Marcio Angelotti Marques - #FPMF- Formação Pedagógica em Música 1200Horas")</f>
        <v>Marcio Angelotti Marques - #FPMF- Formação Pedagógica em Música 1200Horas</v>
      </c>
    </row>
    <row r="5305">
      <c r="A5305" s="390" t="str">
        <f>IFERROR(__xludf.DUMMYFUNCTION("""COMPUTED_VALUE"""),"Antonio Alberto Farias Gonçalves Parada - Formação Livre em Psicanálise-2022")</f>
        <v>Antonio Alberto Farias Gonçalves Parada - Formação Livre em Psicanálise-2022</v>
      </c>
    </row>
    <row r="5306">
      <c r="A5306" s="390" t="str">
        <f>IFERROR(__xludf.DUMMYFUNCTION("""COMPUTED_VALUE"""),"Sirlei Oliveira Terra Simões de Carvalho - #SLMF - Segunda Licenciatura em Música 1320Horas")</f>
        <v>Sirlei Oliveira Terra Simões de Carvalho - #SLMF - Segunda Licenciatura em Música 1320Horas</v>
      </c>
    </row>
    <row r="5307">
      <c r="A5307" s="390" t="str">
        <f>IFERROR(__xludf.DUMMYFUNCTION("""COMPUTED_VALUE"""),"Valéria de Freitas - #SLAA - Segunda Licenciatura em Artes Visuais")</f>
        <v>Valéria de Freitas - #SLAA - Segunda Licenciatura em Artes Visuais</v>
      </c>
    </row>
    <row r="5308">
      <c r="A5308" s="390" t="str">
        <f>IFERROR(__xludf.DUMMYFUNCTION("""COMPUTED_VALUE"""),"Valéria de Freitas - #SLUA- Segunda Licenciatura em Artes Visuais")</f>
        <v>Valéria de Freitas - #SLUA- Segunda Licenciatura em Artes Visuais</v>
      </c>
    </row>
    <row r="5309">
      <c r="A5309" s="390" t="str">
        <f>IFERROR(__xludf.DUMMYFUNCTION("""COMPUTED_VALUE"""),"Valéria de Freitas - SEGUNDA LICENCIATURA EM ARTES VISUAIS E+")</f>
        <v>Valéria de Freitas - SEGUNDA LICENCIATURA EM ARTES VISUAIS E+</v>
      </c>
    </row>
    <row r="5310">
      <c r="A5310" s="390" t="str">
        <f>IFERROR(__xludf.DUMMYFUNCTION("""COMPUTED_VALUE"""),"Monique Torres Manfron - Formação Livre em Sexologia")</f>
        <v>Monique Torres Manfron - Formação Livre em Sexologia</v>
      </c>
    </row>
    <row r="5311">
      <c r="A5311" s="390" t="str">
        <f>IFERROR(__xludf.DUMMYFUNCTION("""COMPUTED_VALUE"""),"Rodrigo Moreira Gomes - Pós-Graduação em Nutrição Clínica")</f>
        <v>Rodrigo Moreira Gomes - Pós-Graduação em Nutrição Clínica</v>
      </c>
    </row>
    <row r="5312">
      <c r="A5312" s="390" t="str">
        <f>IFERROR(__xludf.DUMMYFUNCTION("""COMPUTED_VALUE"""),"Rodrigo Moreira Gomes - Pós-Graduação em Nutrição Dietética")</f>
        <v>Rodrigo Moreira Gomes - Pós-Graduação em Nutrição Dietética</v>
      </c>
    </row>
    <row r="5313">
      <c r="A5313" s="390" t="str">
        <f>IFERROR(__xludf.DUMMYFUNCTION("""COMPUTED_VALUE"""),"LUCAS DE GODOY BUENO - #SLUA- Segunda Licenciatura em Artes Visuais")</f>
        <v>LUCAS DE GODOY BUENO - #SLUA- Segunda Licenciatura em Artes Visuais</v>
      </c>
    </row>
    <row r="5314">
      <c r="A5314" s="390" t="str">
        <f>IFERROR(__xludf.DUMMYFUNCTION("""COMPUTED_VALUE"""),"Samara de Oliveira Santos Pereira - #SLLPI- Segunda Licenciatura em Letras-Português/Inglês")</f>
        <v>Samara de Oliveira Santos Pereira - #SLLPI- Segunda Licenciatura em Letras-Português/Inglês</v>
      </c>
    </row>
    <row r="5315">
      <c r="A5315" s="390" t="str">
        <f>IFERROR(__xludf.DUMMYFUNCTION("""COMPUTED_VALUE"""),"Joana de Souza Tupan - #SLUC - SEGUNDA LICENCIATURA EM CIÊNCIAS DA RELIGIÃO- U")</f>
        <v>Joana de Souza Tupan - #SLUC - SEGUNDA LICENCIATURA EM CIÊNCIAS DA RELIGIÃO- U</v>
      </c>
    </row>
    <row r="5316">
      <c r="A5316" s="390" t="str">
        <f>IFERROR(__xludf.DUMMYFUNCTION("""COMPUTED_VALUE"""),"Joana de Souza Tupan - #SLUF- Segunda Licenciatura em Filosofia")</f>
        <v>Joana de Souza Tupan - #SLUF- Segunda Licenciatura em Filosofia</v>
      </c>
    </row>
    <row r="5317">
      <c r="A5317" s="390" t="str">
        <f>IFERROR(__xludf.DUMMYFUNCTION("""COMPUTED_VALUE"""),"Joana de Souza Tupan - #SLUS - Segunda Licenciatura em Sociologia")</f>
        <v>Joana de Souza Tupan - #SLUS - Segunda Licenciatura em Sociologia</v>
      </c>
    </row>
    <row r="5318">
      <c r="A5318" s="390" t="str">
        <f>IFERROR(__xludf.DUMMYFUNCTION("""COMPUTED_VALUE"""),"Moises Fernando dos Santos - #SLUG - SEGUNDA LICENCIATURA EM GEOGRAFIA")</f>
        <v>Moises Fernando dos Santos - #SLUG - SEGUNDA LICENCIATURA EM GEOGRAFIA</v>
      </c>
    </row>
    <row r="5319">
      <c r="A5319" s="390" t="str">
        <f>IFERROR(__xludf.DUMMYFUNCTION("""COMPUTED_VALUE"""),"Claiton Prinzo Borges - #SLUS - Segunda Licenciatura em Sociologia")</f>
        <v>Claiton Prinzo Borges - #SLUS - Segunda Licenciatura em Sociologia</v>
      </c>
    </row>
    <row r="5320">
      <c r="A5320" s="390" t="str">
        <f>IFERROR(__xludf.DUMMYFUNCTION("""COMPUTED_VALUE"""),"Lúcia Dias de Sousa - #SLSEA - Segunda Licenciatura Letras - Espanhol")</f>
        <v>Lúcia Dias de Sousa - #SLSEA - Segunda Licenciatura Letras - Espanhol</v>
      </c>
    </row>
    <row r="5321">
      <c r="A5321" s="390" t="str">
        <f>IFERROR(__xludf.DUMMYFUNCTION("""COMPUTED_VALUE"""),"Lúcia Dias de Sousa - #SLTLE1- Segunda Licenciatura em Letras - Espanhol")</f>
        <v>Lúcia Dias de Sousa - #SLTLE1- Segunda Licenciatura em Letras - Espanhol</v>
      </c>
    </row>
    <row r="5322">
      <c r="A5322" s="390" t="str">
        <f>IFERROR(__xludf.DUMMYFUNCTION("""COMPUTED_VALUE"""),"Tatiana Marcillino Felácio Oliveira - Pós-graduação em Neuropsicologia")</f>
        <v>Tatiana Marcillino Felácio Oliveira - Pós-graduação em Neuropsicologia</v>
      </c>
    </row>
    <row r="5323">
      <c r="A5323" s="390" t="str">
        <f>IFERROR(__xludf.DUMMYFUNCTION("""COMPUTED_VALUE"""),"Arlene Lúcia de Oliveira Tavares - #SLMF - Segunda Licenciatura em Música 1320Horas")</f>
        <v>Arlene Lúcia de Oliveira Tavares - #SLMF - Segunda Licenciatura em Música 1320Horas</v>
      </c>
    </row>
    <row r="5324">
      <c r="A5324" s="390" t="str">
        <f>IFERROR(__xludf.DUMMYFUNCTION("""COMPUTED_VALUE"""),"Eliane Maria da Silva Santos - Pós-Graduação em Psicologia Clínica")</f>
        <v>Eliane Maria da Silva Santos - Pós-Graduação em Psicologia Clínica</v>
      </c>
    </row>
    <row r="5325">
      <c r="A5325" s="390" t="str">
        <f>IFERROR(__xludf.DUMMYFUNCTION("""COMPUTED_VALUE"""),"Murilo José da Silva - #FPMF- Formação Pedagógica em Música 1200Horas")</f>
        <v>Murilo José da Silva - #FPMF- Formação Pedagógica em Música 1200Horas</v>
      </c>
    </row>
    <row r="5326">
      <c r="A5326" s="390" t="str">
        <f>IFERROR(__xludf.DUMMYFUNCTION("""COMPUTED_VALUE"""),"Luciano Silveira Marinho - #SLMF - Segunda Licenciatura em Música 1320Horas")</f>
        <v>Luciano Silveira Marinho - #SLMF - Segunda Licenciatura em Música 1320Horas</v>
      </c>
    </row>
    <row r="5327">
      <c r="A5327" s="390" t="str">
        <f>IFERROR(__xludf.DUMMYFUNCTION("""COMPUTED_VALUE"""),"Rafael Alves da Silva - #FPUEF - Formação Pedagógica em Educação Física - 1200 Horas")</f>
        <v>Rafael Alves da Silva - #FPUEF - Formação Pedagógica em Educação Física - 1200 Horas</v>
      </c>
    </row>
    <row r="5328">
      <c r="A5328" s="390" t="str">
        <f>IFERROR(__xludf.DUMMYFUNCTION("""COMPUTED_VALUE"""),"Elvis Elias de Meneses Figueira - Pós-Graduação em Psicanálise 2/2023")</f>
        <v>Elvis Elias de Meneses Figueira - Pós-Graduação em Psicanálise 2/2023</v>
      </c>
    </row>
    <row r="5329">
      <c r="A5329" s="390" t="str">
        <f>IFERROR(__xludf.DUMMYFUNCTION("""COMPUTED_VALUE"""),"Murilo José da Silva. - #SLMF - Segunda Licenciatura em Música 1320Horas")</f>
        <v>Murilo José da Silva. - #SLMF - Segunda Licenciatura em Música 1320Horas</v>
      </c>
    </row>
    <row r="5330">
      <c r="A5330" s="390" t="str">
        <f>IFERROR(__xludf.DUMMYFUNCTION("""COMPUTED_VALUE"""),"MILTON PEDRO DA SILVA FILHO - Pós-Graduação em Ensino da Língua Espanhola")</f>
        <v>MILTON PEDRO DA SILVA FILHO - Pós-Graduação em Ensino da Língua Espanhola</v>
      </c>
    </row>
    <row r="5331">
      <c r="A5331" s="390" t="str">
        <f>IFERROR(__xludf.DUMMYFUNCTION("""COMPUTED_VALUE"""),"Diego magela Magalhães - #SLEF- Segunda Licenciatura Educação Física 1200Horas")</f>
        <v>Diego magela Magalhães - #SLEF- Segunda Licenciatura Educação Física 1200Horas</v>
      </c>
    </row>
    <row r="5332">
      <c r="A5332" s="390" t="str">
        <f>IFERROR(__xludf.DUMMYFUNCTION("""COMPUTED_VALUE"""),"Renata sorah de sousa e silva - #SLPT- Segunda Licenciatura em Pedagogia")</f>
        <v>Renata sorah de sousa e silva - #SLPT- Segunda Licenciatura em Pedagogia</v>
      </c>
    </row>
    <row r="5333">
      <c r="A5333" s="390" t="str">
        <f>IFERROR(__xludf.DUMMYFUNCTION("""COMPUTED_VALUE"""),"Gabriela Rocha Araújo koppes - Formação Livre em Psicanálise-2022")</f>
        <v>Gabriela Rocha Araújo koppes - Formação Livre em Psicanálise-2022</v>
      </c>
    </row>
    <row r="5334">
      <c r="A5334" s="390" t="str">
        <f>IFERROR(__xludf.DUMMYFUNCTION("""COMPUTED_VALUE"""),"Maria Helena Aloise - #SLMF- Segunda Licenciatura Música 1200Horas 1")</f>
        <v>Maria Helena Aloise - #SLMF- Segunda Licenciatura Música 1200Horas 1</v>
      </c>
    </row>
    <row r="5335">
      <c r="A5335" s="390" t="str">
        <f>IFERROR(__xludf.DUMMYFUNCTION("""COMPUTED_VALUE"""),"Luciana Barbosa da Silva - Pós-graduação em Neuropsicologia")</f>
        <v>Luciana Barbosa da Silva - Pós-graduação em Neuropsicologia</v>
      </c>
    </row>
    <row r="5336">
      <c r="A5336" s="390" t="str">
        <f>IFERROR(__xludf.DUMMYFUNCTION("""COMPUTED_VALUE"""),"Rosineia Corrêa da Silva Aires - #SLUEE - SEGUNDA LICENCIATURA EM EDUCAÇÃO ESPECIAL")</f>
        <v>Rosineia Corrêa da Silva Aires - #SLUEE - SEGUNDA LICENCIATURA EM EDUCAÇÃO ESPECIAL</v>
      </c>
    </row>
    <row r="5337">
      <c r="A5337" s="390" t="str">
        <f>IFERROR(__xludf.DUMMYFUNCTION("""COMPUTED_VALUE"""),"Tathiânia Assunção Antunes Gomes - #FPUP-FORMAÇÃO PEDAGÓGICA EM PEDAGOGIA- U")</f>
        <v>Tathiânia Assunção Antunes Gomes - #FPUP-FORMAÇÃO PEDAGÓGICA EM PEDAGOGIA- U</v>
      </c>
    </row>
    <row r="5338">
      <c r="A5338" s="390" t="str">
        <f>IFERROR(__xludf.DUMMYFUNCTION("""COMPUTED_VALUE"""),"Aldeni Marques de Carvalho - Pós-Graduação em Psicanálise")</f>
        <v>Aldeni Marques de Carvalho - Pós-Graduação em Psicanálise</v>
      </c>
    </row>
    <row r="5339">
      <c r="A5339" s="390" t="str">
        <f>IFERROR(__xludf.DUMMYFUNCTION("""COMPUTED_VALUE"""),"Francisco de Assis Barcelos Marcolino - #FPMF- Formação Pedagógica em Música 1200Horas")</f>
        <v>Francisco de Assis Barcelos Marcolino - #FPMF- Formação Pedagógica em Música 1200Horas</v>
      </c>
    </row>
    <row r="5340">
      <c r="A5340" s="390" t="str">
        <f>IFERROR(__xludf.DUMMYFUNCTION("""COMPUTED_VALUE"""),"Alison Rosado Pinheiro - #SLUP - SEGUNDA LICENCIATURA EM PEDAGOGIA")</f>
        <v>Alison Rosado Pinheiro - #SLUP - SEGUNDA LICENCIATURA EM PEDAGOGIA</v>
      </c>
    </row>
    <row r="5341">
      <c r="A5341" s="390" t="str">
        <f>IFERROR(__xludf.DUMMYFUNCTION("""COMPUTED_VALUE"""),"Josefa dos Santos Costa - Formação Livre em Psicanálise-2022")</f>
        <v>Josefa dos Santos Costa - Formação Livre em Psicanálise-2022</v>
      </c>
    </row>
    <row r="5342">
      <c r="A5342" s="390" t="str">
        <f>IFERROR(__xludf.DUMMYFUNCTION("""COMPUTED_VALUE"""),"Cássia Gomes - #SLUP - SEGUNDA LICENCIATURA EM PEDAGOGIA")</f>
        <v>Cássia Gomes - #SLUP - SEGUNDA LICENCIATURA EM PEDAGOGIA</v>
      </c>
    </row>
    <row r="5343">
      <c r="A5343" s="390" t="str">
        <f>IFERROR(__xludf.DUMMYFUNCTION("""COMPUTED_VALUE"""),"Antônio Lopes de Castro Filho - #SLMF- Segunda Licenciatura em Música 2022 880Horas")</f>
        <v>Antônio Lopes de Castro Filho - #SLMF- Segunda Licenciatura em Música 2022 880Horas</v>
      </c>
    </row>
    <row r="5344">
      <c r="A5344" s="390" t="str">
        <f>IFERROR(__xludf.DUMMYFUNCTION("""COMPUTED_VALUE"""),"Marli de Souza paiol - Pós-Graduação em Psicanálise")</f>
        <v>Marli de Souza paiol - Pós-Graduação em Psicanálise</v>
      </c>
    </row>
    <row r="5345">
      <c r="A5345" s="390" t="str">
        <f>IFERROR(__xludf.DUMMYFUNCTION("""COMPUTED_VALUE"""),"Izailda Cândida Alves Pereira - #FPP- Formação Pedagógica em Pedagogia R2")</f>
        <v>Izailda Cândida Alves Pereira - #FPP- Formação Pedagógica em Pedagogia R2</v>
      </c>
    </row>
    <row r="5346">
      <c r="A5346" s="390" t="str">
        <f>IFERROR(__xludf.DUMMYFUNCTION("""COMPUTED_VALUE"""),"Suélen Vieira Carrara - #SLUEF - Segunda Licenciatura em Educação Física")</f>
        <v>Suélen Vieira Carrara - #SLUEF - Segunda Licenciatura em Educação Física</v>
      </c>
    </row>
    <row r="5347">
      <c r="A5347" s="390" t="str">
        <f>IFERROR(__xludf.DUMMYFUNCTION("""COMPUTED_VALUE"""),"Suélen Vieira Carrara - Pós-Graduação em Psicopedagogia Escolar")</f>
        <v>Suélen Vieira Carrara - Pós-Graduação em Psicopedagogia Escolar</v>
      </c>
    </row>
    <row r="5348">
      <c r="A5348" s="390" t="str">
        <f>IFERROR(__xludf.DUMMYFUNCTION("""COMPUTED_VALUE"""),"Fernando da Silva Barros - #SLULPL- Segunda Licenciatura em Letras – Língua Portuguesa e Libras")</f>
        <v>Fernando da Silva Barros - #SLULPL- Segunda Licenciatura em Letras – Língua Portuguesa e Libras</v>
      </c>
    </row>
    <row r="5349">
      <c r="A5349" s="390" t="str">
        <f>IFERROR(__xludf.DUMMYFUNCTION("""COMPUTED_VALUE"""),"Letícia Lopes Veloso de Melo - Pós-Graduação em Sexologia")</f>
        <v>Letícia Lopes Veloso de Melo - Pós-Graduação em Sexologia</v>
      </c>
    </row>
    <row r="5350">
      <c r="A5350" s="390" t="str">
        <f>IFERROR(__xludf.DUMMYFUNCTION("""COMPUTED_VALUE"""),"Letícia Lopes Veloso de Melo - NOVO-Pós-Graduação em Psicanálise 800 Horas")</f>
        <v>Letícia Lopes Veloso de Melo - NOVO-Pós-Graduação em Psicanálise 800 Horas</v>
      </c>
    </row>
    <row r="5351">
      <c r="A5351" s="390" t="str">
        <f>IFERROR(__xludf.DUMMYFUNCTION("""COMPUTED_VALUE"""),"Rafaella Moreira de Lima - #SLUEE - SEGUNDA LICENCIATURA EM EDUCAÇÃO ESPECIAL")</f>
        <v>Rafaella Moreira de Lima - #SLUEE - SEGUNDA LICENCIATURA EM EDUCAÇÃO ESPECIAL</v>
      </c>
    </row>
    <row r="5352">
      <c r="A5352" s="390" t="str">
        <f>IFERROR(__xludf.DUMMYFUNCTION("""COMPUTED_VALUE"""),"Rafaella Moreira de Lima - SEGUNDA LICENCIATURA PEDAGOGIA - 2024")</f>
        <v>Rafaella Moreira de Lima - SEGUNDA LICENCIATURA PEDAGOGIA - 2024</v>
      </c>
    </row>
    <row r="5353">
      <c r="A5353" s="390" t="str">
        <f>IFERROR(__xludf.DUMMYFUNCTION("""COMPUTED_VALUE"""),"Mercedes Gomes de Oliveira - Pós-Graduação em Compliance")</f>
        <v>Mercedes Gomes de Oliveira - Pós-Graduação em Compliance</v>
      </c>
    </row>
    <row r="5354">
      <c r="A5354" s="390" t="str">
        <f>IFERROR(__xludf.DUMMYFUNCTION("""COMPUTED_VALUE"""),"Renata da Silva Takada - Formação Livre em Psicanálise-2022")</f>
        <v>Renata da Silva Takada - Formação Livre em Psicanálise-2022</v>
      </c>
    </row>
    <row r="5355">
      <c r="A5355" s="390" t="str">
        <f>IFERROR(__xludf.DUMMYFUNCTION("""COMPUTED_VALUE"""),"Francisco James Barrozo da Silva - Pós-Graduação em Psicanálise")</f>
        <v>Francisco James Barrozo da Silva - Pós-Graduação em Psicanálise</v>
      </c>
    </row>
    <row r="5356">
      <c r="A5356" s="390" t="str">
        <f>IFERROR(__xludf.DUMMYFUNCTION("""COMPUTED_VALUE"""),"Juliana Sarmento Vilela de Barros - Pós-Graduação em Psicanálise")</f>
        <v>Juliana Sarmento Vilela de Barros - Pós-Graduação em Psicanálise</v>
      </c>
    </row>
    <row r="5357">
      <c r="A5357" s="390" t="str">
        <f>IFERROR(__xludf.DUMMYFUNCTION("""COMPUTED_VALUE"""),"Renata Moreira Goulart da Silveira Guerra - #SLMF - Segunda Licenciatura em Música 1320Horas")</f>
        <v>Renata Moreira Goulart da Silveira Guerra - #SLMF - Segunda Licenciatura em Música 1320Horas</v>
      </c>
    </row>
    <row r="5358">
      <c r="A5358" s="390" t="str">
        <f>IFERROR(__xludf.DUMMYFUNCTION("""COMPUTED_VALUE"""),"ISAIAS GOMES DE OLIVEIRA - Pós-Graduação em Psicanálise 2/2023")</f>
        <v>ISAIAS GOMES DE OLIVEIRA - Pós-Graduação em Psicanálise 2/2023</v>
      </c>
    </row>
    <row r="5359">
      <c r="A5359" s="390" t="str">
        <f>IFERROR(__xludf.DUMMYFUNCTION("""COMPUTED_VALUE"""),"Cláudia Melo do Carmo Vasques de Aguiar - Pós-Graduação em Psicologia Hospitalar")</f>
        <v>Cláudia Melo do Carmo Vasques de Aguiar - Pós-Graduação em Psicologia Hospitalar</v>
      </c>
    </row>
    <row r="5360">
      <c r="A5360" s="390" t="str">
        <f>IFERROR(__xludf.DUMMYFUNCTION("""COMPUTED_VALUE"""),"Cláudia Melo do Carmo Vasques de Aguiar - Pós-Graduação em Neuropsicologia Clínica")</f>
        <v>Cláudia Melo do Carmo Vasques de Aguiar - Pós-Graduação em Neuropsicologia Clínica</v>
      </c>
    </row>
    <row r="5361">
      <c r="A5361" s="390" t="str">
        <f>IFERROR(__xludf.DUMMYFUNCTION("""COMPUTED_VALUE"""),"Jair dos Santos Reis - #FPUEF - Formação Pedagógica em Educação Física - 1200 Horas")</f>
        <v>Jair dos Santos Reis - #FPUEF - Formação Pedagógica em Educação Física - 1200 Horas</v>
      </c>
    </row>
    <row r="5362">
      <c r="A5362" s="390" t="str">
        <f>IFERROR(__xludf.DUMMYFUNCTION("""COMPUTED_VALUE"""),"Valdice Querem Silva Freire - #FPUM Formação Pedagógica em Matemática")</f>
        <v>Valdice Querem Silva Freire - #FPUM Formação Pedagógica em Matemática</v>
      </c>
    </row>
    <row r="5363">
      <c r="A5363" s="390" t="str">
        <f>IFERROR(__xludf.DUMMYFUNCTION("""COMPUTED_VALUE"""),"Valdice Querem Silva Freire - Pós-Graduação em Avaliação Psicológica e Psicodiagnóstico")</f>
        <v>Valdice Querem Silva Freire - Pós-Graduação em Avaliação Psicológica e Psicodiagnóstico</v>
      </c>
    </row>
    <row r="5364">
      <c r="A5364" s="390" t="str">
        <f>IFERROR(__xludf.DUMMYFUNCTION("""COMPUTED_VALUE"""),"Valdice Querem Silva Freire - Pós-Graduação em Avaliação Psicológica e Psicodiagnóstico")</f>
        <v>Valdice Querem Silva Freire - Pós-Graduação em Avaliação Psicológica e Psicodiagnóstico</v>
      </c>
    </row>
    <row r="5365">
      <c r="A5365" s="390" t="str">
        <f>IFERROR(__xludf.DUMMYFUNCTION("""COMPUTED_VALUE"""),"Gerdmilson Soares dos Santos - #SLMF - Segunda Licenciatura em Música 1320Horas")</f>
        <v>Gerdmilson Soares dos Santos - #SLMF - Segunda Licenciatura em Música 1320Horas</v>
      </c>
    </row>
    <row r="5366">
      <c r="A5366" s="390" t="str">
        <f>IFERROR(__xludf.DUMMYFUNCTION("""COMPUTED_VALUE"""),"Milena Maimone Castilho - #SLMF - Segunda Licenciatura em Música 1320Horas")</f>
        <v>Milena Maimone Castilho - #SLMF - Segunda Licenciatura em Música 1320Horas</v>
      </c>
    </row>
    <row r="5367">
      <c r="A5367" s="390" t="str">
        <f>IFERROR(__xludf.DUMMYFUNCTION("""COMPUTED_VALUE"""),"Milena Maimone Castilho - Pós-graduação em Neuropsicologia")</f>
        <v>Milena Maimone Castilho - Pós-graduação em Neuropsicologia</v>
      </c>
    </row>
    <row r="5368">
      <c r="A5368" s="390" t="str">
        <f>IFERROR(__xludf.DUMMYFUNCTION("""COMPUTED_VALUE"""),"Milena Maimone Castilho - #SLMF- Segunda Licenciatura em Música 2022 880Horas")</f>
        <v>Milena Maimone Castilho - #SLMF- Segunda Licenciatura em Música 2022 880Horas</v>
      </c>
    </row>
    <row r="5369">
      <c r="A5369" s="390" t="str">
        <f>IFERROR(__xludf.DUMMYFUNCTION("""COMPUTED_VALUE"""),"Aline Sergio Simonato - Pós-Graduação em Libras")</f>
        <v>Aline Sergio Simonato - Pós-Graduação em Libras</v>
      </c>
    </row>
    <row r="5370">
      <c r="A5370" s="390" t="str">
        <f>IFERROR(__xludf.DUMMYFUNCTION("""COMPUTED_VALUE"""),"Aline Sergio Simonato - Pós-Graduação em Orientação Educacional")</f>
        <v>Aline Sergio Simonato - Pós-Graduação em Orientação Educacional</v>
      </c>
    </row>
    <row r="5371">
      <c r="A5371" s="390" t="str">
        <f>IFERROR(__xludf.DUMMYFUNCTION("""COMPUTED_VALUE"""),"Rosely Rodrigues da Conceição - #SLUP - SEGUNDA LICENCIATURA EM PEDAGOGIA")</f>
        <v>Rosely Rodrigues da Conceição - #SLUP - SEGUNDA LICENCIATURA EM PEDAGOGIA</v>
      </c>
    </row>
    <row r="5372">
      <c r="A5372" s="390" t="str">
        <f>IFERROR(__xludf.DUMMYFUNCTION("""COMPUTED_VALUE"""),"Jussandra Márcia de Souza - Pós-Graduação em Neuropsicopedagogia Institucional, Clínica e Hospitalar 850h")</f>
        <v>Jussandra Márcia de Souza - Pós-Graduação em Neuropsicopedagogia Institucional, Clínica e Hospitalar 850h</v>
      </c>
    </row>
    <row r="5373">
      <c r="A5373" s="390" t="str">
        <f>IFERROR(__xludf.DUMMYFUNCTION("""COMPUTED_VALUE"""),"Tamiris Freitas do Couto - #FPUP-FORMAÇÃO PEDAGÓGICA EM PEDAGOGIA- U")</f>
        <v>Tamiris Freitas do Couto - #FPUP-FORMAÇÃO PEDAGÓGICA EM PEDAGOGIA- U</v>
      </c>
    </row>
    <row r="5374">
      <c r="A5374" s="390" t="str">
        <f>IFERROR(__xludf.DUMMYFUNCTION("""COMPUTED_VALUE"""),"REGIANE MARIA DA CONCEIÇÃO - #FPUP-FORMAÇÃO PEDAGÓGICA EM PEDAGOGIA- U")</f>
        <v>REGIANE MARIA DA CONCEIÇÃO - #FPUP-FORMAÇÃO PEDAGÓGICA EM PEDAGOGIA- U</v>
      </c>
    </row>
    <row r="5375">
      <c r="A5375" s="390" t="str">
        <f>IFERROR(__xludf.DUMMYFUNCTION("""COMPUTED_VALUE"""),"Maria das Dores Fernandes de Almeida - Pós-Graduação em Terapia de Casais")</f>
        <v>Maria das Dores Fernandes de Almeida - Pós-Graduação em Terapia de Casais</v>
      </c>
    </row>
    <row r="5376">
      <c r="A5376" s="390" t="str">
        <f>IFERROR(__xludf.DUMMYFUNCTION("""COMPUTED_VALUE"""),"Adilson Nei Menezes da conceição - FORMAÇÃO PEDAGÓGICA EM GEOGRAFIA- U")</f>
        <v>Adilson Nei Menezes da conceição - FORMAÇÃO PEDAGÓGICA EM GEOGRAFIA- U</v>
      </c>
    </row>
    <row r="5377">
      <c r="A5377" s="390" t="str">
        <f>IFERROR(__xludf.DUMMYFUNCTION("""COMPUTED_VALUE"""),"Adilson Nei Menezes da conceição - Pós-Graduação em Ensino de Geografia")</f>
        <v>Adilson Nei Menezes da conceição - Pós-Graduação em Ensino de Geografia</v>
      </c>
    </row>
    <row r="5378">
      <c r="A5378" s="390" t="str">
        <f>IFERROR(__xludf.DUMMYFUNCTION("""COMPUTED_VALUE"""),"SIDICLEIDE AZEVEDO DA CUNHA - NOVO-Pós-Graduação em Psicanálise 800 Horas")</f>
        <v>SIDICLEIDE AZEVEDO DA CUNHA - NOVO-Pós-Graduação em Psicanálise 800 Horas</v>
      </c>
    </row>
    <row r="5379">
      <c r="A5379" s="390" t="str">
        <f>IFERROR(__xludf.DUMMYFUNCTION("""COMPUTED_VALUE"""),"Fernanda De Fátima Gomes De Carvalho - Pós-Graduação em Psicopedagogia Institucional e Clínica 710Horas")</f>
        <v>Fernanda De Fátima Gomes De Carvalho - Pós-Graduação em Psicopedagogia Institucional e Clínica 710Horas</v>
      </c>
    </row>
    <row r="5380">
      <c r="A5380" s="390" t="str">
        <f>IFERROR(__xludf.DUMMYFUNCTION("""COMPUTED_VALUE"""),"Cleverson Moreira Lino - #SLUP - SEGUNDA LICENCIATURA EM PEDAGOGIA")</f>
        <v>Cleverson Moreira Lino - #SLUP - SEGUNDA LICENCIATURA EM PEDAGOGIA</v>
      </c>
    </row>
    <row r="5381">
      <c r="A5381" s="390" t="str">
        <f>IFERROR(__xludf.DUMMYFUNCTION("""COMPUTED_VALUE"""),"everleyalmeida.ufs@hotmail.com - #FPUM Formação Pedagógica em Matemática")</f>
        <v>everleyalmeida.ufs@hotmail.com - #FPUM Formação Pedagógica em Matemática</v>
      </c>
    </row>
    <row r="5382">
      <c r="A5382" s="390" t="str">
        <f>IFERROR(__xludf.DUMMYFUNCTION("""COMPUTED_VALUE"""),"Paulo Cesar Pereira de Oliveira - Pós-Graduação em MBA em Gestão de Pessoas e Talentos")</f>
        <v>Paulo Cesar Pereira de Oliveira - Pós-Graduação em MBA em Gestão de Pessoas e Talentos</v>
      </c>
    </row>
    <row r="5383">
      <c r="A5383" s="390" t="str">
        <f>IFERROR(__xludf.DUMMYFUNCTION("""COMPUTED_VALUE"""),"Paulo Cesar Pereira de Oliveira - Pós-Graduação em Administração Pública")</f>
        <v>Paulo Cesar Pereira de Oliveira - Pós-Graduação em Administração Pública</v>
      </c>
    </row>
    <row r="5384">
      <c r="A5384" s="390" t="str">
        <f>IFERROR(__xludf.DUMMYFUNCTION("""COMPUTED_VALUE"""),"Thyara Pryscyla Lima Gomes - Novo-Pós-Graduação em Psicopedagogia Clínica, Institucional e Hospitalar-620 Horas(Jacad)")</f>
        <v>Thyara Pryscyla Lima Gomes - Novo-Pós-Graduação em Psicopedagogia Clínica, Institucional e Hospitalar-620 Horas(Jacad)</v>
      </c>
    </row>
    <row r="5385">
      <c r="A5385" s="390" t="str">
        <f>IFERROR(__xludf.DUMMYFUNCTION("""COMPUTED_VALUE"""),"Thayronne Rennon Lima Gomes - Pós-Graduação em Docência do Ensino Superior e Tutoria de Educação a Distância")</f>
        <v>Thayronne Rennon Lima Gomes - Pós-Graduação em Docência do Ensino Superior e Tutoria de Educação a Distância</v>
      </c>
    </row>
    <row r="5386">
      <c r="A5386" s="390" t="str">
        <f>IFERROR(__xludf.DUMMYFUNCTION("""COMPUTED_VALUE"""),"Thayronne Rennon Lima Gomes - Pós-Graduação Docência do Ensino Superior, Gestão e Tutoria EAD")</f>
        <v>Thayronne Rennon Lima Gomes - Pós-Graduação Docência do Ensino Superior, Gestão e Tutoria EAD</v>
      </c>
    </row>
    <row r="5387">
      <c r="A5387" s="390" t="str">
        <f>IFERROR(__xludf.DUMMYFUNCTION("""COMPUTED_VALUE"""),"Maria Valquelene Candido - Pós-Graduação em Libras")</f>
        <v>Maria Valquelene Candido - Pós-Graduação em Libras</v>
      </c>
    </row>
    <row r="5388">
      <c r="A5388" s="390" t="str">
        <f>IFERROR(__xludf.DUMMYFUNCTION("""COMPUTED_VALUE"""),"Maria Valquelene Candido - Formação pedagógica Letras - Português")</f>
        <v>Maria Valquelene Candido - Formação pedagógica Letras - Português</v>
      </c>
    </row>
    <row r="5389">
      <c r="A5389" s="390" t="str">
        <f>IFERROR(__xludf.DUMMYFUNCTION("""COMPUTED_VALUE"""),"Maria Valquelene Candido - #SLPA- Segunda Licenciatura em Pedagogia 01")</f>
        <v>Maria Valquelene Candido - #SLPA- Segunda Licenciatura em Pedagogia 01</v>
      </c>
    </row>
    <row r="5390">
      <c r="A5390" s="390" t="str">
        <f>IFERROR(__xludf.DUMMYFUNCTION("""COMPUTED_VALUE"""),"Jucilene de Souza Mateus. - #FPUP-FORMAÇÃO PEDAGÓGICA EM PEDAGOGIA- U")</f>
        <v>Jucilene de Souza Mateus. - #FPUP-FORMAÇÃO PEDAGÓGICA EM PEDAGOGIA- U</v>
      </c>
    </row>
    <row r="5391">
      <c r="A5391" s="390" t="str">
        <f>IFERROR(__xludf.DUMMYFUNCTION("""COMPUTED_VALUE"""),"Benedito Aparecido de Lima - #SLLET1 - SEGUNDA LICENCIATURA EM LETRAS-PORTUGUÊS/ESPANHOL")</f>
        <v>Benedito Aparecido de Lima - #SLLET1 - SEGUNDA LICENCIATURA EM LETRAS-PORTUGUÊS/ESPANHOL</v>
      </c>
    </row>
    <row r="5392">
      <c r="A5392" s="390" t="str">
        <f>IFERROR(__xludf.DUMMYFUNCTION("""COMPUTED_VALUE"""),"Daniel William Rocha Silva - #FPUEF - Formação Pedagógica em Educação Física - 1200 Horas")</f>
        <v>Daniel William Rocha Silva - #FPUEF - Formação Pedagógica em Educação Física - 1200 Horas</v>
      </c>
    </row>
    <row r="5393">
      <c r="A5393" s="390" t="str">
        <f>IFERROR(__xludf.DUMMYFUNCTION("""COMPUTED_VALUE"""),"Daniel William Rocha Silva - #FPFEF- Formação Pedagógica em Educação Física 2022")</f>
        <v>Daniel William Rocha Silva - #FPFEF- Formação Pedagógica em Educação Física 2022</v>
      </c>
    </row>
    <row r="5394">
      <c r="A5394" s="390" t="str">
        <f>IFERROR(__xludf.DUMMYFUNCTION("""COMPUTED_VALUE"""),"Claudia da Rocha Santos - Pós-Graduação em Psicanálise")</f>
        <v>Claudia da Rocha Santos - Pós-Graduação em Psicanálise</v>
      </c>
    </row>
    <row r="5395">
      <c r="A5395" s="390" t="str">
        <f>IFERROR(__xludf.DUMMYFUNCTION("""COMPUTED_VALUE"""),"Vera Lucia Fernandes de Paula - #SLPT- Segunda Licenciatura em Pedagogia")</f>
        <v>Vera Lucia Fernandes de Paula - #SLPT- Segunda Licenciatura em Pedagogia</v>
      </c>
    </row>
    <row r="5396">
      <c r="A5396" s="390" t="str">
        <f>IFERROR(__xludf.DUMMYFUNCTION("""COMPUTED_VALUE"""),"Vera Lucia Fernandes de Paula - #SLAV+ - Segunda Licenciatura em Artes Visuais - 1000 Horas")</f>
        <v>Vera Lucia Fernandes de Paula - #SLAV+ - Segunda Licenciatura em Artes Visuais - 1000 Horas</v>
      </c>
    </row>
    <row r="5397">
      <c r="A5397" s="390" t="str">
        <f>IFERROR(__xludf.DUMMYFUNCTION("""COMPUTED_VALUE"""),"Vera Lucia Fernandes de Paula - #SLAV+1 - Segunda Licenciatura em Artes Visuais 1000 Horas")</f>
        <v>Vera Lucia Fernandes de Paula - #SLAV+1 - Segunda Licenciatura em Artes Visuais 1000 Horas</v>
      </c>
    </row>
    <row r="5398">
      <c r="A5398" s="390" t="str">
        <f>IFERROR(__xludf.DUMMYFUNCTION("""COMPUTED_VALUE"""),"Cleusianna Aparecida Alves - #SLUP - SEGUNDA LICENCIATURA EM PEDAGOGIA")</f>
        <v>Cleusianna Aparecida Alves - #SLUP - SEGUNDA LICENCIATURA EM PEDAGOGIA</v>
      </c>
    </row>
    <row r="5399">
      <c r="A5399" s="390" t="str">
        <f>IFERROR(__xludf.DUMMYFUNCTION("""COMPUTED_VALUE"""),"Ediane de Sousa Lima - Pós-Graduação em Psicanálise")</f>
        <v>Ediane de Sousa Lima - Pós-Graduação em Psicanálise</v>
      </c>
    </row>
    <row r="5400">
      <c r="A5400" s="390" t="str">
        <f>IFERROR(__xludf.DUMMYFUNCTION("""COMPUTED_VALUE"""),"Ediane de Sousa Lima - Pós-Graduação em Gestão de Marketing Digital")</f>
        <v>Ediane de Sousa Lima - Pós-Graduação em Gestão de Marketing Digital</v>
      </c>
    </row>
    <row r="5401">
      <c r="A5401" s="390" t="str">
        <f>IFERROR(__xludf.DUMMYFUNCTION("""COMPUTED_VALUE"""),"Juliana Pereira - Pós-Graduação em Psicanálise 2/2023")</f>
        <v>Juliana Pereira - Pós-Graduação em Psicanálise 2/2023</v>
      </c>
    </row>
    <row r="5402">
      <c r="A5402" s="390" t="str">
        <f>IFERROR(__xludf.DUMMYFUNCTION("""COMPUTED_VALUE"""),"Domingos Sávio Lins Brandão - #SLMF - Segunda Licenciatura em Música 1320Horas")</f>
        <v>Domingos Sávio Lins Brandão - #SLMF - Segunda Licenciatura em Música 1320Horas</v>
      </c>
    </row>
    <row r="5403">
      <c r="A5403" s="390" t="str">
        <f>IFERROR(__xludf.DUMMYFUNCTION("""COMPUTED_VALUE"""),"Izabela Haase Lopes Teixeira - Pós-Graduação em Docência do Ensino Superior e Tutoria de Educação a Distância")</f>
        <v>Izabela Haase Lopes Teixeira - Pós-Graduação em Docência do Ensino Superior e Tutoria de Educação a Distância</v>
      </c>
    </row>
    <row r="5404">
      <c r="A5404" s="390" t="str">
        <f>IFERROR(__xludf.DUMMYFUNCTION("""COMPUTED_VALUE"""),"Maione Vieira Teixeira Souza - #SLUEE - SEGUNDA LICENCIATURA EM EDUCAÇÃO ESPECIAL")</f>
        <v>Maione Vieira Teixeira Souza - #SLUEE - SEGUNDA LICENCIATURA EM EDUCAÇÃO ESPECIAL</v>
      </c>
    </row>
    <row r="5405">
      <c r="A5405" s="390" t="str">
        <f>IFERROR(__xludf.DUMMYFUNCTION("""COMPUTED_VALUE"""),"Uilton Santos Souza - #FPUF- Formação Pedagógica em Filosofia")</f>
        <v>Uilton Santos Souza - #FPUF- Formação Pedagógica em Filosofia</v>
      </c>
    </row>
    <row r="5406">
      <c r="A5406" s="390" t="str">
        <f>IFERROR(__xludf.DUMMYFUNCTION("""COMPUTED_VALUE"""),"José Lucas dos Santos Ferreira - #SLUP - SEGUNDA LICENCIATURA EM PEDAGOGIA")</f>
        <v>José Lucas dos Santos Ferreira - #SLUP - SEGUNDA LICENCIATURA EM PEDAGOGIA</v>
      </c>
    </row>
    <row r="5407">
      <c r="A5407" s="390" t="str">
        <f>IFERROR(__xludf.DUMMYFUNCTION("""COMPUTED_VALUE"""),"Edmar da Mota Ferreira - #FPUEF - Formação Pedagógica em Educação Física - 1200 Horas")</f>
        <v>Edmar da Mota Ferreira - #FPUEF - Formação Pedagógica em Educação Física - 1200 Horas</v>
      </c>
    </row>
    <row r="5408">
      <c r="A5408" s="390" t="str">
        <f>IFERROR(__xludf.DUMMYFUNCTION("""COMPUTED_VALUE"""),"José Paulo Lopes - Práticas Pedagógicas")</f>
        <v>José Paulo Lopes - Práticas Pedagógicas</v>
      </c>
    </row>
    <row r="5409">
      <c r="A5409" s="390" t="str">
        <f>IFERROR(__xludf.DUMMYFUNCTION("""COMPUTED_VALUE"""),"Andréia Maria Sicchieri - Pós-Graduação em Neuropsicopedagogia")</f>
        <v>Andréia Maria Sicchieri - Pós-Graduação em Neuropsicopedagogia</v>
      </c>
    </row>
    <row r="5410">
      <c r="A5410" s="390" t="str">
        <f>IFERROR(__xludf.DUMMYFUNCTION("""COMPUTED_VALUE"""),"Raimundo Clécio Falcão de Lima - Pós-Graduação em Alfabetização e Letramento e a Psicopedagogia")</f>
        <v>Raimundo Clécio Falcão de Lima - Pós-Graduação em Alfabetização e Letramento e a Psicopedagogia</v>
      </c>
    </row>
    <row r="5411">
      <c r="A5411" s="390" t="str">
        <f>IFERROR(__xludf.DUMMYFUNCTION("""COMPUTED_VALUE"""),"Valderez Vanderleia Rúbia Bini - Pós-Graduação em Psicanálise")</f>
        <v>Valderez Vanderleia Rúbia Bini - Pós-Graduação em Psicanálise</v>
      </c>
    </row>
    <row r="5412">
      <c r="A5412" s="390" t="str">
        <f>IFERROR(__xludf.DUMMYFUNCTION("""COMPUTED_VALUE"""),"João Henrique carvalho silva - #FPUP-FORMAÇÃO PEDAGÓGICA EM PEDAGOGIA- U")</f>
        <v>João Henrique carvalho silva - #FPUP-FORMAÇÃO PEDAGÓGICA EM PEDAGOGIA- U</v>
      </c>
    </row>
    <row r="5413">
      <c r="A5413" s="390" t="str">
        <f>IFERROR(__xludf.DUMMYFUNCTION("""COMPUTED_VALUE"""),"Nara Elizama Machado da Silveira Rodrigues - #FPUP-FORMAÇÃO PEDAGÓGICA EM PEDAGOGIA- U")</f>
        <v>Nara Elizama Machado da Silveira Rodrigues - #FPUP-FORMAÇÃO PEDAGÓGICA EM PEDAGOGIA- U</v>
      </c>
    </row>
    <row r="5414">
      <c r="A5414" s="390" t="str">
        <f>IFERROR(__xludf.DUMMYFUNCTION("""COMPUTED_VALUE"""),"Nara Elizama Machado da Silveira Rodrigues - Pós-Graduação em Neuropsicopedagogia")</f>
        <v>Nara Elizama Machado da Silveira Rodrigues - Pós-Graduação em Neuropsicopedagogia</v>
      </c>
    </row>
    <row r="5415">
      <c r="A5415" s="390" t="str">
        <f>IFERROR(__xludf.DUMMYFUNCTION("""COMPUTED_VALUE"""),"FERNANDA PEREIRA DA SILVA - Pós-Graduação em Biomedicina Estética")</f>
        <v>FERNANDA PEREIRA DA SILVA - Pós-Graduação em Biomedicina Estética</v>
      </c>
    </row>
    <row r="5416">
      <c r="A5416" s="390" t="str">
        <f>IFERROR(__xludf.DUMMYFUNCTION("""COMPUTED_VALUE"""),"FERNANDA PEREIRA DA SILVA - Pós-Graduação em Cosmetologia e Estética 580Horas")</f>
        <v>FERNANDA PEREIRA DA SILVA - Pós-Graduação em Cosmetologia e Estética 580Horas</v>
      </c>
    </row>
    <row r="5417">
      <c r="A5417" s="390" t="str">
        <f>IFERROR(__xludf.DUMMYFUNCTION("""COMPUTED_VALUE"""),"Waldemar Alvarenga Lapoente - #FPMF- Formação Pedagógica em Música 1200Horas")</f>
        <v>Waldemar Alvarenga Lapoente - #FPMF- Formação Pedagógica em Música 1200Horas</v>
      </c>
    </row>
    <row r="5418">
      <c r="A5418" s="390" t="str">
        <f>IFERROR(__xludf.DUMMYFUNCTION("""COMPUTED_VALUE"""),"Waldemar Alvarenga Lapoente - Pós-Graduação em FARMACOLOGIA CLÍNICA 840h")</f>
        <v>Waldemar Alvarenga Lapoente - Pós-Graduação em FARMACOLOGIA CLÍNICA 840h</v>
      </c>
    </row>
    <row r="5419">
      <c r="A5419" s="390" t="str">
        <f>IFERROR(__xludf.DUMMYFUNCTION("""COMPUTED_VALUE"""),"Ezaro Eder de cene - #SLUA- Segunda Licenciatura em Artes Visuais")</f>
        <v>Ezaro Eder de cene - #SLUA- Segunda Licenciatura em Artes Visuais</v>
      </c>
    </row>
    <row r="5420">
      <c r="A5420" s="390" t="str">
        <f>IFERROR(__xludf.DUMMYFUNCTION("""COMPUTED_VALUE"""),"Ezaro Eder de cene - #SLUPI - SEGUNDA LICENCIATURA EM LETRAS – PORTUGUÊS E INGLÊS")</f>
        <v>Ezaro Eder de cene - #SLUPI - SEGUNDA LICENCIATURA EM LETRAS – PORTUGUÊS E INGLÊS</v>
      </c>
    </row>
    <row r="5421">
      <c r="A5421" s="390" t="str">
        <f>IFERROR(__xludf.DUMMYFUNCTION("""COMPUTED_VALUE"""),"Francisco Falsetti - #SLUM - SEGUNDA LICENCIATURA EM MATEMÁTICA")</f>
        <v>Francisco Falsetti - #SLUM - SEGUNDA LICENCIATURA EM MATEMÁTICA</v>
      </c>
    </row>
    <row r="5422">
      <c r="A5422" s="390" t="str">
        <f>IFERROR(__xludf.DUMMYFUNCTION("""COMPUTED_VALUE"""),"Araciane Aparecida Buratti Cardoso - #SLPT- Segunda Licenciatura em Pedagogia")</f>
        <v>Araciane Aparecida Buratti Cardoso - #SLPT- Segunda Licenciatura em Pedagogia</v>
      </c>
    </row>
    <row r="5423">
      <c r="A5423" s="390" t="str">
        <f>IFERROR(__xludf.DUMMYFUNCTION("""COMPUTED_VALUE"""),"Araciane Aparecida Buratti Cardoso - #SLAV+ - Segunda Licenciatura em Artes Visuais - 1000 Horas")</f>
        <v>Araciane Aparecida Buratti Cardoso - #SLAV+ - Segunda Licenciatura em Artes Visuais - 1000 Horas</v>
      </c>
    </row>
    <row r="5424">
      <c r="A5424" s="390" t="str">
        <f>IFERROR(__xludf.DUMMYFUNCTION("""COMPUTED_VALUE"""),"Tatiana Tassia Sampaio Pires - Pós-Graduação em Sexologia")</f>
        <v>Tatiana Tassia Sampaio Pires - Pós-Graduação em Sexologia</v>
      </c>
    </row>
    <row r="5425">
      <c r="A5425" s="390" t="str">
        <f>IFERROR(__xludf.DUMMYFUNCTION("""COMPUTED_VALUE"""),"Rodrigo Campos Pereira - PÓS-GRADUAÇÃO EM PSICANÁLISE 2022")</f>
        <v>Rodrigo Campos Pereira - PÓS-GRADUAÇÃO EM PSICANÁLISE 2022</v>
      </c>
    </row>
    <row r="5426">
      <c r="A5426" s="390" t="str">
        <f>IFERROR(__xludf.DUMMYFUNCTION("""COMPUTED_VALUE"""),"João Felipe Parreiras de Oliveira - #SLMF - Segunda Licenciatura em Música 1320Horas")</f>
        <v>João Felipe Parreiras de Oliveira - #SLMF - Segunda Licenciatura em Música 1320Horas</v>
      </c>
    </row>
    <row r="5427">
      <c r="A5427" s="390" t="str">
        <f>IFERROR(__xludf.DUMMYFUNCTION("""COMPUTED_VALUE"""),"Nayara Tallita Moreno Rodrigues - Pós-Graduação em Educação Musical")</f>
        <v>Nayara Tallita Moreno Rodrigues - Pós-Graduação em Educação Musical</v>
      </c>
    </row>
    <row r="5428">
      <c r="A5428" s="390" t="str">
        <f>IFERROR(__xludf.DUMMYFUNCTION("""COMPUTED_VALUE"""),"Leticia Fatima Almada - Pós-Graduação em Sexologia")</f>
        <v>Leticia Fatima Almada - Pós-Graduação em Sexologia</v>
      </c>
    </row>
    <row r="5429">
      <c r="A5429" s="390" t="str">
        <f>IFERROR(__xludf.DUMMYFUNCTION("""COMPUTED_VALUE"""),"Felipe Nazário da Silva - #SLMF - Segunda Licenciatura em Música 1320Horas")</f>
        <v>Felipe Nazário da Silva - #SLMF - Segunda Licenciatura em Música 1320Horas</v>
      </c>
    </row>
    <row r="5430">
      <c r="A5430" s="390" t="str">
        <f>IFERROR(__xludf.DUMMYFUNCTION("""COMPUTED_VALUE"""),"Izide Aparecida Peres - Pós-Graduação em Sexologia")</f>
        <v>Izide Aparecida Peres - Pós-Graduação em Sexologia</v>
      </c>
    </row>
    <row r="5431">
      <c r="A5431" s="390" t="str">
        <f>IFERROR(__xludf.DUMMYFUNCTION("""COMPUTED_VALUE"""),"Chrystiane Silva de Oliveira - Pós-Graduação em Neuropsicopedagogia Institucional, Clínica e Hospitalar 850h")</f>
        <v>Chrystiane Silva de Oliveira - Pós-Graduação em Neuropsicopedagogia Institucional, Clínica e Hospitalar 850h</v>
      </c>
    </row>
    <row r="5432">
      <c r="A5432" s="390" t="str">
        <f>IFERROR(__xludf.DUMMYFUNCTION("""COMPUTED_VALUE"""),"Sílvia Sophia Tambucci - #FPUEF - Formação Pedagógica em Educação Física - 1200 Horas")</f>
        <v>Sílvia Sophia Tambucci - #FPUEF - Formação Pedagógica em Educação Física - 1200 Horas</v>
      </c>
    </row>
    <row r="5433">
      <c r="A5433" s="390" t="str">
        <f>IFERROR(__xludf.DUMMYFUNCTION("""COMPUTED_VALUE"""),"Natanael Pereira Santos - Formação Livre em Psicanálise-2022")</f>
        <v>Natanael Pereira Santos - Formação Livre em Psicanálise-2022</v>
      </c>
    </row>
    <row r="5434">
      <c r="A5434" s="390" t="str">
        <f>IFERROR(__xludf.DUMMYFUNCTION("""COMPUTED_VALUE"""),"Carlosnaik Martins Veras Filho - Pós-Graduação em Psicanálise 2/2023")</f>
        <v>Carlosnaik Martins Veras Filho - Pós-Graduação em Psicanálise 2/2023</v>
      </c>
    </row>
    <row r="5435">
      <c r="A5435" s="390" t="str">
        <f>IFERROR(__xludf.DUMMYFUNCTION("""COMPUTED_VALUE"""),"Mônica Alves de Almeida - #FPT1-Pedagogia para Bacharéis e Tecnólogos (2022)")</f>
        <v>Mônica Alves de Almeida - #FPT1-Pedagogia para Bacharéis e Tecnólogos (2022)</v>
      </c>
    </row>
    <row r="5436">
      <c r="A5436" s="390" t="str">
        <f>IFERROR(__xludf.DUMMYFUNCTION("""COMPUTED_VALUE"""),"Mônica Alves de Almeida - Formação pedagógica Letras - Português")</f>
        <v>Mônica Alves de Almeida - Formação pedagógica Letras - Português</v>
      </c>
    </row>
    <row r="5437">
      <c r="A5437" s="390" t="str">
        <f>IFERROR(__xludf.DUMMYFUNCTION("""COMPUTED_VALUE"""),"Jeany Soares da Cunha - Formação Livre em Psicanálise-2022")</f>
        <v>Jeany Soares da Cunha - Formação Livre em Psicanálise-2022</v>
      </c>
    </row>
    <row r="5438">
      <c r="A5438" s="390" t="str">
        <f>IFERROR(__xludf.DUMMYFUNCTION("""COMPUTED_VALUE"""),"Rafael Pompeu Santos - #FPUEF - Formação Pedagógica em Educação Física - 1200 Horas")</f>
        <v>Rafael Pompeu Santos - #FPUEF - Formação Pedagógica em Educação Física - 1200 Horas</v>
      </c>
    </row>
    <row r="5439">
      <c r="A5439" s="390" t="str">
        <f>IFERROR(__xludf.DUMMYFUNCTION("""COMPUTED_VALUE"""),"Rafael Pompeu Santos - Pós-Graduação em Nutrição Esportiva")</f>
        <v>Rafael Pompeu Santos - Pós-Graduação em Nutrição Esportiva</v>
      </c>
    </row>
    <row r="5440">
      <c r="A5440" s="390" t="str">
        <f>IFERROR(__xludf.DUMMYFUNCTION("""COMPUTED_VALUE"""),"Pedro Henrique da Silva - #SLPT- Segunda Licenciatura em Pedagogia")</f>
        <v>Pedro Henrique da Silva - #SLPT- Segunda Licenciatura em Pedagogia</v>
      </c>
    </row>
    <row r="5441">
      <c r="A5441" s="390" t="str">
        <f>IFERROR(__xludf.DUMMYFUNCTION("""COMPUTED_VALUE"""),"Micherlotta najara Lopes de Freitas - Formação Livre em Psicanálise-2022")</f>
        <v>Micherlotta najara Lopes de Freitas - Formação Livre em Psicanálise-2022</v>
      </c>
    </row>
    <row r="5442">
      <c r="A5442" s="390" t="str">
        <f>IFERROR(__xludf.DUMMYFUNCTION("""COMPUTED_VALUE"""),"Luiz Carlos Parra Dias Junior - Pós-Graduação Psicopedagogia Clínica, Institucional e Hospitalar")</f>
        <v>Luiz Carlos Parra Dias Junior - Pós-Graduação Psicopedagogia Clínica, Institucional e Hospitalar</v>
      </c>
    </row>
    <row r="5443">
      <c r="A5443" s="390" t="str">
        <f>IFERROR(__xludf.DUMMYFUNCTION("""COMPUTED_VALUE"""),"Luiz Carlos Parra Dias Junior - Pós-Graduação em Neuropsicopedagogia Institucional, Clínica e Hospitalar 850h")</f>
        <v>Luiz Carlos Parra Dias Junior - Pós-Graduação em Neuropsicopedagogia Institucional, Clínica e Hospitalar 850h</v>
      </c>
    </row>
    <row r="5444">
      <c r="A5444" s="390" t="str">
        <f>IFERROR(__xludf.DUMMYFUNCTION("""COMPUTED_VALUE"""),"Luiz Carlos Parra Dias Junior - Pós-Graduação Educação Especial e Inclusiva")</f>
        <v>Luiz Carlos Parra Dias Junior - Pós-Graduação Educação Especial e Inclusiva</v>
      </c>
    </row>
    <row r="5445">
      <c r="A5445" s="390" t="str">
        <f>IFERROR(__xludf.DUMMYFUNCTION("""COMPUTED_VALUE"""),"Heitor Dias Antunes Pereira - #FPMF- Formação Pedagógica em Música 2022")</f>
        <v>Heitor Dias Antunes Pereira - #FPMF- Formação Pedagógica em Música 2022</v>
      </c>
    </row>
    <row r="5446">
      <c r="A5446" s="390" t="str">
        <f>IFERROR(__xludf.DUMMYFUNCTION("""COMPUTED_VALUE"""),"Emerson Vilaça - Pós-Graduação em Administração Pública")</f>
        <v>Emerson Vilaça - Pós-Graduação em Administração Pública</v>
      </c>
    </row>
    <row r="5447">
      <c r="A5447" s="390" t="str">
        <f>IFERROR(__xludf.DUMMYFUNCTION("""COMPUTED_VALUE"""),"Gabriela Nadú Marino - #FPUA- Formação Pedagógica em Artes Visuais")</f>
        <v>Gabriela Nadú Marino - #FPUA- Formação Pedagógica em Artes Visuais</v>
      </c>
    </row>
    <row r="5448">
      <c r="A5448" s="390" t="str">
        <f>IFERROR(__xludf.DUMMYFUNCTION("""COMPUTED_VALUE"""),"Anna Selmira Jardim da Silva - Pós-Graduação em Neuropsicopedagogia Institucional, Clínica e Hospitalar 850h")</f>
        <v>Anna Selmira Jardim da Silva - Pós-Graduação em Neuropsicopedagogia Institucional, Clínica e Hospitalar 850h</v>
      </c>
    </row>
    <row r="5449">
      <c r="A5449" s="390" t="str">
        <f>IFERROR(__xludf.DUMMYFUNCTION("""COMPUTED_VALUE"""),"Anna Selmira Jardim da Silva - Pós-Graduação em Psicologia Educacional")</f>
        <v>Anna Selmira Jardim da Silva - Pós-Graduação em Psicologia Educacional</v>
      </c>
    </row>
    <row r="5450">
      <c r="A5450" s="390" t="str">
        <f>IFERROR(__xludf.DUMMYFUNCTION("""COMPUTED_VALUE"""),"Juliano Rocha Mendonça - Formação Livre em Psicanálise-2022")</f>
        <v>Juliano Rocha Mendonça - Formação Livre em Psicanálise-2022</v>
      </c>
    </row>
    <row r="5451">
      <c r="A5451" s="390" t="str">
        <f>IFERROR(__xludf.DUMMYFUNCTION("""COMPUTED_VALUE"""),"Sandra Raquel de Siqueira Costa de Souza - Pós-Graduação em Letramento e Produção de Textos para o Ensino Médio 2022")</f>
        <v>Sandra Raquel de Siqueira Costa de Souza - Pós-Graduação em Letramento e Produção de Textos para o Ensino Médio 2022</v>
      </c>
    </row>
    <row r="5452">
      <c r="A5452" s="390" t="str">
        <f>IFERROR(__xludf.DUMMYFUNCTION("""COMPUTED_VALUE"""),"Sandra Raquel de Siqueira Costa de Souza - #SLLPI- Segunda Licenciatura em Letras-Português/Inglês")</f>
        <v>Sandra Raquel de Siqueira Costa de Souza - #SLLPI- Segunda Licenciatura em Letras-Português/Inglês</v>
      </c>
    </row>
    <row r="5453">
      <c r="A5453" s="390" t="str">
        <f>IFERROR(__xludf.DUMMYFUNCTION("""COMPUTED_VALUE"""),"Nilson Pedro Wenzel - Pós-Graduação em Psicanálise")</f>
        <v>Nilson Pedro Wenzel - Pós-Graduação em Psicanálise</v>
      </c>
    </row>
    <row r="5454">
      <c r="A5454" s="390" t="str">
        <f>IFERROR(__xludf.DUMMYFUNCTION("""COMPUTED_VALUE"""),"Nilson Pedro Wenzel - Pós-Graduação em Psicologia Clínica")</f>
        <v>Nilson Pedro Wenzel - Pós-Graduação em Psicologia Clínica</v>
      </c>
    </row>
    <row r="5455">
      <c r="A5455" s="390" t="str">
        <f>IFERROR(__xludf.DUMMYFUNCTION("""COMPUTED_VALUE"""),"Wanderlan Paulino da Silva - #SLMF - Segunda Licenciatura em Música 1320Horas")</f>
        <v>Wanderlan Paulino da Silva - #SLMF - Segunda Licenciatura em Música 1320Horas</v>
      </c>
    </row>
    <row r="5456">
      <c r="A5456" s="390" t="str">
        <f>IFERROR(__xludf.DUMMYFUNCTION("""COMPUTED_VALUE"""),"Wanderlan Paulino da Silva - #SLUH- Segunda Licenciatura em História")</f>
        <v>Wanderlan Paulino da Silva - #SLUH- Segunda Licenciatura em História</v>
      </c>
    </row>
    <row r="5457">
      <c r="A5457" s="390" t="str">
        <f>IFERROR(__xludf.DUMMYFUNCTION("""COMPUTED_VALUE"""),"Carlos Lucas de Souza Melo Braz - #SLMF - Segunda Licenciatura em Música 1320Horas")</f>
        <v>Carlos Lucas de Souza Melo Braz - #SLMF - Segunda Licenciatura em Música 1320Horas</v>
      </c>
    </row>
    <row r="5458">
      <c r="A5458" s="390" t="str">
        <f>IFERROR(__xludf.DUMMYFUNCTION("""COMPUTED_VALUE"""),"Adriano Borges Botura - #SLMF- Segunda Licenciatura em Música 2022 880Horas")</f>
        <v>Adriano Borges Botura - #SLMF- Segunda Licenciatura em Música 2022 880Horas</v>
      </c>
    </row>
    <row r="5459">
      <c r="A5459" s="390" t="str">
        <f>IFERROR(__xludf.DUMMYFUNCTION("""COMPUTED_VALUE"""),"Adriano Borges Botura - Pós-Graduação em Musicoterapia")</f>
        <v>Adriano Borges Botura - Pós-Graduação em Musicoterapia</v>
      </c>
    </row>
    <row r="5460">
      <c r="A5460" s="390" t="str">
        <f>IFERROR(__xludf.DUMMYFUNCTION("""COMPUTED_VALUE"""),"Rangel Macedo da Rocha - #FPMF- Formação Pedagógica em Música 1200Horas")</f>
        <v>Rangel Macedo da Rocha - #FPMF- Formação Pedagógica em Música 1200Horas</v>
      </c>
    </row>
    <row r="5461">
      <c r="A5461" s="390" t="str">
        <f>IFERROR(__xludf.DUMMYFUNCTION("""COMPUTED_VALUE"""),"Ginaelson soares de Souza - #SLUM - SEGUNDA LICENCIATURA EM MATEMÁTICA")</f>
        <v>Ginaelson soares de Souza - #SLUM - SEGUNDA LICENCIATURA EM MATEMÁTICA</v>
      </c>
    </row>
    <row r="5462">
      <c r="A5462" s="390" t="str">
        <f>IFERROR(__xludf.DUMMYFUNCTION("""COMPUTED_VALUE"""),"Zulene Conceição Rodrigues - Formação Livre em Psicanálise-2022")</f>
        <v>Zulene Conceição Rodrigues - Formação Livre em Psicanálise-2022</v>
      </c>
    </row>
    <row r="5463">
      <c r="A5463" s="390" t="str">
        <f>IFERROR(__xludf.DUMMYFUNCTION("""COMPUTED_VALUE"""),"Clodoaldo Lúcio Santana - Formação Livre em Psicanálise-2022")</f>
        <v>Clodoaldo Lúcio Santana - Formação Livre em Psicanálise-2022</v>
      </c>
    </row>
    <row r="5464">
      <c r="A5464" s="390" t="str">
        <f>IFERROR(__xludf.DUMMYFUNCTION("""COMPUTED_VALUE"""),"Risoberto da Silva - #SLMF - Segunda Licenciatura em Música 1320Horas")</f>
        <v>Risoberto da Silva - #SLMF - Segunda Licenciatura em Música 1320Horas</v>
      </c>
    </row>
    <row r="5465">
      <c r="A5465" s="390" t="str">
        <f>IFERROR(__xludf.DUMMYFUNCTION("""COMPUTED_VALUE"""),"Denise Lima de Araujo Rocha - #SLUP - SEGUNDA LICENCIATURA EM PEDAGOGIA")</f>
        <v>Denise Lima de Araujo Rocha - #SLUP - SEGUNDA LICENCIATURA EM PEDAGOGIA</v>
      </c>
    </row>
    <row r="5466">
      <c r="A5466" s="390" t="str">
        <f>IFERROR(__xludf.DUMMYFUNCTION("""COMPUTED_VALUE"""),"Claudia Massuia Leal de Souza - #SLPA- Segunda Licenciatura em Pedagogia 01")</f>
        <v>Claudia Massuia Leal de Souza - #SLPA- Segunda Licenciatura em Pedagogia 01</v>
      </c>
    </row>
    <row r="5467">
      <c r="A5467" s="390" t="str">
        <f>IFERROR(__xludf.DUMMYFUNCTION("""COMPUTED_VALUE"""),"Graziella Correia Bomfim - Pós-Graduação em Biblioteconomia")</f>
        <v>Graziella Correia Bomfim - Pós-Graduação em Biblioteconomia</v>
      </c>
    </row>
    <row r="5468">
      <c r="A5468" s="390" t="str">
        <f>IFERROR(__xludf.DUMMYFUNCTION("""COMPUTED_VALUE"""),"KARLA KAROLYNE SOUSA COELHO - #SLMF- Segunda Licenciatura em Música 2022 880Horas")</f>
        <v>KARLA KAROLYNE SOUSA COELHO - #SLMF- Segunda Licenciatura em Música 2022 880Horas</v>
      </c>
    </row>
    <row r="5469">
      <c r="A5469" s="390" t="str">
        <f>IFERROR(__xludf.DUMMYFUNCTION("""COMPUTED_VALUE"""),"KARLA KAROLYNE SOUSA COELHO - Pós-Graduação em Educação Musical")</f>
        <v>KARLA KAROLYNE SOUSA COELHO - Pós-Graduação em Educação Musical</v>
      </c>
    </row>
    <row r="5470">
      <c r="A5470" s="390" t="str">
        <f>IFERROR(__xludf.DUMMYFUNCTION("""COMPUTED_VALUE"""),"Valéria Pereira de Araújo - Formação Livre em Psicanálise-2022")</f>
        <v>Valéria Pereira de Araújo - Formação Livre em Psicanálise-2022</v>
      </c>
    </row>
    <row r="5471">
      <c r="A5471" s="390" t="str">
        <f>IFERROR(__xludf.DUMMYFUNCTION("""COMPUTED_VALUE"""),"João Mateus Issa Felipe - #FPMF- Formação Pedagógica em Música 1200Horas")</f>
        <v>João Mateus Issa Felipe - #FPMF- Formação Pedagógica em Música 1200Horas</v>
      </c>
    </row>
    <row r="5472">
      <c r="A5472" s="390" t="str">
        <f>IFERROR(__xludf.DUMMYFUNCTION("""COMPUTED_VALUE"""),"Fabiana Gomes de Castro Azevedo - Pós-Graduação Em Fonoaudiologia Educacional- 520 HORAS")</f>
        <v>Fabiana Gomes de Castro Azevedo - Pós-Graduação Em Fonoaudiologia Educacional- 520 HORAS</v>
      </c>
    </row>
    <row r="5473">
      <c r="A5473" s="390" t="str">
        <f>IFERROR(__xludf.DUMMYFUNCTION("""COMPUTED_VALUE"""),"Sinthia Paula Gomes Da Silva - #SLPT- Segunda Licenciatura em Pedagogia")</f>
        <v>Sinthia Paula Gomes Da Silva - #SLPT- Segunda Licenciatura em Pedagogia</v>
      </c>
    </row>
    <row r="5474">
      <c r="A5474" s="390" t="str">
        <f>IFERROR(__xludf.DUMMYFUNCTION("""COMPUTED_VALUE"""),"Josilene Sepulcro do Nascimento Amaral - Formação Livre em Psicanálise-2022")</f>
        <v>Josilene Sepulcro do Nascimento Amaral - Formação Livre em Psicanálise-2022</v>
      </c>
    </row>
    <row r="5475">
      <c r="A5475" s="390" t="str">
        <f>IFERROR(__xludf.DUMMYFUNCTION("""COMPUTED_VALUE"""),"Jéssica Milanez Tosin Lima - #FPP- Formação Pedagógica em Pedagogia R2")</f>
        <v>Jéssica Milanez Tosin Lima - #FPP- Formação Pedagógica em Pedagogia R2</v>
      </c>
    </row>
    <row r="5476">
      <c r="A5476" s="390" t="str">
        <f>IFERROR(__xludf.DUMMYFUNCTION("""COMPUTED_VALUE"""),"Tânia Maria Garcia de Oliveira - Pós-Graduação em Sexologia")</f>
        <v>Tânia Maria Garcia de Oliveira - Pós-Graduação em Sexologia</v>
      </c>
    </row>
    <row r="5477">
      <c r="A5477" s="390" t="str">
        <f>IFERROR(__xludf.DUMMYFUNCTION("""COMPUTED_VALUE"""),"AKEME CRISTINA DO NASCIMENTO ALVES - Pós-Graduação em Psicopedagogia Institucional e Clínica 710Horas")</f>
        <v>AKEME CRISTINA DO NASCIMENTO ALVES - Pós-Graduação em Psicopedagogia Institucional e Clínica 710Horas</v>
      </c>
    </row>
    <row r="5478">
      <c r="A5478" s="390" t="str">
        <f>IFERROR(__xludf.DUMMYFUNCTION("""COMPUTED_VALUE"""),"AKEME CRISTINA DO NASCIMENTO ALVES - Novo-Pós-Graduação em Psicopedagogia Clínica, Institucional e Hospitalar-620 Horas(Jacad)")</f>
        <v>AKEME CRISTINA DO NASCIMENTO ALVES - Novo-Pós-Graduação em Psicopedagogia Clínica, Institucional e Hospitalar-620 Horas(Jacad)</v>
      </c>
    </row>
    <row r="5479">
      <c r="A5479" s="390" t="str">
        <f>IFERROR(__xludf.DUMMYFUNCTION("""COMPUTED_VALUE"""),"Ariana Francine Moreira - Pós-Graduação em Psicanálise")</f>
        <v>Ariana Francine Moreira - Pós-Graduação em Psicanálise</v>
      </c>
    </row>
    <row r="5480">
      <c r="A5480" s="390" t="str">
        <f>IFERROR(__xludf.DUMMYFUNCTION("""COMPUTED_VALUE"""),"Monique Cristina Olimpio Noberto dos Santos - Novo-Pós-Graduação em Sexologia 800Horas")</f>
        <v>Monique Cristina Olimpio Noberto dos Santos - Novo-Pós-Graduação em Sexologia 800Horas</v>
      </c>
    </row>
    <row r="5481">
      <c r="A5481" s="390" t="str">
        <f>IFERROR(__xludf.DUMMYFUNCTION("""COMPUTED_VALUE"""),"Dalila Ribeiro da Silva - #SLEEF- Segunda Licenciatura Educação Física")</f>
        <v>Dalila Ribeiro da Silva - #SLEEF- Segunda Licenciatura Educação Física</v>
      </c>
    </row>
    <row r="5482">
      <c r="A5482" s="390" t="str">
        <f>IFERROR(__xludf.DUMMYFUNCTION("""COMPUTED_VALUE"""),"Dalila Ribeiro da Silva - Pós-Graduação em Língua Portuguesa, Redação e Oratória")</f>
        <v>Dalila Ribeiro da Silva - Pós-Graduação em Língua Portuguesa, Redação e Oratória</v>
      </c>
    </row>
    <row r="5483">
      <c r="A5483" s="390" t="str">
        <f>IFERROR(__xludf.DUMMYFUNCTION("""COMPUTED_VALUE"""),"Dalila Ribeiro da Silva - Pós-Graduação em Letramento e Produção de Textos para o Ensino Médio 2022")</f>
        <v>Dalila Ribeiro da Silva - Pós-Graduação em Letramento e Produção de Textos para o Ensino Médio 2022</v>
      </c>
    </row>
    <row r="5484">
      <c r="A5484" s="390" t="str">
        <f>IFERROR(__xludf.DUMMYFUNCTION("""COMPUTED_VALUE"""),"Nádia Vieira Souto - #SLEEF- Segunda Licenciatura Educação Física")</f>
        <v>Nádia Vieira Souto - #SLEEF- Segunda Licenciatura Educação Física</v>
      </c>
    </row>
    <row r="5485">
      <c r="A5485" s="390" t="str">
        <f>IFERROR(__xludf.DUMMYFUNCTION("""COMPUTED_VALUE"""),"Nádia Vieira Souto - SEGUNDA LICENCIATURA PEDAGOGIA - 2024")</f>
        <v>Nádia Vieira Souto - SEGUNDA LICENCIATURA PEDAGOGIA - 2024</v>
      </c>
    </row>
    <row r="5486">
      <c r="A5486" s="390" t="str">
        <f>IFERROR(__xludf.DUMMYFUNCTION("""COMPUTED_VALUE"""),"Nádia Vieira Souto - SEGUNDA LICENCIATURA PEDAGOGIA - 2024")</f>
        <v>Nádia Vieira Souto - SEGUNDA LICENCIATURA PEDAGOGIA - 2024</v>
      </c>
    </row>
    <row r="5487">
      <c r="A5487" s="390" t="str">
        <f>IFERROR(__xludf.DUMMYFUNCTION("""COMPUTED_VALUE"""),"Nádia Vieira Souto - SEGUNDA LICENCIATURA PEDAGOGIA - 2024")</f>
        <v>Nádia Vieira Souto - SEGUNDA LICENCIATURA PEDAGOGIA - 2024</v>
      </c>
    </row>
    <row r="5488">
      <c r="A5488" s="390" t="str">
        <f>IFERROR(__xludf.DUMMYFUNCTION("""COMPUTED_VALUE"""),"Nádia Vieira Souto - SEGUNDA LICENCIATURA PEDAGOGIA - 2024")</f>
        <v>Nádia Vieira Souto - SEGUNDA LICENCIATURA PEDAGOGIA - 2024</v>
      </c>
    </row>
    <row r="5489">
      <c r="A5489" s="390" t="str">
        <f>IFERROR(__xludf.DUMMYFUNCTION("""COMPUTED_VALUE"""),"Platini Ramos da Silva - #SLUP - SEGUNDA LICENCIATURA EM PEDAGOGIA")</f>
        <v>Platini Ramos da Silva - #SLUP - SEGUNDA LICENCIATURA EM PEDAGOGIA</v>
      </c>
    </row>
    <row r="5490">
      <c r="A5490" s="390" t="str">
        <f>IFERROR(__xludf.DUMMYFUNCTION("""COMPUTED_VALUE"""),"Luis Clodoaldo Alves Lopes - NOVO-Pós-Graduação em Psicanálise 800 Horas")</f>
        <v>Luis Clodoaldo Alves Lopes - NOVO-Pós-Graduação em Psicanálise 800 Horas</v>
      </c>
    </row>
    <row r="5491">
      <c r="A5491" s="390" t="str">
        <f>IFERROR(__xludf.DUMMYFUNCTION("""COMPUTED_VALUE"""),"Bárbara Alice Lilly Lohmann da Silva - Novo-Pós-Graduação em Sexologia 800Horas")</f>
        <v>Bárbara Alice Lilly Lohmann da Silva - Novo-Pós-Graduação em Sexologia 800Horas</v>
      </c>
    </row>
    <row r="5492">
      <c r="A5492" s="390" t="str">
        <f>IFERROR(__xludf.DUMMYFUNCTION("""COMPUTED_VALUE"""),"Rogério de Araújo Amorim - PÓS-GRADUAÇÃO EM PSICANÁLISE 2022")</f>
        <v>Rogério de Araújo Amorim - PÓS-GRADUAÇÃO EM PSICANÁLISE 2022</v>
      </c>
    </row>
    <row r="5493">
      <c r="A5493" s="390" t="str">
        <f>IFERROR(__xludf.DUMMYFUNCTION("""COMPUTED_VALUE"""),"Rogério de Araújo Amorim - Pós-Graduação em Sexologia")</f>
        <v>Rogério de Araújo Amorim - Pós-Graduação em Sexologia</v>
      </c>
    </row>
    <row r="5494">
      <c r="A5494" s="390" t="str">
        <f>IFERROR(__xludf.DUMMYFUNCTION("""COMPUTED_VALUE"""),"Lucio Flavio Moreira dos Santos - #FPMF- Formação Pedagógica em Música 2022")</f>
        <v>Lucio Flavio Moreira dos Santos - #FPMF- Formação Pedagógica em Música 2022</v>
      </c>
    </row>
    <row r="5495">
      <c r="A5495" s="390" t="str">
        <f>IFERROR(__xludf.DUMMYFUNCTION("""COMPUTED_VALUE"""),"Lucio Flavio Moreira dos Santos - Pós-Graduação em Educação Musical")</f>
        <v>Lucio Flavio Moreira dos Santos - Pós-Graduação em Educação Musical</v>
      </c>
    </row>
    <row r="5496">
      <c r="A5496" s="390" t="str">
        <f>IFERROR(__xludf.DUMMYFUNCTION("""COMPUTED_VALUE"""),"Renata Fernanda dos Santos - #SLMF - Segunda Licenciatura em Música 1320Horas")</f>
        <v>Renata Fernanda dos Santos - #SLMF - Segunda Licenciatura em Música 1320Horas</v>
      </c>
    </row>
    <row r="5497">
      <c r="A5497" s="390" t="str">
        <f>IFERROR(__xludf.DUMMYFUNCTION("""COMPUTED_VALUE"""),"CLAY NASCIMENTO MACIEL - Formação Livre em Psicanálise-2022")</f>
        <v>CLAY NASCIMENTO MACIEL - Formação Livre em Psicanálise-2022</v>
      </c>
    </row>
    <row r="5498">
      <c r="A5498" s="390" t="str">
        <f>IFERROR(__xludf.DUMMYFUNCTION("""COMPUTED_VALUE"""),"Daniel Ferreira Gomes - #SLMF - Segunda Licenciatura em Música 1320Horas")</f>
        <v>Daniel Ferreira Gomes - #SLMF - Segunda Licenciatura em Música 1320Horas</v>
      </c>
    </row>
    <row r="5499">
      <c r="A5499" s="390" t="str">
        <f>IFERROR(__xludf.DUMMYFUNCTION("""COMPUTED_VALUE"""),"Nilva Rodrigues do Prado Simões - NOVO-Pós-Graduação em Psicanálise 800 Horas")</f>
        <v>Nilva Rodrigues do Prado Simões - NOVO-Pós-Graduação em Psicanálise 800 Horas</v>
      </c>
    </row>
    <row r="5500">
      <c r="A5500" s="390" t="str">
        <f>IFERROR(__xludf.DUMMYFUNCTION("""COMPUTED_VALUE"""),"Nilva Rodrigues do Prado Simões - Pós-Graduação em Terapia em ABA- Análise do Comportamento Aplicada Clínica")</f>
        <v>Nilva Rodrigues do Prado Simões - Pós-Graduação em Terapia em ABA- Análise do Comportamento Aplicada Clínica</v>
      </c>
    </row>
    <row r="5501">
      <c r="A5501" s="390" t="str">
        <f>IFERROR(__xludf.DUMMYFUNCTION("""COMPUTED_VALUE"""),"Satyrio Storbem Filho - NOVO-Pós-Graduação em Psicanálise 800 Horas")</f>
        <v>Satyrio Storbem Filho - NOVO-Pós-Graduação em Psicanálise 800 Horas</v>
      </c>
    </row>
    <row r="5502">
      <c r="A5502" s="390" t="str">
        <f>IFERROR(__xludf.DUMMYFUNCTION("""COMPUTED_VALUE"""),"José Graciano Nogueira Alves - NOVO-Pós-Graduação em Psicanálise 800 Horas")</f>
        <v>José Graciano Nogueira Alves - NOVO-Pós-Graduação em Psicanálise 800 Horas</v>
      </c>
    </row>
    <row r="5503">
      <c r="A5503" s="390" t="str">
        <f>IFERROR(__xludf.DUMMYFUNCTION("""COMPUTED_VALUE"""),"Karina Karla Ferreira de Souza Silva - Pós-Graduação em Terapia em ABA- Análise do Comportamento Aplicada")</f>
        <v>Karina Karla Ferreira de Souza Silva - Pós-Graduação em Terapia em ABA- Análise do Comportamento Aplicada</v>
      </c>
    </row>
    <row r="5504">
      <c r="A5504" s="390" t="str">
        <f>IFERROR(__xludf.DUMMYFUNCTION("""COMPUTED_VALUE"""),"Mari da Silva Melos - #FPH+- Formação Pedagógica em História 2022")</f>
        <v>Mari da Silva Melos - #FPH+- Formação Pedagógica em História 2022</v>
      </c>
    </row>
    <row r="5505">
      <c r="A5505" s="390" t="str">
        <f>IFERROR(__xludf.DUMMYFUNCTION("""COMPUTED_VALUE"""),"Geraldo Aparecido da Silva - # SLCRA - Segunda Licenciatura em Ciências da Religião")</f>
        <v>Geraldo Aparecido da Silva - # SLCRA - Segunda Licenciatura em Ciências da Religião</v>
      </c>
    </row>
    <row r="5506">
      <c r="A5506" s="390" t="str">
        <f>IFERROR(__xludf.DUMMYFUNCTION("""COMPUTED_VALUE"""),"Geraldo Aparecido da Silva - Pós-Graduação em Neuropsicopedagogia Institucional, Clínica e Hospitalar 850h")</f>
        <v>Geraldo Aparecido da Silva - Pós-Graduação em Neuropsicopedagogia Institucional, Clínica e Hospitalar 850h</v>
      </c>
    </row>
    <row r="5507">
      <c r="A5507" s="390" t="str">
        <f>IFERROR(__xludf.DUMMYFUNCTION("""COMPUTED_VALUE"""),"Bárbara Espíndola Conzatti - #SLTLP1- Segunda Licenciatura Letras - Português")</f>
        <v>Bárbara Espíndola Conzatti - #SLTLP1- Segunda Licenciatura Letras - Português</v>
      </c>
    </row>
    <row r="5508">
      <c r="A5508" s="390" t="str">
        <f>IFERROR(__xludf.DUMMYFUNCTION("""COMPUTED_VALUE"""),"Bárbara Espíndola Conzatti - #SLTLP1- Segunda Licenciatura Letras - Português")</f>
        <v>Bárbara Espíndola Conzatti - #SLTLP1- Segunda Licenciatura Letras - Português</v>
      </c>
    </row>
    <row r="5509">
      <c r="A5509" s="390" t="str">
        <f>IFERROR(__xludf.DUMMYFUNCTION("""COMPUTED_VALUE"""),"Bárbara Espíndola Conzatti - #SLSEA - Segunda Licenciatura Letras - Espanhol")</f>
        <v>Bárbara Espíndola Conzatti - #SLSEA - Segunda Licenciatura Letras - Espanhol</v>
      </c>
    </row>
    <row r="5510">
      <c r="A5510" s="390" t="str">
        <f>IFERROR(__xludf.DUMMYFUNCTION("""COMPUTED_VALUE"""),"Bárbara Espíndola Conzatti - #SLTLP1- Segunda Licenciatura Letras - Português")</f>
        <v>Bárbara Espíndola Conzatti - #SLTLP1- Segunda Licenciatura Letras - Português</v>
      </c>
    </row>
    <row r="5511">
      <c r="A5511" s="390" t="str">
        <f>IFERROR(__xludf.DUMMYFUNCTION("""COMPUTED_VALUE"""),"Bárbara Espíndola Conzatti - #SLLPA - Segunda Licenciatura Letras - Português")</f>
        <v>Bárbara Espíndola Conzatti - #SLLPA - Segunda Licenciatura Letras - Português</v>
      </c>
    </row>
    <row r="5512">
      <c r="A5512" s="390" t="str">
        <f>IFERROR(__xludf.DUMMYFUNCTION("""COMPUTED_VALUE"""),"Bárbara Espíndola Conzatti - #SLTLP1- Segunda Licenciatura Letras - Português")</f>
        <v>Bárbara Espíndola Conzatti - #SLTLP1- Segunda Licenciatura Letras - Português</v>
      </c>
    </row>
    <row r="5513">
      <c r="A5513" s="390" t="str">
        <f>IFERROR(__xludf.DUMMYFUNCTION("""COMPUTED_VALUE"""),"Bárbara Espíndola Conzatti - #SLTLP1- Segunda Licenciatura Letras - Português")</f>
        <v>Bárbara Espíndola Conzatti - #SLTLP1- Segunda Licenciatura Letras - Português</v>
      </c>
    </row>
    <row r="5514">
      <c r="A5514" s="390" t="str">
        <f>IFERROR(__xludf.DUMMYFUNCTION("""COMPUTED_VALUE"""),"Alzemar Veloso de Queiros - #SLMF- Segunda Licenciatura em Música 2022 880Horas")</f>
        <v>Alzemar Veloso de Queiros - #SLMF- Segunda Licenciatura em Música 2022 880Horas</v>
      </c>
    </row>
    <row r="5515">
      <c r="A5515" s="390" t="str">
        <f>IFERROR(__xludf.DUMMYFUNCTION("""COMPUTED_VALUE"""),"Juliana Martins Pinheiro Gonçalves - #FPUP-FORMAÇÃO PEDAGÓGICA EM PEDAGOGIA- U")</f>
        <v>Juliana Martins Pinheiro Gonçalves - #FPUP-FORMAÇÃO PEDAGÓGICA EM PEDAGOGIA- U</v>
      </c>
    </row>
    <row r="5516">
      <c r="A5516" s="390" t="str">
        <f>IFERROR(__xludf.DUMMYFUNCTION("""COMPUTED_VALUE"""),"Franklin Freire Dantas - #SLMF - Segunda Licenciatura em Música 1320Horas")</f>
        <v>Franklin Freire Dantas - #SLMF - Segunda Licenciatura em Música 1320Horas</v>
      </c>
    </row>
    <row r="5517">
      <c r="A5517" s="390" t="str">
        <f>IFERROR(__xludf.DUMMYFUNCTION("""COMPUTED_VALUE"""),"Franklin Freire Dantas - Pós-Graduação em Educação Musical")</f>
        <v>Franklin Freire Dantas - Pós-Graduação em Educação Musical</v>
      </c>
    </row>
    <row r="5518">
      <c r="A5518" s="390" t="str">
        <f>IFERROR(__xludf.DUMMYFUNCTION("""COMPUTED_VALUE"""),"Anderson Breno de Aguiar Azevedo - #FPMF- Formação Pedagógica em Música 1200Horas")</f>
        <v>Anderson Breno de Aguiar Azevedo - #FPMF- Formação Pedagógica em Música 1200Horas</v>
      </c>
    </row>
    <row r="5519">
      <c r="A5519" s="390" t="str">
        <f>IFERROR(__xludf.DUMMYFUNCTION("""COMPUTED_VALUE"""),"Rosali Melo Pinto - #SLPT- Segunda Licenciatura em Pedagogia")</f>
        <v>Rosali Melo Pinto - #SLPT- Segunda Licenciatura em Pedagogia</v>
      </c>
    </row>
    <row r="5520">
      <c r="A5520" s="390" t="str">
        <f>IFERROR(__xludf.DUMMYFUNCTION("""COMPUTED_VALUE"""),"Tatiane Nascimento de Araújo - #SLUP - SEGUNDA LICENCIATURA EM PEDAGOGIA")</f>
        <v>Tatiane Nascimento de Araújo - #SLUP - SEGUNDA LICENCIATURA EM PEDAGOGIA</v>
      </c>
    </row>
    <row r="5521">
      <c r="A5521" s="390" t="str">
        <f>IFERROR(__xludf.DUMMYFUNCTION("""COMPUTED_VALUE"""),"Thales Augusto de Souza Silva - Pós-Graduação em Engenharia de Segurança do Trabalho")</f>
        <v>Thales Augusto de Souza Silva - Pós-Graduação em Engenharia de Segurança do Trabalho</v>
      </c>
    </row>
    <row r="5522">
      <c r="A5522" s="390" t="str">
        <f>IFERROR(__xludf.DUMMYFUNCTION("""COMPUTED_VALUE"""),"Teófilo Gonçalves Rafael da Silva - #FPMF- Formação Pedagógica em Música 2022")</f>
        <v>Teófilo Gonçalves Rafael da Silva - #FPMF- Formação Pedagógica em Música 2022</v>
      </c>
    </row>
    <row r="5523">
      <c r="A5523" s="390" t="str">
        <f>IFERROR(__xludf.DUMMYFUNCTION("""COMPUTED_VALUE"""),"Myllene Felix Silva - Formação Livre  TDAH – Transtorno do Déficit de Atenção e Hiperatividade")</f>
        <v>Myllene Felix Silva - Formação Livre  TDAH – Transtorno do Déficit de Atenção e Hiperatividade</v>
      </c>
    </row>
    <row r="5524">
      <c r="A5524" s="390" t="str">
        <f>IFERROR(__xludf.DUMMYFUNCTION("""COMPUTED_VALUE"""),"Myllene Felix Silva - Capacitação em Educação Especial e Inclusiva 240 Horas")</f>
        <v>Myllene Felix Silva - Capacitação em Educação Especial e Inclusiva 240 Horas</v>
      </c>
    </row>
    <row r="5525">
      <c r="A5525" s="390" t="str">
        <f>IFERROR(__xludf.DUMMYFUNCTION("""COMPUTED_VALUE"""),"Jaciel da Silva Laranjeira - #SLMF- Segunda Licenciatura em Música 2022 880Horas")</f>
        <v>Jaciel da Silva Laranjeira - #SLMF- Segunda Licenciatura em Música 2022 880Horas</v>
      </c>
    </row>
    <row r="5526">
      <c r="A5526" s="390" t="str">
        <f>IFERROR(__xludf.DUMMYFUNCTION("""COMPUTED_VALUE"""),"Jaciel da Silva Laranjeira - Pós-Graduação em Inteligência Artificial")</f>
        <v>Jaciel da Silva Laranjeira - Pós-Graduação em Inteligência Artificial</v>
      </c>
    </row>
    <row r="5527">
      <c r="A5527" s="390" t="str">
        <f>IFERROR(__xludf.DUMMYFUNCTION("""COMPUTED_VALUE"""),"Fabíola Gonçalves Cavassini Moura - Pós-Graduação Educação Especial e Inclusiva")</f>
        <v>Fabíola Gonçalves Cavassini Moura - Pós-Graduação Educação Especial e Inclusiva</v>
      </c>
    </row>
    <row r="5528">
      <c r="A5528" s="390" t="str">
        <f>IFERROR(__xludf.DUMMYFUNCTION("""COMPUTED_VALUE"""),"Maria do Carmo Silveira - Formação Livre em Psicanálise-2022")</f>
        <v>Maria do Carmo Silveira - Formação Livre em Psicanálise-2022</v>
      </c>
    </row>
    <row r="5529">
      <c r="A5529" s="390" t="str">
        <f>IFERROR(__xludf.DUMMYFUNCTION("""COMPUTED_VALUE"""),"Assis Souza de Moura - Pós-Graduação História da Arte")</f>
        <v>Assis Souza de Moura - Pós-Graduação História da Arte</v>
      </c>
    </row>
    <row r="5530">
      <c r="A5530" s="390" t="str">
        <f>IFERROR(__xludf.DUMMYFUNCTION("""COMPUTED_VALUE"""),"Assis Souza de Moura - Pós-graduação em Neuropsicologia")</f>
        <v>Assis Souza de Moura - Pós-graduação em Neuropsicologia</v>
      </c>
    </row>
    <row r="5531">
      <c r="A5531" s="390" t="str">
        <f>IFERROR(__xludf.DUMMYFUNCTION("""COMPUTED_VALUE"""),"Assis Souza de Moura - Pós-Graduação em Sexologia")</f>
        <v>Assis Souza de Moura - Pós-Graduação em Sexologia</v>
      </c>
    </row>
    <row r="5532">
      <c r="A5532" s="390" t="str">
        <f>IFERROR(__xludf.DUMMYFUNCTION("""COMPUTED_VALUE"""),"Assis Souza de Moura - PÓS-GRADUAÇÃO EM PSICANÁLISE 2022")</f>
        <v>Assis Souza de Moura - PÓS-GRADUAÇÃO EM PSICANÁLISE 2022</v>
      </c>
    </row>
    <row r="5533">
      <c r="A5533" s="390" t="str">
        <f>IFERROR(__xludf.DUMMYFUNCTION("""COMPUTED_VALUE"""),"Assis Souza de Moura - Pós-Graduação em ARTE E EDUCAÇÃO 580h")</f>
        <v>Assis Souza de Moura - Pós-Graduação em ARTE E EDUCAÇÃO 580h</v>
      </c>
    </row>
    <row r="5534">
      <c r="A5534" s="390" t="str">
        <f>IFERROR(__xludf.DUMMYFUNCTION("""COMPUTED_VALUE"""),"Assis Souza de Moura - Pós-Graduação em POLÍTICAS PÚBLICAS EM EDUCAÇÃO 460h")</f>
        <v>Assis Souza de Moura - Pós-Graduação em POLÍTICAS PÚBLICAS EM EDUCAÇÃO 460h</v>
      </c>
    </row>
    <row r="5535">
      <c r="A5535" s="390" t="str">
        <f>IFERROR(__xludf.DUMMYFUNCTION("""COMPUTED_VALUE"""),"Assis Souza de Moura - Pós-Graduação em SEXUALIDADE E PSICOLOGIA 580h")</f>
        <v>Assis Souza de Moura - Pós-Graduação em SEXUALIDADE E PSICOLOGIA 580h</v>
      </c>
    </row>
    <row r="5536">
      <c r="A5536" s="390" t="str">
        <f>IFERROR(__xludf.DUMMYFUNCTION("""COMPUTED_VALUE"""),"Metusael da Silva Firmino - #SLMF - Segunda Licenciatura em Música 1320Horas")</f>
        <v>Metusael da Silva Firmino - #SLMF - Segunda Licenciatura em Música 1320Horas</v>
      </c>
    </row>
    <row r="5537">
      <c r="A5537" s="390" t="str">
        <f>IFERROR(__xludf.DUMMYFUNCTION("""COMPUTED_VALUE"""),"Camila Nadú Cavalheiro - #SLUEF - Segunda Licenciatura em Educação Física")</f>
        <v>Camila Nadú Cavalheiro - #SLUEF - Segunda Licenciatura em Educação Física</v>
      </c>
    </row>
    <row r="5538">
      <c r="A5538" s="390" t="str">
        <f>IFERROR(__xludf.DUMMYFUNCTION("""COMPUTED_VALUE"""),"MAYRES DA SILVA ARAÚJO RIBEIRO - Pós-Graduação em Educação e Direitos Humanos")</f>
        <v>MAYRES DA SILVA ARAÚJO RIBEIRO - Pós-Graduação em Educação e Direitos Humanos</v>
      </c>
    </row>
    <row r="5539">
      <c r="A5539" s="390" t="str">
        <f>IFERROR(__xludf.DUMMYFUNCTION("""COMPUTED_VALUE"""),"MAYRES DA SILVA ARAÚJO RIBEIRO - #FPUP-FORMAÇÃO PEDAGÓGICA EM PEDAGOGIA- U")</f>
        <v>MAYRES DA SILVA ARAÚJO RIBEIRO - #FPUP-FORMAÇÃO PEDAGÓGICA EM PEDAGOGIA- U</v>
      </c>
    </row>
    <row r="5540">
      <c r="A5540" s="390" t="str">
        <f>IFERROR(__xludf.DUMMYFUNCTION("""COMPUTED_VALUE"""),"MAYRES DA SILVA ARAÚJO RIBEIRO - FORMAÇÃO PEDAGÓGICA EM CIÊNCIAS SOCIAIS-2022 (EDU+) 660h")</f>
        <v>MAYRES DA SILVA ARAÚJO RIBEIRO - FORMAÇÃO PEDAGÓGICA EM CIÊNCIAS SOCIAIS-2022 (EDU+) 660h</v>
      </c>
    </row>
    <row r="5541">
      <c r="A5541" s="390" t="str">
        <f>IFERROR(__xludf.DUMMYFUNCTION("""COMPUTED_VALUE"""),"MAYRES DA SILVA ARAÚJO RIBEIRO - FORMAÇÃO PEDAGÓGICA EM CIÊNCIAS SOCIAIS-2022 (EDU+) 660h")</f>
        <v>MAYRES DA SILVA ARAÚJO RIBEIRO - FORMAÇÃO PEDAGÓGICA EM CIÊNCIAS SOCIAIS-2022 (EDU+) 660h</v>
      </c>
    </row>
    <row r="5542">
      <c r="A5542" s="390" t="str">
        <f>IFERROR(__xludf.DUMMYFUNCTION("""COMPUTED_VALUE"""),"MAYRES DA SILVA ARAÚJO RIBEIRO - FORMAÇÃO PEDAGÓGICA EM CIÊNCIAS SOCIAIS-2022 (EDU+) 660h")</f>
        <v>MAYRES DA SILVA ARAÚJO RIBEIRO - FORMAÇÃO PEDAGÓGICA EM CIÊNCIAS SOCIAIS-2022 (EDU+) 660h</v>
      </c>
    </row>
    <row r="5543">
      <c r="A5543" s="390" t="str">
        <f>IFERROR(__xludf.DUMMYFUNCTION("""COMPUTED_VALUE"""),"Rosilene Marques Silva Santos - Formação Livre em Psicanálise-2022")</f>
        <v>Rosilene Marques Silva Santos - Formação Livre em Psicanálise-2022</v>
      </c>
    </row>
    <row r="5544">
      <c r="A5544" s="390" t="str">
        <f>IFERROR(__xludf.DUMMYFUNCTION("""COMPUTED_VALUE"""),"Diego da Silva Rosa - Formação Livre em Psicanálise-2022")</f>
        <v>Diego da Silva Rosa - Formação Livre em Psicanálise-2022</v>
      </c>
    </row>
    <row r="5545">
      <c r="A5545" s="390" t="str">
        <f>IFERROR(__xludf.DUMMYFUNCTION("""COMPUTED_VALUE"""),"Juliana Cristina Amancio Machado - Pós-Graduação em Gestão Escolar Integradora com Ênfase em Supervisão, Orientação, Administração e Inspeção 870Horas")</f>
        <v>Juliana Cristina Amancio Machado - Pós-Graduação em Gestão Escolar Integradora com Ênfase em Supervisão, Orientação, Administração e Inspeção 870Horas</v>
      </c>
    </row>
    <row r="5546">
      <c r="A5546" s="390" t="str">
        <f>IFERROR(__xludf.DUMMYFUNCTION("""COMPUTED_VALUE"""),"Jeane de Merize de Souza - #SLUP - SEGUNDA LICENCIATURA EM PEDAGOGIA")</f>
        <v>Jeane de Merize de Souza - #SLUP - SEGUNDA LICENCIATURA EM PEDAGOGIA</v>
      </c>
    </row>
    <row r="5547">
      <c r="A5547" s="390" t="str">
        <f>IFERROR(__xludf.DUMMYFUNCTION("""COMPUTED_VALUE"""),"Tarcísio Alves Liboni - #SLUP - SEGUNDA LICENCIATURA EM PEDAGOGIA")</f>
        <v>Tarcísio Alves Liboni - #SLUP - SEGUNDA LICENCIATURA EM PEDAGOGIA</v>
      </c>
    </row>
    <row r="5548">
      <c r="A5548" s="390" t="str">
        <f>IFERROR(__xludf.DUMMYFUNCTION("""COMPUTED_VALUE"""),"Tarcísio Alves Liboni - Pós-graduação em Gestão Escolar Integradora com Ênfase em Supervisão, Orientação, Administração e Inspeção 740Horas")</f>
        <v>Tarcísio Alves Liboni - Pós-graduação em Gestão Escolar Integradora com Ênfase em Supervisão, Orientação, Administração e Inspeção 740Horas</v>
      </c>
    </row>
    <row r="5549">
      <c r="A5549" s="390" t="str">
        <f>IFERROR(__xludf.DUMMYFUNCTION("""COMPUTED_VALUE"""),"Camila da Silva Sangaletti - Formação Livre em Psicanálise-2022")</f>
        <v>Camila da Silva Sangaletti - Formação Livre em Psicanálise-2022</v>
      </c>
    </row>
    <row r="5550">
      <c r="A5550" s="390" t="str">
        <f>IFERROR(__xludf.DUMMYFUNCTION("""COMPUTED_VALUE"""),"Mateus Avelal Romanowski - Pós-Graduação em Psicopedagogia Escolar")</f>
        <v>Mateus Avelal Romanowski - Pós-Graduação em Psicopedagogia Escolar</v>
      </c>
    </row>
    <row r="5551">
      <c r="A5551" s="390" t="str">
        <f>IFERROR(__xludf.DUMMYFUNCTION("""COMPUTED_VALUE"""),"Mateus Avelal Romanowski - #FPH+1 Formação Pedagógica em História 1200Hora")</f>
        <v>Mateus Avelal Romanowski - #FPH+1 Formação Pedagógica em História 1200Hora</v>
      </c>
    </row>
    <row r="5552">
      <c r="A5552" s="390" t="str">
        <f>IFERROR(__xludf.DUMMYFUNCTION("""COMPUTED_VALUE"""),"Mateus Avelal Romanowski - Formação Pedagógica em Ciências Sociais")</f>
        <v>Mateus Avelal Romanowski - Formação Pedagógica em Ciências Sociais</v>
      </c>
    </row>
    <row r="5553">
      <c r="A5553" s="390" t="str">
        <f>IFERROR(__xludf.DUMMYFUNCTION("""COMPUTED_VALUE"""),"Mateus Avelal Romanowski - #SLCSA - Segunda Licenciatura em Ciências Sociais")</f>
        <v>Mateus Avelal Romanowski - #SLCSA - Segunda Licenciatura em Ciências Sociais</v>
      </c>
    </row>
    <row r="5554">
      <c r="A5554" s="390" t="str">
        <f>IFERROR(__xludf.DUMMYFUNCTION("""COMPUTED_VALUE"""),"Mateus Avelal Romanowski - #FPCS02+ FORMAÇÃO PEDAGÓGICA CIÊNCIAS SOCIAIS")</f>
        <v>Mateus Avelal Romanowski - #FPCS02+ FORMAÇÃO PEDAGÓGICA CIÊNCIAS SOCIAIS</v>
      </c>
    </row>
    <row r="5555">
      <c r="A5555" s="390" t="str">
        <f>IFERROR(__xludf.DUMMYFUNCTION("""COMPUTED_VALUE"""),"Claudia de Sousa Moura Silva - Novo-Pós-Graduação em Sexologia 800Horas")</f>
        <v>Claudia de Sousa Moura Silva - Novo-Pós-Graduação em Sexologia 800Horas</v>
      </c>
    </row>
    <row r="5556">
      <c r="A5556" s="390" t="str">
        <f>IFERROR(__xludf.DUMMYFUNCTION("""COMPUTED_VALUE"""),"Aline Silva Gonçalves - Formação Livre em Psicanálise-2022")</f>
        <v>Aline Silva Gonçalves - Formação Livre em Psicanálise-2022</v>
      </c>
    </row>
    <row r="5557">
      <c r="A5557" s="390" t="str">
        <f>IFERROR(__xludf.DUMMYFUNCTION("""COMPUTED_VALUE"""),"Aline Silva Gonçalves - Capacitação em Sexologia")</f>
        <v>Aline Silva Gonçalves - Capacitação em Sexologia</v>
      </c>
    </row>
    <row r="5558">
      <c r="A5558" s="390" t="str">
        <f>IFERROR(__xludf.DUMMYFUNCTION("""COMPUTED_VALUE"""),"Leonice Aparecida dos Santos - #SLPT- Segunda Licenciatura em Pedagogia")</f>
        <v>Leonice Aparecida dos Santos - #SLPT- Segunda Licenciatura em Pedagogia</v>
      </c>
    </row>
    <row r="5559">
      <c r="A5559" s="390" t="str">
        <f>IFERROR(__xludf.DUMMYFUNCTION("""COMPUTED_VALUE"""),"Leonice Aparecida dos Santos - #FPT1-Pedagogia para Bacharéis e Tecnólogos (2022)")</f>
        <v>Leonice Aparecida dos Santos - #FPT1-Pedagogia para Bacharéis e Tecnólogos (2022)</v>
      </c>
    </row>
    <row r="5560">
      <c r="A5560" s="390" t="str">
        <f>IFERROR(__xludf.DUMMYFUNCTION("""COMPUTED_VALUE"""),"Maria das Vitórias Rodrigues da Silva - #SLUP - SEGUNDA LICENCIATURA EM PEDAGOGIA")</f>
        <v>Maria das Vitórias Rodrigues da Silva - #SLUP - SEGUNDA LICENCIATURA EM PEDAGOGIA</v>
      </c>
    </row>
    <row r="5561">
      <c r="A5561" s="390" t="str">
        <f>IFERROR(__xludf.DUMMYFUNCTION("""COMPUTED_VALUE"""),"Giselle Aparecida de Paulo da Silva - #FPT1-Pedagogia para Bacharéis e Tecnólogos (2022)")</f>
        <v>Giselle Aparecida de Paulo da Silva - #FPT1-Pedagogia para Bacharéis e Tecnólogos (2022)</v>
      </c>
    </row>
    <row r="5562">
      <c r="A5562" s="390" t="str">
        <f>IFERROR(__xludf.DUMMYFUNCTION("""COMPUTED_VALUE"""),"Luzane Francisca Gomes - #SLP22- Segunda Licenciatura em Pedagogia")</f>
        <v>Luzane Francisca Gomes - #SLP22- Segunda Licenciatura em Pedagogia</v>
      </c>
    </row>
    <row r="5563">
      <c r="A5563" s="390" t="str">
        <f>IFERROR(__xludf.DUMMYFUNCTION("""COMPUTED_VALUE"""),"Patricia Belfort - NOVO-Pós-Graduação em Psicanálise 800 Horas")</f>
        <v>Patricia Belfort - NOVO-Pós-Graduação em Psicanálise 800 Horas</v>
      </c>
    </row>
    <row r="5564">
      <c r="A5564" s="390" t="str">
        <f>IFERROR(__xludf.DUMMYFUNCTION("""COMPUTED_VALUE"""),"Patricia Belfort - PÓS-GRADUAÇÃO EM PSICANÁLISE 2022")</f>
        <v>Patricia Belfort - PÓS-GRADUAÇÃO EM PSICANÁLISE 2022</v>
      </c>
    </row>
    <row r="5565">
      <c r="A5565" s="390" t="str">
        <f>IFERROR(__xludf.DUMMYFUNCTION("""COMPUTED_VALUE"""),"Artur Charczuk - Pós-Graduação em Psicologia Hospitalar")</f>
        <v>Artur Charczuk - Pós-Graduação em Psicologia Hospitalar</v>
      </c>
    </row>
    <row r="5566">
      <c r="A5566" s="390" t="str">
        <f>IFERROR(__xludf.DUMMYFUNCTION("""COMPUTED_VALUE"""),"Artur Charczuk - Pós-Graduação em Avaliação Psicológica e Psicodiagnóstico")</f>
        <v>Artur Charczuk - Pós-Graduação em Avaliação Psicológica e Psicodiagnóstico</v>
      </c>
    </row>
    <row r="5567">
      <c r="A5567" s="390" t="str">
        <f>IFERROR(__xludf.DUMMYFUNCTION("""COMPUTED_VALUE"""),"Artur Charczuk - #SLLIT - Segunda Licenciatura em Letras-Inglês 1090Horas")</f>
        <v>Artur Charczuk - #SLLIT - Segunda Licenciatura em Letras-Inglês 1090Horas</v>
      </c>
    </row>
    <row r="5568">
      <c r="A5568" s="390" t="str">
        <f>IFERROR(__xludf.DUMMYFUNCTION("""COMPUTED_VALUE"""),"Artur Charczuk - Pós-Graduação em Avaliação Psicológica e Psicodiagnóstico TT")</f>
        <v>Artur Charczuk - Pós-Graduação em Avaliação Psicológica e Psicodiagnóstico TT</v>
      </c>
    </row>
    <row r="5569">
      <c r="A5569" s="390" t="str">
        <f>IFERROR(__xludf.DUMMYFUNCTION("""COMPUTED_VALUE"""),"Nivaldo dos Santos Pereira Júnior - #SLMF - Segunda Licenciatura em Música 1320Horas")</f>
        <v>Nivaldo dos Santos Pereira Júnior - #SLMF - Segunda Licenciatura em Música 1320Horas</v>
      </c>
    </row>
    <row r="5570">
      <c r="A5570" s="390" t="str">
        <f>IFERROR(__xludf.DUMMYFUNCTION("""COMPUTED_VALUE"""),"Nivaldo dos Santos Pereira Júnior - Pós-Graduação em Educação Musical")</f>
        <v>Nivaldo dos Santos Pereira Júnior - Pós-Graduação em Educação Musical</v>
      </c>
    </row>
    <row r="5571">
      <c r="A5571" s="390" t="str">
        <f>IFERROR(__xludf.DUMMYFUNCTION("""COMPUTED_VALUE"""),"Jocerlando Araújo de Souza - #SLMF- Segunda Licenciatura em Música 2022 880Horas")</f>
        <v>Jocerlando Araújo de Souza - #SLMF- Segunda Licenciatura em Música 2022 880Horas</v>
      </c>
    </row>
    <row r="5572">
      <c r="A5572" s="390" t="str">
        <f>IFERROR(__xludf.DUMMYFUNCTION("""COMPUTED_VALUE"""),"Jocerlando Araújo de Souza - NOVO-Pós-Graduação em Psicanálise 800 Horas")</f>
        <v>Jocerlando Araújo de Souza - NOVO-Pós-Graduação em Psicanálise 800 Horas</v>
      </c>
    </row>
    <row r="5573">
      <c r="A5573" s="390" t="str">
        <f>IFERROR(__xludf.DUMMYFUNCTION("""COMPUTED_VALUE"""),"Neilton Santos Azevedo - NOVO-Pós-Graduação em Psicanálise 800 Horas")</f>
        <v>Neilton Santos Azevedo - NOVO-Pós-Graduação em Psicanálise 800 Horas</v>
      </c>
    </row>
    <row r="5574">
      <c r="A5574" s="390" t="str">
        <f>IFERROR(__xludf.DUMMYFUNCTION("""COMPUTED_VALUE"""),"Maria Isabel Cardoso Zattera Meira - #SLMF- Segunda Licenciatura em Música 2022 880Horas")</f>
        <v>Maria Isabel Cardoso Zattera Meira - #SLMF- Segunda Licenciatura em Música 2022 880Horas</v>
      </c>
    </row>
    <row r="5575">
      <c r="A5575" s="390" t="str">
        <f>IFERROR(__xludf.DUMMYFUNCTION("""COMPUTED_VALUE"""),"Juliana Andrigo Piquetti Santos - SEGUNDA LICENCIATURA EM ARTES VISUAIS E+")</f>
        <v>Juliana Andrigo Piquetti Santos - SEGUNDA LICENCIATURA EM ARTES VISUAIS E+</v>
      </c>
    </row>
    <row r="5576">
      <c r="A5576" s="390" t="str">
        <f>IFERROR(__xludf.DUMMYFUNCTION("""COMPUTED_VALUE"""),"Nilma Oliveira Pinha - Pós-Graduação em Psicanálise")</f>
        <v>Nilma Oliveira Pinha - Pós-Graduação em Psicanálise</v>
      </c>
    </row>
    <row r="5577">
      <c r="A5577" s="390" t="str">
        <f>IFERROR(__xludf.DUMMYFUNCTION("""COMPUTED_VALUE"""),"Kelly de Castro Ursulo - #FPUP-FORMAÇÃO PEDAGÓGICA EM PEDAGOGIA- U")</f>
        <v>Kelly de Castro Ursulo - #FPUP-FORMAÇÃO PEDAGÓGICA EM PEDAGOGIA- U</v>
      </c>
    </row>
    <row r="5578">
      <c r="A5578" s="390" t="str">
        <f>IFERROR(__xludf.DUMMYFUNCTION("""COMPUTED_VALUE"""),"Kelly de Castro Ursulo - #FPP- Formação Pedagógica em Pedagogia R2")</f>
        <v>Kelly de Castro Ursulo - #FPP- Formação Pedagógica em Pedagogia R2</v>
      </c>
    </row>
    <row r="5579">
      <c r="A5579" s="390" t="str">
        <f>IFERROR(__xludf.DUMMYFUNCTION("""COMPUTED_VALUE"""),"Stela Maris Alves Ribeiro - #FPT1-Pedagogia para Bacharéis e Tecnólogos (2022)")</f>
        <v>Stela Maris Alves Ribeiro - #FPT1-Pedagogia para Bacharéis e Tecnólogos (2022)</v>
      </c>
    </row>
    <row r="5580">
      <c r="A5580" s="390" t="str">
        <f>IFERROR(__xludf.DUMMYFUNCTION("""COMPUTED_VALUE"""),"Vanessa Paula de Campos Ferreira - Pós-Graduação em Psicanálise")</f>
        <v>Vanessa Paula de Campos Ferreira - Pós-Graduação em Psicanálise</v>
      </c>
    </row>
    <row r="5581">
      <c r="A5581" s="390" t="str">
        <f>IFERROR(__xludf.DUMMYFUNCTION("""COMPUTED_VALUE"""),"Marcio Fernandes Conceição - Pós-Graduação em Psicanálise")</f>
        <v>Marcio Fernandes Conceição - Pós-Graduação em Psicanálise</v>
      </c>
    </row>
    <row r="5582">
      <c r="A5582" s="390" t="str">
        <f>IFERROR(__xludf.DUMMYFUNCTION("""COMPUTED_VALUE"""),"José Crishwelber Silva Menezes - Pós-Graduação em Supervisão Escolar e Orientação Educacional")</f>
        <v>José Crishwelber Silva Menezes - Pós-Graduação em Supervisão Escolar e Orientação Educacional</v>
      </c>
    </row>
    <row r="5583">
      <c r="A5583" s="390" t="str">
        <f>IFERROR(__xludf.DUMMYFUNCTION("""COMPUTED_VALUE"""),"José Crishwelber Silva Menezes - PÓS-GRADUAÇÃO EM PROJETOS PEDAGÓGICOS 600h")</f>
        <v>José Crishwelber Silva Menezes - PÓS-GRADUAÇÃO EM PROJETOS PEDAGÓGICOS 600h</v>
      </c>
    </row>
    <row r="5584">
      <c r="A5584" s="390" t="str">
        <f>IFERROR(__xludf.DUMMYFUNCTION("""COMPUTED_VALUE"""),"Adriana Inacio Monteiro - Pós-Graduação em Neuropsicopedagogia Clínica e Institucional")</f>
        <v>Adriana Inacio Monteiro - Pós-Graduação em Neuropsicopedagogia Clínica e Institucional</v>
      </c>
    </row>
    <row r="5585">
      <c r="A5585" s="390" t="str">
        <f>IFERROR(__xludf.DUMMYFUNCTION("""COMPUTED_VALUE"""),"Keity Almerentina Santos Silva - Formação Livre em Psicanálise-2022")</f>
        <v>Keity Almerentina Santos Silva - Formação Livre em Psicanálise-2022</v>
      </c>
    </row>
    <row r="5586">
      <c r="A5586" s="390" t="str">
        <f>IFERROR(__xludf.DUMMYFUNCTION("""COMPUTED_VALUE"""),"Elvis Antônio Nogueira de Oliveira - #SLLIT - Segunda Licenciatura em Letras-Inglês 1090Horas")</f>
        <v>Elvis Antônio Nogueira de Oliveira - #SLLIT - Segunda Licenciatura em Letras-Inglês 1090Horas</v>
      </c>
    </row>
    <row r="5587">
      <c r="A5587" s="390" t="str">
        <f>IFERROR(__xludf.DUMMYFUNCTION("""COMPUTED_VALUE"""),"Solange Maria de Brito Rocha - Pós-Graduação em Sexologia")</f>
        <v>Solange Maria de Brito Rocha - Pós-Graduação em Sexologia</v>
      </c>
    </row>
    <row r="5588">
      <c r="A5588" s="390" t="str">
        <f>IFERROR(__xludf.DUMMYFUNCTION("""COMPUTED_VALUE"""),"Cristina Vagnoni Moscardi do Carmo - #FPT1-Pedagogia para Bacharéis e Tecnólogos (2022)")</f>
        <v>Cristina Vagnoni Moscardi do Carmo - #FPT1-Pedagogia para Bacharéis e Tecnólogos (2022)</v>
      </c>
    </row>
    <row r="5589">
      <c r="A5589" s="390" t="str">
        <f>IFERROR(__xludf.DUMMYFUNCTION("""COMPUTED_VALUE"""),"Nisiane Teresinha Sergel - Pós-Graduação em Psicanálise")</f>
        <v>Nisiane Teresinha Sergel - Pós-Graduação em Psicanálise</v>
      </c>
    </row>
    <row r="5590">
      <c r="A5590" s="390" t="str">
        <f>IFERROR(__xludf.DUMMYFUNCTION("""COMPUTED_VALUE"""),"Leda Maria Haddad - Pós-Graduação em Sexologia")</f>
        <v>Leda Maria Haddad - Pós-Graduação em Sexologia</v>
      </c>
    </row>
    <row r="5591">
      <c r="A5591" s="390" t="str">
        <f>IFERROR(__xludf.DUMMYFUNCTION("""COMPUTED_VALUE"""),"Aldaíza Borges De Melo Ximenes - Formação Livre em Psicanálise-2022")</f>
        <v>Aldaíza Borges De Melo Ximenes - Formação Livre em Psicanálise-2022</v>
      </c>
    </row>
    <row r="5592">
      <c r="A5592" s="390" t="str">
        <f>IFERROR(__xludf.DUMMYFUNCTION("""COMPUTED_VALUE"""),"Allanis Gluck Thomaz Franzini - #SLMF - Segunda Licenciatura em Música 1320Horas")</f>
        <v>Allanis Gluck Thomaz Franzini - #SLMF - Segunda Licenciatura em Música 1320Horas</v>
      </c>
    </row>
    <row r="5593">
      <c r="A5593" s="390" t="str">
        <f>IFERROR(__xludf.DUMMYFUNCTION("""COMPUTED_VALUE"""),"EDNA SANTANA SANTOS - Pós-Graduação Neurociência e Aprendizagem")</f>
        <v>EDNA SANTANA SANTOS - Pós-Graduação Neurociência e Aprendizagem</v>
      </c>
    </row>
    <row r="5594">
      <c r="A5594" s="390" t="str">
        <f>IFERROR(__xludf.DUMMYFUNCTION("""COMPUTED_VALUE"""),"Saionara vivas de Almeida - Pós-Graduação em Sexologia")</f>
        <v>Saionara vivas de Almeida - Pós-Graduação em Sexologia</v>
      </c>
    </row>
    <row r="5595">
      <c r="A5595" s="390" t="str">
        <f>IFERROR(__xludf.DUMMYFUNCTION("""COMPUTED_VALUE"""),"Márcio André de Oliveira Lira - Pós-Graduação em Psicanálise")</f>
        <v>Márcio André de Oliveira Lira - Pós-Graduação em Psicanálise</v>
      </c>
    </row>
    <row r="5596">
      <c r="A5596" s="390" t="str">
        <f>IFERROR(__xludf.DUMMYFUNCTION("""COMPUTED_VALUE"""),"Álvaro da Costa Oliveira - Formação Livre em Psicanálise-2022")</f>
        <v>Álvaro da Costa Oliveira - Formação Livre em Psicanálise-2022</v>
      </c>
    </row>
    <row r="5597">
      <c r="A5597" s="390" t="str">
        <f>IFERROR(__xludf.DUMMYFUNCTION("""COMPUTED_VALUE"""),"Edmilson Barbosa Silvano - Pós-Graduação em Psicanálise")</f>
        <v>Edmilson Barbosa Silvano - Pós-Graduação em Psicanálise</v>
      </c>
    </row>
    <row r="5598">
      <c r="A5598" s="390" t="str">
        <f>IFERROR(__xludf.DUMMYFUNCTION("""COMPUTED_VALUE"""),"Luiz Carlos Nunes - Pós-Graduação em Psicanálise")</f>
        <v>Luiz Carlos Nunes - Pós-Graduação em Psicanálise</v>
      </c>
    </row>
    <row r="5599">
      <c r="A5599" s="390" t="str">
        <f>IFERROR(__xludf.DUMMYFUNCTION("""COMPUTED_VALUE"""),"Tais Alves Machado - Pós-Graduação em Sexologia")</f>
        <v>Tais Alves Machado - Pós-Graduação em Sexologia</v>
      </c>
    </row>
    <row r="5600">
      <c r="A5600" s="390" t="str">
        <f>IFERROR(__xludf.DUMMYFUNCTION("""COMPUTED_VALUE"""),"Guto José Ferreira Quirino - Formação Livre em Psicanálise-2022")</f>
        <v>Guto José Ferreira Quirino - Formação Livre em Psicanálise-2022</v>
      </c>
    </row>
    <row r="5601">
      <c r="A5601" s="390" t="str">
        <f>IFERROR(__xludf.DUMMYFUNCTION("""COMPUTED_VALUE"""),"Maria Augusta Silva de Moura - #FPUA- Formação Pedagógica em Artes Visuais")</f>
        <v>Maria Augusta Silva de Moura - #FPUA- Formação Pedagógica em Artes Visuais</v>
      </c>
    </row>
    <row r="5602">
      <c r="A5602" s="390" t="str">
        <f>IFERROR(__xludf.DUMMYFUNCTION("""COMPUTED_VALUE"""),"Maristela Baptistella Berte - Formação Livre em Psicanálise-2022")</f>
        <v>Maristela Baptistella Berte - Formação Livre em Psicanálise-2022</v>
      </c>
    </row>
    <row r="5603">
      <c r="A5603" s="390" t="str">
        <f>IFERROR(__xludf.DUMMYFUNCTION("""COMPUTED_VALUE"""),"Ronaldo Ferreira da Silva - PÓS-GRADUAÇÃO EM PSICANÁLISE 2022")</f>
        <v>Ronaldo Ferreira da Silva - PÓS-GRADUAÇÃO EM PSICANÁLISE 2022</v>
      </c>
    </row>
    <row r="5604">
      <c r="A5604" s="390" t="str">
        <f>IFERROR(__xludf.DUMMYFUNCTION("""COMPUTED_VALUE"""),"Luiza Cristina Gonçalves Moreira - Pós-Graduação em Sexologia")</f>
        <v>Luiza Cristina Gonçalves Moreira - Pós-Graduação em Sexologia</v>
      </c>
    </row>
    <row r="5605">
      <c r="A5605" s="390" t="str">
        <f>IFERROR(__xludf.DUMMYFUNCTION("""COMPUTED_VALUE"""),"Glória Rodrigues Nascimento - Pós-Graduação em História da Arte-2022")</f>
        <v>Glória Rodrigues Nascimento - Pós-Graduação em História da Arte-2022</v>
      </c>
    </row>
    <row r="5606">
      <c r="A5606" s="390" t="str">
        <f>IFERROR(__xludf.DUMMYFUNCTION("""COMPUTED_VALUE"""),"Cassiani Vitória Ferraz de Barros - Formação Livre em Sexologia")</f>
        <v>Cassiani Vitória Ferraz de Barros - Formação Livre em Sexologia</v>
      </c>
    </row>
    <row r="5607">
      <c r="A5607" s="390" t="str">
        <f>IFERROR(__xludf.DUMMYFUNCTION("""COMPUTED_VALUE"""),"Vilma Celia de Jesus - Formação Livre em Psicanálise-2022")</f>
        <v>Vilma Celia de Jesus - Formação Livre em Psicanálise-2022</v>
      </c>
    </row>
    <row r="5608">
      <c r="A5608" s="390" t="str">
        <f>IFERROR(__xludf.DUMMYFUNCTION("""COMPUTED_VALUE"""),"Adriane Felis Arantes - Pós-Graduação em Psicanálise")</f>
        <v>Adriane Felis Arantes - Pós-Graduação em Psicanálise</v>
      </c>
    </row>
    <row r="5609">
      <c r="A5609" s="390" t="str">
        <f>IFERROR(__xludf.DUMMYFUNCTION("""COMPUTED_VALUE"""),"Jeferson da Silva - #SLMF - Segunda Licenciatura em Música 1320Horas")</f>
        <v>Jeferson da Silva - #SLMF - Segunda Licenciatura em Música 1320Horas</v>
      </c>
    </row>
    <row r="5610">
      <c r="A5610" s="390" t="str">
        <f>IFERROR(__xludf.DUMMYFUNCTION("""COMPUTED_VALUE"""),"Jeferson da Silva - Pós-Graduação em Musicoterapia")</f>
        <v>Jeferson da Silva - Pós-Graduação em Musicoterapia</v>
      </c>
    </row>
    <row r="5611">
      <c r="A5611" s="390" t="str">
        <f>IFERROR(__xludf.DUMMYFUNCTION("""COMPUTED_VALUE"""),"Lívia Lima de Brito Camiletti - Formação Livre em Psicanálise-2022")</f>
        <v>Lívia Lima de Brito Camiletti - Formação Livre em Psicanálise-2022</v>
      </c>
    </row>
    <row r="5612">
      <c r="A5612" s="390" t="str">
        <f>IFERROR(__xludf.DUMMYFUNCTION("""COMPUTED_VALUE"""),"Lívia Lima de Brito Camiletti - Formação Livre em Sexologia")</f>
        <v>Lívia Lima de Brito Camiletti - Formação Livre em Sexologia</v>
      </c>
    </row>
    <row r="5613">
      <c r="A5613" s="390" t="str">
        <f>IFERROR(__xludf.DUMMYFUNCTION("""COMPUTED_VALUE"""),"Ana Rita Pereira de Arruda e Silva - #SLUP - SEGUNDA LICENCIATURA EM PEDAGOGIA")</f>
        <v>Ana Rita Pereira de Arruda e Silva - #SLUP - SEGUNDA LICENCIATURA EM PEDAGOGIA</v>
      </c>
    </row>
    <row r="5614">
      <c r="A5614" s="390" t="str">
        <f>IFERROR(__xludf.DUMMYFUNCTION("""COMPUTED_VALUE"""),"Acidália Vaz Sampaio Neta Moura - #FPUP-FORMAÇÃO PEDAGÓGICA EM PEDAGOGIA- U")</f>
        <v>Acidália Vaz Sampaio Neta Moura - #FPUP-FORMAÇÃO PEDAGÓGICA EM PEDAGOGIA- U</v>
      </c>
    </row>
    <row r="5615">
      <c r="A5615" s="390" t="str">
        <f>IFERROR(__xludf.DUMMYFUNCTION("""COMPUTED_VALUE"""),"Ieda Santos de Lima - Formação Livre em Psicanálise-2022")</f>
        <v>Ieda Santos de Lima - Formação Livre em Psicanálise-2022</v>
      </c>
    </row>
    <row r="5616">
      <c r="A5616" s="390" t="str">
        <f>IFERROR(__xludf.DUMMYFUNCTION("""COMPUTED_VALUE"""),"Adriana dos Santos Bento - Pós-Graduação em Neuropsicopedagogia Institucional, Clínica e Hospitalar 850h")</f>
        <v>Adriana dos Santos Bento - Pós-Graduação em Neuropsicopedagogia Institucional, Clínica e Hospitalar 850h</v>
      </c>
    </row>
    <row r="5617">
      <c r="A5617" s="390" t="str">
        <f>IFERROR(__xludf.DUMMYFUNCTION("""COMPUTED_VALUE"""),"Zenildo Santos Silva - Pós-Graduação em Psicanálise")</f>
        <v>Zenildo Santos Silva - Pós-Graduação em Psicanálise</v>
      </c>
    </row>
    <row r="5618">
      <c r="A5618" s="390" t="str">
        <f>IFERROR(__xludf.DUMMYFUNCTION("""COMPUTED_VALUE"""),"Lidiane Cristina Cavallin - Pós-Graduação em Psicanálise")</f>
        <v>Lidiane Cristina Cavallin - Pós-Graduação em Psicanálise</v>
      </c>
    </row>
    <row r="5619">
      <c r="A5619" s="390" t="str">
        <f>IFERROR(__xludf.DUMMYFUNCTION("""COMPUTED_VALUE"""),"Lidiane Cristina Cavallin - Pós-Graduação em Sexologia")</f>
        <v>Lidiane Cristina Cavallin - Pós-Graduação em Sexologia</v>
      </c>
    </row>
    <row r="5620">
      <c r="A5620" s="390" t="str">
        <f>IFERROR(__xludf.DUMMYFUNCTION("""COMPUTED_VALUE"""),"Cristiano de Salles Mendes - Formação Livre em Psicanálise-2022")</f>
        <v>Cristiano de Salles Mendes - Formação Livre em Psicanálise-2022</v>
      </c>
    </row>
    <row r="5621">
      <c r="A5621" s="390" t="str">
        <f>IFERROR(__xludf.DUMMYFUNCTION("""COMPUTED_VALUE"""),"Jenifer Aparecida Petroski - Formação Livre em Psicanálise-2022")</f>
        <v>Jenifer Aparecida Petroski - Formação Livre em Psicanálise-2022</v>
      </c>
    </row>
    <row r="5622">
      <c r="A5622" s="390" t="str">
        <f>IFERROR(__xludf.DUMMYFUNCTION("""COMPUTED_VALUE"""),"Silvana Maia dos Santos Lopes - NOVO-Pós-Graduação em Psicanálise 800 Horas")</f>
        <v>Silvana Maia dos Santos Lopes - NOVO-Pós-Graduação em Psicanálise 800 Horas</v>
      </c>
    </row>
    <row r="5623">
      <c r="A5623" s="390" t="str">
        <f>IFERROR(__xludf.DUMMYFUNCTION("""COMPUTED_VALUE"""),"Rosângela Cristina de Souza Silva - #FPP- Formação Pedagógica em Pedagogia R2")</f>
        <v>Rosângela Cristina de Souza Silva - #FPP- Formação Pedagógica em Pedagogia R2</v>
      </c>
    </row>
    <row r="5624">
      <c r="A5624" s="390" t="str">
        <f>IFERROR(__xludf.DUMMYFUNCTION("""COMPUTED_VALUE"""),"osielrib@gmail.com - #SLUC - SEGUNDA LICENCIATURA EM CIÊNCIAS DA RELIGIÃO- U")</f>
        <v>osielrib@gmail.com - #SLUC - SEGUNDA LICENCIATURA EM CIÊNCIAS DA RELIGIÃO- U</v>
      </c>
    </row>
    <row r="5625">
      <c r="A5625" s="390" t="str">
        <f>IFERROR(__xludf.DUMMYFUNCTION("""COMPUTED_VALUE"""),"Maria das Graças Alfredo da Silva - Formação Livre em Psicanálise-2022")</f>
        <v>Maria das Graças Alfredo da Silva - Formação Livre em Psicanálise-2022</v>
      </c>
    </row>
    <row r="5626">
      <c r="A5626" s="390" t="str">
        <f>IFERROR(__xludf.DUMMYFUNCTION("""COMPUTED_VALUE"""),"Joesse Áurea Gontijo Lemos - Pós-Graduação Educação Especial e Inclusiva")</f>
        <v>Joesse Áurea Gontijo Lemos - Pós-Graduação Educação Especial e Inclusiva</v>
      </c>
    </row>
    <row r="5627">
      <c r="A5627" s="390" t="str">
        <f>IFERROR(__xludf.DUMMYFUNCTION("""COMPUTED_VALUE"""),"Joesse Áurea Gontijo Lemos - Pós-Graduação em Atendimento Educacional Especializado Com Ênfase Em Educação Especial e Inclusiva")</f>
        <v>Joesse Áurea Gontijo Lemos - Pós-Graduação em Atendimento Educacional Especializado Com Ênfase Em Educação Especial e Inclusiva</v>
      </c>
    </row>
    <row r="5628">
      <c r="A5628" s="390" t="str">
        <f>IFERROR(__xludf.DUMMYFUNCTION("""COMPUTED_VALUE"""),"Isac Nascimento Marques - Pós-Graduação em Docência do Ensino Superior e Tutoria de Educação a Distância")</f>
        <v>Isac Nascimento Marques - Pós-Graduação em Docência do Ensino Superior e Tutoria de Educação a Distância</v>
      </c>
    </row>
    <row r="5629">
      <c r="A5629" s="390" t="str">
        <f>IFERROR(__xludf.DUMMYFUNCTION("""COMPUTED_VALUE"""),"Isac Nascimento Marques - Pós-Graduação em Direito Previdenciário com Habilitação em docência no Ensino Superior")</f>
        <v>Isac Nascimento Marques - Pós-Graduação em Direito Previdenciário com Habilitação em docência no Ensino Superior</v>
      </c>
    </row>
    <row r="5630">
      <c r="A5630" s="390" t="str">
        <f>IFERROR(__xludf.DUMMYFUNCTION("""COMPUTED_VALUE"""),"Luiz Alberto Leite da Silva - #SLUC - SEGUNDA LICENCIATURA EM CIÊNCIAS DA RELIGIÃO- U")</f>
        <v>Luiz Alberto Leite da Silva - #SLUC - SEGUNDA LICENCIATURA EM CIÊNCIAS DA RELIGIÃO- U</v>
      </c>
    </row>
    <row r="5631">
      <c r="A5631" s="390" t="str">
        <f>IFERROR(__xludf.DUMMYFUNCTION("""COMPUTED_VALUE"""),"Vânia Vieira Pinheiro - FORMAÇÃO PEDAGÓGICA EM LETRAS – LÍNGUA PORTUGUESA E LIBRAS- U")</f>
        <v>Vânia Vieira Pinheiro - FORMAÇÃO PEDAGÓGICA EM LETRAS – LÍNGUA PORTUGUESA E LIBRAS- U</v>
      </c>
    </row>
    <row r="5632">
      <c r="A5632" s="390" t="str">
        <f>IFERROR(__xludf.DUMMYFUNCTION("""COMPUTED_VALUE"""),"Vânia Vieira Pinheiro - Pós-Graduação em Ensino da Língua Portuguesa")</f>
        <v>Vânia Vieira Pinheiro - Pós-Graduação em Ensino da Língua Portuguesa</v>
      </c>
    </row>
    <row r="5633">
      <c r="A5633" s="390" t="str">
        <f>IFERROR(__xludf.DUMMYFUNCTION("""COMPUTED_VALUE"""),"Mariana Vasconcelos de Moura Lima - Pós-Graduação em Terapia em ABA- Análise do Comportamento Aplicada")</f>
        <v>Mariana Vasconcelos de Moura Lima - Pós-Graduação em Terapia em ABA- Análise do Comportamento Aplicada</v>
      </c>
    </row>
    <row r="5634">
      <c r="A5634" s="390" t="str">
        <f>IFERROR(__xludf.DUMMYFUNCTION("""COMPUTED_VALUE"""),"Maria Claudete Jardim Gomes - Pós-Graduação em Gestão Escolar")</f>
        <v>Maria Claudete Jardim Gomes - Pós-Graduação em Gestão Escolar</v>
      </c>
    </row>
    <row r="5635">
      <c r="A5635" s="390" t="str">
        <f>IFERROR(__xludf.DUMMYFUNCTION("""COMPUTED_VALUE"""),"Maria Claudete Jardim Gomes - Pós-Graduação em Educação Infantil")</f>
        <v>Maria Claudete Jardim Gomes - Pós-Graduação em Educação Infantil</v>
      </c>
    </row>
    <row r="5636">
      <c r="A5636" s="390" t="str">
        <f>IFERROR(__xludf.DUMMYFUNCTION("""COMPUTED_VALUE"""),"Maria Claudete Jardim Gomes - Pós-Graduação Educação Especial e Inclusiva")</f>
        <v>Maria Claudete Jardim Gomes - Pós-Graduação Educação Especial e Inclusiva</v>
      </c>
    </row>
    <row r="5637">
      <c r="A5637" s="390" t="str">
        <f>IFERROR(__xludf.DUMMYFUNCTION("""COMPUTED_VALUE"""),"HERMÓGENES OLIVEIRA NEVES - Pós-Graduação em Psicanálise")</f>
        <v>HERMÓGENES OLIVEIRA NEVES - Pós-Graduação em Psicanálise</v>
      </c>
    </row>
    <row r="5638">
      <c r="A5638" s="390" t="str">
        <f>IFERROR(__xludf.DUMMYFUNCTION("""COMPUTED_VALUE"""),"Clecio Gomes Grilo - #FPUEF - Formação Pedagógica em Educação Física - 1200 Horas")</f>
        <v>Clecio Gomes Grilo - #FPUEF - Formação Pedagógica em Educação Física - 1200 Horas</v>
      </c>
    </row>
    <row r="5639">
      <c r="A5639" s="390" t="str">
        <f>IFERROR(__xludf.DUMMYFUNCTION("""COMPUTED_VALUE"""),"Rhanna Hayara Costa Santos - Pós-Graduação em Educação Física Escolar")</f>
        <v>Rhanna Hayara Costa Santos - Pós-Graduação em Educação Física Escolar</v>
      </c>
    </row>
    <row r="5640">
      <c r="A5640" s="390" t="str">
        <f>IFERROR(__xludf.DUMMYFUNCTION("""COMPUTED_VALUE"""),"Leonardo Mirio Jacintho - Pós-Graduação em Psicanálise")</f>
        <v>Leonardo Mirio Jacintho - Pós-Graduação em Psicanálise</v>
      </c>
    </row>
    <row r="5641">
      <c r="A5641" s="390" t="str">
        <f>IFERROR(__xludf.DUMMYFUNCTION("""COMPUTED_VALUE"""),"Abenilson Neves da Silva - Pós-Graduação em Ensino da Língua Portuguesa")</f>
        <v>Abenilson Neves da Silva - Pós-Graduação em Ensino da Língua Portuguesa</v>
      </c>
    </row>
    <row r="5642">
      <c r="A5642" s="390" t="str">
        <f>IFERROR(__xludf.DUMMYFUNCTION("""COMPUTED_VALUE"""),"Abenilson Neves da Silva - Pós-Graduação em História e Fundamentos da Filosofia")</f>
        <v>Abenilson Neves da Silva - Pós-Graduação em História e Fundamentos da Filosofia</v>
      </c>
    </row>
    <row r="5643">
      <c r="A5643" s="390" t="str">
        <f>IFERROR(__xludf.DUMMYFUNCTION("""COMPUTED_VALUE"""),"Abenilson Neves da Silva - Pós-Graduação em Língua Portuguesa, Redação e Oratória")</f>
        <v>Abenilson Neves da Silva - Pós-Graduação em Língua Portuguesa, Redação e Oratória</v>
      </c>
    </row>
    <row r="5644">
      <c r="A5644" s="390" t="str">
        <f>IFERROR(__xludf.DUMMYFUNCTION("""COMPUTED_VALUE"""),"Deuzania Alves dos Santos - Pós-Graduação em Psicanálise")</f>
        <v>Deuzania Alves dos Santos - Pós-Graduação em Psicanálise</v>
      </c>
    </row>
    <row r="5645">
      <c r="A5645" s="390" t="str">
        <f>IFERROR(__xludf.DUMMYFUNCTION("""COMPUTED_VALUE"""),"Deuzania Alves dos Santos - Formação Livre em Psicanálise-2022")</f>
        <v>Deuzania Alves dos Santos - Formação Livre em Psicanálise-2022</v>
      </c>
    </row>
    <row r="5646">
      <c r="A5646" s="390" t="str">
        <f>IFERROR(__xludf.DUMMYFUNCTION("""COMPUTED_VALUE"""),"Maria do Socorro Lopes de Macedo Lima - #SLH+- SEGUNDA LICENCIATURA EM HISTÓRIA")</f>
        <v>Maria do Socorro Lopes de Macedo Lima - #SLH+- SEGUNDA LICENCIATURA EM HISTÓRIA</v>
      </c>
    </row>
    <row r="5647">
      <c r="A5647" s="390" t="str">
        <f>IFERROR(__xludf.DUMMYFUNCTION("""COMPUTED_VALUE"""),"Maria do Socorro Lopes de Macedo Lima - #SLH+1- Segunda Licenciatura em História")</f>
        <v>Maria do Socorro Lopes de Macedo Lima - #SLH+1- Segunda Licenciatura em História</v>
      </c>
    </row>
    <row r="5648">
      <c r="A5648" s="390" t="str">
        <f>IFERROR(__xludf.DUMMYFUNCTION("""COMPUTED_VALUE"""),"Maria do Socorro Lopes de Macedo Lima - #SLH+1- Segunda Licenciatura em História")</f>
        <v>Maria do Socorro Lopes de Macedo Lima - #SLH+1- Segunda Licenciatura em História</v>
      </c>
    </row>
    <row r="5649">
      <c r="A5649" s="390" t="str">
        <f>IFERROR(__xludf.DUMMYFUNCTION("""COMPUTED_VALUE"""),"Ruthany Karina da Silva Santos - #SLUPI - SEGUNDA LICENCIATURA EM LETRAS – PORTUGUÊS E INGLÊS")</f>
        <v>Ruthany Karina da Silva Santos - #SLUPI - SEGUNDA LICENCIATURA EM LETRAS – PORTUGUÊS E INGLÊS</v>
      </c>
    </row>
    <row r="5650">
      <c r="A5650" s="390" t="str">
        <f>IFERROR(__xludf.DUMMYFUNCTION("""COMPUTED_VALUE"""),"Marisa Sueko Kamimura - Pós-Graduação em Sexologia")</f>
        <v>Marisa Sueko Kamimura - Pós-Graduação em Sexologia</v>
      </c>
    </row>
    <row r="5651">
      <c r="A5651" s="390" t="str">
        <f>IFERROR(__xludf.DUMMYFUNCTION("""COMPUTED_VALUE"""),"Suzana Cristina Nascimento de Castro - Pós-Graduação em Sexologia")</f>
        <v>Suzana Cristina Nascimento de Castro - Pós-Graduação em Sexologia</v>
      </c>
    </row>
    <row r="5652">
      <c r="A5652" s="390" t="str">
        <f>IFERROR(__xludf.DUMMYFUNCTION("""COMPUTED_VALUE"""),"Moisés Luciano Ricardo Silva - Formação Livre em Psicanálise-2022")</f>
        <v>Moisés Luciano Ricardo Silva - Formação Livre em Psicanálise-2022</v>
      </c>
    </row>
    <row r="5653">
      <c r="A5653" s="390" t="str">
        <f>IFERROR(__xludf.DUMMYFUNCTION("""COMPUTED_VALUE"""),"Aline Conceição de Barros de Oliveira - Pós-Graduação em Neuropsicopedagogia Institucional, Clínica e Hospitalar 850h")</f>
        <v>Aline Conceição de Barros de Oliveira - Pós-Graduação em Neuropsicopedagogia Institucional, Clínica e Hospitalar 850h</v>
      </c>
    </row>
    <row r="5654">
      <c r="A5654" s="390" t="str">
        <f>IFERROR(__xludf.DUMMYFUNCTION("""COMPUTED_VALUE"""),"Solange Cristina da Mota lima - Pós-Graduação em Psicanálise")</f>
        <v>Solange Cristina da Mota lima - Pós-Graduação em Psicanálise</v>
      </c>
    </row>
    <row r="5655">
      <c r="A5655" s="390" t="str">
        <f>IFERROR(__xludf.DUMMYFUNCTION("""COMPUTED_VALUE"""),"Luciano Vardenlri Torres - #SLMF - Segunda Licenciatura em Música 1320Horas")</f>
        <v>Luciano Vardenlri Torres - #SLMF - Segunda Licenciatura em Música 1320Horas</v>
      </c>
    </row>
    <row r="5656">
      <c r="A5656" s="390" t="str">
        <f>IFERROR(__xludf.DUMMYFUNCTION("""COMPUTED_VALUE"""),"Paulo Roberto Simões - #SLLIT - Segunda Licenciatura em Letras-Inglês 1090Horas")</f>
        <v>Paulo Roberto Simões - #SLLIT - Segunda Licenciatura em Letras-Inglês 1090Horas</v>
      </c>
    </row>
    <row r="5657">
      <c r="A5657" s="390" t="str">
        <f>IFERROR(__xludf.DUMMYFUNCTION("""COMPUTED_VALUE"""),"Paulo Roberto Simões - SEGUNDA LICENCIATURA PEDAGOGIA - 2024")</f>
        <v>Paulo Roberto Simões - SEGUNDA LICENCIATURA PEDAGOGIA - 2024</v>
      </c>
    </row>
    <row r="5658">
      <c r="A5658" s="390" t="str">
        <f>IFERROR(__xludf.DUMMYFUNCTION("""COMPUTED_VALUE"""),"Kassandra Azevedo - Formação Livre em Psicanálise-2022")</f>
        <v>Kassandra Azevedo - Formação Livre em Psicanálise-2022</v>
      </c>
    </row>
    <row r="5659">
      <c r="A5659" s="390" t="str">
        <f>IFERROR(__xludf.DUMMYFUNCTION("""COMPUTED_VALUE"""),"Bruno Dias de Freitas - #FPMF- Formação Pedagógica em Música 1200Horas")</f>
        <v>Bruno Dias de Freitas - #FPMF- Formação Pedagógica em Música 1200Horas</v>
      </c>
    </row>
    <row r="5660">
      <c r="A5660" s="390" t="str">
        <f>IFERROR(__xludf.DUMMYFUNCTION("""COMPUTED_VALUE"""),"Bruno Dias de Freitas - Pós-Graduação em Ciências de Dados")</f>
        <v>Bruno Dias de Freitas - Pós-Graduação em Ciências de Dados</v>
      </c>
    </row>
    <row r="5661">
      <c r="A5661" s="390" t="str">
        <f>IFERROR(__xludf.DUMMYFUNCTION("""COMPUTED_VALUE"""),"Daniela Baiochi Rodrigues Contrucci - Pós-Graduação em Psicologia do Trânsito")</f>
        <v>Daniela Baiochi Rodrigues Contrucci - Pós-Graduação em Psicologia do Trânsito</v>
      </c>
    </row>
    <row r="5662">
      <c r="A5662" s="390" t="str">
        <f>IFERROR(__xludf.DUMMYFUNCTION("""COMPUTED_VALUE"""),"Cristiano Felício Carvalho - #SLMF - Segunda Licenciatura em Música 1320Horas")</f>
        <v>Cristiano Felício Carvalho - #SLMF - Segunda Licenciatura em Música 1320Horas</v>
      </c>
    </row>
    <row r="5663">
      <c r="A5663" s="390" t="str">
        <f>IFERROR(__xludf.DUMMYFUNCTION("""COMPUTED_VALUE"""),"Jomar Lúcio de Lima - #FPMF- Formação Pedagógica em Música 1200Horas")</f>
        <v>Jomar Lúcio de Lima - #FPMF- Formação Pedagógica em Música 1200Horas</v>
      </c>
    </row>
    <row r="5664">
      <c r="A5664" s="390" t="str">
        <f>IFERROR(__xludf.DUMMYFUNCTION("""COMPUTED_VALUE"""),"Caroline Leite Grieco - #SLUP - SEGUNDA LICENCIATURA EM PEDAGOGIA")</f>
        <v>Caroline Leite Grieco - #SLUP - SEGUNDA LICENCIATURA EM PEDAGOGIA</v>
      </c>
    </row>
    <row r="5665">
      <c r="A5665" s="390" t="str">
        <f>IFERROR(__xludf.DUMMYFUNCTION("""COMPUTED_VALUE"""),"Nathália Batista Dias Fróes - #SLUEE - SEGUNDA LICENCIATURA EM EDUCAÇÃO ESPECIAL")</f>
        <v>Nathália Batista Dias Fróes - #SLUEE - SEGUNDA LICENCIATURA EM EDUCAÇÃO ESPECIAL</v>
      </c>
    </row>
    <row r="5666">
      <c r="A5666" s="390" t="str">
        <f>IFERROR(__xludf.DUMMYFUNCTION("""COMPUTED_VALUE"""),"Nathália Batista Dias Fróes - Pós-Graduação Alfabetização e Letramento")</f>
        <v>Nathália Batista Dias Fróes - Pós-Graduação Alfabetização e Letramento</v>
      </c>
    </row>
    <row r="5667">
      <c r="A5667" s="390" t="str">
        <f>IFERROR(__xludf.DUMMYFUNCTION("""COMPUTED_VALUE"""),"José Horlando da Silva - #SLMF - Segunda Licenciatura em Música 1320Horas")</f>
        <v>José Horlando da Silva - #SLMF - Segunda Licenciatura em Música 1320Horas</v>
      </c>
    </row>
    <row r="5668">
      <c r="A5668" s="390" t="str">
        <f>IFERROR(__xludf.DUMMYFUNCTION("""COMPUTED_VALUE"""),"ALLÍCIA DE SOUZA APOLINARIO - #FPUP-FORMAÇÃO PEDAGÓGICA EM PEDAGOGIA- U")</f>
        <v>ALLÍCIA DE SOUZA APOLINARIO - #FPUP-FORMAÇÃO PEDAGÓGICA EM PEDAGOGIA- U</v>
      </c>
    </row>
    <row r="5669">
      <c r="A5669" s="390" t="str">
        <f>IFERROR(__xludf.DUMMYFUNCTION("""COMPUTED_VALUE"""),"Ismael do Carmo Ramos - #SLLIT - Segunda Licenciatura em Letras-Inglês 1090Horas")</f>
        <v>Ismael do Carmo Ramos - #SLLIT - Segunda Licenciatura em Letras-Inglês 1090Horas</v>
      </c>
    </row>
    <row r="5670">
      <c r="A5670" s="390" t="str">
        <f>IFERROR(__xludf.DUMMYFUNCTION("""COMPUTED_VALUE"""),"Márcia Cristina Silva - #FPMF- Formação Pedagógica em Música 1200Horas")</f>
        <v>Márcia Cristina Silva - #FPMF- Formação Pedagógica em Música 1200Horas</v>
      </c>
    </row>
    <row r="5671">
      <c r="A5671" s="390" t="str">
        <f>IFERROR(__xludf.DUMMYFUNCTION("""COMPUTED_VALUE"""),"Márcia Cristina Silva - Pós-Graduação em Educação Musical")</f>
        <v>Márcia Cristina Silva - Pós-Graduação em Educação Musical</v>
      </c>
    </row>
    <row r="5672">
      <c r="A5672" s="390" t="str">
        <f>IFERROR(__xludf.DUMMYFUNCTION("""COMPUTED_VALUE"""),"Márcia Cristina Silva - Formação Livre em Psicanálise-2022")</f>
        <v>Márcia Cristina Silva - Formação Livre em Psicanálise-2022</v>
      </c>
    </row>
    <row r="5673">
      <c r="A5673" s="390" t="str">
        <f>IFERROR(__xludf.DUMMYFUNCTION("""COMPUTED_VALUE"""),"Iara Lázara Batista de Souza - #SLUP - SEGUNDA LICENCIATURA EM PEDAGOGIA")</f>
        <v>Iara Lázara Batista de Souza - #SLUP - SEGUNDA LICENCIATURA EM PEDAGOGIA</v>
      </c>
    </row>
    <row r="5674">
      <c r="A5674" s="390" t="str">
        <f>IFERROR(__xludf.DUMMYFUNCTION("""COMPUTED_VALUE"""),"Ana Lucia Maria Gastão - #SLUEF - Segunda Licenciatura em Educação Física")</f>
        <v>Ana Lucia Maria Gastão - #SLUEF - Segunda Licenciatura em Educação Física</v>
      </c>
    </row>
    <row r="5675">
      <c r="A5675" s="390" t="str">
        <f>IFERROR(__xludf.DUMMYFUNCTION("""COMPUTED_VALUE"""),"Shirley Mayara Ferreira - FORMAÇÃO PEDAGÓGICA EM LETRAS – PORTUGUÊS E ESPANHOL- U")</f>
        <v>Shirley Mayara Ferreira - FORMAÇÃO PEDAGÓGICA EM LETRAS – PORTUGUÊS E ESPANHOL- U</v>
      </c>
    </row>
    <row r="5676">
      <c r="A5676" s="390" t="str">
        <f>IFERROR(__xludf.DUMMYFUNCTION("""COMPUTED_VALUE"""),"Pedro Rafael Micheleti de Azevedo Oliveira Menezes - Formação Livre em Psicanálise-2022")</f>
        <v>Pedro Rafael Micheleti de Azevedo Oliveira Menezes - Formação Livre em Psicanálise-2022</v>
      </c>
    </row>
    <row r="5677">
      <c r="A5677" s="390" t="str">
        <f>IFERROR(__xludf.DUMMYFUNCTION("""COMPUTED_VALUE"""),"Isabel Cristina Ferreira - #FPA+- Formação Pedagógica em Artes Visuais-2022")</f>
        <v>Isabel Cristina Ferreira - #FPA+- Formação Pedagógica em Artes Visuais-2022</v>
      </c>
    </row>
    <row r="5678">
      <c r="A5678" s="390" t="str">
        <f>IFERROR(__xludf.DUMMYFUNCTION("""COMPUTED_VALUE"""),"Washington Jesus de Azevedo - #SLUEF - Segunda Licenciatura em Educação Física")</f>
        <v>Washington Jesus de Azevedo - #SLUEF - Segunda Licenciatura em Educação Física</v>
      </c>
    </row>
    <row r="5679">
      <c r="A5679" s="390" t="str">
        <f>IFERROR(__xludf.DUMMYFUNCTION("""COMPUTED_VALUE"""),"Lilian Alves de Almeida - Pós-Graduação em Neuropsicopedagogia Institucional, Clínica e Hospitalar 850h")</f>
        <v>Lilian Alves de Almeida - Pós-Graduação em Neuropsicopedagogia Institucional, Clínica e Hospitalar 850h</v>
      </c>
    </row>
    <row r="5680">
      <c r="A5680" s="390" t="str">
        <f>IFERROR(__xludf.DUMMYFUNCTION("""COMPUTED_VALUE"""),"Juciara Martins de Moraes - #SLPT- Segunda Licenciatura em Pedagogia")</f>
        <v>Juciara Martins de Moraes - #SLPT- Segunda Licenciatura em Pedagogia</v>
      </c>
    </row>
    <row r="5681">
      <c r="A5681" s="390" t="str">
        <f>IFERROR(__xludf.DUMMYFUNCTION("""COMPUTED_VALUE"""),"Juciara Martins de Moraes - Pós-Graduação em Coordenação e Orientação Escolar")</f>
        <v>Juciara Martins de Moraes - Pós-Graduação em Coordenação e Orientação Escolar</v>
      </c>
    </row>
    <row r="5682">
      <c r="A5682" s="390" t="str">
        <f>IFERROR(__xludf.DUMMYFUNCTION("""COMPUTED_VALUE"""),"Maira Rossi de Campos Vieira - Pós-Graduação em Sexologia")</f>
        <v>Maira Rossi de Campos Vieira - Pós-Graduação em Sexologia</v>
      </c>
    </row>
    <row r="5683">
      <c r="A5683" s="390" t="str">
        <f>IFERROR(__xludf.DUMMYFUNCTION("""COMPUTED_VALUE"""),"Angela Ferreira de Sousa - Pós-Graduação em Neuropsicopedagogia Institucional, Clínica e Hospitalar 850h")</f>
        <v>Angela Ferreira de Sousa - Pós-Graduação em Neuropsicopedagogia Institucional, Clínica e Hospitalar 850h</v>
      </c>
    </row>
    <row r="5684">
      <c r="A5684" s="390" t="str">
        <f>IFERROR(__xludf.DUMMYFUNCTION("""COMPUTED_VALUE"""),"Denise Amancio de Oliveira Braz - Pós-Graduação em Psicanálise")</f>
        <v>Denise Amancio de Oliveira Braz - Pós-Graduação em Psicanálise</v>
      </c>
    </row>
    <row r="5685">
      <c r="A5685" s="390" t="str">
        <f>IFERROR(__xludf.DUMMYFUNCTION("""COMPUTED_VALUE"""),"Alcivane Lima Teixeira Silva - Pós-Graduação em Psicanálise")</f>
        <v>Alcivane Lima Teixeira Silva - Pós-Graduação em Psicanálise</v>
      </c>
    </row>
    <row r="5686">
      <c r="A5686" s="390" t="str">
        <f>IFERROR(__xludf.DUMMYFUNCTION("""COMPUTED_VALUE"""),"Alcivane Lima Teixeira Silva - Pós-Graduação em Gestão de Marketing Digital")</f>
        <v>Alcivane Lima Teixeira Silva - Pós-Graduação em Gestão de Marketing Digital</v>
      </c>
    </row>
    <row r="5687">
      <c r="A5687" s="390" t="str">
        <f>IFERROR(__xludf.DUMMYFUNCTION("""COMPUTED_VALUE"""),"Cibele Nunes dos Santos - #SLUP - SEGUNDA LICENCIATURA EM PEDAGOGIA")</f>
        <v>Cibele Nunes dos Santos - #SLUP - SEGUNDA LICENCIATURA EM PEDAGOGIA</v>
      </c>
    </row>
    <row r="5688">
      <c r="A5688" s="390" t="str">
        <f>IFERROR(__xludf.DUMMYFUNCTION("""COMPUTED_VALUE"""),"Pedro Martins Junior - #SLPT- Segunda Licenciatura em Pedagogia")</f>
        <v>Pedro Martins Junior - #SLPT- Segunda Licenciatura em Pedagogia</v>
      </c>
    </row>
    <row r="5689">
      <c r="A5689" s="390" t="str">
        <f>IFERROR(__xludf.DUMMYFUNCTION("""COMPUTED_VALUE"""),"Isabella Ghigonetto - #SLMF - Segunda Licenciatura em Música 1320Horas")</f>
        <v>Isabella Ghigonetto - #SLMF - Segunda Licenciatura em Música 1320Horas</v>
      </c>
    </row>
    <row r="5690">
      <c r="A5690" s="390" t="str">
        <f>IFERROR(__xludf.DUMMYFUNCTION("""COMPUTED_VALUE"""),"José Eduardo Silvério - FORMAÇÃO PEDAGÓGICA EM LETRAS – LÍNGUA PORTUGUESA E LIBRAS- U")</f>
        <v>José Eduardo Silvério - FORMAÇÃO PEDAGÓGICA EM LETRAS – LÍNGUA PORTUGUESA E LIBRAS- U</v>
      </c>
    </row>
    <row r="5691">
      <c r="A5691" s="390" t="str">
        <f>IFERROR(__xludf.DUMMYFUNCTION("""COMPUTED_VALUE"""),"Marina Pires Neder - #SLUP - SEGUNDA LICENCIATURA EM PEDAGOGIA")</f>
        <v>Marina Pires Neder - #SLUP - SEGUNDA LICENCIATURA EM PEDAGOGIA</v>
      </c>
    </row>
    <row r="5692">
      <c r="A5692" s="390" t="str">
        <f>IFERROR(__xludf.DUMMYFUNCTION("""COMPUTED_VALUE"""),"Marina Pires Neder - NOVO-Pós-Graduação em Psicanálise 800 Horas")</f>
        <v>Marina Pires Neder - NOVO-Pós-Graduação em Psicanálise 800 Horas</v>
      </c>
    </row>
    <row r="5693">
      <c r="A5693" s="390" t="str">
        <f>IFERROR(__xludf.DUMMYFUNCTION("""COMPUTED_VALUE"""),"Marina Pires Neder - #SLPA- Segunda Licenciatura em Pedagogia 01")</f>
        <v>Marina Pires Neder - #SLPA- Segunda Licenciatura em Pedagogia 01</v>
      </c>
    </row>
    <row r="5694">
      <c r="A5694" s="390" t="str">
        <f>IFERROR(__xludf.DUMMYFUNCTION("""COMPUTED_VALUE"""),"Amanda Gusmão de Souza Goebel - #FPUP-FORMAÇÃO PEDAGÓGICA EM PEDAGOGIA- U")</f>
        <v>Amanda Gusmão de Souza Goebel - #FPUP-FORMAÇÃO PEDAGÓGICA EM PEDAGOGIA- U</v>
      </c>
    </row>
    <row r="5695">
      <c r="A5695" s="390" t="str">
        <f>IFERROR(__xludf.DUMMYFUNCTION("""COMPUTED_VALUE"""),"Flaviana dos Santos Silva - #SLPA- Segunda Licenciatura em Pedagogia 01")</f>
        <v>Flaviana dos Santos Silva - #SLPA- Segunda Licenciatura em Pedagogia 01</v>
      </c>
    </row>
    <row r="5696">
      <c r="A5696" s="390" t="str">
        <f>IFERROR(__xludf.DUMMYFUNCTION("""COMPUTED_VALUE"""),"Max Camilo Oliveira da Silva - Pós-Graduação em MBA em Auditoria Contábil")</f>
        <v>Max Camilo Oliveira da Silva - Pós-Graduação em MBA em Auditoria Contábil</v>
      </c>
    </row>
    <row r="5697">
      <c r="A5697" s="390" t="str">
        <f>IFERROR(__xludf.DUMMYFUNCTION("""COMPUTED_VALUE"""),"Thiago Alexandre Gomes Favaris - FORMAÇÃO PEDAGÓGICA EM LETRAS – PORTUGUÊS E ESPANHOL- U")</f>
        <v>Thiago Alexandre Gomes Favaris - FORMAÇÃO PEDAGÓGICA EM LETRAS – PORTUGUÊS E ESPANHOL- U</v>
      </c>
    </row>
    <row r="5698">
      <c r="A5698" s="390" t="str">
        <f>IFERROR(__xludf.DUMMYFUNCTION("""COMPUTED_VALUE"""),"Thiago Alexandre Gomes Favaris - Pós-Graduação em GESTÃO ESTRATÉGICA DE PROJETO E METODOLOGIAS ÁGEIS 600h")</f>
        <v>Thiago Alexandre Gomes Favaris - Pós-Graduação em GESTÃO ESTRATÉGICA DE PROJETO E METODOLOGIAS ÁGEIS 600h</v>
      </c>
    </row>
    <row r="5699">
      <c r="A5699" s="390" t="str">
        <f>IFERROR(__xludf.DUMMYFUNCTION("""COMPUTED_VALUE"""),"Rosângela Santos Campos - SUPERVISÃO E ORIENTAÇÃO EM EDUCAÇÃO INFANTIL - 600h")</f>
        <v>Rosângela Santos Campos - SUPERVISÃO E ORIENTAÇÃO EM EDUCAÇÃO INFANTIL - 600h</v>
      </c>
    </row>
    <row r="5700">
      <c r="A5700" s="390" t="str">
        <f>IFERROR(__xludf.DUMMYFUNCTION("""COMPUTED_VALUE"""),"Josicleide Alves de Oliveira - Pós-Graduação em Sexologia")</f>
        <v>Josicleide Alves de Oliveira - Pós-Graduação em Sexologia</v>
      </c>
    </row>
    <row r="5701">
      <c r="A5701" s="390" t="str">
        <f>IFERROR(__xludf.DUMMYFUNCTION("""COMPUTED_VALUE"""),"Josicleide Alves de Oliveira - Pós-Graduação Terapia Cognitiva Comportamental")</f>
        <v>Josicleide Alves de Oliveira - Pós-Graduação Terapia Cognitiva Comportamental</v>
      </c>
    </row>
    <row r="5702">
      <c r="A5702" s="390" t="str">
        <f>IFERROR(__xludf.DUMMYFUNCTION("""COMPUTED_VALUE"""),"Geovane de Arruda Barbosa - Pós-Graduação tutoria em educação a distância")</f>
        <v>Geovane de Arruda Barbosa - Pós-Graduação tutoria em educação a distância</v>
      </c>
    </row>
    <row r="5703">
      <c r="A5703" s="390" t="str">
        <f>IFERROR(__xludf.DUMMYFUNCTION("""COMPUTED_VALUE"""),"Geovane de Arruda Barbosa - Pós-Graduação em Musicoterapia")</f>
        <v>Geovane de Arruda Barbosa - Pós-Graduação em Musicoterapia</v>
      </c>
    </row>
    <row r="5704">
      <c r="A5704" s="390" t="str">
        <f>IFERROR(__xludf.DUMMYFUNCTION("""COMPUTED_VALUE"""),"Adma da Silva Ajala - Pós-Graduação em Educação Física Escolar e Treinamento Desportivo")</f>
        <v>Adma da Silva Ajala - Pós-Graduação em Educação Física Escolar e Treinamento Desportivo</v>
      </c>
    </row>
    <row r="5705">
      <c r="A5705" s="390" t="str">
        <f>IFERROR(__xludf.DUMMYFUNCTION("""COMPUTED_VALUE"""),"Kelly Kene Dutra Magalhães - #FPUP-FORMAÇÃO PEDAGÓGICA EM PEDAGOGIA- U")</f>
        <v>Kelly Kene Dutra Magalhães - #FPUP-FORMAÇÃO PEDAGÓGICA EM PEDAGOGIA- U</v>
      </c>
    </row>
    <row r="5706">
      <c r="A5706" s="390" t="str">
        <f>IFERROR(__xludf.DUMMYFUNCTION("""COMPUTED_VALUE"""),"Kelly Kene Dutra Magalhães - Pós-Graduação Educação Especial e Inclusiva")</f>
        <v>Kelly Kene Dutra Magalhães - Pós-Graduação Educação Especial e Inclusiva</v>
      </c>
    </row>
    <row r="5707">
      <c r="A5707" s="390" t="str">
        <f>IFERROR(__xludf.DUMMYFUNCTION("""COMPUTED_VALUE"""),"Joás Teodoro - #SLMF - Segunda Licenciatura em Música 1320Horas")</f>
        <v>Joás Teodoro - #SLMF - Segunda Licenciatura em Música 1320Horas</v>
      </c>
    </row>
    <row r="5708">
      <c r="A5708" s="390" t="str">
        <f>IFERROR(__xludf.DUMMYFUNCTION("""COMPUTED_VALUE"""),"José Anderson Magalhães Leite da Silva - #FPMF- Formação Pedagógica em Música 1200Horas")</f>
        <v>José Anderson Magalhães Leite da Silva - #FPMF- Formação Pedagógica em Música 1200Horas</v>
      </c>
    </row>
    <row r="5709">
      <c r="A5709" s="390" t="str">
        <f>IFERROR(__xludf.DUMMYFUNCTION("""COMPUTED_VALUE"""),"Willian Joventino Antônio de Souza - #FPMF- Formação Pedagógica em Música 2022")</f>
        <v>Willian Joventino Antônio de Souza - #FPMF- Formação Pedagógica em Música 2022</v>
      </c>
    </row>
    <row r="5710">
      <c r="A5710" s="390" t="str">
        <f>IFERROR(__xludf.DUMMYFUNCTION("""COMPUTED_VALUE"""),"Willian Joventino Antônio de Souza - Pós-Graduação em Musicoterapia")</f>
        <v>Willian Joventino Antônio de Souza - Pós-Graduação em Musicoterapia</v>
      </c>
    </row>
    <row r="5711">
      <c r="A5711" s="390" t="str">
        <f>IFERROR(__xludf.DUMMYFUNCTION("""COMPUTED_VALUE"""),"Willian Joventino Antônio de Souza - #FPMF- Formação Pedagógica em Música 1200Horas")</f>
        <v>Willian Joventino Antônio de Souza - #FPMF- Formação Pedagógica em Música 1200Horas</v>
      </c>
    </row>
    <row r="5712">
      <c r="A5712" s="390" t="str">
        <f>IFERROR(__xludf.DUMMYFUNCTION("""COMPUTED_VALUE"""),"Wandell Jefferson Silva dos Santos - Pós-Graduação em Gestão Escolar Integrada com Ênfase em Supervisão, Orientação, Administração e Inspeção")</f>
        <v>Wandell Jefferson Silva dos Santos - Pós-Graduação em Gestão Escolar Integrada com Ênfase em Supervisão, Orientação, Administração e Inspeção</v>
      </c>
    </row>
    <row r="5713">
      <c r="A5713" s="390" t="str">
        <f>IFERROR(__xludf.DUMMYFUNCTION("""COMPUTED_VALUE"""),"Fabiana Cristina Hernandez Sousa - Pós-Graduação em Sexologia")</f>
        <v>Fabiana Cristina Hernandez Sousa - Pós-Graduação em Sexologia</v>
      </c>
    </row>
    <row r="5714">
      <c r="A5714" s="390" t="str">
        <f>IFERROR(__xludf.DUMMYFUNCTION("""COMPUTED_VALUE"""),"Fabiana Cristina Hernandez Sousa - Pós-Graduação em Psicanálise")</f>
        <v>Fabiana Cristina Hernandez Sousa - Pós-Graduação em Psicanálise</v>
      </c>
    </row>
    <row r="5715">
      <c r="A5715" s="390" t="str">
        <f>IFERROR(__xludf.DUMMYFUNCTION("""COMPUTED_VALUE"""),"Rui Dos Santos - #SLLIT - Segunda Licenciatura em Letras-Inglês 1090Horas")</f>
        <v>Rui Dos Santos - #SLLIT - Segunda Licenciatura em Letras-Inglês 1090Horas</v>
      </c>
    </row>
    <row r="5716">
      <c r="A5716" s="390" t="str">
        <f>IFERROR(__xludf.DUMMYFUNCTION("""COMPUTED_VALUE"""),"Carla Cristina de Sá Moreira - #SLMF - Segunda Licenciatura em Música 1320Horas")</f>
        <v>Carla Cristina de Sá Moreira - #SLMF - Segunda Licenciatura em Música 1320Horas</v>
      </c>
    </row>
    <row r="5717">
      <c r="A5717" s="390" t="str">
        <f>IFERROR(__xludf.DUMMYFUNCTION("""COMPUTED_VALUE"""),"José Niles da Silva Junior - Formação Livre em Psicanálise-2022")</f>
        <v>José Niles da Silva Junior - Formação Livre em Psicanálise-2022</v>
      </c>
    </row>
    <row r="5718">
      <c r="A5718" s="390" t="str">
        <f>IFERROR(__xludf.DUMMYFUNCTION("""COMPUTED_VALUE"""),"Lidiane Juvenal Guimarães - Pós-Graduação em Psicomotricidade")</f>
        <v>Lidiane Juvenal Guimarães - Pós-Graduação em Psicomotricidade</v>
      </c>
    </row>
    <row r="5719">
      <c r="A5719" s="390" t="str">
        <f>IFERROR(__xludf.DUMMYFUNCTION("""COMPUTED_VALUE"""),"Hernani Silva De Amorim - #SLMF - Segunda Licenciatura em Música 1320Horas")</f>
        <v>Hernani Silva De Amorim - #SLMF - Segunda Licenciatura em Música 1320Horas</v>
      </c>
    </row>
    <row r="5720">
      <c r="A5720" s="390" t="str">
        <f>IFERROR(__xludf.DUMMYFUNCTION("""COMPUTED_VALUE"""),"Cassio Freire da Silva - Pós-Graduação em Gestão Escolar Integrada com Ênfase em Supervisão, Orientação, Administração e Inspeção")</f>
        <v>Cassio Freire da Silva - Pós-Graduação em Gestão Escolar Integrada com Ênfase em Supervisão, Orientação, Administração e Inspeção</v>
      </c>
    </row>
    <row r="5721">
      <c r="A5721" s="390" t="str">
        <f>IFERROR(__xludf.DUMMYFUNCTION("""COMPUTED_VALUE"""),"Regina Paula Silva Gonçalves - #FPT1-Pedagogia para Bacharéis e Tecnólogos (2022)")</f>
        <v>Regina Paula Silva Gonçalves - #FPT1-Pedagogia para Bacharéis e Tecnólogos (2022)</v>
      </c>
    </row>
    <row r="5722">
      <c r="A5722" s="390" t="str">
        <f>IFERROR(__xludf.DUMMYFUNCTION("""COMPUTED_VALUE"""),"Werika Marcia Carvalho Sodré - Pós-Graduação em Atendimento Educacional Especializado Com Ênfase Em Educação Especial e Inclusiva")</f>
        <v>Werika Marcia Carvalho Sodré - Pós-Graduação em Atendimento Educacional Especializado Com Ênfase Em Educação Especial e Inclusiva</v>
      </c>
    </row>
    <row r="5723">
      <c r="A5723" s="390" t="str">
        <f>IFERROR(__xludf.DUMMYFUNCTION("""COMPUTED_VALUE"""),"KARINE ALVES DE LIMA BITENCOURT - #SLPA- Segunda Licenciatura em Pedagogia 01")</f>
        <v>KARINE ALVES DE LIMA BITENCOURT - #SLPA- Segunda Licenciatura em Pedagogia 01</v>
      </c>
    </row>
    <row r="5724">
      <c r="A5724" s="390" t="str">
        <f>IFERROR(__xludf.DUMMYFUNCTION("""COMPUTED_VALUE"""),"Evandro de Andrade Silva - Formação Livre em Psicanálise-2022")</f>
        <v>Evandro de Andrade Silva - Formação Livre em Psicanálise-2022</v>
      </c>
    </row>
    <row r="5725">
      <c r="A5725" s="390" t="str">
        <f>IFERROR(__xludf.DUMMYFUNCTION("""COMPUTED_VALUE"""),"Jaqueline Oliveira dos Santos da Silva - Formação Livre em Psicanálise-2022")</f>
        <v>Jaqueline Oliveira dos Santos da Silva - Formação Livre em Psicanálise-2022</v>
      </c>
    </row>
    <row r="5726">
      <c r="A5726" s="390" t="str">
        <f>IFERROR(__xludf.DUMMYFUNCTION("""COMPUTED_VALUE"""),"Marcelo da Silva - Pós-Graduação em Psicanálise")</f>
        <v>Marcelo da Silva - Pós-Graduação em Psicanálise</v>
      </c>
    </row>
    <row r="5727">
      <c r="A5727" s="390" t="str">
        <f>IFERROR(__xludf.DUMMYFUNCTION("""COMPUTED_VALUE"""),"Claudio Fabrício Martins - Formação Livre em Psicanálise-2022")</f>
        <v>Claudio Fabrício Martins - Formação Livre em Psicanálise-2022</v>
      </c>
    </row>
    <row r="5728">
      <c r="A5728" s="390" t="str">
        <f>IFERROR(__xludf.DUMMYFUNCTION("""COMPUTED_VALUE"""),"Weliton José Soares da Costa - #SLMF - Segunda Licenciatura em Música 1320Horas")</f>
        <v>Weliton José Soares da Costa - #SLMF - Segunda Licenciatura em Música 1320Horas</v>
      </c>
    </row>
    <row r="5729">
      <c r="A5729" s="390" t="str">
        <f>IFERROR(__xludf.DUMMYFUNCTION("""COMPUTED_VALUE"""),"Weliton José Soares da Costa - Pós-Graduação em Musicoterapia")</f>
        <v>Weliton José Soares da Costa - Pós-Graduação em Musicoterapia</v>
      </c>
    </row>
    <row r="5730">
      <c r="A5730" s="390" t="str">
        <f>IFERROR(__xludf.DUMMYFUNCTION("""COMPUTED_VALUE"""),"Sonia Izabel Forcelli - #FPMF- Formação Pedagógica em Música 1200Horas")</f>
        <v>Sonia Izabel Forcelli - #FPMF- Formação Pedagógica em Música 1200Horas</v>
      </c>
    </row>
    <row r="5731">
      <c r="A5731" s="390" t="str">
        <f>IFERROR(__xludf.DUMMYFUNCTION("""COMPUTED_VALUE"""),"Roberto Marcos Gomes de Onófrio - #FPMF- Formação Pedagógica em Música 1200Horas")</f>
        <v>Roberto Marcos Gomes de Onófrio - #FPMF- Formação Pedagógica em Música 1200Horas</v>
      </c>
    </row>
    <row r="5732">
      <c r="A5732" s="390" t="str">
        <f>IFERROR(__xludf.DUMMYFUNCTION("""COMPUTED_VALUE"""),"Cíntia Mitiko Fukuda - Pós-Graduação em Neuropsicopedagogia Institucional, Clínica e Hospitalar 850h")</f>
        <v>Cíntia Mitiko Fukuda - Pós-Graduação em Neuropsicopedagogia Institucional, Clínica e Hospitalar 850h</v>
      </c>
    </row>
    <row r="5733">
      <c r="A5733" s="390" t="str">
        <f>IFERROR(__xludf.DUMMYFUNCTION("""COMPUTED_VALUE"""),"Adriane Fagundes Silveira Alves - #SLUEE - SEGUNDA LICENCIATURA EM EDUCAÇÃO ESPECIAL")</f>
        <v>Adriane Fagundes Silveira Alves - #SLUEE - SEGUNDA LICENCIATURA EM EDUCAÇÃO ESPECIAL</v>
      </c>
    </row>
    <row r="5734">
      <c r="A5734" s="390" t="str">
        <f>IFERROR(__xludf.DUMMYFUNCTION("""COMPUTED_VALUE"""),"Adriane Fagundes Silveira Alves - Pós-Graduação em Libras")</f>
        <v>Adriane Fagundes Silveira Alves - Pós-Graduação em Libras</v>
      </c>
    </row>
    <row r="5735">
      <c r="A5735" s="390" t="str">
        <f>IFERROR(__xludf.DUMMYFUNCTION("""COMPUTED_VALUE"""),"Lázaro Martins Silva - #SLMF- Segunda Licenciatura em Música 2022 880Horas")</f>
        <v>Lázaro Martins Silva - #SLMF- Segunda Licenciatura em Música 2022 880Horas</v>
      </c>
    </row>
    <row r="5736">
      <c r="A5736" s="390" t="str">
        <f>IFERROR(__xludf.DUMMYFUNCTION("""COMPUTED_VALUE"""),"Marcos André Pereira de Oliveira - Formação Livre em Sexologia")</f>
        <v>Marcos André Pereira de Oliveira - Formação Livre em Sexologia</v>
      </c>
    </row>
    <row r="5737">
      <c r="A5737" s="390" t="str">
        <f>IFERROR(__xludf.DUMMYFUNCTION("""COMPUTED_VALUE"""),"Rodrigo Cipriano da Silva - #SLUH- Segunda Licenciatura em História")</f>
        <v>Rodrigo Cipriano da Silva - #SLUH- Segunda Licenciatura em História</v>
      </c>
    </row>
    <row r="5738">
      <c r="A5738" s="390" t="str">
        <f>IFERROR(__xludf.DUMMYFUNCTION("""COMPUTED_VALUE"""),"Leandro Maia Ribeiro dos Santos - Pós-Graduação em Psicanálise")</f>
        <v>Leandro Maia Ribeiro dos Santos - Pós-Graduação em Psicanálise</v>
      </c>
    </row>
    <row r="5739">
      <c r="A5739" s="390" t="str">
        <f>IFERROR(__xludf.DUMMYFUNCTION("""COMPUTED_VALUE"""),"Leandro Maia Ribeiro dos Santos - Pós-graduação em Serviço Social 640h")</f>
        <v>Leandro Maia Ribeiro dos Santos - Pós-graduação em Serviço Social 640h</v>
      </c>
    </row>
    <row r="5740">
      <c r="A5740" s="390" t="str">
        <f>IFERROR(__xludf.DUMMYFUNCTION("""COMPUTED_VALUE"""),"Jussara Neves Floriano - #SLUP - SEGUNDA LICENCIATURA EM PEDAGOGIA")</f>
        <v>Jussara Neves Floriano - #SLUP - SEGUNDA LICENCIATURA EM PEDAGOGIA</v>
      </c>
    </row>
    <row r="5741">
      <c r="A5741" s="390" t="str">
        <f>IFERROR(__xludf.DUMMYFUNCTION("""COMPUTED_VALUE"""),"Glalber chandy Mendonça Ferreira - Pós-Graduação em Psicanálise")</f>
        <v>Glalber chandy Mendonça Ferreira - Pós-Graduação em Psicanálise</v>
      </c>
    </row>
    <row r="5742">
      <c r="A5742" s="390" t="str">
        <f>IFERROR(__xludf.DUMMYFUNCTION("""COMPUTED_VALUE"""),"José Fernando de Cerqueira Temoteo - Formação Livre em Música")</f>
        <v>José Fernando de Cerqueira Temoteo - Formação Livre em Música</v>
      </c>
    </row>
    <row r="5743">
      <c r="A5743" s="390" t="str">
        <f>IFERROR(__xludf.DUMMYFUNCTION("""COMPUTED_VALUE"""),"José Fernando de Cerqueira Temoteo - Formação Livre em Psicanálise-2022")</f>
        <v>José Fernando de Cerqueira Temoteo - Formação Livre em Psicanálise-2022</v>
      </c>
    </row>
    <row r="5744">
      <c r="A5744" s="390" t="str">
        <f>IFERROR(__xludf.DUMMYFUNCTION("""COMPUTED_VALUE"""),"Nerivaldo de Oliveira Rios - FORMAÇÃO PEDAGÓGICA EM GEOGRAFIA- U")</f>
        <v>Nerivaldo de Oliveira Rios - FORMAÇÃO PEDAGÓGICA EM GEOGRAFIA- U</v>
      </c>
    </row>
    <row r="5745">
      <c r="A5745" s="390" t="str">
        <f>IFERROR(__xludf.DUMMYFUNCTION("""COMPUTED_VALUE"""),"Alexandre Machado Marques de Souza Sobrinho - Pós-Graduação em Metodologia Ativas e Tecnologias Educacionais")</f>
        <v>Alexandre Machado Marques de Souza Sobrinho - Pós-Graduação em Metodologia Ativas e Tecnologias Educacionais</v>
      </c>
    </row>
    <row r="5746">
      <c r="A5746" s="390" t="str">
        <f>IFERROR(__xludf.DUMMYFUNCTION("""COMPUTED_VALUE"""),"Alexandre Machado Marques de Souza Sobrinho - Formação Pedagógica em Sociologia")</f>
        <v>Alexandre Machado Marques de Souza Sobrinho - Formação Pedagógica em Sociologia</v>
      </c>
    </row>
    <row r="5747">
      <c r="A5747" s="390" t="str">
        <f>IFERROR(__xludf.DUMMYFUNCTION("""COMPUTED_VALUE"""),"Greiccy Kelly Gomes da Silva - #SLP22- Segunda Licenciatura em Pedagogia")</f>
        <v>Greiccy Kelly Gomes da Silva - #SLP22- Segunda Licenciatura em Pedagogia</v>
      </c>
    </row>
    <row r="5748">
      <c r="A5748" s="390" t="str">
        <f>IFERROR(__xludf.DUMMYFUNCTION("""COMPUTED_VALUE"""),"Amanda Pereira Rodrigues Andrade - Pós-Graduação em Aba-Análise do Comportamento Aplicada 2022")</f>
        <v>Amanda Pereira Rodrigues Andrade - Pós-Graduação em Aba-Análise do Comportamento Aplicada 2022</v>
      </c>
    </row>
    <row r="5749">
      <c r="A5749" s="390" t="str">
        <f>IFERROR(__xludf.DUMMYFUNCTION("""COMPUTED_VALUE"""),"Fábio José Reis da Silva - #SLMF - Segunda Licenciatura em Música 1320Horas")</f>
        <v>Fábio José Reis da Silva - #SLMF - Segunda Licenciatura em Música 1320Horas</v>
      </c>
    </row>
    <row r="5750">
      <c r="A5750" s="390" t="str">
        <f>IFERROR(__xludf.DUMMYFUNCTION("""COMPUTED_VALUE"""),"Fábio José Reis da Silva - Pós-Graduação em Educação Musical")</f>
        <v>Fábio José Reis da Silva - Pós-Graduação em Educação Musical</v>
      </c>
    </row>
    <row r="5751">
      <c r="A5751" s="390" t="str">
        <f>IFERROR(__xludf.DUMMYFUNCTION("""COMPUTED_VALUE"""),"Fábio José Reis da Silva - Pós-Graduação em Educação Musical-2022")</f>
        <v>Fábio José Reis da Silva - Pós-Graduação em Educação Musical-2022</v>
      </c>
    </row>
    <row r="5752">
      <c r="A5752" s="390" t="str">
        <f>IFERROR(__xludf.DUMMYFUNCTION("""COMPUTED_VALUE"""),"Joyci Pereira Lima - Pós-Graduação em Psicologia Hospitalar")</f>
        <v>Joyci Pereira Lima - Pós-Graduação em Psicologia Hospitalar</v>
      </c>
    </row>
    <row r="5753">
      <c r="A5753" s="390" t="str">
        <f>IFERROR(__xludf.DUMMYFUNCTION("""COMPUTED_VALUE"""),"Joyci Pereira Lima - Pós-Graduação Terapia em TDAH Clínica 920Horas")</f>
        <v>Joyci Pereira Lima - Pós-Graduação Terapia em TDAH Clínica 920Horas</v>
      </c>
    </row>
    <row r="5754">
      <c r="A5754" s="390" t="str">
        <f>IFERROR(__xludf.DUMMYFUNCTION("""COMPUTED_VALUE"""),"Barbara Wotter Dutra - #SLP22- Segunda Licenciatura em Pedagogia")</f>
        <v>Barbara Wotter Dutra - #SLP22- Segunda Licenciatura em Pedagogia</v>
      </c>
    </row>
    <row r="5755">
      <c r="A5755" s="390" t="str">
        <f>IFERROR(__xludf.DUMMYFUNCTION("""COMPUTED_VALUE"""),"Pedro Emanuell Alves Leal - #SLMF - Segunda Licenciatura em Música 1320Horas")</f>
        <v>Pedro Emanuell Alves Leal - #SLMF - Segunda Licenciatura em Música 1320Horas</v>
      </c>
    </row>
    <row r="5756">
      <c r="A5756" s="390" t="str">
        <f>IFERROR(__xludf.DUMMYFUNCTION("""COMPUTED_VALUE"""),"Raquel Teresinha Rodrigues Arghinenti - Pós-Graduação em Psicanálise")</f>
        <v>Raquel Teresinha Rodrigues Arghinenti - Pós-Graduação em Psicanálise</v>
      </c>
    </row>
    <row r="5757">
      <c r="A5757" s="390" t="str">
        <f>IFERROR(__xludf.DUMMYFUNCTION("""COMPUTED_VALUE"""),"Olmiro Aparecido Marczynski - #FPT1-Pedagogia para Bacharéis e Tecnólogos (2022)")</f>
        <v>Olmiro Aparecido Marczynski - #FPT1-Pedagogia para Bacharéis e Tecnólogos (2022)</v>
      </c>
    </row>
    <row r="5758">
      <c r="A5758" s="390" t="str">
        <f>IFERROR(__xludf.DUMMYFUNCTION("""COMPUTED_VALUE"""),"Gisiane Paiva Freitas - #SLULPL- Segunda Licenciatura em Letras – Língua Portuguesa e Libras")</f>
        <v>Gisiane Paiva Freitas - #SLULPL- Segunda Licenciatura em Letras – Língua Portuguesa e Libras</v>
      </c>
    </row>
    <row r="5759">
      <c r="A5759" s="390" t="str">
        <f>IFERROR(__xludf.DUMMYFUNCTION("""COMPUTED_VALUE"""),"Kátia Regina Generoso Cotta - #SLPT- Segunda Licenciatura em Pedagogia")</f>
        <v>Kátia Regina Generoso Cotta - #SLPT- Segunda Licenciatura em Pedagogia</v>
      </c>
    </row>
    <row r="5760">
      <c r="A5760" s="390" t="str">
        <f>IFERROR(__xludf.DUMMYFUNCTION("""COMPUTED_VALUE"""),"Kátia Regina Generoso Cotta - FORMAÇÃO PEDAGÓGICA EM GEOGRAFIA- U")</f>
        <v>Kátia Regina Generoso Cotta - FORMAÇÃO PEDAGÓGICA EM GEOGRAFIA- U</v>
      </c>
    </row>
    <row r="5761">
      <c r="A5761" s="390" t="str">
        <f>IFERROR(__xludf.DUMMYFUNCTION("""COMPUTED_VALUE"""),"Kátia Regina Generoso Cotta - #FPUEF - Formação Pedagógica em Educação Física - 1200 Horas")</f>
        <v>Kátia Regina Generoso Cotta - #FPUEF - Formação Pedagógica em Educação Física - 1200 Horas</v>
      </c>
    </row>
    <row r="5762">
      <c r="A5762" s="390" t="str">
        <f>IFERROR(__xludf.DUMMYFUNCTION("""COMPUTED_VALUE"""),"Kátia Regina Generoso Cotta - #SLUG - SEGUNDA LICENCIATURA EM GEOGRAFIA")</f>
        <v>Kátia Regina Generoso Cotta - #SLUG - SEGUNDA LICENCIATURA EM GEOGRAFIA</v>
      </c>
    </row>
    <row r="5763">
      <c r="A5763" s="390" t="str">
        <f>IFERROR(__xludf.DUMMYFUNCTION("""COMPUTED_VALUE"""),"Kátia Regina Generoso Cotta - #SLEF- Segunda Licenciatura Educação Física 1200Horas")</f>
        <v>Kátia Regina Generoso Cotta - #SLEF- Segunda Licenciatura Educação Física 1200Horas</v>
      </c>
    </row>
    <row r="5764">
      <c r="A5764" s="390" t="str">
        <f>IFERROR(__xludf.DUMMYFUNCTION("""COMPUTED_VALUE"""),"Kátia Regina Generoso Cotta - PÓS-GRADUAÇÃO EM PSICANÁLISE - 2024")</f>
        <v>Kátia Regina Generoso Cotta - PÓS-GRADUAÇÃO EM PSICANÁLISE - 2024</v>
      </c>
    </row>
    <row r="5765">
      <c r="A5765" s="390" t="str">
        <f>IFERROR(__xludf.DUMMYFUNCTION("""COMPUTED_VALUE"""),"Kátia Regina Generoso Cotta - SEGUNDA LICENCIATURA EM ARTES VISUAIS - 2024")</f>
        <v>Kátia Regina Generoso Cotta - SEGUNDA LICENCIATURA EM ARTES VISUAIS - 2024</v>
      </c>
    </row>
    <row r="5766">
      <c r="A5766" s="390" t="str">
        <f>IFERROR(__xludf.DUMMYFUNCTION("""COMPUTED_VALUE"""),"Regina Maria Nunes de Lana - Pós-Graduação em Psicanálise")</f>
        <v>Regina Maria Nunes de Lana - Pós-Graduação em Psicanálise</v>
      </c>
    </row>
    <row r="5767">
      <c r="A5767" s="390" t="str">
        <f>IFERROR(__xludf.DUMMYFUNCTION("""COMPUTED_VALUE"""),"Gilberto Cássio Cesário da Silva - #SLMF - Segunda Licenciatura em Música 1320Horas")</f>
        <v>Gilberto Cássio Cesário da Silva - #SLMF - Segunda Licenciatura em Música 1320Horas</v>
      </c>
    </row>
    <row r="5768">
      <c r="A5768" s="390" t="str">
        <f>IFERROR(__xludf.DUMMYFUNCTION("""COMPUTED_VALUE"""),"Gilvan Herbert de Freitas - #SLMF - Segunda Licenciatura em Música 1320Horas")</f>
        <v>Gilvan Herbert de Freitas - #SLMF - Segunda Licenciatura em Música 1320Horas</v>
      </c>
    </row>
    <row r="5769">
      <c r="A5769" s="390" t="str">
        <f>IFERROR(__xludf.DUMMYFUNCTION("""COMPUTED_VALUE"""),"Lucineri Saloio da Silva - #SLMF - Segunda Licenciatura em Música 1320Horas")</f>
        <v>Lucineri Saloio da Silva - #SLMF - Segunda Licenciatura em Música 1320Horas</v>
      </c>
    </row>
    <row r="5770">
      <c r="A5770" s="390" t="str">
        <f>IFERROR(__xludf.DUMMYFUNCTION("""COMPUTED_VALUE"""),"Merithy Bechepeche Pinto - Pós-Graduação em Psicanálise")</f>
        <v>Merithy Bechepeche Pinto - Pós-Graduação em Psicanálise</v>
      </c>
    </row>
    <row r="5771">
      <c r="A5771" s="390" t="str">
        <f>IFERROR(__xludf.DUMMYFUNCTION("""COMPUTED_VALUE"""),"Odaclebio Damasceno Pereira - #FPMF- Formação Pedagógica em Música 1200Horas")</f>
        <v>Odaclebio Damasceno Pereira - #FPMF- Formação Pedagógica em Música 1200Horas</v>
      </c>
    </row>
    <row r="5772">
      <c r="A5772" s="390" t="str">
        <f>IFERROR(__xludf.DUMMYFUNCTION("""COMPUTED_VALUE"""),"Fernanda Ferreira Chaves - #SLUA- Segunda Licenciatura em Artes Visuais")</f>
        <v>Fernanda Ferreira Chaves - #SLUA- Segunda Licenciatura em Artes Visuais</v>
      </c>
    </row>
    <row r="5773">
      <c r="A5773" s="390" t="str">
        <f>IFERROR(__xludf.DUMMYFUNCTION("""COMPUTED_VALUE"""),"Carlos Eduardo Costa Ferreira - Formação Livre em Psicanálise-2022")</f>
        <v>Carlos Eduardo Costa Ferreira - Formação Livre em Psicanálise-2022</v>
      </c>
    </row>
    <row r="5774">
      <c r="A5774" s="390" t="str">
        <f>IFERROR(__xludf.DUMMYFUNCTION("""COMPUTED_VALUE"""),"Carlos Eduardo Costa Ferreira - Capacitação em Sexologia")</f>
        <v>Carlos Eduardo Costa Ferreira - Capacitação em Sexologia</v>
      </c>
    </row>
    <row r="5775">
      <c r="A5775" s="390" t="str">
        <f>IFERROR(__xludf.DUMMYFUNCTION("""COMPUTED_VALUE"""),"Luzany Vieira da Silva - NOVO-Pós-Graduação em Psicanálise 800 Horas")</f>
        <v>Luzany Vieira da Silva - NOVO-Pós-Graduação em Psicanálise 800 Horas</v>
      </c>
    </row>
    <row r="5776">
      <c r="A5776" s="390" t="str">
        <f>IFERROR(__xludf.DUMMYFUNCTION("""COMPUTED_VALUE"""),"Sergei Bittencourt Loureiro - #SLMF- Segunda Licenciatura em Música 2022 880Horas")</f>
        <v>Sergei Bittencourt Loureiro - #SLMF- Segunda Licenciatura em Música 2022 880Horas</v>
      </c>
    </row>
    <row r="5777">
      <c r="A5777" s="390" t="str">
        <f>IFERROR(__xludf.DUMMYFUNCTION("""COMPUTED_VALUE"""),"Saulo Maciel da Silva - #FPUEF - Formação Pedagógica em Educação Física - 1200 Horas")</f>
        <v>Saulo Maciel da Silva - #FPUEF - Formação Pedagógica em Educação Física - 1200 Horas</v>
      </c>
    </row>
    <row r="5778">
      <c r="A5778" s="390" t="str">
        <f>IFERROR(__xludf.DUMMYFUNCTION("""COMPUTED_VALUE"""),"Francisco Marquelino Santana - #SLTLP1- Segunda Licenciatura Letras - Português")</f>
        <v>Francisco Marquelino Santana - #SLTLP1- Segunda Licenciatura Letras - Português</v>
      </c>
    </row>
    <row r="5779">
      <c r="A5779" s="390" t="str">
        <f>IFERROR(__xludf.DUMMYFUNCTION("""COMPUTED_VALUE"""),"Renata Costa de Lima - Pós-Graduação em Administração de Dados")</f>
        <v>Renata Costa de Lima - Pós-Graduação em Administração de Dados</v>
      </c>
    </row>
    <row r="5780">
      <c r="A5780" s="390" t="str">
        <f>IFERROR(__xludf.DUMMYFUNCTION("""COMPUTED_VALUE"""),"Nailze Suanne de Almeida Santos - PÓS-GRADUAÇÃO EM MATEMÁTICA FINANCEIRA E ESTATÍSTICA 560h")</f>
        <v>Nailze Suanne de Almeida Santos - PÓS-GRADUAÇÃO EM MATEMÁTICA FINANCEIRA E ESTATÍSTICA 560h</v>
      </c>
    </row>
    <row r="5781">
      <c r="A5781" s="390" t="str">
        <f>IFERROR(__xludf.DUMMYFUNCTION("""COMPUTED_VALUE"""),"Bianca Sanches da Silva - Pós-Graduação em Terapia em ABA- Análise do Comportamento Aplicada")</f>
        <v>Bianca Sanches da Silva - Pós-Graduação em Terapia em ABA- Análise do Comportamento Aplicada</v>
      </c>
    </row>
    <row r="5782">
      <c r="A5782" s="390" t="str">
        <f>IFERROR(__xludf.DUMMYFUNCTION("""COMPUTED_VALUE"""),"Glauber Lúcio Alves Santiago - #FPMF- Formação Pedagógica em Música 1200Horas")</f>
        <v>Glauber Lúcio Alves Santiago - #FPMF- Formação Pedagógica em Música 1200Horas</v>
      </c>
    </row>
    <row r="5783">
      <c r="A5783" s="390" t="str">
        <f>IFERROR(__xludf.DUMMYFUNCTION("""COMPUTED_VALUE"""),"Glauber Lúcio Alves Santiago - Pós-Graduação em Tecnologias Educacionais")</f>
        <v>Glauber Lúcio Alves Santiago - Pós-Graduação em Tecnologias Educacionais</v>
      </c>
    </row>
    <row r="5784">
      <c r="A5784" s="390" t="str">
        <f>IFERROR(__xludf.DUMMYFUNCTION("""COMPUTED_VALUE"""),"Danilo Couto de Avilez - #SLPT- Segunda Licenciatura em Pedagogia")</f>
        <v>Danilo Couto de Avilez - #SLPT- Segunda Licenciatura em Pedagogia</v>
      </c>
    </row>
    <row r="5785">
      <c r="A5785" s="390" t="str">
        <f>IFERROR(__xludf.DUMMYFUNCTION("""COMPUTED_VALUE"""),"Danilo Couto de Avilez - Pós-Graduação em Ensino de Artes")</f>
        <v>Danilo Couto de Avilez - Pós-Graduação em Ensino de Artes</v>
      </c>
    </row>
    <row r="5786">
      <c r="A5786" s="390" t="str">
        <f>IFERROR(__xludf.DUMMYFUNCTION("""COMPUTED_VALUE"""),"Leandro Luz - Pós-Graduação Neurociência e Aprendizagem")</f>
        <v>Leandro Luz - Pós-Graduação Neurociência e Aprendizagem</v>
      </c>
    </row>
    <row r="5787">
      <c r="A5787" s="390" t="str">
        <f>IFERROR(__xludf.DUMMYFUNCTION("""COMPUTED_VALUE"""),"Leandro Luz - Pós-Graduação em Gestão Escolar Integradora com Ênfase em Supervisão, Orientação, Administração e Inspeção 870Horas")</f>
        <v>Leandro Luz - Pós-Graduação em Gestão Escolar Integradora com Ênfase em Supervisão, Orientação, Administração e Inspeção 870Horas</v>
      </c>
    </row>
    <row r="5788">
      <c r="A5788" s="390" t="str">
        <f>IFERROR(__xludf.DUMMYFUNCTION("""COMPUTED_VALUE"""),"Leandro Luz - Pós-Graduação em Ensino da Língua Espanhola")</f>
        <v>Leandro Luz - Pós-Graduação em Ensino da Língua Espanhola</v>
      </c>
    </row>
    <row r="5789">
      <c r="A5789" s="390" t="str">
        <f>IFERROR(__xludf.DUMMYFUNCTION("""COMPUTED_VALUE"""),"Leandro Luz - #SLP22- Segunda Licenciatura em Pedagogia")</f>
        <v>Leandro Luz - #SLP22- Segunda Licenciatura em Pedagogia</v>
      </c>
    </row>
    <row r="5790">
      <c r="A5790" s="390" t="str">
        <f>IFERROR(__xludf.DUMMYFUNCTION("""COMPUTED_VALUE"""),"Guilherme Lopes - #FPUEF - Formação Pedagógica em Educação Física - 1200 Horas")</f>
        <v>Guilherme Lopes - #FPUEF - Formação Pedagógica em Educação Física - 1200 Horas</v>
      </c>
    </row>
    <row r="5791">
      <c r="A5791" s="390" t="str">
        <f>IFERROR(__xludf.DUMMYFUNCTION("""COMPUTED_VALUE"""),"Kely cristina - #SLUP - SEGUNDA LICENCIATURA EM PEDAGOGIA")</f>
        <v>Kely cristina - #SLUP - SEGUNDA LICENCIATURA EM PEDAGOGIA</v>
      </c>
    </row>
    <row r="5792">
      <c r="A5792" s="390" t="str">
        <f>IFERROR(__xludf.DUMMYFUNCTION("""COMPUTED_VALUE"""),"Kely - #SLUP - SEGUNDA LICENCIATURA EM PEDAGOGIA")</f>
        <v>Kely - #SLUP - SEGUNDA LICENCIATURA EM PEDAGOGIA</v>
      </c>
    </row>
    <row r="5793">
      <c r="A5793" s="390" t="str">
        <f>IFERROR(__xludf.DUMMYFUNCTION("""COMPUTED_VALUE"""),"kely cristina - #SLUP - SEGUNDA LICENCIATURA EM PEDAGOGIA")</f>
        <v>kely cristina - #SLUP - SEGUNDA LICENCIATURA EM PEDAGOGIA</v>
      </c>
    </row>
    <row r="5794">
      <c r="A5794" s="390" t="str">
        <f>IFERROR(__xludf.DUMMYFUNCTION("""COMPUTED_VALUE"""),"Marcelo Junior de Souza - #FPMF- Formação Pedagógica em Música 1200Horas")</f>
        <v>Marcelo Junior de Souza - #FPMF- Formação Pedagógica em Música 1200Horas</v>
      </c>
    </row>
    <row r="5795">
      <c r="A5795" s="390" t="str">
        <f>IFERROR(__xludf.DUMMYFUNCTION("""COMPUTED_VALUE"""),"Renata Costa Lima - PÓS-GRADUAÇÃO EM DESENVOLVIMENTO WEB 600h")</f>
        <v>Renata Costa Lima - PÓS-GRADUAÇÃO EM DESENVOLVIMENTO WEB 600h</v>
      </c>
    </row>
    <row r="5796">
      <c r="A5796" s="390" t="str">
        <f>IFERROR(__xludf.DUMMYFUNCTION("""COMPUTED_VALUE"""),"Renata Costa Lima - PÓS-GRADUAÇÃO EM DESENVOLVIMENTO MOBILE 600h")</f>
        <v>Renata Costa Lima - PÓS-GRADUAÇÃO EM DESENVOLVIMENTO MOBILE 600h</v>
      </c>
    </row>
    <row r="5797">
      <c r="A5797" s="390" t="str">
        <f>IFERROR(__xludf.DUMMYFUNCTION("""COMPUTED_VALUE"""),"Renata Costa Lima - Pós-Graduação em Administração de Dados")</f>
        <v>Renata Costa Lima - Pós-Graduação em Administração de Dados</v>
      </c>
    </row>
    <row r="5798">
      <c r="A5798" s="390" t="str">
        <f>IFERROR(__xludf.DUMMYFUNCTION("""COMPUTED_VALUE"""),"José Luiz da Silva Carvalho - #SLMF - Segunda Licenciatura em Música 1320Horas")</f>
        <v>José Luiz da Silva Carvalho - #SLMF - Segunda Licenciatura em Música 1320Horas</v>
      </c>
    </row>
    <row r="5799">
      <c r="A5799" s="390" t="str">
        <f>IFERROR(__xludf.DUMMYFUNCTION("""COMPUTED_VALUE"""),"Eurico Luís Raimundo - Formação Livre em Música")</f>
        <v>Eurico Luís Raimundo - Formação Livre em Música</v>
      </c>
    </row>
    <row r="5800">
      <c r="A5800" s="390" t="str">
        <f>IFERROR(__xludf.DUMMYFUNCTION("""COMPUTED_VALUE"""),"Nailze Suanne de Almeida Santos - PÓS-GRADUAÇÃO EM MATEMÁTICA FINANCEIRA E ESTATÍSTICA 560h")</f>
        <v>Nailze Suanne de Almeida Santos - PÓS-GRADUAÇÃO EM MATEMÁTICA FINANCEIRA E ESTATÍSTICA 560h</v>
      </c>
    </row>
    <row r="5801">
      <c r="A5801" s="390" t="str">
        <f>IFERROR(__xludf.DUMMYFUNCTION("""COMPUTED_VALUE"""),"Alexandra de Oliveira Jerônimo - #SLP22- Segunda Licenciatura em Pedagogia")</f>
        <v>Alexandra de Oliveira Jerônimo - #SLP22- Segunda Licenciatura em Pedagogia</v>
      </c>
    </row>
    <row r="5802">
      <c r="A5802" s="390" t="str">
        <f>IFERROR(__xludf.DUMMYFUNCTION("""COMPUTED_VALUE"""),"Margarete dos Santos Chigbata - Pós-Graduação em Metodologia Ativas e Tecnologias Educacionais")</f>
        <v>Margarete dos Santos Chigbata - Pós-Graduação em Metodologia Ativas e Tecnologias Educacionais</v>
      </c>
    </row>
    <row r="5803">
      <c r="A5803" s="390" t="str">
        <f>IFERROR(__xludf.DUMMYFUNCTION("""COMPUTED_VALUE"""),"Andréia Felber - Novo-Pós-Graduação em Psicopedagogia Clínica, Institucional e Hospitalar-620 Horas(Jacad)")</f>
        <v>Andréia Felber - Novo-Pós-Graduação em Psicopedagogia Clínica, Institucional e Hospitalar-620 Horas(Jacad)</v>
      </c>
    </row>
    <row r="5804">
      <c r="A5804" s="390" t="str">
        <f>IFERROR(__xludf.DUMMYFUNCTION("""COMPUTED_VALUE"""),"Andréia Felber - Novo-Pós-Graduação em Psicopedagogia Clínica, Institucional e Hospitalar-620 Horas(Jacad)")</f>
        <v>Andréia Felber - Novo-Pós-Graduação em Psicopedagogia Clínica, Institucional e Hospitalar-620 Horas(Jacad)</v>
      </c>
    </row>
    <row r="5805">
      <c r="A5805" s="390" t="str">
        <f>IFERROR(__xludf.DUMMYFUNCTION("""COMPUTED_VALUE"""),"Jane Maria dos Santos Martins - #FPUP-FORMAÇÃO PEDAGÓGICA EM PEDAGOGIA- U")</f>
        <v>Jane Maria dos Santos Martins - #FPUP-FORMAÇÃO PEDAGÓGICA EM PEDAGOGIA- U</v>
      </c>
    </row>
    <row r="5806">
      <c r="A5806" s="390" t="str">
        <f>IFERROR(__xludf.DUMMYFUNCTION("""COMPUTED_VALUE"""),"Jane Maria dos Santos Martins - Pós-Graduação em Neuropsicopedagogia")</f>
        <v>Jane Maria dos Santos Martins - Pós-Graduação em Neuropsicopedagogia</v>
      </c>
    </row>
    <row r="5807">
      <c r="A5807" s="390" t="str">
        <f>IFERROR(__xludf.DUMMYFUNCTION("""COMPUTED_VALUE"""),"Raphael Oliveira de Lima - #SLUP - SEGUNDA LICENCIATURA EM PEDAGOGIA")</f>
        <v>Raphael Oliveira de Lima - #SLUP - SEGUNDA LICENCIATURA EM PEDAGOGIA</v>
      </c>
    </row>
    <row r="5808">
      <c r="A5808" s="390" t="str">
        <f>IFERROR(__xludf.DUMMYFUNCTION("""COMPUTED_VALUE"""),"Raphael Oliveira de Lima - PÓS-GRADUAÇÃO EM GESTÃO PÚBLICA EDUCACIONAL")</f>
        <v>Raphael Oliveira de Lima - PÓS-GRADUAÇÃO EM GESTÃO PÚBLICA EDUCACIONAL</v>
      </c>
    </row>
    <row r="5809">
      <c r="A5809" s="390" t="str">
        <f>IFERROR(__xludf.DUMMYFUNCTION("""COMPUTED_VALUE"""),"Valdineia Rosa de Oliveira - #SLUG - SEGUNDA LICENCIATURA EM GEOGRAFIA")</f>
        <v>Valdineia Rosa de Oliveira - #SLUG - SEGUNDA LICENCIATURA EM GEOGRAFIA</v>
      </c>
    </row>
    <row r="5810">
      <c r="A5810" s="390" t="str">
        <f>IFERROR(__xludf.DUMMYFUNCTION("""COMPUTED_VALUE"""),"Valdineia Rosa de Oliveira - Pós-Graduação em Educação Especial 620Horas")</f>
        <v>Valdineia Rosa de Oliveira - Pós-Graduação em Educação Especial 620Horas</v>
      </c>
    </row>
    <row r="5811">
      <c r="A5811" s="390" t="str">
        <f>IFERROR(__xludf.DUMMYFUNCTION("""COMPUTED_VALUE"""),"Fabiana de Campos Oliveira Gonçalez - FP - Ciências Sociais  educa +. #FPCS+ 580h")</f>
        <v>Fabiana de Campos Oliveira Gonçalez - FP - Ciências Sociais  educa +. #FPCS+ 580h</v>
      </c>
    </row>
    <row r="5812">
      <c r="A5812" s="390" t="str">
        <f>IFERROR(__xludf.DUMMYFUNCTION("""COMPUTED_VALUE"""),"Yana Valena Fernandes Nicácio - Pós-Graduação em Ensino de Geografia")</f>
        <v>Yana Valena Fernandes Nicácio - Pós-Graduação em Ensino de Geografia</v>
      </c>
    </row>
    <row r="5813">
      <c r="A5813" s="390" t="str">
        <f>IFERROR(__xludf.DUMMYFUNCTION("""COMPUTED_VALUE"""),"Renato Dias Matos - #SLUP - SEGUNDA LICENCIATURA EM PEDAGOGIA")</f>
        <v>Renato Dias Matos - #SLUP - SEGUNDA LICENCIATURA EM PEDAGOGIA</v>
      </c>
    </row>
    <row r="5814">
      <c r="A5814" s="390" t="str">
        <f>IFERROR(__xludf.DUMMYFUNCTION("""COMPUTED_VALUE"""),"Vania Rodrigues Santos - #FPUP-FORMAÇÃO PEDAGÓGICA EM PEDAGOGIA- U")</f>
        <v>Vania Rodrigues Santos - #FPUP-FORMAÇÃO PEDAGÓGICA EM PEDAGOGIA- U</v>
      </c>
    </row>
    <row r="5815">
      <c r="A5815" s="390" t="str">
        <f>IFERROR(__xludf.DUMMYFUNCTION("""COMPUTED_VALUE"""),"Michele Ribeiro Tome - Pós-Graduação em Administração Pública")</f>
        <v>Michele Ribeiro Tome - Pós-Graduação em Administração Pública</v>
      </c>
    </row>
    <row r="5816">
      <c r="A5816" s="390" t="str">
        <f>IFERROR(__xludf.DUMMYFUNCTION("""COMPUTED_VALUE"""),"Michele Ribeiro Tome - Pós-Graduação em MBA em Auditoria Contábil")</f>
        <v>Michele Ribeiro Tome - Pós-Graduação em MBA em Auditoria Contábil</v>
      </c>
    </row>
    <row r="5817">
      <c r="A5817" s="390" t="str">
        <f>IFERROR(__xludf.DUMMYFUNCTION("""COMPUTED_VALUE"""),"Tatiana Fernanda Leite de Mello Friande. - Pós-Graduação em Orientação Educacional")</f>
        <v>Tatiana Fernanda Leite de Mello Friande. - Pós-Graduação em Orientação Educacional</v>
      </c>
    </row>
    <row r="5818">
      <c r="A5818" s="390" t="str">
        <f>IFERROR(__xludf.DUMMYFUNCTION("""COMPUTED_VALUE"""),"Alex Dias Friande - Pós-Graduação em Orientação Educacional")</f>
        <v>Alex Dias Friande - Pós-Graduação em Orientação Educacional</v>
      </c>
    </row>
    <row r="5819">
      <c r="A5819" s="390" t="str">
        <f>IFERROR(__xludf.DUMMYFUNCTION("""COMPUTED_VALUE"""),"Patrícia Maurício - #SLMF - Segunda Licenciatura em Música 1320Horas")</f>
        <v>Patrícia Maurício - #SLMF - Segunda Licenciatura em Música 1320Horas</v>
      </c>
    </row>
    <row r="5820">
      <c r="A5820" s="390" t="str">
        <f>IFERROR(__xludf.DUMMYFUNCTION("""COMPUTED_VALUE"""),"Luciano Lourenço da Silva - Formação Livre em Psicanálise-2022")</f>
        <v>Luciano Lourenço da Silva - Formação Livre em Psicanálise-2022</v>
      </c>
    </row>
    <row r="5821">
      <c r="A5821" s="390" t="str">
        <f>IFERROR(__xludf.DUMMYFUNCTION("""COMPUTED_VALUE"""),"Jussara Aparecida de Oliveira - #SLMF - Segunda Licenciatura em Música 1320Horas")</f>
        <v>Jussara Aparecida de Oliveira - #SLMF - Segunda Licenciatura em Música 1320Horas</v>
      </c>
    </row>
    <row r="5822">
      <c r="A5822" s="390" t="str">
        <f>IFERROR(__xludf.DUMMYFUNCTION("""COMPUTED_VALUE"""),"Gislene de Souza Gonçalves Domingos - Formação Livre em Psicanálise-2022")</f>
        <v>Gislene de Souza Gonçalves Domingos - Formação Livre em Psicanálise-2022</v>
      </c>
    </row>
    <row r="5823">
      <c r="A5823" s="390" t="str">
        <f>IFERROR(__xludf.DUMMYFUNCTION("""COMPUTED_VALUE"""),"Juliana Gomes Moreira da Silva - Formação Livre em Psicanálise-2022")</f>
        <v>Juliana Gomes Moreira da Silva - Formação Livre em Psicanálise-2022</v>
      </c>
    </row>
    <row r="5824">
      <c r="A5824" s="390" t="str">
        <f>IFERROR(__xludf.DUMMYFUNCTION("""COMPUTED_VALUE"""),"Ana Cristina Silva Coimbra Miguel - #SLUEF - Segunda Licenciatura em Educação Física")</f>
        <v>Ana Cristina Silva Coimbra Miguel - #SLUEF - Segunda Licenciatura em Educação Física</v>
      </c>
    </row>
    <row r="5825">
      <c r="A5825" s="390" t="str">
        <f>IFERROR(__xludf.DUMMYFUNCTION("""COMPUTED_VALUE"""),"Lucimara de Souza Lima - #SLP22- Segunda Licenciatura em Pedagogia")</f>
        <v>Lucimara de Souza Lima - #SLP22- Segunda Licenciatura em Pedagogia</v>
      </c>
    </row>
    <row r="5826">
      <c r="A5826" s="390" t="str">
        <f>IFERROR(__xludf.DUMMYFUNCTION("""COMPUTED_VALUE"""),"Djulia Suellen da Silva otonio - #FPUP-FORMAÇÃO PEDAGÓGICA EM PEDAGOGIA- U")</f>
        <v>Djulia Suellen da Silva otonio - #FPUP-FORMAÇÃO PEDAGÓGICA EM PEDAGOGIA- U</v>
      </c>
    </row>
    <row r="5827">
      <c r="A5827" s="390" t="str">
        <f>IFERROR(__xludf.DUMMYFUNCTION("""COMPUTED_VALUE"""),"Marcos Klabunde - #SLMF - Segunda Licenciatura em Música 1320Horas")</f>
        <v>Marcos Klabunde - #SLMF - Segunda Licenciatura em Música 1320Horas</v>
      </c>
    </row>
    <row r="5828">
      <c r="A5828" s="390" t="str">
        <f>IFERROR(__xludf.DUMMYFUNCTION("""COMPUTED_VALUE"""),"Ana Paula dos Santos Gama - Pós-Graduação em Neuropsicopedagogia Clínica e Institucional")</f>
        <v>Ana Paula dos Santos Gama - Pós-Graduação em Neuropsicopedagogia Clínica e Institucional</v>
      </c>
    </row>
    <row r="5829">
      <c r="A5829" s="390" t="str">
        <f>IFERROR(__xludf.DUMMYFUNCTION("""COMPUTED_VALUE"""),"Ana Paula dos Santos Gama - Pós-Graduação em Terapia em ABA- Análise do Comportamento Aplicada")</f>
        <v>Ana Paula dos Santos Gama - Pós-Graduação em Terapia em ABA- Análise do Comportamento Aplicada</v>
      </c>
    </row>
    <row r="5830">
      <c r="A5830" s="390" t="str">
        <f>IFERROR(__xludf.DUMMYFUNCTION("""COMPUTED_VALUE"""),"Ana Paula dos Santos Gama - Pós-Graduação Psicopedagogia Clínica, Institucional e Hospitalar")</f>
        <v>Ana Paula dos Santos Gama - Pós-Graduação Psicopedagogia Clínica, Institucional e Hospitalar</v>
      </c>
    </row>
    <row r="5831">
      <c r="A5831" s="390" t="str">
        <f>IFERROR(__xludf.DUMMYFUNCTION("""COMPUTED_VALUE"""),"Lílian Zebina Almeida Gonçalves Lopes - #FPM+ Formação Pedagógica em Matemática-760 Horas")</f>
        <v>Lílian Zebina Almeida Gonçalves Lopes - #FPM+ Formação Pedagógica em Matemática-760 Horas</v>
      </c>
    </row>
    <row r="5832">
      <c r="A5832" s="390" t="str">
        <f>IFERROR(__xludf.DUMMYFUNCTION("""COMPUTED_VALUE"""),"Ane Marie da Vitória Cavalcante - Formação Livre em Psicanálise-2022")</f>
        <v>Ane Marie da Vitória Cavalcante - Formação Livre em Psicanálise-2022</v>
      </c>
    </row>
    <row r="5833">
      <c r="A5833" s="390" t="str">
        <f>IFERROR(__xludf.DUMMYFUNCTION("""COMPUTED_VALUE"""),"Simones Libanio Teixeira - Formação Livre em Psicanálise-2022")</f>
        <v>Simones Libanio Teixeira - Formação Livre em Psicanálise-2022</v>
      </c>
    </row>
    <row r="5834">
      <c r="A5834" s="390" t="str">
        <f>IFERROR(__xludf.DUMMYFUNCTION("""COMPUTED_VALUE"""),"EMERSON TOLEDO SANTANA - #SLUP - SEGUNDA LICENCIATURA EM PEDAGOGIA")</f>
        <v>EMERSON TOLEDO SANTANA - #SLUP - SEGUNDA LICENCIATURA EM PEDAGOGIA</v>
      </c>
    </row>
    <row r="5835">
      <c r="A5835" s="390" t="str">
        <f>IFERROR(__xludf.DUMMYFUNCTION("""COMPUTED_VALUE"""),"Cristiane dos Reis Soares - Pós-Graduação em Atendimento Educacional Especializado")</f>
        <v>Cristiane dos Reis Soares - Pós-Graduação em Atendimento Educacional Especializado</v>
      </c>
    </row>
    <row r="5836">
      <c r="A5836" s="390" t="str">
        <f>IFERROR(__xludf.DUMMYFUNCTION("""COMPUTED_VALUE"""),"Cristiane dos Reis Soares - Pós-Graduação em Neuropsicopedagogia")</f>
        <v>Cristiane dos Reis Soares - Pós-Graduação em Neuropsicopedagogia</v>
      </c>
    </row>
    <row r="5837">
      <c r="A5837" s="390" t="str">
        <f>IFERROR(__xludf.DUMMYFUNCTION("""COMPUTED_VALUE"""),"Cristiane dos Reis Soares - PÓS-GRADUAÇÃO EM NEUROPSICOPEDAGOGIA INSTITUCIONAL, CLÍNICA E HOSPITALAR 800 Horas")</f>
        <v>Cristiane dos Reis Soares - PÓS-GRADUAÇÃO EM NEUROPSICOPEDAGOGIA INSTITUCIONAL, CLÍNICA E HOSPITALAR 800 Horas</v>
      </c>
    </row>
    <row r="5838">
      <c r="A5838" s="390" t="str">
        <f>IFERROR(__xludf.DUMMYFUNCTION("""COMPUTED_VALUE"""),"Cristiane dos Reis Soares - PÓS-GRADUAÇÃO EM NEUROPSICOPEDAGOGIA INSTITUCIONAL, CLÍNICA E HOSPITALAR TT")</f>
        <v>Cristiane dos Reis Soares - PÓS-GRADUAÇÃO EM NEUROPSICOPEDAGOGIA INSTITUCIONAL, CLÍNICA E HOSPITALAR TT</v>
      </c>
    </row>
    <row r="5839">
      <c r="A5839" s="390" t="str">
        <f>IFERROR(__xludf.DUMMYFUNCTION("""COMPUTED_VALUE"""),"Tatiane Nunes Mozaldo do Espírito Santo Aguiar - Pós-Graduação em Psicanálise")</f>
        <v>Tatiane Nunes Mozaldo do Espírito Santo Aguiar - Pós-Graduação em Psicanálise</v>
      </c>
    </row>
    <row r="5840">
      <c r="A5840" s="390" t="str">
        <f>IFERROR(__xludf.DUMMYFUNCTION("""COMPUTED_VALUE"""),"Tatiane Nunes Mozaldo do Espírito Santo Aguiar - Pós-Graduação em Sexologia")</f>
        <v>Tatiane Nunes Mozaldo do Espírito Santo Aguiar - Pós-Graduação em Sexologia</v>
      </c>
    </row>
    <row r="5841">
      <c r="A5841" s="390" t="str">
        <f>IFERROR(__xludf.DUMMYFUNCTION("""COMPUTED_VALUE"""),"Joelma Cerqueira da Silva de Jesus - Pós-Graduação em Ensino de Língua Inglesa")</f>
        <v>Joelma Cerqueira da Silva de Jesus - Pós-Graduação em Ensino de Língua Inglesa</v>
      </c>
    </row>
    <row r="5842">
      <c r="A5842" s="390" t="str">
        <f>IFERROR(__xludf.DUMMYFUNCTION("""COMPUTED_VALUE"""),"Joelma Cerqueira da Silva de Jesus - Pós-Graduação em Ensino da Língua Portuguesa")</f>
        <v>Joelma Cerqueira da Silva de Jesus - Pós-Graduação em Ensino da Língua Portuguesa</v>
      </c>
    </row>
    <row r="5843">
      <c r="A5843" s="390" t="str">
        <f>IFERROR(__xludf.DUMMYFUNCTION("""COMPUTED_VALUE"""),"Daiane Baron - Pós-Graduação em Musicoterapia")</f>
        <v>Daiane Baron - Pós-Graduação em Musicoterapia</v>
      </c>
    </row>
    <row r="5844">
      <c r="A5844" s="390" t="str">
        <f>IFERROR(__xludf.DUMMYFUNCTION("""COMPUTED_VALUE"""),"Maria Luiza Hespanholo Ricci - #SLUP - SEGUNDA LICENCIATURA EM PEDAGOGIA")</f>
        <v>Maria Luiza Hespanholo Ricci - #SLUP - SEGUNDA LICENCIATURA EM PEDAGOGIA</v>
      </c>
    </row>
    <row r="5845">
      <c r="A5845" s="390" t="str">
        <f>IFERROR(__xludf.DUMMYFUNCTION("""COMPUTED_VALUE"""),"Elberto Teles Ribeiro - #FPUEF - Formação Pedagógica em Educação Física - 1200 Horas")</f>
        <v>Elberto Teles Ribeiro - #FPUEF - Formação Pedagógica em Educação Física - 1200 Horas</v>
      </c>
    </row>
    <row r="5846">
      <c r="A5846" s="390" t="str">
        <f>IFERROR(__xludf.DUMMYFUNCTION("""COMPUTED_VALUE"""),"Diomarques Amancio de Jesus - #SLUG - SEGUNDA LICENCIATURA EM GEOGRAFIA")</f>
        <v>Diomarques Amancio de Jesus - #SLUG - SEGUNDA LICENCIATURA EM GEOGRAFIA</v>
      </c>
    </row>
    <row r="5847">
      <c r="A5847" s="390" t="str">
        <f>IFERROR(__xludf.DUMMYFUNCTION("""COMPUTED_VALUE"""),"Thiago Antônio da Paixão Daltro - #SLMF - Segunda Licenciatura em Música 1320Horas")</f>
        <v>Thiago Antônio da Paixão Daltro - #SLMF - Segunda Licenciatura em Música 1320Horas</v>
      </c>
    </row>
    <row r="5848">
      <c r="A5848" s="390" t="str">
        <f>IFERROR(__xludf.DUMMYFUNCTION("""COMPUTED_VALUE"""),"Thiago Antônio da Paixão Daltro - Pós-Graduação Neurociência e Aprendizagem")</f>
        <v>Thiago Antônio da Paixão Daltro - Pós-Graduação Neurociência e Aprendizagem</v>
      </c>
    </row>
    <row r="5849">
      <c r="A5849" s="390" t="str">
        <f>IFERROR(__xludf.DUMMYFUNCTION("""COMPUTED_VALUE"""),"Carla Emiliane da Costa Magela - Pós-Graduação Educação Especial e Inclusiva")</f>
        <v>Carla Emiliane da Costa Magela - Pós-Graduação Educação Especial e Inclusiva</v>
      </c>
    </row>
    <row r="5850">
      <c r="A5850" s="390" t="str">
        <f>IFERROR(__xludf.DUMMYFUNCTION("""COMPUTED_VALUE"""),"Carla Emiliane da Costa Magela - #SLPA- Segunda Licenciatura em Pedagogia 01")</f>
        <v>Carla Emiliane da Costa Magela - #SLPA- Segunda Licenciatura em Pedagogia 01</v>
      </c>
    </row>
    <row r="5851">
      <c r="A5851" s="390" t="str">
        <f>IFERROR(__xludf.DUMMYFUNCTION("""COMPUTED_VALUE"""),"Carla Emiliane da Costa Magela - #SLPA- Segunda Licenciatura em Pedagogia 01")</f>
        <v>Carla Emiliane da Costa Magela - #SLPA- Segunda Licenciatura em Pedagogia 01</v>
      </c>
    </row>
    <row r="5852">
      <c r="A5852" s="390" t="str">
        <f>IFERROR(__xludf.DUMMYFUNCTION("""COMPUTED_VALUE"""),"Donizete Augusto Lucas - #FPH+ Formação Pedagógica em História - 2022 790Horas")</f>
        <v>Donizete Augusto Lucas - #FPH+ Formação Pedagógica em História - 2022 790Horas</v>
      </c>
    </row>
    <row r="5853">
      <c r="A5853" s="390" t="str">
        <f>IFERROR(__xludf.DUMMYFUNCTION("""COMPUTED_VALUE"""),"Donizete Augusto Lucas - Formação Pedagógica História")</f>
        <v>Donizete Augusto Lucas - Formação Pedagógica História</v>
      </c>
    </row>
    <row r="5854">
      <c r="A5854" s="390" t="str">
        <f>IFERROR(__xludf.DUMMYFUNCTION("""COMPUTED_VALUE"""),"Carla de Souza Moreira Portilho - Pós-Graduação em Sexologia")</f>
        <v>Carla de Souza Moreira Portilho - Pós-Graduação em Sexologia</v>
      </c>
    </row>
    <row r="5855">
      <c r="A5855" s="390" t="str">
        <f>IFERROR(__xludf.DUMMYFUNCTION("""COMPUTED_VALUE"""),"Rodrigo Pereira Silva - #FPMF- Formação Pedagógica em Música 1200Horas")</f>
        <v>Rodrigo Pereira Silva - #FPMF- Formação Pedagógica em Música 1200Horas</v>
      </c>
    </row>
    <row r="5856">
      <c r="A5856" s="390" t="str">
        <f>IFERROR(__xludf.DUMMYFUNCTION("""COMPUTED_VALUE"""),"Julia Quérem Barros da Costa - #SLH+- SEGUNDA LICENCIATURA EM HISTÓRIA")</f>
        <v>Julia Quérem Barros da Costa - #SLH+- SEGUNDA LICENCIATURA EM HISTÓRIA</v>
      </c>
    </row>
    <row r="5857">
      <c r="A5857" s="390" t="str">
        <f>IFERROR(__xludf.DUMMYFUNCTION("""COMPUTED_VALUE"""),"Julia Quérem Barros da Costa - FORMAÇÃO PEDAGÓGICA EM LETRAS – LÍNGUA PORTUGUESA E LIBRAS- U")</f>
        <v>Julia Quérem Barros da Costa - FORMAÇÃO PEDAGÓGICA EM LETRAS – LÍNGUA PORTUGUESA E LIBRAS- U</v>
      </c>
    </row>
    <row r="5858">
      <c r="A5858" s="390" t="str">
        <f>IFERROR(__xludf.DUMMYFUNCTION("""COMPUTED_VALUE"""),"Julia Quérem Barros da Costa - SEGUNDA LICENCIATURA EM EDUCAÇÃO FÍSICA - 2024")</f>
        <v>Julia Quérem Barros da Costa - SEGUNDA LICENCIATURA EM EDUCAÇÃO FÍSICA - 2024</v>
      </c>
    </row>
    <row r="5859">
      <c r="A5859" s="390" t="str">
        <f>IFERROR(__xludf.DUMMYFUNCTION("""COMPUTED_VALUE"""),"Julia Quérem Barros da Costa - SEGUNDA LICENCIATURA EM EDUCAÇÃO FÍSICA - 2024")</f>
        <v>Julia Quérem Barros da Costa - SEGUNDA LICENCIATURA EM EDUCAÇÃO FÍSICA - 2024</v>
      </c>
    </row>
    <row r="5860">
      <c r="A5860" s="390" t="str">
        <f>IFERROR(__xludf.DUMMYFUNCTION("""COMPUTED_VALUE"""),"Julia Quérem Barros da Costa - SEGUNDA LICENCIATURA EM EDUCAÇÃO FÍSICA - 2024")</f>
        <v>Julia Quérem Barros da Costa - SEGUNDA LICENCIATURA EM EDUCAÇÃO FÍSICA - 2024</v>
      </c>
    </row>
    <row r="5861">
      <c r="A5861" s="390" t="str">
        <f>IFERROR(__xludf.DUMMYFUNCTION("""COMPUTED_VALUE"""),"Julia Quérem Barros da Costa - Pós-Graduação em Psicanálise 2/2023")</f>
        <v>Julia Quérem Barros da Costa - Pós-Graduação em Psicanálise 2/2023</v>
      </c>
    </row>
    <row r="5862">
      <c r="A5862" s="390" t="str">
        <f>IFERROR(__xludf.DUMMYFUNCTION("""COMPUTED_VALUE"""),"Julia Quérem Barros da Costa - PÓS-GRADUAÇÃO EM ADMINISTRAÇÃO PÚBLICA - 2024")</f>
        <v>Julia Quérem Barros da Costa - PÓS-GRADUAÇÃO EM ADMINISTRAÇÃO PÚBLICA - 2024</v>
      </c>
    </row>
    <row r="5863">
      <c r="A5863" s="390" t="str">
        <f>IFERROR(__xludf.DUMMYFUNCTION("""COMPUTED_VALUE"""),"Julia Quérem Barros da Costa - PÓS-GRADUAÇÃO EM ADMINISTRAÇÃO DE SERVIDORES LINUX - 2024")</f>
        <v>Julia Quérem Barros da Costa - PÓS-GRADUAÇÃO EM ADMINISTRAÇÃO DE SERVIDORES LINUX - 2024</v>
      </c>
    </row>
    <row r="5864">
      <c r="A5864" s="390" t="str">
        <f>IFERROR(__xludf.DUMMYFUNCTION("""COMPUTED_VALUE"""),"Julia Quérem Barros da Costa - Pós-Graduação em Musicoterapia")</f>
        <v>Julia Quérem Barros da Costa - Pós-Graduação em Musicoterapia</v>
      </c>
    </row>
    <row r="5865">
      <c r="A5865" s="390" t="str">
        <f>IFERROR(__xludf.DUMMYFUNCTION("""COMPUTED_VALUE"""),"Julia Quérem Barros da Costa - PÓS-GRADUAÇÃO EM PSICANÁLISE - 2024")</f>
        <v>Julia Quérem Barros da Costa - PÓS-GRADUAÇÃO EM PSICANÁLISE - 2024</v>
      </c>
    </row>
    <row r="5866">
      <c r="A5866" s="390" t="str">
        <f>IFERROR(__xludf.DUMMYFUNCTION("""COMPUTED_VALUE"""),"Julia Quérem Barros da Costa - Pós-Graduação em Musicoterapia")</f>
        <v>Julia Quérem Barros da Costa - Pós-Graduação em Musicoterapia</v>
      </c>
    </row>
    <row r="5867">
      <c r="A5867" s="390" t="str">
        <f>IFERROR(__xludf.DUMMYFUNCTION("""COMPUTED_VALUE"""),"Julia Quérem Barros da Costa - Pós-Graduação em Análise de Projeto de Software")</f>
        <v>Julia Quérem Barros da Costa - Pós-Graduação em Análise de Projeto de Software</v>
      </c>
    </row>
    <row r="5868">
      <c r="A5868" s="390" t="str">
        <f>IFERROR(__xludf.DUMMYFUNCTION("""COMPUTED_VALUE"""),"Adyla Bispo Costa - NOVO-Pós-Graduação em Psicanálise 800 Horas")</f>
        <v>Adyla Bispo Costa - NOVO-Pós-Graduação em Psicanálise 800 Horas</v>
      </c>
    </row>
    <row r="5869">
      <c r="A5869" s="390" t="str">
        <f>IFERROR(__xludf.DUMMYFUNCTION("""COMPUTED_VALUE"""),"Adyla Bispo Costa - Pós-Graduação em Psicanálise")</f>
        <v>Adyla Bispo Costa - Pós-Graduação em Psicanálise</v>
      </c>
    </row>
    <row r="5870">
      <c r="A5870" s="390" t="str">
        <f>IFERROR(__xludf.DUMMYFUNCTION("""COMPUTED_VALUE"""),"Maria Orlanda Alves Bezerra - Formação Livre em Psicanálise-2022")</f>
        <v>Maria Orlanda Alves Bezerra - Formação Livre em Psicanálise-2022</v>
      </c>
    </row>
    <row r="5871">
      <c r="A5871" s="390" t="str">
        <f>IFERROR(__xludf.DUMMYFUNCTION("""COMPUTED_VALUE"""),"Danielle Santos do monte - #SLUA- Segunda Licenciatura em Artes Visuais")</f>
        <v>Danielle Santos do monte - #SLUA- Segunda Licenciatura em Artes Visuais</v>
      </c>
    </row>
    <row r="5872">
      <c r="A5872" s="390" t="str">
        <f>IFERROR(__xludf.DUMMYFUNCTION("""COMPUTED_VALUE"""),"Anderson Thiago Passos Veloso - #FPMF- Formação Pedagógica em Música 1200Horas")</f>
        <v>Anderson Thiago Passos Veloso - #FPMF- Formação Pedagógica em Música 1200Horas</v>
      </c>
    </row>
    <row r="5873">
      <c r="A5873" s="390" t="str">
        <f>IFERROR(__xludf.DUMMYFUNCTION("""COMPUTED_VALUE"""),"Anderson Thiago Passos Veloso - #FPMF- Formação Pedagógica em Música 1200Horas")</f>
        <v>Anderson Thiago Passos Veloso - #FPMF- Formação Pedagógica em Música 1200Horas</v>
      </c>
    </row>
    <row r="5874">
      <c r="A5874" s="390" t="str">
        <f>IFERROR(__xludf.DUMMYFUNCTION("""COMPUTED_VALUE"""),"Paulo César Lino - Pós-Graduação em Psicanálise")</f>
        <v>Paulo César Lino - Pós-Graduação em Psicanálise</v>
      </c>
    </row>
    <row r="5875">
      <c r="A5875" s="390" t="str">
        <f>IFERROR(__xludf.DUMMYFUNCTION("""COMPUTED_VALUE"""),"Dayana Aparecida Crobelo Cardoso - Pós-Graduação em Neuropsicopedagogia")</f>
        <v>Dayana Aparecida Crobelo Cardoso - Pós-Graduação em Neuropsicopedagogia</v>
      </c>
    </row>
    <row r="5876">
      <c r="A5876" s="390" t="str">
        <f>IFERROR(__xludf.DUMMYFUNCTION("""COMPUTED_VALUE"""),"Katia de Jesus Gonçalves Macedo - Pós-graduação em Neuropsicologia")</f>
        <v>Katia de Jesus Gonçalves Macedo - Pós-graduação em Neuropsicologia</v>
      </c>
    </row>
    <row r="5877">
      <c r="A5877" s="390" t="str">
        <f>IFERROR(__xludf.DUMMYFUNCTION("""COMPUTED_VALUE"""),"Asafe Vale de Menezes - Formação Livre em Psicanálise-2022")</f>
        <v>Asafe Vale de Menezes - Formação Livre em Psicanálise-2022</v>
      </c>
    </row>
    <row r="5878">
      <c r="A5878" s="390" t="str">
        <f>IFERROR(__xludf.DUMMYFUNCTION("""COMPUTED_VALUE"""),"Cleonice ramos da Silva - Formação Livre em Psicanálise-2022")</f>
        <v>Cleonice ramos da Silva - Formação Livre em Psicanálise-2022</v>
      </c>
    </row>
    <row r="5879">
      <c r="A5879" s="390" t="str">
        <f>IFERROR(__xludf.DUMMYFUNCTION("""COMPUTED_VALUE"""),"Caroline Emanuele de Souza Barreto - Formação Livre em Psicanálise-2022")</f>
        <v>Caroline Emanuele de Souza Barreto - Formação Livre em Psicanálise-2022</v>
      </c>
    </row>
    <row r="5880">
      <c r="A5880" s="390" t="str">
        <f>IFERROR(__xludf.DUMMYFUNCTION("""COMPUTED_VALUE"""),"Dheane De Santana Lourenço - Radiante Centro Educacional - Pós-Graduação em Enfermagem em Oncológica")</f>
        <v>Dheane De Santana Lourenço - Radiante Centro Educacional - Pós-Graduação em Enfermagem em Oncológica</v>
      </c>
    </row>
    <row r="5881">
      <c r="A5881" s="390" t="str">
        <f>IFERROR(__xludf.DUMMYFUNCTION("""COMPUTED_VALUE"""),"Marília de Jesus Oliveira - Pós-Graduação em Engenharia de Segurança do Trabalho")</f>
        <v>Marília de Jesus Oliveira - Pós-Graduação em Engenharia de Segurança do Trabalho</v>
      </c>
    </row>
    <row r="5882">
      <c r="A5882" s="390" t="str">
        <f>IFERROR(__xludf.DUMMYFUNCTION("""COMPUTED_VALUE"""),"Sirlene Costa - Pós-Graduação em Sexologia")</f>
        <v>Sirlene Costa - Pós-Graduação em Sexologia</v>
      </c>
    </row>
    <row r="5883">
      <c r="A5883" s="390" t="str">
        <f>IFERROR(__xludf.DUMMYFUNCTION("""COMPUTED_VALUE"""),"Layane Ribeiro Mascarenhas - #FPM+ Formação Pedagógica em Matemática-760 Horas")</f>
        <v>Layane Ribeiro Mascarenhas - #FPM+ Formação Pedagógica em Matemática-760 Horas</v>
      </c>
    </row>
    <row r="5884">
      <c r="A5884" s="390" t="str">
        <f>IFERROR(__xludf.DUMMYFUNCTION("""COMPUTED_VALUE"""),"Rafael Inocencio Oliveira - #SLUEF - Segunda Licenciatura em Educação Física")</f>
        <v>Rafael Inocencio Oliveira - #SLUEF - Segunda Licenciatura em Educação Física</v>
      </c>
    </row>
    <row r="5885">
      <c r="A5885" s="390" t="str">
        <f>IFERROR(__xludf.DUMMYFUNCTION("""COMPUTED_VALUE"""),"Fernanda de Oliveira Santos - #SLH+- SEGUNDA LICENCIATURA EM HISTÓRIA")</f>
        <v>Fernanda de Oliveira Santos - #SLH+- SEGUNDA LICENCIATURA EM HISTÓRIA</v>
      </c>
    </row>
    <row r="5886">
      <c r="A5886" s="390" t="str">
        <f>IFERROR(__xludf.DUMMYFUNCTION("""COMPUTED_VALUE"""),"Marina Viana dos Santos Sousa - #SLPT- Segunda Licenciatura em Pedagogia")</f>
        <v>Marina Viana dos Santos Sousa - #SLPT- Segunda Licenciatura em Pedagogia</v>
      </c>
    </row>
    <row r="5887">
      <c r="A5887" s="390" t="str">
        <f>IFERROR(__xludf.DUMMYFUNCTION("""COMPUTED_VALUE"""),"Maria Ailsa Andrade da Silva - NOVO-Pós-Graduação em Psicanálise 800 Horas")</f>
        <v>Maria Ailsa Andrade da Silva - NOVO-Pós-Graduação em Psicanálise 800 Horas</v>
      </c>
    </row>
    <row r="5888">
      <c r="A5888" s="390" t="str">
        <f>IFERROR(__xludf.DUMMYFUNCTION("""COMPUTED_VALUE"""),"Simone Barbosa Pontes Beltrão - Pós-graduação em Neuropsicologia")</f>
        <v>Simone Barbosa Pontes Beltrão - Pós-graduação em Neuropsicologia</v>
      </c>
    </row>
    <row r="5889">
      <c r="A5889" s="390" t="str">
        <f>IFERROR(__xludf.DUMMYFUNCTION("""COMPUTED_VALUE"""),"Simone Barbosa Pontes Beltrão - Pós-Graduação em Neuropsicologia Clínica")</f>
        <v>Simone Barbosa Pontes Beltrão - Pós-Graduação em Neuropsicologia Clínica</v>
      </c>
    </row>
    <row r="5890">
      <c r="A5890" s="390" t="str">
        <f>IFERROR(__xludf.DUMMYFUNCTION("""COMPUTED_VALUE"""),"Flávia Ribeiro Gomes - #SLPA- Segunda Licenciatura em Pedagogia 01")</f>
        <v>Flávia Ribeiro Gomes - #SLPA- Segunda Licenciatura em Pedagogia 01</v>
      </c>
    </row>
    <row r="5891">
      <c r="A5891" s="390" t="str">
        <f>IFERROR(__xludf.DUMMYFUNCTION("""COMPUTED_VALUE"""),"Jéssica Moreno de Mendonça - #SLP22- Segunda Licenciatura em Pedagogia")</f>
        <v>Jéssica Moreno de Mendonça - #SLP22- Segunda Licenciatura em Pedagogia</v>
      </c>
    </row>
    <row r="5892">
      <c r="A5892" s="390" t="str">
        <f>IFERROR(__xludf.DUMMYFUNCTION("""COMPUTED_VALUE"""),"Paulo Cesar de Paula - # SLCRA - Segunda Licenciatura em Ciências da Religião")</f>
        <v>Paulo Cesar de Paula - # SLCRA - Segunda Licenciatura em Ciências da Religião</v>
      </c>
    </row>
    <row r="5893">
      <c r="A5893" s="390" t="str">
        <f>IFERROR(__xludf.DUMMYFUNCTION("""COMPUTED_VALUE"""),"Hélio Gustavo Carvalho Araújo - #SLMF - Segunda Licenciatura em Música 1320Horas")</f>
        <v>Hélio Gustavo Carvalho Araújo - #SLMF - Segunda Licenciatura em Música 1320Horas</v>
      </c>
    </row>
    <row r="5894">
      <c r="A5894" s="390" t="str">
        <f>IFERROR(__xludf.DUMMYFUNCTION("""COMPUTED_VALUE"""),"Jéferson Sousa Brito Ramires - #SLAV+1 - Segunda Licenciatura em Artes Visuais 1000 Horas")</f>
        <v>Jéferson Sousa Brito Ramires - #SLAV+1 - Segunda Licenciatura em Artes Visuais 1000 Horas</v>
      </c>
    </row>
    <row r="5895">
      <c r="A5895" s="390" t="str">
        <f>IFERROR(__xludf.DUMMYFUNCTION("""COMPUTED_VALUE"""),"LUCIANA SANTOS DE OLIVEIRA LOPES - Pós-Graduação em Terapia em ABA- Análise do Comportamento Aplicada")</f>
        <v>LUCIANA SANTOS DE OLIVEIRA LOPES - Pós-Graduação em Terapia em ABA- Análise do Comportamento Aplicada</v>
      </c>
    </row>
    <row r="5896">
      <c r="A5896" s="390" t="str">
        <f>IFERROR(__xludf.DUMMYFUNCTION("""COMPUTED_VALUE"""),"Inácia Maria Silva Freire - #SLPT- Segunda Licenciatura em Pedagogia")</f>
        <v>Inácia Maria Silva Freire - #SLPT- Segunda Licenciatura em Pedagogia</v>
      </c>
    </row>
    <row r="5897">
      <c r="A5897" s="390" t="str">
        <f>IFERROR(__xludf.DUMMYFUNCTION("""COMPUTED_VALUE"""),"Jorge Ismar de Souza Maia - Pós-Graduação em Psicanálise")</f>
        <v>Jorge Ismar de Souza Maia - Pós-Graduação em Psicanálise</v>
      </c>
    </row>
    <row r="5898">
      <c r="A5898" s="390" t="str">
        <f>IFERROR(__xludf.DUMMYFUNCTION("""COMPUTED_VALUE"""),"Joice Vaz Simeão Carneiro - #FPTLP- Formação Pedagógica em Letras-Português 1360Horas ")</f>
        <v>Joice Vaz Simeão Carneiro - #FPTLP- Formação Pedagógica em Letras-Português 1360Horas </v>
      </c>
    </row>
    <row r="5899">
      <c r="A5899" s="390" t="str">
        <f>IFERROR(__xludf.DUMMYFUNCTION("""COMPUTED_VALUE"""),"Maria Elizabeth Ribeiro Jardim Teixeira - PÓS-GRADUAÇÃO EM PSICANÁLISE 2022")</f>
        <v>Maria Elizabeth Ribeiro Jardim Teixeira - PÓS-GRADUAÇÃO EM PSICANÁLISE 2022</v>
      </c>
    </row>
    <row r="5900">
      <c r="A5900" s="390" t="str">
        <f>IFERROR(__xludf.DUMMYFUNCTION("""COMPUTED_VALUE"""),"Maria Elizabeth Ribeiro Jardim Teixeira - Pós-Graduação em Neuropsicologia Clínica 2022")</f>
        <v>Maria Elizabeth Ribeiro Jardim Teixeira - Pós-Graduação em Neuropsicologia Clínica 2022</v>
      </c>
    </row>
    <row r="5901">
      <c r="A5901" s="390" t="str">
        <f>IFERROR(__xludf.DUMMYFUNCTION("""COMPUTED_VALUE"""),"Christianne Schettine Paiva - Novo-Pós-Graduação em Sexologia 800Horas")</f>
        <v>Christianne Schettine Paiva - Novo-Pós-Graduação em Sexologia 800Horas</v>
      </c>
    </row>
    <row r="5902">
      <c r="A5902" s="390" t="str">
        <f>IFERROR(__xludf.DUMMYFUNCTION("""COMPUTED_VALUE"""),"Fernanda Gonçalves Crispim Dinis - #SLPT- Segunda Licenciatura em Pedagogia")</f>
        <v>Fernanda Gonçalves Crispim Dinis - #SLPT- Segunda Licenciatura em Pedagogia</v>
      </c>
    </row>
    <row r="5903">
      <c r="A5903" s="390" t="str">
        <f>IFERROR(__xludf.DUMMYFUNCTION("""COMPUTED_VALUE"""),"Jenina Ferreira Nunes - Novo-Pós-Graduação em Sexologia 800Horas")</f>
        <v>Jenina Ferreira Nunes - Novo-Pós-Graduação em Sexologia 800Horas</v>
      </c>
    </row>
    <row r="5904">
      <c r="A5904" s="390" t="str">
        <f>IFERROR(__xludf.DUMMYFUNCTION("""COMPUTED_VALUE"""),"Tatiane Cristina Duarte dos Santos - #FPLIT - FORMAÇÃO PEDAGÓGICA EM LETRAS - INGLÊS")</f>
        <v>Tatiane Cristina Duarte dos Santos - #FPLIT - FORMAÇÃO PEDAGÓGICA EM LETRAS - INGLÊS</v>
      </c>
    </row>
    <row r="5905">
      <c r="A5905" s="390" t="str">
        <f>IFERROR(__xludf.DUMMYFUNCTION("""COMPUTED_VALUE"""),"Juliana de Oliveira Cremasco - #SLH+- SEGUNDA LICENCIATURA EM HISTÓRIA")</f>
        <v>Juliana de Oliveira Cremasco - #SLH+- SEGUNDA LICENCIATURA EM HISTÓRIA</v>
      </c>
    </row>
    <row r="5906">
      <c r="A5906" s="390" t="str">
        <f>IFERROR(__xludf.DUMMYFUNCTION("""COMPUTED_VALUE"""),"MAYARA FARIA DA SILVA - #SLMF- Segunda Licenciatura Música 1200Horas 1")</f>
        <v>MAYARA FARIA DA SILVA - #SLMF- Segunda Licenciatura Música 1200Horas 1</v>
      </c>
    </row>
    <row r="5907">
      <c r="A5907" s="390" t="str">
        <f>IFERROR(__xludf.DUMMYFUNCTION("""COMPUTED_VALUE"""),"Raimundo Nonato Filho - #SLP22- Segunda Licenciatura em Pedagogia")</f>
        <v>Raimundo Nonato Filho - #SLP22- Segunda Licenciatura em Pedagogia</v>
      </c>
    </row>
    <row r="5908">
      <c r="A5908" s="390" t="str">
        <f>IFERROR(__xludf.DUMMYFUNCTION("""COMPUTED_VALUE"""),"Raimundo Nonato Filho - Novo-Pós-Graduação em Psicopedagogia Clínica, Institucional e Hospitalar-620 Horas(Jacad)")</f>
        <v>Raimundo Nonato Filho - Novo-Pós-Graduação em Psicopedagogia Clínica, Institucional e Hospitalar-620 Horas(Jacad)</v>
      </c>
    </row>
    <row r="5909">
      <c r="A5909" s="390" t="str">
        <f>IFERROR(__xludf.DUMMYFUNCTION("""COMPUTED_VALUE"""),"Pedro Vicente Ferreira Silva - Formação Livre em Psicanálise-2022")</f>
        <v>Pedro Vicente Ferreira Silva - Formação Livre em Psicanálise-2022</v>
      </c>
    </row>
    <row r="5910">
      <c r="A5910" s="390" t="str">
        <f>IFERROR(__xludf.DUMMYFUNCTION("""COMPUTED_VALUE"""),"Sonia Moreira dos Santos Silva - #SLMF - Segunda Licenciatura em Música 1320Horas")</f>
        <v>Sonia Moreira dos Santos Silva - #SLMF - Segunda Licenciatura em Música 1320Horas</v>
      </c>
    </row>
    <row r="5911">
      <c r="A5911" s="390" t="str">
        <f>IFERROR(__xludf.DUMMYFUNCTION("""COMPUTED_VALUE"""),"Pedro Vicente Ferreira Silva - Formação Livre em Psicanálise-2022")</f>
        <v>Pedro Vicente Ferreira Silva - Formação Livre em Psicanálise-2022</v>
      </c>
    </row>
    <row r="5912">
      <c r="A5912" s="390" t="str">
        <f>IFERROR(__xludf.DUMMYFUNCTION("""COMPUTED_VALUE"""),"Pedro Vicente Ferreira Silva - Formação Livre em Psicanálise-2022")</f>
        <v>Pedro Vicente Ferreira Silva - Formação Livre em Psicanálise-2022</v>
      </c>
    </row>
    <row r="5913">
      <c r="A5913" s="390" t="str">
        <f>IFERROR(__xludf.DUMMYFUNCTION("""COMPUTED_VALUE"""),"Pedro Vicente Ferreira Silva - Formação Livre em Psicanálise-2022")</f>
        <v>Pedro Vicente Ferreira Silva - Formação Livre em Psicanálise-2022</v>
      </c>
    </row>
    <row r="5914">
      <c r="A5914" s="390" t="str">
        <f>IFERROR(__xludf.DUMMYFUNCTION("""COMPUTED_VALUE"""),"Graziele Damaceno de Azevedo - Formação Livre em Psicanálise-2022")</f>
        <v>Graziele Damaceno de Azevedo - Formação Livre em Psicanálise-2022</v>
      </c>
    </row>
    <row r="5915">
      <c r="A5915" s="390" t="str">
        <f>IFERROR(__xludf.DUMMYFUNCTION("""COMPUTED_VALUE"""),"Eli Albino Barbosa - Capacitação em Sexologia")</f>
        <v>Eli Albino Barbosa - Capacitação em Sexologia</v>
      </c>
    </row>
    <row r="5916">
      <c r="A5916" s="390" t="str">
        <f>IFERROR(__xludf.DUMMYFUNCTION("""COMPUTED_VALUE"""),"Eli Albino Barbosa - Formação Livre em Psicanálise-2022")</f>
        <v>Eli Albino Barbosa - Formação Livre em Psicanálise-2022</v>
      </c>
    </row>
    <row r="5917">
      <c r="A5917" s="390" t="str">
        <f>IFERROR(__xludf.DUMMYFUNCTION("""COMPUTED_VALUE"""),"Eli Albino Barbosa - Capacitação em Sexologia")</f>
        <v>Eli Albino Barbosa - Capacitação em Sexologia</v>
      </c>
    </row>
    <row r="5918">
      <c r="A5918" s="390" t="str">
        <f>IFERROR(__xludf.DUMMYFUNCTION("""COMPUTED_VALUE"""),"Eli Albino Barbosa - Formação Livre em Psicanálise-2022")</f>
        <v>Eli Albino Barbosa - Formação Livre em Psicanálise-2022</v>
      </c>
    </row>
    <row r="5919">
      <c r="A5919" s="390" t="str">
        <f>IFERROR(__xludf.DUMMYFUNCTION("""COMPUTED_VALUE"""),"Mychele Dayane da Silva Souza - #FPP- Formação Pedagógica em Pedagogia R2")</f>
        <v>Mychele Dayane da Silva Souza - #FPP- Formação Pedagógica em Pedagogia R2</v>
      </c>
    </row>
    <row r="5920">
      <c r="A5920" s="390" t="str">
        <f>IFERROR(__xludf.DUMMYFUNCTION("""COMPUTED_VALUE"""),"Mychele Dayane da Silva Souza - Formação Livre em Psicanálise-2022")</f>
        <v>Mychele Dayane da Silva Souza - Formação Livre em Psicanálise-2022</v>
      </c>
    </row>
    <row r="5921">
      <c r="A5921" s="390" t="str">
        <f>IFERROR(__xludf.DUMMYFUNCTION("""COMPUTED_VALUE"""),"Mychele Dayane da Silva Souza - Formação Livre em Psicanálise-2022")</f>
        <v>Mychele Dayane da Silva Souza - Formação Livre em Psicanálise-2022</v>
      </c>
    </row>
    <row r="5922">
      <c r="A5922" s="390" t="str">
        <f>IFERROR(__xludf.DUMMYFUNCTION("""COMPUTED_VALUE"""),"Mychele Dayane da Silva Souza - Formação Livre em Psicanálise-2022")</f>
        <v>Mychele Dayane da Silva Souza - Formação Livre em Psicanálise-2022</v>
      </c>
    </row>
    <row r="5923">
      <c r="A5923" s="390" t="str">
        <f>IFERROR(__xludf.DUMMYFUNCTION("""COMPUTED_VALUE"""),"Alex Moraes Oliveira - #SLMF - Segunda Licenciatura em Música 1320Horas")</f>
        <v>Alex Moraes Oliveira - #SLMF - Segunda Licenciatura em Música 1320Horas</v>
      </c>
    </row>
    <row r="5924">
      <c r="A5924" s="390" t="str">
        <f>IFERROR(__xludf.DUMMYFUNCTION("""COMPUTED_VALUE"""),"Alex Moraes Oliveira - SEGUNDA LICENCIATURA EM MÚSICA - 2024")</f>
        <v>Alex Moraes Oliveira - SEGUNDA LICENCIATURA EM MÚSICA - 2024</v>
      </c>
    </row>
    <row r="5925">
      <c r="A5925" s="390" t="str">
        <f>IFERROR(__xludf.DUMMYFUNCTION("""COMPUTED_VALUE"""),"Sabrina Daniele Souto da Silva - Pós-Graduação em Psicanálise")</f>
        <v>Sabrina Daniele Souto da Silva - Pós-Graduação em Psicanálise</v>
      </c>
    </row>
    <row r="5926">
      <c r="A5926" s="390" t="str">
        <f>IFERROR(__xludf.DUMMYFUNCTION("""COMPUTED_VALUE"""),"Edilson Assunção dos Santos - #SLPT- Segunda Licenciatura em Pedagogia")</f>
        <v>Edilson Assunção dos Santos - #SLPT- Segunda Licenciatura em Pedagogia</v>
      </c>
    </row>
    <row r="5927">
      <c r="A5927" s="390" t="str">
        <f>IFERROR(__xludf.DUMMYFUNCTION("""COMPUTED_VALUE"""),"Antônio Hugo Moreira de Brito - #SLUG - SEGUNDA LICENCIATURA EM GEOGRAFIA")</f>
        <v>Antônio Hugo Moreira de Brito - #SLUG - SEGUNDA LICENCIATURA EM GEOGRAFIA</v>
      </c>
    </row>
    <row r="5928">
      <c r="A5928" s="390" t="str">
        <f>IFERROR(__xludf.DUMMYFUNCTION("""COMPUTED_VALUE"""),"Gerlane Gomes da Cunha - Formação Livre em Sexologia")</f>
        <v>Gerlane Gomes da Cunha - Formação Livre em Sexologia</v>
      </c>
    </row>
    <row r="5929">
      <c r="A5929" s="390" t="str">
        <f>IFERROR(__xludf.DUMMYFUNCTION("""COMPUTED_VALUE"""),"GilsonAlves Ferreira - Formação Livre em Psicanálise-2022")</f>
        <v>GilsonAlves Ferreira - Formação Livre em Psicanálise-2022</v>
      </c>
    </row>
    <row r="5930">
      <c r="A5930" s="390" t="str">
        <f>IFERROR(__xludf.DUMMYFUNCTION("""COMPUTED_VALUE"""),"Anieli Fernandes Diniz Álvares da Cunha - PÓS-GRADUAÇÃO EM PSICANÁLISE 2022")</f>
        <v>Anieli Fernandes Diniz Álvares da Cunha - PÓS-GRADUAÇÃO EM PSICANÁLISE 2022</v>
      </c>
    </row>
    <row r="5931">
      <c r="A5931" s="390" t="str">
        <f>IFERROR(__xludf.DUMMYFUNCTION("""COMPUTED_VALUE"""),"Denise Cavalcante Bezerra - #SLUS - Segunda Licenciatura em Sociologia")</f>
        <v>Denise Cavalcante Bezerra - #SLUS - Segunda Licenciatura em Sociologia</v>
      </c>
    </row>
    <row r="5932">
      <c r="A5932" s="390" t="str">
        <f>IFERROR(__xludf.DUMMYFUNCTION("""COMPUTED_VALUE"""),"Denise Cavalcante Bezerra - #SLAA - Segunda Licenciatura em Artes Visuais")</f>
        <v>Denise Cavalcante Bezerra - #SLAA - Segunda Licenciatura em Artes Visuais</v>
      </c>
    </row>
    <row r="5933">
      <c r="A5933" s="390" t="str">
        <f>IFERROR(__xludf.DUMMYFUNCTION("""COMPUTED_VALUE"""),"Leandro Figueiredo Pereira - #SLMF - Segunda Licenciatura em Música 1320Horas")</f>
        <v>Leandro Figueiredo Pereira - #SLMF - Segunda Licenciatura em Música 1320Horas</v>
      </c>
    </row>
    <row r="5934">
      <c r="A5934" s="390" t="str">
        <f>IFERROR(__xludf.DUMMYFUNCTION("""COMPUTED_VALUE"""),"Thales Douglas de Brito Almeida - Pós-Graduação em Tecnologias Educacionais")</f>
        <v>Thales Douglas de Brito Almeida - Pós-Graduação em Tecnologias Educacionais</v>
      </c>
    </row>
    <row r="5935">
      <c r="A5935" s="390" t="str">
        <f>IFERROR(__xludf.DUMMYFUNCTION("""COMPUTED_VALUE"""),"Thales Douglas de Brito Almeida - #FPP- Formação Pedagógica em Pedagogia R2")</f>
        <v>Thales Douglas de Brito Almeida - #FPP- Formação Pedagógica em Pedagogia R2</v>
      </c>
    </row>
    <row r="5936">
      <c r="A5936" s="390" t="str">
        <f>IFERROR(__xludf.DUMMYFUNCTION("""COMPUTED_VALUE"""),"Lucas MIguel de Souza - #SLCSA - Segunda Licenciatura em Ciências Sociais")</f>
        <v>Lucas MIguel de Souza - #SLCSA - Segunda Licenciatura em Ciências Sociais</v>
      </c>
    </row>
    <row r="5937">
      <c r="A5937" s="390" t="str">
        <f>IFERROR(__xludf.DUMMYFUNCTION("""COMPUTED_VALUE"""),"Lucas MIguel de Souza - #SLPT- Segunda Licenciatura em Pedagogia")</f>
        <v>Lucas MIguel de Souza - #SLPT- Segunda Licenciatura em Pedagogia</v>
      </c>
    </row>
    <row r="5938">
      <c r="A5938" s="390" t="str">
        <f>IFERROR(__xludf.DUMMYFUNCTION("""COMPUTED_VALUE"""),"Anelise Porn - #SLUP - SEGUNDA LICENCIATURA EM PEDAGOGIA")</f>
        <v>Anelise Porn - #SLUP - SEGUNDA LICENCIATURA EM PEDAGOGIA</v>
      </c>
    </row>
    <row r="5939">
      <c r="A5939" s="390" t="str">
        <f>IFERROR(__xludf.DUMMYFUNCTION("""COMPUTED_VALUE"""),"Mário dos Santos Silva - #SLMF- Segunda Licenciatura em Música 2022 880Horas")</f>
        <v>Mário dos Santos Silva - #SLMF- Segunda Licenciatura em Música 2022 880Horas</v>
      </c>
    </row>
    <row r="5940">
      <c r="A5940" s="390" t="str">
        <f>IFERROR(__xludf.DUMMYFUNCTION("""COMPUTED_VALUE"""),"Lusineide Carvalho de Matos - #SLMF - Segunda Licenciatura em Música 1320Horas")</f>
        <v>Lusineide Carvalho de Matos - #SLMF - Segunda Licenciatura em Música 1320Horas</v>
      </c>
    </row>
    <row r="5941">
      <c r="A5941" s="390" t="str">
        <f>IFERROR(__xludf.DUMMYFUNCTION("""COMPUTED_VALUE"""),"Lusineide Carvalho de Matos - Pós-Graduação em Neuropsicologia Clínica")</f>
        <v>Lusineide Carvalho de Matos - Pós-Graduação em Neuropsicologia Clínica</v>
      </c>
    </row>
    <row r="5942">
      <c r="A5942" s="390" t="str">
        <f>IFERROR(__xludf.DUMMYFUNCTION("""COMPUTED_VALUE"""),"Bruna Jeniffer Barbosa Dos Santos - #SLUA- Segunda Licenciatura em Artes Visuais")</f>
        <v>Bruna Jeniffer Barbosa Dos Santos - #SLUA- Segunda Licenciatura em Artes Visuais</v>
      </c>
    </row>
    <row r="5943">
      <c r="A5943" s="390" t="str">
        <f>IFERROR(__xludf.DUMMYFUNCTION("""COMPUTED_VALUE"""),"Bruna Jeniffer Barbosa Dos Santos - Pós-Graduação em Ensino de Artes")</f>
        <v>Bruna Jeniffer Barbosa Dos Santos - Pós-Graduação em Ensino de Artes</v>
      </c>
    </row>
    <row r="5944">
      <c r="A5944" s="390" t="str">
        <f>IFERROR(__xludf.DUMMYFUNCTION("""COMPUTED_VALUE"""),"Vanderlei Pereira Vitório Magalhães - NOVO-Pós-Graduação em Psicanálise 800 Horas")</f>
        <v>Vanderlei Pereira Vitório Magalhães - NOVO-Pós-Graduação em Psicanálise 800 Horas</v>
      </c>
    </row>
    <row r="5945">
      <c r="A5945" s="390" t="str">
        <f>IFERROR(__xludf.DUMMYFUNCTION("""COMPUTED_VALUE"""),"Lucas Costa Alves - Capacitação em análise financeira")</f>
        <v>Lucas Costa Alves - Capacitação em análise financeira</v>
      </c>
    </row>
    <row r="5946">
      <c r="A5946" s="390" t="str">
        <f>IFERROR(__xludf.DUMMYFUNCTION("""COMPUTED_VALUE"""),"Lucas Costa Alves - Capacitação em Gestão de Equipes e Liderança 180Horas")</f>
        <v>Lucas Costa Alves - Capacitação em Gestão de Equipes e Liderança 180Horas</v>
      </c>
    </row>
    <row r="5947">
      <c r="A5947" s="390" t="str">
        <f>IFERROR(__xludf.DUMMYFUNCTION("""COMPUTED_VALUE"""),"Lucas Costa Alves - Capacitação em Controladoria")</f>
        <v>Lucas Costa Alves - Capacitação em Controladoria</v>
      </c>
    </row>
    <row r="5948">
      <c r="A5948" s="390" t="str">
        <f>IFERROR(__xludf.DUMMYFUNCTION("""COMPUTED_VALUE"""),"Marileide da Silva Sales - Formação Livre em Psicanálise-2022")</f>
        <v>Marileide da Silva Sales - Formação Livre em Psicanálise-2022</v>
      </c>
    </row>
    <row r="5949">
      <c r="A5949" s="390" t="str">
        <f>IFERROR(__xludf.DUMMYFUNCTION("""COMPUTED_VALUE"""),"Kelly Cristina Ferreira dos Santos - #FPUP-FORMAÇÃO PEDAGÓGICA EM PEDAGOGIA- U")</f>
        <v>Kelly Cristina Ferreira dos Santos - #FPUP-FORMAÇÃO PEDAGÓGICA EM PEDAGOGIA- U</v>
      </c>
    </row>
    <row r="5950">
      <c r="A5950" s="390" t="str">
        <f>IFERROR(__xludf.DUMMYFUNCTION("""COMPUTED_VALUE"""),"Jenyffer Nicodemos Fraga - #SLMF - Segunda Licenciatura em Música 1320Horas")</f>
        <v>Jenyffer Nicodemos Fraga - #SLMF - Segunda Licenciatura em Música 1320Horas</v>
      </c>
    </row>
    <row r="5951">
      <c r="A5951" s="390" t="str">
        <f>IFERROR(__xludf.DUMMYFUNCTION("""COMPUTED_VALUE"""),"Jenyffer Nicodemos Fraga - Pós-Graduação em Neuropsicopedagogia Clínica e Institucional")</f>
        <v>Jenyffer Nicodemos Fraga - Pós-Graduação em Neuropsicopedagogia Clínica e Institucional</v>
      </c>
    </row>
    <row r="5952">
      <c r="A5952" s="390" t="str">
        <f>IFERROR(__xludf.DUMMYFUNCTION("""COMPUTED_VALUE"""),"Êndreson Ribeiro da Silva - #SLMF - Segunda Licenciatura em Música 1320Horas")</f>
        <v>Êndreson Ribeiro da Silva - #SLMF - Segunda Licenciatura em Música 1320Horas</v>
      </c>
    </row>
    <row r="5953">
      <c r="A5953" s="390" t="str">
        <f>IFERROR(__xludf.DUMMYFUNCTION("""COMPUTED_VALUE"""),"Rafaela Vicente Pavanello - Formação Pedagógica em Química")</f>
        <v>Rafaela Vicente Pavanello - Formação Pedagógica em Química</v>
      </c>
    </row>
    <row r="5954">
      <c r="A5954" s="390" t="str">
        <f>IFERROR(__xludf.DUMMYFUNCTION("""COMPUTED_VALUE"""),"Rafaela Vicente Pavanello - #SLLPA - Segunda Licenciatura Letras - Português")</f>
        <v>Rafaela Vicente Pavanello - #SLLPA - Segunda Licenciatura Letras - Português</v>
      </c>
    </row>
    <row r="5955">
      <c r="A5955" s="390" t="str">
        <f>IFERROR(__xludf.DUMMYFUNCTION("""COMPUTED_VALUE"""),"Valéria Siqueira - Pós-Graduação em Terapia em ABA- Análise do Comportamento Aplicada")</f>
        <v>Valéria Siqueira - Pós-Graduação em Terapia em ABA- Análise do Comportamento Aplicada</v>
      </c>
    </row>
    <row r="5956">
      <c r="A5956" s="390" t="str">
        <f>IFERROR(__xludf.DUMMYFUNCTION("""COMPUTED_VALUE"""),"Jefferson Pereira Vilaronga - #FPMF- Formação Pedagógica em Música 1200Horas")</f>
        <v>Jefferson Pereira Vilaronga - #FPMF- Formação Pedagógica em Música 1200Horas</v>
      </c>
    </row>
    <row r="5957">
      <c r="A5957" s="390" t="str">
        <f>IFERROR(__xludf.DUMMYFUNCTION("""COMPUTED_VALUE"""),"Maria Vanuza Silva de Sousa - Pós-Graduação em Neuropsicopedagogia Institucional")</f>
        <v>Maria Vanuza Silva de Sousa - Pós-Graduação em Neuropsicopedagogia Institucional</v>
      </c>
    </row>
    <row r="5958">
      <c r="A5958" s="390" t="str">
        <f>IFERROR(__xludf.DUMMYFUNCTION("""COMPUTED_VALUE"""),"DANILO MOURA DOS SANTOS - #SLUEF - Segunda Licenciatura em Educação Física")</f>
        <v>DANILO MOURA DOS SANTOS - #SLUEF - Segunda Licenciatura em Educação Física</v>
      </c>
    </row>
    <row r="5959">
      <c r="A5959" s="390" t="str">
        <f>IFERROR(__xludf.DUMMYFUNCTION("""COMPUTED_VALUE"""),"Neuseli Maria Sardanha - Pós-Graduação em Sexologia")</f>
        <v>Neuseli Maria Sardanha - Pós-Graduação em Sexologia</v>
      </c>
    </row>
    <row r="5960">
      <c r="A5960" s="390" t="str">
        <f>IFERROR(__xludf.DUMMYFUNCTION("""COMPUTED_VALUE"""),"Fernanda Cristina Lourenço Antônio Gama - #FPMF- Formação Pedagógica em Música 2022")</f>
        <v>Fernanda Cristina Lourenço Antônio Gama - #FPMF- Formação Pedagógica em Música 2022</v>
      </c>
    </row>
    <row r="5961">
      <c r="A5961" s="390" t="str">
        <f>IFERROR(__xludf.DUMMYFUNCTION("""COMPUTED_VALUE"""),"Edilson Magalhães da Silva - #FPUH- Formação Pedagógica em História")</f>
        <v>Edilson Magalhães da Silva - #FPUH- Formação Pedagógica em História</v>
      </c>
    </row>
    <row r="5962">
      <c r="A5962" s="390" t="str">
        <f>IFERROR(__xludf.DUMMYFUNCTION("""COMPUTED_VALUE"""),"Ricardo da Costa Ferlin - #SLMF- Segunda Licenciatura Música 1200Horas 1")</f>
        <v>Ricardo da Costa Ferlin - #SLMF- Segunda Licenciatura Música 1200Horas 1</v>
      </c>
    </row>
    <row r="5963">
      <c r="A5963" s="390" t="str">
        <f>IFERROR(__xludf.DUMMYFUNCTION("""COMPUTED_VALUE"""),"Ricardo da Costa Ferlin - Pós-Graduação em Educação Musical")</f>
        <v>Ricardo da Costa Ferlin - Pós-Graduação em Educação Musical</v>
      </c>
    </row>
    <row r="5964">
      <c r="A5964" s="390" t="str">
        <f>IFERROR(__xludf.DUMMYFUNCTION("""COMPUTED_VALUE"""),"Paula Fernanda Kreling Domingues - #FPUP-FORMAÇÃO PEDAGÓGICA EM PEDAGOGIA- U")</f>
        <v>Paula Fernanda Kreling Domingues - #FPUP-FORMAÇÃO PEDAGÓGICA EM PEDAGOGIA- U</v>
      </c>
    </row>
    <row r="5965">
      <c r="A5965" s="390" t="str">
        <f>IFERROR(__xludf.DUMMYFUNCTION("""COMPUTED_VALUE"""),"Solange Maria de Lima - RADIANTE CENTRO EDUCACIONAL - Pós-Graduação em Psicologia Clínica")</f>
        <v>Solange Maria de Lima - RADIANTE CENTRO EDUCACIONAL - Pós-Graduação em Psicologia Clínica</v>
      </c>
    </row>
    <row r="5966">
      <c r="A5966" s="390" t="str">
        <f>IFERROR(__xludf.DUMMYFUNCTION("""COMPUTED_VALUE"""),"Solange Maria de Lima - RADIANTE CENTRO EDUCACIONAL - PÓS-GRADUAÇÃO EM NEUROPSICOLOGIA 540h")</f>
        <v>Solange Maria de Lima - RADIANTE CENTRO EDUCACIONAL - PÓS-GRADUAÇÃO EM NEUROPSICOLOGIA 540h</v>
      </c>
    </row>
    <row r="5967">
      <c r="A5967" s="390" t="str">
        <f>IFERROR(__xludf.DUMMYFUNCTION("""COMPUTED_VALUE"""),"Viviane de Oliveira - RADIANTE CENTRO EDUCACIONAL - Pós-Graduação em Enfermagem, Ginecologia e Obstetrícia")</f>
        <v>Viviane de Oliveira - RADIANTE CENTRO EDUCACIONAL - Pós-Graduação em Enfermagem, Ginecologia e Obstetrícia</v>
      </c>
    </row>
    <row r="5968">
      <c r="A5968" s="390" t="str">
        <f>IFERROR(__xludf.DUMMYFUNCTION("""COMPUTED_VALUE"""),"Cecília Maria Freitas Souto Lima - PÓS-GRADUAÇÃO EM PSICANÁLISE 2022")</f>
        <v>Cecília Maria Freitas Souto Lima - PÓS-GRADUAÇÃO EM PSICANÁLISE 2022</v>
      </c>
    </row>
    <row r="5969">
      <c r="A5969" s="390" t="str">
        <f>IFERROR(__xludf.DUMMYFUNCTION("""COMPUTED_VALUE"""),"Ricardo Santos Ribeiro - RADIANTE CENTRO EDUCACIONAL - Pós-Graduação em REDAÇÃO E REVISÃO TEXTUAL 480h")</f>
        <v>Ricardo Santos Ribeiro - RADIANTE CENTRO EDUCACIONAL - Pós-Graduação em REDAÇÃO E REVISÃO TEXTUAL 480h</v>
      </c>
    </row>
    <row r="5970">
      <c r="A5970" s="390" t="str">
        <f>IFERROR(__xludf.DUMMYFUNCTION("""COMPUTED_VALUE"""),"Wilson de Paiva Junior - Pós-Graduação em Nutrição Esportiva")</f>
        <v>Wilson de Paiva Junior - Pós-Graduação em Nutrição Esportiva</v>
      </c>
    </row>
    <row r="5971">
      <c r="A5971" s="390" t="str">
        <f>IFERROR(__xludf.DUMMYFUNCTION("""COMPUTED_VALUE"""),"Romero de Castro Augusto dos Santos - #FPT1-Pedagogia para Bacharéis e Tecnólogos (2022)")</f>
        <v>Romero de Castro Augusto dos Santos - #FPT1-Pedagogia para Bacharéis e Tecnólogos (2022)</v>
      </c>
    </row>
    <row r="5972">
      <c r="A5972" s="390" t="str">
        <f>IFERROR(__xludf.DUMMYFUNCTION("""COMPUTED_VALUE"""),"Romero de Castro Augusto dos Santos - Pedagogia para Bacharéis")</f>
        <v>Romero de Castro Augusto dos Santos - Pedagogia para Bacharéis</v>
      </c>
    </row>
    <row r="5973">
      <c r="A5973" s="390" t="str">
        <f>IFERROR(__xludf.DUMMYFUNCTION("""COMPUTED_VALUE"""),"Lucia Gabriele de Oliveira Longo - #FPUP-FORMAÇÃO PEDAGÓGICA EM PEDAGOGIA- U")</f>
        <v>Lucia Gabriele de Oliveira Longo - #FPUP-FORMAÇÃO PEDAGÓGICA EM PEDAGOGIA- U</v>
      </c>
    </row>
    <row r="5974">
      <c r="A5974" s="390" t="str">
        <f>IFERROR(__xludf.DUMMYFUNCTION("""COMPUTED_VALUE"""),"Bruna Rodrigues Teixeira - #FPUP-FORMAÇÃO PEDAGÓGICA EM PEDAGOGIA- U")</f>
        <v>Bruna Rodrigues Teixeira - #FPUP-FORMAÇÃO PEDAGÓGICA EM PEDAGOGIA- U</v>
      </c>
    </row>
    <row r="5975">
      <c r="A5975" s="390" t="str">
        <f>IFERROR(__xludf.DUMMYFUNCTION("""COMPUTED_VALUE"""),"Bruna Rodrigues Teixeira - #SLUP - SEGUNDA LICENCIATURA EM PEDAGOGIA")</f>
        <v>Bruna Rodrigues Teixeira - #SLUP - SEGUNDA LICENCIATURA EM PEDAGOGIA</v>
      </c>
    </row>
    <row r="5976">
      <c r="A5976" s="390" t="str">
        <f>IFERROR(__xludf.DUMMYFUNCTION("""COMPUTED_VALUE"""),"Bruna Rodrigues Teixeira - Pós-Graduação em História da Arte-2022")</f>
        <v>Bruna Rodrigues Teixeira - Pós-Graduação em História da Arte-2022</v>
      </c>
    </row>
    <row r="5977">
      <c r="A5977" s="390" t="str">
        <f>IFERROR(__xludf.DUMMYFUNCTION("""COMPUTED_VALUE"""),"Bruna Rodrigues Teixeira - Pós-Graduação em Sexologia")</f>
        <v>Bruna Rodrigues Teixeira - Pós-Graduação em Sexologia</v>
      </c>
    </row>
    <row r="5978">
      <c r="A5978" s="390" t="str">
        <f>IFERROR(__xludf.DUMMYFUNCTION("""COMPUTED_VALUE"""),"Daniela Aragão de Oliveira - PÓS-GRADUAÇÃO EM PSICANÁLISE 2022")</f>
        <v>Daniela Aragão de Oliveira - PÓS-GRADUAÇÃO EM PSICANÁLISE 2022</v>
      </c>
    </row>
    <row r="5979">
      <c r="A5979" s="390" t="str">
        <f>IFERROR(__xludf.DUMMYFUNCTION("""COMPUTED_VALUE"""),"Ademilson Jose Francisco - Formação Livre em Psicanálise-2022")</f>
        <v>Ademilson Jose Francisco - Formação Livre em Psicanálise-2022</v>
      </c>
    </row>
    <row r="5980">
      <c r="A5980" s="390" t="str">
        <f>IFERROR(__xludf.DUMMYFUNCTION("""COMPUTED_VALUE"""),"Heloísa Helena Vieira Miranda - Formação Livre em Psicanálise-2022")</f>
        <v>Heloísa Helena Vieira Miranda - Formação Livre em Psicanálise-2022</v>
      </c>
    </row>
    <row r="5981">
      <c r="A5981" s="390" t="str">
        <f>IFERROR(__xludf.DUMMYFUNCTION("""COMPUTED_VALUE"""),"Wallace Martins - Formação Livre em Psicanálise-2022")</f>
        <v>Wallace Martins - Formação Livre em Psicanálise-2022</v>
      </c>
    </row>
    <row r="5982">
      <c r="A5982" s="390" t="str">
        <f>IFERROR(__xludf.DUMMYFUNCTION("""COMPUTED_VALUE"""),"Renata Vilhena lisboa de Almeida - Capacitação em Sexologia")</f>
        <v>Renata Vilhena lisboa de Almeida - Capacitação em Sexologia</v>
      </c>
    </row>
    <row r="5983">
      <c r="A5983" s="390" t="str">
        <f>IFERROR(__xludf.DUMMYFUNCTION("""COMPUTED_VALUE"""),"Renata Vilhena lisboa de Almeida - Formação Livre em Sexologia")</f>
        <v>Renata Vilhena lisboa de Almeida - Formação Livre em Sexologia</v>
      </c>
    </row>
    <row r="5984">
      <c r="A5984" s="390" t="str">
        <f>IFERROR(__xludf.DUMMYFUNCTION("""COMPUTED_VALUE"""),"Ricardo Alexandre da Silva Lima - #FPMF- Formação Pedagógica em Música 2022")</f>
        <v>Ricardo Alexandre da Silva Lima - #FPMF- Formação Pedagógica em Música 2022</v>
      </c>
    </row>
    <row r="5985">
      <c r="A5985" s="390" t="str">
        <f>IFERROR(__xludf.DUMMYFUNCTION("""COMPUTED_VALUE"""),"Ricardo Alexandre da Silva Lima - FORMAÇÃO PEDAGÓGICA EM MÚSICA - 2024")</f>
        <v>Ricardo Alexandre da Silva Lima - FORMAÇÃO PEDAGÓGICA EM MÚSICA - 2024</v>
      </c>
    </row>
    <row r="5986">
      <c r="A5986" s="390" t="str">
        <f>IFERROR(__xludf.DUMMYFUNCTION("""COMPUTED_VALUE"""),"Ricardo Alexandre da Silva Lima - FORMAÇÃO PEDAGÓGICA EM MÚSICA - 2024")</f>
        <v>Ricardo Alexandre da Silva Lima - FORMAÇÃO PEDAGÓGICA EM MÚSICA - 2024</v>
      </c>
    </row>
    <row r="5987">
      <c r="A5987" s="390" t="str">
        <f>IFERROR(__xludf.DUMMYFUNCTION("""COMPUTED_VALUE"""),"Liziane kartabil Schubert - #SLUPE- Segunda Licenciatura em Letras – Português e Espanhol")</f>
        <v>Liziane kartabil Schubert - #SLUPE- Segunda Licenciatura em Letras – Português e Espanhol</v>
      </c>
    </row>
    <row r="5988">
      <c r="A5988" s="390" t="str">
        <f>IFERROR(__xludf.DUMMYFUNCTION("""COMPUTED_VALUE"""),"Luis Alex de Almeida - Pós-Graduação em Neuropsicologia Clínica 2022")</f>
        <v>Luis Alex de Almeida - Pós-Graduação em Neuropsicologia Clínica 2022</v>
      </c>
    </row>
    <row r="5989">
      <c r="A5989" s="390" t="str">
        <f>IFERROR(__xludf.DUMMYFUNCTION("""COMPUTED_VALUE"""),"Willian Barbosa da Silva Pinheiro - #FPUP-FORMAÇÃO PEDAGÓGICA EM PEDAGOGIA- U")</f>
        <v>Willian Barbosa da Silva Pinheiro - #FPUP-FORMAÇÃO PEDAGÓGICA EM PEDAGOGIA- U</v>
      </c>
    </row>
    <row r="5990">
      <c r="A5990" s="390" t="str">
        <f>IFERROR(__xludf.DUMMYFUNCTION("""COMPUTED_VALUE"""),"Ana Cristina Pereira Faustino Brito - Formação Livre em Terapia em ABA- Análise do Comportamento Aplicada")</f>
        <v>Ana Cristina Pereira Faustino Brito - Formação Livre em Terapia em ABA- Análise do Comportamento Aplicada</v>
      </c>
    </row>
    <row r="5991">
      <c r="A5991" s="390" t="str">
        <f>IFERROR(__xludf.DUMMYFUNCTION("""COMPUTED_VALUE"""),"Ana Cristina Pereira Faustino Brito - Formação Livre em Psicanálise-2022")</f>
        <v>Ana Cristina Pereira Faustino Brito - Formação Livre em Psicanálise-2022</v>
      </c>
    </row>
    <row r="5992">
      <c r="A5992" s="390" t="str">
        <f>IFERROR(__xludf.DUMMYFUNCTION("""COMPUTED_VALUE"""),"Ruslany Evangelista Lopes Medrado - #SLPT- Segunda Licenciatura em Pedagogia")</f>
        <v>Ruslany Evangelista Lopes Medrado - #SLPT- Segunda Licenciatura em Pedagogia</v>
      </c>
    </row>
    <row r="5993">
      <c r="A5993" s="390" t="str">
        <f>IFERROR(__xludf.DUMMYFUNCTION("""COMPUTED_VALUE"""),"Érica Patrícia Pinheiro de Oliveira - Pós-Graduação em Ensino de Ciências")</f>
        <v>Érica Patrícia Pinheiro de Oliveira - Pós-Graduação em Ensino de Ciências</v>
      </c>
    </row>
    <row r="5994">
      <c r="A5994" s="390" t="str">
        <f>IFERROR(__xludf.DUMMYFUNCTION("""COMPUTED_VALUE"""),"Érica Patrícia Pinheiro de Oliveira - #SLPT- Segunda Licenciatura em Pedagogia")</f>
        <v>Érica Patrícia Pinheiro de Oliveira - #SLPT- Segunda Licenciatura em Pedagogia</v>
      </c>
    </row>
    <row r="5995">
      <c r="A5995" s="390" t="str">
        <f>IFERROR(__xludf.DUMMYFUNCTION("""COMPUTED_VALUE"""),"Ana Ernestina Chaves Brito - #SLMF- Segunda Licenciatura em Música 2022 880Horas")</f>
        <v>Ana Ernestina Chaves Brito - #SLMF- Segunda Licenciatura em Música 2022 880Horas</v>
      </c>
    </row>
    <row r="5996">
      <c r="A5996" s="390" t="str">
        <f>IFERROR(__xludf.DUMMYFUNCTION("""COMPUTED_VALUE"""),"Tania Garcia dos Santos - Capacitação em Sexologia")</f>
        <v>Tania Garcia dos Santos - Capacitação em Sexologia</v>
      </c>
    </row>
    <row r="5997">
      <c r="A5997" s="390" t="str">
        <f>IFERROR(__xludf.DUMMYFUNCTION("""COMPUTED_VALUE"""),"Claudinei Soares - PÓS-GRADUAÇÃO EM PSICANÁLISE 2022")</f>
        <v>Claudinei Soares - PÓS-GRADUAÇÃO EM PSICANÁLISE 2022</v>
      </c>
    </row>
    <row r="5998">
      <c r="A5998" s="390" t="str">
        <f>IFERROR(__xludf.DUMMYFUNCTION("""COMPUTED_VALUE"""),"Alison Martins Khalaf - Pós-Graduação em Psicanálise")</f>
        <v>Alison Martins Khalaf - Pós-Graduação em Psicanálise</v>
      </c>
    </row>
    <row r="5999">
      <c r="A5999" s="390" t="str">
        <f>IFERROR(__xludf.DUMMYFUNCTION("""COMPUTED_VALUE"""),"Roselene da Fonseca - #FPULPI- Formação Pedagógica em Letras – Português e Inglês")</f>
        <v>Roselene da Fonseca - #FPULPI- Formação Pedagógica em Letras – Português e Inglês</v>
      </c>
    </row>
    <row r="6000">
      <c r="A6000" s="390" t="str">
        <f>IFERROR(__xludf.DUMMYFUNCTION("""COMPUTED_VALUE"""),"Mauricio Aires Vieira - Pós-Graduação Docência do Ensino Superior, Gestão e Tutoria EAD")</f>
        <v>Mauricio Aires Vieira - Pós-Graduação Docência do Ensino Superior, Gestão e Tutoria EAD</v>
      </c>
    </row>
    <row r="6001">
      <c r="A6001" s="390" t="str">
        <f>IFERROR(__xludf.DUMMYFUNCTION("""COMPUTED_VALUE"""),"Mauricio Aires Vieira - #FPP- Formação Pedagógica em Pedagogia R2")</f>
        <v>Mauricio Aires Vieira - #FPP- Formação Pedagógica em Pedagogia R2</v>
      </c>
    </row>
    <row r="6002">
      <c r="A6002" s="390" t="str">
        <f>IFERROR(__xludf.DUMMYFUNCTION("""COMPUTED_VALUE"""),"Kátia Aparecida Cardoso da Rocha - #SLFA  - Segunda Licenciatura em Filosofia")</f>
        <v>Kátia Aparecida Cardoso da Rocha - #SLFA  - Segunda Licenciatura em Filosofia</v>
      </c>
    </row>
    <row r="6003">
      <c r="A6003" s="390" t="str">
        <f>IFERROR(__xludf.DUMMYFUNCTION("""COMPUTED_VALUE"""),"Tiago Ribeiro Batista - #SLMF - Segunda Licenciatura em Música 1320Horas")</f>
        <v>Tiago Ribeiro Batista - #SLMF - Segunda Licenciatura em Música 1320Horas</v>
      </c>
    </row>
    <row r="6004">
      <c r="A6004" s="390" t="str">
        <f>IFERROR(__xludf.DUMMYFUNCTION("""COMPUTED_VALUE"""),"Adriani Beatris Rohleder Szinwelski - #SLUPI - SEGUNDA LICENCIATURA EM LETRAS – PORTUGUÊS E INGLÊS")</f>
        <v>Adriani Beatris Rohleder Szinwelski - #SLUPI - SEGUNDA LICENCIATURA EM LETRAS – PORTUGUÊS E INGLÊS</v>
      </c>
    </row>
    <row r="6005">
      <c r="A6005" s="390" t="str">
        <f>IFERROR(__xludf.DUMMYFUNCTION("""COMPUTED_VALUE"""),"Adriani Beatris Rohleder Szinwelski - Pós-Graduação Docência do Ensino Superior, Gestão e Tutoria EAD")</f>
        <v>Adriani Beatris Rohleder Szinwelski - Pós-Graduação Docência do Ensino Superior, Gestão e Tutoria EAD</v>
      </c>
    </row>
    <row r="6006">
      <c r="A6006" s="390" t="str">
        <f>IFERROR(__xludf.DUMMYFUNCTION("""COMPUTED_VALUE"""),"Raquel Marcelina Pereira - #SLMF - Segunda Licenciatura em Música 1320Horas")</f>
        <v>Raquel Marcelina Pereira - #SLMF - Segunda Licenciatura em Música 1320Horas</v>
      </c>
    </row>
    <row r="6007">
      <c r="A6007" s="390" t="str">
        <f>IFERROR(__xludf.DUMMYFUNCTION("""COMPUTED_VALUE"""),"Luciane Teodoro Marques Marquito - #SLMF- Segunda Licenciatura em Música 2022 880Horas")</f>
        <v>Luciane Teodoro Marques Marquito - #SLMF- Segunda Licenciatura em Música 2022 880Horas</v>
      </c>
    </row>
    <row r="6008">
      <c r="A6008" s="390" t="str">
        <f>IFERROR(__xludf.DUMMYFUNCTION("""COMPUTED_VALUE"""),"Maria Helena Fornoga Dos Santos - Formação Livre em Psicanálise-2022")</f>
        <v>Maria Helena Fornoga Dos Santos - Formação Livre em Psicanálise-2022</v>
      </c>
    </row>
    <row r="6009">
      <c r="A6009" s="390" t="str">
        <f>IFERROR(__xludf.DUMMYFUNCTION("""COMPUTED_VALUE"""),"Isaias Martins da Conceição - #SLMF - Segunda Licenciatura em Música 1320Horas")</f>
        <v>Isaias Martins da Conceição - #SLMF - Segunda Licenciatura em Música 1320Horas</v>
      </c>
    </row>
    <row r="6010">
      <c r="A6010" s="390" t="str">
        <f>IFERROR(__xludf.DUMMYFUNCTION("""COMPUTED_VALUE"""),"Denise de Alencar Nascimento - #SLMF - Segunda Licenciatura em Música 1320Horas")</f>
        <v>Denise de Alencar Nascimento - #SLMF - Segunda Licenciatura em Música 1320Horas</v>
      </c>
    </row>
    <row r="6011">
      <c r="A6011" s="390" t="str">
        <f>IFERROR(__xludf.DUMMYFUNCTION("""COMPUTED_VALUE"""),"Guilherme Vieira de Lima - #FPMF- Formação Pedagógica em Música 1200Horas")</f>
        <v>Guilherme Vieira de Lima - #FPMF- Formação Pedagógica em Música 1200Horas</v>
      </c>
    </row>
    <row r="6012">
      <c r="A6012" s="390" t="str">
        <f>IFERROR(__xludf.DUMMYFUNCTION("""COMPUTED_VALUE"""),"Cícera Germana Silva de Araújo - #SLMF - Segunda Licenciatura em Música 1320Horas")</f>
        <v>Cícera Germana Silva de Araújo - #SLMF - Segunda Licenciatura em Música 1320Horas</v>
      </c>
    </row>
    <row r="6013">
      <c r="A6013" s="390" t="str">
        <f>IFERROR(__xludf.DUMMYFUNCTION("""COMPUTED_VALUE"""),"TARCISIO OLIVEIRA LIMA - #SLMF - Segunda Licenciatura em Música 1320Horas")</f>
        <v>TARCISIO OLIVEIRA LIMA - #SLMF - Segunda Licenciatura em Música 1320Horas</v>
      </c>
    </row>
    <row r="6014">
      <c r="A6014" s="390" t="str">
        <f>IFERROR(__xludf.DUMMYFUNCTION("""COMPUTED_VALUE"""),"TARCISIO OLIVEIRA LIMA - #FPMF- Formação Pedagógica em Música 1200Horas")</f>
        <v>TARCISIO OLIVEIRA LIMA - #FPMF- Formação Pedagógica em Música 1200Horas</v>
      </c>
    </row>
    <row r="6015">
      <c r="A6015" s="390" t="str">
        <f>IFERROR(__xludf.DUMMYFUNCTION("""COMPUTED_VALUE"""),"Vanessa Faria Pereira Marques - RADIANTE CENTRO EDUCACIONAL - Pós-Graduação em Biblioteconomia")</f>
        <v>Vanessa Faria Pereira Marques - RADIANTE CENTRO EDUCACIONAL - Pós-Graduação em Biblioteconomia</v>
      </c>
    </row>
    <row r="6016">
      <c r="A6016" s="390" t="str">
        <f>IFERROR(__xludf.DUMMYFUNCTION("""COMPUTED_VALUE"""),"Kellen Benetolo - #SLPT- Segunda Licenciatura em Pedagogia")</f>
        <v>Kellen Benetolo - #SLPT- Segunda Licenciatura em Pedagogia</v>
      </c>
    </row>
    <row r="6017">
      <c r="A6017" s="390" t="str">
        <f>IFERROR(__xludf.DUMMYFUNCTION("""COMPUTED_VALUE"""),"Lucas Eduardo Moreira Pinto - #FPUH- Formação Pedagógica em História")</f>
        <v>Lucas Eduardo Moreira Pinto - #FPUH- Formação Pedagógica em História</v>
      </c>
    </row>
    <row r="6018">
      <c r="A6018" s="390" t="str">
        <f>IFERROR(__xludf.DUMMYFUNCTION("""COMPUTED_VALUE"""),"Simone Rezende de Oliveira Bezerra - Pós-Graduação em Psicanálise")</f>
        <v>Simone Rezende de Oliveira Bezerra - Pós-Graduação em Psicanálise</v>
      </c>
    </row>
    <row r="6019">
      <c r="A6019" s="390" t="str">
        <f>IFERROR(__xludf.DUMMYFUNCTION("""COMPUTED_VALUE"""),"Alinne Cristine de Oliveira Almeida - Formação Livre em Psicanálise-2022")</f>
        <v>Alinne Cristine de Oliveira Almeida - Formação Livre em Psicanálise-2022</v>
      </c>
    </row>
    <row r="6020">
      <c r="A6020" s="390" t="str">
        <f>IFERROR(__xludf.DUMMYFUNCTION("""COMPUTED_VALUE"""),"Fernando Aparecido de Almeida - Formação Livre em Psicanálise-2022")</f>
        <v>Fernando Aparecido de Almeida - Formação Livre em Psicanálise-2022</v>
      </c>
    </row>
    <row r="6021">
      <c r="A6021" s="390" t="str">
        <f>IFERROR(__xludf.DUMMYFUNCTION("""COMPUTED_VALUE"""),"Maria Aparecida Jesus Freitas de Morais - #FPMF- Formação Pedagógica em Música 1200Horas")</f>
        <v>Maria Aparecida Jesus Freitas de Morais - #FPMF- Formação Pedagógica em Música 1200Horas</v>
      </c>
    </row>
    <row r="6022">
      <c r="A6022" s="390" t="str">
        <f>IFERROR(__xludf.DUMMYFUNCTION("""COMPUTED_VALUE"""),"Maria Aparecida Jesus Freitas de Morais - Pós-Graduação em Educação Musical")</f>
        <v>Maria Aparecida Jesus Freitas de Morais - Pós-Graduação em Educação Musical</v>
      </c>
    </row>
    <row r="6023">
      <c r="A6023" s="390" t="str">
        <f>IFERROR(__xludf.DUMMYFUNCTION("""COMPUTED_VALUE"""),"Suely Ribeiro Brito - #SLPT- Segunda Licenciatura em Pedagogia")</f>
        <v>Suely Ribeiro Brito - #SLPT- Segunda Licenciatura em Pedagogia</v>
      </c>
    </row>
    <row r="6024">
      <c r="A6024" s="390" t="str">
        <f>IFERROR(__xludf.DUMMYFUNCTION("""COMPUTED_VALUE"""),"Cláudia Alves da Silva - NOVO-Pós-Graduação em Psicanálise 800 Horas")</f>
        <v>Cláudia Alves da Silva - NOVO-Pós-Graduação em Psicanálise 800 Horas</v>
      </c>
    </row>
    <row r="6025">
      <c r="A6025" s="390" t="str">
        <f>IFERROR(__xludf.DUMMYFUNCTION("""COMPUTED_VALUE"""),"Cláudia Alves da Silva - Pós-Graduação em Psicanálise")</f>
        <v>Cláudia Alves da Silva - Pós-Graduação em Psicanálise</v>
      </c>
    </row>
    <row r="6026">
      <c r="A6026" s="390" t="str">
        <f>IFERROR(__xludf.DUMMYFUNCTION("""COMPUTED_VALUE"""),"Viviane Soares da Silva - Formação Livre em Psicanálise-2022")</f>
        <v>Viviane Soares da Silva - Formação Livre em Psicanálise-2022</v>
      </c>
    </row>
    <row r="6027">
      <c r="A6027" s="390" t="str">
        <f>IFERROR(__xludf.DUMMYFUNCTION("""COMPUTED_VALUE"""),"Andrêssa Cristina Generoso Tripode - Pós-Graduação em Neuropsicopedagogia Clínica e Institucional")</f>
        <v>Andrêssa Cristina Generoso Tripode - Pós-Graduação em Neuropsicopedagogia Clínica e Institucional</v>
      </c>
    </row>
    <row r="6028">
      <c r="A6028" s="390" t="str">
        <f>IFERROR(__xludf.DUMMYFUNCTION("""COMPUTED_VALUE"""),"Andrêssa Cristina Generoso Tripode - Pós-Graduação em Educação Especial com Ênfase em Transtornos Globais do Desenvolvimento (TGD)")</f>
        <v>Andrêssa Cristina Generoso Tripode - Pós-Graduação em Educação Especial com Ênfase em Transtornos Globais do Desenvolvimento (TGD)</v>
      </c>
    </row>
    <row r="6029">
      <c r="A6029" s="390" t="str">
        <f>IFERROR(__xludf.DUMMYFUNCTION("""COMPUTED_VALUE"""),"Jesmey Bruno Pereira - #FPMF- Formação Pedagógica em Música 2022")</f>
        <v>Jesmey Bruno Pereira - #FPMF- Formação Pedagógica em Música 2022</v>
      </c>
    </row>
    <row r="6030">
      <c r="A6030" s="390" t="str">
        <f>IFERROR(__xludf.DUMMYFUNCTION("""COMPUTED_VALUE"""),"Josianne Oliveira Miranda - #SLPT- Segunda Licenciatura em Pedagogia")</f>
        <v>Josianne Oliveira Miranda - #SLPT- Segunda Licenciatura em Pedagogia</v>
      </c>
    </row>
    <row r="6031">
      <c r="A6031" s="390" t="str">
        <f>IFERROR(__xludf.DUMMYFUNCTION("""COMPUTED_VALUE"""),"Roselaine Silva Santiago - Pós-Graduação em Psicanálise")</f>
        <v>Roselaine Silva Santiago - Pós-Graduação em Psicanálise</v>
      </c>
    </row>
    <row r="6032">
      <c r="A6032" s="390" t="str">
        <f>IFERROR(__xludf.DUMMYFUNCTION("""COMPUTED_VALUE"""),"Elza de Oliveira Lopes - #SLPT- Segunda Licenciatura em Pedagogia")</f>
        <v>Elza de Oliveira Lopes - #SLPT- Segunda Licenciatura em Pedagogia</v>
      </c>
    </row>
    <row r="6033">
      <c r="A6033" s="390" t="str">
        <f>IFERROR(__xludf.DUMMYFUNCTION("""COMPUTED_VALUE"""),"Claudyney César Vieira Silva - Pós-Graduação em Engenharia de Segurança do Trabalho")</f>
        <v>Claudyney César Vieira Silva - Pós-Graduação em Engenharia de Segurança do Trabalho</v>
      </c>
    </row>
    <row r="6034">
      <c r="A6034" s="390" t="str">
        <f>IFERROR(__xludf.DUMMYFUNCTION("""COMPUTED_VALUE"""),"Bruno da Silva Santos - Pós-Graduação em Psicologia Hospitalar")</f>
        <v>Bruno da Silva Santos - Pós-Graduação em Psicologia Hospitalar</v>
      </c>
    </row>
    <row r="6035">
      <c r="A6035" s="390" t="str">
        <f>IFERROR(__xludf.DUMMYFUNCTION("""COMPUTED_VALUE"""),"Ivanice Cleide Conceição Barreto - NOVO-Pós-Graduação em Psicanálise 800 Horas")</f>
        <v>Ivanice Cleide Conceição Barreto - NOVO-Pós-Graduação em Psicanálise 800 Horas</v>
      </c>
    </row>
    <row r="6036">
      <c r="A6036" s="390" t="str">
        <f>IFERROR(__xludf.DUMMYFUNCTION("""COMPUTED_VALUE"""),"Alexandre da Silva Moraes - #SLMF - Segunda Licenciatura em Música 1320Horas")</f>
        <v>Alexandre da Silva Moraes - #SLMF - Segunda Licenciatura em Música 1320Horas</v>
      </c>
    </row>
    <row r="6037">
      <c r="A6037" s="390" t="str">
        <f>IFERROR(__xludf.DUMMYFUNCTION("""COMPUTED_VALUE"""),"Marli Pereira Lima - Formação Livre em Psicanálise-2022")</f>
        <v>Marli Pereira Lima - Formação Livre em Psicanálise-2022</v>
      </c>
    </row>
    <row r="6038">
      <c r="A6038" s="390" t="str">
        <f>IFERROR(__xludf.DUMMYFUNCTION("""COMPUTED_VALUE"""),"Rosilaine Aparecida de Asunção - #SLMF- Segunda Licenciatura em Música 2022 880Horas")</f>
        <v>Rosilaine Aparecida de Asunção - #SLMF- Segunda Licenciatura em Música 2022 880Horas</v>
      </c>
    </row>
    <row r="6039">
      <c r="A6039" s="390" t="str">
        <f>IFERROR(__xludf.DUMMYFUNCTION("""COMPUTED_VALUE"""),"Dilza Bruno de Lima - #FPUP-FORMAÇÃO PEDAGÓGICA EM PEDAGOGIA- U")</f>
        <v>Dilza Bruno de Lima - #FPUP-FORMAÇÃO PEDAGÓGICA EM PEDAGOGIA- U</v>
      </c>
    </row>
    <row r="6040">
      <c r="A6040" s="390" t="str">
        <f>IFERROR(__xludf.DUMMYFUNCTION("""COMPUTED_VALUE"""),"Ana Gabriela de Lima Araújo Generoso - Pós-Graduação em Neuropsicologia Clínica")</f>
        <v>Ana Gabriela de Lima Araújo Generoso - Pós-Graduação em Neuropsicologia Clínica</v>
      </c>
    </row>
    <row r="6041">
      <c r="A6041" s="390" t="str">
        <f>IFERROR(__xludf.DUMMYFUNCTION("""COMPUTED_VALUE"""),"Ana Gabriela de Lima Araújo Generoso - Pós-Graduação em Saúde Mental")</f>
        <v>Ana Gabriela de Lima Araújo Generoso - Pós-Graduação em Saúde Mental</v>
      </c>
    </row>
    <row r="6042">
      <c r="A6042" s="390" t="str">
        <f>IFERROR(__xludf.DUMMYFUNCTION("""COMPUTED_VALUE"""),"Ana Gabriela de Lima Araújo Generoso - Pós-Graduação em Saúde Mental")</f>
        <v>Ana Gabriela de Lima Araújo Generoso - Pós-Graduação em Saúde Mental</v>
      </c>
    </row>
    <row r="6043">
      <c r="A6043" s="390" t="str">
        <f>IFERROR(__xludf.DUMMYFUNCTION("""COMPUTED_VALUE"""),"GISELDA MARIA DE CASTRO LIMA - #SLUA- Segunda Licenciatura em Artes Visuais")</f>
        <v>GISELDA MARIA DE CASTRO LIMA - #SLUA- Segunda Licenciatura em Artes Visuais</v>
      </c>
    </row>
    <row r="6044">
      <c r="A6044" s="390" t="str">
        <f>IFERROR(__xludf.DUMMYFUNCTION("""COMPUTED_VALUE"""),"Renata Thayná de Oliveira Pinheiro Lima - #SLUP - SEGUNDA LICENCIATURA EM PEDAGOGIA")</f>
        <v>Renata Thayná de Oliveira Pinheiro Lima - #SLUP - SEGUNDA LICENCIATURA EM PEDAGOGIA</v>
      </c>
    </row>
    <row r="6045">
      <c r="A6045" s="390" t="str">
        <f>IFERROR(__xludf.DUMMYFUNCTION("""COMPUTED_VALUE"""),"Renata Thayná de Oliveira Pinheiro Lima - Pós-Graduação em Coordenação e Orientação Escolar")</f>
        <v>Renata Thayná de Oliveira Pinheiro Lima - Pós-Graduação em Coordenação e Orientação Escolar</v>
      </c>
    </row>
    <row r="6046">
      <c r="A6046" s="390" t="str">
        <f>IFERROR(__xludf.DUMMYFUNCTION("""COMPUTED_VALUE"""),"AGUINALDO DE ALMEIDA BARROSO - Pós-Graduação em Psicanálise")</f>
        <v>AGUINALDO DE ALMEIDA BARROSO - Pós-Graduação em Psicanálise</v>
      </c>
    </row>
    <row r="6047">
      <c r="A6047" s="390" t="str">
        <f>IFERROR(__xludf.DUMMYFUNCTION("""COMPUTED_VALUE"""),"AGUINALDO DE ALMEIDA BARROSO - PÓS-GRADUAÇÃO EM PSICANÁLISE - 2024")</f>
        <v>AGUINALDO DE ALMEIDA BARROSO - PÓS-GRADUAÇÃO EM PSICANÁLISE - 2024</v>
      </c>
    </row>
    <row r="6048">
      <c r="A6048" s="390" t="str">
        <f>IFERROR(__xludf.DUMMYFUNCTION("""COMPUTED_VALUE"""),"Tiago da Costa Santos - #SLMF - Segunda Licenciatura em Música 1320Horas")</f>
        <v>Tiago da Costa Santos - #SLMF - Segunda Licenciatura em Música 1320Horas</v>
      </c>
    </row>
    <row r="6049">
      <c r="A6049" s="390" t="str">
        <f>IFERROR(__xludf.DUMMYFUNCTION("""COMPUTED_VALUE"""),"Michelle Lima de Souza - Pós-Graduação em Psicanálise")</f>
        <v>Michelle Lima de Souza - Pós-Graduação em Psicanálise</v>
      </c>
    </row>
    <row r="6050">
      <c r="A6050" s="390" t="str">
        <f>IFERROR(__xludf.DUMMYFUNCTION("""COMPUTED_VALUE"""),"Michelle Lima de Souza - Pós-Graduação em Psicologia Clínica")</f>
        <v>Michelle Lima de Souza - Pós-Graduação em Psicologia Clínica</v>
      </c>
    </row>
    <row r="6051">
      <c r="A6051" s="390" t="str">
        <f>IFERROR(__xludf.DUMMYFUNCTION("""COMPUTED_VALUE"""),"Michelle Lima de Souza - Pós-Graduação em Saúde Mental")</f>
        <v>Michelle Lima de Souza - Pós-Graduação em Saúde Mental</v>
      </c>
    </row>
    <row r="6052">
      <c r="A6052" s="390" t="str">
        <f>IFERROR(__xludf.DUMMYFUNCTION("""COMPUTED_VALUE"""),"Géssica Bento Nogueira de Oliveira - Pós-Graduação em Neuropsicopedagogia")</f>
        <v>Géssica Bento Nogueira de Oliveira - Pós-Graduação em Neuropsicopedagogia</v>
      </c>
    </row>
    <row r="6053">
      <c r="A6053" s="390" t="str">
        <f>IFERROR(__xludf.DUMMYFUNCTION("""COMPUTED_VALUE"""),"Wellington Luiz Rezende Glória - #SLUP - SEGUNDA LICENCIATURA EM PEDAGOGIA")</f>
        <v>Wellington Luiz Rezende Glória - #SLUP - SEGUNDA LICENCIATURA EM PEDAGOGIA</v>
      </c>
    </row>
    <row r="6054">
      <c r="A6054" s="390" t="str">
        <f>IFERROR(__xludf.DUMMYFUNCTION("""COMPUTED_VALUE"""),"LEONICE PEREIRA DOS SANTOS - Formação Livre em Psicanálise-2022")</f>
        <v>LEONICE PEREIRA DOS SANTOS - Formação Livre em Psicanálise-2022</v>
      </c>
    </row>
    <row r="6055">
      <c r="A6055" s="390" t="str">
        <f>IFERROR(__xludf.DUMMYFUNCTION("""COMPUTED_VALUE"""),"Jaqueline Azevedo da Cunha - Pós-Graduação em Psicanálise")</f>
        <v>Jaqueline Azevedo da Cunha - Pós-Graduação em Psicanálise</v>
      </c>
    </row>
    <row r="6056">
      <c r="A6056" s="390" t="str">
        <f>IFERROR(__xludf.DUMMYFUNCTION("""COMPUTED_VALUE"""),"Jaqueline Azevedo da Cunha - Formação Livre em Psicanálise-2022")</f>
        <v>Jaqueline Azevedo da Cunha - Formação Livre em Psicanálise-2022</v>
      </c>
    </row>
    <row r="6057">
      <c r="A6057" s="390" t="str">
        <f>IFERROR(__xludf.DUMMYFUNCTION("""COMPUTED_VALUE"""),"Tatiane Nunes da Silva Santos - Pós-Graduação em Psicopedagogia Institucional e Clínica 710Horas")</f>
        <v>Tatiane Nunes da Silva Santos - Pós-Graduação em Psicopedagogia Institucional e Clínica 710Horas</v>
      </c>
    </row>
    <row r="6058">
      <c r="A6058" s="390" t="str">
        <f>IFERROR(__xludf.DUMMYFUNCTION("""COMPUTED_VALUE"""),"Alef Junior de Melo Coutinho - Pós-Graduação em Psicanálise")</f>
        <v>Alef Junior de Melo Coutinho - Pós-Graduação em Psicanálise</v>
      </c>
    </row>
    <row r="6059">
      <c r="A6059" s="390" t="str">
        <f>IFERROR(__xludf.DUMMYFUNCTION("""COMPUTED_VALUE"""),"Ailson Teixeira dos Santos - #SLUEF - Segunda Licenciatura em Educação Física")</f>
        <v>Ailson Teixeira dos Santos - #SLUEF - Segunda Licenciatura em Educação Física</v>
      </c>
    </row>
    <row r="6060">
      <c r="A6060" s="390" t="str">
        <f>IFERROR(__xludf.DUMMYFUNCTION("""COMPUTED_VALUE"""),"Fernanda Pacheco Ribeiro Ramos - Pós-Graduação em Neuropsicopedagogia Institucional, Clínica e Hospitalar 850h")</f>
        <v>Fernanda Pacheco Ribeiro Ramos - Pós-Graduação em Neuropsicopedagogia Institucional, Clínica e Hospitalar 850h</v>
      </c>
    </row>
    <row r="6061">
      <c r="A6061" s="390" t="str">
        <f>IFERROR(__xludf.DUMMYFUNCTION("""COMPUTED_VALUE"""),"Nagila Lino Sousa Lapazini - #FPUP-FORMAÇÃO PEDAGÓGICA EM PEDAGOGIA- U")</f>
        <v>Nagila Lino Sousa Lapazini - #FPUP-FORMAÇÃO PEDAGÓGICA EM PEDAGOGIA- U</v>
      </c>
    </row>
    <row r="6062">
      <c r="A6062" s="390" t="str">
        <f>IFERROR(__xludf.DUMMYFUNCTION("""COMPUTED_VALUE"""),"Rosana de Oliveira Barros - #SLPT- Segunda Licenciatura em Pedagogia")</f>
        <v>Rosana de Oliveira Barros - #SLPT- Segunda Licenciatura em Pedagogia</v>
      </c>
    </row>
    <row r="6063">
      <c r="A6063" s="390" t="str">
        <f>IFERROR(__xludf.DUMMYFUNCTION("""COMPUTED_VALUE"""),"Rosana de Oliveira Barros - #FPT1-Pedagogia para Bacharéis e Tecnólogos (2022)")</f>
        <v>Rosana de Oliveira Barros - #FPT1-Pedagogia para Bacharéis e Tecnólogos (2022)</v>
      </c>
    </row>
    <row r="6064">
      <c r="A6064" s="390" t="str">
        <f>IFERROR(__xludf.DUMMYFUNCTION("""COMPUTED_VALUE"""),"Claudio Wesley Ferreira Costa - #SLUPI - SEGUNDA LICENCIATURA EM LETRAS – PORTUGUÊS E INGLÊS")</f>
        <v>Claudio Wesley Ferreira Costa - #SLUPI - SEGUNDA LICENCIATURA EM LETRAS – PORTUGUÊS E INGLÊS</v>
      </c>
    </row>
    <row r="6065">
      <c r="A6065" s="390" t="str">
        <f>IFERROR(__xludf.DUMMYFUNCTION("""COMPUTED_VALUE"""),"Pollyanna Esteves da Cruz Marques - #FPUP-FORMAÇÃO PEDAGÓGICA EM PEDAGOGIA- U")</f>
        <v>Pollyanna Esteves da Cruz Marques - #FPUP-FORMAÇÃO PEDAGÓGICA EM PEDAGOGIA- U</v>
      </c>
    </row>
    <row r="6066">
      <c r="A6066" s="390" t="str">
        <f>IFERROR(__xludf.DUMMYFUNCTION("""COMPUTED_VALUE"""),"Daiana da Silva - #SLPT- Segunda Licenciatura em Pedagogia")</f>
        <v>Daiana da Silva - #SLPT- Segunda Licenciatura em Pedagogia</v>
      </c>
    </row>
    <row r="6067">
      <c r="A6067" s="390" t="str">
        <f>IFERROR(__xludf.DUMMYFUNCTION("""COMPUTED_VALUE"""),"Daiana da Silva - #SLAA - Segunda Licenciatura em Artes Visuais")</f>
        <v>Daiana da Silva - #SLAA - Segunda Licenciatura em Artes Visuais</v>
      </c>
    </row>
    <row r="6068">
      <c r="A6068" s="390" t="str">
        <f>IFERROR(__xludf.DUMMYFUNCTION("""COMPUTED_VALUE"""),"Daiana da Silva - #SLAA - Segunda Licenciatura em Artes Visuais")</f>
        <v>Daiana da Silva - #SLAA - Segunda Licenciatura em Artes Visuais</v>
      </c>
    </row>
    <row r="6069">
      <c r="A6069" s="390" t="str">
        <f>IFERROR(__xludf.DUMMYFUNCTION("""COMPUTED_VALUE"""),"Daiana da Silva - #SLAA - Segunda Licenciatura em Artes Visuais")</f>
        <v>Daiana da Silva - #SLAA - Segunda Licenciatura em Artes Visuais</v>
      </c>
    </row>
    <row r="6070">
      <c r="A6070" s="390" t="str">
        <f>IFERROR(__xludf.DUMMYFUNCTION("""COMPUTED_VALUE"""),"Viviane Souza Gama de Andrade - #SLAA - Segunda Licenciatura em Artes Visuais")</f>
        <v>Viviane Souza Gama de Andrade - #SLAA - Segunda Licenciatura em Artes Visuais</v>
      </c>
    </row>
    <row r="6071">
      <c r="A6071" s="390" t="str">
        <f>IFERROR(__xludf.DUMMYFUNCTION("""COMPUTED_VALUE"""),"Munick Amabilia Alves Vance - #FPUP-FORMAÇÃO PEDAGÓGICA EM PEDAGOGIA- U")</f>
        <v>Munick Amabilia Alves Vance - #FPUP-FORMAÇÃO PEDAGÓGICA EM PEDAGOGIA- U</v>
      </c>
    </row>
    <row r="6072">
      <c r="A6072" s="390" t="str">
        <f>IFERROR(__xludf.DUMMYFUNCTION("""COMPUTED_VALUE"""),"Cassiano dos Santos Velho - FORMAÇÃO PEDAGÓGICA EM LETRAS – LÍNGUA PORTUGUESA E LIBRAS- U")</f>
        <v>Cassiano dos Santos Velho - FORMAÇÃO PEDAGÓGICA EM LETRAS – LÍNGUA PORTUGUESA E LIBRAS- U</v>
      </c>
    </row>
    <row r="6073">
      <c r="A6073" s="390" t="str">
        <f>IFERROR(__xludf.DUMMYFUNCTION("""COMPUTED_VALUE"""),"Silvia Leticia de Faria Oliveira da Silva - Formação Livre em Psicanálise-2022")</f>
        <v>Silvia Leticia de Faria Oliveira da Silva - Formação Livre em Psicanálise-2022</v>
      </c>
    </row>
    <row r="6074">
      <c r="A6074" s="390" t="str">
        <f>IFERROR(__xludf.DUMMYFUNCTION("""COMPUTED_VALUE"""),"Carlos Alberto Sousa dos Santos - Pós-Graduação em Alfabetização e Letramento e a Psicopedagogia")</f>
        <v>Carlos Alberto Sousa dos Santos - Pós-Graduação em Alfabetização e Letramento e a Psicopedagogia</v>
      </c>
    </row>
    <row r="6075">
      <c r="A6075" s="390" t="str">
        <f>IFERROR(__xludf.DUMMYFUNCTION("""COMPUTED_VALUE"""),"Tamires Silva Rodrigues - Pós-Graduação em Neuropsicopedagogia Institucional")</f>
        <v>Tamires Silva Rodrigues - Pós-Graduação em Neuropsicopedagogia Institucional</v>
      </c>
    </row>
    <row r="6076">
      <c r="A6076" s="390" t="str">
        <f>IFERROR(__xludf.DUMMYFUNCTION("""COMPUTED_VALUE"""),"Tatiana da Silva Oliveira - Formação Livre em Psicanálise-2022")</f>
        <v>Tatiana da Silva Oliveira - Formação Livre em Psicanálise-2022</v>
      </c>
    </row>
    <row r="6077">
      <c r="A6077" s="390" t="str">
        <f>IFERROR(__xludf.DUMMYFUNCTION("""COMPUTED_VALUE"""),"Gilvana Freire de Sousa Ferreira - Novo-Pós-Graduação em Sexologia 800Horas")</f>
        <v>Gilvana Freire de Sousa Ferreira - Novo-Pós-Graduação em Sexologia 800Horas</v>
      </c>
    </row>
    <row r="6078">
      <c r="A6078" s="390" t="str">
        <f>IFERROR(__xludf.DUMMYFUNCTION("""COMPUTED_VALUE"""),"Vani Lucindo Couto Alves - NOVO-Pós-Graduação em Psicanálise 800 Horas")</f>
        <v>Vani Lucindo Couto Alves - NOVO-Pós-Graduação em Psicanálise 800 Horas</v>
      </c>
    </row>
    <row r="6079">
      <c r="A6079" s="390" t="str">
        <f>IFERROR(__xludf.DUMMYFUNCTION("""COMPUTED_VALUE"""),"Raissa Marley Dantas de Oliveira - #SLUP - SEGUNDA LICENCIATURA EM PEDAGOGIA")</f>
        <v>Raissa Marley Dantas de Oliveira - #SLUP - SEGUNDA LICENCIATURA EM PEDAGOGIA</v>
      </c>
    </row>
    <row r="6080">
      <c r="A6080" s="390" t="str">
        <f>IFERROR(__xludf.DUMMYFUNCTION("""COMPUTED_VALUE"""),"Raissa Marley Dantas de Oliveira - Pós-Graduação em REDAÇÃO E REVISÃO TEXTUAL 480h")</f>
        <v>Raissa Marley Dantas de Oliveira - Pós-Graduação em REDAÇÃO E REVISÃO TEXTUAL 480h</v>
      </c>
    </row>
    <row r="6081">
      <c r="A6081" s="390" t="str">
        <f>IFERROR(__xludf.DUMMYFUNCTION("""COMPUTED_VALUE"""),"Raissa Marley Dantas de Oliveira - Pós-graduação em gestão e orientação escolar 600h")</f>
        <v>Raissa Marley Dantas de Oliveira - Pós-graduação em gestão e orientação escolar 600h</v>
      </c>
    </row>
    <row r="6082">
      <c r="A6082" s="390" t="str">
        <f>IFERROR(__xludf.DUMMYFUNCTION("""COMPUTED_VALUE"""),"Eliete da Silva Cambraia - Pós-Graduação em Psicopedagogia Escolar")</f>
        <v>Eliete da Silva Cambraia - Pós-Graduação em Psicopedagogia Escolar</v>
      </c>
    </row>
    <row r="6083">
      <c r="A6083" s="390" t="str">
        <f>IFERROR(__xludf.DUMMYFUNCTION("""COMPUTED_VALUE"""),"Eliete da Silva Cambraia - Pós-Graduação em Psicomotricidade na Educação Infantil")</f>
        <v>Eliete da Silva Cambraia - Pós-Graduação em Psicomotricidade na Educação Infantil</v>
      </c>
    </row>
    <row r="6084">
      <c r="A6084" s="390" t="str">
        <f>IFERROR(__xludf.DUMMYFUNCTION("""COMPUTED_VALUE"""),"Helaine Clemilda Cardenetti da Silva - Formação Livre em Psicanálise-2022")</f>
        <v>Helaine Clemilda Cardenetti da Silva - Formação Livre em Psicanálise-2022</v>
      </c>
    </row>
    <row r="6085">
      <c r="A6085" s="390" t="str">
        <f>IFERROR(__xludf.DUMMYFUNCTION("""COMPUTED_VALUE"""),"Rafaela Mateus de Paula Ferreira - #SLUP - SEGUNDA LICENCIATURA EM PEDAGOGIA")</f>
        <v>Rafaela Mateus de Paula Ferreira - #SLUP - SEGUNDA LICENCIATURA EM PEDAGOGIA</v>
      </c>
    </row>
    <row r="6086">
      <c r="A6086" s="390" t="str">
        <f>IFERROR(__xludf.DUMMYFUNCTION("""COMPUTED_VALUE"""),"Marcos Tadeu da Cruz Lima - Formação Livre em Psicanálise-2022")</f>
        <v>Marcos Tadeu da Cruz Lima - Formação Livre em Psicanálise-2022</v>
      </c>
    </row>
    <row r="6087">
      <c r="A6087" s="390" t="str">
        <f>IFERROR(__xludf.DUMMYFUNCTION("""COMPUTED_VALUE"""),"Santina Aparecida de Oliveira - Pós-Graduação em Psicanálise")</f>
        <v>Santina Aparecida de Oliveira - Pós-Graduação em Psicanálise</v>
      </c>
    </row>
    <row r="6088">
      <c r="A6088" s="390" t="str">
        <f>IFERROR(__xludf.DUMMYFUNCTION("""COMPUTED_VALUE"""),"Santina Aparecida de Oliveira - NOVO-Pós-Graduação em Psicanálise 800 Horas")</f>
        <v>Santina Aparecida de Oliveira - NOVO-Pós-Graduação em Psicanálise 800 Horas</v>
      </c>
    </row>
    <row r="6089">
      <c r="A6089" s="390" t="str">
        <f>IFERROR(__xludf.DUMMYFUNCTION("""COMPUTED_VALUE"""),"Santina Aparecida de Oliveira - Pós-Graduação em Psicanálise")</f>
        <v>Santina Aparecida de Oliveira - Pós-Graduação em Psicanálise</v>
      </c>
    </row>
    <row r="6090">
      <c r="A6090" s="390" t="str">
        <f>IFERROR(__xludf.DUMMYFUNCTION("""COMPUTED_VALUE"""),"Silvana Regina Rodrigues de Assis - #FPUP-FORMAÇÃO PEDAGÓGICA EM PEDAGOGIA- U")</f>
        <v>Silvana Regina Rodrigues de Assis - #FPUP-FORMAÇÃO PEDAGÓGICA EM PEDAGOGIA- U</v>
      </c>
    </row>
    <row r="6091">
      <c r="A6091" s="390" t="str">
        <f>IFERROR(__xludf.DUMMYFUNCTION("""COMPUTED_VALUE"""),"Julia de Andrade Batocchio - #FPM+ Formação Pedagógica em Matemática-760 Horas")</f>
        <v>Julia de Andrade Batocchio - #FPM+ Formação Pedagógica em Matemática-760 Horas</v>
      </c>
    </row>
    <row r="6092">
      <c r="A6092" s="390" t="str">
        <f>IFERROR(__xludf.DUMMYFUNCTION("""COMPUTED_VALUE"""),"Renata Cavalcante Lima - #FPUP-FORMAÇÃO PEDAGÓGICA EM PEDAGOGIA- U")</f>
        <v>Renata Cavalcante Lima - #FPUP-FORMAÇÃO PEDAGÓGICA EM PEDAGOGIA- U</v>
      </c>
    </row>
    <row r="6093">
      <c r="A6093" s="390" t="str">
        <f>IFERROR(__xludf.DUMMYFUNCTION("""COMPUTED_VALUE"""),"Flávio Luiz Souza dos Santos - #SLMF- Segunda Licenciatura Música 1200Horas 1")</f>
        <v>Flávio Luiz Souza dos Santos - #SLMF- Segunda Licenciatura Música 1200Horas 1</v>
      </c>
    </row>
    <row r="6094">
      <c r="A6094" s="390" t="str">
        <f>IFERROR(__xludf.DUMMYFUNCTION("""COMPUTED_VALUE"""),"Luciano Geraldo Parreiras - #SLUEF - Segunda Licenciatura em Educação Física")</f>
        <v>Luciano Geraldo Parreiras - #SLUEF - Segunda Licenciatura em Educação Física</v>
      </c>
    </row>
    <row r="6095">
      <c r="A6095" s="390" t="str">
        <f>IFERROR(__xludf.DUMMYFUNCTION("""COMPUTED_VALUE"""),"Luciano Geraldo Parreiras - Pós-Graduação em Supervisão Escolar")</f>
        <v>Luciano Geraldo Parreiras - Pós-Graduação em Supervisão Escolar</v>
      </c>
    </row>
    <row r="6096">
      <c r="A6096" s="390" t="str">
        <f>IFERROR(__xludf.DUMMYFUNCTION("""COMPUTED_VALUE"""),"João Carlos Batista da Oliveira - #FPUH- Formação Pedagógica em História")</f>
        <v>João Carlos Batista da Oliveira - #FPUH- Formação Pedagógica em História</v>
      </c>
    </row>
    <row r="6097">
      <c r="A6097" s="390" t="str">
        <f>IFERROR(__xludf.DUMMYFUNCTION("""COMPUTED_VALUE"""),"João Carlos Batista da Oliveira - #FPMF- Formação Pedagógica em Música 1200Horas")</f>
        <v>João Carlos Batista da Oliveira - #FPMF- Formação Pedagógica em Música 1200Horas</v>
      </c>
    </row>
    <row r="6098">
      <c r="A6098" s="390" t="str">
        <f>IFERROR(__xludf.DUMMYFUNCTION("""COMPUTED_VALUE"""),"Adriana Aparecida Carlos da Silva - #SLUC - SEGUNDA LICENCIATURA EM CIÊNCIAS DA RELIGIÃO- U")</f>
        <v>Adriana Aparecida Carlos da Silva - #SLUC - SEGUNDA LICENCIATURA EM CIÊNCIAS DA RELIGIÃO- U</v>
      </c>
    </row>
    <row r="6099">
      <c r="A6099" s="390" t="str">
        <f>IFERROR(__xludf.DUMMYFUNCTION("""COMPUTED_VALUE"""),"Lucimara Pereira dos Santos - #FPUP-FORMAÇÃO PEDAGÓGICA EM PEDAGOGIA- U")</f>
        <v>Lucimara Pereira dos Santos - #FPUP-FORMAÇÃO PEDAGÓGICA EM PEDAGOGIA- U</v>
      </c>
    </row>
    <row r="6100">
      <c r="A6100" s="390" t="str">
        <f>IFERROR(__xludf.DUMMYFUNCTION("""COMPUTED_VALUE"""),"Antonia Sá Pinto - Pós-Graduação em Educação Infantil")</f>
        <v>Antonia Sá Pinto - Pós-Graduação em Educação Infantil</v>
      </c>
    </row>
    <row r="6101">
      <c r="A6101" s="390" t="str">
        <f>IFERROR(__xludf.DUMMYFUNCTION("""COMPUTED_VALUE"""),"Roziane Barreto dos Santos Távora - Pós-Graduação Psicopedagogia Clínica, Institucional e Hospitalar")</f>
        <v>Roziane Barreto dos Santos Távora - Pós-Graduação Psicopedagogia Clínica, Institucional e Hospitalar</v>
      </c>
    </row>
    <row r="6102">
      <c r="A6102" s="390" t="str">
        <f>IFERROR(__xludf.DUMMYFUNCTION("""COMPUTED_VALUE"""),"Eny Andrade - Pós-Graduação em Psicanálise")</f>
        <v>Eny Andrade - Pós-Graduação em Psicanálise</v>
      </c>
    </row>
    <row r="6103">
      <c r="A6103" s="390" t="str">
        <f>IFERROR(__xludf.DUMMYFUNCTION("""COMPUTED_VALUE"""),"Leandro Soares de Sousa - #FPMF- Formação Pedagógica em Música 2022")</f>
        <v>Leandro Soares de Sousa - #FPMF- Formação Pedagógica em Música 2022</v>
      </c>
    </row>
    <row r="6104">
      <c r="A6104" s="390" t="str">
        <f>IFERROR(__xludf.DUMMYFUNCTION("""COMPUTED_VALUE"""),"Leandro Soares de Sousa - Pós-Graduação em Segurança da Informação")</f>
        <v>Leandro Soares de Sousa - Pós-Graduação em Segurança da Informação</v>
      </c>
    </row>
    <row r="6105">
      <c r="A6105" s="390" t="str">
        <f>IFERROR(__xludf.DUMMYFUNCTION("""COMPUTED_VALUE"""),"Carla Bianca Franco - Formação Livre em Psicanálise-2022")</f>
        <v>Carla Bianca Franco - Formação Livre em Psicanálise-2022</v>
      </c>
    </row>
    <row r="6106">
      <c r="A6106" s="390" t="str">
        <f>IFERROR(__xludf.DUMMYFUNCTION("""COMPUTED_VALUE"""),"Gracielli Martins de Oliveira - #SLAV+1 - Segunda Licenciatura em Artes Visuais 1000 Horas")</f>
        <v>Gracielli Martins de Oliveira - #SLAV+1 - Segunda Licenciatura em Artes Visuais 1000 Horas</v>
      </c>
    </row>
    <row r="6107">
      <c r="A6107" s="390" t="str">
        <f>IFERROR(__xludf.DUMMYFUNCTION("""COMPUTED_VALUE"""),"Flávia Roberta de Carvalho Sousa Cardoso - #FPUP-FORMAÇÃO PEDAGÓGICA EM PEDAGOGIA- U")</f>
        <v>Flávia Roberta de Carvalho Sousa Cardoso - #FPUP-FORMAÇÃO PEDAGÓGICA EM PEDAGOGIA- U</v>
      </c>
    </row>
    <row r="6108">
      <c r="A6108" s="390" t="str">
        <f>IFERROR(__xludf.DUMMYFUNCTION("""COMPUTED_VALUE"""),"Guilherme Borges de Novais - FORMAÇÃO PEDAGÓGICA EM LETRAS – PORTUGUÊS E ESPANHOL- U")</f>
        <v>Guilherme Borges de Novais - FORMAÇÃO PEDAGÓGICA EM LETRAS – PORTUGUÊS E ESPANHOL- U</v>
      </c>
    </row>
    <row r="6109">
      <c r="A6109" s="390" t="str">
        <f>IFERROR(__xludf.DUMMYFUNCTION("""COMPUTED_VALUE"""),"Milka Araújo Nina - #SLPT- Segunda Licenciatura em Pedagogia")</f>
        <v>Milka Araújo Nina - #SLPT- Segunda Licenciatura em Pedagogia</v>
      </c>
    </row>
    <row r="6110">
      <c r="A6110" s="390" t="str">
        <f>IFERROR(__xludf.DUMMYFUNCTION("""COMPUTED_VALUE"""),"Raqueline Cabrera Rodrigues - #SLPT- Segunda Licenciatura em Pedagogia")</f>
        <v>Raqueline Cabrera Rodrigues - #SLPT- Segunda Licenciatura em Pedagogia</v>
      </c>
    </row>
    <row r="6111">
      <c r="A6111" s="390" t="str">
        <f>IFERROR(__xludf.DUMMYFUNCTION("""COMPUTED_VALUE"""),"Raquel Nogueira Kaur Lima - Pós-Graduação em Psicanálise")</f>
        <v>Raquel Nogueira Kaur Lima - Pós-Graduação em Psicanálise</v>
      </c>
    </row>
    <row r="6112">
      <c r="A6112" s="390" t="str">
        <f>IFERROR(__xludf.DUMMYFUNCTION("""COMPUTED_VALUE"""),"Tatiane de Oliveira Vogel - #SLPT- Segunda Licenciatura em Pedagogia")</f>
        <v>Tatiane de Oliveira Vogel - #SLPT- Segunda Licenciatura em Pedagogia</v>
      </c>
    </row>
    <row r="6113">
      <c r="A6113" s="390" t="str">
        <f>IFERROR(__xludf.DUMMYFUNCTION("""COMPUTED_VALUE"""),"Paulo Victor da Silva Santos - #FPUM Formação Pedagógica em Matemática")</f>
        <v>Paulo Victor da Silva Santos - #FPUM Formação Pedagógica em Matemática</v>
      </c>
    </row>
    <row r="6114">
      <c r="A6114" s="390" t="str">
        <f>IFERROR(__xludf.DUMMYFUNCTION("""COMPUTED_VALUE"""),"Patrícia Maria Alves Paranhos - NOVO-Pós-Graduação em Psicanálise 800 Horas")</f>
        <v>Patrícia Maria Alves Paranhos - NOVO-Pós-Graduação em Psicanálise 800 Horas</v>
      </c>
    </row>
    <row r="6115">
      <c r="A6115" s="390" t="str">
        <f>IFERROR(__xludf.DUMMYFUNCTION("""COMPUTED_VALUE"""),"Jeanny Maria de Sousa Damasceno - Capacitação em Deficiência Intelectual")</f>
        <v>Jeanny Maria de Sousa Damasceno - Capacitação em Deficiência Intelectual</v>
      </c>
    </row>
    <row r="6116">
      <c r="A6116" s="390" t="str">
        <f>IFERROR(__xludf.DUMMYFUNCTION("""COMPUTED_VALUE"""),"Adelita Priamo da Silva - #SLH+1- Segunda Licenciatura em História")</f>
        <v>Adelita Priamo da Silva - #SLH+1- Segunda Licenciatura em História</v>
      </c>
    </row>
    <row r="6117">
      <c r="A6117" s="390" t="str">
        <f>IFERROR(__xludf.DUMMYFUNCTION("""COMPUTED_VALUE"""),"Paulo Roberto da Costa Dias - #FPMF- Formação Pedagógica em Música 2022")</f>
        <v>Paulo Roberto da Costa Dias - #FPMF- Formação Pedagógica em Música 2022</v>
      </c>
    </row>
    <row r="6118">
      <c r="A6118" s="390" t="str">
        <f>IFERROR(__xludf.DUMMYFUNCTION("""COMPUTED_VALUE"""),"Claudiana Chaves da Silva - Pós-Graduação em Coordenação e Orientação Escolar")</f>
        <v>Claudiana Chaves da Silva - Pós-Graduação em Coordenação e Orientação Escolar</v>
      </c>
    </row>
    <row r="6119">
      <c r="A6119" s="390" t="str">
        <f>IFERROR(__xludf.DUMMYFUNCTION("""COMPUTED_VALUE"""),"Elaine Esteves da Costa do Vau - #FPT1-Pedagogia para Bacharéis e Tecnólogos (2022)")</f>
        <v>Elaine Esteves da Costa do Vau - #FPT1-Pedagogia para Bacharéis e Tecnólogos (2022)</v>
      </c>
    </row>
    <row r="6120">
      <c r="A6120" s="390" t="str">
        <f>IFERROR(__xludf.DUMMYFUNCTION("""COMPUTED_VALUE"""),"Miguel Anderson Moura - Formação Livre em Psicanálise-2022")</f>
        <v>Miguel Anderson Moura - Formação Livre em Psicanálise-2022</v>
      </c>
    </row>
    <row r="6121">
      <c r="A6121" s="390" t="str">
        <f>IFERROR(__xludf.DUMMYFUNCTION("""COMPUTED_VALUE"""),"Edilson Furtado Farias - #SLUM - SEGUNDA LICENCIATURA EM MATEMÁTICA")</f>
        <v>Edilson Furtado Farias - #SLUM - SEGUNDA LICENCIATURA EM MATEMÁTICA</v>
      </c>
    </row>
    <row r="6122">
      <c r="A6122" s="390" t="str">
        <f>IFERROR(__xludf.DUMMYFUNCTION("""COMPUTED_VALUE"""),"Edilson Furtado Farias - SEGUNDA LICENCIATURA PEDAGOGIA - 2024")</f>
        <v>Edilson Furtado Farias - SEGUNDA LICENCIATURA PEDAGOGIA - 2024</v>
      </c>
    </row>
    <row r="6123">
      <c r="A6123" s="390" t="str">
        <f>IFERROR(__xludf.DUMMYFUNCTION("""COMPUTED_VALUE"""),"Edilson Furtado Farias - SEGUNDA LICENCIATURA PEDAGOGIA - 2024")</f>
        <v>Edilson Furtado Farias - SEGUNDA LICENCIATURA PEDAGOGIA - 2024</v>
      </c>
    </row>
    <row r="6124">
      <c r="A6124" s="390" t="str">
        <f>IFERROR(__xludf.DUMMYFUNCTION("""COMPUTED_VALUE"""),"Edilson Furtado Farias - SEGUNDA LICENCIATURA PEDAGOGIA - 2024")</f>
        <v>Edilson Furtado Farias - SEGUNDA LICENCIATURA PEDAGOGIA - 2024</v>
      </c>
    </row>
    <row r="6125">
      <c r="A6125" s="390" t="str">
        <f>IFERROR(__xludf.DUMMYFUNCTION("""COMPUTED_VALUE"""),"Eduardo Costa e Silva - FORMAÇÃO PEDAGÓGICA EM GEOGRAFIA- U")</f>
        <v>Eduardo Costa e Silva - FORMAÇÃO PEDAGÓGICA EM GEOGRAFIA- U</v>
      </c>
    </row>
    <row r="6126">
      <c r="A6126" s="390" t="str">
        <f>IFERROR(__xludf.DUMMYFUNCTION("""COMPUTED_VALUE"""),"Eduardo Costa e Silva - FORMAÇÃO PEDAGÓGICA EM GEOGRAFIA - 2024")</f>
        <v>Eduardo Costa e Silva - FORMAÇÃO PEDAGÓGICA EM GEOGRAFIA - 2024</v>
      </c>
    </row>
    <row r="6127">
      <c r="A6127" s="390" t="str">
        <f>IFERROR(__xludf.DUMMYFUNCTION("""COMPUTED_VALUE"""),"Glaysiane da Silva de Melo - Pós-Graduação em MBA em Gestão de Pessoas e Talentos")</f>
        <v>Glaysiane da Silva de Melo - Pós-Graduação em MBA em Gestão de Pessoas e Talentos</v>
      </c>
    </row>
    <row r="6128">
      <c r="A6128" s="390" t="str">
        <f>IFERROR(__xludf.DUMMYFUNCTION("""COMPUTED_VALUE"""),"Glaysiane da Silva de Melo - Pós-Graduação em MBA em Administração Pessoal")</f>
        <v>Glaysiane da Silva de Melo - Pós-Graduação em MBA em Administração Pessoal</v>
      </c>
    </row>
    <row r="6129">
      <c r="A6129" s="390" t="str">
        <f>IFERROR(__xludf.DUMMYFUNCTION("""COMPUTED_VALUE"""),"Ana Cristina Radatz - Pós-Graduação em Psicanálise")</f>
        <v>Ana Cristina Radatz - Pós-Graduação em Psicanálise</v>
      </c>
    </row>
    <row r="6130">
      <c r="A6130" s="390" t="str">
        <f>IFERROR(__xludf.DUMMYFUNCTION("""COMPUTED_VALUE"""),"Aristóteles Gomes da Silva - #SLPT- Segunda Licenciatura em Pedagogia")</f>
        <v>Aristóteles Gomes da Silva - #SLPT- Segunda Licenciatura em Pedagogia</v>
      </c>
    </row>
    <row r="6131">
      <c r="A6131" s="390" t="str">
        <f>IFERROR(__xludf.DUMMYFUNCTION("""COMPUTED_VALUE"""),"Ana Gabriela Matos de Medeiros Barros - #SLUP - SEGUNDA LICENCIATURA EM PEDAGOGIA")</f>
        <v>Ana Gabriela Matos de Medeiros Barros - #SLUP - SEGUNDA LICENCIATURA EM PEDAGOGIA</v>
      </c>
    </row>
    <row r="6132">
      <c r="A6132" s="390" t="str">
        <f>IFERROR(__xludf.DUMMYFUNCTION("""COMPUTED_VALUE"""),"Ana Gabriela Matos de Medeiros Barros - #SLUP - SEGUNDA LICENCIATURA EM PEDAGOGIA")</f>
        <v>Ana Gabriela Matos de Medeiros Barros - #SLUP - SEGUNDA LICENCIATURA EM PEDAGOGIA</v>
      </c>
    </row>
    <row r="6133">
      <c r="A6133" s="390" t="str">
        <f>IFERROR(__xludf.DUMMYFUNCTION("""COMPUTED_VALUE"""),"Maristela dos Santos Paula - #FPMF- Formação Pedagógica em Música 1200Horas")</f>
        <v>Maristela dos Santos Paula - #FPMF- Formação Pedagógica em Música 1200Horas</v>
      </c>
    </row>
    <row r="6134">
      <c r="A6134" s="390" t="str">
        <f>IFERROR(__xludf.DUMMYFUNCTION("""COMPUTED_VALUE"""),"Izaura Lucchesi Nobre - Pós-Graduação em Psicanálise")</f>
        <v>Izaura Lucchesi Nobre - Pós-Graduação em Psicanálise</v>
      </c>
    </row>
    <row r="6135">
      <c r="A6135" s="390" t="str">
        <f>IFERROR(__xludf.DUMMYFUNCTION("""COMPUTED_VALUE"""),"EMÍDIO FERREIRA DE CARVALHO NETO - #FPUEF - Formação Pedagógica em Educação Física - 1200 Horas")</f>
        <v>EMÍDIO FERREIRA DE CARVALHO NETO - #FPUEF - Formação Pedagógica em Educação Física - 1200 Horas</v>
      </c>
    </row>
    <row r="6136">
      <c r="A6136" s="390" t="str">
        <f>IFERROR(__xludf.DUMMYFUNCTION("""COMPUTED_VALUE"""),"Adriana de Aguiar Garces - #SLMF- Segunda Licenciatura Música 1200Horas 1")</f>
        <v>Adriana de Aguiar Garces - #SLMF- Segunda Licenciatura Música 1200Horas 1</v>
      </c>
    </row>
    <row r="6137">
      <c r="A6137" s="390" t="str">
        <f>IFERROR(__xludf.DUMMYFUNCTION("""COMPUTED_VALUE"""),"Maryellen dos Santos Pereira - Pós-Graduação Terapia Cognitiva Comportamental")</f>
        <v>Maryellen dos Santos Pereira - Pós-Graduação Terapia Cognitiva Comportamental</v>
      </c>
    </row>
    <row r="6138">
      <c r="A6138" s="390" t="str">
        <f>IFERROR(__xludf.DUMMYFUNCTION("""COMPUTED_VALUE"""),"Joelma Resende Maforte - Pós-Graduação em Neuropsicopedagogia")</f>
        <v>Joelma Resende Maforte - Pós-Graduação em Neuropsicopedagogia</v>
      </c>
    </row>
    <row r="6139">
      <c r="A6139" s="390" t="str">
        <f>IFERROR(__xludf.DUMMYFUNCTION("""COMPUTED_VALUE"""),"Joelma Resende Maforte - Pós-Graduação em Neuropsicopedagogia")</f>
        <v>Joelma Resende Maforte - Pós-Graduação em Neuropsicopedagogia</v>
      </c>
    </row>
    <row r="6140">
      <c r="A6140" s="390" t="str">
        <f>IFERROR(__xludf.DUMMYFUNCTION("""COMPUTED_VALUE"""),"Cícero Ricardo de Oliveira - Formação Livre em Psicanálise-2022")</f>
        <v>Cícero Ricardo de Oliveira - Formação Livre em Psicanálise-2022</v>
      </c>
    </row>
    <row r="6141">
      <c r="A6141" s="390" t="str">
        <f>IFERROR(__xludf.DUMMYFUNCTION("""COMPUTED_VALUE"""),"Eldeweibe Pereira da Silva - #SLMF- Segunda Licenciatura Música 1200Horas 1")</f>
        <v>Eldeweibe Pereira da Silva - #SLMF- Segunda Licenciatura Música 1200Horas 1</v>
      </c>
    </row>
    <row r="6142">
      <c r="A6142" s="390" t="str">
        <f>IFERROR(__xludf.DUMMYFUNCTION("""COMPUTED_VALUE"""),"Eldeweibe Pereira da Silva - FORMAÇÃO PEDAGÓGICA EM MÚSICA - 2024")</f>
        <v>Eldeweibe Pereira da Silva - FORMAÇÃO PEDAGÓGICA EM MÚSICA - 2024</v>
      </c>
    </row>
    <row r="6143">
      <c r="A6143" s="390" t="str">
        <f>IFERROR(__xludf.DUMMYFUNCTION("""COMPUTED_VALUE"""),"Renata Barboza Sanchez Baptista - #FPUP-FORMAÇÃO PEDAGÓGICA EM PEDAGOGIA- U")</f>
        <v>Renata Barboza Sanchez Baptista - #FPUP-FORMAÇÃO PEDAGÓGICA EM PEDAGOGIA- U</v>
      </c>
    </row>
    <row r="6144">
      <c r="A6144" s="390" t="str">
        <f>IFERROR(__xludf.DUMMYFUNCTION("""COMPUTED_VALUE"""),"Claudia Maria Ramos de Paiva - NOVO-Pós-Graduação em Psicanálise 800 Horas")</f>
        <v>Claudia Maria Ramos de Paiva - NOVO-Pós-Graduação em Psicanálise 800 Horas</v>
      </c>
    </row>
    <row r="6145">
      <c r="A6145" s="390" t="str">
        <f>IFERROR(__xludf.DUMMYFUNCTION("""COMPUTED_VALUE"""),"MARIA LUZIA FAUSTINO - NOVO-Pós-Graduação em Psicanálise 800 Horas")</f>
        <v>MARIA LUZIA FAUSTINO - NOVO-Pós-Graduação em Psicanálise 800 Horas</v>
      </c>
    </row>
    <row r="6146">
      <c r="A6146" s="390" t="str">
        <f>IFERROR(__xludf.DUMMYFUNCTION("""COMPUTED_VALUE"""),"Sueli Machado Chaves - NOVO-Pós-Graduação em Psicanálise 800 Horas")</f>
        <v>Sueli Machado Chaves - NOVO-Pós-Graduação em Psicanálise 800 Horas</v>
      </c>
    </row>
    <row r="6147">
      <c r="A6147" s="390" t="str">
        <f>IFERROR(__xludf.DUMMYFUNCTION("""COMPUTED_VALUE"""),"Valdogênio de Magalhães - Pós-Graduação em Direito Civil e Processual Civil")</f>
        <v>Valdogênio de Magalhães - Pós-Graduação em Direito Civil e Processual Civil</v>
      </c>
    </row>
    <row r="6148">
      <c r="A6148" s="390" t="str">
        <f>IFERROR(__xludf.DUMMYFUNCTION("""COMPUTED_VALUE"""),"Valdogênio de Magalhães - PÓS-GRADUAÇÃO EM DIREITO CONTRATUAL 600h")</f>
        <v>Valdogênio de Magalhães - PÓS-GRADUAÇÃO EM DIREITO CONTRATUAL 600h</v>
      </c>
    </row>
    <row r="6149">
      <c r="A6149" s="390" t="str">
        <f>IFERROR(__xludf.DUMMYFUNCTION("""COMPUTED_VALUE"""),"Dolores Camara - #FPT1-Pedagogia para Bacharéis e Tecnólogos (2022)")</f>
        <v>Dolores Camara - #FPT1-Pedagogia para Bacharéis e Tecnólogos (2022)</v>
      </c>
    </row>
    <row r="6150">
      <c r="A6150" s="390" t="str">
        <f>IFERROR(__xludf.DUMMYFUNCTION("""COMPUTED_VALUE"""),"Mônica Tassoni - #SLP22- Segunda Licenciatura em Pedagogia")</f>
        <v>Mônica Tassoni - #SLP22- Segunda Licenciatura em Pedagogia</v>
      </c>
    </row>
    <row r="6151">
      <c r="A6151" s="390" t="str">
        <f>IFERROR(__xludf.DUMMYFUNCTION("""COMPUTED_VALUE"""),"Mônica Tassoni - PÓS-GRADUAÇÃO EM DIREITO EDUCACIONAL 600h")</f>
        <v>Mônica Tassoni - PÓS-GRADUAÇÃO EM DIREITO EDUCACIONAL 600h</v>
      </c>
    </row>
    <row r="6152">
      <c r="A6152" s="390" t="str">
        <f>IFERROR(__xludf.DUMMYFUNCTION("""COMPUTED_VALUE"""),"Ellen Marliane dos Santos Silva - #FPT1-Pedagogia para Bacharéis e Tecnólogos (2022)")</f>
        <v>Ellen Marliane dos Santos Silva - #FPT1-Pedagogia para Bacharéis e Tecnólogos (2022)</v>
      </c>
    </row>
    <row r="6153">
      <c r="A6153" s="390" t="str">
        <f>IFERROR(__xludf.DUMMYFUNCTION("""COMPUTED_VALUE"""),"Cláudio Lopes de Souza - #FPMF- Formação Pedagógica em Música 2022")</f>
        <v>Cláudio Lopes de Souza - #FPMF- Formação Pedagógica em Música 2022</v>
      </c>
    </row>
    <row r="6154">
      <c r="A6154" s="390" t="str">
        <f>IFERROR(__xludf.DUMMYFUNCTION("""COMPUTED_VALUE"""),"Leila Santos de Oliveira - #FPP- Formação Pedagógica em Pedagogia R2")</f>
        <v>Leila Santos de Oliveira - #FPP- Formação Pedagógica em Pedagogia R2</v>
      </c>
    </row>
    <row r="6155">
      <c r="A6155" s="390" t="str">
        <f>IFERROR(__xludf.DUMMYFUNCTION("""COMPUTED_VALUE"""),"Leila Santos de Oliveira - Pós-Graduação em Psicologia Hospitalar")</f>
        <v>Leila Santos de Oliveira - Pós-Graduação em Psicologia Hospitalar</v>
      </c>
    </row>
    <row r="6156">
      <c r="A6156" s="390" t="str">
        <f>IFERROR(__xludf.DUMMYFUNCTION("""COMPUTED_VALUE"""),"Tamara Ferreira de Sousa Maciel - Formação Livre em Psicanálise-2022")</f>
        <v>Tamara Ferreira de Sousa Maciel - Formação Livre em Psicanálise-2022</v>
      </c>
    </row>
    <row r="6157">
      <c r="A6157" s="390" t="str">
        <f>IFERROR(__xludf.DUMMYFUNCTION("""COMPUTED_VALUE"""),"Luiz Fernando Razzotto - #SLPA- Segunda Licenciatura em Pedagogia 01")</f>
        <v>Luiz Fernando Razzotto - #SLPA- Segunda Licenciatura em Pedagogia 01</v>
      </c>
    </row>
    <row r="6158">
      <c r="A6158" s="390" t="str">
        <f>IFERROR(__xludf.DUMMYFUNCTION("""COMPUTED_VALUE"""),"Simone da Silva Tristão - Pós-Graduação em Arteterapia")</f>
        <v>Simone da Silva Tristão - Pós-Graduação em Arteterapia</v>
      </c>
    </row>
    <row r="6159">
      <c r="A6159" s="390" t="str">
        <f>IFERROR(__xludf.DUMMYFUNCTION("""COMPUTED_VALUE"""),"Simone da Silva Tristão - #SLIA - Segunda Licenciatura Letras - Inglês")</f>
        <v>Simone da Silva Tristão - #SLIA - Segunda Licenciatura Letras - Inglês</v>
      </c>
    </row>
    <row r="6160">
      <c r="A6160" s="390" t="str">
        <f>IFERROR(__xludf.DUMMYFUNCTION("""COMPUTED_VALUE"""),"Elaine Cristina Barros - PÓS-GRADUAÇÃO EM PSICANÁLISE 1/2024")</f>
        <v>Elaine Cristina Barros - PÓS-GRADUAÇÃO EM PSICANÁLISE 1/2024</v>
      </c>
    </row>
    <row r="6161">
      <c r="A6161" s="390" t="str">
        <f>IFERROR(__xludf.DUMMYFUNCTION("""COMPUTED_VALUE"""),"Elaine Cristina Barros - FORMAÇÃO LIVRE EM PSICANÁLISE - 2024")</f>
        <v>Elaine Cristina Barros - FORMAÇÃO LIVRE EM PSICANÁLISE - 2024</v>
      </c>
    </row>
    <row r="6162">
      <c r="A6162" s="390" t="str">
        <f>IFERROR(__xludf.DUMMYFUNCTION("""COMPUTED_VALUE"""),"Anacélia da Silva Brito - #SLH+1- Segunda Licenciatura em História")</f>
        <v>Anacélia da Silva Brito - #SLH+1- Segunda Licenciatura em História</v>
      </c>
    </row>
    <row r="6163">
      <c r="A6163" s="390" t="str">
        <f>IFERROR(__xludf.DUMMYFUNCTION("""COMPUTED_VALUE"""),"Anacélia da Silva Brito - Pós-Graduação Alfabetização e Letramento")</f>
        <v>Anacélia da Silva Brito - Pós-Graduação Alfabetização e Letramento</v>
      </c>
    </row>
    <row r="6164">
      <c r="A6164" s="390" t="str">
        <f>IFERROR(__xludf.DUMMYFUNCTION("""COMPUTED_VALUE"""),"Anacélia da Silva Brito - Pós-Graduação em Alfabetização e Letramento e a Psicopedagogia")</f>
        <v>Anacélia da Silva Brito - Pós-Graduação em Alfabetização e Letramento e a Psicopedagogia</v>
      </c>
    </row>
    <row r="6165">
      <c r="A6165" s="390" t="str">
        <f>IFERROR(__xludf.DUMMYFUNCTION("""COMPUTED_VALUE"""),"Rita Coelho de Aguiar - #SLMF- Segunda Licenciatura Música 1200Horas 1")</f>
        <v>Rita Coelho de Aguiar - #SLMF- Segunda Licenciatura Música 1200Horas 1</v>
      </c>
    </row>
    <row r="6166">
      <c r="A6166" s="390" t="str">
        <f>IFERROR(__xludf.DUMMYFUNCTION("""COMPUTED_VALUE"""),"Rita Coelho de Aguiar - #SLMF- Segunda Licenciatura Música 1200Horas 1")</f>
        <v>Rita Coelho de Aguiar - #SLMF- Segunda Licenciatura Música 1200Horas 1</v>
      </c>
    </row>
    <row r="6167">
      <c r="A6167" s="390" t="str">
        <f>IFERROR(__xludf.DUMMYFUNCTION("""COMPUTED_VALUE"""),"MARCOS ANTONIO DE FARIAS - #SLUP - SEGUNDA LICENCIATURA EM PEDAGOGIA")</f>
        <v>MARCOS ANTONIO DE FARIAS - #SLUP - SEGUNDA LICENCIATURA EM PEDAGOGIA</v>
      </c>
    </row>
    <row r="6168">
      <c r="A6168" s="390" t="str">
        <f>IFERROR(__xludf.DUMMYFUNCTION("""COMPUTED_VALUE"""),"Suzi Alves de Oliveira - Formação Livre em Psicanálise-2022")</f>
        <v>Suzi Alves de Oliveira - Formação Livre em Psicanálise-2022</v>
      </c>
    </row>
    <row r="6169">
      <c r="A6169" s="390" t="str">
        <f>IFERROR(__xludf.DUMMYFUNCTION("""COMPUTED_VALUE"""),"Felippe César de Souza Cristino - PÓS-GRADUAÇÃO EM PSICANÁLISE - 2024")</f>
        <v>Felippe César de Souza Cristino - PÓS-GRADUAÇÃO EM PSICANÁLISE - 2024</v>
      </c>
    </row>
    <row r="6170">
      <c r="A6170" s="390" t="str">
        <f>IFERROR(__xludf.DUMMYFUNCTION("""COMPUTED_VALUE"""),"Vanessa Machado da Silva - #SLMF - Segunda Licenciatura em Música 1320Horas")</f>
        <v>Vanessa Machado da Silva - #SLMF - Segunda Licenciatura em Música 1320Horas</v>
      </c>
    </row>
    <row r="6171">
      <c r="A6171" s="390" t="str">
        <f>IFERROR(__xludf.DUMMYFUNCTION("""COMPUTED_VALUE"""),"Jeanderson Rosa Amorim - Pós-Graduação em Psicanálise 2/2023")</f>
        <v>Jeanderson Rosa Amorim - Pós-Graduação em Psicanálise 2/2023</v>
      </c>
    </row>
    <row r="6172">
      <c r="A6172" s="390" t="str">
        <f>IFERROR(__xludf.DUMMYFUNCTION("""COMPUTED_VALUE"""),"Liliane Monteiro de Rosa - #FPUP-FORMAÇÃO PEDAGÓGICA EM PEDAGOGIA- U")</f>
        <v>Liliane Monteiro de Rosa - #FPUP-FORMAÇÃO PEDAGÓGICA EM PEDAGOGIA- U</v>
      </c>
    </row>
    <row r="6173">
      <c r="A6173" s="390" t="str">
        <f>IFERROR(__xludf.DUMMYFUNCTION("""COMPUTED_VALUE"""),"Liliane Monteiro de Rosa - Pós-Graduação em Gestão Escolar Integrada com Ênfase em Supervisão, Orientação, Administração e Inspeção")</f>
        <v>Liliane Monteiro de Rosa - Pós-Graduação em Gestão Escolar Integrada com Ênfase em Supervisão, Orientação, Administração e Inspeção</v>
      </c>
    </row>
    <row r="6174">
      <c r="A6174" s="390" t="str">
        <f>IFERROR(__xludf.DUMMYFUNCTION("""COMPUTED_VALUE"""),"Cláudia Cristina Pereira - PÓS-GRADUAÇÃO EM PSICANÁLISE - 2024")</f>
        <v>Cláudia Cristina Pereira - PÓS-GRADUAÇÃO EM PSICANÁLISE - 2024</v>
      </c>
    </row>
    <row r="6175">
      <c r="A6175" s="390" t="str">
        <f>IFERROR(__xludf.DUMMYFUNCTION("""COMPUTED_VALUE"""),"Ananda Inácia de Meneses Costa - #SLUA- Segunda Licenciatura em Artes Visuais")</f>
        <v>Ananda Inácia de Meneses Costa - #SLUA- Segunda Licenciatura em Artes Visuais</v>
      </c>
    </row>
    <row r="6176">
      <c r="A6176" s="390" t="str">
        <f>IFERROR(__xludf.DUMMYFUNCTION("""COMPUTED_VALUE"""),"Claudia Regina Gonçalves Dos Santos - Pós-Graduação em Psicomotricidade e Educação Especial")</f>
        <v>Claudia Regina Gonçalves Dos Santos - Pós-Graduação em Psicomotricidade e Educação Especial</v>
      </c>
    </row>
    <row r="6177">
      <c r="A6177" s="390" t="str">
        <f>IFERROR(__xludf.DUMMYFUNCTION("""COMPUTED_VALUE"""),"Renato Ventura Rosa - PÓS-GRADUAÇÃO EM PSICANÁLISE - 2024")</f>
        <v>Renato Ventura Rosa - PÓS-GRADUAÇÃO EM PSICANÁLISE - 2024</v>
      </c>
    </row>
    <row r="6178">
      <c r="A6178" s="390" t="str">
        <f>IFERROR(__xludf.DUMMYFUNCTION("""COMPUTED_VALUE"""),"Israel Nascimento da Cruz - #FPMF- Formação Pedagógica em Música 1200Horas")</f>
        <v>Israel Nascimento da Cruz - #FPMF- Formação Pedagógica em Música 1200Horas</v>
      </c>
    </row>
    <row r="6179">
      <c r="A6179" s="390" t="str">
        <f>IFERROR(__xludf.DUMMYFUNCTION("""COMPUTED_VALUE"""),"Tatiana Aparecida Carlino Pinheiro - Pós-Graduação em Psicanálise 2/2023")</f>
        <v>Tatiana Aparecida Carlino Pinheiro - Pós-Graduação em Psicanálise 2/2023</v>
      </c>
    </row>
    <row r="6180">
      <c r="A6180" s="390" t="str">
        <f>IFERROR(__xludf.DUMMYFUNCTION("""COMPUTED_VALUE"""),"Anderson Mateus Jesus Oliveira - Capacitação em Terapia em TDAH Clínico")</f>
        <v>Anderson Mateus Jesus Oliveira - Capacitação em Terapia em TDAH Clínico</v>
      </c>
    </row>
    <row r="6181">
      <c r="A6181" s="390" t="str">
        <f>IFERROR(__xludf.DUMMYFUNCTION("""COMPUTED_VALUE"""),"Rita de Cassia Garcia Paiola de Oliveira - #FPP- Formação Pedagógica em Pedagogia R2")</f>
        <v>Rita de Cassia Garcia Paiola de Oliveira - #FPP- Formação Pedagógica em Pedagogia R2</v>
      </c>
    </row>
    <row r="6182">
      <c r="A6182" s="390" t="str">
        <f>IFERROR(__xludf.DUMMYFUNCTION("""COMPUTED_VALUE"""),"Eliseu da Silva - Formação Livre em Psicanálise-2022")</f>
        <v>Eliseu da Silva - Formação Livre em Psicanálise-2022</v>
      </c>
    </row>
    <row r="6183">
      <c r="A6183" s="390" t="str">
        <f>IFERROR(__xludf.DUMMYFUNCTION("""COMPUTED_VALUE"""),"Polyana Fialho do Carmo - Pós-Graduação em Ensino de Artes-2022")</f>
        <v>Polyana Fialho do Carmo - Pós-Graduação em Ensino de Artes-2022</v>
      </c>
    </row>
    <row r="6184">
      <c r="A6184" s="390" t="str">
        <f>IFERROR(__xludf.DUMMYFUNCTION("""COMPUTED_VALUE"""),"Polyana Fialho do Carmo - Pós-Graduação em Psicopedagogia Escolar")</f>
        <v>Polyana Fialho do Carmo - Pós-Graduação em Psicopedagogia Escolar</v>
      </c>
    </row>
    <row r="6185">
      <c r="A6185" s="390" t="str">
        <f>IFERROR(__xludf.DUMMYFUNCTION("""COMPUTED_VALUE"""),"Camila Coelho de Almeida - #FPP- Formação Pedagógica em Pedagogia R2")</f>
        <v>Camila Coelho de Almeida - #FPP- Formação Pedagógica em Pedagogia R2</v>
      </c>
    </row>
    <row r="6186">
      <c r="A6186" s="390" t="str">
        <f>IFERROR(__xludf.DUMMYFUNCTION("""COMPUTED_VALUE"""),"Camila Coelho de Almeida - Pós-graduação em gestão e orientação escolar 600h")</f>
        <v>Camila Coelho de Almeida - Pós-graduação em gestão e orientação escolar 600h</v>
      </c>
    </row>
    <row r="6187">
      <c r="A6187" s="390" t="str">
        <f>IFERROR(__xludf.DUMMYFUNCTION("""COMPUTED_VALUE"""),"Wenderson Fabiano de Souza - Pós-graduação em gestão e orientação escolar 600h")</f>
        <v>Wenderson Fabiano de Souza - Pós-graduação em gestão e orientação escolar 600h</v>
      </c>
    </row>
    <row r="6188">
      <c r="A6188" s="390" t="str">
        <f>IFERROR(__xludf.DUMMYFUNCTION("""COMPUTED_VALUE"""),"Wenderson Fabiano de Souza - #FPP- Formação Pedagógica em Pedagogia R2")</f>
        <v>Wenderson Fabiano de Souza - #FPP- Formação Pedagógica em Pedagogia R2</v>
      </c>
    </row>
    <row r="6189">
      <c r="A6189" s="390" t="str">
        <f>IFERROR(__xludf.DUMMYFUNCTION("""COMPUTED_VALUE"""),"Berenice Francisca dos Santos - Pós-Graduação em Psicanálise 2/2023")</f>
        <v>Berenice Francisca dos Santos - Pós-Graduação em Psicanálise 2/2023</v>
      </c>
    </row>
    <row r="6190">
      <c r="A6190" s="390" t="str">
        <f>IFERROR(__xludf.DUMMYFUNCTION("""COMPUTED_VALUE"""),"Fernanda de Almeida Barros - #FPP- Formação Pedagógica em Pedagogia R2")</f>
        <v>Fernanda de Almeida Barros - #FPP- Formação Pedagógica em Pedagogia R2</v>
      </c>
    </row>
    <row r="6191">
      <c r="A6191" s="390" t="str">
        <f>IFERROR(__xludf.DUMMYFUNCTION("""COMPUTED_VALUE"""),"Elisiane Andrade Lima - #SLAA - Segunda Licenciatura em Artes Visuais")</f>
        <v>Elisiane Andrade Lima - #SLAA - Segunda Licenciatura em Artes Visuais</v>
      </c>
    </row>
    <row r="6192">
      <c r="A6192" s="390" t="str">
        <f>IFERROR(__xludf.DUMMYFUNCTION("""COMPUTED_VALUE"""),"Elisiane Andrade Lima - Pós-Graduação em Alfabetização e Letramento e a Psicopedagogia")</f>
        <v>Elisiane Andrade Lima - Pós-Graduação em Alfabetização e Letramento e a Psicopedagogia</v>
      </c>
    </row>
    <row r="6193">
      <c r="A6193" s="390" t="str">
        <f>IFERROR(__xludf.DUMMYFUNCTION("""COMPUTED_VALUE"""),"Jaqueline De Fatima Marcos de Paula - PÓS-GRADUAÇÃO EM PSICANÁLISE - 2024")</f>
        <v>Jaqueline De Fatima Marcos de Paula - PÓS-GRADUAÇÃO EM PSICANÁLISE - 2024</v>
      </c>
    </row>
    <row r="6194">
      <c r="A6194" s="390" t="str">
        <f>IFERROR(__xludf.DUMMYFUNCTION("""COMPUTED_VALUE"""),"Alex Sandro Ferreira - # SLCRA - Segunda Licenciatura em Ciências da Religião")</f>
        <v>Alex Sandro Ferreira - # SLCRA - Segunda Licenciatura em Ciências da Religião</v>
      </c>
    </row>
    <row r="6195">
      <c r="A6195" s="390" t="str">
        <f>IFERROR(__xludf.DUMMYFUNCTION("""COMPUTED_VALUE"""),"Alex Sandro Ferreira - Formação Pedagógica em Ciências da Religião")</f>
        <v>Alex Sandro Ferreira - Formação Pedagógica em Ciências da Religião</v>
      </c>
    </row>
    <row r="6196">
      <c r="A6196" s="390" t="str">
        <f>IFERROR(__xludf.DUMMYFUNCTION("""COMPUTED_VALUE"""),"Benedito Henrique dos Santos - Pós-Graduação em Neuropsicopedagogia Institucional, Clínica e Hospitalar 850h")</f>
        <v>Benedito Henrique dos Santos - Pós-Graduação em Neuropsicopedagogia Institucional, Clínica e Hospitalar 850h</v>
      </c>
    </row>
    <row r="6197">
      <c r="A6197" s="390" t="str">
        <f>IFERROR(__xludf.DUMMYFUNCTION("""COMPUTED_VALUE"""),"Elen Marcia Ferreira Américo - Pós-Graduação Educação Especial e Inclusiva")</f>
        <v>Elen Marcia Ferreira Américo - Pós-Graduação Educação Especial e Inclusiva</v>
      </c>
    </row>
    <row r="6198">
      <c r="A6198" s="390" t="str">
        <f>IFERROR(__xludf.DUMMYFUNCTION("""COMPUTED_VALUE"""),"Elen Marcia Ferreira Américo - #SLUEE - SEGUNDA LICENCIATURA EM EDUCAÇÃO ESPECIAL")</f>
        <v>Elen Marcia Ferreira Américo - #SLUEE - SEGUNDA LICENCIATURA EM EDUCAÇÃO ESPECIAL</v>
      </c>
    </row>
    <row r="6199">
      <c r="A6199" s="390" t="str">
        <f>IFERROR(__xludf.DUMMYFUNCTION("""COMPUTED_VALUE"""),"Elen Marcia Ferreira Américo - #SLM+1- Segunda Licenciatura em Matemática 1040Horas")</f>
        <v>Elen Marcia Ferreira Américo - #SLM+1- Segunda Licenciatura em Matemática 1040Horas</v>
      </c>
    </row>
    <row r="6200">
      <c r="A6200" s="390" t="str">
        <f>IFERROR(__xludf.DUMMYFUNCTION("""COMPUTED_VALUE"""),"Elen Marcia Ferreira Américo - Pós-Graduação Docência do Ensino Superior, Gestão e Tutoria EAD")</f>
        <v>Elen Marcia Ferreira Américo - Pós-Graduação Docência do Ensino Superior, Gestão e Tutoria EAD</v>
      </c>
    </row>
    <row r="6201">
      <c r="A6201" s="390" t="str">
        <f>IFERROR(__xludf.DUMMYFUNCTION("""COMPUTED_VALUE"""),"Janete Bezerra da Silva - Pós-Graduação em Gestão Escolar Integradora com Ênfase em Supervisão, Orientação, Administração e Inspeção 870Horas")</f>
        <v>Janete Bezerra da Silva - Pós-Graduação em Gestão Escolar Integradora com Ênfase em Supervisão, Orientação, Administração e Inspeção 870Horas</v>
      </c>
    </row>
    <row r="6202">
      <c r="A6202" s="390" t="str">
        <f>IFERROR(__xludf.DUMMYFUNCTION("""COMPUTED_VALUE"""),"Alessandra Machado Nobre - Pós-Graduação em Aba-Análise do Comportamento Aplicada 2022")</f>
        <v>Alessandra Machado Nobre - Pós-Graduação em Aba-Análise do Comportamento Aplicada 2022</v>
      </c>
    </row>
    <row r="6203">
      <c r="A6203" s="390" t="str">
        <f>IFERROR(__xludf.DUMMYFUNCTION("""COMPUTED_VALUE"""),"Rosane de Souza Pereira - #SLPT- Segunda Licenciatura em Pedagogia")</f>
        <v>Rosane de Souza Pereira - #SLPT- Segunda Licenciatura em Pedagogia</v>
      </c>
    </row>
    <row r="6204">
      <c r="A6204" s="390" t="str">
        <f>IFERROR(__xludf.DUMMYFUNCTION("""COMPUTED_VALUE"""),"Jucilene Reis de Oliveira Gomes - Pós-Graduação em Neuropsicopedagogia Clínica")</f>
        <v>Jucilene Reis de Oliveira Gomes - Pós-Graduação em Neuropsicopedagogia Clínica</v>
      </c>
    </row>
    <row r="6205">
      <c r="A6205" s="390" t="str">
        <f>IFERROR(__xludf.DUMMYFUNCTION("""COMPUTED_VALUE"""),"Michele da Silva Azevedo - #FPUP-FORMAÇÃO PEDAGÓGICA EM PEDAGOGIA- U")</f>
        <v>Michele da Silva Azevedo - #FPUP-FORMAÇÃO PEDAGÓGICA EM PEDAGOGIA- U</v>
      </c>
    </row>
    <row r="6206">
      <c r="A6206" s="390" t="str">
        <f>IFERROR(__xludf.DUMMYFUNCTION("""COMPUTED_VALUE"""),"Fernanda Ferreira Lima - #SLUP - SEGUNDA LICENCIATURA EM PEDAGOGIA")</f>
        <v>Fernanda Ferreira Lima - #SLUP - SEGUNDA LICENCIATURA EM PEDAGOGIA</v>
      </c>
    </row>
    <row r="6207">
      <c r="A6207" s="390" t="str">
        <f>IFERROR(__xludf.DUMMYFUNCTION("""COMPUTED_VALUE"""),"Poliana Gonçalves Lima - FORMAÇÃO LIVRE EM PSICANÁLISE - 2024")</f>
        <v>Poliana Gonçalves Lima - FORMAÇÃO LIVRE EM PSICANÁLISE - 2024</v>
      </c>
    </row>
    <row r="6208">
      <c r="A6208" s="390" t="str">
        <f>IFERROR(__xludf.DUMMYFUNCTION("""COMPUTED_VALUE"""),"Glênia Aparecida Souza Santos - #SLH+- SEGUNDA LICENCIATURA EM HISTÓRIA")</f>
        <v>Glênia Aparecida Souza Santos - #SLH+- SEGUNDA LICENCIATURA EM HISTÓRIA</v>
      </c>
    </row>
    <row r="6209">
      <c r="A6209" s="390" t="str">
        <f>IFERROR(__xludf.DUMMYFUNCTION("""COMPUTED_VALUE"""),"Wamberson Adelino - #SLMF- Segunda Licenciatura em Música 2022 880Horas")</f>
        <v>Wamberson Adelino - #SLMF- Segunda Licenciatura em Música 2022 880Horas</v>
      </c>
    </row>
    <row r="6210">
      <c r="A6210" s="390" t="str">
        <f>IFERROR(__xludf.DUMMYFUNCTION("""COMPUTED_VALUE"""),"Josenira Paula da Silva - #SLP22- Segunda Licenciatura em Pedagogia")</f>
        <v>Josenira Paula da Silva - #SLP22- Segunda Licenciatura em Pedagogia</v>
      </c>
    </row>
    <row r="6211">
      <c r="A6211" s="390" t="str">
        <f>IFERROR(__xludf.DUMMYFUNCTION("""COMPUTED_VALUE"""),"Karen Bruna Silva Chaves - #SLPT- Segunda Licenciatura em Pedagogia")</f>
        <v>Karen Bruna Silva Chaves - #SLPT- Segunda Licenciatura em Pedagogia</v>
      </c>
    </row>
    <row r="6212">
      <c r="A6212" s="390" t="str">
        <f>IFERROR(__xludf.DUMMYFUNCTION("""COMPUTED_VALUE"""),"Ivani de Oliveira Saraiva - #SLUP - SEGUNDA LICENCIATURA EM PEDAGOGIA")</f>
        <v>Ivani de Oliveira Saraiva - #SLUP - SEGUNDA LICENCIATURA EM PEDAGOGIA</v>
      </c>
    </row>
    <row r="6213">
      <c r="A6213" s="390" t="str">
        <f>IFERROR(__xludf.DUMMYFUNCTION("""COMPUTED_VALUE"""),"Ivani de Oliveira Saraiva - #SLUP - SEGUNDA LICENCIATURA EM PEDAGOGIA")</f>
        <v>Ivani de Oliveira Saraiva - #SLUP - SEGUNDA LICENCIATURA EM PEDAGOGIA</v>
      </c>
    </row>
    <row r="6214">
      <c r="A6214" s="390" t="str">
        <f>IFERROR(__xludf.DUMMYFUNCTION("""COMPUTED_VALUE"""),"Esmeraldo Soares Dos Santos Souza - #SLLET1 - SEGUNDA LICENCIATURA EM LETRAS-PORTUGUÊS/ESPANHOL")</f>
        <v>Esmeraldo Soares Dos Santos Souza - #SLLET1 - SEGUNDA LICENCIATURA EM LETRAS-PORTUGUÊS/ESPANHOL</v>
      </c>
    </row>
    <row r="6215">
      <c r="A6215" s="390" t="str">
        <f>IFERROR(__xludf.DUMMYFUNCTION("""COMPUTED_VALUE"""),"Leandro Donizete da Silva - #FPULPI- Formação Pedagógica em Letras – Português e Inglês")</f>
        <v>Leandro Donizete da Silva - #FPULPI- Formação Pedagógica em Letras – Português e Inglês</v>
      </c>
    </row>
    <row r="6216">
      <c r="A6216" s="390" t="str">
        <f>IFERROR(__xludf.DUMMYFUNCTION("""COMPUTED_VALUE"""),"Nathalia Aparecida Borges Dutra e Silva - #SLUA- Segunda Licenciatura em Artes Visuais")</f>
        <v>Nathalia Aparecida Borges Dutra e Silva - #SLUA- Segunda Licenciatura em Artes Visuais</v>
      </c>
    </row>
    <row r="6217">
      <c r="A6217" s="390" t="str">
        <f>IFERROR(__xludf.DUMMYFUNCTION("""COMPUTED_VALUE"""),"Larissa Costa Da Silva - #FPEEF- Formação Pedagógica Educação Física")</f>
        <v>Larissa Costa Da Silva - #FPEEF- Formação Pedagógica Educação Física</v>
      </c>
    </row>
    <row r="6218">
      <c r="A6218" s="390" t="str">
        <f>IFERROR(__xludf.DUMMYFUNCTION("""COMPUTED_VALUE"""),"Welinton da Cunha Kaiser - Formação Livre em Psicanálise-2022")</f>
        <v>Welinton da Cunha Kaiser - Formação Livre em Psicanálise-2022</v>
      </c>
    </row>
    <row r="6219">
      <c r="A6219" s="390" t="str">
        <f>IFERROR(__xludf.DUMMYFUNCTION("""COMPUTED_VALUE"""),"William Martins da Costa - #SLPT- Segunda Licenciatura em Pedagogia")</f>
        <v>William Martins da Costa - #SLPT- Segunda Licenciatura em Pedagogia</v>
      </c>
    </row>
    <row r="6220">
      <c r="A6220" s="390" t="str">
        <f>IFERROR(__xludf.DUMMYFUNCTION("""COMPUTED_VALUE"""),"Regilandia dos Santos Lima - Pós-Graduação em Neuropsicopedagogia Institucional, Clínica e Hospitalar 850h")</f>
        <v>Regilandia dos Santos Lima - Pós-Graduação em Neuropsicopedagogia Institucional, Clínica e Hospitalar 850h</v>
      </c>
    </row>
    <row r="6221">
      <c r="A6221" s="390" t="str">
        <f>IFERROR(__xludf.DUMMYFUNCTION("""COMPUTED_VALUE"""),"Daniel de Jesus Sousa - #FPMF- Formação Pedagógica em Música 1200Horas")</f>
        <v>Daniel de Jesus Sousa - #FPMF- Formação Pedagógica em Música 1200Horas</v>
      </c>
    </row>
    <row r="6222">
      <c r="A6222" s="390" t="str">
        <f>IFERROR(__xludf.DUMMYFUNCTION("""COMPUTED_VALUE"""),"Nadjar Tatiane Fernandes Bezerra - Pós-Graduação em Neuropsicologia Clínica")</f>
        <v>Nadjar Tatiane Fernandes Bezerra - Pós-Graduação em Neuropsicologia Clínica</v>
      </c>
    </row>
    <row r="6223">
      <c r="A6223" s="390" t="str">
        <f>IFERROR(__xludf.DUMMYFUNCTION("""COMPUTED_VALUE"""),"Luciana de Cassia Faria Esposito Dias - #FPUF- Formação Pedagógica em Filosofia")</f>
        <v>Luciana de Cassia Faria Esposito Dias - #FPUF- Formação Pedagógica em Filosofia</v>
      </c>
    </row>
    <row r="6224">
      <c r="A6224" s="390" t="str">
        <f>IFERROR(__xludf.DUMMYFUNCTION("""COMPUTED_VALUE"""),"Maria do Socorro da Silva Neves - #SLUA- Segunda Licenciatura em Artes Visuais")</f>
        <v>Maria do Socorro da Silva Neves - #SLUA- Segunda Licenciatura em Artes Visuais</v>
      </c>
    </row>
    <row r="6225">
      <c r="A6225" s="390" t="str">
        <f>IFERROR(__xludf.DUMMYFUNCTION("""COMPUTED_VALUE"""),"Maria de Fátima Rocha - #FPMF- Formação Pedagógica em Música 1200Horas")</f>
        <v>Maria de Fátima Rocha - #FPMF- Formação Pedagógica em Música 1200Horas</v>
      </c>
    </row>
    <row r="6226">
      <c r="A6226" s="390" t="str">
        <f>IFERROR(__xludf.DUMMYFUNCTION("""COMPUTED_VALUE"""),"Maria de Fátima Rocha - #FPMF- Formação Pedagógica em Música 1200Horas")</f>
        <v>Maria de Fátima Rocha - #FPMF- Formação Pedagógica em Música 1200Horas</v>
      </c>
    </row>
    <row r="6227">
      <c r="A6227" s="390" t="str">
        <f>IFERROR(__xludf.DUMMYFUNCTION("""COMPUTED_VALUE"""),"Maria de Fátima Rocha - #FPP- Formação Pedagógica em Pedagogia R2")</f>
        <v>Maria de Fátima Rocha - #FPP- Formação Pedagógica em Pedagogia R2</v>
      </c>
    </row>
    <row r="6228">
      <c r="A6228" s="390" t="str">
        <f>IFERROR(__xludf.DUMMYFUNCTION("""COMPUTED_VALUE"""),"Amós Aguiar Augusto da Silva - Pós-Graduação Direito Digital 600Horas")</f>
        <v>Amós Aguiar Augusto da Silva - Pós-Graduação Direito Digital 600Horas</v>
      </c>
    </row>
    <row r="6229">
      <c r="A6229" s="390" t="str">
        <f>IFERROR(__xludf.DUMMYFUNCTION("""COMPUTED_VALUE"""),"Márcia Ribeiro da Silva - Pós-Graduação em Neuropsicopedagogia Institucional, Clínica e Hospitalar 850h")</f>
        <v>Márcia Ribeiro da Silva - Pós-Graduação em Neuropsicopedagogia Institucional, Clínica e Hospitalar 850h</v>
      </c>
    </row>
    <row r="6230">
      <c r="A6230" s="390" t="str">
        <f>IFERROR(__xludf.DUMMYFUNCTION("""COMPUTED_VALUE"""),"Libiane Cristine Barroso - SEGUNDA LICENCIATURA EM ARTES VISUAIS - 2024")</f>
        <v>Libiane Cristine Barroso - SEGUNDA LICENCIATURA EM ARTES VISUAIS - 2024</v>
      </c>
    </row>
    <row r="6231">
      <c r="A6231" s="390" t="str">
        <f>IFERROR(__xludf.DUMMYFUNCTION("""COMPUTED_VALUE"""),"CLAUDIANA DE PAULA PEPINO - #FPUP-FORMAÇÃO PEDAGÓGICA EM PEDAGOGIA- U")</f>
        <v>CLAUDIANA DE PAULA PEPINO - #FPUP-FORMAÇÃO PEDAGÓGICA EM PEDAGOGIA- U</v>
      </c>
    </row>
    <row r="6232">
      <c r="A6232" s="390" t="str">
        <f>IFERROR(__xludf.DUMMYFUNCTION("""COMPUTED_VALUE"""),"Valmir Moraes - PÓS-GRADUAÇÃO EM PSICANÁLISE - 2024")</f>
        <v>Valmir Moraes - PÓS-GRADUAÇÃO EM PSICANÁLISE - 2024</v>
      </c>
    </row>
    <row r="6233">
      <c r="A6233" s="390" t="str">
        <f>IFERROR(__xludf.DUMMYFUNCTION("""COMPUTED_VALUE"""),"Valmir Moraes - Pós-Graduação Em Direito De Família E Sucessões 2022")</f>
        <v>Valmir Moraes - Pós-Graduação Em Direito De Família E Sucessões 2022</v>
      </c>
    </row>
    <row r="6234">
      <c r="A6234" s="390" t="str">
        <f>IFERROR(__xludf.DUMMYFUNCTION("""COMPUTED_VALUE"""),"André Luis Freitas Bernardes - #FPUM Formação Pedagógica em Matemática")</f>
        <v>André Luis Freitas Bernardes - #FPUM Formação Pedagógica em Matemática</v>
      </c>
    </row>
    <row r="6235">
      <c r="A6235" s="390" t="str">
        <f>IFERROR(__xludf.DUMMYFUNCTION("""COMPUTED_VALUE"""),"André Luis Freitas Bernardes - FORMAÇÃO PEDAGÓGICA EM MATEMÁTICA - 2024")</f>
        <v>André Luis Freitas Bernardes - FORMAÇÃO PEDAGÓGICA EM MATEMÁTICA - 2024</v>
      </c>
    </row>
    <row r="6236">
      <c r="A6236" s="390" t="str">
        <f>IFERROR(__xludf.DUMMYFUNCTION("""COMPUTED_VALUE"""),"Gisella Andrielle de Oliveira Passos - SEGUNDA LICENCIATURA EM CIÊNCIA DA RELIGIÃO - 2024")</f>
        <v>Gisella Andrielle de Oliveira Passos - SEGUNDA LICENCIATURA EM CIÊNCIA DA RELIGIÃO - 2024</v>
      </c>
    </row>
    <row r="6237">
      <c r="A6237" s="390" t="str">
        <f>IFERROR(__xludf.DUMMYFUNCTION("""COMPUTED_VALUE"""),"Gisella Andrielle de Oliveira Passos - SEGUNDA LICENCIATURA EM CIÊNCIA DA RELIGIÃO - 2024")</f>
        <v>Gisella Andrielle de Oliveira Passos - SEGUNDA LICENCIATURA EM CIÊNCIA DA RELIGIÃO - 2024</v>
      </c>
    </row>
    <row r="6238">
      <c r="A6238" s="390" t="str">
        <f>IFERROR(__xludf.DUMMYFUNCTION("""COMPUTED_VALUE"""),"Gisella Andrielle de Oliveira Passos - SEGUNDA LICENCIATURA EM FILOSOFIA - 2024")</f>
        <v>Gisella Andrielle de Oliveira Passos - SEGUNDA LICENCIATURA EM FILOSOFIA - 2024</v>
      </c>
    </row>
    <row r="6239">
      <c r="A6239" s="390" t="str">
        <f>IFERROR(__xludf.DUMMYFUNCTION("""COMPUTED_VALUE"""),"Maria Cristiana Rocha - RADIANTE CENTRO EDUCACIONAL - NOVO-Pós-Graduação em Psicanálise 800 Horas")</f>
        <v>Maria Cristiana Rocha - RADIANTE CENTRO EDUCACIONAL - NOVO-Pós-Graduação em Psicanálise 800 Horas</v>
      </c>
    </row>
    <row r="6240">
      <c r="A6240" s="390" t="str">
        <f>IFERROR(__xludf.DUMMYFUNCTION("""COMPUTED_VALUE"""),"Maria Cristiana Rocha - RADIANTE CENTRO EDUCACIONAL - Pós-Graduação Neurociência e Aprendizagem")</f>
        <v>Maria Cristiana Rocha - RADIANTE CENTRO EDUCACIONAL - Pós-Graduação Neurociência e Aprendizagem</v>
      </c>
    </row>
    <row r="6241">
      <c r="A6241" s="390" t="str">
        <f>IFERROR(__xludf.DUMMYFUNCTION("""COMPUTED_VALUE"""),"Mylena Santos Ribeiro - SEGUNDA LICENCIATURA EM ARTES VISUAIS - 2024")</f>
        <v>Mylena Santos Ribeiro - SEGUNDA LICENCIATURA EM ARTES VISUAIS - 2024</v>
      </c>
    </row>
    <row r="6242">
      <c r="A6242" s="390" t="str">
        <f>IFERROR(__xludf.DUMMYFUNCTION("""COMPUTED_VALUE"""),"Carlos Eduardo Pires Batista - PÓS-GRADUAÇÃO EM PSICANÁLISE - 2024")</f>
        <v>Carlos Eduardo Pires Batista - PÓS-GRADUAÇÃO EM PSICANÁLISE - 2024</v>
      </c>
    </row>
    <row r="6243">
      <c r="A6243" s="390" t="str">
        <f>IFERROR(__xludf.DUMMYFUNCTION("""COMPUTED_VALUE"""),"Ana Paula Brito Teles - SEGUNDA LICENCIATURA EM MATEMÁTICA - 2024")</f>
        <v>Ana Paula Brito Teles - SEGUNDA LICENCIATURA EM MATEMÁTICA - 2024</v>
      </c>
    </row>
    <row r="6244">
      <c r="A6244" s="390" t="str">
        <f>IFERROR(__xludf.DUMMYFUNCTION("""COMPUTED_VALUE"""),"Ana Paula Brito Teles - #SLUM - SEGUNDA LICENCIATURA EM MATEMÁTICA")</f>
        <v>Ana Paula Brito Teles - #SLUM - SEGUNDA LICENCIATURA EM MATEMÁTICA</v>
      </c>
    </row>
    <row r="6245">
      <c r="A6245" s="390" t="str">
        <f>IFERROR(__xludf.DUMMYFUNCTION("""COMPUTED_VALUE"""),"Andréia Camilla Oliveira - FORMAÇÃO PEDAGÓGICA EM EDUCAÇÃO FÍSICA - 2024")</f>
        <v>Andréia Camilla Oliveira - FORMAÇÃO PEDAGÓGICA EM EDUCAÇÃO FÍSICA - 2024</v>
      </c>
    </row>
    <row r="6246">
      <c r="A6246" s="390" t="str">
        <f>IFERROR(__xludf.DUMMYFUNCTION("""COMPUTED_VALUE"""),"Ana Elisa de Araújo Pontes - Pós-Graduação Educação Especial e Inclusiva")</f>
        <v>Ana Elisa de Araújo Pontes - Pós-Graduação Educação Especial e Inclusiva</v>
      </c>
    </row>
    <row r="6247">
      <c r="A6247" s="390" t="str">
        <f>IFERROR(__xludf.DUMMYFUNCTION("""COMPUTED_VALUE"""),"Dênnis Tadeu Cândido - #SLMF- Segunda Licenciatura Música 1200Horas 1")</f>
        <v>Dênnis Tadeu Cândido - #SLMF- Segunda Licenciatura Música 1200Horas 1</v>
      </c>
    </row>
    <row r="6248">
      <c r="A6248" s="390" t="str">
        <f>IFERROR(__xludf.DUMMYFUNCTION("""COMPUTED_VALUE"""),"Marcela Marques Teixeira - Pós-Graduação em Terapia em ABA- Análise do Comportamento Aplicada Clínica")</f>
        <v>Marcela Marques Teixeira - Pós-Graduação em Terapia em ABA- Análise do Comportamento Aplicada Clínica</v>
      </c>
    </row>
    <row r="6249">
      <c r="A6249" s="390" t="str">
        <f>IFERROR(__xludf.DUMMYFUNCTION("""COMPUTED_VALUE"""),"Antônio Luís Almeida Lugon - Pós-Graduação em MBA Gestão de Marketing Digital")</f>
        <v>Antônio Luís Almeida Lugon - Pós-Graduação em MBA Gestão de Marketing Digital</v>
      </c>
    </row>
    <row r="6250">
      <c r="A6250" s="390" t="str">
        <f>IFERROR(__xludf.DUMMYFUNCTION("""COMPUTED_VALUE"""),"Antônio Luís Almeida Lugon - #SLMF- Segunda Licenciatura em Música 2022 880Horas")</f>
        <v>Antônio Luís Almeida Lugon - #SLMF- Segunda Licenciatura em Música 2022 880Horas</v>
      </c>
    </row>
    <row r="6251">
      <c r="A6251" s="390" t="str">
        <f>IFERROR(__xludf.DUMMYFUNCTION("""COMPUTED_VALUE"""),"Rita De Cássia Da Silva - FORMAÇÃO PEDAGÓGICA EM PEDAGOGIA - 2024")</f>
        <v>Rita De Cássia Da Silva - FORMAÇÃO PEDAGÓGICA EM PEDAGOGIA - 2024</v>
      </c>
    </row>
    <row r="6252">
      <c r="A6252" s="390" t="str">
        <f>IFERROR(__xludf.DUMMYFUNCTION("""COMPUTED_VALUE"""),"Kelly Mastrogiovanni - Pós-Graduação em Psicanálise 2/2023")</f>
        <v>Kelly Mastrogiovanni - Pós-Graduação em Psicanálise 2/2023</v>
      </c>
    </row>
    <row r="6253">
      <c r="A6253" s="390" t="str">
        <f>IFERROR(__xludf.DUMMYFUNCTION("""COMPUTED_VALUE"""),"Juliana Mendes Bueno - #SLMF- Segunda Licenciatura Música 1200Horas 1")</f>
        <v>Juliana Mendes Bueno - #SLMF- Segunda Licenciatura Música 1200Horas 1</v>
      </c>
    </row>
    <row r="6254">
      <c r="A6254" s="390" t="str">
        <f>IFERROR(__xludf.DUMMYFUNCTION("""COMPUTED_VALUE"""),"Johanna Meury Oliveira de Freitas - Pós-Graduação em Neuropsicologia Clínica 2022")</f>
        <v>Johanna Meury Oliveira de Freitas - Pós-Graduação em Neuropsicologia Clínica 2022</v>
      </c>
    </row>
    <row r="6255">
      <c r="A6255" s="390" t="str">
        <f>IFERROR(__xludf.DUMMYFUNCTION("""COMPUTED_VALUE"""),"Vanessa de Mauro Pitta - #FPP- Formação Pedagógica em Pedagogia R2")</f>
        <v>Vanessa de Mauro Pitta - #FPP- Formação Pedagógica em Pedagogia R2</v>
      </c>
    </row>
    <row r="6256">
      <c r="A6256" s="390" t="str">
        <f>IFERROR(__xludf.DUMMYFUNCTION("""COMPUTED_VALUE"""),"Ana Cleia Gomes Pereira - #SLPT- Segunda Licenciatura em Pedagogia")</f>
        <v>Ana Cleia Gomes Pereira - #SLPT- Segunda Licenciatura em Pedagogia</v>
      </c>
    </row>
    <row r="6257">
      <c r="A6257" s="390" t="str">
        <f>IFERROR(__xludf.DUMMYFUNCTION("""COMPUTED_VALUE"""),"Karine Miguel Garcia - #SLPT- Segunda Licenciatura em Pedagogia")</f>
        <v>Karine Miguel Garcia - #SLPT- Segunda Licenciatura em Pedagogia</v>
      </c>
    </row>
    <row r="6258">
      <c r="A6258" s="390" t="str">
        <f>IFERROR(__xludf.DUMMYFUNCTION("""COMPUTED_VALUE"""),"Ana Pinheiro Dos Santos - #FPM+ Formação Pedagógica em Matemática-760 Horas")</f>
        <v>Ana Pinheiro Dos Santos - #FPM+ Formação Pedagógica em Matemática-760 Horas</v>
      </c>
    </row>
    <row r="6259">
      <c r="A6259" s="390" t="str">
        <f>IFERROR(__xludf.DUMMYFUNCTION("""COMPUTED_VALUE"""),"Thais Gentil Alves - #FPUEF - Formação Pedagógica em Educação Física - 1200 Horas")</f>
        <v>Thais Gentil Alves - #FPUEF - Formação Pedagógica em Educação Física - 1200 Horas</v>
      </c>
    </row>
    <row r="6260">
      <c r="A6260" s="390" t="str">
        <f>IFERROR(__xludf.DUMMYFUNCTION("""COMPUTED_VALUE"""),"Tiago Da Cruz Silva - SEGUNDA LICENCIATURA EM MÚSICA - 2024")</f>
        <v>Tiago Da Cruz Silva - SEGUNDA LICENCIATURA EM MÚSICA - 2024</v>
      </c>
    </row>
    <row r="6261">
      <c r="A6261" s="390" t="str">
        <f>IFERROR(__xludf.DUMMYFUNCTION("""COMPUTED_VALUE"""),"Tereza da Conceição - Pós-Graduação SECRETARIADO ESCOLAR 600h")</f>
        <v>Tereza da Conceição - Pós-Graduação SECRETARIADO ESCOLAR 600h</v>
      </c>
    </row>
    <row r="6262">
      <c r="A6262" s="390" t="str">
        <f>IFERROR(__xludf.DUMMYFUNCTION("""COMPUTED_VALUE"""),"Antonio Fernando da Silva Pires - #SLM+- Segunda Licenciatura em Matemática-760 horas")</f>
        <v>Antonio Fernando da Silva Pires - #SLM+- Segunda Licenciatura em Matemática-760 horas</v>
      </c>
    </row>
    <row r="6263">
      <c r="A6263" s="390" t="str">
        <f>IFERROR(__xludf.DUMMYFUNCTION("""COMPUTED_VALUE"""),"Elise Torres de Oliveira Souza - SEGUNDA LICENCIATURA EM MÚSICA - 2024")</f>
        <v>Elise Torres de Oliveira Souza - SEGUNDA LICENCIATURA EM MÚSICA - 2024</v>
      </c>
    </row>
    <row r="6264">
      <c r="A6264" s="390" t="str">
        <f>IFERROR(__xludf.DUMMYFUNCTION("""COMPUTED_VALUE"""),"Luciely Florentino de Matos - SEGUNDA LICENCIATURA EM ARTES VISUAIS - 2024")</f>
        <v>Luciely Florentino de Matos - SEGUNDA LICENCIATURA EM ARTES VISUAIS - 2024</v>
      </c>
    </row>
    <row r="6265">
      <c r="A6265" s="390" t="str">
        <f>IFERROR(__xludf.DUMMYFUNCTION("""COMPUTED_VALUE"""),"Luciely Florentino de Matos - SEGUNDA LICENCIATURA EM HISTÓRIA - 2024")</f>
        <v>Luciely Florentino de Matos - SEGUNDA LICENCIATURA EM HISTÓRIA - 2024</v>
      </c>
    </row>
    <row r="6266">
      <c r="A6266" s="390" t="str">
        <f>IFERROR(__xludf.DUMMYFUNCTION("""COMPUTED_VALUE"""),"Fabio Borda de Vuono - FORMAÇÃO PEDAGÓGICA EM MÚSICA - 2024")</f>
        <v>Fabio Borda de Vuono - FORMAÇÃO PEDAGÓGICA EM MÚSICA - 2024</v>
      </c>
    </row>
    <row r="6267">
      <c r="A6267" s="390" t="str">
        <f>IFERROR(__xludf.DUMMYFUNCTION("""COMPUTED_VALUE"""),"Andressa Notaro Furlan - Pós-Graduação em Psicanálise 2/2023")</f>
        <v>Andressa Notaro Furlan - Pós-Graduação em Psicanálise 2/2023</v>
      </c>
    </row>
    <row r="6268">
      <c r="A6268" s="390" t="str">
        <f>IFERROR(__xludf.DUMMYFUNCTION("""COMPUTED_VALUE"""),"Elizabete Evina Santos Bomfim - Pós-Graduação Terapia em Aba-Análise do Comportamento Aplicada Clínico")</f>
        <v>Elizabete Evina Santos Bomfim - Pós-Graduação Terapia em Aba-Análise do Comportamento Aplicada Clínico</v>
      </c>
    </row>
    <row r="6269">
      <c r="A6269" s="390" t="str">
        <f>IFERROR(__xludf.DUMMYFUNCTION("""COMPUTED_VALUE"""),"Sayonara Fernandes Teotônio - #SLUS - Segunda Licenciatura em Sociologia")</f>
        <v>Sayonara Fernandes Teotônio - #SLUS - Segunda Licenciatura em Sociologia</v>
      </c>
    </row>
    <row r="6270">
      <c r="A6270" s="390" t="str">
        <f>IFERROR(__xludf.DUMMYFUNCTION("""COMPUTED_VALUE"""),"Fernanda da Cruz Silva - PÓS-GRADUAÇÃO EM PSICANÁLISE - 2024")</f>
        <v>Fernanda da Cruz Silva - PÓS-GRADUAÇÃO EM PSICANÁLISE - 2024</v>
      </c>
    </row>
    <row r="6271">
      <c r="A6271" s="390" t="str">
        <f>IFERROR(__xludf.DUMMYFUNCTION("""COMPUTED_VALUE"""),"João Batista Lourenço da Silva - Formação Livre em Psicanálise-2022")</f>
        <v>João Batista Lourenço da Silva - Formação Livre em Psicanálise-2022</v>
      </c>
    </row>
    <row r="6272">
      <c r="A6272" s="390" t="str">
        <f>IFERROR(__xludf.DUMMYFUNCTION("""COMPUTED_VALUE"""),"Thaís Mespaque Pinto - #SLH+1- Segunda Licenciatura em História")</f>
        <v>Thaís Mespaque Pinto - #SLH+1- Segunda Licenciatura em História</v>
      </c>
    </row>
    <row r="6273">
      <c r="A6273" s="390" t="str">
        <f>IFERROR(__xludf.DUMMYFUNCTION("""COMPUTED_VALUE"""),"Roberta Christina Amancio - Pós-Graduação em Gestão Escolar Integradora com Ênfase em Supervisão, Orientação, Administração e Inspeção 870Horas")</f>
        <v>Roberta Christina Amancio - Pós-Graduação em Gestão Escolar Integradora com Ênfase em Supervisão, Orientação, Administração e Inspeção 870Horas</v>
      </c>
    </row>
    <row r="6274">
      <c r="A6274" s="390" t="str">
        <f>IFERROR(__xludf.DUMMYFUNCTION("""COMPUTED_VALUE"""),"Valéria Aparecida Chiamente - #FPP- Formação Pedagógica em Pedagogia R2")</f>
        <v>Valéria Aparecida Chiamente - #FPP- Formação Pedagógica em Pedagogia R2</v>
      </c>
    </row>
    <row r="6275">
      <c r="A6275" s="390" t="str">
        <f>IFERROR(__xludf.DUMMYFUNCTION("""COMPUTED_VALUE"""),"Leandro de Ávila - Pós-Graduação Educação Especial e Inclusiva")</f>
        <v>Leandro de Ávila - Pós-Graduação Educação Especial e Inclusiva</v>
      </c>
    </row>
    <row r="6276">
      <c r="A6276" s="390" t="str">
        <f>IFERROR(__xludf.DUMMYFUNCTION("""COMPUTED_VALUE"""),"Leandro de Ávila - #SLP22- Segunda Licenciatura em Pedagogia")</f>
        <v>Leandro de Ávila - #SLP22- Segunda Licenciatura em Pedagogia</v>
      </c>
    </row>
    <row r="6277">
      <c r="A6277" s="390" t="str">
        <f>IFERROR(__xludf.DUMMYFUNCTION("""COMPUTED_VALUE"""),"Eliane Monteiro Borges Fontana - Pós-Graduação em História e Fundamentos da Filosofia")</f>
        <v>Eliane Monteiro Borges Fontana - Pós-Graduação em História e Fundamentos da Filosofia</v>
      </c>
    </row>
    <row r="6278">
      <c r="A6278" s="390" t="str">
        <f>IFERROR(__xludf.DUMMYFUNCTION("""COMPUTED_VALUE"""),"Eliane Monteiro Borges Fontana - Pós-Graduação em Ensino de História e Geografia")</f>
        <v>Eliane Monteiro Borges Fontana - Pós-Graduação em Ensino de História e Geografia</v>
      </c>
    </row>
    <row r="6279">
      <c r="A6279" s="390" t="str">
        <f>IFERROR(__xludf.DUMMYFUNCTION("""COMPUTED_VALUE"""),"Eliane Monteiro Borges Fontana - #SLAV+ - Segunda Licenciatura em Artes Visuais - 1000 Horas")</f>
        <v>Eliane Monteiro Borges Fontana - #SLAV+ - Segunda Licenciatura em Artes Visuais - 1000 Horas</v>
      </c>
    </row>
    <row r="6280">
      <c r="A6280" s="390" t="str">
        <f>IFERROR(__xludf.DUMMYFUNCTION("""COMPUTED_VALUE"""),"José Arthur Leorne Da Silva Santos - Formação Livre em Psicanálise-2022")</f>
        <v>José Arthur Leorne Da Silva Santos - Formação Livre em Psicanálise-2022</v>
      </c>
    </row>
    <row r="6281">
      <c r="A6281" s="390" t="str">
        <f>IFERROR(__xludf.DUMMYFUNCTION("""COMPUTED_VALUE"""),"Soraia da Silva Batista dos Santos - SEGUNDA LICENCIATURA PEDAGOGIA - 2024")</f>
        <v>Soraia da Silva Batista dos Santos - SEGUNDA LICENCIATURA PEDAGOGIA - 2024</v>
      </c>
    </row>
    <row r="6282">
      <c r="A6282" s="390" t="str">
        <f>IFERROR(__xludf.DUMMYFUNCTION("""COMPUTED_VALUE"""),"Rafaella Ferreira Leal Cunha - NOVO-Pós-Graduação em Psicanálise 800 Horas")</f>
        <v>Rafaella Ferreira Leal Cunha - NOVO-Pós-Graduação em Psicanálise 800 Horas</v>
      </c>
    </row>
    <row r="6283">
      <c r="A6283" s="390" t="str">
        <f>IFERROR(__xludf.DUMMYFUNCTION("""COMPUTED_VALUE"""),"Sara Santos de Souza - FORMAÇÃO LIVRE EM PSICANÁLISE - 2024")</f>
        <v>Sara Santos de Souza - FORMAÇÃO LIVRE EM PSICANÁLISE - 2024</v>
      </c>
    </row>
    <row r="6284">
      <c r="A6284" s="390" t="str">
        <f>IFERROR(__xludf.DUMMYFUNCTION("""COMPUTED_VALUE"""),"Loreny Karing Caldas Cunha - PÓS-GRADUAÇÃO EM PSICANÁLISE - 2024")</f>
        <v>Loreny Karing Caldas Cunha - PÓS-GRADUAÇÃO EM PSICANÁLISE - 2024</v>
      </c>
    </row>
    <row r="6285">
      <c r="A6285" s="390" t="str">
        <f>IFERROR(__xludf.DUMMYFUNCTION("""COMPUTED_VALUE"""),"Jader Murce Batista - PÓS-GRADUAÇÃO EM PSICANÁLISE - 2024")</f>
        <v>Jader Murce Batista - PÓS-GRADUAÇÃO EM PSICANÁLISE - 2024</v>
      </c>
    </row>
    <row r="6286">
      <c r="A6286" s="390" t="str">
        <f>IFERROR(__xludf.DUMMYFUNCTION("""COMPUTED_VALUE"""),"Helena de Oliveira Andrade - SEGUNDA LICENCIATURA PEDAGOGIA - 2024")</f>
        <v>Helena de Oliveira Andrade - SEGUNDA LICENCIATURA PEDAGOGIA - 2024</v>
      </c>
    </row>
    <row r="6287">
      <c r="A6287" s="390" t="str">
        <f>IFERROR(__xludf.DUMMYFUNCTION("""COMPUTED_VALUE"""),"Leonardo Carlos Cabral Rodrigues - Formação Livre em Psicanálise-2022")</f>
        <v>Leonardo Carlos Cabral Rodrigues - Formação Livre em Psicanálise-2022</v>
      </c>
    </row>
    <row r="6288">
      <c r="A6288" s="390" t="str">
        <f>IFERROR(__xludf.DUMMYFUNCTION("""COMPUTED_VALUE"""),"Jenaina Gonçalves dos Santos - Formação Livre em Música")</f>
        <v>Jenaina Gonçalves dos Santos - Formação Livre em Música</v>
      </c>
    </row>
    <row r="6289">
      <c r="A6289" s="390" t="str">
        <f>IFERROR(__xludf.DUMMYFUNCTION("""COMPUTED_VALUE"""),"Jenaina Gonçalves dos Santos - Formação Livre em Música")</f>
        <v>Jenaina Gonçalves dos Santos - Formação Livre em Música</v>
      </c>
    </row>
    <row r="6290">
      <c r="A6290" s="390" t="str">
        <f>IFERROR(__xludf.DUMMYFUNCTION("""COMPUTED_VALUE"""),"Liliane Pinto - FORMAÇÃO PEDAGÓGICA EM PEDAGOGIA - 2024")</f>
        <v>Liliane Pinto - FORMAÇÃO PEDAGÓGICA EM PEDAGOGIA - 2024</v>
      </c>
    </row>
    <row r="6291">
      <c r="A6291" s="390" t="str">
        <f>IFERROR(__xludf.DUMMYFUNCTION("""COMPUTED_VALUE"""),"Eliane Rufino Bezerra Oliveira - #SLUC - SEGUNDA LICENCIATURA EM CIÊNCIAS DA RELIGIÃO- U")</f>
        <v>Eliane Rufino Bezerra Oliveira - #SLUC - SEGUNDA LICENCIATURA EM CIÊNCIAS DA RELIGIÃO- U</v>
      </c>
    </row>
    <row r="6292">
      <c r="A6292" s="390" t="str">
        <f>IFERROR(__xludf.DUMMYFUNCTION("""COMPUTED_VALUE"""),"Eliane Rufino Bezerra Oliveira - #SLUC - SEGUNDA LICENCIATURA EM CIÊNCIAS DA RELIGIÃO- U")</f>
        <v>Eliane Rufino Bezerra Oliveira - #SLUC - SEGUNDA LICENCIATURA EM CIÊNCIAS DA RELIGIÃO- U</v>
      </c>
    </row>
    <row r="6293">
      <c r="A6293" s="390" t="str">
        <f>IFERROR(__xludf.DUMMYFUNCTION("""COMPUTED_VALUE"""),"Rafaela Salles Alves Pradella - #FPUP-FORMAÇÃO PEDAGÓGICA EM PEDAGOGIA- U")</f>
        <v>Rafaela Salles Alves Pradella - #FPUP-FORMAÇÃO PEDAGÓGICA EM PEDAGOGIA- U</v>
      </c>
    </row>
    <row r="6294">
      <c r="A6294" s="390" t="str">
        <f>IFERROR(__xludf.DUMMYFUNCTION("""COMPUTED_VALUE"""),"Aline Daiane Fernandes Naparo - Formação Livre em Psicanálise-2022")</f>
        <v>Aline Daiane Fernandes Naparo - Formação Livre em Psicanálise-2022</v>
      </c>
    </row>
    <row r="6295">
      <c r="A6295" s="390" t="str">
        <f>IFERROR(__xludf.DUMMYFUNCTION("""COMPUTED_VALUE"""),"Rafael Almeida de Araujo - #SLMF- Segunda Licenciatura Música 1200Horas 1")</f>
        <v>Rafael Almeida de Araujo - #SLMF- Segunda Licenciatura Música 1200Horas 1</v>
      </c>
    </row>
    <row r="6296">
      <c r="A6296" s="390" t="str">
        <f>IFERROR(__xludf.DUMMYFUNCTION("""COMPUTED_VALUE"""),"Suellen dos Santos de Araújo - Formação Livre em Psicanálise-2022")</f>
        <v>Suellen dos Santos de Araújo - Formação Livre em Psicanálise-2022</v>
      </c>
    </row>
    <row r="6297">
      <c r="A6297" s="390" t="str">
        <f>IFERROR(__xludf.DUMMYFUNCTION("""COMPUTED_VALUE"""),"Renato Martins Lopes - #SLH+1- Segunda Licenciatura em História")</f>
        <v>Renato Martins Lopes - #SLH+1- Segunda Licenciatura em História</v>
      </c>
    </row>
    <row r="6298">
      <c r="A6298" s="390" t="str">
        <f>IFERROR(__xludf.DUMMYFUNCTION("""COMPUTED_VALUE"""),"Renato Martins Lopes - Pós-Graduação em Gestão Escolar Integradora com Ênfase em Supervisão, Orientação, Administração e Inspeção 870Horas")</f>
        <v>Renato Martins Lopes - Pós-Graduação em Gestão Escolar Integradora com Ênfase em Supervisão, Orientação, Administração e Inspeção 870Horas</v>
      </c>
    </row>
    <row r="6299">
      <c r="A6299" s="390" t="str">
        <f>IFERROR(__xludf.DUMMYFUNCTION("""COMPUTED_VALUE"""),"Clodomir Barros Pereira Júnior - FORMAÇÃO PEDAGÓGICA EM MÚSICA - 2024")</f>
        <v>Clodomir Barros Pereira Júnior - FORMAÇÃO PEDAGÓGICA EM MÚSICA - 2024</v>
      </c>
    </row>
    <row r="6300">
      <c r="A6300" s="390" t="str">
        <f>IFERROR(__xludf.DUMMYFUNCTION("""COMPUTED_VALUE"""),"Ana Lúcia Moreira Gonçalves - SEGUNDA LICENCIATURA EM MÚSICA - 2024")</f>
        <v>Ana Lúcia Moreira Gonçalves - SEGUNDA LICENCIATURA EM MÚSICA - 2024</v>
      </c>
    </row>
    <row r="6301">
      <c r="A6301" s="390" t="str">
        <f>IFERROR(__xludf.DUMMYFUNCTION("""COMPUTED_VALUE"""),"Ana Lúcia Moreira Gonçalves - SEGUNDA LICENCIATURA EM MÚSICA - 2024")</f>
        <v>Ana Lúcia Moreira Gonçalves - SEGUNDA LICENCIATURA EM MÚSICA - 2024</v>
      </c>
    </row>
    <row r="6302">
      <c r="A6302" s="390" t="str">
        <f>IFERROR(__xludf.DUMMYFUNCTION("""COMPUTED_VALUE"""),"Lucia Maria - PÓS-GRADUAÇÃO EM PSICANÁLISE - 2024")</f>
        <v>Lucia Maria - PÓS-GRADUAÇÃO EM PSICANÁLISE - 2024</v>
      </c>
    </row>
    <row r="6303">
      <c r="A6303" s="390" t="str">
        <f>IFERROR(__xludf.DUMMYFUNCTION("""COMPUTED_VALUE"""),"Lucia Maria - SEGUNDA LICENCIATURA PEDAGOGIA - 2024")</f>
        <v>Lucia Maria - SEGUNDA LICENCIATURA PEDAGOGIA - 2024</v>
      </c>
    </row>
    <row r="6304">
      <c r="A6304" s="390" t="str">
        <f>IFERROR(__xludf.DUMMYFUNCTION("""COMPUTED_VALUE"""),"Lucia Maria - #SLHA - Segunda Licenciatura em História")</f>
        <v>Lucia Maria - #SLHA - Segunda Licenciatura em História</v>
      </c>
    </row>
    <row r="6305">
      <c r="A6305" s="390" t="str">
        <f>IFERROR(__xludf.DUMMYFUNCTION("""COMPUTED_VALUE"""),"Lucia Maria - SEGUNDA LICENCIATURA EM MATEMÁTICA - 2024")</f>
        <v>Lucia Maria - SEGUNDA LICENCIATURA EM MATEMÁTICA - 2024</v>
      </c>
    </row>
    <row r="6306">
      <c r="A6306" s="390" t="str">
        <f>IFERROR(__xludf.DUMMYFUNCTION("""COMPUTED_VALUE"""),"Lucia Maria - Pós-Graduação em Educação Física Escolar")</f>
        <v>Lucia Maria - Pós-Graduação em Educação Física Escolar</v>
      </c>
    </row>
    <row r="6307">
      <c r="A6307" s="390" t="str">
        <f>IFERROR(__xludf.DUMMYFUNCTION("""COMPUTED_VALUE"""),"Tiago Norberto Firmino - FORMAÇÃO PEDAGÓGICA EM MÚSICA - 2024")</f>
        <v>Tiago Norberto Firmino - FORMAÇÃO PEDAGÓGICA EM MÚSICA - 2024</v>
      </c>
    </row>
    <row r="6308">
      <c r="A6308" s="390" t="str">
        <f>IFERROR(__xludf.DUMMYFUNCTION("""COMPUTED_VALUE"""),"Tiago Norberto Firmino - FORMAÇÃO PEDAGÓGICA EM MÚSICA - 2024")</f>
        <v>Tiago Norberto Firmino - FORMAÇÃO PEDAGÓGICA EM MÚSICA - 2024</v>
      </c>
    </row>
    <row r="6309">
      <c r="A6309" s="390" t="str">
        <f>IFERROR(__xludf.DUMMYFUNCTION("""COMPUTED_VALUE"""),"Carlos Zalberto Boa Morte Filho - FORMAÇÃO PEDAGÓGICA EM MÚSICA - 2024")</f>
        <v>Carlos Zalberto Boa Morte Filho - FORMAÇÃO PEDAGÓGICA EM MÚSICA - 2024</v>
      </c>
    </row>
    <row r="6310">
      <c r="A6310" s="390" t="str">
        <f>IFERROR(__xludf.DUMMYFUNCTION("""COMPUTED_VALUE"""),"VALMA KARLA PAZ SOBRAL FLORENCIO - SEGUNDA LICENCIATURA PEDAGOGIA - 2024")</f>
        <v>VALMA KARLA PAZ SOBRAL FLORENCIO - SEGUNDA LICENCIATURA PEDAGOGIA - 2024</v>
      </c>
    </row>
    <row r="6311">
      <c r="A6311" s="390" t="str">
        <f>IFERROR(__xludf.DUMMYFUNCTION("""COMPUTED_VALUE"""),"Josiane Aparecida da Cruz Thomazi - Pós-Graduação em Tecnologias Educacionais")</f>
        <v>Josiane Aparecida da Cruz Thomazi - Pós-Graduação em Tecnologias Educacionais</v>
      </c>
    </row>
    <row r="6312">
      <c r="A6312" s="390" t="str">
        <f>IFERROR(__xludf.DUMMYFUNCTION("""COMPUTED_VALUE"""),"Elaine Cristina Franco - FORMAÇÃO LIVRE EM PSICANÁLISE - 2024")</f>
        <v>Elaine Cristina Franco - FORMAÇÃO LIVRE EM PSICANÁLISE - 2024</v>
      </c>
    </row>
    <row r="6313">
      <c r="A6313" s="390" t="str">
        <f>IFERROR(__xludf.DUMMYFUNCTION("""COMPUTED_VALUE"""),"Thaissa Alessandra Melo Soares - SEGUNDA LICENCIATURA EM MATEMÁTICA - 2024")</f>
        <v>Thaissa Alessandra Melo Soares - SEGUNDA LICENCIATURA EM MATEMÁTICA - 2024</v>
      </c>
    </row>
    <row r="6314">
      <c r="A6314" s="390" t="str">
        <f>IFERROR(__xludf.DUMMYFUNCTION("""COMPUTED_VALUE"""),"Thaissa Alessandra Melo Soares - PÓS-GRADUAÇÃO EM PSICANÁLISE - 2024")</f>
        <v>Thaissa Alessandra Melo Soares - PÓS-GRADUAÇÃO EM PSICANÁLISE - 2024</v>
      </c>
    </row>
    <row r="6315">
      <c r="A6315" s="390" t="str">
        <f>IFERROR(__xludf.DUMMYFUNCTION("""COMPUTED_VALUE"""),"Thaissa Alessandra Melo Soares - PÓS-GRADUAÇÃO EM METODOLOGIA DO ENSINO DE ARTES - 2024")</f>
        <v>Thaissa Alessandra Melo Soares - PÓS-GRADUAÇÃO EM METODOLOGIA DO ENSINO DE ARTES - 2024</v>
      </c>
    </row>
    <row r="6316">
      <c r="A6316" s="390" t="str">
        <f>IFERROR(__xludf.DUMMYFUNCTION("""COMPUTED_VALUE"""),"Larissa Shimizo Marchi Braga - #SLP22- Segunda Licenciatura em Pedagogia")</f>
        <v>Larissa Shimizo Marchi Braga - #SLP22- Segunda Licenciatura em Pedagogia</v>
      </c>
    </row>
    <row r="6317">
      <c r="A6317" s="390" t="str">
        <f>IFERROR(__xludf.DUMMYFUNCTION("""COMPUTED_VALUE"""),"Emerson Sousa de Holanda - #SLMF- Segunda Licenciatura Música 1200Horas 1")</f>
        <v>Emerson Sousa de Holanda - #SLMF- Segunda Licenciatura Música 1200Horas 1</v>
      </c>
    </row>
    <row r="6318">
      <c r="A6318" s="390" t="str">
        <f>IFERROR(__xludf.DUMMYFUNCTION("""COMPUTED_VALUE"""),"Roberto Honorato Oliveira dos Remédios - #SLPT- Segunda Licenciatura em Pedagogia")</f>
        <v>Roberto Honorato Oliveira dos Remédios - #SLPT- Segunda Licenciatura em Pedagogia</v>
      </c>
    </row>
    <row r="6319">
      <c r="A6319" s="390" t="str">
        <f>IFERROR(__xludf.DUMMYFUNCTION("""COMPUTED_VALUE"""),"Joelcio Santos Ramos - FORMAÇÃO LIVRE EM PSICANÁLISE - 2024")</f>
        <v>Joelcio Santos Ramos - FORMAÇÃO LIVRE EM PSICANÁLISE - 2024</v>
      </c>
    </row>
    <row r="6320">
      <c r="A6320" s="390" t="str">
        <f>IFERROR(__xludf.DUMMYFUNCTION("""COMPUTED_VALUE"""),"Maria de Fátima Paulo de Araújo - FORMAÇÃO PEDAGÓGICA EM PEDAGOGIA - 2024")</f>
        <v>Maria de Fátima Paulo de Araújo - FORMAÇÃO PEDAGÓGICA EM PEDAGOGIA - 2024</v>
      </c>
    </row>
    <row r="6321">
      <c r="A6321" s="390" t="str">
        <f>IFERROR(__xludf.DUMMYFUNCTION("""COMPUTED_VALUE"""),"Manoel da Cruz dos Santos Aquino - #FPP- Formação Pedagógica em Pedagogia R2")</f>
        <v>Manoel da Cruz dos Santos Aquino - #FPP- Formação Pedagógica em Pedagogia R2</v>
      </c>
    </row>
    <row r="6322">
      <c r="A6322" s="390" t="str">
        <f>IFERROR(__xludf.DUMMYFUNCTION("""COMPUTED_VALUE"""),"Erikson Rodrigues da Silva - Pós-Graduação em Educação Musical-2022")</f>
        <v>Erikson Rodrigues da Silva - Pós-Graduação em Educação Musical-2022</v>
      </c>
    </row>
    <row r="6323">
      <c r="A6323" s="390" t="str">
        <f>IFERROR(__xludf.DUMMYFUNCTION("""COMPUTED_VALUE"""),"EMILYN CRISTINA PALAZZI CHADI - Pós-Graduação em Braille e Libras")</f>
        <v>EMILYN CRISTINA PALAZZI CHADI - Pós-Graduação em Braille e Libras</v>
      </c>
    </row>
    <row r="6324">
      <c r="A6324" s="390" t="str">
        <f>IFERROR(__xludf.DUMMYFUNCTION("""COMPUTED_VALUE"""),"Ana Claudia da Silva Fernandes - Pós-Graduação em Educação Especial 720Horas")</f>
        <v>Ana Claudia da Silva Fernandes - Pós-Graduação em Educação Especial 720Horas</v>
      </c>
    </row>
    <row r="6325">
      <c r="A6325" s="390" t="str">
        <f>IFERROR(__xludf.DUMMYFUNCTION("""COMPUTED_VALUE"""),"ELAINE GOUVEA CABRAL COSTA - #FPP- Formação Pedagógica em Pedagogia R2")</f>
        <v>ELAINE GOUVEA CABRAL COSTA - #FPP- Formação Pedagógica em Pedagogia R2</v>
      </c>
    </row>
    <row r="6326">
      <c r="A6326" s="390" t="str">
        <f>IFERROR(__xludf.DUMMYFUNCTION("""COMPUTED_VALUE"""),"Erisvan da Silva Soares - Pós-Graduação em História e Fundamentos da Filosofia")</f>
        <v>Erisvan da Silva Soares - Pós-Graduação em História e Fundamentos da Filosofia</v>
      </c>
    </row>
    <row r="6327">
      <c r="A6327" s="390" t="str">
        <f>IFERROR(__xludf.DUMMYFUNCTION("""COMPUTED_VALUE"""),"Leonidas Pereira Viana Junior - SEGUNDA LICENCIATURA EM MÚSICA - 2024")</f>
        <v>Leonidas Pereira Viana Junior - SEGUNDA LICENCIATURA EM MÚSICA - 2024</v>
      </c>
    </row>
    <row r="6328">
      <c r="A6328" s="390" t="str">
        <f>IFERROR(__xludf.DUMMYFUNCTION("""COMPUTED_VALUE"""),"Angelita Martignago Carvalho - #SLPT- Segunda Licenciatura em Pedagogia")</f>
        <v>Angelita Martignago Carvalho - #SLPT- Segunda Licenciatura em Pedagogia</v>
      </c>
    </row>
    <row r="6329">
      <c r="A6329" s="390" t="str">
        <f>IFERROR(__xludf.DUMMYFUNCTION("""COMPUTED_VALUE"""),"DENISE XAVIER DE MELO - Pós-Graduação em Gerontologia e Saúde do Idoso")</f>
        <v>DENISE XAVIER DE MELO - Pós-Graduação em Gerontologia e Saúde do Idoso</v>
      </c>
    </row>
    <row r="6330">
      <c r="A6330" s="390" t="str">
        <f>IFERROR(__xludf.DUMMYFUNCTION("""COMPUTED_VALUE"""),"Joice Wochnik de Lima - FORMAÇÃO LIVRE EM PSICANÁLISE - 2024")</f>
        <v>Joice Wochnik de Lima - FORMAÇÃO LIVRE EM PSICANÁLISE - 2024</v>
      </c>
    </row>
    <row r="6331">
      <c r="A6331" s="390" t="str">
        <f>IFERROR(__xludf.DUMMYFUNCTION("""COMPUTED_VALUE"""),"HUCLEMYKA GOMES TOSCANO - SEGUNDA LICENCIATURA EM HISTÓRIA - 2024")</f>
        <v>HUCLEMYKA GOMES TOSCANO - SEGUNDA LICENCIATURA EM HISTÓRIA - 2024</v>
      </c>
    </row>
    <row r="6332">
      <c r="A6332" s="390" t="str">
        <f>IFERROR(__xludf.DUMMYFUNCTION("""COMPUTED_VALUE"""),"Cryslane Nascimento Lopes - PÓS-GRADUAÇÃO EM PSICANÁLISE - 2024")</f>
        <v>Cryslane Nascimento Lopes - PÓS-GRADUAÇÃO EM PSICANÁLISE - 2024</v>
      </c>
    </row>
    <row r="6333">
      <c r="A6333" s="390" t="str">
        <f>IFERROR(__xludf.DUMMYFUNCTION("""COMPUTED_VALUE"""),"Luis Eduardo Kreling Vanzella - FORMAÇÃO PEDAGÓGICA EM PEDAGOGIA - 2024")</f>
        <v>Luis Eduardo Kreling Vanzella - FORMAÇÃO PEDAGÓGICA EM PEDAGOGIA - 2024</v>
      </c>
    </row>
    <row r="6334">
      <c r="A6334" s="390" t="str">
        <f>IFERROR(__xludf.DUMMYFUNCTION("""COMPUTED_VALUE"""),"João Eduardo Marques Salles - #SLEEF- Segunda Licenciatura em Educação Física 770Horas")</f>
        <v>João Eduardo Marques Salles - #SLEEF- Segunda Licenciatura em Educação Física 770Horas</v>
      </c>
    </row>
    <row r="6335">
      <c r="A6335" s="390" t="str">
        <f>IFERROR(__xludf.DUMMYFUNCTION("""COMPUTED_VALUE"""),"Michele Reis Marques - Capacitação em Sexologia")</f>
        <v>Michele Reis Marques - Capacitação em Sexologia</v>
      </c>
    </row>
    <row r="6336">
      <c r="A6336" s="390" t="str">
        <f>IFERROR(__xludf.DUMMYFUNCTION("""COMPUTED_VALUE"""),"Patrícia Alvaristo - #SLPT- Segunda Licenciatura em Pedagogia")</f>
        <v>Patrícia Alvaristo - #SLPT- Segunda Licenciatura em Pedagogia</v>
      </c>
    </row>
    <row r="6337">
      <c r="A6337" s="390" t="str">
        <f>IFERROR(__xludf.DUMMYFUNCTION("""COMPUTED_VALUE"""),"Patrícia Alvaristo - Pós-Graduação em Psicopedagogia Escolar")</f>
        <v>Patrícia Alvaristo - Pós-Graduação em Psicopedagogia Escolar</v>
      </c>
    </row>
    <row r="6338">
      <c r="A6338" s="390" t="str">
        <f>IFERROR(__xludf.DUMMYFUNCTION("""COMPUTED_VALUE"""),"Marcos Fabrício Martins de Souza - #SLEEF- Segunda Licenciatura em Educação Física 770Horas")</f>
        <v>Marcos Fabrício Martins de Souza - #SLEEF- Segunda Licenciatura em Educação Física 770Horas</v>
      </c>
    </row>
    <row r="6339">
      <c r="A6339" s="390" t="str">
        <f>IFERROR(__xludf.DUMMYFUNCTION("""COMPUTED_VALUE"""),"Murilo Monteiro de Moraes - #FPP- Formação Pedagógica em Pedagogia R2")</f>
        <v>Murilo Monteiro de Moraes - #FPP- Formação Pedagógica em Pedagogia R2</v>
      </c>
    </row>
    <row r="6340">
      <c r="A6340" s="390" t="str">
        <f>IFERROR(__xludf.DUMMYFUNCTION("""COMPUTED_VALUE"""),"Murilo Monteiro de Moraes - Pós-Graduação Educação Especial e Inclusiva")</f>
        <v>Murilo Monteiro de Moraes - Pós-Graduação Educação Especial e Inclusiva</v>
      </c>
    </row>
    <row r="6341">
      <c r="A6341" s="390" t="str">
        <f>IFERROR(__xludf.DUMMYFUNCTION("""COMPUTED_VALUE"""),"Carla Luzia Pereira Rocha - PÓS-GRADUAÇÃO EM PSICANÁLISE - 2024")</f>
        <v>Carla Luzia Pereira Rocha - PÓS-GRADUAÇÃO EM PSICANÁLISE - 2024</v>
      </c>
    </row>
    <row r="6342">
      <c r="A6342" s="390" t="str">
        <f>IFERROR(__xludf.DUMMYFUNCTION("""COMPUTED_VALUE"""),"Carla Luzia Pereira Rocha - Novo-Pós-Graduação em Sexologia 800Horas")</f>
        <v>Carla Luzia Pereira Rocha - Novo-Pós-Graduação em Sexologia 800Horas</v>
      </c>
    </row>
    <row r="6343">
      <c r="A6343" s="390" t="str">
        <f>IFERROR(__xludf.DUMMYFUNCTION("""COMPUTED_VALUE"""),"Elisangela Mendonça Morato Da Silva - SEGUNDA LICENCIATURA EM MÚSICA - 2024")</f>
        <v>Elisangela Mendonça Morato Da Silva - SEGUNDA LICENCIATURA EM MÚSICA - 2024</v>
      </c>
    </row>
    <row r="6344">
      <c r="A6344" s="390" t="str">
        <f>IFERROR(__xludf.DUMMYFUNCTION("""COMPUTED_VALUE"""),"Ricardo Pacheco - FORMAÇÃO PEDAGÓGICA EM MÚSICA - 2024")</f>
        <v>Ricardo Pacheco - FORMAÇÃO PEDAGÓGICA EM MÚSICA - 2024</v>
      </c>
    </row>
    <row r="6345">
      <c r="A6345" s="390" t="str">
        <f>IFERROR(__xludf.DUMMYFUNCTION("""COMPUTED_VALUE"""),"Leonardo Inácio Pereira - SEGUNDA LICENCIATURA PEDAGOGIA - 2024")</f>
        <v>Leonardo Inácio Pereira - SEGUNDA LICENCIATURA PEDAGOGIA - 2024</v>
      </c>
    </row>
    <row r="6346">
      <c r="A6346" s="390" t="str">
        <f>IFERROR(__xludf.DUMMYFUNCTION("""COMPUTED_VALUE"""),"Leonardo Inácio Pereira - SEGUNDA LICENCIATURA PEDAGOGIA - 2024")</f>
        <v>Leonardo Inácio Pereira - SEGUNDA LICENCIATURA PEDAGOGIA - 2024</v>
      </c>
    </row>
    <row r="6347">
      <c r="A6347" s="390" t="str">
        <f>IFERROR(__xludf.DUMMYFUNCTION("""COMPUTED_VALUE"""),"Kamila Santos de Araujo - FORMAÇÃO PEDAGÓGICA EM SOCIOLOGIA - 2024")</f>
        <v>Kamila Santos de Araujo - FORMAÇÃO PEDAGÓGICA EM SOCIOLOGIA - 2024</v>
      </c>
    </row>
    <row r="6348">
      <c r="A6348" s="390" t="str">
        <f>IFERROR(__xludf.DUMMYFUNCTION("""COMPUTED_VALUE"""),"Roberta Cristina Garcia Nose - #FPP- Formação Pedagógica em Pedagogia R2")</f>
        <v>Roberta Cristina Garcia Nose - #FPP- Formação Pedagógica em Pedagogia R2</v>
      </c>
    </row>
    <row r="6349">
      <c r="A6349" s="390" t="str">
        <f>IFERROR(__xludf.DUMMYFUNCTION("""COMPUTED_VALUE"""),"Merlia Helen Faustino da Silva - Formação Livre em Música")</f>
        <v>Merlia Helen Faustino da Silva - Formação Livre em Música</v>
      </c>
    </row>
    <row r="6350">
      <c r="A6350" s="390" t="str">
        <f>IFERROR(__xludf.DUMMYFUNCTION("""COMPUTED_VALUE"""),"Shirley Aparecida Lebron Bichara - Pós-Graduação em Neuropsicopedagogia Institucional, Clínica e Hospitalar 850h")</f>
        <v>Shirley Aparecida Lebron Bichara - Pós-Graduação em Neuropsicopedagogia Institucional, Clínica e Hospitalar 850h</v>
      </c>
    </row>
    <row r="6351">
      <c r="A6351" s="390" t="str">
        <f>IFERROR(__xludf.DUMMYFUNCTION("""COMPUTED_VALUE"""),"Islene Soares de Souza - #SLPA- Segunda Licenciatura em Pedagogia 01")</f>
        <v>Islene Soares de Souza - #SLPA- Segunda Licenciatura em Pedagogia 01</v>
      </c>
    </row>
    <row r="6352">
      <c r="A6352" s="390" t="str">
        <f>IFERROR(__xludf.DUMMYFUNCTION("""COMPUTED_VALUE"""),"Islene Soares de Souza - PÓS-GRADUAÇÃO EM METODOLOGIA DO ENSINO DE ARTES - 2024")</f>
        <v>Islene Soares de Souza - PÓS-GRADUAÇÃO EM METODOLOGIA DO ENSINO DE ARTES - 2024</v>
      </c>
    </row>
    <row r="6353">
      <c r="A6353" s="390" t="str">
        <f>IFERROR(__xludf.DUMMYFUNCTION("""COMPUTED_VALUE"""),"Caroline Menescal Braga Itabaiana Nicolau - SEGUNDA LICENCIATURA EM LETRAS PORTUGUÊS / ESPANHOL - 2024")</f>
        <v>Caroline Menescal Braga Itabaiana Nicolau - SEGUNDA LICENCIATURA EM LETRAS PORTUGUÊS / ESPANHOL - 2024</v>
      </c>
    </row>
    <row r="6354">
      <c r="A6354" s="390" t="str">
        <f>IFERROR(__xludf.DUMMYFUNCTION("""COMPUTED_VALUE"""),"Marcos José Ferreira - SEGUNDA LICENCIATURA EM MÚSICA - 2024")</f>
        <v>Marcos José Ferreira - SEGUNDA LICENCIATURA EM MÚSICA - 2024</v>
      </c>
    </row>
    <row r="6355">
      <c r="A6355" s="390" t="str">
        <f>IFERROR(__xludf.DUMMYFUNCTION("""COMPUTED_VALUE"""),"Raquel Gonçalves de Lima - FORMAÇÃO PEDAGÓGICA EM MÚSICA - 2024")</f>
        <v>Raquel Gonçalves de Lima - FORMAÇÃO PEDAGÓGICA EM MÚSICA - 2024</v>
      </c>
    </row>
    <row r="6356">
      <c r="A6356" s="390" t="str">
        <f>IFERROR(__xludf.DUMMYFUNCTION("""COMPUTED_VALUE"""),"RENATA TAVARES DE LEMOS - RADIANTE CENTRO EDUCACIONAL - Pós-Graduação em Enfermagem em Oncológica")</f>
        <v>RENATA TAVARES DE LEMOS - RADIANTE CENTRO EDUCACIONAL - Pós-Graduação em Enfermagem em Oncológica</v>
      </c>
    </row>
    <row r="6357">
      <c r="A6357" s="390" t="str">
        <f>IFERROR(__xludf.DUMMYFUNCTION("""COMPUTED_VALUE"""),"Daniel de Carvalho Rosa - #FPMF- Formação Pedagógica em Música 2022")</f>
        <v>Daniel de Carvalho Rosa - #FPMF- Formação Pedagógica em Música 2022</v>
      </c>
    </row>
    <row r="6358">
      <c r="A6358" s="390" t="str">
        <f>IFERROR(__xludf.DUMMYFUNCTION("""COMPUTED_VALUE"""),"Estevão Marcel de Almeida Condor - #FPM+ Formação Pedagógica em Matemática-760 Horas")</f>
        <v>Estevão Marcel de Almeida Condor - #FPM+ Formação Pedagógica em Matemática-760 Horas</v>
      </c>
    </row>
    <row r="6359">
      <c r="A6359" s="390" t="str">
        <f>IFERROR(__xludf.DUMMYFUNCTION("""COMPUTED_VALUE"""),"Estevão Marcel de Almeida Condor - #FPM+ Formação Pedagógica em Matemática-760 Horas")</f>
        <v>Estevão Marcel de Almeida Condor - #FPM+ Formação Pedagógica em Matemática-760 Horas</v>
      </c>
    </row>
    <row r="6360">
      <c r="A6360" s="390" t="str">
        <f>IFERROR(__xludf.DUMMYFUNCTION("""COMPUTED_VALUE"""),"Cleonice Migriorini - #SLMF - Segunda Licenciatura em Música 1320Horas")</f>
        <v>Cleonice Migriorini - #SLMF - Segunda Licenciatura em Música 1320Horas</v>
      </c>
    </row>
    <row r="6361">
      <c r="A6361" s="390" t="str">
        <f>IFERROR(__xludf.DUMMYFUNCTION("""COMPUTED_VALUE"""),"Cleonice Migriorini - #SLMF - Segunda Licenciatura em Música 1320Horas")</f>
        <v>Cleonice Migriorini - #SLMF - Segunda Licenciatura em Música 1320Horas</v>
      </c>
    </row>
    <row r="6362">
      <c r="A6362" s="390" t="str">
        <f>IFERROR(__xludf.DUMMYFUNCTION("""COMPUTED_VALUE"""),"Cleonice Migriorini - #SLMF - Segunda Licenciatura em Música 1320Horas")</f>
        <v>Cleonice Migriorini - #SLMF - Segunda Licenciatura em Música 1320Horas</v>
      </c>
    </row>
    <row r="6363">
      <c r="A6363" s="390" t="str">
        <f>IFERROR(__xludf.DUMMYFUNCTION("""COMPUTED_VALUE"""),"James Mendonça Lira - PÓS-GRADUAÇÃO EM PSICANÁLISE - 2024")</f>
        <v>James Mendonça Lira - PÓS-GRADUAÇÃO EM PSICANÁLISE - 2024</v>
      </c>
    </row>
    <row r="6364">
      <c r="A6364" s="390" t="str">
        <f>IFERROR(__xludf.DUMMYFUNCTION("""COMPUTED_VALUE"""),"Fabiana Reissinger Teixeira - Novo-Pós-Graduação em Sexologia 800Horas")</f>
        <v>Fabiana Reissinger Teixeira - Novo-Pós-Graduação em Sexologia 800Horas</v>
      </c>
    </row>
    <row r="6365">
      <c r="A6365" s="390" t="str">
        <f>IFERROR(__xludf.DUMMYFUNCTION("""COMPUTED_VALUE"""),"Luis Anntonio - Pós-Graduação em Arteterapia")</f>
        <v>Luis Anntonio - Pós-Graduação em Arteterapia</v>
      </c>
    </row>
    <row r="6366">
      <c r="A6366" s="390" t="str">
        <f>IFERROR(__xludf.DUMMYFUNCTION("""COMPUTED_VALUE"""),"zilda de oliveira - SEGUNDA LICENCIATURA EM LETRAS PORTUGUÊS / INGLÊS - 2024")</f>
        <v>zilda de oliveira - SEGUNDA LICENCIATURA EM LETRAS PORTUGUÊS / INGLÊS - 2024</v>
      </c>
    </row>
    <row r="6367">
      <c r="A6367" s="390" t="str">
        <f>IFERROR(__xludf.DUMMYFUNCTION("""COMPUTED_VALUE"""),"ERICON MOURA DE JESUS - SEGUNDA LICENCIATURA EM MÚSICA - 2024")</f>
        <v>ERICON MOURA DE JESUS - SEGUNDA LICENCIATURA EM MÚSICA - 2024</v>
      </c>
    </row>
    <row r="6368">
      <c r="A6368" s="390" t="str">
        <f>IFERROR(__xludf.DUMMYFUNCTION("""COMPUTED_VALUE"""),"ERICON MOURA DE JESUS - Pós-Graduação em Educação Musical")</f>
        <v>ERICON MOURA DE JESUS - Pós-Graduação em Educação Musical</v>
      </c>
    </row>
    <row r="6369">
      <c r="A6369" s="390" t="str">
        <f>IFERROR(__xludf.DUMMYFUNCTION("""COMPUTED_VALUE"""),"Maria Sara Alves Reis Ferreira - SEGUNDA LICENCIATURA EM MÚSICA - 2024")</f>
        <v>Maria Sara Alves Reis Ferreira - SEGUNDA LICENCIATURA EM MÚSICA - 2024</v>
      </c>
    </row>
    <row r="6370">
      <c r="A6370" s="390" t="str">
        <f>IFERROR(__xludf.DUMMYFUNCTION("""COMPUTED_VALUE"""),"Valdete Silva Dornelas - RADIANTE CENTRO EDUCACIONAL - Pós-Graduação em Braille e Libras")</f>
        <v>Valdete Silva Dornelas - RADIANTE CENTRO EDUCACIONAL - Pós-Graduação em Braille e Libras</v>
      </c>
    </row>
    <row r="6371">
      <c r="A6371" s="390" t="str">
        <f>IFERROR(__xludf.DUMMYFUNCTION("""COMPUTED_VALUE"""),"Herbert Azevedo Mendes - SEGUNDA LICENCIATURA EM EDUCAÇÃO FÍSICA - 2024")</f>
        <v>Herbert Azevedo Mendes - SEGUNDA LICENCIATURA EM EDUCAÇÃO FÍSICA - 2024</v>
      </c>
    </row>
    <row r="6372">
      <c r="A6372" s="390" t="str">
        <f>IFERROR(__xludf.DUMMYFUNCTION("""COMPUTED_VALUE"""),"Alexandra dos Santos Bento - Pós-Graduação em Neuropsicopedagogia Institucional, Clínica e Hospitalar 850h")</f>
        <v>Alexandra dos Santos Bento - Pós-Graduação em Neuropsicopedagogia Institucional, Clínica e Hospitalar 850h</v>
      </c>
    </row>
    <row r="6373">
      <c r="A6373" s="390" t="str">
        <f>IFERROR(__xludf.DUMMYFUNCTION("""COMPUTED_VALUE"""),"Reila Regia da Silva - #SLMF- Segunda Licenciatura Música 1200Horas 1")</f>
        <v>Reila Regia da Silva - #SLMF- Segunda Licenciatura Música 1200Horas 1</v>
      </c>
    </row>
    <row r="6374">
      <c r="A6374" s="390" t="str">
        <f>IFERROR(__xludf.DUMMYFUNCTION("""COMPUTED_VALUE"""),"Reila Regia da Silva - #SLMF- Segunda Licenciatura em Música 2022 880Horas")</f>
        <v>Reila Regia da Silva - #SLMF- Segunda Licenciatura em Música 2022 880Horas</v>
      </c>
    </row>
    <row r="6375">
      <c r="A6375" s="390" t="str">
        <f>IFERROR(__xludf.DUMMYFUNCTION("""COMPUTED_VALUE"""),"James Mendonça Lira - FORMAÇÃO LIVRE EM TERAPIA COGNITIVO COMPORTAMENTAL - 2024")</f>
        <v>James Mendonça Lira - FORMAÇÃO LIVRE EM TERAPIA COGNITIVO COMPORTAMENTAL - 2024</v>
      </c>
    </row>
    <row r="6376">
      <c r="A6376" s="390" t="str">
        <f>IFERROR(__xludf.DUMMYFUNCTION("""COMPUTED_VALUE"""),"Luziene Zucolotto Honorato - Novo-Pós-Graduação em Sexologia 800Horas")</f>
        <v>Luziene Zucolotto Honorato - Novo-Pós-Graduação em Sexologia 800Horas</v>
      </c>
    </row>
    <row r="6377">
      <c r="A6377" s="390" t="str">
        <f>IFERROR(__xludf.DUMMYFUNCTION("""COMPUTED_VALUE"""),"Kamila pereira da Silva - FORMAÇÃO LIVRE EM TERAPIA COGNITIVO COMPORTAMENTAL - 2024")</f>
        <v>Kamila pereira da Silva - FORMAÇÃO LIVRE EM TERAPIA COGNITIVO COMPORTAMENTAL - 2024</v>
      </c>
    </row>
    <row r="6378">
      <c r="A6378" s="390" t="str">
        <f>IFERROR(__xludf.DUMMYFUNCTION("""COMPUTED_VALUE"""),"Evelin De Oliveira Freixo - FORMAÇÃO LIVRE EM PSICANÁLISE - 2024")</f>
        <v>Evelin De Oliveira Freixo - FORMAÇÃO LIVRE EM PSICANÁLISE - 2024</v>
      </c>
    </row>
    <row r="6379">
      <c r="A6379" s="390" t="str">
        <f>IFERROR(__xludf.DUMMYFUNCTION("""COMPUTED_VALUE"""),"Mônica Leal Rodrigues da Silva - SEGUNDA LICENCIATURA EM MÚSICA - 2024")</f>
        <v>Mônica Leal Rodrigues da Silva - SEGUNDA LICENCIATURA EM MÚSICA - 2024</v>
      </c>
    </row>
    <row r="6380">
      <c r="A6380" s="390" t="str">
        <f>IFERROR(__xludf.DUMMYFUNCTION("""COMPUTED_VALUE"""),"Mônica Leal Rodrigues da Silva - SEGUNDA LICENCIATURA EM MÚSICA - 2024")</f>
        <v>Mônica Leal Rodrigues da Silva - SEGUNDA LICENCIATURA EM MÚSICA - 2024</v>
      </c>
    </row>
    <row r="6381">
      <c r="A6381" s="390" t="str">
        <f>IFERROR(__xludf.DUMMYFUNCTION("""COMPUTED_VALUE"""),"Mônica Leal Rodrigues da Silva - SEGUNDA LICENCIATURA EM MÚSICA - 2024")</f>
        <v>Mônica Leal Rodrigues da Silva - SEGUNDA LICENCIATURA EM MÚSICA - 2024</v>
      </c>
    </row>
    <row r="6382">
      <c r="A6382" s="390" t="str">
        <f>IFERROR(__xludf.DUMMYFUNCTION("""COMPUTED_VALUE"""),"Evanine Borges Pizani - FORMAÇÃO PEDAGÓGICA EM MÚSICA - 2024")</f>
        <v>Evanine Borges Pizani - FORMAÇÃO PEDAGÓGICA EM MÚSICA - 2024</v>
      </c>
    </row>
    <row r="6383">
      <c r="A6383" s="390" t="str">
        <f>IFERROR(__xludf.DUMMYFUNCTION("""COMPUTED_VALUE"""),"Udson Guerra - FORMAÇÃO PEDAGÓGICA EM MÚSICA - 2024")</f>
        <v>Udson Guerra - FORMAÇÃO PEDAGÓGICA EM MÚSICA - 2024</v>
      </c>
    </row>
    <row r="6384">
      <c r="A6384" s="390" t="str">
        <f>IFERROR(__xludf.DUMMYFUNCTION("""COMPUTED_VALUE"""),"Udson Guerra - PÓS-GRADUAÇÃO EM MUSICOTERAPIA-2022")</f>
        <v>Udson Guerra - PÓS-GRADUAÇÃO EM MUSICOTERAPIA-2022</v>
      </c>
    </row>
    <row r="6385">
      <c r="A6385" s="390" t="str">
        <f>IFERROR(__xludf.DUMMYFUNCTION("""COMPUTED_VALUE"""),"Daniel Felipe Meurer - RADIANTE CENTRO EDUCACIONAL - PÓS-GRADUAÇÃO EM METODOLOGIAS ATIVAS E TECNOLOGIAS EDUCACIONAIS - 2024")</f>
        <v>Daniel Felipe Meurer - RADIANTE CENTRO EDUCACIONAL - PÓS-GRADUAÇÃO EM METODOLOGIAS ATIVAS E TECNOLOGIAS EDUCACIONAIS - 2024</v>
      </c>
    </row>
    <row r="6386">
      <c r="A6386" s="390" t="str">
        <f>IFERROR(__xludf.DUMMYFUNCTION("""COMPUTED_VALUE"""),"Guilherme Ferreira Pereira - Pós-Graduação em SEXUALIDADE E PSICOLOGIA 580h")</f>
        <v>Guilherme Ferreira Pereira - Pós-Graduação em SEXUALIDADE E PSICOLOGIA 580h</v>
      </c>
    </row>
    <row r="6387">
      <c r="A6387" s="390" t="str">
        <f>IFERROR(__xludf.DUMMYFUNCTION("""COMPUTED_VALUE"""),"Guilherme Ferreira Pereira - Pós-Graduação em Metodologia do Ensino de Filosofia e Sociologia")</f>
        <v>Guilherme Ferreira Pereira - Pós-Graduação em Metodologia do Ensino de Filosofia e Sociologia</v>
      </c>
    </row>
    <row r="6388">
      <c r="A6388" s="390" t="str">
        <f>IFERROR(__xludf.DUMMYFUNCTION("""COMPUTED_VALUE"""),"Guilherme Ferreira Pereira - Pós-Graduação Fundamentos e Ensinamentos da Filosofia, Sociologia e Antropologia")</f>
        <v>Guilherme Ferreira Pereira - Pós-Graduação Fundamentos e Ensinamentos da Filosofia, Sociologia e Antropologia</v>
      </c>
    </row>
    <row r="6389">
      <c r="A6389" s="390" t="str">
        <f>IFERROR(__xludf.DUMMYFUNCTION("""COMPUTED_VALUE"""),"Leticia Guimaraes Silva - RADIANTE CENTRO EDUCACIONAL - Pós-Graduação em Metodologia do Ensino de Língua Inglesa")</f>
        <v>Leticia Guimaraes Silva - RADIANTE CENTRO EDUCACIONAL - Pós-Graduação em Metodologia do Ensino de Língua Inglesa</v>
      </c>
    </row>
    <row r="6390">
      <c r="A6390" s="390" t="str">
        <f>IFERROR(__xludf.DUMMYFUNCTION("""COMPUTED_VALUE"""),"Leticia Guimaraes Silva - RADIANTE CENTRO EDUCACIONAL - Pós-Graduação em Neuropsicopedagogia")</f>
        <v>Leticia Guimaraes Silva - RADIANTE CENTRO EDUCACIONAL - Pós-Graduação em Neuropsicopedagogia</v>
      </c>
    </row>
    <row r="6391">
      <c r="A6391" s="390" t="str">
        <f>IFERROR(__xludf.DUMMYFUNCTION("""COMPUTED_VALUE"""),"Edvan Moreira dos Santos - SEGUNDA LICENCIATURA EM MÚSICA - 2024")</f>
        <v>Edvan Moreira dos Santos - SEGUNDA LICENCIATURA EM MÚSICA - 2024</v>
      </c>
    </row>
    <row r="6392">
      <c r="A6392" s="390" t="str">
        <f>IFERROR(__xludf.DUMMYFUNCTION("""COMPUTED_VALUE"""),"Jean Costa Santos - FORMAÇÃO PEDAGÓGICA EM MÚSICA - 2024")</f>
        <v>Jean Costa Santos - FORMAÇÃO PEDAGÓGICA EM MÚSICA - 2024</v>
      </c>
    </row>
    <row r="6393">
      <c r="A6393" s="390" t="str">
        <f>IFERROR(__xludf.DUMMYFUNCTION("""COMPUTED_VALUE"""),"Diêgo Rodrigues Victor - #FPMF- Formação Pedagógica em Música 2022")</f>
        <v>Diêgo Rodrigues Victor - #FPMF- Formação Pedagógica em Música 2022</v>
      </c>
    </row>
    <row r="6394">
      <c r="A6394" s="390" t="str">
        <f>IFERROR(__xludf.DUMMYFUNCTION("""COMPUTED_VALUE"""),"Thays Alves Rodrigues Menezes - FORMAÇÃO PEDAGÓGICA EM PEDAGOGIA - 2024")</f>
        <v>Thays Alves Rodrigues Menezes - FORMAÇÃO PEDAGÓGICA EM PEDAGOGIA - 2024</v>
      </c>
    </row>
    <row r="6395">
      <c r="A6395" s="390" t="str">
        <f>IFERROR(__xludf.DUMMYFUNCTION("""COMPUTED_VALUE"""),"Thays Alves Rodrigues Menezes - FORMAÇÃO PEDAGÓGICA EM GEOGRAFIA - 2024")</f>
        <v>Thays Alves Rodrigues Menezes - FORMAÇÃO PEDAGÓGICA EM GEOGRAFIA - 2024</v>
      </c>
    </row>
    <row r="6396">
      <c r="A6396" s="390" t="str">
        <f>IFERROR(__xludf.DUMMYFUNCTION("""COMPUTED_VALUE"""),"Thays Alves Rodrigues Menezes - Pós-Graduação em Atendimento Educacional Especializado Com Ênfase Em Educação Especial e Inclusiva")</f>
        <v>Thays Alves Rodrigues Menezes - Pós-Graduação em Atendimento Educacional Especializado Com Ênfase Em Educação Especial e Inclusiva</v>
      </c>
    </row>
    <row r="6397">
      <c r="A6397" s="390" t="str">
        <f>IFERROR(__xludf.DUMMYFUNCTION("""COMPUTED_VALUE"""),"Thays Alves Rodrigues Menezes - Pós-Graduação em Atendimento Educacional Especializado Com Ênfase Em Educação Especial e Inclusiva")</f>
        <v>Thays Alves Rodrigues Menezes - Pós-Graduação em Atendimento Educacional Especializado Com Ênfase Em Educação Especial e Inclusiva</v>
      </c>
    </row>
    <row r="6398">
      <c r="A6398" s="390" t="str">
        <f>IFERROR(__xludf.DUMMYFUNCTION("""COMPUTED_VALUE"""),"Thays Alves Rodrigues Menezes - FORMAÇÃO PEDAGÓGICA EM GEOGRAFIA - 2024")</f>
        <v>Thays Alves Rodrigues Menezes - FORMAÇÃO PEDAGÓGICA EM GEOGRAFIA - 2024</v>
      </c>
    </row>
    <row r="6399">
      <c r="A6399" s="390" t="str">
        <f>IFERROR(__xludf.DUMMYFUNCTION("""COMPUTED_VALUE"""),"Ingrid Monteiro Nunes dos Santos - #SLPT- Segunda Licenciatura em Pedagogia")</f>
        <v>Ingrid Monteiro Nunes dos Santos - #SLPT- Segunda Licenciatura em Pedagogia</v>
      </c>
    </row>
    <row r="6400">
      <c r="A6400" s="390" t="str">
        <f>IFERROR(__xludf.DUMMYFUNCTION("""COMPUTED_VALUE"""),"Eudna Lúcia De Assis Dos Santos - #SLPT- Segunda Licenciatura em Pedagogia")</f>
        <v>Eudna Lúcia De Assis Dos Santos - #SLPT- Segunda Licenciatura em Pedagogia</v>
      </c>
    </row>
    <row r="6401">
      <c r="A6401" s="390" t="str">
        <f>IFERROR(__xludf.DUMMYFUNCTION("""COMPUTED_VALUE"""),"Waltineia souza - SEGUNDA LICENCIATURA PEDAGOGIA - 2024")</f>
        <v>Waltineia souza - SEGUNDA LICENCIATURA PEDAGOGIA - 2024</v>
      </c>
    </row>
    <row r="6402">
      <c r="A6402" s="390" t="str">
        <f>IFERROR(__xludf.DUMMYFUNCTION("""COMPUTED_VALUE"""),"Waltineia souza - SEGUNDA LICENCIATURA PEDAGOGIA - 2024")</f>
        <v>Waltineia souza - SEGUNDA LICENCIATURA PEDAGOGIA - 2024</v>
      </c>
    </row>
    <row r="6403">
      <c r="A6403" s="390" t="str">
        <f>IFERROR(__xludf.DUMMYFUNCTION("""COMPUTED_VALUE"""),"Lilian Bela de Almeida Passos - NOVO-Pós-Graduação em Psicanálise 800 Horas")</f>
        <v>Lilian Bela de Almeida Passos - NOVO-Pós-Graduação em Psicanálise 800 Horas</v>
      </c>
    </row>
    <row r="6404">
      <c r="A6404" s="390" t="str">
        <f>IFERROR(__xludf.DUMMYFUNCTION("""COMPUTED_VALUE"""),"Fabiani Da Costa Cruz - RADIANTE CENTRO EDUCACIONAL - Pós-Graduação em Letras com Ênfase em Linguística")</f>
        <v>Fabiani Da Costa Cruz - RADIANTE CENTRO EDUCACIONAL - Pós-Graduação em Letras com Ênfase em Linguística</v>
      </c>
    </row>
    <row r="6405">
      <c r="A6405" s="390" t="str">
        <f>IFERROR(__xludf.DUMMYFUNCTION("""COMPUTED_VALUE"""),"Joyce Valeria Stangler de Boer - Pós-Graduação em Terapia em ABA- Análise do Comportamento Aplicada")</f>
        <v>Joyce Valeria Stangler de Boer - Pós-Graduação em Terapia em ABA- Análise do Comportamento Aplicada</v>
      </c>
    </row>
    <row r="6406">
      <c r="A6406" s="390" t="str">
        <f>IFERROR(__xludf.DUMMYFUNCTION("""COMPUTED_VALUE"""),"Joyce Valeria Stangler de Boer - Pós-Graduação em TDAH – Transtorno do Déficit de Atenção e Hiperatividade")</f>
        <v>Joyce Valeria Stangler de Boer - Pós-Graduação em TDAH – Transtorno do Déficit de Atenção e Hiperatividade</v>
      </c>
    </row>
    <row r="6407">
      <c r="A6407" s="390" t="str">
        <f>IFERROR(__xludf.DUMMYFUNCTION("""COMPUTED_VALUE"""),"Thiago Rezende Bravo - FORMAÇÃO PEDAGÓGICA EM MÚSICA - 2024")</f>
        <v>Thiago Rezende Bravo - FORMAÇÃO PEDAGÓGICA EM MÚSICA - 2024</v>
      </c>
    </row>
    <row r="6408">
      <c r="A6408" s="390" t="str">
        <f>IFERROR(__xludf.DUMMYFUNCTION("""COMPUTED_VALUE"""),"Silma Gonçalves de Melo - #SLP22- Segunda Licenciatura em Pedagogia")</f>
        <v>Silma Gonçalves de Melo - #SLP22- Segunda Licenciatura em Pedagogia</v>
      </c>
    </row>
    <row r="6409">
      <c r="A6409" s="390" t="str">
        <f>IFERROR(__xludf.DUMMYFUNCTION("""COMPUTED_VALUE"""),"Werber Carlos da Silveira Freitas - Pós-Graduação em Autismo 1100 Horas")</f>
        <v>Werber Carlos da Silveira Freitas - Pós-Graduação em Autismo 1100 Horas</v>
      </c>
    </row>
    <row r="6410">
      <c r="A6410" s="390" t="str">
        <f>IFERROR(__xludf.DUMMYFUNCTION("""COMPUTED_VALUE"""),"Mirielza Silva de Lima - SEGUNDA LICENCIATURA EM GEOGRAFIA - 2024")</f>
        <v>Mirielza Silva de Lima - SEGUNDA LICENCIATURA EM GEOGRAFIA - 2024</v>
      </c>
    </row>
    <row r="6411">
      <c r="A6411" s="390" t="str">
        <f>IFERROR(__xludf.DUMMYFUNCTION("""COMPUTED_VALUE"""),"Mirielza Silva de Lima - Pós-Graduação em Educação Especial 720Horas")</f>
        <v>Mirielza Silva de Lima - Pós-Graduação em Educação Especial 720Horas</v>
      </c>
    </row>
    <row r="6412">
      <c r="A6412" s="390" t="str">
        <f>IFERROR(__xludf.DUMMYFUNCTION("""COMPUTED_VALUE"""),"Jackson Luiz Henrique - SEGUNDA LICENCIATURA EM EDUCAÇÃO FÍSICA - 2024")</f>
        <v>Jackson Luiz Henrique - SEGUNDA LICENCIATURA EM EDUCAÇÃO FÍSICA - 2024</v>
      </c>
    </row>
    <row r="6413">
      <c r="A6413" s="390" t="str">
        <f>IFERROR(__xludf.DUMMYFUNCTION("""COMPUTED_VALUE"""),"Ana Paula de Araújo Rodrigues Vieira Lima - #SLPT- Segunda Licenciatura em Pedagogia")</f>
        <v>Ana Paula de Araújo Rodrigues Vieira Lima - #SLPT- Segunda Licenciatura em Pedagogia</v>
      </c>
    </row>
    <row r="6414">
      <c r="A6414" s="390" t="str">
        <f>IFERROR(__xludf.DUMMYFUNCTION("""COMPUTED_VALUE"""),"Silvia Maria da Rocha Nascimento - PÓS-GRADUAÇÃO EM PSICANÁLISE - 2024")</f>
        <v>Silvia Maria da Rocha Nascimento - PÓS-GRADUAÇÃO EM PSICANÁLISE - 2024</v>
      </c>
    </row>
    <row r="6415">
      <c r="A6415" s="390" t="str">
        <f>IFERROR(__xludf.DUMMYFUNCTION("""COMPUTED_VALUE"""),"RENATA FREITAS DE OLIVEIRA BITAR - SEGUNDA LICENCIATURA EM HISTÓRIA - 2024")</f>
        <v>RENATA FREITAS DE OLIVEIRA BITAR - SEGUNDA LICENCIATURA EM HISTÓRIA - 2024</v>
      </c>
    </row>
    <row r="6416">
      <c r="A6416" s="390" t="str">
        <f>IFERROR(__xludf.DUMMYFUNCTION("""COMPUTED_VALUE"""),"Diogo Reis Vieira - FORMAÇÃO PEDAGÓGICA EM MÚSICA - 2024")</f>
        <v>Diogo Reis Vieira - FORMAÇÃO PEDAGÓGICA EM MÚSICA - 2024</v>
      </c>
    </row>
    <row r="6417">
      <c r="A6417" s="390" t="str">
        <f>IFERROR(__xludf.DUMMYFUNCTION("""COMPUTED_VALUE"""),"Diogo Reis Vieira - PÓS-GRADUAÇÃO EM DIREITO DE FAMÍLIA E SUCESSÕES - 2024")</f>
        <v>Diogo Reis Vieira - PÓS-GRADUAÇÃO EM DIREITO DE FAMÍLIA E SUCESSÕES - 2024</v>
      </c>
    </row>
    <row r="6418">
      <c r="A6418" s="390" t="str">
        <f>IFERROR(__xludf.DUMMYFUNCTION("""COMPUTED_VALUE"""),"Diogo Reis Vieira - PÓS-GRADUAÇÃO EM DIREITO DE FAMÍLIA E SUCESSÕES - 2024")</f>
        <v>Diogo Reis Vieira - PÓS-GRADUAÇÃO EM DIREITO DE FAMÍLIA E SUCESSÕES - 2024</v>
      </c>
    </row>
    <row r="6419">
      <c r="A6419" s="390" t="str">
        <f>IFERROR(__xludf.DUMMYFUNCTION("""COMPUTED_VALUE"""),"Diogo Reis Vieira - PÓS-GRADUAÇÃO EM DIREITO DE FAMÍLIA E SUCESSÕES - 2024")</f>
        <v>Diogo Reis Vieira - PÓS-GRADUAÇÃO EM DIREITO DE FAMÍLIA E SUCESSÕES - 2024</v>
      </c>
    </row>
    <row r="6420">
      <c r="A6420" s="390" t="str">
        <f>IFERROR(__xludf.DUMMYFUNCTION("""COMPUTED_VALUE"""),"Glaibe Martins de Souza - FORMAÇÃO PEDAGÓGICA EM EDUCAÇÃO FÍSICA - 2024")</f>
        <v>Glaibe Martins de Souza - FORMAÇÃO PEDAGÓGICA EM EDUCAÇÃO FÍSICA - 2024</v>
      </c>
    </row>
    <row r="6421">
      <c r="A6421" s="390" t="str">
        <f>IFERROR(__xludf.DUMMYFUNCTION("""COMPUTED_VALUE"""),"Tania aparecida maximovitsch - FORMAÇÃO LIVRE EM PSICANÁLISE - 2024")</f>
        <v>Tania aparecida maximovitsch - FORMAÇÃO LIVRE EM PSICANÁLISE - 2024</v>
      </c>
    </row>
    <row r="6422">
      <c r="A6422" s="390" t="str">
        <f>IFERROR(__xludf.DUMMYFUNCTION("""COMPUTED_VALUE"""),"Genilsia Neves Cassiano de Moraes - SEGUNDA LICENCIATURA EM MÚSICA - 2024")</f>
        <v>Genilsia Neves Cassiano de Moraes - SEGUNDA LICENCIATURA EM MÚSICA - 2024</v>
      </c>
    </row>
    <row r="6423">
      <c r="A6423" s="390" t="str">
        <f>IFERROR(__xludf.DUMMYFUNCTION("""COMPUTED_VALUE"""),"Cristiane Trivelato da Silva Marcon - #SLMF- Segunda Licenciatura em Música 2022 880Horas")</f>
        <v>Cristiane Trivelato da Silva Marcon - #SLMF- Segunda Licenciatura em Música 2022 880Horas</v>
      </c>
    </row>
    <row r="6424">
      <c r="A6424" s="390" t="str">
        <f>IFERROR(__xludf.DUMMYFUNCTION("""COMPUTED_VALUE"""),"Idailson Viana Balieiro - #FPP- Formação Pedagógica em Pedagogia R2")</f>
        <v>Idailson Viana Balieiro - #FPP- Formação Pedagógica em Pedagogia R2</v>
      </c>
    </row>
    <row r="6425">
      <c r="A6425" s="390" t="str">
        <f>IFERROR(__xludf.DUMMYFUNCTION("""COMPUTED_VALUE"""),"Manoel Olegario de Siqueira Neto - #SLEEF- Segunda Licenciatura em Educação Física 770Horas")</f>
        <v>Manoel Olegario de Siqueira Neto - #SLEEF- Segunda Licenciatura em Educação Física 770Horas</v>
      </c>
    </row>
    <row r="6426">
      <c r="A6426" s="390" t="str">
        <f>IFERROR(__xludf.DUMMYFUNCTION("""COMPUTED_VALUE"""),"Marcelo Cabrini de Campos - PÓS-GRADUAÇÃO EM PSICANÁLISE - 2024")</f>
        <v>Marcelo Cabrini de Campos - PÓS-GRADUAÇÃO EM PSICANÁLISE - 2024</v>
      </c>
    </row>
    <row r="6427">
      <c r="A6427" s="390" t="str">
        <f>IFERROR(__xludf.DUMMYFUNCTION("""COMPUTED_VALUE"""),"Cinthia Ferreira Arcanjo Silva - #SLMF- Segunda Licenciatura Música 1200Horas 1")</f>
        <v>Cinthia Ferreira Arcanjo Silva - #SLMF- Segunda Licenciatura Música 1200Horas 1</v>
      </c>
    </row>
    <row r="6428">
      <c r="A6428" s="390" t="str">
        <f>IFERROR(__xludf.DUMMYFUNCTION("""COMPUTED_VALUE"""),"Adriano Costa de Oliveira Soares - SEGUNDA LICENCIATURA PEDAGOGIA - 2024")</f>
        <v>Adriano Costa de Oliveira Soares - SEGUNDA LICENCIATURA PEDAGOGIA - 2024</v>
      </c>
    </row>
    <row r="6429">
      <c r="A6429" s="390" t="str">
        <f>IFERROR(__xludf.DUMMYFUNCTION("""COMPUTED_VALUE"""),"Luis Lóris dos Santos Lopes - #FPMF- Formação Pedagógica em Música 1200Horas")</f>
        <v>Luis Lóris dos Santos Lopes - #FPMF- Formação Pedagógica em Música 1200Horas</v>
      </c>
    </row>
    <row r="6430">
      <c r="A6430" s="390" t="str">
        <f>IFERROR(__xludf.DUMMYFUNCTION("""COMPUTED_VALUE"""),"Vilson Inácio Reis - SEGUNDA LICENCIATURA EM MÚSICA - 2024")</f>
        <v>Vilson Inácio Reis - SEGUNDA LICENCIATURA EM MÚSICA - 2024</v>
      </c>
    </row>
    <row r="6431">
      <c r="A6431" s="390" t="str">
        <f>IFERROR(__xludf.DUMMYFUNCTION("""COMPUTED_VALUE"""),"HANDERSON BATISTA DE CASTRO - SEGUNDA LICENCIATURA EM MÚSICA - 2024")</f>
        <v>HANDERSON BATISTA DE CASTRO - SEGUNDA LICENCIATURA EM MÚSICA - 2024</v>
      </c>
    </row>
    <row r="6432">
      <c r="A6432" s="390" t="str">
        <f>IFERROR(__xludf.DUMMYFUNCTION("""COMPUTED_VALUE"""),"Angela de Souza Fonseca - RADIANTE CENTRO EDUCACIONAL - Pós-Graduação em Braille e Libras")</f>
        <v>Angela de Souza Fonseca - RADIANTE CENTRO EDUCACIONAL - Pós-Graduação em Braille e Libras</v>
      </c>
    </row>
    <row r="6433">
      <c r="A6433" s="390" t="str">
        <f>IFERROR(__xludf.DUMMYFUNCTION("""COMPUTED_VALUE"""),"Andréa Aparecida Pescara Rabelo - SEGUNDA LICENCIATURA EM ARTES VISUAIS - 2024")</f>
        <v>Andréa Aparecida Pescara Rabelo - SEGUNDA LICENCIATURA EM ARTES VISUAIS - 2024</v>
      </c>
    </row>
    <row r="6434">
      <c r="A6434" s="390" t="str">
        <f>IFERROR(__xludf.DUMMYFUNCTION("""COMPUTED_VALUE"""),"Soraya Maria Vieira de Lima - #FPP- Formação Pedagógica em Pedagogia R2")</f>
        <v>Soraya Maria Vieira de Lima - #FPP- Formação Pedagógica em Pedagogia R2</v>
      </c>
    </row>
    <row r="6435">
      <c r="A6435" s="390" t="str">
        <f>IFERROR(__xludf.DUMMYFUNCTION("""COMPUTED_VALUE"""),"Marcelo Lemos Costa - SEGUNDA LICENCIATURA PEDAGOGIA - 2024")</f>
        <v>Marcelo Lemos Costa - SEGUNDA LICENCIATURA PEDAGOGIA - 2024</v>
      </c>
    </row>
    <row r="6436">
      <c r="A6436" s="390" t="str">
        <f>IFERROR(__xludf.DUMMYFUNCTION("""COMPUTED_VALUE"""),"Marcelo Lemos Costa - Pós-graduação em Gestão Escolar Integradora com Ênfase em Supervisão, Orientação, Administração e Inspeção 740Horas")</f>
        <v>Marcelo Lemos Costa - Pós-graduação em Gestão Escolar Integradora com Ênfase em Supervisão, Orientação, Administração e Inspeção 740Horas</v>
      </c>
    </row>
    <row r="6437">
      <c r="A6437" s="390" t="str">
        <f>IFERROR(__xludf.DUMMYFUNCTION("""COMPUTED_VALUE"""),"Renata Gonzalez Cecato Haddad - Pós-Graduação em Neuropsicopedagogia")</f>
        <v>Renata Gonzalez Cecato Haddad - Pós-Graduação em Neuropsicopedagogia</v>
      </c>
    </row>
    <row r="6438">
      <c r="A6438" s="390" t="str">
        <f>IFERROR(__xludf.DUMMYFUNCTION("""COMPUTED_VALUE"""),"Joarles Oliveira Silva - #FPT1-Pedagogia para Bacharéis e Tecnólogos (2022)")</f>
        <v>Joarles Oliveira Silva - #FPT1-Pedagogia para Bacharéis e Tecnólogos (2022)</v>
      </c>
    </row>
    <row r="6439">
      <c r="A6439" s="390" t="str">
        <f>IFERROR(__xludf.DUMMYFUNCTION("""COMPUTED_VALUE"""),"Marco Diego Krenzlin - FORMAÇÃO PEDAGÓGICA EM EDUCAÇÃO FÍSICA - 2024")</f>
        <v>Marco Diego Krenzlin - FORMAÇÃO PEDAGÓGICA EM EDUCAÇÃO FÍSICA - 2024</v>
      </c>
    </row>
    <row r="6440">
      <c r="A6440" s="390" t="str">
        <f>IFERROR(__xludf.DUMMYFUNCTION("""COMPUTED_VALUE"""),"Marco Diego Krenzlin - Pós-Graduação em Educação Física Escolar")</f>
        <v>Marco Diego Krenzlin - Pós-Graduação em Educação Física Escolar</v>
      </c>
    </row>
    <row r="6441">
      <c r="A6441" s="390" t="str">
        <f>IFERROR(__xludf.DUMMYFUNCTION("""COMPUTED_VALUE"""),"Iaurecy Souza de Oliveira - SEGUNDA LICENCIATURA EM MÚSICA - 2024")</f>
        <v>Iaurecy Souza de Oliveira - SEGUNDA LICENCIATURA EM MÚSICA - 2024</v>
      </c>
    </row>
    <row r="6442">
      <c r="A6442" s="390" t="str">
        <f>IFERROR(__xludf.DUMMYFUNCTION("""COMPUTED_VALUE"""),"Maria Márcia Scarpino Van Dongen - RADIANTE CENTRO EDUCACIOANAL - Pós-Graduação em Supervisão Escolar")</f>
        <v>Maria Márcia Scarpino Van Dongen - RADIANTE CENTRO EDUCACIOANAL - Pós-Graduação em Supervisão Escolar</v>
      </c>
    </row>
    <row r="6443">
      <c r="A6443" s="390" t="str">
        <f>IFERROR(__xludf.DUMMYFUNCTION("""COMPUTED_VALUE"""),"Valberto Ferreira da Silva - SEGUNDA LICENCIATURA EM MÚSICA - 2024")</f>
        <v>Valberto Ferreira da Silva - SEGUNDA LICENCIATURA EM MÚSICA - 2024</v>
      </c>
    </row>
    <row r="6444">
      <c r="A6444" s="390" t="str">
        <f>IFERROR(__xludf.DUMMYFUNCTION("""COMPUTED_VALUE"""),"Valberto Ferreira da Silva - PÓS-GRADUAÇÃO EM MUSICOTERAPIA-2022")</f>
        <v>Valberto Ferreira da Silva - PÓS-GRADUAÇÃO EM MUSICOTERAPIA-2022</v>
      </c>
    </row>
    <row r="6445">
      <c r="A6445" s="390" t="str">
        <f>IFERROR(__xludf.DUMMYFUNCTION("""COMPUTED_VALUE"""),"Aleciana da Silva nascimento - SEGUNDA LICENCIATURA EM HISTÓRIA - 2024")</f>
        <v>Aleciana da Silva nascimento - SEGUNDA LICENCIATURA EM HISTÓRIA - 2024</v>
      </c>
    </row>
    <row r="6446">
      <c r="A6446" s="390" t="str">
        <f>IFERROR(__xludf.DUMMYFUNCTION("""COMPUTED_VALUE"""),"Isabel Vanessa de Assis Silva - SEGUNDA LICENCIATURA EM GEOGRAFIA - 2024")</f>
        <v>Isabel Vanessa de Assis Silva - SEGUNDA LICENCIATURA EM GEOGRAFIA - 2024</v>
      </c>
    </row>
    <row r="6447">
      <c r="A6447" s="390" t="str">
        <f>IFERROR(__xludf.DUMMYFUNCTION("""COMPUTED_VALUE"""),"Isabel Vanessa de Assis Silva - SEGUNDA LICENCIATURA EM HISTÓRIA - 2024")</f>
        <v>Isabel Vanessa de Assis Silva - SEGUNDA LICENCIATURA EM HISTÓRIA - 2024</v>
      </c>
    </row>
    <row r="6448">
      <c r="A6448" s="390" t="str">
        <f>IFERROR(__xludf.DUMMYFUNCTION("""COMPUTED_VALUE"""),"Henry Kenji Bevilaqua Kadomoto - Pós-Graduação em Administração Pública")</f>
        <v>Henry Kenji Bevilaqua Kadomoto - Pós-Graduação em Administração Pública</v>
      </c>
    </row>
    <row r="6449">
      <c r="A6449" s="390" t="str">
        <f>IFERROR(__xludf.DUMMYFUNCTION("""COMPUTED_VALUE"""),"Henry Kenji Bevilaqua Kadomoto - Pós-Graduação em Administração Pública")</f>
        <v>Henry Kenji Bevilaqua Kadomoto - Pós-Graduação em Administração Pública</v>
      </c>
    </row>
    <row r="6450">
      <c r="A6450" s="390" t="str">
        <f>IFERROR(__xludf.DUMMYFUNCTION("""COMPUTED_VALUE"""),"Elka Regina de Lima Bállico - SEGUNDA LICENCIATURA EM MÚSICA - 2024")</f>
        <v>Elka Regina de Lima Bállico - SEGUNDA LICENCIATURA EM MÚSICA - 2024</v>
      </c>
    </row>
    <row r="6451">
      <c r="A6451" s="390" t="str">
        <f>IFERROR(__xludf.DUMMYFUNCTION("""COMPUTED_VALUE"""),"kessy - Formação pedagógica Letras - Português")</f>
        <v>kessy - Formação pedagógica Letras - Português</v>
      </c>
    </row>
    <row r="6452">
      <c r="A6452" s="390" t="str">
        <f>IFERROR(__xludf.DUMMYFUNCTION("""COMPUTED_VALUE"""),"Neuziane Aparecida de Castro Praxedes - Formação Livre em Psicanálise-2022")</f>
        <v>Neuziane Aparecida de Castro Praxedes - Formação Livre em Psicanálise-2022</v>
      </c>
    </row>
    <row r="6453">
      <c r="A6453" s="390" t="str">
        <f>IFERROR(__xludf.DUMMYFUNCTION("""COMPUTED_VALUE"""),"Silvia Junia Passos - Pós-Graduação em Ensino Religioso")</f>
        <v>Silvia Junia Passos - Pós-Graduação em Ensino Religioso</v>
      </c>
    </row>
    <row r="6454">
      <c r="A6454" s="390" t="str">
        <f>IFERROR(__xludf.DUMMYFUNCTION("""COMPUTED_VALUE"""),"Quezia Paulino da Silva - PÓS-GRADUAÇÃO EM PSICANÁLISE - 2024")</f>
        <v>Quezia Paulino da Silva - PÓS-GRADUAÇÃO EM PSICANÁLISE - 2024</v>
      </c>
    </row>
    <row r="6455">
      <c r="A6455" s="390" t="str">
        <f>IFERROR(__xludf.DUMMYFUNCTION("""COMPUTED_VALUE"""),"Quezia Paulino da Silva - PÓS-GRADUAÇÃO EM PSICANÁLISE - 2024")</f>
        <v>Quezia Paulino da Silva - PÓS-GRADUAÇÃO EM PSICANÁLISE - 2024</v>
      </c>
    </row>
    <row r="6456">
      <c r="A6456" s="390" t="str">
        <f>IFERROR(__xludf.DUMMYFUNCTION("""COMPUTED_VALUE"""),"Cleon Guilherme Nassur - FORMAÇÃO PEDAGÓGICA EM MÚSICA - 2024")</f>
        <v>Cleon Guilherme Nassur - FORMAÇÃO PEDAGÓGICA EM MÚSICA - 2024</v>
      </c>
    </row>
    <row r="6457">
      <c r="A6457" s="390" t="str">
        <f>IFERROR(__xludf.DUMMYFUNCTION("""COMPUTED_VALUE"""),"Edson da Cruz Silva - PÓS-GRADUAÇÃO EM PSICANÁLISE - 2024")</f>
        <v>Edson da Cruz Silva - PÓS-GRADUAÇÃO EM PSICANÁLISE - 2024</v>
      </c>
    </row>
    <row r="6458">
      <c r="A6458" s="390" t="str">
        <f>IFERROR(__xludf.DUMMYFUNCTION("""COMPUTED_VALUE"""),"Luiz Carlos Lisboa Gondim - NOVO-Pós-Graduação em Psicanálise 800 Horas")</f>
        <v>Luiz Carlos Lisboa Gondim - NOVO-Pós-Graduação em Psicanálise 800 Horas</v>
      </c>
    </row>
    <row r="6459">
      <c r="A6459" s="390" t="str">
        <f>IFERROR(__xludf.DUMMYFUNCTION("""COMPUTED_VALUE"""),"Élida de Paiva e Mello - Pós-Graduação Neurociência e Aprendizagem")</f>
        <v>Élida de Paiva e Mello - Pós-Graduação Neurociência e Aprendizagem</v>
      </c>
    </row>
    <row r="6460">
      <c r="A6460" s="390" t="str">
        <f>IFERROR(__xludf.DUMMYFUNCTION("""COMPUTED_VALUE"""),"Élida de Paiva e Mello - Pós-Graduação Neurociência e Aprendizagem")</f>
        <v>Élida de Paiva e Mello - Pós-Graduação Neurociência e Aprendizagem</v>
      </c>
    </row>
    <row r="6461">
      <c r="A6461" s="390" t="str">
        <f>IFERROR(__xludf.DUMMYFUNCTION("""COMPUTED_VALUE"""),"Hercilio dos Santos neto - FORMAÇÃO LIVRE EM PSICANÁLISE - 2024")</f>
        <v>Hercilio dos Santos neto - FORMAÇÃO LIVRE EM PSICANÁLISE - 2024</v>
      </c>
    </row>
    <row r="6462">
      <c r="A6462" s="390" t="str">
        <f>IFERROR(__xludf.DUMMYFUNCTION("""COMPUTED_VALUE"""),"Mykaelle Carvalho Castro - Formação Livre em Psicanálise-2022")</f>
        <v>Mykaelle Carvalho Castro - Formação Livre em Psicanálise-2022</v>
      </c>
    </row>
    <row r="6463">
      <c r="A6463" s="390" t="str">
        <f>IFERROR(__xludf.DUMMYFUNCTION("""COMPUTED_VALUE"""),"Diana Francisca da Silva Lopes - #SLLPIT1 - Segunda Licenciatura em Letras/Português-Inglês - 1310 Horas")</f>
        <v>Diana Francisca da Silva Lopes - #SLLPIT1 - Segunda Licenciatura em Letras/Português-Inglês - 1310 Horas</v>
      </c>
    </row>
    <row r="6464">
      <c r="A6464" s="390" t="str">
        <f>IFERROR(__xludf.DUMMYFUNCTION("""COMPUTED_VALUE"""),"Diana Francisca da Silva Lopes - #SLTLP1- Segunda Licenciatura Letras - Português")</f>
        <v>Diana Francisca da Silva Lopes - #SLTLP1- Segunda Licenciatura Letras - Português</v>
      </c>
    </row>
    <row r="6465">
      <c r="A6465" s="390" t="str">
        <f>IFERROR(__xludf.DUMMYFUNCTION("""COMPUTED_VALUE"""),"Élida de Paiva e Mello - Pós-Graduação Neurociência e Aprendizagem")</f>
        <v>Élida de Paiva e Mello - Pós-Graduação Neurociência e Aprendizagem</v>
      </c>
    </row>
    <row r="6466">
      <c r="A6466" s="390" t="str">
        <f>IFERROR(__xludf.DUMMYFUNCTION("""COMPUTED_VALUE"""),"Larissa Jeronymo do Nascimento Silva - #SLMF- Segunda Licenciatura em Música 2022 880Horas")</f>
        <v>Larissa Jeronymo do Nascimento Silva - #SLMF- Segunda Licenciatura em Música 2022 880Horas</v>
      </c>
    </row>
    <row r="6467">
      <c r="A6467" s="390" t="str">
        <f>IFERROR(__xludf.DUMMYFUNCTION("""COMPUTED_VALUE"""),"Maria das Dores Silva - NOVO-Pós-Graduação em Psicanálise 800 Horas")</f>
        <v>Maria das Dores Silva - NOVO-Pós-Graduação em Psicanálise 800 Horas</v>
      </c>
    </row>
    <row r="6468">
      <c r="A6468" s="390" t="str">
        <f>IFERROR(__xludf.DUMMYFUNCTION("""COMPUTED_VALUE"""),"Isadora Soares Martinez - FORMAÇÃO PEDAGÓGICA EM PEDAGOGIA - 2024")</f>
        <v>Isadora Soares Martinez - FORMAÇÃO PEDAGÓGICA EM PEDAGOGIA - 2024</v>
      </c>
    </row>
    <row r="6469">
      <c r="A6469" s="390" t="str">
        <f>IFERROR(__xludf.DUMMYFUNCTION("""COMPUTED_VALUE"""),"HANDERSON BATISTA DE CASTRO - SEGUNDA LICENCIATURA EM MÚSICA - 2024")</f>
        <v>HANDERSON BATISTA DE CASTRO - SEGUNDA LICENCIATURA EM MÚSICA - 2024</v>
      </c>
    </row>
    <row r="6470">
      <c r="A6470" s="390" t="str">
        <f>IFERROR(__xludf.DUMMYFUNCTION("""COMPUTED_VALUE"""),"Isadora Soares Martinez - SEGUNDA LICENCIATURA PEDAGOGIA - 2024")</f>
        <v>Isadora Soares Martinez - SEGUNDA LICENCIATURA PEDAGOGIA - 2024</v>
      </c>
    </row>
    <row r="6471">
      <c r="A6471" s="390" t="str">
        <f>IFERROR(__xludf.DUMMYFUNCTION("""COMPUTED_VALUE"""),"Anister Pereira Silva Pereira - Formação Livre em Psicanálise-2022")</f>
        <v>Anister Pereira Silva Pereira - Formação Livre em Psicanálise-2022</v>
      </c>
    </row>
    <row r="6472">
      <c r="A6472" s="390" t="str">
        <f>IFERROR(__xludf.DUMMYFUNCTION("""COMPUTED_VALUE"""),"Beth Kaline Lima Guirra - Formação Livre em Psicanálise-2022")</f>
        <v>Beth Kaline Lima Guirra - Formação Livre em Psicanálise-2022</v>
      </c>
    </row>
    <row r="6473">
      <c r="A6473" s="390" t="str">
        <f>IFERROR(__xludf.DUMMYFUNCTION("""COMPUTED_VALUE"""),"Adailton José Braga - NOVO-Pós-Graduação em Psicanálise 800 Horas")</f>
        <v>Adailton José Braga - NOVO-Pós-Graduação em Psicanálise 800 Horas</v>
      </c>
    </row>
    <row r="6474">
      <c r="A6474" s="390" t="str">
        <f>IFERROR(__xludf.DUMMYFUNCTION("""COMPUTED_VALUE"""),"Tamires Dellajustina - SEGUNDA LICENCIATURA EM EDUCAÇÃO ESPECIAL - 2024")</f>
        <v>Tamires Dellajustina - SEGUNDA LICENCIATURA EM EDUCAÇÃO ESPECIAL - 2024</v>
      </c>
    </row>
    <row r="6475">
      <c r="A6475" s="390" t="str">
        <f>IFERROR(__xludf.DUMMYFUNCTION("""COMPUTED_VALUE"""),"Tamires Dellajustina - Pós-Graduação em Psicopedagogia Institucional e Clínica 710Horas")</f>
        <v>Tamires Dellajustina - Pós-Graduação em Psicopedagogia Institucional e Clínica 710Horas</v>
      </c>
    </row>
    <row r="6476">
      <c r="A6476" s="390" t="str">
        <f>IFERROR(__xludf.DUMMYFUNCTION("""COMPUTED_VALUE"""),"Sandra Constantino Fraga - PÓS-GRADUAÇÃO EM PSICANÁLISE - 2024")</f>
        <v>Sandra Constantino Fraga - PÓS-GRADUAÇÃO EM PSICANÁLISE - 2024</v>
      </c>
    </row>
    <row r="6477">
      <c r="A6477" s="390" t="str">
        <f>IFERROR(__xludf.DUMMYFUNCTION("""COMPUTED_VALUE"""),"Bárbara Sharyne Araújo da Silva - FORMAÇÃO PEDAGÓGICA EM PEDAGOGIA - 2024")</f>
        <v>Bárbara Sharyne Araújo da Silva - FORMAÇÃO PEDAGÓGICA EM PEDAGOGIA - 2024</v>
      </c>
    </row>
    <row r="6478">
      <c r="A6478" s="390" t="str">
        <f>IFERROR(__xludf.DUMMYFUNCTION("""COMPUTED_VALUE"""),"Janaíne Rodrigues Micheas - SEGUNDA LICENCIATURA EM EDUCAÇÃO FÍSICA - 2024")</f>
        <v>Janaíne Rodrigues Micheas - SEGUNDA LICENCIATURA EM EDUCAÇÃO FÍSICA - 2024</v>
      </c>
    </row>
    <row r="6479">
      <c r="A6479" s="390" t="str">
        <f>IFERROR(__xludf.DUMMYFUNCTION("""COMPUTED_VALUE"""),"Joselia Andre de Oliveira - #SLP22- Segunda Licenciatura em Pedagogia")</f>
        <v>Joselia Andre de Oliveira - #SLP22- Segunda Licenciatura em Pedagogia</v>
      </c>
    </row>
    <row r="6480">
      <c r="A6480" s="390" t="str">
        <f>IFERROR(__xludf.DUMMYFUNCTION("""COMPUTED_VALUE"""),"Gerson Alóisio Barchert - Formação Livre em Psicanálise-2022")</f>
        <v>Gerson Alóisio Barchert - Formação Livre em Psicanálise-2022</v>
      </c>
    </row>
    <row r="6481">
      <c r="A6481" s="390" t="str">
        <f>IFERROR(__xludf.DUMMYFUNCTION("""COMPUTED_VALUE"""),"Kione dos Santos Almeida - SEGUNDA LICENCIATURA EM MÚSICA - 2024")</f>
        <v>Kione dos Santos Almeida - SEGUNDA LICENCIATURA EM MÚSICA - 2024</v>
      </c>
    </row>
    <row r="6482">
      <c r="A6482" s="390" t="str">
        <f>IFERROR(__xludf.DUMMYFUNCTION("""COMPUTED_VALUE"""),"Diarles dos Santos Almeida - Pós-Graduação em Administração Pública")</f>
        <v>Diarles dos Santos Almeida - Pós-Graduação em Administração Pública</v>
      </c>
    </row>
    <row r="6483">
      <c r="A6483" s="390" t="str">
        <f>IFERROR(__xludf.DUMMYFUNCTION("""COMPUTED_VALUE"""),"Josilaine Bramer Candido - #SLAV+ - Segunda Licenciatura em Artes Visuais - 1000 Horas")</f>
        <v>Josilaine Bramer Candido - #SLAV+ - Segunda Licenciatura em Artes Visuais - 1000 Horas</v>
      </c>
    </row>
    <row r="6484">
      <c r="A6484" s="390" t="str">
        <f>IFERROR(__xludf.DUMMYFUNCTION("""COMPUTED_VALUE"""),"Josilaine Bramer Candido - Pós-Graduação em Educação Inclusiva e Diversidade")</f>
        <v>Josilaine Bramer Candido - Pós-Graduação em Educação Inclusiva e Diversidade</v>
      </c>
    </row>
    <row r="6485">
      <c r="A6485" s="390" t="str">
        <f>IFERROR(__xludf.DUMMYFUNCTION("""COMPUTED_VALUE"""),"Josilaine Bramer Candido - Pós-Graduação em Alfabetização e Letramento e a Psicopedagogia")</f>
        <v>Josilaine Bramer Candido - Pós-Graduação em Alfabetização e Letramento e a Psicopedagogia</v>
      </c>
    </row>
    <row r="6486">
      <c r="A6486" s="390" t="str">
        <f>IFERROR(__xludf.DUMMYFUNCTION("""COMPUTED_VALUE"""),"Thatiara Cristina Limeira Dantas - Formação Livre em Psicanálise-2022")</f>
        <v>Thatiara Cristina Limeira Dantas - Formação Livre em Psicanálise-2022</v>
      </c>
    </row>
    <row r="6487">
      <c r="A6487" s="390" t="str">
        <f>IFERROR(__xludf.DUMMYFUNCTION("""COMPUTED_VALUE"""),"Keiti Tatiana Yassoyama Martins - Pós-Graduação em Terapia em ABA- Análise do Comportamento Aplicada")</f>
        <v>Keiti Tatiana Yassoyama Martins - Pós-Graduação em Terapia em ABA- Análise do Comportamento Aplicada</v>
      </c>
    </row>
    <row r="6488">
      <c r="A6488" s="390" t="str">
        <f>IFERROR(__xludf.DUMMYFUNCTION("""COMPUTED_VALUE"""),"Bruna Raquel de Oliveira Castello Branco - Pós-Graduação Licitações e Contratos Administrativos-520Horas")</f>
        <v>Bruna Raquel de Oliveira Castello Branco - Pós-Graduação Licitações e Contratos Administrativos-520Horas</v>
      </c>
    </row>
    <row r="6489">
      <c r="A6489" s="390" t="str">
        <f>IFERROR(__xludf.DUMMYFUNCTION("""COMPUTED_VALUE"""),"Bruna Raquel de Oliveira Castello Branco - #SLP22- Segunda Licenciatura em Pedagogia")</f>
        <v>Bruna Raquel de Oliveira Castello Branco - #SLP22- Segunda Licenciatura em Pedagogia</v>
      </c>
    </row>
    <row r="6490">
      <c r="A6490" s="390" t="str">
        <f>IFERROR(__xludf.DUMMYFUNCTION("""COMPUTED_VALUE"""),"Rosiene Sousa da Silva - Pós-Graduação em Neuropsicopedagogia")</f>
        <v>Rosiene Sousa da Silva - Pós-Graduação em Neuropsicopedagogia</v>
      </c>
    </row>
    <row r="6491">
      <c r="A6491" s="390" t="str">
        <f>IFERROR(__xludf.DUMMYFUNCTION("""COMPUTED_VALUE"""),"Miclene Batista Souza - SEGUNDA LICENCIATURA EM MÚSICA - 2024")</f>
        <v>Miclene Batista Souza - SEGUNDA LICENCIATURA EM MÚSICA - 2024</v>
      </c>
    </row>
    <row r="6492">
      <c r="A6492" s="390" t="str">
        <f>IFERROR(__xludf.DUMMYFUNCTION("""COMPUTED_VALUE"""),"Miclene Batista Souza - Pós-Graduação em Gestão de Marketing Digital")</f>
        <v>Miclene Batista Souza - Pós-Graduação em Gestão de Marketing Digital</v>
      </c>
    </row>
    <row r="6493">
      <c r="A6493" s="390" t="str">
        <f>IFERROR(__xludf.DUMMYFUNCTION("""COMPUTED_VALUE"""),"Gerson Dias Olivo - NOVO-Pós-Graduação em Psicanálise 800 Horas")</f>
        <v>Gerson Dias Olivo - NOVO-Pós-Graduação em Psicanálise 800 Horas</v>
      </c>
    </row>
    <row r="6494">
      <c r="A6494" s="390" t="str">
        <f>IFERROR(__xludf.DUMMYFUNCTION("""COMPUTED_VALUE"""),"Valéria Zanardi de Almeida - Pós-Graduação Educação Especial e Inclusiva")</f>
        <v>Valéria Zanardi de Almeida - Pós-Graduação Educação Especial e Inclusiva</v>
      </c>
    </row>
    <row r="6495">
      <c r="A6495" s="390" t="str">
        <f>IFERROR(__xludf.DUMMYFUNCTION("""COMPUTED_VALUE"""),"Erlania Maria de Medeiros - NOVO-Pós-Graduação em Psicanálise 800 Horas")</f>
        <v>Erlania Maria de Medeiros - NOVO-Pós-Graduação em Psicanálise 800 Horas</v>
      </c>
    </row>
    <row r="6496">
      <c r="A6496" s="390" t="str">
        <f>IFERROR(__xludf.DUMMYFUNCTION("""COMPUTED_VALUE"""),"David Xavier Martins - #FPMF- Formação Pedagógica em Música 2022")</f>
        <v>David Xavier Martins - #FPMF- Formação Pedagógica em Música 2022</v>
      </c>
    </row>
    <row r="6497">
      <c r="A6497" s="390" t="str">
        <f>IFERROR(__xludf.DUMMYFUNCTION("""COMPUTED_VALUE"""),"Jovilson Santos Tavares Ramos - #SLMF- Segunda Licenciatura Música 1200Horas 1")</f>
        <v>Jovilson Santos Tavares Ramos - #SLMF- Segunda Licenciatura Música 1200Horas 1</v>
      </c>
    </row>
    <row r="6498">
      <c r="A6498" s="390" t="str">
        <f>IFERROR(__xludf.DUMMYFUNCTION("""COMPUTED_VALUE"""),"João Dias de Almeida - #SLMF- Segunda Licenciatura em Música 2022 880Horas")</f>
        <v>João Dias de Almeida - #SLMF- Segunda Licenciatura em Música 2022 880Horas</v>
      </c>
    </row>
    <row r="6499">
      <c r="A6499" s="390" t="str">
        <f>IFERROR(__xludf.DUMMYFUNCTION("""COMPUTED_VALUE"""),"Bianca Batista Torres - SEGUNDA LICENCIATURA PEDAGOGIA - 2024")</f>
        <v>Bianca Batista Torres - SEGUNDA LICENCIATURA PEDAGOGIA - 2024</v>
      </c>
    </row>
    <row r="6500">
      <c r="A6500" s="390" t="str">
        <f>IFERROR(__xludf.DUMMYFUNCTION("""COMPUTED_VALUE"""),"Daniele Kneip de Faria - #SLMF- Segunda Licenciatura Música 1200Horas 1")</f>
        <v>Daniele Kneip de Faria - #SLMF- Segunda Licenciatura Música 1200Horas 1</v>
      </c>
    </row>
    <row r="6501">
      <c r="A6501" s="390" t="str">
        <f>IFERROR(__xludf.DUMMYFUNCTION("""COMPUTED_VALUE"""),"Wilma de Freitas Dias - Capacitação em Sexologia")</f>
        <v>Wilma de Freitas Dias - Capacitação em Sexologia</v>
      </c>
    </row>
    <row r="6502">
      <c r="A6502" s="390" t="str">
        <f>IFERROR(__xludf.DUMMYFUNCTION("""COMPUTED_VALUE"""),"João Paulo Reis Costa - #SLH+1- Segunda Licenciatura em História")</f>
        <v>João Paulo Reis Costa - #SLH+1- Segunda Licenciatura em História</v>
      </c>
    </row>
    <row r="6503">
      <c r="A6503" s="390" t="str">
        <f>IFERROR(__xludf.DUMMYFUNCTION("""COMPUTED_VALUE"""),"João Paulo Reis Costa - Pós-Graduação em Gestão Escolar Integradora com Ênfase em Supervisão, Orientação, Administração e Inspeção 870Horas")</f>
        <v>João Paulo Reis Costa - Pós-Graduação em Gestão Escolar Integradora com Ênfase em Supervisão, Orientação, Administração e Inspeção 870Horas</v>
      </c>
    </row>
    <row r="6504">
      <c r="A6504" s="390" t="str">
        <f>IFERROR(__xludf.DUMMYFUNCTION("""COMPUTED_VALUE"""),"Silvano Aparecido da Silva - SEGUNDA LICENCIATURA EM HISTÓRIA - 2024")</f>
        <v>Silvano Aparecido da Silva - SEGUNDA LICENCIATURA EM HISTÓRIA - 2024</v>
      </c>
    </row>
    <row r="6505">
      <c r="A6505" s="390" t="str">
        <f>IFERROR(__xludf.DUMMYFUNCTION("""COMPUTED_VALUE"""),"Fábio Aires Manduca - FORMAÇÃO PEDAGÓGICA EM MÚSICA - 2024")</f>
        <v>Fábio Aires Manduca - FORMAÇÃO PEDAGÓGICA EM MÚSICA - 2024</v>
      </c>
    </row>
    <row r="6506">
      <c r="A6506" s="390" t="str">
        <f>IFERROR(__xludf.DUMMYFUNCTION("""COMPUTED_VALUE"""),"Ismael clarindo cândido da Silva - FORMAÇÃO PEDAGÓGICA EM MÚSICA - 2024")</f>
        <v>Ismael clarindo cândido da Silva - FORMAÇÃO PEDAGÓGICA EM MÚSICA - 2024</v>
      </c>
    </row>
    <row r="6507">
      <c r="A6507" s="390" t="str">
        <f>IFERROR(__xludf.DUMMYFUNCTION("""COMPUTED_VALUE"""),"Ismael clarindo cândido da Silva - SEGUNDA LICENCIATURA EM MÚSICA - 2024")</f>
        <v>Ismael clarindo cândido da Silva - SEGUNDA LICENCIATURA EM MÚSICA - 2024</v>
      </c>
    </row>
    <row r="6508">
      <c r="A6508" s="390" t="str">
        <f>IFERROR(__xludf.DUMMYFUNCTION("""COMPUTED_VALUE"""),"Elaine Galdino Justino da Costa - Formação Livre em Psicanálise-2022")</f>
        <v>Elaine Galdino Justino da Costa - Formação Livre em Psicanálise-2022</v>
      </c>
    </row>
    <row r="6509">
      <c r="A6509" s="390" t="str">
        <f>IFERROR(__xludf.DUMMYFUNCTION("""COMPUTED_VALUE"""),"Kauana Alves Oliveira - SEGUNDA LICENCIATURA EM ARTES VISUAIS - 2024")</f>
        <v>Kauana Alves Oliveira - SEGUNDA LICENCIATURA EM ARTES VISUAIS - 2024</v>
      </c>
    </row>
    <row r="6510">
      <c r="A6510" s="390" t="str">
        <f>IFERROR(__xludf.DUMMYFUNCTION("""COMPUTED_VALUE"""),"Ruither Costa Aragão Junior - FORMAÇÃO PEDAGÓGICA EM MÚSICA - 2024")</f>
        <v>Ruither Costa Aragão Junior - FORMAÇÃO PEDAGÓGICA EM MÚSICA - 2024</v>
      </c>
    </row>
    <row r="6511">
      <c r="A6511" s="390" t="str">
        <f>IFERROR(__xludf.DUMMYFUNCTION("""COMPUTED_VALUE"""),"Rodney Meira dos Santos - Formação Livre em Psicanálise-2022")</f>
        <v>Rodney Meira dos Santos - Formação Livre em Psicanálise-2022</v>
      </c>
    </row>
    <row r="6512">
      <c r="A6512" s="390" t="str">
        <f>IFERROR(__xludf.DUMMYFUNCTION("""COMPUTED_VALUE"""),"Andréa Fontenele de Paula - Formação Livre em Psicanálise-2022")</f>
        <v>Andréa Fontenele de Paula - Formação Livre em Psicanálise-2022</v>
      </c>
    </row>
    <row r="6513">
      <c r="A6513" s="390" t="str">
        <f>IFERROR(__xludf.DUMMYFUNCTION("""COMPUTED_VALUE"""),"Andréa Fontenele de Paula - Formação Livre  TDAH – Transtorno do Déficit de Atenção e Hiperatividade")</f>
        <v>Andréa Fontenele de Paula - Formação Livre  TDAH – Transtorno do Déficit de Atenção e Hiperatividade</v>
      </c>
    </row>
    <row r="6514">
      <c r="A6514" s="390" t="str">
        <f>IFERROR(__xludf.DUMMYFUNCTION("""COMPUTED_VALUE"""),"Annelize Melo Pereira Martins Marinho - NOVO-Pós-Graduação em Psicanálise 800 Horas")</f>
        <v>Annelize Melo Pereira Martins Marinho - NOVO-Pós-Graduação em Psicanálise 800 Horas</v>
      </c>
    </row>
    <row r="6515">
      <c r="A6515" s="390" t="str">
        <f>IFERROR(__xludf.DUMMYFUNCTION("""COMPUTED_VALUE"""),"Rogério de Azevedo Figueira - #FPMF- Formação Pedagógica em Música 2022")</f>
        <v>Rogério de Azevedo Figueira - #FPMF- Formação Pedagógica em Música 2022</v>
      </c>
    </row>
    <row r="6516">
      <c r="A6516" s="390" t="str">
        <f>IFERROR(__xludf.DUMMYFUNCTION("""COMPUTED_VALUE"""),"Felipe Gomes Rodrigues - NOVO-Pós-Graduação em Psicanálise 800 Horas")</f>
        <v>Felipe Gomes Rodrigues - NOVO-Pós-Graduação em Psicanálise 800 Horas</v>
      </c>
    </row>
    <row r="6517">
      <c r="A6517" s="390" t="str">
        <f>IFERROR(__xludf.DUMMYFUNCTION("""COMPUTED_VALUE"""),"Graciete Idalino de Souza - FORMAÇÃO LIVRE EM PSICANÁLISE - 2024")</f>
        <v>Graciete Idalino de Souza - FORMAÇÃO LIVRE EM PSICANÁLISE - 2024</v>
      </c>
    </row>
    <row r="6518">
      <c r="A6518" s="390" t="str">
        <f>IFERROR(__xludf.DUMMYFUNCTION("""COMPUTED_VALUE"""),"Graciete Idalino de Souza - FORMAÇÃO LIVRE EM PSICANÁLISE - 2024")</f>
        <v>Graciete Idalino de Souza - FORMAÇÃO LIVRE EM PSICANÁLISE - 2024</v>
      </c>
    </row>
    <row r="6519">
      <c r="A6519" s="390" t="str">
        <f>IFERROR(__xludf.DUMMYFUNCTION("""COMPUTED_VALUE"""),"Bryan Januario Silva - PÓS-GRADUAÇÃO EM PSICANÁLISE - 2024")</f>
        <v>Bryan Januario Silva - PÓS-GRADUAÇÃO EM PSICANÁLISE - 2024</v>
      </c>
    </row>
    <row r="6520">
      <c r="A6520" s="390" t="str">
        <f>IFERROR(__xludf.DUMMYFUNCTION("""COMPUTED_VALUE"""),"Manoel José da Silva - SEGUNDA LICENCIATURA EM MÚSICA - 2024")</f>
        <v>Manoel José da Silva - SEGUNDA LICENCIATURA EM MÚSICA - 2024</v>
      </c>
    </row>
    <row r="6521">
      <c r="A6521" s="390" t="str">
        <f>IFERROR(__xludf.DUMMYFUNCTION("""COMPUTED_VALUE"""),"Manoel José da Silva - SEGUNDA LICENCIATURA EM MÚSICA - 2024")</f>
        <v>Manoel José da Silva - SEGUNDA LICENCIATURA EM MÚSICA - 2024</v>
      </c>
    </row>
    <row r="6522">
      <c r="A6522" s="390" t="str">
        <f>IFERROR(__xludf.DUMMYFUNCTION("""COMPUTED_VALUE"""),"Wagner Santos de Souza - NOVO-Pós-Graduação em Psicanálise 800 Horas")</f>
        <v>Wagner Santos de Souza - NOVO-Pós-Graduação em Psicanálise 800 Horas</v>
      </c>
    </row>
    <row r="6523">
      <c r="A6523" s="390" t="str">
        <f>IFERROR(__xludf.DUMMYFUNCTION("""COMPUTED_VALUE"""),"Josélio Salvio Oliveira - FORMAÇÃO PEDAGÓGICA EM MÚSICA - 2024")</f>
        <v>Josélio Salvio Oliveira - FORMAÇÃO PEDAGÓGICA EM MÚSICA - 2024</v>
      </c>
    </row>
    <row r="6524">
      <c r="A6524" s="390" t="str">
        <f>IFERROR(__xludf.DUMMYFUNCTION("""COMPUTED_VALUE"""),"Aline Ribeiro do Rosário - FORMAÇÃO PEDAGÓGICA EM MÚSICA - 2024")</f>
        <v>Aline Ribeiro do Rosário - FORMAÇÃO PEDAGÓGICA EM MÚSICA - 2024</v>
      </c>
    </row>
    <row r="6525">
      <c r="A6525" s="390" t="str">
        <f>IFERROR(__xludf.DUMMYFUNCTION("""COMPUTED_VALUE"""),"Letícia Vieira Trindade - FORMAÇÃO PEDAGÓGICA EM EDUCAÇÃO ESPECIAL - 2024")</f>
        <v>Letícia Vieira Trindade - FORMAÇÃO PEDAGÓGICA EM EDUCAÇÃO ESPECIAL - 2024</v>
      </c>
    </row>
    <row r="6526">
      <c r="A6526" s="390" t="str">
        <f>IFERROR(__xludf.DUMMYFUNCTION("""COMPUTED_VALUE"""),"Alexandro de Jesus Miranda - SEGUNDA LICENCIATURA EM MÚSICA - 2024")</f>
        <v>Alexandro de Jesus Miranda - SEGUNDA LICENCIATURA EM MÚSICA - 2024</v>
      </c>
    </row>
    <row r="6527">
      <c r="A6527" s="390" t="str">
        <f>IFERROR(__xludf.DUMMYFUNCTION("""COMPUTED_VALUE"""),"Édney Sander Aquino Leite - #SLMF- Segunda Licenciatura Música 1200Horas 1")</f>
        <v>Édney Sander Aquino Leite - #SLMF- Segunda Licenciatura Música 1200Horas 1</v>
      </c>
    </row>
    <row r="6528">
      <c r="A6528" s="390" t="str">
        <f>IFERROR(__xludf.DUMMYFUNCTION("""COMPUTED_VALUE"""),"Sueli Aparecida da Costa Anastacio - #FPT1-Pedagogia para Bacharéis e Tecnólogos (2022)")</f>
        <v>Sueli Aparecida da Costa Anastacio - #FPT1-Pedagogia para Bacharéis e Tecnólogos (2022)</v>
      </c>
    </row>
    <row r="6529">
      <c r="A6529" s="390" t="str">
        <f>IFERROR(__xludf.DUMMYFUNCTION("""COMPUTED_VALUE"""),"Tauana Livia Coró - #SLPT- Segunda Licenciatura em Pedagogia")</f>
        <v>Tauana Livia Coró - #SLPT- Segunda Licenciatura em Pedagogia</v>
      </c>
    </row>
    <row r="6530">
      <c r="A6530" s="390" t="str">
        <f>IFERROR(__xludf.DUMMYFUNCTION("""COMPUTED_VALUE"""),"Elizete Soares de Jesus Lima - #SLEF- Segunda Licenciatura Educação Física 1200Horas")</f>
        <v>Elizete Soares de Jesus Lima - #SLEF- Segunda Licenciatura Educação Física 1200Horas</v>
      </c>
    </row>
    <row r="6531">
      <c r="A6531" s="390" t="str">
        <f>IFERROR(__xludf.DUMMYFUNCTION("""COMPUTED_VALUE"""),"Elizete Soares de Jesus Lima - SEGUNDA LICENCIATURA EM EDUCAÇÃO FÍSICA")</f>
        <v>Elizete Soares de Jesus Lima - SEGUNDA LICENCIATURA EM EDUCAÇÃO FÍSICA</v>
      </c>
    </row>
    <row r="6532">
      <c r="A6532" s="390" t="str">
        <f>IFERROR(__xludf.DUMMYFUNCTION("""COMPUTED_VALUE"""),"Rafael Topázio Muricy - #FPMF- Formação Pedagógica em Música 2022")</f>
        <v>Rafael Topázio Muricy - #FPMF- Formação Pedagógica em Música 2022</v>
      </c>
    </row>
    <row r="6533">
      <c r="A6533" s="390" t="str">
        <f>IFERROR(__xludf.DUMMYFUNCTION("""COMPUTED_VALUE"""),"João Luiz Dias Ferreira - FORMAÇÃO PEDAGÓGICA EM FILOSOFIA - 2024")</f>
        <v>João Luiz Dias Ferreira - FORMAÇÃO PEDAGÓGICA EM FILOSOFIA - 2024</v>
      </c>
    </row>
    <row r="6534">
      <c r="A6534" s="390" t="str">
        <f>IFERROR(__xludf.DUMMYFUNCTION("""COMPUTED_VALUE"""),"Fabíola Manoela Simões de Alcantara - SEGUNDA LICENCIATURA PEDAGOGIA - 2024")</f>
        <v>Fabíola Manoela Simões de Alcantara - SEGUNDA LICENCIATURA PEDAGOGIA - 2024</v>
      </c>
    </row>
    <row r="6535">
      <c r="A6535" s="390" t="str">
        <f>IFERROR(__xludf.DUMMYFUNCTION("""COMPUTED_VALUE"""),"Fabíola Manoela Simões de Alcantara - SEGUNDA LICENCIATURA PEDAGOGIA - 2024")</f>
        <v>Fabíola Manoela Simões de Alcantara - SEGUNDA LICENCIATURA PEDAGOGIA - 2024</v>
      </c>
    </row>
    <row r="6536">
      <c r="A6536" s="390" t="str">
        <f>IFERROR(__xludf.DUMMYFUNCTION("""COMPUTED_VALUE"""),"Fabíola Manoela Simões de Alcantara - SEGUNDA LICENCIATURA PEDAGOGIA - 2024")</f>
        <v>Fabíola Manoela Simões de Alcantara - SEGUNDA LICENCIATURA PEDAGOGIA - 2024</v>
      </c>
    </row>
    <row r="6537">
      <c r="A6537" s="390" t="str">
        <f>IFERROR(__xludf.DUMMYFUNCTION("""COMPUTED_VALUE"""),"Fabíola Manoela Simões de Alcantara - SEGUNDA LICENCIATURA PEDAGOGIA - 2024")</f>
        <v>Fabíola Manoela Simões de Alcantara - SEGUNDA LICENCIATURA PEDAGOGIA - 2024</v>
      </c>
    </row>
    <row r="6538">
      <c r="A6538" s="390" t="str">
        <f>IFERROR(__xludf.DUMMYFUNCTION("""COMPUTED_VALUE"""),"DAIANE CRISTINA CORREA LEANDRO NEGER DE PÁDUA E CASTRO - SEGUNDA LICENCIATURA EM MÚSICA - 2024")</f>
        <v>DAIANE CRISTINA CORREA LEANDRO NEGER DE PÁDUA E CASTRO - SEGUNDA LICENCIATURA EM MÚSICA - 2024</v>
      </c>
    </row>
    <row r="6539">
      <c r="A6539" s="390" t="str">
        <f>IFERROR(__xludf.DUMMYFUNCTION("""COMPUTED_VALUE"""),"wilder Deodato Garcia - FORMAÇÃO PEDAGÓGICA EM EDUCAÇÃO FÍSICA - 2024")</f>
        <v>wilder Deodato Garcia - FORMAÇÃO PEDAGÓGICA EM EDUCAÇÃO FÍSICA - 2024</v>
      </c>
    </row>
    <row r="6540">
      <c r="A6540" s="390" t="str">
        <f>IFERROR(__xludf.DUMMYFUNCTION("""COMPUTED_VALUE"""),"Belmiro Rodrigues Faria Barbosa - Formação Livre em Psicanálise-2022")</f>
        <v>Belmiro Rodrigues Faria Barbosa - Formação Livre em Psicanálise-2022</v>
      </c>
    </row>
    <row r="6541">
      <c r="A6541" s="390" t="str">
        <f>IFERROR(__xludf.DUMMYFUNCTION("""COMPUTED_VALUE"""),"Diego Alberto Gheorghiou Angulo Sánchez - #FPLPET1 Formação Pedagógica-Português/Espanhol - 1710Horas")</f>
        <v>Diego Alberto Gheorghiou Angulo Sánchez - #FPLPET1 Formação Pedagógica-Português/Espanhol - 1710Horas</v>
      </c>
    </row>
    <row r="6542">
      <c r="A6542" s="390" t="str">
        <f>IFERROR(__xludf.DUMMYFUNCTION("""COMPUTED_VALUE"""),"Sandro Rodrigues da Silva - #FPMF- Formação Pedagógica em Música 2022")</f>
        <v>Sandro Rodrigues da Silva - #FPMF- Formação Pedagógica em Música 2022</v>
      </c>
    </row>
    <row r="6543">
      <c r="A6543" s="390" t="str">
        <f>IFERROR(__xludf.DUMMYFUNCTION("""COMPUTED_VALUE"""),"Hélio Martins Pereira - FORMAÇÃO PEDAGÓGICA EM HISTÓRIA - 2024")</f>
        <v>Hélio Martins Pereira - FORMAÇÃO PEDAGÓGICA EM HISTÓRIA - 2024</v>
      </c>
    </row>
    <row r="6544">
      <c r="A6544" s="390" t="str">
        <f>IFERROR(__xludf.DUMMYFUNCTION("""COMPUTED_VALUE"""),"Victoria Gabriella Marques de Sousa - SEGUNDA LICENCIATURA PEDAGOGIA - 2024")</f>
        <v>Victoria Gabriella Marques de Sousa - SEGUNDA LICENCIATURA PEDAGOGIA - 2024</v>
      </c>
    </row>
    <row r="6545">
      <c r="A6545" s="390" t="str">
        <f>IFERROR(__xludf.DUMMYFUNCTION("""COMPUTED_VALUE"""),"Edione de Lourdes Prates Caruzo - RADIANTE - Pós-Graduação Neurociência e Aprendizagem")</f>
        <v>Edione de Lourdes Prates Caruzo - RADIANTE - Pós-Graduação Neurociência e Aprendizagem</v>
      </c>
    </row>
    <row r="6546">
      <c r="A6546" s="390" t="str">
        <f>IFERROR(__xludf.DUMMYFUNCTION("""COMPUTED_VALUE"""),"Gabriel Linhares Alves Quintão - FORMAÇÃO PEDAGÓGICA EM MÚSICA - 2024")</f>
        <v>Gabriel Linhares Alves Quintão - FORMAÇÃO PEDAGÓGICA EM MÚSICA - 2024</v>
      </c>
    </row>
    <row r="6547">
      <c r="A6547" s="390" t="str">
        <f>IFERROR(__xludf.DUMMYFUNCTION("""COMPUTED_VALUE"""),"Gabriel Linhares Alves Quintão - PÓS-GRADUAÇÃO EM METODOLOGIA DO ENSINO DE ARTES - 2024")</f>
        <v>Gabriel Linhares Alves Quintão - PÓS-GRADUAÇÃO EM METODOLOGIA DO ENSINO DE ARTES - 2024</v>
      </c>
    </row>
    <row r="6548">
      <c r="A6548" s="390" t="str">
        <f>IFERROR(__xludf.DUMMYFUNCTION("""COMPUTED_VALUE"""),"André Cardoso de Souza - #FPMF- Formação Pedagógica em Música 2022")</f>
        <v>André Cardoso de Souza - #FPMF- Formação Pedagógica em Música 2022</v>
      </c>
    </row>
    <row r="6549">
      <c r="A6549" s="390" t="str">
        <f>IFERROR(__xludf.DUMMYFUNCTION("""COMPUTED_VALUE"""),"Paulo Henrique Kcheve De Souza - Pós-Graduação em Musicoterapia")</f>
        <v>Paulo Henrique Kcheve De Souza - Pós-Graduação em Musicoterapia</v>
      </c>
    </row>
    <row r="6550">
      <c r="A6550" s="390" t="str">
        <f>IFERROR(__xludf.DUMMYFUNCTION("""COMPUTED_VALUE"""),"Luciana de Castro Silva - FORMAÇÃO PEDAGÓGICA EM LETRAS PORTUGUÊS / INGLÊS - 2024")</f>
        <v>Luciana de Castro Silva - FORMAÇÃO PEDAGÓGICA EM LETRAS PORTUGUÊS / INGLÊS - 2024</v>
      </c>
    </row>
    <row r="6551">
      <c r="A6551" s="390" t="str">
        <f>IFERROR(__xludf.DUMMYFUNCTION("""COMPUTED_VALUE"""),"Isabella Cristina Fernandes Xavier - RADIANTE - PÓS-GRADUAÇÃO EM DIREITO DO TRABALHO E PROCESSUAL TRABALHISTA - 2024")</f>
        <v>Isabella Cristina Fernandes Xavier - RADIANTE - PÓS-GRADUAÇÃO EM DIREITO DO TRABALHO E PROCESSUAL TRABALHISTA - 2024</v>
      </c>
    </row>
    <row r="6552">
      <c r="A6552" s="390" t="str">
        <f>IFERROR(__xludf.DUMMYFUNCTION("""COMPUTED_VALUE"""),"Elaine da Conceicao Serra - FORMAÇÃO LIVRE EM PSICANÁLISE - 2024")</f>
        <v>Elaine da Conceicao Serra - FORMAÇÃO LIVRE EM PSICANÁLISE - 2024</v>
      </c>
    </row>
    <row r="6553">
      <c r="A6553" s="390" t="str">
        <f>IFERROR(__xludf.DUMMYFUNCTION("""COMPUTED_VALUE"""),"Naiara Concário dos Reis - Pós-Graduação em Atendimento Educacional Especializado Com Ênfase Em Educação Especial e Inclusiva")</f>
        <v>Naiara Concário dos Reis - Pós-Graduação em Atendimento Educacional Especializado Com Ênfase Em Educação Especial e Inclusiva</v>
      </c>
    </row>
    <row r="6554">
      <c r="A6554" s="390" t="str">
        <f>IFERROR(__xludf.DUMMYFUNCTION("""COMPUTED_VALUE"""),"Frasier Alves Rabelo - NOVO-Pós-Graduação em Psicanálise 800 Horas")</f>
        <v>Frasier Alves Rabelo - NOVO-Pós-Graduação em Psicanálise 800 Horas</v>
      </c>
    </row>
    <row r="6555">
      <c r="A6555" s="390" t="str">
        <f>IFERROR(__xludf.DUMMYFUNCTION("""COMPUTED_VALUE"""),"Elton Rodrigues Guilherme - Formação Livre em Psicanálise-2022")</f>
        <v>Elton Rodrigues Guilherme - Formação Livre em Psicanálise-2022</v>
      </c>
    </row>
    <row r="6556">
      <c r="A6556" s="390" t="str">
        <f>IFERROR(__xludf.DUMMYFUNCTION("""COMPUTED_VALUE"""),"Jacy Krissly de Oliveira Silva - #SLPT- Segunda Licenciatura em Pedagogia")</f>
        <v>Jacy Krissly de Oliveira Silva - #SLPT- Segunda Licenciatura em Pedagogia</v>
      </c>
    </row>
    <row r="6557">
      <c r="A6557" s="390" t="str">
        <f>IFERROR(__xludf.DUMMYFUNCTION("""COMPUTED_VALUE"""),"Vagner Chaves Tonon - PÓS-GRADUAÇÃO EM ENGENHARIA LOGÍSTICA-2022")</f>
        <v>Vagner Chaves Tonon - PÓS-GRADUAÇÃO EM ENGENHARIA LOGÍSTICA-2022</v>
      </c>
    </row>
    <row r="6558">
      <c r="A6558" s="390" t="str">
        <f>IFERROR(__xludf.DUMMYFUNCTION("""COMPUTED_VALUE"""),"Maria Mar Silva - NOVO-Pós-Graduação em Psicanálise 800 Horas")</f>
        <v>Maria Mar Silva - NOVO-Pós-Graduação em Psicanálise 800 Horas</v>
      </c>
    </row>
    <row r="6559">
      <c r="A6559" s="390" t="str">
        <f>IFERROR(__xludf.DUMMYFUNCTION("""COMPUTED_VALUE"""),"Diego Rodrigues de Oliveira - #FPP- Formação Pedagógica em Pedagogia R2")</f>
        <v>Diego Rodrigues de Oliveira - #FPP- Formação Pedagógica em Pedagogia R2</v>
      </c>
    </row>
    <row r="6560">
      <c r="A6560" s="390" t="str">
        <f>IFERROR(__xludf.DUMMYFUNCTION("""COMPUTED_VALUE"""),"Diego Rodrigues de Oliveira - Pós-Graduação em Gestão Escolar Integradora com Ênfase em Supervisão, Orientação, Administração e Inspeção 870Horas")</f>
        <v>Diego Rodrigues de Oliveira - Pós-Graduação em Gestão Escolar Integradora com Ênfase em Supervisão, Orientação, Administração e Inspeção 870Horas</v>
      </c>
    </row>
    <row r="6561">
      <c r="A6561" s="390" t="str">
        <f>IFERROR(__xludf.DUMMYFUNCTION("""COMPUTED_VALUE"""),"Rémilton De Carvalho Aragão Soares - Pós-Graduação em Engenharia de Segurança do Trabalho")</f>
        <v>Rémilton De Carvalho Aragão Soares - Pós-Graduação em Engenharia de Segurança do Trabalho</v>
      </c>
    </row>
    <row r="6562">
      <c r="A6562" s="390" t="str">
        <f>IFERROR(__xludf.DUMMYFUNCTION("""COMPUTED_VALUE"""),"Vanice Aparecida da Silva Oliveira - Formação Livre em Psicanálise-2022")</f>
        <v>Vanice Aparecida da Silva Oliveira - Formação Livre em Psicanálise-2022</v>
      </c>
    </row>
    <row r="6563">
      <c r="A6563" s="390" t="str">
        <f>IFERROR(__xludf.DUMMYFUNCTION("""COMPUTED_VALUE"""),"Emerson Alves de Souza - Formação Livre em Psicanálise-2022")</f>
        <v>Emerson Alves de Souza - Formação Livre em Psicanálise-2022</v>
      </c>
    </row>
    <row r="6564">
      <c r="A6564" s="390" t="str">
        <f>IFERROR(__xludf.DUMMYFUNCTION("""COMPUTED_VALUE"""),"Janathan Firmino Dos Santos - #SLEF- Segunda Licenciatura Educação Física 1200Horas")</f>
        <v>Janathan Firmino Dos Santos - #SLEF- Segunda Licenciatura Educação Física 1200Horas</v>
      </c>
    </row>
    <row r="6565">
      <c r="A6565" s="390" t="str">
        <f>IFERROR(__xludf.DUMMYFUNCTION("""COMPUTED_VALUE"""),"Helena Zanchi Bosso - #SLMF- Segunda Licenciatura em Música 1320Horas")</f>
        <v>Helena Zanchi Bosso - #SLMF- Segunda Licenciatura em Música 1320Horas</v>
      </c>
    </row>
    <row r="6566">
      <c r="A6566" s="390" t="str">
        <f>IFERROR(__xludf.DUMMYFUNCTION("""COMPUTED_VALUE"""),"ENILSON LÁZARO VIEIRA - #FPP- Formação Pedagógica em Pedagogia R2")</f>
        <v>ENILSON LÁZARO VIEIRA - #FPP- Formação Pedagógica em Pedagogia R2</v>
      </c>
    </row>
    <row r="6567">
      <c r="A6567" s="390" t="str">
        <f>IFERROR(__xludf.DUMMYFUNCTION("""COMPUTED_VALUE"""),"Deyvisson Ramon Correia - #FPMF- Formação Pedagógica em Música 1200Horas")</f>
        <v>Deyvisson Ramon Correia - #FPMF- Formação Pedagógica em Música 1200Horas</v>
      </c>
    </row>
    <row r="6568">
      <c r="A6568" s="390" t="str">
        <f>IFERROR(__xludf.DUMMYFUNCTION("""COMPUTED_VALUE"""),"Pabline de Sales Santos Oliveira - FORMAÇÃO PEDAGÓGICA EM PEDAGOGIA - 2024")</f>
        <v>Pabline de Sales Santos Oliveira - FORMAÇÃO PEDAGÓGICA EM PEDAGOGIA - 2024</v>
      </c>
    </row>
    <row r="6569">
      <c r="A6569" s="390" t="str">
        <f>IFERROR(__xludf.DUMMYFUNCTION("""COMPUTED_VALUE"""),"Flávio Teixeira de Melo - FORMAÇÃO PEDAGÓGICA EM MÚSICA - 2024")</f>
        <v>Flávio Teixeira de Melo - FORMAÇÃO PEDAGÓGICA EM MÚSICA - 2024</v>
      </c>
    </row>
    <row r="6570">
      <c r="A6570" s="390" t="str">
        <f>IFERROR(__xludf.DUMMYFUNCTION("""COMPUTED_VALUE"""),"Walber Jônatas da Silva Mata - #FPMF- Formação Pedagógica em Música 1200Horas")</f>
        <v>Walber Jônatas da Silva Mata - #FPMF- Formação Pedagógica em Música 1200Horas</v>
      </c>
    </row>
    <row r="6571">
      <c r="A6571" s="390" t="str">
        <f>IFERROR(__xludf.DUMMYFUNCTION("""COMPUTED_VALUE"""),"CAIO DE SOUZA DA SILVA - Pós-Graduação em Musicoterapia")</f>
        <v>CAIO DE SOUZA DA SILVA - Pós-Graduação em Musicoterapia</v>
      </c>
    </row>
    <row r="6572">
      <c r="A6572" s="390" t="str">
        <f>IFERROR(__xludf.DUMMYFUNCTION("""COMPUTED_VALUE"""),"Jessilene Soares Teixeira - FORMAÇÃO PEDAGÓGICA EM PEDAGOGIA - 2024")</f>
        <v>Jessilene Soares Teixeira - FORMAÇÃO PEDAGÓGICA EM PEDAGOGIA - 2024</v>
      </c>
    </row>
    <row r="6573">
      <c r="A6573" s="390" t="str">
        <f>IFERROR(__xludf.DUMMYFUNCTION("""COMPUTED_VALUE"""),"Rosenete Bezerra Nunes - RADIANTE - Pós-Graduação em Gerontologia e Saúde do Idoso")</f>
        <v>Rosenete Bezerra Nunes - RADIANTE - Pós-Graduação em Gerontologia e Saúde do Idoso</v>
      </c>
    </row>
    <row r="6574">
      <c r="A6574" s="390" t="str">
        <f>IFERROR(__xludf.DUMMYFUNCTION("""COMPUTED_VALUE"""),"Aguinaldo Espinosa Ramires - #SLMF- Segunda Licenciatura em Música 1320Horas")</f>
        <v>Aguinaldo Espinosa Ramires - #SLMF- Segunda Licenciatura em Música 1320Horas</v>
      </c>
    </row>
    <row r="6575">
      <c r="A6575" s="390" t="str">
        <f>IFERROR(__xludf.DUMMYFUNCTION("""COMPUTED_VALUE"""),"Pedro Bernadone Lacerda - #SLMF- Segunda Licenciatura em Música 1320Horas")</f>
        <v>Pedro Bernadone Lacerda - #SLMF- Segunda Licenciatura em Música 1320Horas</v>
      </c>
    </row>
    <row r="6576">
      <c r="A6576" s="390" t="str">
        <f>IFERROR(__xludf.DUMMYFUNCTION("""COMPUTED_VALUE"""),"MILENA RIBEIRO CARVALHO DOS SANTOS - #FPMF- Formação Pedagógica em Música 1200Horas")</f>
        <v>MILENA RIBEIRO CARVALHO DOS SANTOS - #FPMF- Formação Pedagógica em Música 1200Horas</v>
      </c>
    </row>
    <row r="6577">
      <c r="A6577" s="390" t="str">
        <f>IFERROR(__xludf.DUMMYFUNCTION("""COMPUTED_VALUE"""),"Maria da Glória Rabelo - NOVO-Pós-Graduação em Psicanálise 800 Horas")</f>
        <v>Maria da Glória Rabelo - NOVO-Pós-Graduação em Psicanálise 800 Horas</v>
      </c>
    </row>
    <row r="6578">
      <c r="A6578" s="390" t="str">
        <f>IFERROR(__xludf.DUMMYFUNCTION("""COMPUTED_VALUE"""),"Phaola da Silva Terra - RADIANTE - Pós-Graduação em Saúde Mental com Ênfase em Dependência Química")</f>
        <v>Phaola da Silva Terra - RADIANTE - Pós-Graduação em Saúde Mental com Ênfase em Dependência Química</v>
      </c>
    </row>
    <row r="6579">
      <c r="A6579" s="390" t="str">
        <f>IFERROR(__xludf.DUMMYFUNCTION("""COMPUTED_VALUE"""),"Gisella Andrielle de Oliveira Passos - SEGUNDA LICENCIATURA EM FILOSOFIA - 2024")</f>
        <v>Gisella Andrielle de Oliveira Passos - SEGUNDA LICENCIATURA EM FILOSOFIA - 2024</v>
      </c>
    </row>
    <row r="6580">
      <c r="A6580" s="390" t="str">
        <f>IFERROR(__xludf.DUMMYFUNCTION("""COMPUTED_VALUE"""),"Gisella Andrielle de Oliveira Passos - SEGUNDA LICENCIATURA EM FILOSOFIA - 2024")</f>
        <v>Gisella Andrielle de Oliveira Passos - SEGUNDA LICENCIATURA EM FILOSOFIA - 2024</v>
      </c>
    </row>
    <row r="6581">
      <c r="A6581" s="390" t="str">
        <f>IFERROR(__xludf.DUMMYFUNCTION("""COMPUTED_VALUE"""),"Katson Deyvis monteiro roque - FORMAÇÃO PEDAGÓGICA EM EDUCAÇÃO FÍSICA - 2024")</f>
        <v>Katson Deyvis monteiro roque - FORMAÇÃO PEDAGÓGICA EM EDUCAÇÃO FÍSICA - 2024</v>
      </c>
    </row>
    <row r="6582">
      <c r="A6582" s="390" t="str">
        <f>IFERROR(__xludf.DUMMYFUNCTION("""COMPUTED_VALUE"""),"Vagson Gonçalves da Fonseca - RADIANTE - Pós-Graduação Neurociência e Aprendizagem")</f>
        <v>Vagson Gonçalves da Fonseca - RADIANTE - Pós-Graduação Neurociência e Aprendizagem</v>
      </c>
    </row>
    <row r="6583">
      <c r="A6583" s="390" t="str">
        <f>IFERROR(__xludf.DUMMYFUNCTION("""COMPUTED_VALUE"""),"Jorge Luiz Pais - FORMAÇÃO PEDAGÓGICA EM MÚSICA - 2024")</f>
        <v>Jorge Luiz Pais - FORMAÇÃO PEDAGÓGICA EM MÚSICA - 2024</v>
      </c>
    </row>
    <row r="6584">
      <c r="A6584" s="390" t="str">
        <f>IFERROR(__xludf.DUMMYFUNCTION("""COMPUTED_VALUE"""),"Anderson Silva Pardim - #SLMF- Segunda Licenciatura em Música 2022 880Horas")</f>
        <v>Anderson Silva Pardim - #SLMF- Segunda Licenciatura em Música 2022 880Horas</v>
      </c>
    </row>
    <row r="6585">
      <c r="A6585" s="390" t="str">
        <f>IFERROR(__xludf.DUMMYFUNCTION("""COMPUTED_VALUE"""),"Cláudio Fernandes da Luz - NOVO-Pós-Graduação em Psicanálise 800 Horas")</f>
        <v>Cláudio Fernandes da Luz - NOVO-Pós-Graduação em Psicanálise 800 Horas</v>
      </c>
    </row>
    <row r="6586">
      <c r="A6586" s="390" t="str">
        <f>IFERROR(__xludf.DUMMYFUNCTION("""COMPUTED_VALUE"""),"Gilvania marta do nascimeto - #FPT1-Pedagogia para Bacharéis e Tecnólogos (2022)")</f>
        <v>Gilvania marta do nascimeto - #FPT1-Pedagogia para Bacharéis e Tecnólogos (2022)</v>
      </c>
    </row>
    <row r="6587">
      <c r="A6587" s="390" t="str">
        <f>IFERROR(__xludf.DUMMYFUNCTION("""COMPUTED_VALUE"""),"Jorgete Santos de Souza - Pós-Graduação em Metodologia do Ensino de Filosofia e Sociologia")</f>
        <v>Jorgete Santos de Souza - Pós-Graduação em Metodologia do Ensino de Filosofia e Sociologia</v>
      </c>
    </row>
    <row r="6588">
      <c r="A6588" s="390" t="str">
        <f>IFERROR(__xludf.DUMMYFUNCTION("""COMPUTED_VALUE"""),"Jorgete Santos de Souza - Pós-Graduação em Ensino de Geografia e História")</f>
        <v>Jorgete Santos de Souza - Pós-Graduação em Ensino de Geografia e História</v>
      </c>
    </row>
    <row r="6589">
      <c r="A6589" s="390" t="str">
        <f>IFERROR(__xludf.DUMMYFUNCTION("""COMPUTED_VALUE"""),"Raimundo Nonato Batista de Lima - #SLMF- Segunda Licenciatura em Música 2022 880Horas")</f>
        <v>Raimundo Nonato Batista de Lima - #SLMF- Segunda Licenciatura em Música 2022 880Horas</v>
      </c>
    </row>
    <row r="6590">
      <c r="A6590" s="390" t="str">
        <f>IFERROR(__xludf.DUMMYFUNCTION("""COMPUTED_VALUE"""),"Elza Barbosa de Oliveira - Formação Livre em Psicanálise-2022")</f>
        <v>Elza Barbosa de Oliveira - Formação Livre em Psicanálise-2022</v>
      </c>
    </row>
    <row r="6591">
      <c r="A6591" s="390" t="str">
        <f>IFERROR(__xludf.DUMMYFUNCTION("""COMPUTED_VALUE"""),"Rosilene Bastos Silva - Pós-Graduação Educação Especial e Inclusiva")</f>
        <v>Rosilene Bastos Silva - Pós-Graduação Educação Especial e Inclusiva</v>
      </c>
    </row>
    <row r="6592">
      <c r="A6592" s="390" t="str">
        <f>IFERROR(__xludf.DUMMYFUNCTION("""COMPUTED_VALUE"""),"Imaculada Aparecida Simões Ferreira - RADIANTE - Pós-Graduação em Autismo 1100 Horas")</f>
        <v>Imaculada Aparecida Simões Ferreira - RADIANTE - Pós-Graduação em Autismo 1100 Horas</v>
      </c>
    </row>
    <row r="6593">
      <c r="A6593" s="390" t="str">
        <f>IFERROR(__xludf.DUMMYFUNCTION("""COMPUTED_VALUE"""),"IVALDO GADELHA DE LARA FILHO - #SLMF- Segunda Licenciatura em Música 1320Horas")</f>
        <v>IVALDO GADELHA DE LARA FILHO - #SLMF- Segunda Licenciatura em Música 1320Horas</v>
      </c>
    </row>
    <row r="6594">
      <c r="A6594" s="390" t="str">
        <f>IFERROR(__xludf.DUMMYFUNCTION("""COMPUTED_VALUE"""),"Erica Cristina Zerbinatti Menezes Pereira - Pós-Graduação em Educação Musical")</f>
        <v>Erica Cristina Zerbinatti Menezes Pereira - Pós-Graduação em Educação Musical</v>
      </c>
    </row>
    <row r="6595">
      <c r="A6595" s="390" t="str">
        <f>IFERROR(__xludf.DUMMYFUNCTION("""COMPUTED_VALUE"""),"Erica Cristina Zerbinatti Menezes Pereira - #SLMF- Segunda Licenciatura em Música 1320Horas")</f>
        <v>Erica Cristina Zerbinatti Menezes Pereira - #SLMF- Segunda Licenciatura em Música 1320Horas</v>
      </c>
    </row>
    <row r="6596">
      <c r="A6596" s="390" t="str">
        <f>IFERROR(__xludf.DUMMYFUNCTION("""COMPUTED_VALUE"""),"Erica Cristina Zerbinatti Menezes Pereira - #FPMF- Formação Pedagógica em Música 1200Horas")</f>
        <v>Erica Cristina Zerbinatti Menezes Pereira - #FPMF- Formação Pedagógica em Música 1200Horas</v>
      </c>
    </row>
    <row r="6597">
      <c r="A6597" s="390" t="str">
        <f>IFERROR(__xludf.DUMMYFUNCTION("""COMPUTED_VALUE"""),"Klaézia de Sousa Viana - Pós-Graduação em Neuropsicopedagogia Institucional, Clínica e Hospitalar 850h")</f>
        <v>Klaézia de Sousa Viana - Pós-Graduação em Neuropsicopedagogia Institucional, Clínica e Hospitalar 850h</v>
      </c>
    </row>
    <row r="6598">
      <c r="A6598" s="390" t="str">
        <f>IFERROR(__xludf.DUMMYFUNCTION("""COMPUTED_VALUE"""),"Paulo Sávio Vieira Fernandes Saturnino - FORMAÇÃO PEDAGÓGICA EM GEOGRAFIA - 2024")</f>
        <v>Paulo Sávio Vieira Fernandes Saturnino - FORMAÇÃO PEDAGÓGICA EM GEOGRAFIA - 2024</v>
      </c>
    </row>
    <row r="6599">
      <c r="A6599" s="390" t="str">
        <f>IFERROR(__xludf.DUMMYFUNCTION("""COMPUTED_VALUE"""),"Júlio César Cechelero - #FPMF- Formação Pedagógica em Música 1200Horas")</f>
        <v>Júlio César Cechelero - #FPMF- Formação Pedagógica em Música 1200Horas</v>
      </c>
    </row>
    <row r="6600">
      <c r="A6600" s="390" t="str">
        <f>IFERROR(__xludf.DUMMYFUNCTION("""COMPUTED_VALUE"""),"Suelen Fraga Simão - #SLPA- Segunda Licenciatura em Pedagogia 01")</f>
        <v>Suelen Fraga Simão - #SLPA- Segunda Licenciatura em Pedagogia 01</v>
      </c>
    </row>
    <row r="6601">
      <c r="A6601" s="390" t="str">
        <f>IFERROR(__xludf.DUMMYFUNCTION("""COMPUTED_VALUE"""),"Suelen Fraga Simão - Pós-graduação em Neuropsicologia")</f>
        <v>Suelen Fraga Simão - Pós-graduação em Neuropsicologia</v>
      </c>
    </row>
    <row r="6602">
      <c r="A6602" s="390" t="str">
        <f>IFERROR(__xludf.DUMMYFUNCTION("""COMPUTED_VALUE"""),"Abigail Sousa Azevedo - RADIANTE - Pós-Graduação em Atendimento Educacional Especializado Com Ênfase Em Educação Especial e Inclusiva")</f>
        <v>Abigail Sousa Azevedo - RADIANTE - Pós-Graduação em Atendimento Educacional Especializado Com Ênfase Em Educação Especial e Inclusiva</v>
      </c>
    </row>
    <row r="6603">
      <c r="A6603" s="390" t="str">
        <f>IFERROR(__xludf.DUMMYFUNCTION("""COMPUTED_VALUE"""),"Jaqueline Batista Cordeiro - NOVO-Pós-Graduação em Psicanálise 800 Horas")</f>
        <v>Jaqueline Batista Cordeiro - NOVO-Pós-Graduação em Psicanálise 800 Horas</v>
      </c>
    </row>
    <row r="6604">
      <c r="A6604" s="390" t="str">
        <f>IFERROR(__xludf.DUMMYFUNCTION("""COMPUTED_VALUE"""),"Eliã Ambrósio Cândido da Silva - SEGUNDA LICENCIATURA EM MÚSICA - 2024")</f>
        <v>Eliã Ambrósio Cândido da Silva - SEGUNDA LICENCIATURA EM MÚSICA - 2024</v>
      </c>
    </row>
    <row r="6605">
      <c r="A6605" s="390" t="str">
        <f>IFERROR(__xludf.DUMMYFUNCTION("""COMPUTED_VALUE"""),"Neusa Aparecida dos Santos - RADIANTE - Pós-Graduação em Braille e Libras")</f>
        <v>Neusa Aparecida dos Santos - RADIANTE - Pós-Graduação em Braille e Libras</v>
      </c>
    </row>
    <row r="6606">
      <c r="A6606" s="390" t="str">
        <f>IFERROR(__xludf.DUMMYFUNCTION("""COMPUTED_VALUE"""),"Glauco Santos de Lima - FORMAÇÃO PEDAGÓGICA EM PEDAGOGIA - 2024")</f>
        <v>Glauco Santos de Lima - FORMAÇÃO PEDAGÓGICA EM PEDAGOGIA - 2024</v>
      </c>
    </row>
    <row r="6607">
      <c r="A6607" s="390" t="str">
        <f>IFERROR(__xludf.DUMMYFUNCTION("""COMPUTED_VALUE"""),"Marcia De Santis - #SLLPI- Segunda Licenciatura em Letras-Português/Inglês")</f>
        <v>Marcia De Santis - #SLLPI- Segunda Licenciatura em Letras-Português/Inglês</v>
      </c>
    </row>
    <row r="6608">
      <c r="A6608" s="390" t="str">
        <f>IFERROR(__xludf.DUMMYFUNCTION("""COMPUTED_VALUE"""),"Simei Pereira de Andrade - #SLMF- Segunda Licenciatura em Música 1320Horas")</f>
        <v>Simei Pereira de Andrade - #SLMF- Segunda Licenciatura em Música 1320Horas</v>
      </c>
    </row>
    <row r="6609">
      <c r="A6609" s="390" t="str">
        <f>IFERROR(__xludf.DUMMYFUNCTION("""COMPUTED_VALUE"""),"Simei Pereira de Andrade - PÓS-GRADUAÇÃO EM METODOLOGIA DO ENSINO DA MATEMÁTICA - 2024")</f>
        <v>Simei Pereira de Andrade - PÓS-GRADUAÇÃO EM METODOLOGIA DO ENSINO DA MATEMÁTICA - 2024</v>
      </c>
    </row>
    <row r="6610">
      <c r="A6610" s="390" t="str">
        <f>IFERROR(__xludf.DUMMYFUNCTION("""COMPUTED_VALUE"""),"Daniel Plaisant Carneiro - #SLMF- Segunda Licenciatura em Música 1320Horas")</f>
        <v>Daniel Plaisant Carneiro - #SLMF- Segunda Licenciatura em Música 1320Horas</v>
      </c>
    </row>
    <row r="6611">
      <c r="A6611" s="390" t="str">
        <f>IFERROR(__xludf.DUMMYFUNCTION("""COMPUTED_VALUE"""),"Valquíria Lopes de Souto Santos - #SLPA- Segunda Licenciatura em Pedagogia 01")</f>
        <v>Valquíria Lopes de Souto Santos - #SLPA- Segunda Licenciatura em Pedagogia 01</v>
      </c>
    </row>
    <row r="6612">
      <c r="A6612" s="390" t="str">
        <f>IFERROR(__xludf.DUMMYFUNCTION("""COMPUTED_VALUE"""),"Laissa Cordennuzzi Zitei de Melo - #SLMF- Segunda Licenciatura em Música 1320Horas")</f>
        <v>Laissa Cordennuzzi Zitei de Melo - #SLMF- Segunda Licenciatura em Música 1320Horas</v>
      </c>
    </row>
    <row r="6613">
      <c r="A6613" s="390" t="str">
        <f>IFERROR(__xludf.DUMMYFUNCTION("""COMPUTED_VALUE"""),"Celio Aparecido Antunes - NOVO-Pós-Graduação em Psicanálise 800 Horas")</f>
        <v>Celio Aparecido Antunes - NOVO-Pós-Graduação em Psicanálise 800 Horas</v>
      </c>
    </row>
    <row r="6614">
      <c r="A6614" s="390" t="str">
        <f>IFERROR(__xludf.DUMMYFUNCTION("""COMPUTED_VALUE"""),"José Antonio Greco - SEGUNDA LICENCIATURA EM EDUCAÇÃO FÍSICA")</f>
        <v>José Antonio Greco - SEGUNDA LICENCIATURA EM EDUCAÇÃO FÍSICA</v>
      </c>
    </row>
    <row r="6615">
      <c r="A6615" s="390" t="str">
        <f>IFERROR(__xludf.DUMMYFUNCTION("""COMPUTED_VALUE"""),"Oziel Araújo de Souza - #SLPA- Segunda Licenciatura em Pedagogia 01")</f>
        <v>Oziel Araújo de Souza - #SLPA- Segunda Licenciatura em Pedagogia 01</v>
      </c>
    </row>
    <row r="6616">
      <c r="A6616" s="390" t="str">
        <f>IFERROR(__xludf.DUMMYFUNCTION("""COMPUTED_VALUE"""),"Juliane dos Santos Veiga - NOVO-Pós-Graduação em Psicanálise 800 Horas")</f>
        <v>Juliane dos Santos Veiga - NOVO-Pós-Graduação em Psicanálise 800 Horas</v>
      </c>
    </row>
    <row r="6617">
      <c r="A6617" s="390" t="str">
        <f>IFERROR(__xludf.DUMMYFUNCTION("""COMPUTED_VALUE"""),"Marcos Marcolino - #SLMF- Segunda Licenciatura em Música 2022 880Horas")</f>
        <v>Marcos Marcolino - #SLMF- Segunda Licenciatura em Música 2022 880Horas</v>
      </c>
    </row>
    <row r="6618">
      <c r="A6618" s="390" t="str">
        <f>IFERROR(__xludf.DUMMYFUNCTION("""COMPUTED_VALUE"""),"Adailton Jhonathas Feliciano dos Santos - #SLMF- Segunda Licenciatura em Música 1320Horas")</f>
        <v>Adailton Jhonathas Feliciano dos Santos - #SLMF- Segunda Licenciatura em Música 1320Horas</v>
      </c>
    </row>
    <row r="6619">
      <c r="A6619" s="390" t="str">
        <f>IFERROR(__xludf.DUMMYFUNCTION("""COMPUTED_VALUE"""),"Sérgio Monteiro - Formação Livre em Psicanálise-2022")</f>
        <v>Sérgio Monteiro - Formação Livre em Psicanálise-2022</v>
      </c>
    </row>
    <row r="6620">
      <c r="A6620" s="390" t="str">
        <f>IFERROR(__xludf.DUMMYFUNCTION("""COMPUTED_VALUE"""),"Emanuel David Paulino - Pós-Graduação em Engenharia de Segurança do Trabalho")</f>
        <v>Emanuel David Paulino - Pós-Graduação em Engenharia de Segurança do Trabalho</v>
      </c>
    </row>
    <row r="6621">
      <c r="A6621" s="390" t="str">
        <f>IFERROR(__xludf.DUMMYFUNCTION("""COMPUTED_VALUE"""),"Eliézer da Silva Freitas - #SLMF- Segunda Licenciatura em Música 1320Horas")</f>
        <v>Eliézer da Silva Freitas - #SLMF- Segunda Licenciatura em Música 1320Horas</v>
      </c>
    </row>
    <row r="6622">
      <c r="A6622" s="390" t="str">
        <f>IFERROR(__xludf.DUMMYFUNCTION("""COMPUTED_VALUE"""),"Jacqueline Camelo Policarpo - Capacitação em Sexologia")</f>
        <v>Jacqueline Camelo Policarpo - Capacitação em Sexologia</v>
      </c>
    </row>
    <row r="6623">
      <c r="A6623" s="390" t="str">
        <f>IFERROR(__xludf.DUMMYFUNCTION("""COMPUTED_VALUE"""),"Jacqueline Camelo Policarpo - Formação Livre em Psicanálise-2022")</f>
        <v>Jacqueline Camelo Policarpo - Formação Livre em Psicanálise-2022</v>
      </c>
    </row>
    <row r="6624">
      <c r="A6624" s="390" t="str">
        <f>IFERROR(__xludf.DUMMYFUNCTION("""COMPUTED_VALUE"""),"Jânia Ferreira Vitor Araújo - #SLUPI - SEGUNDA LICENCIATURA EM LETRAS – PORTUGUÊS E INGLÊS")</f>
        <v>Jânia Ferreira Vitor Araújo - #SLUPI - SEGUNDA LICENCIATURA EM LETRAS – PORTUGUÊS E INGLÊS</v>
      </c>
    </row>
    <row r="6625">
      <c r="A6625" s="390" t="str">
        <f>IFERROR(__xludf.DUMMYFUNCTION("""COMPUTED_VALUE"""),"Jânia Ferreira Vitor Araújo - Pós-Graduação em Supervisão Escolar")</f>
        <v>Jânia Ferreira Vitor Araújo - Pós-Graduação em Supervisão Escolar</v>
      </c>
    </row>
    <row r="6626">
      <c r="A6626" s="390" t="str">
        <f>IFERROR(__xludf.DUMMYFUNCTION("""COMPUTED_VALUE"""),"Artur De Oliveira Werner - SEGUNDA LICENCIATURA EM MÚSICA - 2024")</f>
        <v>Artur De Oliveira Werner - SEGUNDA LICENCIATURA EM MÚSICA - 2024</v>
      </c>
    </row>
    <row r="6627">
      <c r="A6627" s="390" t="str">
        <f>IFERROR(__xludf.DUMMYFUNCTION("""COMPUTED_VALUE"""),"Mercedes Gomes Michaud Cunha - #SLMF- Segunda Licenciatura em Música 1320Horas")</f>
        <v>Mercedes Gomes Michaud Cunha - #SLMF- Segunda Licenciatura em Música 1320Horas</v>
      </c>
    </row>
    <row r="6628">
      <c r="A6628" s="390" t="str">
        <f>IFERROR(__xludf.DUMMYFUNCTION("""COMPUTED_VALUE"""),"JOSIANE SOUSA PEREIRA- RADIANTE - Pós-Graduação em Terapia Ocupacional Aplicada à Neurologia")</f>
        <v>JOSIANE SOUSA PEREIRA- RADIANTE - Pós-Graduação em Terapia Ocupacional Aplicada à Neurologia</v>
      </c>
    </row>
    <row r="6629">
      <c r="A6629" s="390" t="str">
        <f>IFERROR(__xludf.DUMMYFUNCTION("""COMPUTED_VALUE"""),"Homero Morais do Nascimento - #SLMF- Segunda Licenciatura em Música 1320Horas")</f>
        <v>Homero Morais do Nascimento - #SLMF- Segunda Licenciatura em Música 1320Horas</v>
      </c>
    </row>
    <row r="6630">
      <c r="A6630" s="390" t="str">
        <f>IFERROR(__xludf.DUMMYFUNCTION("""COMPUTED_VALUE"""),"Renata Boschetti - Novo-Pós-Graduação em Sexologia 800Horas")</f>
        <v>Renata Boschetti - Novo-Pós-Graduação em Sexologia 800Horas</v>
      </c>
    </row>
    <row r="6631">
      <c r="A6631" s="390" t="str">
        <f>IFERROR(__xludf.DUMMYFUNCTION("""COMPUTED_VALUE"""),"Rosemara dos Santos Fermino - NOVO-Pós-Graduação em Psicanálise 800 Horas")</f>
        <v>Rosemara dos Santos Fermino - NOVO-Pós-Graduação em Psicanálise 800 Horas</v>
      </c>
    </row>
    <row r="6632">
      <c r="A6632" s="390" t="str">
        <f>IFERROR(__xludf.DUMMYFUNCTION("""COMPUTED_VALUE"""),"Marina Nunes Batista - #SLPA- Segunda Licenciatura em Pedagogia 01")</f>
        <v>Marina Nunes Batista - #SLPA- Segunda Licenciatura em Pedagogia 01</v>
      </c>
    </row>
    <row r="6633">
      <c r="A6633" s="390" t="str">
        <f>IFERROR(__xludf.DUMMYFUNCTION("""COMPUTED_VALUE"""),"Ideldino Oliveira Matias - RADIANTE - Pós-Graduação em Enfermagem em Oncológica")</f>
        <v>Ideldino Oliveira Matias - RADIANTE - Pós-Graduação em Enfermagem em Oncológica</v>
      </c>
    </row>
    <row r="6634">
      <c r="A6634" s="390" t="str">
        <f>IFERROR(__xludf.DUMMYFUNCTION("""COMPUTED_VALUE"""),"Juliana Galvão Lopes - Pós-Graduação Psicopedagogia Clínica, Institucional e Hospitalar")</f>
        <v>Juliana Galvão Lopes - Pós-Graduação Psicopedagogia Clínica, Institucional e Hospitalar</v>
      </c>
    </row>
    <row r="6635">
      <c r="A6635" s="390" t="str">
        <f>IFERROR(__xludf.DUMMYFUNCTION("""COMPUTED_VALUE"""),"Juliana Galvão Lopes - Pós-Graduação em Neuropsicopedagogia Institucional, Clínica e Hospitalar 850h")</f>
        <v>Juliana Galvão Lopes - Pós-Graduação em Neuropsicopedagogia Institucional, Clínica e Hospitalar 850h</v>
      </c>
    </row>
    <row r="6636">
      <c r="A6636" s="390" t="str">
        <f>IFERROR(__xludf.DUMMYFUNCTION("""COMPUTED_VALUE"""),"Wallace Da Silva Ribeiro - #FPMF- Formação Pedagógica em Música 2022")</f>
        <v>Wallace Da Silva Ribeiro - #FPMF- Formação Pedagógica em Música 2022</v>
      </c>
    </row>
    <row r="6637">
      <c r="A6637" s="390" t="str">
        <f>IFERROR(__xludf.DUMMYFUNCTION("""COMPUTED_VALUE"""),"Thays Cristina Pereira Rodrigues - PÓS-GRADUAÇÃO EM DIREITO EDUCACIONAL- 2024")</f>
        <v>Thays Cristina Pereira Rodrigues - PÓS-GRADUAÇÃO EM DIREITO EDUCACIONAL- 2024</v>
      </c>
    </row>
    <row r="6638">
      <c r="A6638" s="390" t="str">
        <f>IFERROR(__xludf.DUMMYFUNCTION("""COMPUTED_VALUE"""),"Luiz Osmar Oliveira Palheta - FORMAÇÃO PEDAGÓGICA EM MÚSICA - 2024")</f>
        <v>Luiz Osmar Oliveira Palheta - FORMAÇÃO PEDAGÓGICA EM MÚSICA - 2024</v>
      </c>
    </row>
    <row r="6639">
      <c r="A6639" s="390" t="str">
        <f>IFERROR(__xludf.DUMMYFUNCTION("""COMPUTED_VALUE"""),"Joyce Héllida Vater - Pós-Graduação em Terapia Ocupacional Aplicada à Neurologia")</f>
        <v>Joyce Héllida Vater - Pós-Graduação em Terapia Ocupacional Aplicada à Neurologia</v>
      </c>
    </row>
    <row r="6640">
      <c r="A6640" s="390" t="str">
        <f>IFERROR(__xludf.DUMMYFUNCTION("""COMPUTED_VALUE"""),"Joyce Héllida Vater - Pós-Graduação em Terapia Ocupacional Aplicada à Neurologia")</f>
        <v>Joyce Héllida Vater - Pós-Graduação em Terapia Ocupacional Aplicada à Neurologia</v>
      </c>
    </row>
    <row r="6641">
      <c r="A6641" s="390" t="str">
        <f>IFERROR(__xludf.DUMMYFUNCTION("""COMPUTED_VALUE"""),"Esther Silva Da Conceição - FORMAÇÃO LIVRE EM PSICANÁLISE - 2024")</f>
        <v>Esther Silva Da Conceição - FORMAÇÃO LIVRE EM PSICANÁLISE - 2024</v>
      </c>
    </row>
    <row r="6642">
      <c r="A6642" s="390" t="str">
        <f>IFERROR(__xludf.DUMMYFUNCTION("""COMPUTED_VALUE"""),"MARIA DA CONCEIÇÃO DE MATOS PEIXOTO - FORMAÇÃO PEDAGÓGICA EM MÚSICA - 2024")</f>
        <v>MARIA DA CONCEIÇÃO DE MATOS PEIXOTO - FORMAÇÃO PEDAGÓGICA EM MÚSICA - 2024</v>
      </c>
    </row>
    <row r="6643">
      <c r="A6643" s="390" t="str">
        <f>IFERROR(__xludf.DUMMYFUNCTION("""COMPUTED_VALUE"""),"Andréia de Oliveira Rodrigues - Pós-Graduação em Gerontologia e Saúde do Idoso")</f>
        <v>Andréia de Oliveira Rodrigues - Pós-Graduação em Gerontologia e Saúde do Idoso</v>
      </c>
    </row>
    <row r="6644">
      <c r="A6644" s="390" t="str">
        <f>IFERROR(__xludf.DUMMYFUNCTION("""COMPUTED_VALUE"""),"Ruthe Pastorio de Moura - Pós-Graduação em Avaliação Psicológica e Psicodiagnóstico")</f>
        <v>Ruthe Pastorio de Moura - Pós-Graduação em Avaliação Psicológica e Psicodiagnóstico</v>
      </c>
    </row>
    <row r="6645">
      <c r="A6645" s="390" t="str">
        <f>IFERROR(__xludf.DUMMYFUNCTION("""COMPUTED_VALUE"""),"Emerson Viana Lucindo - Pós-Graduação em Letras com Ênfase em Linguística")</f>
        <v>Emerson Viana Lucindo - Pós-Graduação em Letras com Ênfase em Linguística</v>
      </c>
    </row>
    <row r="6646">
      <c r="A6646" s="390" t="str">
        <f>IFERROR(__xludf.DUMMYFUNCTION("""COMPUTED_VALUE"""),"Mariane Soares Lage - Formação Pedagógica em Ciências Sociais")</f>
        <v>Mariane Soares Lage - Formação Pedagógica em Ciências Sociais</v>
      </c>
    </row>
    <row r="6647">
      <c r="A6647" s="390" t="str">
        <f>IFERROR(__xludf.DUMMYFUNCTION("""COMPUTED_VALUE"""),"Ravi Valentim de Carvalho Pereira - Pós-Graduação em Autismo")</f>
        <v>Ravi Valentim de Carvalho Pereira - Pós-Graduação em Autismo</v>
      </c>
    </row>
    <row r="6648">
      <c r="A6648" s="390" t="str">
        <f>IFERROR(__xludf.DUMMYFUNCTION("""COMPUTED_VALUE"""),"Priscila Silva de Oliveira Melk - Pós-Graduação em Avaliação Psicológica e Psicodiagnóstico")</f>
        <v>Priscila Silva de Oliveira Melk - Pós-Graduação em Avaliação Psicológica e Psicodiagnóstico</v>
      </c>
    </row>
    <row r="6649">
      <c r="A6649" s="390" t="str">
        <f>IFERROR(__xludf.DUMMYFUNCTION("""COMPUTED_VALUE"""),"Adriano Augusto Monteiro dos Santos - FORMAÇÃO PEDAGÓGICA EM MÚSICA - 2024")</f>
        <v>Adriano Augusto Monteiro dos Santos - FORMAÇÃO PEDAGÓGICA EM MÚSICA - 2024</v>
      </c>
    </row>
    <row r="6650">
      <c r="A6650" s="390" t="str">
        <f>IFERROR(__xludf.DUMMYFUNCTION("""COMPUTED_VALUE"""),"Maria do Socorro da Silva - Pós-Graduação em Terapia em ABA- Análise do Comportamento Aplicada")</f>
        <v>Maria do Socorro da Silva - Pós-Graduação em Terapia em ABA- Análise do Comportamento Aplicada</v>
      </c>
    </row>
    <row r="6651">
      <c r="A6651" s="390" t="str">
        <f>IFERROR(__xludf.DUMMYFUNCTION("""COMPUTED_VALUE"""),"Amanda Santos Duarte - Novo-Pós-Graduação em Sexologia 800Horas")</f>
        <v>Amanda Santos Duarte - Novo-Pós-Graduação em Sexologia 800Horas</v>
      </c>
    </row>
    <row r="6652">
      <c r="A6652" s="390" t="str">
        <f>IFERROR(__xludf.DUMMYFUNCTION("""COMPUTED_VALUE"""),"Monique Cursino dos santos lima - Pós-Graduação em Alfabetização e Letramento e a Psicopedagogia")</f>
        <v>Monique Cursino dos santos lima - Pós-Graduação em Alfabetização e Letramento e a Psicopedagogia</v>
      </c>
    </row>
    <row r="6653">
      <c r="A6653" s="390" t="str">
        <f>IFERROR(__xludf.DUMMYFUNCTION("""COMPUTED_VALUE"""),"Monique Cursino dos santos lima - FORMAÇÃO LIVRE EM PSICANÁLISE - 2024")</f>
        <v>Monique Cursino dos santos lima - FORMAÇÃO LIVRE EM PSICANÁLISE - 2024</v>
      </c>
    </row>
    <row r="6654">
      <c r="A6654" s="390" t="str">
        <f>IFERROR(__xludf.DUMMYFUNCTION("""COMPUTED_VALUE"""),"Monique Cursino dos santos lima - FORMAÇÃO LIVRE EM PSICANÁLISE - 2024")</f>
        <v>Monique Cursino dos santos lima - FORMAÇÃO LIVRE EM PSICANÁLISE - 2024</v>
      </c>
    </row>
    <row r="6655">
      <c r="A6655" s="390" t="str">
        <f>IFERROR(__xludf.DUMMYFUNCTION("""COMPUTED_VALUE"""),"Fabio Rogerio Borges Alves - SEGUNDA LICENCIATURA PEDAGOGIA - 2024")</f>
        <v>Fabio Rogerio Borges Alves - SEGUNDA LICENCIATURA PEDAGOGIA - 2024</v>
      </c>
    </row>
    <row r="6656">
      <c r="A6656" s="390" t="str">
        <f>IFERROR(__xludf.DUMMYFUNCTION("""COMPUTED_VALUE"""),"Emerson Barbosa da Silva - PÓS-GRADUAÇÃO EM MUSICOTERAPIA-2022")</f>
        <v>Emerson Barbosa da Silva - PÓS-GRADUAÇÃO EM MUSICOTERAPIA-2022</v>
      </c>
    </row>
    <row r="6657">
      <c r="A6657" s="390" t="str">
        <f>IFERROR(__xludf.DUMMYFUNCTION("""COMPUTED_VALUE"""),"Livia Tavares Silva Cabral - #FPT1-Pedagogia para Bacharéis e Tecnólogos (2022)")</f>
        <v>Livia Tavares Silva Cabral - #FPT1-Pedagogia para Bacharéis e Tecnólogos (2022)</v>
      </c>
    </row>
    <row r="6658">
      <c r="A6658" s="390" t="str">
        <f>IFERROR(__xludf.DUMMYFUNCTION("""COMPUTED_VALUE"""),"Marlon Nunes Silva - #SLUPI - SEGUNDA LICENCIATURA EM LETRAS – PORTUGUÊS E INGLÊS")</f>
        <v>Marlon Nunes Silva - #SLUPI - SEGUNDA LICENCIATURA EM LETRAS – PORTUGUÊS E INGLÊS</v>
      </c>
    </row>
    <row r="6659">
      <c r="A6659" s="390" t="str">
        <f>IFERROR(__xludf.DUMMYFUNCTION("""COMPUTED_VALUE"""),"Alessandro Aparecido Nunes dos Santos - FORMAÇÃO LIVRE EM PSICANÁLISE - 2024")</f>
        <v>Alessandro Aparecido Nunes dos Santos - FORMAÇÃO LIVRE EM PSICANÁLISE - 2024</v>
      </c>
    </row>
    <row r="6660">
      <c r="A6660" s="390" t="str">
        <f>IFERROR(__xludf.DUMMYFUNCTION("""COMPUTED_VALUE"""),"Evanilde de Sousa Lima - SEGUNDA LICENCIATURA EM HISTÓRIA - 2024")</f>
        <v>Evanilde de Sousa Lima - SEGUNDA LICENCIATURA EM HISTÓRIA - 2024</v>
      </c>
    </row>
    <row r="6661">
      <c r="A6661" s="390" t="str">
        <f>IFERROR(__xludf.DUMMYFUNCTION("""COMPUTED_VALUE"""),"Evanilde de Sousa Lima - Pós-Graduação em Ensino de História e Geografia")</f>
        <v>Evanilde de Sousa Lima - Pós-Graduação em Ensino de História e Geografia</v>
      </c>
    </row>
    <row r="6662">
      <c r="A6662" s="390" t="str">
        <f>IFERROR(__xludf.DUMMYFUNCTION("""COMPUTED_VALUE"""),"Fabiana Ferreira Neves Goveia - SEGUNDA LICENCIATURA EM MATEMÁTICA - 2024")</f>
        <v>Fabiana Ferreira Neves Goveia - SEGUNDA LICENCIATURA EM MATEMÁTICA - 2024</v>
      </c>
    </row>
    <row r="6663">
      <c r="A6663" s="390" t="str">
        <f>IFERROR(__xludf.DUMMYFUNCTION("""COMPUTED_VALUE"""),"Maria do Carmo Rodrigues Pinheiro - #FPT1-Pedagogia para Bacharéis e Tecnólogos (2022)")</f>
        <v>Maria do Carmo Rodrigues Pinheiro - #FPT1-Pedagogia para Bacharéis e Tecnólogos (2022)</v>
      </c>
    </row>
    <row r="6664">
      <c r="A6664" s="390" t="str">
        <f>IFERROR(__xludf.DUMMYFUNCTION("""COMPUTED_VALUE"""),"Maria do Carmo Rodrigues Pinheiro - #FPT1-Pedagogia para Bacharéis e Tecnólogos (2022)")</f>
        <v>Maria do Carmo Rodrigues Pinheiro - #FPT1-Pedagogia para Bacharéis e Tecnólogos (2022)</v>
      </c>
    </row>
    <row r="6665">
      <c r="A6665" s="390" t="str">
        <f>IFERROR(__xludf.DUMMYFUNCTION("""COMPUTED_VALUE"""),"Valentin Moreira Brandão - FORMAÇÃO LIVRE EM PSICANÁLISE - 2024")</f>
        <v>Valentin Moreira Brandão - FORMAÇÃO LIVRE EM PSICANÁLISE - 2024</v>
      </c>
    </row>
    <row r="6666">
      <c r="A6666" s="390" t="str">
        <f>IFERROR(__xludf.DUMMYFUNCTION("""COMPUTED_VALUE"""),"Natalia Bracarense Campos - Pós-Graduação em Sexologia")</f>
        <v>Natalia Bracarense Campos - Pós-Graduação em Sexologia</v>
      </c>
    </row>
    <row r="6667">
      <c r="A6667" s="390" t="str">
        <f>IFERROR(__xludf.DUMMYFUNCTION("""COMPUTED_VALUE"""),"Natalia Bracarense Campos - Pós-Graduação em Sexologia")</f>
        <v>Natalia Bracarense Campos - Pós-Graduação em Sexologia</v>
      </c>
    </row>
    <row r="6668">
      <c r="A6668" s="390" t="str">
        <f>IFERROR(__xludf.DUMMYFUNCTION("""COMPUTED_VALUE"""),"Taciane Mara de Lima Gomes - FORMAÇÃO LIVRE EM PSICANÁLISE - 2024")</f>
        <v>Taciane Mara de Lima Gomes - FORMAÇÃO LIVRE EM PSICANÁLISE - 2024</v>
      </c>
    </row>
    <row r="6669">
      <c r="A6669" s="390" t="str">
        <f>IFERROR(__xludf.DUMMYFUNCTION("""COMPUTED_VALUE"""),"Taciane Mara de Lima Gomes - FORMAÇÃO LIVRE EM PSICANÁLISE - 2024")</f>
        <v>Taciane Mara de Lima Gomes - FORMAÇÃO LIVRE EM PSICANÁLISE - 2024</v>
      </c>
    </row>
    <row r="6670">
      <c r="A6670" s="390" t="str">
        <f>IFERROR(__xludf.DUMMYFUNCTION("""COMPUTED_VALUE"""),"Manoel Gioncarlo e Silva - SEGUNDA LICENCIATURA PEDAGOGIA - 2024")</f>
        <v>Manoel Gioncarlo e Silva - SEGUNDA LICENCIATURA PEDAGOGIA - 2024</v>
      </c>
    </row>
    <row r="6671">
      <c r="A6671" s="390" t="str">
        <f>IFERROR(__xludf.DUMMYFUNCTION("""COMPUTED_VALUE"""),"Manoel Gioncarlo e Silva - SEGUNDA LICENCIATURA PEDAGOGIA - 2024")</f>
        <v>Manoel Gioncarlo e Silva - SEGUNDA LICENCIATURA PEDAGOGIA - 2024</v>
      </c>
    </row>
    <row r="6672">
      <c r="A6672" s="390" t="str">
        <f>IFERROR(__xludf.DUMMYFUNCTION("""COMPUTED_VALUE"""),"Manoel Gioncarlo e Silva - SEGUNDA LICENCIATURA PEDAGOGIA - 2024")</f>
        <v>Manoel Gioncarlo e Silva - SEGUNDA LICENCIATURA PEDAGOGIA - 2024</v>
      </c>
    </row>
    <row r="6673">
      <c r="A6673" s="390" t="str">
        <f>IFERROR(__xludf.DUMMYFUNCTION("""COMPUTED_VALUE"""),"Manoel Gioncarlo e Silva - #SLPT- Segunda Licenciatura em Pedagogia")</f>
        <v>Manoel Gioncarlo e Silva - #SLPT- Segunda Licenciatura em Pedagogia</v>
      </c>
    </row>
    <row r="6674">
      <c r="A6674" s="390" t="str">
        <f>IFERROR(__xludf.DUMMYFUNCTION("""COMPUTED_VALUE"""),"Simeire alves pacheco de Oliveira Lacerda - NOVO-Pós-Graduação em Psicanálise 800 Horas")</f>
        <v>Simeire alves pacheco de Oliveira Lacerda - NOVO-Pós-Graduação em Psicanálise 800 Horas</v>
      </c>
    </row>
    <row r="6675">
      <c r="A6675" s="390" t="str">
        <f>IFERROR(__xludf.DUMMYFUNCTION("""COMPUTED_VALUE"""),"Simeire alves pacheco de Oliveira Lacerda - Pós-Graduação em MBA em Gestão de Pessoas e Talentos")</f>
        <v>Simeire alves pacheco de Oliveira Lacerda - Pós-Graduação em MBA em Gestão de Pessoas e Talentos</v>
      </c>
    </row>
    <row r="6676">
      <c r="A6676" s="390" t="str">
        <f>IFERROR(__xludf.DUMMYFUNCTION("""COMPUTED_VALUE"""),"Paulo Henrique Ferreira da Silva - SEGUNDA LICENCIATURA PEDAGOGIA - 2024")</f>
        <v>Paulo Henrique Ferreira da Silva - SEGUNDA LICENCIATURA PEDAGOGIA - 2024</v>
      </c>
    </row>
    <row r="6677">
      <c r="A6677" s="390" t="str">
        <f>IFERROR(__xludf.DUMMYFUNCTION("""COMPUTED_VALUE"""),"Paulo Henrique Ferreira da Silva - SEGUNDA LICENCIATURA PEDAGOGIA - 2024")</f>
        <v>Paulo Henrique Ferreira da Silva - SEGUNDA LICENCIATURA PEDAGOGIA - 2024</v>
      </c>
    </row>
    <row r="6678">
      <c r="A6678" s="390" t="str">
        <f>IFERROR(__xludf.DUMMYFUNCTION("""COMPUTED_VALUE"""),"Paulo Henrique Ferreira da Silva - SEGUNDA LICENCIATURA PEDAGOGIA - 2024")</f>
        <v>Paulo Henrique Ferreira da Silva - SEGUNDA LICENCIATURA PEDAGOGIA - 2024</v>
      </c>
    </row>
    <row r="6679">
      <c r="A6679" s="390" t="str">
        <f>IFERROR(__xludf.DUMMYFUNCTION("""COMPUTED_VALUE"""),"Paulo Henrique Ferreira da Silva - SEGUNDA LICENCIATURA PEDAGOGIA - 2024")</f>
        <v>Paulo Henrique Ferreira da Silva - SEGUNDA LICENCIATURA PEDAGOGIA - 2024</v>
      </c>
    </row>
    <row r="6680">
      <c r="A6680" s="390" t="str">
        <f>IFERROR(__xludf.DUMMYFUNCTION("""COMPUTED_VALUE"""),"Paulo Henrique Ferreira da Silva - SEGUNDA LICENCIATURA PEDAGOGIA - 2024")</f>
        <v>Paulo Henrique Ferreira da Silva - SEGUNDA LICENCIATURA PEDAGOGIA - 2024</v>
      </c>
    </row>
    <row r="6681">
      <c r="A6681" s="390" t="str">
        <f>IFERROR(__xludf.DUMMYFUNCTION("""COMPUTED_VALUE"""),"Ana Claudia Alves Lima - Pós-Graduação Educação Especial e Inclusiva")</f>
        <v>Ana Claudia Alves Lima - Pós-Graduação Educação Especial e Inclusiva</v>
      </c>
    </row>
    <row r="6682">
      <c r="A6682" s="390" t="str">
        <f>IFERROR(__xludf.DUMMYFUNCTION("""COMPUTED_VALUE"""),"Thelmo Bonanno Cruz - SEGUNDA LICENCIATURA EM MÚSICA - 2024")</f>
        <v>Thelmo Bonanno Cruz - SEGUNDA LICENCIATURA EM MÚSICA - 2024</v>
      </c>
    </row>
    <row r="6683">
      <c r="A6683" s="390" t="str">
        <f>IFERROR(__xludf.DUMMYFUNCTION("""COMPUTED_VALUE"""),"Lazara Aparecida Rodrigues - Pós-Graduação em Gestão Escolar Integrada com Ênfase em Supervisão, Orientação, Administração e Inspeção")</f>
        <v>Lazara Aparecida Rodrigues - Pós-Graduação em Gestão Escolar Integrada com Ênfase em Supervisão, Orientação, Administração e Inspeção</v>
      </c>
    </row>
    <row r="6684">
      <c r="A6684" s="390" t="str">
        <f>IFERROR(__xludf.DUMMYFUNCTION("""COMPUTED_VALUE"""),"Rosangela de Oliveira - NOVO-Pós-Graduação em Psicanálise 800 Horas")</f>
        <v>Rosangela de Oliveira - NOVO-Pós-Graduação em Psicanálise 800 Horas</v>
      </c>
    </row>
    <row r="6685">
      <c r="A6685" s="390" t="str">
        <f>IFERROR(__xludf.DUMMYFUNCTION("""COMPUTED_VALUE"""),"Andréia Saraiva e Silva - Pós-Graduação em Neuropsicopedagogia Institucional, Clínica e Hospitalar 850h")</f>
        <v>Andréia Saraiva e Silva - Pós-Graduação em Neuropsicopedagogia Institucional, Clínica e Hospitalar 850h</v>
      </c>
    </row>
    <row r="6686">
      <c r="A6686" s="390" t="str">
        <f>IFERROR(__xludf.DUMMYFUNCTION("""COMPUTED_VALUE"""),"Daniel Martins Correia - #SLGA - Segunda Licenciatura em Geografia")</f>
        <v>Daniel Martins Correia - #SLGA - Segunda Licenciatura em Geografia</v>
      </c>
    </row>
    <row r="6687">
      <c r="A6687" s="390" t="str">
        <f>IFERROR(__xludf.DUMMYFUNCTION("""COMPUTED_VALUE"""),"Ana Karoline citadin fernandes - SEGUNDA LICENCIATURA PEDAGOGIA - 2024")</f>
        <v>Ana Karoline citadin fernandes - SEGUNDA LICENCIATURA PEDAGOGIA - 2024</v>
      </c>
    </row>
    <row r="6688">
      <c r="A6688" s="390" t="str">
        <f>IFERROR(__xludf.DUMMYFUNCTION("""COMPUTED_VALUE"""),"Yennifer Andrea Escobar Restrepo - FORMAÇÃO PEDAGÓGICA EM LETRAS PORTUGUÊS / INGLÊS - 2024")</f>
        <v>Yennifer Andrea Escobar Restrepo - FORMAÇÃO PEDAGÓGICA EM LETRAS PORTUGUÊS / INGLÊS - 2024</v>
      </c>
    </row>
    <row r="6689">
      <c r="A6689" s="390" t="str">
        <f>IFERROR(__xludf.DUMMYFUNCTION("""COMPUTED_VALUE"""),"Yennifer Andrea Escobar Restrepo - SEGUNDA LICENCIATURA EM LETRAS PORTUGUÊS / ESPANHOL - 2024")</f>
        <v>Yennifer Andrea Escobar Restrepo - SEGUNDA LICENCIATURA EM LETRAS PORTUGUÊS / ESPANHOL - 2024</v>
      </c>
    </row>
    <row r="6690">
      <c r="A6690" s="390" t="str">
        <f>IFERROR(__xludf.DUMMYFUNCTION("""COMPUTED_VALUE"""),"Yennifer Andrea Escobar Restrepo - Pós-Graduação em Ensino de Língua Inglesa")</f>
        <v>Yennifer Andrea Escobar Restrepo - Pós-Graduação em Ensino de Língua Inglesa</v>
      </c>
    </row>
    <row r="6691">
      <c r="A6691" s="390" t="str">
        <f>IFERROR(__xludf.DUMMYFUNCTION("""COMPUTED_VALUE"""),"Marcos de Jesus Alves - SEGUNDA LICENCIATURA EM HISTÓRIA - 2024")</f>
        <v>Marcos de Jesus Alves - SEGUNDA LICENCIATURA EM HISTÓRIA - 2024</v>
      </c>
    </row>
    <row r="6692">
      <c r="A6692" s="390" t="str">
        <f>IFERROR(__xludf.DUMMYFUNCTION("""COMPUTED_VALUE"""),"Marcos de Jesus Alves - Pós-Graduação Psicopedagogia Clínica, Institucional e Hospitalar")</f>
        <v>Marcos de Jesus Alves - Pós-Graduação Psicopedagogia Clínica, Institucional e Hospitalar</v>
      </c>
    </row>
    <row r="6693">
      <c r="A6693" s="390" t="str">
        <f>IFERROR(__xludf.DUMMYFUNCTION("""COMPUTED_VALUE"""),"Luana Benaia Lora Matos Hangui - Pós-Graduação em Neuropsicopedagogia")</f>
        <v>Luana Benaia Lora Matos Hangui - Pós-Graduação em Neuropsicopedagogia</v>
      </c>
    </row>
    <row r="6694">
      <c r="A6694" s="390" t="str">
        <f>IFERROR(__xludf.DUMMYFUNCTION("""COMPUTED_VALUE"""),"Luana Benaia Lora Matos Hangui - Pós-Graduação em Neuropsicopedagogia Institucional, Clínica e Hospitalar 850h")</f>
        <v>Luana Benaia Lora Matos Hangui - Pós-Graduação em Neuropsicopedagogia Institucional, Clínica e Hospitalar 850h</v>
      </c>
    </row>
    <row r="6695">
      <c r="A6695" s="390" t="str">
        <f>IFERROR(__xludf.DUMMYFUNCTION("""COMPUTED_VALUE"""),"Janie Caroline Rodrigues da silva - Pós-Graduação em Psicomotricidade")</f>
        <v>Janie Caroline Rodrigues da silva - Pós-Graduação em Psicomotricidade</v>
      </c>
    </row>
    <row r="6696">
      <c r="A6696" s="390" t="str">
        <f>IFERROR(__xludf.DUMMYFUNCTION("""COMPUTED_VALUE"""),"Janie Caroline Rodrigues da silva - Pós-Graduação em Autismo")</f>
        <v>Janie Caroline Rodrigues da silva - Pós-Graduação em Autismo</v>
      </c>
    </row>
    <row r="6697">
      <c r="A6697" s="390" t="str">
        <f>IFERROR(__xludf.DUMMYFUNCTION("""COMPUTED_VALUE"""),"Lenita Maria da Silva Barros - PÓS-GRADUAÇÃO EM PSICANÁLISE - 2024")</f>
        <v>Lenita Maria da Silva Barros - PÓS-GRADUAÇÃO EM PSICANÁLISE - 2024</v>
      </c>
    </row>
    <row r="6698">
      <c r="A6698" s="390" t="str">
        <f>IFERROR(__xludf.DUMMYFUNCTION("""COMPUTED_VALUE"""),"MARESSA FERNANDA DE LIMA BARRETO - #FPP- Formação Pedagógica em Pedagogia R2")</f>
        <v>MARESSA FERNANDA DE LIMA BARRETO - #FPP- Formação Pedagógica em Pedagogia R2</v>
      </c>
    </row>
    <row r="6699">
      <c r="A6699" s="390" t="str">
        <f>IFERROR(__xludf.DUMMYFUNCTION("""COMPUTED_VALUE"""),"MARESSA FERNANDA DE LIMA BARRETO - Pós-Graduação em Educação Especial 620Horas")</f>
        <v>MARESSA FERNANDA DE LIMA BARRETO - Pós-Graduação em Educação Especial 620Horas</v>
      </c>
    </row>
    <row r="6700">
      <c r="A6700" s="390" t="str">
        <f>IFERROR(__xludf.DUMMYFUNCTION("""COMPUTED_VALUE"""),"Caroline da Silva Cezar - Pós-Graduação Psicopedagogia Clínica, Institucional e Hospitalar")</f>
        <v>Caroline da Silva Cezar - Pós-Graduação Psicopedagogia Clínica, Institucional e Hospitalar</v>
      </c>
    </row>
    <row r="6701">
      <c r="A6701" s="390" t="str">
        <f>IFERROR(__xludf.DUMMYFUNCTION("""COMPUTED_VALUE"""),"Caroline da Silva Cezar - PÓS-GRADUAÇÃO EM PSICANÁLISE - 2024")</f>
        <v>Caroline da Silva Cezar - PÓS-GRADUAÇÃO EM PSICANÁLISE - 2024</v>
      </c>
    </row>
    <row r="6702">
      <c r="A6702" s="390" t="str">
        <f>IFERROR(__xludf.DUMMYFUNCTION("""COMPUTED_VALUE"""),"Alessandra Rodrigues da Costa - Novo-Pós-Graduação em Sexologia 800Horas")</f>
        <v>Alessandra Rodrigues da Costa - Novo-Pós-Graduação em Sexologia 800Horas</v>
      </c>
    </row>
    <row r="6703">
      <c r="A6703" s="390" t="str">
        <f>IFERROR(__xludf.DUMMYFUNCTION("""COMPUTED_VALUE"""),"Maria Claudia da Silva Ogata - Pós-graduação em Neuropsicologia")</f>
        <v>Maria Claudia da Silva Ogata - Pós-graduação em Neuropsicologia</v>
      </c>
    </row>
    <row r="6704">
      <c r="A6704" s="390" t="str">
        <f>IFERROR(__xludf.DUMMYFUNCTION("""COMPUTED_VALUE"""),"Roger Adriano Bressani Mazur - SEGUNDA LICENCIATURA EM MÚSICA - 2024")</f>
        <v>Roger Adriano Bressani Mazur - SEGUNDA LICENCIATURA EM MÚSICA - 2024</v>
      </c>
    </row>
    <row r="6705">
      <c r="A6705" s="390" t="str">
        <f>IFERROR(__xludf.DUMMYFUNCTION("""COMPUTED_VALUE"""),"Isac Alves Batista - SEGUNDA LICENCIATURA EM MÚSICA - 2024")</f>
        <v>Isac Alves Batista - SEGUNDA LICENCIATURA EM MÚSICA - 2024</v>
      </c>
    </row>
    <row r="6706">
      <c r="A6706" s="390" t="str">
        <f>IFERROR(__xludf.DUMMYFUNCTION("""COMPUTED_VALUE"""),"Aurimar Silvestre Spalatti - PÓS-GRADUAÇÃO EM GESTÃO DE RECURSOS HUMANOS")</f>
        <v>Aurimar Silvestre Spalatti - PÓS-GRADUAÇÃO EM GESTÃO DE RECURSOS HUMANOS</v>
      </c>
    </row>
    <row r="6707">
      <c r="A6707" s="390" t="str">
        <f>IFERROR(__xludf.DUMMYFUNCTION("""COMPUTED_VALUE"""),"Paulo de Castro Bueno - PÓS-GRADUAÇÃO EM PSICANÁLISE - 2024")</f>
        <v>Paulo de Castro Bueno - PÓS-GRADUAÇÃO EM PSICANÁLISE - 2024</v>
      </c>
    </row>
    <row r="6708">
      <c r="A6708" s="390" t="str">
        <f>IFERROR(__xludf.DUMMYFUNCTION("""COMPUTED_VALUE"""),"Maria Angélica Marques de Jesus - Pós-Graduação em Sexologia")</f>
        <v>Maria Angélica Marques de Jesus - Pós-Graduação em Sexologia</v>
      </c>
    </row>
    <row r="6709">
      <c r="A6709" s="390" t="str">
        <f>IFERROR(__xludf.DUMMYFUNCTION("""COMPUTED_VALUE"""),"EDMILSON GOMES DE OLIVEIRA - #SLP22- Segunda Licenciatura em Pedagogia")</f>
        <v>EDMILSON GOMES DE OLIVEIRA - #SLP22- Segunda Licenciatura em Pedagogia</v>
      </c>
    </row>
    <row r="6710">
      <c r="A6710" s="390" t="str">
        <f>IFERROR(__xludf.DUMMYFUNCTION("""COMPUTED_VALUE"""),"Rosemara Aparecida Sampaio - Pós-Graduação em Aba-Análise do Comportamento Aplicada 2022")</f>
        <v>Rosemara Aparecida Sampaio - Pós-Graduação em Aba-Análise do Comportamento Aplicada 2022</v>
      </c>
    </row>
    <row r="6711">
      <c r="A6711" s="390" t="str">
        <f>IFERROR(__xludf.DUMMYFUNCTION("""COMPUTED_VALUE"""),"Bruna Giovana Locatelli - Pós-Graduação Educação Especial e Inclusiva")</f>
        <v>Bruna Giovana Locatelli - Pós-Graduação Educação Especial e Inclusiva</v>
      </c>
    </row>
    <row r="6712">
      <c r="A6712" s="390" t="str">
        <f>IFERROR(__xludf.DUMMYFUNCTION("""COMPUTED_VALUE"""),"Bruna Giovana Locatelli - SEGUNDA LICENCIATURA PEDAGOGIA - 2024")</f>
        <v>Bruna Giovana Locatelli - SEGUNDA LICENCIATURA PEDAGOGIA - 2024</v>
      </c>
    </row>
    <row r="6713">
      <c r="A6713" s="390" t="str">
        <f>IFERROR(__xludf.DUMMYFUNCTION("""COMPUTED_VALUE"""),"Cristiano Silva Alencar - Pós-Graduação em FARMACOLOGIA CLÍNICA 840h")</f>
        <v>Cristiano Silva Alencar - Pós-Graduação em FARMACOLOGIA CLÍNICA 840h</v>
      </c>
    </row>
    <row r="6714">
      <c r="A6714" s="390" t="str">
        <f>IFERROR(__xludf.DUMMYFUNCTION("""COMPUTED_VALUE"""),"Isabella Moreira de Oliveira - #SLMF- Segunda Licenciatura em Música 2022 880Horas")</f>
        <v>Isabella Moreira de Oliveira - #SLMF- Segunda Licenciatura em Música 2022 880Horas</v>
      </c>
    </row>
    <row r="6715">
      <c r="A6715" s="390" t="str">
        <f>IFERROR(__xludf.DUMMYFUNCTION("""COMPUTED_VALUE"""),"Rafaela Vitor de Carvalho - Pós-Graduação em Neuropsicopedagogia Institucional, Clínica e Hospitalar 850h")</f>
        <v>Rafaela Vitor de Carvalho - Pós-Graduação em Neuropsicopedagogia Institucional, Clínica e Hospitalar 850h</v>
      </c>
    </row>
    <row r="6716">
      <c r="A6716" s="390" t="str">
        <f>IFERROR(__xludf.DUMMYFUNCTION("""COMPUTED_VALUE"""),"Carlos Soares da Costa - SEGUNDA LICENCIATURA EM GEOGRAFIA - 2024")</f>
        <v>Carlos Soares da Costa - SEGUNDA LICENCIATURA EM GEOGRAFIA - 2024</v>
      </c>
    </row>
    <row r="6717">
      <c r="A6717" s="390" t="str">
        <f>IFERROR(__xludf.DUMMYFUNCTION("""COMPUTED_VALUE"""),"Carlos Soares da Costa - SEGUNDA LICENCIATURA EM FILOSOFIA - 2024")</f>
        <v>Carlos Soares da Costa - SEGUNDA LICENCIATURA EM FILOSOFIA - 2024</v>
      </c>
    </row>
    <row r="6718">
      <c r="A6718" s="390" t="str">
        <f>IFERROR(__xludf.DUMMYFUNCTION("""COMPUTED_VALUE"""),"Ana Danielle Rocha Ribeiro - PÓS-GRADUAÇÃO EM PSICANÁLISE - 2024")</f>
        <v>Ana Danielle Rocha Ribeiro - PÓS-GRADUAÇÃO EM PSICANÁLISE - 2024</v>
      </c>
    </row>
    <row r="6719">
      <c r="A6719" s="390" t="str">
        <f>IFERROR(__xludf.DUMMYFUNCTION("""COMPUTED_VALUE"""),"Higor Ricardo Ferreira Diaz - #SLEEF- Segunda Licenciatura Educação Física")</f>
        <v>Higor Ricardo Ferreira Diaz - #SLEEF- Segunda Licenciatura Educação Física</v>
      </c>
    </row>
    <row r="6720">
      <c r="A6720" s="390" t="str">
        <f>IFERROR(__xludf.DUMMYFUNCTION("""COMPUTED_VALUE"""),"Franciany de Lima Alves - PÓS-GRADUAÇÃO EM PSICANÁLISE - 2024")</f>
        <v>Franciany de Lima Alves - PÓS-GRADUAÇÃO EM PSICANÁLISE - 2024</v>
      </c>
    </row>
    <row r="6721">
      <c r="A6721" s="390" t="str">
        <f>IFERROR(__xludf.DUMMYFUNCTION("""COMPUTED_VALUE"""),"Franciany de Lima Alves - PÓS-GRADUAÇÃO EM PSICANÁLISE - 2024")</f>
        <v>Franciany de Lima Alves - PÓS-GRADUAÇÃO EM PSICANÁLISE - 2024</v>
      </c>
    </row>
    <row r="6722">
      <c r="A6722" s="390" t="str">
        <f>IFERROR(__xludf.DUMMYFUNCTION("""COMPUTED_VALUE"""),"Franciany de Lima Alves - PÓS-GRADUAÇÃO EM PSICANÁLISE - 2024")</f>
        <v>Franciany de Lima Alves - PÓS-GRADUAÇÃO EM PSICANÁLISE - 2024</v>
      </c>
    </row>
    <row r="6723">
      <c r="A6723" s="390" t="str">
        <f>IFERROR(__xludf.DUMMYFUNCTION("""COMPUTED_VALUE"""),"Miriam Custódio Santos - #SLPT- Segunda Licenciatura em Pedagogia")</f>
        <v>Miriam Custódio Santos - #SLPT- Segunda Licenciatura em Pedagogia</v>
      </c>
    </row>
    <row r="6724">
      <c r="A6724" s="390" t="str">
        <f>IFERROR(__xludf.DUMMYFUNCTION("""COMPUTED_VALUE"""),"Milleiny Ribeiro da Silva - Pós-Graduação em Atendimento Educacional Especializado")</f>
        <v>Milleiny Ribeiro da Silva - Pós-Graduação em Atendimento Educacional Especializado</v>
      </c>
    </row>
    <row r="6725">
      <c r="A6725" s="390" t="str">
        <f>IFERROR(__xludf.DUMMYFUNCTION("""COMPUTED_VALUE"""),"Milleiny Ribeiro da Silva - Pós-Graduação em Musicoterapia")</f>
        <v>Milleiny Ribeiro da Silva - Pós-Graduação em Musicoterapia</v>
      </c>
    </row>
    <row r="6726">
      <c r="A6726" s="390" t="str">
        <f>IFERROR(__xludf.DUMMYFUNCTION("""COMPUTED_VALUE"""),"Milleiny Ribeiro da Silva - Pós-Graduação em Ensino de Artes")</f>
        <v>Milleiny Ribeiro da Silva - Pós-Graduação em Ensino de Artes</v>
      </c>
    </row>
    <row r="6727">
      <c r="A6727" s="390" t="str">
        <f>IFERROR(__xludf.DUMMYFUNCTION("""COMPUTED_VALUE"""),"Claudia Ernesto Caetano - Pós-Graduação em Sexologia")</f>
        <v>Claudia Ernesto Caetano - Pós-Graduação em Sexologia</v>
      </c>
    </row>
    <row r="6728">
      <c r="A6728" s="390" t="str">
        <f>IFERROR(__xludf.DUMMYFUNCTION("""COMPUTED_VALUE"""),"Rogério moura Nepomuceno - Pós-Graduação Terapia Cognitiva Comportamental")</f>
        <v>Rogério moura Nepomuceno - Pós-Graduação Terapia Cognitiva Comportamental</v>
      </c>
    </row>
    <row r="6729">
      <c r="A6729" s="390" t="str">
        <f>IFERROR(__xludf.DUMMYFUNCTION("""COMPUTED_VALUE"""),"Geraldo Dornelas de Assis Júnior - SEGUNDA LICENCIATURA EM MÚSICA - 2024")</f>
        <v>Geraldo Dornelas de Assis Júnior - SEGUNDA LICENCIATURA EM MÚSICA - 2024</v>
      </c>
    </row>
    <row r="6730">
      <c r="A6730" s="390" t="str">
        <f>IFERROR(__xludf.DUMMYFUNCTION("""COMPUTED_VALUE"""),"Aryel Marques Costa - SEGUNDA LICENCIATURA PEDAGOGIA - 2024")</f>
        <v>Aryel Marques Costa - SEGUNDA LICENCIATURA PEDAGOGIA - 2024</v>
      </c>
    </row>
    <row r="6731">
      <c r="A6731" s="390" t="str">
        <f>IFERROR(__xludf.DUMMYFUNCTION("""COMPUTED_VALUE"""),"Gisele Aparecida dos Santos - Capacitação em Terapia em TDAH Clínico")</f>
        <v>Gisele Aparecida dos Santos - Capacitação em Terapia em TDAH Clínico</v>
      </c>
    </row>
    <row r="6732">
      <c r="A6732" s="390" t="str">
        <f>IFERROR(__xludf.DUMMYFUNCTION("""COMPUTED_VALUE"""),"Lorena Lacerda Lima e Bezerra - Pós-Graduação em Gestão Escolar Integrada com Ênfase em Supervisão, Orientação, Administração e Inspeção")</f>
        <v>Lorena Lacerda Lima e Bezerra - Pós-Graduação em Gestão Escolar Integrada com Ênfase em Supervisão, Orientação, Administração e Inspeção</v>
      </c>
    </row>
    <row r="6733">
      <c r="A6733" s="390" t="str">
        <f>IFERROR(__xludf.DUMMYFUNCTION("""COMPUTED_VALUE"""),"Edna Aparecida de Souza Gallo - FORMAÇÃO PEDAGÓGICA EM PEDAGOGIA - 2024")</f>
        <v>Edna Aparecida de Souza Gallo - FORMAÇÃO PEDAGÓGICA EM PEDAGOGIA - 2024</v>
      </c>
    </row>
    <row r="6734">
      <c r="A6734" s="390" t="str">
        <f>IFERROR(__xludf.DUMMYFUNCTION("""COMPUTED_VALUE"""),"Edna Aparecida de Souza Gallo - Pós-Graduação Psicopedagogia Clínica, Institucional e Hospitalar")</f>
        <v>Edna Aparecida de Souza Gallo - Pós-Graduação Psicopedagogia Clínica, Institucional e Hospitalar</v>
      </c>
    </row>
    <row r="6735">
      <c r="A6735" s="390" t="str">
        <f>IFERROR(__xludf.DUMMYFUNCTION("""COMPUTED_VALUE"""),"Fabíola Sampaio varjao - Pós-Graduação em Sexologia")</f>
        <v>Fabíola Sampaio varjao - Pós-Graduação em Sexologia</v>
      </c>
    </row>
    <row r="6736">
      <c r="A6736" s="390" t="str">
        <f>IFERROR(__xludf.DUMMYFUNCTION("""COMPUTED_VALUE"""),"Fabíola Sampaio varjao - Pós-Graduação em Enfermagem, Ginecologia e Obstetrícia")</f>
        <v>Fabíola Sampaio varjao - Pós-Graduação em Enfermagem, Ginecologia e Obstetrícia</v>
      </c>
    </row>
    <row r="6737">
      <c r="A6737" s="390" t="str">
        <f>IFERROR(__xludf.DUMMYFUNCTION("""COMPUTED_VALUE"""),"Núbia Rejane Cabral de Brito Cavalcanti - #SLPA- Segunda Licenciatura em Pedagogia 01")</f>
        <v>Núbia Rejane Cabral de Brito Cavalcanti - #SLPA- Segunda Licenciatura em Pedagogia 01</v>
      </c>
    </row>
    <row r="6738">
      <c r="A6738" s="390" t="str">
        <f>IFERROR(__xludf.DUMMYFUNCTION("""COMPUTED_VALUE"""),"CARLOS HIROKI HASHIMOTO - #SLPT- Segunda Licenciatura em Pedagogia")</f>
        <v>CARLOS HIROKI HASHIMOTO - #SLPT- Segunda Licenciatura em Pedagogia</v>
      </c>
    </row>
    <row r="6739">
      <c r="A6739" s="390" t="str">
        <f>IFERROR(__xludf.DUMMYFUNCTION("""COMPUTED_VALUE"""),"CARLOS HIROKI HASHIMOTO - Pós-Graduação em Psicopedagogia Institucional e Clínica 710Horas")</f>
        <v>CARLOS HIROKI HASHIMOTO - Pós-Graduação em Psicopedagogia Institucional e Clínica 710Horas</v>
      </c>
    </row>
    <row r="6740">
      <c r="A6740" s="390" t="str">
        <f>IFERROR(__xludf.DUMMYFUNCTION("""COMPUTED_VALUE"""),"Wilson Santos Cavalho - Pós-Graduação Educação Especial e Inclusiva")</f>
        <v>Wilson Santos Cavalho - Pós-Graduação Educação Especial e Inclusiva</v>
      </c>
    </row>
    <row r="6741">
      <c r="A6741" s="390" t="str">
        <f>IFERROR(__xludf.DUMMYFUNCTION("""COMPUTED_VALUE"""),"Geniana Mônica de Oliveira - SEGUNDA LICENCIATURA EM LETRAS PORTUGUÊS / INGLÊS - 2024")</f>
        <v>Geniana Mônica de Oliveira - SEGUNDA LICENCIATURA EM LETRAS PORTUGUÊS / INGLÊS - 2024</v>
      </c>
    </row>
    <row r="6742">
      <c r="A6742" s="390" t="str">
        <f>IFERROR(__xludf.DUMMYFUNCTION("""COMPUTED_VALUE"""),"Geniana Mônica de Oliveira - FORMAÇÃO PEDAGÓGICA EM LETRAS PORTUGUÊS / INGLÊS - 2024")</f>
        <v>Geniana Mônica de Oliveira - FORMAÇÃO PEDAGÓGICA EM LETRAS PORTUGUÊS / INGLÊS - 2024</v>
      </c>
    </row>
    <row r="6743">
      <c r="A6743" s="390" t="str">
        <f>IFERROR(__xludf.DUMMYFUNCTION("""COMPUTED_VALUE"""),"Ubenildo Ferreira Lesbão - #SLMF - Segunda Licenciatura em Música 1320Horas")</f>
        <v>Ubenildo Ferreira Lesbão - #SLMF - Segunda Licenciatura em Música 1320Horas</v>
      </c>
    </row>
    <row r="6744">
      <c r="A6744" s="390" t="str">
        <f>IFERROR(__xludf.DUMMYFUNCTION("""COMPUTED_VALUE"""),"Helder Francisco Lopes - #SLMF- Segunda Licenciatura em Música 1320Horas")</f>
        <v>Helder Francisco Lopes - #SLMF- Segunda Licenciatura em Música 1320Horas</v>
      </c>
    </row>
    <row r="6745">
      <c r="A6745" s="390" t="str">
        <f>IFERROR(__xludf.DUMMYFUNCTION("""COMPUTED_VALUE"""),"Marcia Regina Fernandes Marques - #FPMF- Formação Pedagógica em Música 2022")</f>
        <v>Marcia Regina Fernandes Marques - #FPMF- Formação Pedagógica em Música 2022</v>
      </c>
    </row>
    <row r="6746">
      <c r="A6746" s="390" t="str">
        <f>IFERROR(__xludf.DUMMYFUNCTION("""COMPUTED_VALUE"""),"Marcia Regina Fernandes Marques - Pós-Graduação História da Arte")</f>
        <v>Marcia Regina Fernandes Marques - Pós-Graduação História da Arte</v>
      </c>
    </row>
    <row r="6747">
      <c r="A6747" s="390" t="str">
        <f>IFERROR(__xludf.DUMMYFUNCTION("""COMPUTED_VALUE"""),"Michele Gomes da Costa Silvério - Pós-Graduação em Educação Especial 720Horas")</f>
        <v>Michele Gomes da Costa Silvério - Pós-Graduação em Educação Especial 720Horas</v>
      </c>
    </row>
    <row r="6748">
      <c r="A6748" s="390" t="str">
        <f>IFERROR(__xludf.DUMMYFUNCTION("""COMPUTED_VALUE"""),"Antônio Carlos Teixeira da Costa - Formação Livre em Música")</f>
        <v>Antônio Carlos Teixeira da Costa - Formação Livre em Música</v>
      </c>
    </row>
    <row r="6749">
      <c r="A6749" s="390" t="str">
        <f>IFERROR(__xludf.DUMMYFUNCTION("""COMPUTED_VALUE"""),"Kennedy Da Silva Goulart - Capacitação em Terapia em TDAH Clínico")</f>
        <v>Kennedy Da Silva Goulart - Capacitação em Terapia em TDAH Clínico</v>
      </c>
    </row>
    <row r="6750">
      <c r="A6750" s="390" t="str">
        <f>IFERROR(__xludf.DUMMYFUNCTION("""COMPUTED_VALUE"""),"Cristiane do Nascimento Silva - SEGUNDA LICENCIATURA PEDAGOGIA - 2024")</f>
        <v>Cristiane do Nascimento Silva - SEGUNDA LICENCIATURA PEDAGOGIA - 2024</v>
      </c>
    </row>
    <row r="6751">
      <c r="A6751" s="390" t="str">
        <f>IFERROR(__xludf.DUMMYFUNCTION("""COMPUTED_VALUE"""),"Cristiane do Nascimento Silva - SEGUNDA LICENCIATURA EM EDUCAÇÃO FÍSICA")</f>
        <v>Cristiane do Nascimento Silva - SEGUNDA LICENCIATURA EM EDUCAÇÃO FÍSICA</v>
      </c>
    </row>
    <row r="6752">
      <c r="A6752" s="390" t="str">
        <f>IFERROR(__xludf.DUMMYFUNCTION("""COMPUTED_VALUE"""),"Alessandra de França Dias - SEGUNDA LICENCIATURA EM EDUCAÇÃO FÍSICA - 2024")</f>
        <v>Alessandra de França Dias - SEGUNDA LICENCIATURA EM EDUCAÇÃO FÍSICA - 2024</v>
      </c>
    </row>
    <row r="6753">
      <c r="A6753" s="390" t="str">
        <f>IFERROR(__xludf.DUMMYFUNCTION("""COMPUTED_VALUE"""),"Alessandra de França Dias - Pós-Graduação em Biomedicina Estética")</f>
        <v>Alessandra de França Dias - Pós-Graduação em Biomedicina Estética</v>
      </c>
    </row>
    <row r="6754">
      <c r="A6754" s="390" t="str">
        <f>IFERROR(__xludf.DUMMYFUNCTION("""COMPUTED_VALUE"""),"Alessandra de França Dias - Pós-Graduação Docência do Ensino Superior, Gestão e Tutoria EAD")</f>
        <v>Alessandra de França Dias - Pós-Graduação Docência do Ensino Superior, Gestão e Tutoria EAD</v>
      </c>
    </row>
    <row r="6755">
      <c r="A6755" s="390" t="str">
        <f>IFERROR(__xludf.DUMMYFUNCTION("""COMPUTED_VALUE"""),"Ben-Hail Harrison Guimarães - Formação Pedagógica em Letras - Inglês")</f>
        <v>Ben-Hail Harrison Guimarães - Formação Pedagógica em Letras - Inglês</v>
      </c>
    </row>
    <row r="6756">
      <c r="A6756" s="390" t="str">
        <f>IFERROR(__xludf.DUMMYFUNCTION("""COMPUTED_VALUE"""),"Juliano dos Santos Ferreira - #SLIA - Segunda Licenciatura Letras - Inglês")</f>
        <v>Juliano dos Santos Ferreira - #SLIA - Segunda Licenciatura Letras - Inglês</v>
      </c>
    </row>
    <row r="6757">
      <c r="A6757" s="390" t="str">
        <f>IFERROR(__xludf.DUMMYFUNCTION("""COMPUTED_VALUE"""),"Luziane Cruz de Azevedo - SEGUNDA LICENCIATURA EM MATEMÁTICA - 2024")</f>
        <v>Luziane Cruz de Azevedo - SEGUNDA LICENCIATURA EM MATEMÁTICA - 2024</v>
      </c>
    </row>
    <row r="6758">
      <c r="A6758" s="390" t="str">
        <f>IFERROR(__xludf.DUMMYFUNCTION("""COMPUTED_VALUE"""),"Luziane Cruz de Azevedo - Pós-Graduação em Autismo")</f>
        <v>Luziane Cruz de Azevedo - Pós-Graduação em Autismo</v>
      </c>
    </row>
    <row r="6759">
      <c r="A6759" s="390" t="str">
        <f>IFERROR(__xludf.DUMMYFUNCTION("""COMPUTED_VALUE"""),"Bernadete de Lourdes Lima - Pós-Graduação em Neuropsicopedagogia Institucional")</f>
        <v>Bernadete de Lourdes Lima - Pós-Graduação em Neuropsicopedagogia Institucional</v>
      </c>
    </row>
    <row r="6760">
      <c r="A6760" s="390" t="str">
        <f>IFERROR(__xludf.DUMMYFUNCTION("""COMPUTED_VALUE"""),"Bernadete de Lourdes Lima - Pós-Graduação em Neuropsicopedagogia Institucional, Clínica e Hospitalar 850h")</f>
        <v>Bernadete de Lourdes Lima - Pós-Graduação em Neuropsicopedagogia Institucional, Clínica e Hospitalar 850h</v>
      </c>
    </row>
    <row r="6761">
      <c r="A6761" s="390" t="str">
        <f>IFERROR(__xludf.DUMMYFUNCTION("""COMPUTED_VALUE"""),"José jozimar de Holanda - SEGUNDA LICENCIATURA EM MÚSICA - 2024")</f>
        <v>José jozimar de Holanda - SEGUNDA LICENCIATURA EM MÚSICA - 2024</v>
      </c>
    </row>
    <row r="6762">
      <c r="A6762" s="390" t="str">
        <f>IFERROR(__xludf.DUMMYFUNCTION("""COMPUTED_VALUE"""),"Gabriela conceição santos - Capacitação em Sexologia")</f>
        <v>Gabriela conceição santos - Capacitação em Sexologia</v>
      </c>
    </row>
    <row r="6763">
      <c r="A6763" s="390" t="str">
        <f>IFERROR(__xludf.DUMMYFUNCTION("""COMPUTED_VALUE"""),"Bernadete Rossi Barbosa Fantin - SEGUNDA LICENCIATURA PEDAGOGIA - 2024")</f>
        <v>Bernadete Rossi Barbosa Fantin - SEGUNDA LICENCIATURA PEDAGOGIA - 2024</v>
      </c>
    </row>
    <row r="6764">
      <c r="A6764" s="390" t="str">
        <f>IFERROR(__xludf.DUMMYFUNCTION("""COMPUTED_VALUE"""),"João Jatoba Azize - PÓS-GRADUAÇÃO EM PSICANÁLISE - 2024")</f>
        <v>João Jatoba Azize - PÓS-GRADUAÇÃO EM PSICANÁLISE - 2024</v>
      </c>
    </row>
    <row r="6765">
      <c r="A6765" s="390" t="str">
        <f>IFERROR(__xludf.DUMMYFUNCTION("""COMPUTED_VALUE"""),"João Jatoba Azize - SEGUNDA LICENCIATURA PEDAGOGIA - 2024")</f>
        <v>João Jatoba Azize - SEGUNDA LICENCIATURA PEDAGOGIA - 2024</v>
      </c>
    </row>
    <row r="6766">
      <c r="A6766" s="390" t="str">
        <f>IFERROR(__xludf.DUMMYFUNCTION("""COMPUTED_VALUE"""),"Juliana Maria Corallo Quinan - #SLCSA - Segunda Licenciatura em Ciências Sociais")</f>
        <v>Juliana Maria Corallo Quinan - #SLCSA - Segunda Licenciatura em Ciências Sociais</v>
      </c>
    </row>
    <row r="6767">
      <c r="A6767" s="390" t="str">
        <f>IFERROR(__xludf.DUMMYFUNCTION("""COMPUTED_VALUE"""),"Juliana Maria Corallo Quinan - Pós-Graduação em Biblioteconomia")</f>
        <v>Juliana Maria Corallo Quinan - Pós-Graduação em Biblioteconomia</v>
      </c>
    </row>
    <row r="6768">
      <c r="A6768" s="390" t="str">
        <f>IFERROR(__xludf.DUMMYFUNCTION("""COMPUTED_VALUE"""),"Juliana Maria Corallo Quinan - #SLHA - Segunda Licenciatura em História")</f>
        <v>Juliana Maria Corallo Quinan - #SLHA - Segunda Licenciatura em História</v>
      </c>
    </row>
    <row r="6769">
      <c r="A6769" s="390" t="str">
        <f>IFERROR(__xludf.DUMMYFUNCTION("""COMPUTED_VALUE"""),"Daniele Tauane Souza de Melo - #SLCSA - Segunda Licenciatura em Ciências Sociais")</f>
        <v>Daniele Tauane Souza de Melo - #SLCSA - Segunda Licenciatura em Ciências Sociais</v>
      </c>
    </row>
    <row r="6770">
      <c r="A6770" s="390" t="str">
        <f>IFERROR(__xludf.DUMMYFUNCTION("""COMPUTED_VALUE"""),"Daniele Tauane Souza de Melo - Pós-Graduação em Supervisão Escolar")</f>
        <v>Daniele Tauane Souza de Melo - Pós-Graduação em Supervisão Escolar</v>
      </c>
    </row>
    <row r="6771">
      <c r="A6771" s="390" t="str">
        <f>IFERROR(__xludf.DUMMYFUNCTION("""COMPUTED_VALUE"""),"Debora Marques de Azevedo - SEGUNDA LICENCIATURA EM MÚSICA - 2024")</f>
        <v>Debora Marques de Azevedo - SEGUNDA LICENCIATURA EM MÚSICA - 2024</v>
      </c>
    </row>
    <row r="6772">
      <c r="A6772" s="390" t="str">
        <f>IFERROR(__xludf.DUMMYFUNCTION("""COMPUTED_VALUE"""),"Joyce Caroline Xavier de Melo - Pós-graduação em Neuropsicologia")</f>
        <v>Joyce Caroline Xavier de Melo - Pós-graduação em Neuropsicologia</v>
      </c>
    </row>
    <row r="6773">
      <c r="A6773" s="390" t="str">
        <f>IFERROR(__xludf.DUMMYFUNCTION("""COMPUTED_VALUE"""),"Felene Mônica Soares da Costa - #SLLPA - Segunda Licenciatura Letras - Português")</f>
        <v>Felene Mônica Soares da Costa - #SLLPA - Segunda Licenciatura Letras - Português</v>
      </c>
    </row>
    <row r="6774">
      <c r="A6774" s="390" t="str">
        <f>IFERROR(__xludf.DUMMYFUNCTION("""COMPUTED_VALUE"""),"Orleide Alves de Matos Silva - SEGUNDA LICENCIATURA PEDAGOGIA - 2024")</f>
        <v>Orleide Alves de Matos Silva - SEGUNDA LICENCIATURA PEDAGOGIA - 2024</v>
      </c>
    </row>
    <row r="6775">
      <c r="A6775" s="390" t="str">
        <f>IFERROR(__xludf.DUMMYFUNCTION("""COMPUTED_VALUE"""),"Lucilaine Maria de Abreu Boraschi Pereira - Pós-Graduação em Neuropsicopedagogia")</f>
        <v>Lucilaine Maria de Abreu Boraschi Pereira - Pós-Graduação em Neuropsicopedagogia</v>
      </c>
    </row>
    <row r="6776">
      <c r="A6776" s="390" t="str">
        <f>IFERROR(__xludf.DUMMYFUNCTION("""COMPUTED_VALUE"""),"Maiza Deca Dos Reis - SEGUNDA LICENCIATURA EM EDUCAÇÃO FÍSICA")</f>
        <v>Maiza Deca Dos Reis - SEGUNDA LICENCIATURA EM EDUCAÇÃO FÍSICA</v>
      </c>
    </row>
    <row r="6777">
      <c r="A6777" s="390" t="str">
        <f>IFERROR(__xludf.DUMMYFUNCTION("""COMPUTED_VALUE"""),"Mônica Corrêa - Formação Livre Psicanálise")</f>
        <v>Mônica Corrêa - Formação Livre Psicanálise</v>
      </c>
    </row>
    <row r="6778">
      <c r="A6778" s="390" t="str">
        <f>IFERROR(__xludf.DUMMYFUNCTION("""COMPUTED_VALUE"""),"Marília Selva dos Santos - #SLLIA - Segunda Licenciatura em Letras Inglês 760Horas")</f>
        <v>Marília Selva dos Santos - #SLLIA - Segunda Licenciatura em Letras Inglês 760Horas</v>
      </c>
    </row>
    <row r="6779">
      <c r="A6779" s="390" t="str">
        <f>IFERROR(__xludf.DUMMYFUNCTION("""COMPUTED_VALUE"""),"Sheila Siqueira Lontra - SEGUNDA LICENCIATURA PEDAGOGIA - 2024")</f>
        <v>Sheila Siqueira Lontra - SEGUNDA LICENCIATURA PEDAGOGIA - 2024</v>
      </c>
    </row>
    <row r="6780">
      <c r="A6780" s="390" t="str">
        <f>IFERROR(__xludf.DUMMYFUNCTION("""COMPUTED_VALUE"""),"Sheila Siqueira Lontra - Pós-Graduação em Coordenação e Orientação Escolar")</f>
        <v>Sheila Siqueira Lontra - Pós-Graduação em Coordenação e Orientação Escolar</v>
      </c>
    </row>
    <row r="6781">
      <c r="A6781" s="390" t="str">
        <f>IFERROR(__xludf.DUMMYFUNCTION("""COMPUTED_VALUE"""),"DANIELA DE OLIVEIRA MOLINA MIYASHIRO - SEGUNDA LICENCIATURA PEDAGOGIA - 2024")</f>
        <v>DANIELA DE OLIVEIRA MOLINA MIYASHIRO - SEGUNDA LICENCIATURA PEDAGOGIA - 2024</v>
      </c>
    </row>
    <row r="6782">
      <c r="A6782" s="390" t="str">
        <f>IFERROR(__xludf.DUMMYFUNCTION("""COMPUTED_VALUE"""),"Cleide Marques de Souza - PÓS-GRADUAÇÃO EM GESTÃO DE RECURSOS HUMANOS")</f>
        <v>Cleide Marques de Souza - PÓS-GRADUAÇÃO EM GESTÃO DE RECURSOS HUMANOS</v>
      </c>
    </row>
    <row r="6783">
      <c r="A6783" s="390" t="str">
        <f>IFERROR(__xludf.DUMMYFUNCTION("""COMPUTED_VALUE"""),"Lucimar Bueno - Pós-Graduação Psicopedagogia e Educação Especial 2024")</f>
        <v>Lucimar Bueno - Pós-Graduação Psicopedagogia e Educação Especial 2024</v>
      </c>
    </row>
    <row r="6784">
      <c r="A6784" s="390" t="str">
        <f>IFERROR(__xludf.DUMMYFUNCTION("""COMPUTED_VALUE"""),"Lucimar Bueno - Pós-Graduação em Alfabetização e Letramento e a Psicopedagogia")</f>
        <v>Lucimar Bueno - Pós-Graduação em Alfabetização e Letramento e a Psicopedagogia</v>
      </c>
    </row>
    <row r="6785">
      <c r="A6785" s="390" t="str">
        <f>IFERROR(__xludf.DUMMYFUNCTION("""COMPUTED_VALUE"""),"Lucimar Bueno - Pós-Graduação em Psicomotricidade e Educação Especial")</f>
        <v>Lucimar Bueno - Pós-Graduação em Psicomotricidade e Educação Especial</v>
      </c>
    </row>
    <row r="6786">
      <c r="A6786" s="390" t="str">
        <f>IFERROR(__xludf.DUMMYFUNCTION("""COMPUTED_VALUE"""),"Sirmária Brito Dias - SEGUNDA LICENCIATURA PEDAGOGIA - 2024")</f>
        <v>Sirmária Brito Dias - SEGUNDA LICENCIATURA PEDAGOGIA - 2024</v>
      </c>
    </row>
    <row r="6787">
      <c r="A6787" s="390" t="str">
        <f>IFERROR(__xludf.DUMMYFUNCTION("""COMPUTED_VALUE"""),"João Pedro amorim de oliveira araujo - #FPM+ Formação Pedagógica em Matemática-760 Horas")</f>
        <v>João Pedro amorim de oliveira araujo - #FPM+ Formação Pedagógica em Matemática-760 Horas</v>
      </c>
    </row>
    <row r="6788">
      <c r="A6788" s="390" t="str">
        <f>IFERROR(__xludf.DUMMYFUNCTION("""COMPUTED_VALUE"""),"Mateus Sampaio de Mendonça - SEGUNDA LICENCIATURA EM MATEMÁTICA - 2024")</f>
        <v>Mateus Sampaio de Mendonça - SEGUNDA LICENCIATURA EM MATEMÁTICA - 2024</v>
      </c>
    </row>
    <row r="6789">
      <c r="A6789" s="390" t="str">
        <f>IFERROR(__xludf.DUMMYFUNCTION("""COMPUTED_VALUE"""),"Waldenilson Carvalho dos Santos - SEGUNDA LICENCIATURA EM MÚSICA - 2024")</f>
        <v>Waldenilson Carvalho dos Santos - SEGUNDA LICENCIATURA EM MÚSICA - 2024</v>
      </c>
    </row>
    <row r="6790">
      <c r="A6790" s="390" t="str">
        <f>IFERROR(__xludf.DUMMYFUNCTION("""COMPUTED_VALUE"""),"Romero da Silva - SEGUNDA LICENCIATURA EM HISTÓRIA - 2024")</f>
        <v>Romero da Silva - SEGUNDA LICENCIATURA EM HISTÓRIA - 2024</v>
      </c>
    </row>
    <row r="6791">
      <c r="A6791" s="390" t="str">
        <f>IFERROR(__xludf.DUMMYFUNCTION("""COMPUTED_VALUE"""),"Fabiane Jevinski - SEGUNDA LICENCIATURA EM MATEMÁTICA - 2024")</f>
        <v>Fabiane Jevinski - SEGUNDA LICENCIATURA EM MATEMÁTICA - 2024</v>
      </c>
    </row>
    <row r="6792">
      <c r="A6792" s="390" t="str">
        <f>IFERROR(__xludf.DUMMYFUNCTION("""COMPUTED_VALUE"""),"Fabiane Jevinski - #SLLIA - Segunda Licenciatura em Letras Inglês 760Horas")</f>
        <v>Fabiane Jevinski - #SLLIA - Segunda Licenciatura em Letras Inglês 760Horas</v>
      </c>
    </row>
    <row r="6793">
      <c r="A6793" s="390" t="str">
        <f>IFERROR(__xludf.DUMMYFUNCTION("""COMPUTED_VALUE"""),"Fabiane Jevinski - Pós-Graduação em Ensino de Língua Inglesa")</f>
        <v>Fabiane Jevinski - Pós-Graduação em Ensino de Língua Inglesa</v>
      </c>
    </row>
    <row r="6794">
      <c r="A6794" s="390" t="str">
        <f>IFERROR(__xludf.DUMMYFUNCTION("""COMPUTED_VALUE"""),"Luciane Parreira Alvares - SEGUNDA LICENCIATURA PEDAGOGIA - 2024")</f>
        <v>Luciane Parreira Alvares - SEGUNDA LICENCIATURA PEDAGOGIA - 2024</v>
      </c>
    </row>
    <row r="6795">
      <c r="A6795" s="390" t="str">
        <f>IFERROR(__xludf.DUMMYFUNCTION("""COMPUTED_VALUE"""),"Artunho de Araujo Farias - #SLUPI - SEGUNDA LICENCIATURA EM LETRAS – PORTUGUÊS E INGLÊS")</f>
        <v>Artunho de Araujo Farias - #SLUPI - SEGUNDA LICENCIATURA EM LETRAS – PORTUGUÊS E INGLÊS</v>
      </c>
    </row>
    <row r="6796">
      <c r="A6796" s="390" t="str">
        <f>IFERROR(__xludf.DUMMYFUNCTION("""COMPUTED_VALUE"""),"Aline de Fátima Borges Martins - #SLCSA - Segunda Licenciatura em Ciências Sociais")</f>
        <v>Aline de Fátima Borges Martins - #SLCSA - Segunda Licenciatura em Ciências Sociais</v>
      </c>
    </row>
    <row r="6797">
      <c r="A6797" s="390" t="str">
        <f>IFERROR(__xludf.DUMMYFUNCTION("""COMPUTED_VALUE"""),"Aline de Fátima Borges Martins - SEGUNDA LICENCIATURA PEDAGOGIA - 2024")</f>
        <v>Aline de Fátima Borges Martins - SEGUNDA LICENCIATURA PEDAGOGIA - 2024</v>
      </c>
    </row>
    <row r="6798">
      <c r="A6798" s="390" t="str">
        <f>IFERROR(__xludf.DUMMYFUNCTION("""COMPUTED_VALUE"""),"Carolina Nery de Siqueira - #SLPT- Segunda Licenciatura em Pedagogia")</f>
        <v>Carolina Nery de Siqueira - #SLPT- Segunda Licenciatura em Pedagogia</v>
      </c>
    </row>
    <row r="6799">
      <c r="A6799" s="390" t="str">
        <f>IFERROR(__xludf.DUMMYFUNCTION("""COMPUTED_VALUE"""),"Carolina Nery de Siqueira - Pós-Graduação em Orientação Escolar")</f>
        <v>Carolina Nery de Siqueira - Pós-Graduação em Orientação Escolar</v>
      </c>
    </row>
    <row r="6800">
      <c r="A6800" s="390" t="str">
        <f>IFERROR(__xludf.DUMMYFUNCTION("""COMPUTED_VALUE"""),"Mariana Bertissolo - Pós-Graduação em Sexologia")</f>
        <v>Mariana Bertissolo - Pós-Graduação em Sexologia</v>
      </c>
    </row>
    <row r="6801">
      <c r="A6801" s="390" t="str">
        <f>IFERROR(__xludf.DUMMYFUNCTION("""COMPUTED_VALUE"""),"Diógenes De Oliveira Costa - #SLLIA - Segunda Licenciatura em Letras Inglês 760Horas")</f>
        <v>Diógenes De Oliveira Costa - #SLLIA - Segunda Licenciatura em Letras Inglês 760Horas</v>
      </c>
    </row>
    <row r="6802">
      <c r="A6802" s="390" t="str">
        <f>IFERROR(__xludf.DUMMYFUNCTION("""COMPUTED_VALUE"""),"Caroline Voigt - SEGUNDA LICENCIATURA EM MÚSICA - 2024")</f>
        <v>Caroline Voigt - SEGUNDA LICENCIATURA EM MÚSICA - 2024</v>
      </c>
    </row>
    <row r="6803">
      <c r="A6803" s="390" t="str">
        <f>IFERROR(__xludf.DUMMYFUNCTION("""COMPUTED_VALUE"""),"Renato Vendramel Lacerda Perrone - Pós-Graduação em Educação Inclusiva e Diversidade")</f>
        <v>Renato Vendramel Lacerda Perrone - Pós-Graduação em Educação Inclusiva e Diversidade</v>
      </c>
    </row>
    <row r="6804">
      <c r="A6804" s="390" t="str">
        <f>IFERROR(__xludf.DUMMYFUNCTION("""COMPUTED_VALUE"""),"Sonia Elena Pimenta - Pós-Graduação em Neuropsicopedagogia Clínica e Institucional")</f>
        <v>Sonia Elena Pimenta - Pós-Graduação em Neuropsicopedagogia Clínica e Institucional</v>
      </c>
    </row>
    <row r="6805">
      <c r="A6805" s="390" t="str">
        <f>IFERROR(__xludf.DUMMYFUNCTION("""COMPUTED_VALUE"""),"Dayane Maria da Silva Fonseca - #SLP22- Segunda Licenciatura em Pedagogia")</f>
        <v>Dayane Maria da Silva Fonseca - #SLP22- Segunda Licenciatura em Pedagogia</v>
      </c>
    </row>
    <row r="6806">
      <c r="A6806" s="390" t="str">
        <f>IFERROR(__xludf.DUMMYFUNCTION("""COMPUTED_VALUE"""),"Airton Gehlen do Amaral - #SLMF- Segunda Licenciatura Música 1200Horas 1")</f>
        <v>Airton Gehlen do Amaral - #SLMF- Segunda Licenciatura Música 1200Horas 1</v>
      </c>
    </row>
    <row r="6807">
      <c r="A6807" s="390" t="str">
        <f>IFERROR(__xludf.DUMMYFUNCTION("""COMPUTED_VALUE"""),"Kevny Claudino de Oliveira Braz - Pós-Graduação em Engenharia de Segurança do Trabalho")</f>
        <v>Kevny Claudino de Oliveira Braz - Pós-Graduação em Engenharia de Segurança do Trabalho</v>
      </c>
    </row>
    <row r="6808">
      <c r="A6808" s="390" t="str">
        <f>IFERROR(__xludf.DUMMYFUNCTION("""COMPUTED_VALUE"""),"Adriana de Abreu Fernandes - Formação Livre Psicanálise")</f>
        <v>Adriana de Abreu Fernandes - Formação Livre Psicanálise</v>
      </c>
    </row>
    <row r="6809">
      <c r="A6809" s="390" t="str">
        <f>IFERROR(__xludf.DUMMYFUNCTION("""COMPUTED_VALUE"""),"Maycon alves dos santos - #FPP- Formação Pedagógica em Pedagogia R2")</f>
        <v>Maycon alves dos santos - #FPP- Formação Pedagógica em Pedagogia R2</v>
      </c>
    </row>
    <row r="6810">
      <c r="A6810" s="390" t="str">
        <f>IFERROR(__xludf.DUMMYFUNCTION("""COMPUTED_VALUE"""),"Mauro Luiz Justo Medeiros - Pós-Graduação em Psicanálise")</f>
        <v>Mauro Luiz Justo Medeiros - Pós-Graduação em Psicanálise</v>
      </c>
    </row>
    <row r="6811">
      <c r="A6811" s="390" t="str">
        <f>IFERROR(__xludf.DUMMYFUNCTION("""COMPUTED_VALUE"""),"Mauro Luiz Justo Medeiros - NOVO-Pós-Graduação em Psicanálise 800 Horas")</f>
        <v>Mauro Luiz Justo Medeiros - NOVO-Pós-Graduação em Psicanálise 800 Horas</v>
      </c>
    </row>
    <row r="6812">
      <c r="A6812" s="390" t="str">
        <f>IFERROR(__xludf.DUMMYFUNCTION("""COMPUTED_VALUE"""),"Elton Souza  Costa - #SLPT- Segunda Licenciatura em Pedagogia")</f>
        <v>Elton Souza  Costa - #SLPT- Segunda Licenciatura em Pedagogia</v>
      </c>
    </row>
    <row r="6813">
      <c r="A6813" s="390" t="str">
        <f>IFERROR(__xludf.DUMMYFUNCTION("""COMPUTED_VALUE"""),"Juliana Santiago de Lima - Formação Livre Psicanálise")</f>
        <v>Juliana Santiago de Lima - Formação Livre Psicanálise</v>
      </c>
    </row>
    <row r="6814">
      <c r="A6814" s="390" t="str">
        <f>IFERROR(__xludf.DUMMYFUNCTION("""COMPUTED_VALUE"""),"Lailla Rosa Gonçalves Pereira - SEGUNDA LICENCIATURA PEDAGOGIA - 2024")</f>
        <v>Lailla Rosa Gonçalves Pereira - SEGUNDA LICENCIATURA PEDAGOGIA - 2024</v>
      </c>
    </row>
    <row r="6815">
      <c r="A6815" s="390" t="str">
        <f>IFERROR(__xludf.DUMMYFUNCTION("""COMPUTED_VALUE"""),"Jeane Mendes da Silva Muniz - #SLIA - Segunda Licenciatura Letras - Inglês")</f>
        <v>Jeane Mendes da Silva Muniz - #SLIA - Segunda Licenciatura Letras - Inglês</v>
      </c>
    </row>
    <row r="6816">
      <c r="A6816" s="390" t="str">
        <f>IFERROR(__xludf.DUMMYFUNCTION("""COMPUTED_VALUE"""),"Jeane Mendes da Silva Muniz - #SLIA - Segunda Licenciatura Letras - Inglês")</f>
        <v>Jeane Mendes da Silva Muniz - #SLIA - Segunda Licenciatura Letras - Inglês</v>
      </c>
    </row>
    <row r="6817">
      <c r="A6817" s="390" t="str">
        <f>IFERROR(__xludf.DUMMYFUNCTION("""COMPUTED_VALUE"""),"Walmira Costa - #SLHA - Segunda Licenciatura em História")</f>
        <v>Walmira Costa - #SLHA - Segunda Licenciatura em História</v>
      </c>
    </row>
    <row r="6818">
      <c r="A6818" s="390" t="str">
        <f>IFERROR(__xludf.DUMMYFUNCTION("""COMPUTED_VALUE"""),"Paloma de Campos Alé Pereira - #SLLPA - Segunda Licenciatura Letras - Português")</f>
        <v>Paloma de Campos Alé Pereira - #SLLPA - Segunda Licenciatura Letras - Português</v>
      </c>
    </row>
    <row r="6819">
      <c r="A6819" s="390" t="str">
        <f>IFERROR(__xludf.DUMMYFUNCTION("""COMPUTED_VALUE"""),"Paloma de Campos Alé Pereira - Pós-Graduação Psicopedagogia Clínica, Institucional e Hospitalar")</f>
        <v>Paloma de Campos Alé Pereira - Pós-Graduação Psicopedagogia Clínica, Institucional e Hospitalar</v>
      </c>
    </row>
    <row r="6820">
      <c r="A6820" s="390" t="str">
        <f>IFERROR(__xludf.DUMMYFUNCTION("""COMPUTED_VALUE"""),"ELIZEU ROCHA DOS SANTOS JÚNIOR - SEGUNDA LICENCIATURA EM MATEMÁTICA - 2024")</f>
        <v>ELIZEU ROCHA DOS SANTOS JÚNIOR - SEGUNDA LICENCIATURA EM MATEMÁTICA - 2024</v>
      </c>
    </row>
    <row r="6821">
      <c r="A6821" s="390" t="str">
        <f>IFERROR(__xludf.DUMMYFUNCTION("""COMPUTED_VALUE"""),"Will Robson Paulo da Silva - SEGUNDA LICENCIATURA PEDAGOGIA - 2024")</f>
        <v>Will Robson Paulo da Silva - SEGUNDA LICENCIATURA PEDAGOGIA - 2024</v>
      </c>
    </row>
    <row r="6822">
      <c r="A6822" s="390" t="str">
        <f>IFERROR(__xludf.DUMMYFUNCTION("""COMPUTED_VALUE"""),"Will Robson Paulo da Silva - #SLPT- Segunda Licenciatura em Pedagogia")</f>
        <v>Will Robson Paulo da Silva - #SLPT- Segunda Licenciatura em Pedagogia</v>
      </c>
    </row>
    <row r="6823">
      <c r="A6823" s="390" t="str">
        <f>IFERROR(__xludf.DUMMYFUNCTION("""COMPUTED_VALUE"""),"Roseli de Paula Souza Dias - Formação Livre em Psicanálise-2022")</f>
        <v>Roseli de Paula Souza Dias - Formação Livre em Psicanálise-2022</v>
      </c>
    </row>
    <row r="6824">
      <c r="A6824" s="390" t="str">
        <f>IFERROR(__xludf.DUMMYFUNCTION("""COMPUTED_VALUE"""),"Ailton Alves de Carvalho - #SLMA - Segunda Licenciatura Matemática")</f>
        <v>Ailton Alves de Carvalho - #SLMA - Segunda Licenciatura Matemática</v>
      </c>
    </row>
    <row r="6825">
      <c r="A6825" s="390" t="str">
        <f>IFERROR(__xludf.DUMMYFUNCTION("""COMPUTED_VALUE"""),"Jaciara Silva dos Santos - PÓS-GRADUAÇÃO EM ALFABETIZAÇÃO E LETRAMENTO - 2024")</f>
        <v>Jaciara Silva dos Santos - PÓS-GRADUAÇÃO EM ALFABETIZAÇÃO E LETRAMENTO - 2024</v>
      </c>
    </row>
    <row r="6826">
      <c r="A6826" s="390" t="str">
        <f>IFERROR(__xludf.DUMMYFUNCTION("""COMPUTED_VALUE"""),"Tânia Regina do Sacramento - #FPMF- Formação Pedagógica em Música 1200Horas")</f>
        <v>Tânia Regina do Sacramento - #FPMF- Formação Pedagógica em Música 1200Horas</v>
      </c>
    </row>
    <row r="6827">
      <c r="A6827" s="390" t="str">
        <f>IFERROR(__xludf.DUMMYFUNCTION("""COMPUTED_VALUE"""),"RAYANE KELLY SANTOS SOUZA - Pós-Graduação em Psicopedagogia Clinica, Institucional e Hospitalar 660Horas")</f>
        <v>RAYANE KELLY SANTOS SOUZA - Pós-Graduação em Psicopedagogia Clinica, Institucional e Hospitalar 660Horas</v>
      </c>
    </row>
    <row r="6828">
      <c r="A6828" s="390" t="str">
        <f>IFERROR(__xludf.DUMMYFUNCTION("""COMPUTED_VALUE"""),"Antônio Gabriel Correia de Oliveira - #SLHA - Segunda Licenciatura em História")</f>
        <v>Antônio Gabriel Correia de Oliveira - #SLHA - Segunda Licenciatura em História</v>
      </c>
    </row>
    <row r="6829">
      <c r="A6829" s="390" t="str">
        <f>IFERROR(__xludf.DUMMYFUNCTION("""COMPUTED_VALUE"""),"Edna Fernandes de Queiroz - #SLPA- Segunda Licenciatura em Pedagogia 01")</f>
        <v>Edna Fernandes de Queiroz - #SLPA- Segunda Licenciatura em Pedagogia 01</v>
      </c>
    </row>
    <row r="6830">
      <c r="A6830" s="390" t="str">
        <f>IFERROR(__xludf.DUMMYFUNCTION("""COMPUTED_VALUE"""),"Alexandre Arturo Ricci - NOVO-Pós-Graduação em Psicanálise 800 Horas")</f>
        <v>Alexandre Arturo Ricci - NOVO-Pós-Graduação em Psicanálise 800 Horas</v>
      </c>
    </row>
    <row r="6831">
      <c r="A6831" s="390" t="str">
        <f>IFERROR(__xludf.DUMMYFUNCTION("""COMPUTED_VALUE"""),"Gilson de Assis Silva - PÓS-GRADUAÇÃO EM PSICANÁLISE - 2024")</f>
        <v>Gilson de Assis Silva - PÓS-GRADUAÇÃO EM PSICANÁLISE - 2024</v>
      </c>
    </row>
    <row r="6832">
      <c r="A6832" s="390" t="str">
        <f>IFERROR(__xludf.DUMMYFUNCTION("""COMPUTED_VALUE"""),"José Valdir soares Filho - #SLAA - Segunda Licenciatura em Artes Visuais")</f>
        <v>José Valdir soares Filho - #SLAA - Segunda Licenciatura em Artes Visuais</v>
      </c>
    </row>
    <row r="6833">
      <c r="A6833" s="390" t="str">
        <f>IFERROR(__xludf.DUMMYFUNCTION("""COMPUTED_VALUE"""),"Clodoaldo Bezerra da Silva - SEGUNDA LICENCIATURA EM MÚSICA - 2024")</f>
        <v>Clodoaldo Bezerra da Silva - SEGUNDA LICENCIATURA EM MÚSICA - 2024</v>
      </c>
    </row>
    <row r="6834">
      <c r="A6834" s="390" t="str">
        <f>IFERROR(__xludf.DUMMYFUNCTION("""COMPUTED_VALUE"""),"JUTAÍ ROQUE NUNES DOS SANTOS - Pós-Graduação em Sexologia")</f>
        <v>JUTAÍ ROQUE NUNES DOS SANTOS - Pós-Graduação em Sexologia</v>
      </c>
    </row>
    <row r="6835">
      <c r="A6835" s="390" t="str">
        <f>IFERROR(__xludf.DUMMYFUNCTION("""COMPUTED_VALUE"""),"Marcus Wilson Seixas do Nascimento - #SLPT- Segunda Licenciatura em Pedagogia")</f>
        <v>Marcus Wilson Seixas do Nascimento - #SLPT- Segunda Licenciatura em Pedagogia</v>
      </c>
    </row>
    <row r="6836">
      <c r="A6836" s="390" t="str">
        <f>IFERROR(__xludf.DUMMYFUNCTION("""COMPUTED_VALUE"""),"Talita do Carmo Costa - #SLUPI - SEGUNDA LICENCIATURA EM LETRAS – PORTUGUÊS E INGLÊS")</f>
        <v>Talita do Carmo Costa - #SLUPI - SEGUNDA LICENCIATURA EM LETRAS – PORTUGUÊS E INGLÊS</v>
      </c>
    </row>
    <row r="6837">
      <c r="A6837" s="390" t="str">
        <f>IFERROR(__xludf.DUMMYFUNCTION("""COMPUTED_VALUE"""),"Álvaro José Gonçalves Neto - SEGUNDA LICENCIATURA EM MÚSICA - 2024")</f>
        <v>Álvaro José Gonçalves Neto - SEGUNDA LICENCIATURA EM MÚSICA - 2024</v>
      </c>
    </row>
    <row r="6838">
      <c r="A6838" s="390" t="str">
        <f>IFERROR(__xludf.DUMMYFUNCTION("""COMPUTED_VALUE"""),"Vinícius de Oliveira Melo - #SLLET1 - SEGUNDA LICENCIATURA EM LETRAS-PORTUGUÊS/ESPANHOL")</f>
        <v>Vinícius de Oliveira Melo - #SLLET1 - SEGUNDA LICENCIATURA EM LETRAS-PORTUGUÊS/ESPANHOL</v>
      </c>
    </row>
    <row r="6839">
      <c r="A6839" s="390" t="str">
        <f>IFERROR(__xludf.DUMMYFUNCTION("""COMPUTED_VALUE"""),"Ana Claudia da cruz Viana - Capacitação em Sexologia")</f>
        <v>Ana Claudia da cruz Viana - Capacitação em Sexologia</v>
      </c>
    </row>
    <row r="6840">
      <c r="A6840" s="390" t="str">
        <f>IFERROR(__xludf.DUMMYFUNCTION("""COMPUTED_VALUE"""),"Paulo Ricardo figueiredo de Oliveira - #FPMF- Formação Pedagógica em Música 1200Horas")</f>
        <v>Paulo Ricardo figueiredo de Oliveira - #FPMF- Formação Pedagógica em Música 1200Horas</v>
      </c>
    </row>
    <row r="6841">
      <c r="A6841" s="390" t="str">
        <f>IFERROR(__xludf.DUMMYFUNCTION("""COMPUTED_VALUE"""),"Maria do Rozario Lima Pereira - NOVO-Pós-Graduação em Psicanálise 800 Horas")</f>
        <v>Maria do Rozario Lima Pereira - NOVO-Pós-Graduação em Psicanálise 800 Horas</v>
      </c>
    </row>
    <row r="6842">
      <c r="A6842" s="390" t="str">
        <f>IFERROR(__xludf.DUMMYFUNCTION("""COMPUTED_VALUE"""),"Evelyn Fernandes Freitas - #SLPA- Segunda Licenciatura em Pedagogia 01")</f>
        <v>Evelyn Fernandes Freitas - #SLPA- Segunda Licenciatura em Pedagogia 01</v>
      </c>
    </row>
    <row r="6843">
      <c r="A6843" s="390" t="str">
        <f>IFERROR(__xludf.DUMMYFUNCTION("""COMPUTED_VALUE"""),"Andreza Luana de Andrade Santos - #SLPA- Segunda Licenciatura em Pedagogia 01")</f>
        <v>Andreza Luana de Andrade Santos - #SLPA- Segunda Licenciatura em Pedagogia 01</v>
      </c>
    </row>
    <row r="6844">
      <c r="A6844" s="390" t="str">
        <f>IFERROR(__xludf.DUMMYFUNCTION("""COMPUTED_VALUE"""),"Susana Machado Ribeiro - Pós-Graduação em Psicologia Hospitalar")</f>
        <v>Susana Machado Ribeiro - Pós-Graduação em Psicologia Hospitalar</v>
      </c>
    </row>
    <row r="6845">
      <c r="A6845" s="390" t="str">
        <f>IFERROR(__xludf.DUMMYFUNCTION("""COMPUTED_VALUE"""),"Susana Machado Ribeiro - Pós-graduação em Neuropsicologia")</f>
        <v>Susana Machado Ribeiro - Pós-graduação em Neuropsicologia</v>
      </c>
    </row>
    <row r="6846">
      <c r="A6846" s="390" t="str">
        <f>IFERROR(__xludf.DUMMYFUNCTION("""COMPUTED_VALUE"""),"Lisandra de Oliveira Santana - Pós-Graduação em Neuropsicopedagogia Institucional, Clínica e Hospitalar 850h")</f>
        <v>Lisandra de Oliveira Santana - Pós-Graduação em Neuropsicopedagogia Institucional, Clínica e Hospitalar 850h</v>
      </c>
    </row>
    <row r="6847">
      <c r="A6847" s="390" t="str">
        <f>IFERROR(__xludf.DUMMYFUNCTION("""COMPUTED_VALUE"""),"Adélia Prata Filha Cruz - #SLLPA - Segunda Licenciatura Letras - Português")</f>
        <v>Adélia Prata Filha Cruz - #SLLPA - Segunda Licenciatura Letras - Português</v>
      </c>
    </row>
    <row r="6848">
      <c r="A6848" s="390" t="str">
        <f>IFERROR(__xludf.DUMMYFUNCTION("""COMPUTED_VALUE"""),"Antônio Carlos dos Santos Ferreira - NOVO-Pós-Graduação em Psicanálise 800 Horas")</f>
        <v>Antônio Carlos dos Santos Ferreira - NOVO-Pós-Graduação em Psicanálise 800 Horas</v>
      </c>
    </row>
    <row r="6849">
      <c r="A6849" s="390" t="str">
        <f>IFERROR(__xludf.DUMMYFUNCTION("""COMPUTED_VALUE"""),"Thaís Almeida Oliveira - Pós-graduação em gestão e orientação escolar 600h")</f>
        <v>Thaís Almeida Oliveira - Pós-graduação em gestão e orientação escolar 600h</v>
      </c>
    </row>
    <row r="6850">
      <c r="A6850" s="390" t="str">
        <f>IFERROR(__xludf.DUMMYFUNCTION("""COMPUTED_VALUE"""),"Carlos de Braga e Queiroz - Pós-Graduação em Análise de Projeto de Software")</f>
        <v>Carlos de Braga e Queiroz - Pós-Graduação em Análise de Projeto de Software</v>
      </c>
    </row>
    <row r="6851">
      <c r="A6851" s="390" t="str">
        <f>IFERROR(__xludf.DUMMYFUNCTION("""COMPUTED_VALUE"""),"Lélia Amaral dos Santos - Pós-Graduação MBA em Gestão Hospitalar")</f>
        <v>Lélia Amaral dos Santos - Pós-Graduação MBA em Gestão Hospitalar</v>
      </c>
    </row>
    <row r="6852">
      <c r="A6852" s="390" t="str">
        <f>IFERROR(__xludf.DUMMYFUNCTION("""COMPUTED_VALUE"""),"Marcio Nascimento Paz - SEGUNDA LICENCIATURA EM HISTÓRIA - 2024")</f>
        <v>Marcio Nascimento Paz - SEGUNDA LICENCIATURA EM HISTÓRIA - 2024</v>
      </c>
    </row>
    <row r="6853">
      <c r="A6853" s="390" t="str">
        <f>IFERROR(__xludf.DUMMYFUNCTION("""COMPUTED_VALUE"""),"Isaquiel dos Santos de Sousa Pereira - #SLPA- Segunda Licenciatura em Pedagogia 01")</f>
        <v>Isaquiel dos Santos de Sousa Pereira - #SLPA- Segunda Licenciatura em Pedagogia 01</v>
      </c>
    </row>
    <row r="6854">
      <c r="A6854" s="390" t="str">
        <f>IFERROR(__xludf.DUMMYFUNCTION("""COMPUTED_VALUE"""),"Cleilson Cristiano Venancio - SEGUNDA LICENCIATURA EM GEOGRAFIA - 2024")</f>
        <v>Cleilson Cristiano Venancio - SEGUNDA LICENCIATURA EM GEOGRAFIA - 2024</v>
      </c>
    </row>
    <row r="6855">
      <c r="A6855" s="390" t="str">
        <f>IFERROR(__xludf.DUMMYFUNCTION("""COMPUTED_VALUE"""),"Rebecca Rodrigues Carvalho - Formação Livre Psicanálise")</f>
        <v>Rebecca Rodrigues Carvalho - Formação Livre Psicanálise</v>
      </c>
    </row>
    <row r="6856">
      <c r="A6856" s="390" t="str">
        <f>IFERROR(__xludf.DUMMYFUNCTION("""COMPUTED_VALUE"""),"Tereza Cristina da Silva Nogueira - #SLP22- Segunda Licenciatura em Pedagogia")</f>
        <v>Tereza Cristina da Silva Nogueira - #SLP22- Segunda Licenciatura em Pedagogia</v>
      </c>
    </row>
    <row r="6857">
      <c r="A6857" s="390" t="str">
        <f>IFERROR(__xludf.DUMMYFUNCTION("""COMPUTED_VALUE"""),"Eraldo Loures dos Santos - FORMAÇÃO PEDAGÓGICA EM HISTÓRIA - 2024")</f>
        <v>Eraldo Loures dos Santos - FORMAÇÃO PEDAGÓGICA EM HISTÓRIA - 2024</v>
      </c>
    </row>
    <row r="6858">
      <c r="A6858" s="390" t="str">
        <f>IFERROR(__xludf.DUMMYFUNCTION("""COMPUTED_VALUE"""),"Fabiana Gomes de Souza - Pós-graduação em Neuropsicologia")</f>
        <v>Fabiana Gomes de Souza - Pós-graduação em Neuropsicologia</v>
      </c>
    </row>
    <row r="6859">
      <c r="A6859" s="390" t="str">
        <f>IFERROR(__xludf.DUMMYFUNCTION("""COMPUTED_VALUE"""),"Arthur Simões Índio do Brasil - Pós-Graduação em Aba-Análise do Comportamento Aplicada 2022")</f>
        <v>Arthur Simões Índio do Brasil - Pós-Graduação em Aba-Análise do Comportamento Aplicada 2022</v>
      </c>
    </row>
    <row r="6860">
      <c r="A6860" s="390" t="str">
        <f>IFERROR(__xludf.DUMMYFUNCTION("""COMPUTED_VALUE"""),"Sabrina Ligneul Macedo de Victa - SEGUNDA LICENCIATURA EM MÚSICA - 2024")</f>
        <v>Sabrina Ligneul Macedo de Victa - SEGUNDA LICENCIATURA EM MÚSICA - 2024</v>
      </c>
    </row>
    <row r="6861">
      <c r="A6861" s="390" t="str">
        <f>IFERROR(__xludf.DUMMYFUNCTION("""COMPUTED_VALUE"""),"Sabrina Ligneul Macedo de Victa - Pós-Graduação em Educação Musical")</f>
        <v>Sabrina Ligneul Macedo de Victa - Pós-Graduação em Educação Musical</v>
      </c>
    </row>
    <row r="6862">
      <c r="A6862" s="390" t="str">
        <f>IFERROR(__xludf.DUMMYFUNCTION("""COMPUTED_VALUE"""),"Isabela Rodrigues Helfstein - NOVO-Pós-Graduação em Psicanálise 800 Horas")</f>
        <v>Isabela Rodrigues Helfstein - NOVO-Pós-Graduação em Psicanálise 800 Horas</v>
      </c>
    </row>
    <row r="6863">
      <c r="A6863" s="390" t="str">
        <f>IFERROR(__xludf.DUMMYFUNCTION("""COMPUTED_VALUE"""),"Luciana Rodrigues da Conceição - FORMAÇÃO PEDAGÓGICA EM PEDAGOGIA - 2024")</f>
        <v>Luciana Rodrigues da Conceição - FORMAÇÃO PEDAGÓGICA EM PEDAGOGIA - 2024</v>
      </c>
    </row>
    <row r="6864">
      <c r="A6864" s="390" t="str">
        <f>IFERROR(__xludf.DUMMYFUNCTION("""COMPUTED_VALUE"""),"Rute Alves de Oliveira - PÓS-GRADUAÇÃO EM PSICANÁLISE - 2024")</f>
        <v>Rute Alves de Oliveira - PÓS-GRADUAÇÃO EM PSICANÁLISE - 2024</v>
      </c>
    </row>
    <row r="6865">
      <c r="A6865" s="390" t="str">
        <f>IFERROR(__xludf.DUMMYFUNCTION("""COMPUTED_VALUE"""),"Paulo Henrique Antonini - #FPMF- Formação Pedagógica em Música 2022")</f>
        <v>Paulo Henrique Antonini - #FPMF- Formação Pedagógica em Música 2022</v>
      </c>
    </row>
    <row r="6866">
      <c r="A6866" s="390" t="str">
        <f>IFERROR(__xludf.DUMMYFUNCTION("""COMPUTED_VALUE"""),"Renata Patrícia Lahr - #SLPA- Segunda Licenciatura em Pedagogia 01")</f>
        <v>Renata Patrícia Lahr - #SLPA- Segunda Licenciatura em Pedagogia 01</v>
      </c>
    </row>
    <row r="6867">
      <c r="A6867" s="390" t="str">
        <f>IFERROR(__xludf.DUMMYFUNCTION("""COMPUTED_VALUE"""),"Carla de Cássia Vieira Socca - #SLAA - Segunda Licenciatura em Artes Visuais")</f>
        <v>Carla de Cássia Vieira Socca - #SLAA - Segunda Licenciatura em Artes Visuais</v>
      </c>
    </row>
    <row r="6868">
      <c r="A6868" s="390" t="str">
        <f>IFERROR(__xludf.DUMMYFUNCTION("""COMPUTED_VALUE"""),"Antônio Ferreira da Silva - NOVO-Pós-Graduação em Psicanálise 800 Horas")</f>
        <v>Antônio Ferreira da Silva - NOVO-Pós-Graduação em Psicanálise 800 Horas</v>
      </c>
    </row>
    <row r="6869">
      <c r="A6869" s="390" t="str">
        <f>IFERROR(__xludf.DUMMYFUNCTION("""COMPUTED_VALUE"""),"Igor Cássio Adeltrudes de França - SEGUNDA LICENCIATURA EM MÚSICA - 2024")</f>
        <v>Igor Cássio Adeltrudes de França - SEGUNDA LICENCIATURA EM MÚSICA - 2024</v>
      </c>
    </row>
    <row r="6870">
      <c r="A6870" s="390" t="str">
        <f>IFERROR(__xludf.DUMMYFUNCTION("""COMPUTED_VALUE"""),"Israel Mascarenhas - #SLMF - Segunda Licenciatura em Música 1320Horas")</f>
        <v>Israel Mascarenhas - #SLMF - Segunda Licenciatura em Música 1320Horas</v>
      </c>
    </row>
    <row r="6871">
      <c r="A6871" s="390" t="str">
        <f>IFERROR(__xludf.DUMMYFUNCTION("""COMPUTED_VALUE"""),"Ana Amália Cavalcante de Araújo - #FPMF- Formação Pedagógica em Música 1200Horas")</f>
        <v>Ana Amália Cavalcante de Araújo - #FPMF- Formação Pedagógica em Música 1200Horas</v>
      </c>
    </row>
    <row r="6872">
      <c r="A6872" s="390" t="str">
        <f>IFERROR(__xludf.DUMMYFUNCTION("""COMPUTED_VALUE"""),"Relbert Rógeres Rosa Dias - #SLMF- Segunda Licenciatura Música 1200Horas 1")</f>
        <v>Relbert Rógeres Rosa Dias - #SLMF- Segunda Licenciatura Música 1200Horas 1</v>
      </c>
    </row>
    <row r="6873">
      <c r="A6873" s="390" t="str">
        <f>IFERROR(__xludf.DUMMYFUNCTION("""COMPUTED_VALUE"""),"Nórton Zimmermann de Souza - #SLMF- Segunda Licenciatura Música 1200Horas 1")</f>
        <v>Nórton Zimmermann de Souza - #SLMF- Segunda Licenciatura Música 1200Horas 1</v>
      </c>
    </row>
    <row r="6874">
      <c r="A6874" s="390" t="str">
        <f>IFERROR(__xludf.DUMMYFUNCTION("""COMPUTED_VALUE"""),"Nórton Zimmermann de Souza - #SLMF- Segunda Licenciatura Música 1200Horas 1")</f>
        <v>Nórton Zimmermann de Souza - #SLMF- Segunda Licenciatura Música 1200Horas 1</v>
      </c>
    </row>
    <row r="6875">
      <c r="A6875" s="390" t="str">
        <f>IFERROR(__xludf.DUMMYFUNCTION("""COMPUTED_VALUE"""),"Patrocínio Santos de Sousa - #SLMF- Segunda Licenciatura Música 1200Horas 1")</f>
        <v>Patrocínio Santos de Sousa - #SLMF- Segunda Licenciatura Música 1200Horas 1</v>
      </c>
    </row>
    <row r="6876">
      <c r="A6876" s="390" t="str">
        <f>IFERROR(__xludf.DUMMYFUNCTION("""COMPUTED_VALUE"""),"Emerson Carlos Ribeiro - FORMAÇÃO PEDAGÓGICA EM MÚSICA - 2024")</f>
        <v>Emerson Carlos Ribeiro - FORMAÇÃO PEDAGÓGICA EM MÚSICA - 2024</v>
      </c>
    </row>
    <row r="6877">
      <c r="A6877" s="390" t="str">
        <f>IFERROR(__xludf.DUMMYFUNCTION("""COMPUTED_VALUE"""),"Emerson Carlos Ribeiro - #FPMF- Formação Pedagógica em Música 1200Horas")</f>
        <v>Emerson Carlos Ribeiro - #FPMF- Formação Pedagógica em Música 1200Horas</v>
      </c>
    </row>
    <row r="6878">
      <c r="A6878" s="390" t="str">
        <f>IFERROR(__xludf.DUMMYFUNCTION("""COMPUTED_VALUE"""),"Pedro Albeirice da Rocha - #SLMF - Segunda Licenciatura em Música 1320Horas")</f>
        <v>Pedro Albeirice da Rocha - #SLMF - Segunda Licenciatura em Música 1320Horas</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1" max="1" width="114.13"/>
    <col customWidth="1" min="2" max="2" width="22.0"/>
    <col customWidth="1" min="3" max="3" width="46.5"/>
    <col customWidth="1" min="4" max="4" width="62.63"/>
    <col customWidth="1" min="5" max="5" width="21.0"/>
    <col customWidth="1" min="6" max="6" width="24.63"/>
    <col customWidth="1" min="7" max="7" width="14.13"/>
    <col customWidth="1" min="8" max="8" width="16.25"/>
    <col customWidth="1" min="11" max="11" width="29.5"/>
    <col customWidth="1" min="12" max="12" width="112.75"/>
    <col customWidth="1" min="13" max="13" width="35.38"/>
  </cols>
  <sheetData>
    <row r="1">
      <c r="A1" s="392" t="str">
        <f>IFERROR(__xludf.DUMMYFUNCTION("IMPORTRANGE(""https://docs.google.com/spreadsheets/d/1X8YxhFLPL6z1dhE9HZxEftHb6Q31IqXIEGRhh5eAVeU"", ""Certificação Pós!M2:M"")
"),"Dados de certificação ")</f>
        <v>Dados de certificação </v>
      </c>
      <c r="B1" s="392"/>
      <c r="C1" s="393"/>
      <c r="D1" s="393"/>
      <c r="E1" s="393"/>
      <c r="F1" s="393"/>
      <c r="G1" s="393"/>
      <c r="H1" s="393"/>
      <c r="I1" s="393"/>
      <c r="J1" s="393"/>
      <c r="K1" s="393"/>
      <c r="L1" s="393"/>
      <c r="M1" s="393"/>
      <c r="N1" s="393"/>
      <c r="O1" s="393"/>
      <c r="P1" s="393"/>
      <c r="Q1" s="393"/>
    </row>
    <row r="2">
      <c r="A2" s="394" t="str">
        <f>IFERROR(__xludf.DUMMYFUNCTION("""COMPUTED_VALUE""")," |  | ")</f>
        <v> |  | </v>
      </c>
      <c r="B2" s="394"/>
      <c r="C2" s="395"/>
      <c r="D2" s="395"/>
      <c r="E2" s="395"/>
      <c r="F2" s="395"/>
      <c r="G2" s="395"/>
      <c r="H2" s="395"/>
      <c r="I2" s="395"/>
      <c r="J2" s="395"/>
      <c r="K2" s="395"/>
      <c r="L2" s="395"/>
      <c r="M2" s="395"/>
      <c r="N2" s="395"/>
      <c r="O2" s="395"/>
      <c r="P2" s="395"/>
      <c r="Q2" s="395"/>
    </row>
    <row r="3">
      <c r="A3" s="396" t="str">
        <f>IFERROR(__xludf.DUMMYFUNCTION("""COMPUTED_VALUE"""),"ALUNO | CURSO | ENVIO -  ALUNO")</f>
        <v>ALUNO | CURSO | ENVIO -  ALUNO</v>
      </c>
      <c r="B3" s="396"/>
      <c r="C3" s="384"/>
      <c r="D3" s="384"/>
      <c r="E3" s="384"/>
      <c r="F3" s="384"/>
      <c r="G3" s="384"/>
      <c r="H3" s="384"/>
      <c r="I3" s="384"/>
      <c r="J3" s="384"/>
      <c r="K3" s="384"/>
      <c r="L3" s="384"/>
      <c r="M3" s="384"/>
      <c r="N3" s="384"/>
      <c r="O3" s="384"/>
      <c r="P3" s="384"/>
      <c r="Q3" s="384"/>
    </row>
    <row r="4">
      <c r="A4" s="396" t="str">
        <f>IFERROR(__xludf.DUMMYFUNCTION("""COMPUTED_VALUE"""),"Welida Almeida Julião  | Pós Graduação Psicánalise  | Enviado 27/5/2024")</f>
        <v>Welida Almeida Julião  | Pós Graduação Psicánalise  | Enviado 27/5/2024</v>
      </c>
      <c r="B4" s="396"/>
      <c r="C4" s="384"/>
      <c r="D4" s="384"/>
      <c r="E4" s="384"/>
      <c r="F4" s="384"/>
      <c r="G4" s="384"/>
      <c r="H4" s="384"/>
      <c r="I4" s="384"/>
      <c r="J4" s="384"/>
      <c r="K4" s="384"/>
      <c r="L4" s="384"/>
      <c r="M4" s="384"/>
      <c r="N4" s="384"/>
      <c r="O4" s="384"/>
      <c r="P4" s="384"/>
      <c r="Q4" s="384"/>
    </row>
    <row r="5">
      <c r="A5" s="396" t="str">
        <f>IFERROR(__xludf.DUMMYFUNCTION("""COMPUTED_VALUE"""),"Ivanaldo Arruda do Nascimento  | Pós-graduação em gestão e orientação escolar | Enviado 27/5/2024")</f>
        <v>Ivanaldo Arruda do Nascimento  | Pós-graduação em gestão e orientação escolar | Enviado 27/5/2024</v>
      </c>
      <c r="B5" s="396"/>
      <c r="C5" s="384"/>
      <c r="D5" s="384"/>
      <c r="E5" s="384"/>
      <c r="F5" s="384"/>
      <c r="G5" s="384"/>
      <c r="H5" s="384"/>
      <c r="I5" s="384"/>
      <c r="J5" s="384"/>
      <c r="K5" s="384"/>
      <c r="L5" s="384"/>
      <c r="M5" s="384"/>
      <c r="N5" s="384"/>
      <c r="O5" s="384"/>
      <c r="P5" s="384"/>
      <c r="Q5" s="384"/>
    </row>
    <row r="6">
      <c r="A6" s="396" t="str">
        <f>IFERROR(__xludf.DUMMYFUNCTION("""COMPUTED_VALUE"""),"Francisco Geober Sabino de Carvalho  | Pós-Graduação Alfabetização e Letramento | Enviado 28/05/2024")</f>
        <v>Francisco Geober Sabino de Carvalho  | Pós-Graduação Alfabetização e Letramento | Enviado 28/05/2024</v>
      </c>
      <c r="B6" s="396"/>
      <c r="C6" s="384"/>
      <c r="D6" s="384"/>
      <c r="E6" s="384"/>
      <c r="F6" s="384"/>
      <c r="G6" s="384"/>
      <c r="H6" s="384"/>
      <c r="I6" s="384"/>
      <c r="J6" s="384"/>
      <c r="K6" s="384"/>
      <c r="L6" s="384"/>
      <c r="M6" s="384"/>
      <c r="N6" s="384"/>
      <c r="O6" s="384"/>
      <c r="P6" s="384"/>
      <c r="Q6" s="384"/>
    </row>
    <row r="7">
      <c r="A7" s="396" t="str">
        <f>IFERROR(__xludf.DUMMYFUNCTION("""COMPUTED_VALUE"""),"Juliana Roberta dos Santos  | Pós Graduação Educação Especial e Inclusiva com Enfase em Neurociêcia e Aprendizagem  | Enviado 28/05/2024")</f>
        <v>Juliana Roberta dos Santos  | Pós Graduação Educação Especial e Inclusiva com Enfase em Neurociêcia e Aprendizagem  | Enviado 28/05/2024</v>
      </c>
      <c r="B7" s="396"/>
      <c r="C7" s="384"/>
      <c r="D7" s="384"/>
      <c r="E7" s="384"/>
      <c r="F7" s="384"/>
      <c r="G7" s="384"/>
      <c r="H7" s="384"/>
      <c r="I7" s="384"/>
      <c r="J7" s="384"/>
      <c r="K7" s="384"/>
      <c r="L7" s="384"/>
      <c r="M7" s="384"/>
      <c r="N7" s="384"/>
      <c r="O7" s="384"/>
      <c r="P7" s="384"/>
      <c r="Q7" s="384"/>
    </row>
    <row r="8">
      <c r="A8" s="396" t="str">
        <f>IFERROR(__xludf.DUMMYFUNCTION("""COMPUTED_VALUE"""),"Tiago Henrique Mussato Lazaro | Pós-Graduação em Tecnologias Educacionais | Enviado 29/05/2024")</f>
        <v>Tiago Henrique Mussato Lazaro | Pós-Graduação em Tecnologias Educacionais | Enviado 29/05/2024</v>
      </c>
      <c r="B8" s="396"/>
      <c r="C8" s="397"/>
      <c r="D8" s="384"/>
      <c r="E8" s="384"/>
      <c r="F8" s="384"/>
      <c r="G8" s="384"/>
      <c r="H8" s="384"/>
      <c r="I8" s="384"/>
      <c r="J8" s="384"/>
      <c r="K8" s="384"/>
      <c r="L8" s="384"/>
      <c r="M8" s="384"/>
      <c r="N8" s="384"/>
      <c r="O8" s="384"/>
      <c r="P8" s="384"/>
      <c r="Q8" s="384"/>
    </row>
    <row r="9">
      <c r="A9" s="396" t="str">
        <f>IFERROR(__xludf.DUMMYFUNCTION("""COMPUTED_VALUE"""),"José Marcio Paz Batista  | Pós-Graduação em Gestão Escolar | Enviado 29/05/2024")</f>
        <v>José Marcio Paz Batista  | Pós-Graduação em Gestão Escolar | Enviado 29/05/2024</v>
      </c>
      <c r="B9" s="396"/>
      <c r="C9" s="384"/>
      <c r="D9" s="384"/>
      <c r="E9" s="384"/>
      <c r="F9" s="384"/>
      <c r="G9" s="384"/>
      <c r="H9" s="384"/>
      <c r="I9" s="384"/>
      <c r="J9" s="384"/>
      <c r="K9" s="384"/>
      <c r="L9" s="384"/>
      <c r="M9" s="384"/>
      <c r="N9" s="384"/>
      <c r="O9" s="384"/>
      <c r="P9" s="384"/>
      <c r="Q9" s="384"/>
    </row>
    <row r="10">
      <c r="A10" s="398" t="str">
        <f>IFERROR(__xludf.DUMMYFUNCTION("""COMPUTED_VALUE"""),"Valdenice Santos Pereira  | Pós-Graduação em Educação Especial e Inclusiva | Enviado 03/06/2024")</f>
        <v>Valdenice Santos Pereira  | Pós-Graduação em Educação Especial e Inclusiva | Enviado 03/06/2024</v>
      </c>
      <c r="B10" s="399"/>
      <c r="C10" s="400"/>
      <c r="D10" s="401"/>
      <c r="E10" s="401"/>
      <c r="F10" s="402"/>
      <c r="G10" s="402"/>
      <c r="H10" s="402"/>
      <c r="I10" s="402"/>
      <c r="J10" s="402"/>
      <c r="K10" s="402"/>
      <c r="L10" s="402"/>
      <c r="M10" s="402"/>
      <c r="N10" s="384"/>
      <c r="O10" s="384"/>
      <c r="P10" s="384"/>
      <c r="Q10" s="384"/>
    </row>
    <row r="11">
      <c r="A11" s="396" t="str">
        <f>IFERROR(__xludf.DUMMYFUNCTION("""COMPUTED_VALUE""")," |  | ")</f>
        <v> |  | </v>
      </c>
      <c r="B11" s="396"/>
      <c r="C11" s="384"/>
      <c r="D11" s="384"/>
      <c r="E11" s="384"/>
      <c r="F11" s="384"/>
      <c r="G11" s="384"/>
      <c r="H11" s="384"/>
      <c r="I11" s="384"/>
      <c r="J11" s="384"/>
      <c r="K11" s="384"/>
      <c r="L11" s="384"/>
      <c r="M11" s="384"/>
      <c r="N11" s="384"/>
      <c r="O11" s="384"/>
      <c r="P11" s="384"/>
      <c r="Q11" s="384"/>
    </row>
    <row r="12">
      <c r="A12" s="396" t="str">
        <f>IFERROR(__xludf.DUMMYFUNCTION("""COMPUTED_VALUE"""),"Angelica Azaias dos Santos Pim  | Formação Livre Sexologia | Enviado")</f>
        <v>Angelica Azaias dos Santos Pim  | Formação Livre Sexologia | Enviado</v>
      </c>
      <c r="B12" s="396"/>
      <c r="C12" s="384"/>
      <c r="D12" s="384"/>
      <c r="E12" s="384"/>
      <c r="F12" s="384"/>
      <c r="G12" s="384"/>
      <c r="H12" s="384"/>
      <c r="I12" s="384"/>
      <c r="J12" s="384"/>
      <c r="K12" s="384"/>
      <c r="L12" s="384"/>
      <c r="M12" s="384"/>
      <c r="N12" s="384"/>
      <c r="O12" s="384"/>
      <c r="P12" s="384"/>
      <c r="Q12" s="384"/>
    </row>
    <row r="13">
      <c r="A13" s="396" t="str">
        <f>IFERROR(__xludf.DUMMYFUNCTION("""COMPUTED_VALUE"""),"Rogério Belmiro Tampellini | Pós-Graduação em Saúde Mental | Enviado")</f>
        <v>Rogério Belmiro Tampellini | Pós-Graduação em Saúde Mental | Enviado</v>
      </c>
      <c r="B13" s="396"/>
      <c r="C13" s="384"/>
      <c r="D13" s="384"/>
      <c r="E13" s="384"/>
      <c r="F13" s="384"/>
      <c r="G13" s="384"/>
      <c r="H13" s="384"/>
      <c r="I13" s="384"/>
      <c r="J13" s="384"/>
      <c r="K13" s="384"/>
      <c r="L13" s="384"/>
      <c r="M13" s="384"/>
      <c r="N13" s="384"/>
      <c r="O13" s="384"/>
      <c r="P13" s="384"/>
      <c r="Q13" s="384"/>
    </row>
    <row r="14">
      <c r="A14" s="396" t="str">
        <f>IFERROR(__xludf.DUMMYFUNCTION("""COMPUTED_VALUE"""),"Bruno do Santos Pereira Costa  | Pós-Graduação em Educação Física Escolar e Treinamento Desportivo 2022 | Enviado")</f>
        <v>Bruno do Santos Pereira Costa  | Pós-Graduação em Educação Física Escolar e Treinamento Desportivo 2022 | Enviado</v>
      </c>
      <c r="B14" s="396"/>
      <c r="C14" s="384"/>
      <c r="D14" s="384"/>
      <c r="E14" s="384"/>
      <c r="F14" s="384"/>
      <c r="G14" s="384"/>
      <c r="H14" s="384"/>
      <c r="I14" s="384"/>
      <c r="J14" s="384"/>
      <c r="K14" s="384"/>
      <c r="L14" s="384"/>
      <c r="M14" s="384"/>
      <c r="N14" s="384"/>
      <c r="O14" s="384"/>
      <c r="P14" s="384"/>
      <c r="Q14" s="384"/>
    </row>
    <row r="15">
      <c r="A15" s="396" t="str">
        <f>IFERROR(__xludf.DUMMYFUNCTION("""COMPUTED_VALUE"""),"Charles Félix da Silva  | Pós-Graduação em Musicoterapia | Enviado")</f>
        <v>Charles Félix da Silva  | Pós-Graduação em Musicoterapia | Enviado</v>
      </c>
      <c r="B15" s="396"/>
      <c r="C15" s="384"/>
      <c r="D15" s="384"/>
      <c r="E15" s="384"/>
      <c r="F15" s="384"/>
      <c r="G15" s="384"/>
      <c r="H15" s="384"/>
      <c r="I15" s="384"/>
      <c r="J15" s="384"/>
      <c r="K15" s="384"/>
      <c r="L15" s="384"/>
      <c r="M15" s="384"/>
      <c r="N15" s="384"/>
      <c r="O15" s="384"/>
      <c r="P15" s="384"/>
      <c r="Q15" s="384"/>
    </row>
    <row r="16">
      <c r="A16" s="396" t="str">
        <f>IFERROR(__xludf.DUMMYFUNCTION("""COMPUTED_VALUE"""),"Klaézia de Sousa Viana | Pós-Graduação em Neuropsicopedagogia Institucional, Clínica e Hospitalar | Enviado")</f>
        <v>Klaézia de Sousa Viana | Pós-Graduação em Neuropsicopedagogia Institucional, Clínica e Hospitalar | Enviado</v>
      </c>
      <c r="B16" s="396"/>
      <c r="C16" s="384"/>
      <c r="D16" s="384"/>
      <c r="E16" s="384"/>
      <c r="F16" s="384"/>
      <c r="G16" s="384"/>
      <c r="H16" s="384"/>
      <c r="I16" s="384"/>
      <c r="J16" s="384"/>
      <c r="K16" s="384"/>
      <c r="L16" s="384"/>
      <c r="M16" s="384"/>
      <c r="N16" s="384"/>
      <c r="O16" s="384"/>
      <c r="P16" s="384"/>
      <c r="Q16" s="384"/>
    </row>
    <row r="17">
      <c r="A17" s="396" t="str">
        <f>IFERROR(__xludf.DUMMYFUNCTION("""COMPUTED_VALUE"""),"Maria da Gloria Barral de Oliveira Seabra  | Pós- Graduação em Sexologia | Enviado")</f>
        <v>Maria da Gloria Barral de Oliveira Seabra  | Pós- Graduação em Sexologia | Enviado</v>
      </c>
      <c r="B17" s="396"/>
      <c r="C17" s="384"/>
      <c r="D17" s="384"/>
      <c r="E17" s="384"/>
      <c r="F17" s="384"/>
      <c r="G17" s="384"/>
      <c r="H17" s="384"/>
      <c r="I17" s="384"/>
      <c r="J17" s="384"/>
      <c r="K17" s="384"/>
      <c r="L17" s="384"/>
      <c r="M17" s="384"/>
      <c r="N17" s="384"/>
      <c r="O17" s="384"/>
      <c r="P17" s="384"/>
      <c r="Q17" s="384"/>
    </row>
    <row r="18">
      <c r="A18" s="396" t="str">
        <f>IFERROR(__xludf.DUMMYFUNCTION("""COMPUTED_VALUE"""),"Rogério Belmiro Tampellini | Pós-Graduação em Saúde Mental | Enviado")</f>
        <v>Rogério Belmiro Tampellini | Pós-Graduação em Saúde Mental | Enviado</v>
      </c>
      <c r="B18" s="396"/>
      <c r="C18" s="384"/>
      <c r="D18" s="384"/>
      <c r="E18" s="384"/>
      <c r="F18" s="384"/>
      <c r="G18" s="384"/>
      <c r="H18" s="384"/>
      <c r="I18" s="384"/>
      <c r="J18" s="384"/>
      <c r="K18" s="384"/>
      <c r="L18" s="384"/>
      <c r="M18" s="384"/>
      <c r="N18" s="384"/>
      <c r="O18" s="384"/>
      <c r="P18" s="384"/>
      <c r="Q18" s="384"/>
    </row>
    <row r="19">
      <c r="A19" s="396" t="str">
        <f>IFERROR(__xludf.DUMMYFUNCTION("""COMPUTED_VALUE"""),"Polyana Fialho do Carmo  | Pós-Graduação em Psicopedagogia Escolar | Enviado")</f>
        <v>Polyana Fialho do Carmo  | Pós-Graduação em Psicopedagogia Escolar | Enviado</v>
      </c>
      <c r="B19" s="396"/>
      <c r="C19" s="384"/>
      <c r="D19" s="384"/>
      <c r="E19" s="384"/>
      <c r="F19" s="384"/>
      <c r="G19" s="384"/>
      <c r="H19" s="384"/>
      <c r="I19" s="384"/>
      <c r="J19" s="384"/>
      <c r="K19" s="384"/>
      <c r="L19" s="384"/>
      <c r="M19" s="384"/>
      <c r="N19" s="384"/>
      <c r="O19" s="384"/>
      <c r="P19" s="384"/>
      <c r="Q19" s="384"/>
    </row>
    <row r="20">
      <c r="A20" s="396" t="str">
        <f>IFERROR(__xludf.DUMMYFUNCTION("""COMPUTED_VALUE"""),"Polyana Fialho do Carmo  | Pós-Graduação em Ensino de Artes | Enviado")</f>
        <v>Polyana Fialho do Carmo  | Pós-Graduação em Ensino de Artes | Enviado</v>
      </c>
      <c r="B20" s="396"/>
      <c r="C20" s="384"/>
      <c r="D20" s="384"/>
      <c r="E20" s="384"/>
      <c r="F20" s="384"/>
      <c r="G20" s="384"/>
      <c r="H20" s="384"/>
      <c r="I20" s="384"/>
      <c r="J20" s="384"/>
      <c r="K20" s="384"/>
      <c r="L20" s="384"/>
      <c r="M20" s="384"/>
      <c r="N20" s="384"/>
      <c r="O20" s="384"/>
      <c r="P20" s="384"/>
      <c r="Q20" s="384"/>
    </row>
    <row r="21">
      <c r="A21" s="396" t="str">
        <f>IFERROR(__xludf.DUMMYFUNCTION("""COMPUTED_VALUE"""),"Leonardo Mirio Jacintho  | Pós-Graduação em Psicanálise | Enviado")</f>
        <v>Leonardo Mirio Jacintho  | Pós-Graduação em Psicanálise | Enviado</v>
      </c>
      <c r="B21" s="396"/>
      <c r="C21" s="384"/>
      <c r="D21" s="384"/>
      <c r="E21" s="384"/>
      <c r="F21" s="384"/>
      <c r="G21" s="384"/>
      <c r="H21" s="384"/>
      <c r="I21" s="384"/>
      <c r="J21" s="384"/>
      <c r="K21" s="384"/>
      <c r="L21" s="384"/>
      <c r="M21" s="384"/>
      <c r="N21" s="384"/>
      <c r="O21" s="384"/>
      <c r="P21" s="384"/>
      <c r="Q21" s="384"/>
    </row>
    <row r="22">
      <c r="A22" s="396" t="str">
        <f>IFERROR(__xludf.DUMMYFUNCTION("""COMPUTED_VALUE"""),"Ariane Batagelo Grela  | Pós-Graduação em Análise de Comportamento Aplicada ao Autismo-ABA Com Habilitação em Docência no Ensino Superior | Enviado")</f>
        <v>Ariane Batagelo Grela  | Pós-Graduação em Análise de Comportamento Aplicada ao Autismo-ABA Com Habilitação em Docência no Ensino Superior | Enviado</v>
      </c>
      <c r="B22" s="396"/>
      <c r="C22" s="384"/>
      <c r="D22" s="384"/>
      <c r="E22" s="384"/>
      <c r="F22" s="384"/>
      <c r="G22" s="384"/>
      <c r="H22" s="384"/>
      <c r="I22" s="384"/>
      <c r="J22" s="384"/>
      <c r="K22" s="384"/>
      <c r="L22" s="384"/>
      <c r="M22" s="384"/>
      <c r="N22" s="384"/>
      <c r="O22" s="384"/>
      <c r="P22" s="384"/>
      <c r="Q22" s="384"/>
    </row>
    <row r="23">
      <c r="A23" s="396" t="str">
        <f>IFERROR(__xludf.DUMMYFUNCTION("""COMPUTED_VALUE"""),"Maria Da Penha Amorim Lima | Formação Livre em Psicanálise | Enviado")</f>
        <v>Maria Da Penha Amorim Lima | Formação Livre em Psicanálise | Enviado</v>
      </c>
      <c r="B23" s="396"/>
      <c r="C23" s="384"/>
      <c r="D23" s="384"/>
      <c r="E23" s="384"/>
      <c r="F23" s="384"/>
      <c r="G23" s="384"/>
      <c r="H23" s="384"/>
      <c r="I23" s="384"/>
      <c r="J23" s="384"/>
      <c r="K23" s="384"/>
      <c r="L23" s="384"/>
      <c r="M23" s="384"/>
      <c r="N23" s="384"/>
      <c r="O23" s="384"/>
      <c r="P23" s="384"/>
      <c r="Q23" s="384"/>
    </row>
    <row r="24">
      <c r="A24" s="396" t="str">
        <f>IFERROR(__xludf.DUMMYFUNCTION("""COMPUTED_VALUE"""),"Ottilia Terezinha de Araújo | Formação Livre Psicanálise | Enviado")</f>
        <v>Ottilia Terezinha de Araújo | Formação Livre Psicanálise | Enviado</v>
      </c>
      <c r="B24" s="396"/>
      <c r="C24" s="384"/>
      <c r="D24" s="384"/>
      <c r="E24" s="384"/>
      <c r="F24" s="384"/>
      <c r="G24" s="384"/>
      <c r="H24" s="384"/>
      <c r="I24" s="384"/>
      <c r="J24" s="384"/>
      <c r="K24" s="384"/>
      <c r="L24" s="384"/>
      <c r="M24" s="384"/>
      <c r="N24" s="384"/>
      <c r="O24" s="384"/>
      <c r="P24" s="384"/>
      <c r="Q24" s="384"/>
    </row>
    <row r="25">
      <c r="A25" s="396" t="str">
        <f>IFERROR(__xludf.DUMMYFUNCTION("""COMPUTED_VALUE"""),"Diana Ruspoli dos Santos | Pós-Graduação em Psicanálise | Enviado")</f>
        <v>Diana Ruspoli dos Santos | Pós-Graduação em Psicanálise | Enviado</v>
      </c>
      <c r="B25" s="396"/>
      <c r="C25" s="384"/>
      <c r="D25" s="384"/>
      <c r="E25" s="384"/>
      <c r="F25" s="384"/>
      <c r="G25" s="384"/>
      <c r="H25" s="384"/>
      <c r="I25" s="384"/>
      <c r="J25" s="384"/>
      <c r="K25" s="384"/>
      <c r="L25" s="384"/>
      <c r="M25" s="384"/>
      <c r="N25" s="384"/>
      <c r="O25" s="384"/>
      <c r="P25" s="384"/>
      <c r="Q25" s="384"/>
    </row>
    <row r="26">
      <c r="A26" s="396" t="str">
        <f>IFERROR(__xludf.DUMMYFUNCTION("""COMPUTED_VALUE"""),"Renata de Melo Pereira Zacarias  | Gilobaldo Botelho Moura | Enviado")</f>
        <v>Renata de Melo Pereira Zacarias  | Gilobaldo Botelho Moura | Enviado</v>
      </c>
      <c r="B26" s="396"/>
      <c r="C26" s="384"/>
      <c r="D26" s="384"/>
      <c r="E26" s="384"/>
      <c r="F26" s="384"/>
      <c r="G26" s="384"/>
      <c r="H26" s="384"/>
      <c r="I26" s="384"/>
      <c r="J26" s="384"/>
      <c r="K26" s="384"/>
      <c r="L26" s="384"/>
      <c r="M26" s="384"/>
      <c r="N26" s="384"/>
      <c r="O26" s="384"/>
      <c r="P26" s="384"/>
      <c r="Q26" s="384"/>
    </row>
    <row r="27">
      <c r="A27" s="396" t="str">
        <f>IFERROR(__xludf.DUMMYFUNCTION("""COMPUTED_VALUE"""),"Emily Guimarães Silva  | Pós-Graduação em Engenharia de Segurança do Trabalho | Enviado")</f>
        <v>Emily Guimarães Silva  | Pós-Graduação em Engenharia de Segurança do Trabalho | Enviado</v>
      </c>
      <c r="B27" s="396"/>
      <c r="C27" s="384"/>
      <c r="D27" s="384"/>
      <c r="E27" s="384"/>
      <c r="F27" s="384"/>
      <c r="G27" s="384"/>
      <c r="H27" s="384"/>
      <c r="I27" s="384"/>
      <c r="J27" s="384"/>
      <c r="K27" s="384"/>
      <c r="L27" s="384"/>
      <c r="M27" s="384"/>
      <c r="N27" s="384"/>
      <c r="O27" s="384"/>
      <c r="P27" s="384"/>
      <c r="Q27" s="384"/>
    </row>
    <row r="28">
      <c r="A28" s="396" t="str">
        <f>IFERROR(__xludf.DUMMYFUNCTION("""COMPUTED_VALUE"""),"Luiz Carlos Parra Dias Junior  | Pós-Graduação Psicopedagogia Clínica, Institucional e Hospitalar | Enviado")</f>
        <v>Luiz Carlos Parra Dias Junior  | Pós-Graduação Psicopedagogia Clínica, Institucional e Hospitalar | Enviado</v>
      </c>
      <c r="B28" s="396"/>
      <c r="C28" s="384"/>
      <c r="D28" s="384"/>
      <c r="E28" s="384"/>
      <c r="F28" s="384"/>
      <c r="G28" s="384"/>
      <c r="H28" s="384"/>
      <c r="I28" s="384"/>
      <c r="J28" s="384"/>
      <c r="K28" s="384"/>
      <c r="L28" s="384"/>
      <c r="M28" s="384"/>
      <c r="N28" s="384"/>
      <c r="O28" s="384"/>
      <c r="P28" s="384"/>
      <c r="Q28" s="384"/>
    </row>
    <row r="29">
      <c r="A29" s="396" t="str">
        <f>IFERROR(__xludf.DUMMYFUNCTION("""COMPUTED_VALUE"""),"Rosilene da Silva Nascimento  | Formação Livre Psicanálise | Enviado")</f>
        <v>Rosilene da Silva Nascimento  | Formação Livre Psicanálise | Enviado</v>
      </c>
      <c r="B29" s="396"/>
      <c r="C29" s="384"/>
      <c r="D29" s="384"/>
      <c r="E29" s="384"/>
      <c r="F29" s="384"/>
      <c r="G29" s="384"/>
      <c r="H29" s="384"/>
      <c r="I29" s="384"/>
      <c r="J29" s="384"/>
      <c r="K29" s="384"/>
      <c r="L29" s="384"/>
      <c r="M29" s="384"/>
      <c r="N29" s="384"/>
      <c r="O29" s="384"/>
      <c r="P29" s="384"/>
      <c r="Q29" s="384"/>
    </row>
    <row r="30">
      <c r="A30" s="396" t="str">
        <f>IFERROR(__xludf.DUMMYFUNCTION("""COMPUTED_VALUE"""),"Maria do Socorro da Silva  | Pós-Graduação em Terapia em ABA- Análise do Comportamento Aplicada | Enviado")</f>
        <v>Maria do Socorro da Silva  | Pós-Graduação em Terapia em ABA- Análise do Comportamento Aplicada | Enviado</v>
      </c>
      <c r="B30" s="396"/>
      <c r="C30" s="384"/>
      <c r="D30" s="384"/>
      <c r="E30" s="384"/>
      <c r="F30" s="384"/>
      <c r="G30" s="384"/>
      <c r="H30" s="384"/>
      <c r="I30" s="384"/>
      <c r="J30" s="384"/>
      <c r="K30" s="384"/>
      <c r="L30" s="384"/>
      <c r="M30" s="384"/>
      <c r="N30" s="384"/>
      <c r="O30" s="384"/>
      <c r="P30" s="384"/>
      <c r="Q30" s="384"/>
    </row>
    <row r="31">
      <c r="A31" s="396" t="str">
        <f>IFERROR(__xludf.DUMMYFUNCTION("""COMPUTED_VALUE"""),"Crisnamurt Braga Oliveira | Capacitação em Psicanálise 800 Horas  | Enviado")</f>
        <v>Crisnamurt Braga Oliveira | Capacitação em Psicanálise 800 Horas  | Enviado</v>
      </c>
      <c r="B31" s="396"/>
      <c r="C31" s="384"/>
      <c r="D31" s="384"/>
      <c r="E31" s="384"/>
      <c r="F31" s="384"/>
      <c r="G31" s="384"/>
      <c r="H31" s="384"/>
      <c r="I31" s="384"/>
      <c r="J31" s="384"/>
      <c r="K31" s="384"/>
      <c r="L31" s="384"/>
      <c r="M31" s="384"/>
      <c r="N31" s="384"/>
      <c r="O31" s="384"/>
      <c r="P31" s="384"/>
      <c r="Q31" s="384"/>
    </row>
    <row r="32">
      <c r="A32" s="396" t="str">
        <f>IFERROR(__xludf.DUMMYFUNCTION("""COMPUTED_VALUE"""),"Alcenir José do Amaral  | Formação Livre Psicanálise | Enviado")</f>
        <v>Alcenir José do Amaral  | Formação Livre Psicanálise | Enviado</v>
      </c>
      <c r="B32" s="396"/>
      <c r="C32" s="384"/>
      <c r="D32" s="384"/>
      <c r="E32" s="384"/>
      <c r="F32" s="384"/>
      <c r="G32" s="384"/>
      <c r="H32" s="384"/>
      <c r="I32" s="384"/>
      <c r="J32" s="384"/>
      <c r="K32" s="384"/>
      <c r="L32" s="384"/>
      <c r="M32" s="384"/>
      <c r="N32" s="384"/>
      <c r="O32" s="384"/>
      <c r="P32" s="384"/>
      <c r="Q32" s="384"/>
    </row>
    <row r="33">
      <c r="A33" s="396" t="str">
        <f>IFERROR(__xludf.DUMMYFUNCTION("""COMPUTED_VALUE"""),"Rosaly Xavier Rodrigues Amaral  | Formação Livre Psicanálise | Enviado")</f>
        <v>Rosaly Xavier Rodrigues Amaral  | Formação Livre Psicanálise | Enviado</v>
      </c>
      <c r="B33" s="396"/>
      <c r="C33" s="384"/>
      <c r="D33" s="384"/>
      <c r="E33" s="384"/>
      <c r="F33" s="384"/>
      <c r="G33" s="384"/>
      <c r="H33" s="384"/>
      <c r="I33" s="384"/>
      <c r="J33" s="384"/>
      <c r="K33" s="384"/>
      <c r="L33" s="384"/>
      <c r="M33" s="384"/>
      <c r="N33" s="384"/>
      <c r="O33" s="384"/>
      <c r="P33" s="384"/>
      <c r="Q33" s="384"/>
    </row>
    <row r="34">
      <c r="A34" s="396" t="str">
        <f>IFERROR(__xludf.DUMMYFUNCTION("""COMPUTED_VALUE"""),"Izabela Haase Lopes Teixeira  | PÓS-GRADUAÇÃO EM DOCÊNCIA DO ENSINO SUPERIOR E TUTORIA DE EDUCAÇÃO A DISTÂNCIA | Enviado")</f>
        <v>Izabela Haase Lopes Teixeira  | PÓS-GRADUAÇÃO EM DOCÊNCIA DO ENSINO SUPERIOR E TUTORIA DE EDUCAÇÃO A DISTÂNCIA | Enviado</v>
      </c>
      <c r="B34" s="396"/>
      <c r="C34" s="384"/>
      <c r="D34" s="384"/>
      <c r="E34" s="384"/>
      <c r="F34" s="384"/>
      <c r="G34" s="384"/>
      <c r="H34" s="384"/>
      <c r="I34" s="384"/>
      <c r="J34" s="384"/>
      <c r="K34" s="384"/>
      <c r="L34" s="384"/>
      <c r="M34" s="384"/>
      <c r="N34" s="384"/>
      <c r="O34" s="384"/>
      <c r="P34" s="384"/>
      <c r="Q34" s="384"/>
    </row>
    <row r="35">
      <c r="A35" s="396" t="str">
        <f>IFERROR(__xludf.DUMMYFUNCTION("""COMPUTED_VALUE"""),"Paulo Fábio de Rezende Junior  | Pós Graduação em Sexologia | Enviado")</f>
        <v>Paulo Fábio de Rezende Junior  | Pós Graduação em Sexologia | Enviado</v>
      </c>
      <c r="B35" s="396"/>
      <c r="C35" s="384"/>
      <c r="D35" s="384"/>
      <c r="E35" s="384"/>
      <c r="F35" s="384"/>
      <c r="G35" s="384"/>
      <c r="H35" s="384"/>
      <c r="I35" s="384"/>
      <c r="J35" s="384"/>
      <c r="K35" s="384"/>
      <c r="L35" s="384"/>
      <c r="M35" s="384"/>
      <c r="N35" s="384"/>
      <c r="O35" s="384"/>
      <c r="P35" s="384"/>
      <c r="Q35" s="384"/>
    </row>
    <row r="36">
      <c r="A36" s="396" t="str">
        <f>IFERROR(__xludf.DUMMYFUNCTION("""COMPUTED_VALUE"""),"Pricila Mello Moreira Barros  | Docência em Matemática | Enviado")</f>
        <v>Pricila Mello Moreira Barros  | Docência em Matemática | Enviado</v>
      </c>
      <c r="B36" s="396"/>
      <c r="C36" s="384"/>
      <c r="D36" s="384"/>
      <c r="E36" s="384"/>
      <c r="F36" s="384"/>
      <c r="G36" s="384"/>
      <c r="H36" s="384"/>
      <c r="I36" s="384"/>
      <c r="J36" s="384"/>
      <c r="K36" s="384"/>
      <c r="L36" s="384"/>
      <c r="M36" s="384"/>
      <c r="N36" s="384"/>
      <c r="O36" s="384"/>
      <c r="P36" s="384"/>
      <c r="Q36" s="384"/>
    </row>
    <row r="37">
      <c r="A37" s="396" t="str">
        <f>IFERROR(__xludf.DUMMYFUNCTION("""COMPUTED_VALUE"""),"Lilian Alves de Almeida  | Pós-Graduação em Neuropsicopedagogia Institucional, Clínica e Hospitalar 850h | Enviado")</f>
        <v>Lilian Alves de Almeida  | Pós-Graduação em Neuropsicopedagogia Institucional, Clínica e Hospitalar 850h | Enviado</v>
      </c>
      <c r="B37" s="396"/>
      <c r="C37" s="384"/>
      <c r="D37" s="384"/>
      <c r="E37" s="384"/>
      <c r="F37" s="384"/>
      <c r="G37" s="384"/>
      <c r="H37" s="384"/>
      <c r="I37" s="384"/>
      <c r="J37" s="384"/>
      <c r="K37" s="384"/>
      <c r="L37" s="384"/>
      <c r="M37" s="384"/>
      <c r="N37" s="384"/>
      <c r="O37" s="384"/>
      <c r="P37" s="384"/>
      <c r="Q37" s="384"/>
    </row>
    <row r="38">
      <c r="A38" s="396" t="str">
        <f>IFERROR(__xludf.DUMMYFUNCTION("""COMPUTED_VALUE"""),"Irene Veloso Costa  | Pós-Graduação em Psicopedagogia Institucional  | Enviado")</f>
        <v>Irene Veloso Costa  | Pós-Graduação em Psicopedagogia Institucional  | Enviado</v>
      </c>
      <c r="B38" s="396"/>
      <c r="C38" s="384"/>
      <c r="D38" s="384"/>
      <c r="E38" s="384"/>
      <c r="F38" s="384"/>
      <c r="G38" s="384"/>
      <c r="H38" s="384"/>
      <c r="I38" s="384"/>
      <c r="J38" s="384"/>
      <c r="K38" s="384"/>
      <c r="L38" s="384"/>
      <c r="M38" s="384"/>
      <c r="N38" s="384"/>
      <c r="O38" s="384"/>
      <c r="P38" s="384"/>
      <c r="Q38" s="384"/>
    </row>
    <row r="39">
      <c r="A39" s="396" t="str">
        <f>IFERROR(__xludf.DUMMYFUNCTION("""COMPUTED_VALUE"""),"Kathrein Rodrigues dos Santos | Pós-Graduação em Psicanálise | Enviado")</f>
        <v>Kathrein Rodrigues dos Santos | Pós-Graduação em Psicanálise | Enviado</v>
      </c>
      <c r="B39" s="396"/>
      <c r="C39" s="384"/>
      <c r="D39" s="384"/>
      <c r="E39" s="384"/>
      <c r="F39" s="384"/>
      <c r="G39" s="384"/>
      <c r="H39" s="384"/>
      <c r="I39" s="384"/>
      <c r="J39" s="384"/>
      <c r="K39" s="384"/>
      <c r="L39" s="384"/>
      <c r="M39" s="384"/>
      <c r="N39" s="384"/>
      <c r="O39" s="384"/>
      <c r="P39" s="384"/>
      <c r="Q39" s="384"/>
    </row>
    <row r="40">
      <c r="A40" s="396" t="str">
        <f>IFERROR(__xludf.DUMMYFUNCTION("""COMPUTED_VALUE"""),"Flávio Fonseca da Silva  | Pós -Graduação em Ediucação Musical | Enviado")</f>
        <v>Flávio Fonseca da Silva  | Pós -Graduação em Ediucação Musical | Enviado</v>
      </c>
      <c r="B40" s="396"/>
      <c r="C40" s="384"/>
      <c r="D40" s="384"/>
      <c r="E40" s="384"/>
      <c r="F40" s="384"/>
      <c r="G40" s="384"/>
      <c r="H40" s="384"/>
      <c r="I40" s="384"/>
      <c r="J40" s="384"/>
      <c r="K40" s="384"/>
      <c r="L40" s="384"/>
      <c r="M40" s="384"/>
      <c r="N40" s="384"/>
      <c r="O40" s="384"/>
      <c r="P40" s="384"/>
      <c r="Q40" s="384"/>
    </row>
    <row r="41">
      <c r="A41" s="396" t="str">
        <f>IFERROR(__xludf.DUMMYFUNCTION("""COMPUTED_VALUE"""),"Fernanda Mesquita Soares  | PÓS-GRADUAÇÃO EM DIREITO DE FAMÍLIA E SUCESSÕES | Enviado")</f>
        <v>Fernanda Mesquita Soares  | PÓS-GRADUAÇÃO EM DIREITO DE FAMÍLIA E SUCESSÕES | Enviado</v>
      </c>
      <c r="B41" s="396"/>
      <c r="C41" s="384"/>
      <c r="D41" s="384"/>
      <c r="E41" s="384"/>
      <c r="F41" s="384"/>
      <c r="G41" s="384"/>
      <c r="H41" s="384"/>
      <c r="I41" s="384"/>
      <c r="J41" s="384"/>
      <c r="K41" s="384"/>
      <c r="L41" s="384"/>
      <c r="M41" s="384"/>
      <c r="N41" s="384"/>
      <c r="O41" s="384"/>
      <c r="P41" s="384"/>
      <c r="Q41" s="384"/>
    </row>
    <row r="42">
      <c r="A42" s="396" t="str">
        <f>IFERROR(__xludf.DUMMYFUNCTION("""COMPUTED_VALUE"""),"Eric Fernando Lopes cantanhedo  | Formação Livre Psicanálise | Enviado")</f>
        <v>Eric Fernando Lopes cantanhedo  | Formação Livre Psicanálise | Enviado</v>
      </c>
      <c r="B42" s="396"/>
      <c r="C42" s="384"/>
      <c r="D42" s="384"/>
      <c r="E42" s="384"/>
      <c r="F42" s="384"/>
      <c r="G42" s="384"/>
      <c r="H42" s="384"/>
      <c r="I42" s="384"/>
      <c r="J42" s="384"/>
      <c r="K42" s="384"/>
      <c r="L42" s="384"/>
      <c r="M42" s="384"/>
      <c r="N42" s="384"/>
      <c r="O42" s="384"/>
      <c r="P42" s="384"/>
      <c r="Q42" s="384"/>
    </row>
    <row r="43">
      <c r="A43" s="396" t="str">
        <f>IFERROR(__xludf.DUMMYFUNCTION("""COMPUTED_VALUE"""),"Sandra Rodrigues Vieira  | Pós Gaduação em Psicanálise | Enviado")</f>
        <v>Sandra Rodrigues Vieira  | Pós Gaduação em Psicanálise | Enviado</v>
      </c>
      <c r="B43" s="396"/>
      <c r="C43" s="384"/>
      <c r="D43" s="384"/>
      <c r="E43" s="384"/>
      <c r="F43" s="384"/>
      <c r="G43" s="384"/>
      <c r="H43" s="384"/>
      <c r="I43" s="384"/>
      <c r="J43" s="384"/>
      <c r="K43" s="384"/>
      <c r="L43" s="384"/>
      <c r="M43" s="384"/>
      <c r="N43" s="384"/>
      <c r="O43" s="384"/>
      <c r="P43" s="384"/>
      <c r="Q43" s="384"/>
    </row>
    <row r="44">
      <c r="A44" s="396" t="str">
        <f>IFERROR(__xludf.DUMMYFUNCTION("""COMPUTED_VALUE"""),"Luciana Dalmaschio  | Pós Graduação Psicánalise  | Enviado")</f>
        <v>Luciana Dalmaschio  | Pós Graduação Psicánalise  | Enviado</v>
      </c>
      <c r="B44" s="396"/>
      <c r="C44" s="384"/>
      <c r="D44" s="384"/>
      <c r="E44" s="384"/>
      <c r="F44" s="384"/>
      <c r="G44" s="384"/>
      <c r="H44" s="384"/>
      <c r="I44" s="384"/>
      <c r="J44" s="384"/>
      <c r="K44" s="384"/>
      <c r="L44" s="384"/>
      <c r="M44" s="384"/>
      <c r="N44" s="384"/>
      <c r="O44" s="384"/>
      <c r="P44" s="384"/>
      <c r="Q44" s="384"/>
    </row>
    <row r="45">
      <c r="A45" s="396" t="str">
        <f>IFERROR(__xludf.DUMMYFUNCTION("""COMPUTED_VALUE"""),"Ravi Valentim de Carvalho Pereira | Pós Graduação Autismo | Enviado")</f>
        <v>Ravi Valentim de Carvalho Pereira | Pós Graduação Autismo | Enviado</v>
      </c>
      <c r="B45" s="396"/>
      <c r="C45" s="384"/>
      <c r="D45" s="384"/>
      <c r="E45" s="384"/>
      <c r="F45" s="384"/>
      <c r="G45" s="384"/>
      <c r="H45" s="384"/>
      <c r="I45" s="384"/>
      <c r="J45" s="384"/>
      <c r="K45" s="384"/>
      <c r="L45" s="384"/>
      <c r="M45" s="384"/>
      <c r="N45" s="384"/>
      <c r="O45" s="384"/>
      <c r="P45" s="384"/>
      <c r="Q45" s="384"/>
    </row>
    <row r="46">
      <c r="A46" s="396" t="str">
        <f>IFERROR(__xludf.DUMMYFUNCTION("""COMPUTED_VALUE"""),"Gracieli Covre  | Pós-Graduação Sexologia | Enviado")</f>
        <v>Gracieli Covre  | Pós-Graduação Sexologia | Enviado</v>
      </c>
      <c r="B46" s="396"/>
      <c r="C46" s="384"/>
      <c r="D46" s="384"/>
      <c r="E46" s="384"/>
      <c r="F46" s="384"/>
      <c r="G46" s="384"/>
      <c r="H46" s="384"/>
      <c r="I46" s="384"/>
      <c r="J46" s="384"/>
      <c r="K46" s="384"/>
      <c r="L46" s="384"/>
      <c r="M46" s="384"/>
      <c r="N46" s="384"/>
      <c r="O46" s="384"/>
      <c r="P46" s="384"/>
      <c r="Q46" s="384"/>
    </row>
    <row r="47">
      <c r="A47" s="396" t="str">
        <f>IFERROR(__xludf.DUMMYFUNCTION("""COMPUTED_VALUE"""),"Emerson Barbosa da Silva | Pós-Graduação em Musicoterapia | Enviado")</f>
        <v>Emerson Barbosa da Silva | Pós-Graduação em Musicoterapia | Enviado</v>
      </c>
      <c r="B47" s="396"/>
      <c r="C47" s="384"/>
      <c r="D47" s="384"/>
      <c r="E47" s="384"/>
      <c r="F47" s="384"/>
      <c r="G47" s="384"/>
      <c r="H47" s="384"/>
      <c r="I47" s="384"/>
      <c r="J47" s="384"/>
      <c r="K47" s="384"/>
      <c r="L47" s="384"/>
      <c r="M47" s="384"/>
      <c r="N47" s="384"/>
      <c r="O47" s="384"/>
      <c r="P47" s="384"/>
      <c r="Q47" s="384"/>
    </row>
    <row r="48">
      <c r="A48" s="396" t="str">
        <f>IFERROR(__xludf.DUMMYFUNCTION("""COMPUTED_VALUE"""),"Flavia Cristina Andrade Baptista  | Formação Livre em Psicanálise | Enviado")</f>
        <v>Flavia Cristina Andrade Baptista  | Formação Livre em Psicanálise | Enviado</v>
      </c>
      <c r="B48" s="396"/>
      <c r="C48" s="384"/>
      <c r="D48" s="384"/>
      <c r="E48" s="384"/>
      <c r="F48" s="384"/>
      <c r="G48" s="384"/>
      <c r="H48" s="384"/>
      <c r="I48" s="384"/>
      <c r="J48" s="384"/>
      <c r="K48" s="384"/>
      <c r="L48" s="384"/>
      <c r="M48" s="384"/>
      <c r="N48" s="384"/>
      <c r="O48" s="384"/>
      <c r="P48" s="384"/>
      <c r="Q48" s="384"/>
    </row>
    <row r="49">
      <c r="A49" s="396" t="str">
        <f>IFERROR(__xludf.DUMMYFUNCTION("""COMPUTED_VALUE"""),"Alexandre Marcello de Souza  | Pós-Graduação em Psicanálise | Enviado")</f>
        <v>Alexandre Marcello de Souza  | Pós-Graduação em Psicanálise | Enviado</v>
      </c>
      <c r="B49" s="396"/>
      <c r="C49" s="384"/>
      <c r="D49" s="384"/>
      <c r="E49" s="384"/>
      <c r="F49" s="384"/>
      <c r="G49" s="384"/>
      <c r="H49" s="384"/>
      <c r="I49" s="384"/>
      <c r="J49" s="384"/>
      <c r="K49" s="384"/>
      <c r="L49" s="384"/>
      <c r="M49" s="384"/>
      <c r="N49" s="384"/>
      <c r="O49" s="384"/>
      <c r="P49" s="384"/>
      <c r="Q49" s="384"/>
    </row>
    <row r="50">
      <c r="A50" s="396" t="str">
        <f>IFERROR(__xludf.DUMMYFUNCTION("""COMPUTED_VALUE"""),"Elza Melo de Andrade  | Formação Livre em Psicanálise | Enviado")</f>
        <v>Elza Melo de Andrade  | Formação Livre em Psicanálise | Enviado</v>
      </c>
      <c r="B50" s="396"/>
      <c r="C50" s="384"/>
      <c r="D50" s="384"/>
      <c r="E50" s="384"/>
      <c r="F50" s="384"/>
      <c r="G50" s="384"/>
      <c r="H50" s="384"/>
      <c r="I50" s="384"/>
      <c r="J50" s="384"/>
      <c r="K50" s="384"/>
      <c r="L50" s="384"/>
      <c r="M50" s="384"/>
      <c r="N50" s="384"/>
      <c r="O50" s="384"/>
      <c r="P50" s="384"/>
      <c r="Q50" s="384"/>
    </row>
    <row r="51">
      <c r="A51" s="396" t="str">
        <f>IFERROR(__xludf.DUMMYFUNCTION("""COMPUTED_VALUE"""),"Neuziane Aparecida de Castro Praxedes  | Formação Livre em Psicanálise | Enviado")</f>
        <v>Neuziane Aparecida de Castro Praxedes  | Formação Livre em Psicanálise | Enviado</v>
      </c>
      <c r="B51" s="396"/>
      <c r="C51" s="384"/>
      <c r="D51" s="384"/>
      <c r="E51" s="384"/>
      <c r="F51" s="384"/>
      <c r="G51" s="384"/>
      <c r="H51" s="384"/>
      <c r="I51" s="384"/>
      <c r="J51" s="384"/>
      <c r="K51" s="384"/>
      <c r="L51" s="384"/>
      <c r="M51" s="384"/>
      <c r="N51" s="384"/>
      <c r="O51" s="384"/>
      <c r="P51" s="384"/>
      <c r="Q51" s="384"/>
    </row>
    <row r="52">
      <c r="A52" s="396" t="str">
        <f>IFERROR(__xludf.DUMMYFUNCTION("""COMPUTED_VALUE"""),"Joycilene Gracye de Souza Albuquerque Cunha  | Formação Livre em Psicanálise | Enviado")</f>
        <v>Joycilene Gracye de Souza Albuquerque Cunha  | Formação Livre em Psicanálise | Enviado</v>
      </c>
      <c r="B52" s="396"/>
      <c r="C52" s="384"/>
      <c r="D52" s="384"/>
      <c r="E52" s="384"/>
      <c r="F52" s="384"/>
      <c r="G52" s="384"/>
      <c r="H52" s="384"/>
      <c r="I52" s="384"/>
      <c r="J52" s="384"/>
      <c r="K52" s="384"/>
      <c r="L52" s="384"/>
      <c r="M52" s="384"/>
      <c r="N52" s="384"/>
      <c r="O52" s="384"/>
      <c r="P52" s="384"/>
      <c r="Q52" s="384"/>
    </row>
    <row r="53">
      <c r="A53" s="396" t="str">
        <f>IFERROR(__xludf.DUMMYFUNCTION("""COMPUTED_VALUE"""),"Francine Madilene Capraro  | PÓS-GRADUAÇÃO EM DIREITOS HUMANOS E A DIVERSIDADE SÓCIO- ECONÔMICA | Enviado")</f>
        <v>Francine Madilene Capraro  | PÓS-GRADUAÇÃO EM DIREITOS HUMANOS E A DIVERSIDADE SÓCIO- ECONÔMICA | Enviado</v>
      </c>
      <c r="B53" s="396"/>
      <c r="C53" s="384"/>
      <c r="D53" s="384"/>
      <c r="E53" s="384"/>
      <c r="F53" s="384"/>
      <c r="G53" s="384"/>
      <c r="H53" s="384"/>
      <c r="I53" s="384"/>
      <c r="J53" s="384"/>
      <c r="K53" s="384"/>
      <c r="L53" s="384"/>
      <c r="M53" s="384"/>
      <c r="N53" s="384"/>
      <c r="O53" s="384"/>
      <c r="P53" s="384"/>
      <c r="Q53" s="384"/>
    </row>
    <row r="54">
      <c r="A54" s="396" t="str">
        <f>IFERROR(__xludf.DUMMYFUNCTION("""COMPUTED_VALUE"""),"Ravi Valentim de Carvalho Pereira | Pós-Graduação em Autismo | Enviado")</f>
        <v>Ravi Valentim de Carvalho Pereira | Pós-Graduação em Autismo | Enviado</v>
      </c>
      <c r="B54" s="396"/>
      <c r="C54" s="384"/>
      <c r="D54" s="384"/>
      <c r="E54" s="384"/>
      <c r="F54" s="384"/>
      <c r="G54" s="384"/>
      <c r="H54" s="384"/>
      <c r="I54" s="384"/>
      <c r="J54" s="384"/>
      <c r="K54" s="384"/>
      <c r="L54" s="384"/>
      <c r="M54" s="384"/>
      <c r="N54" s="384"/>
      <c r="O54" s="384"/>
      <c r="P54" s="384"/>
      <c r="Q54" s="384"/>
    </row>
    <row r="55">
      <c r="A55" s="396" t="str">
        <f>IFERROR(__xludf.DUMMYFUNCTION("""COMPUTED_VALUE"""),"Arnaldo da Silva lino  | Pós-Graduação em Psicopedagogia Escolar | Enviado")</f>
        <v>Arnaldo da Silva lino  | Pós-Graduação em Psicopedagogia Escolar | Enviado</v>
      </c>
      <c r="B55" s="396"/>
      <c r="C55" s="384"/>
      <c r="D55" s="384"/>
      <c r="E55" s="384"/>
      <c r="F55" s="384"/>
      <c r="G55" s="384"/>
      <c r="H55" s="384"/>
      <c r="I55" s="384"/>
      <c r="J55" s="384"/>
      <c r="K55" s="384"/>
      <c r="L55" s="384"/>
      <c r="M55" s="384"/>
      <c r="N55" s="384"/>
      <c r="O55" s="384"/>
      <c r="P55" s="384"/>
      <c r="Q55" s="384"/>
    </row>
    <row r="56">
      <c r="A56" s="396" t="str">
        <f>IFERROR(__xludf.DUMMYFUNCTION("""COMPUTED_VALUE"""),"Marcos Aurelio Evangelista  | Pós-Graduação em Docência do Ensino Superior e Tutoria de Educação a Distância | Enviado")</f>
        <v>Marcos Aurelio Evangelista  | Pós-Graduação em Docência do Ensino Superior e Tutoria de Educação a Distância | Enviado</v>
      </c>
      <c r="B56" s="396"/>
      <c r="C56" s="384"/>
      <c r="D56" s="384"/>
      <c r="E56" s="384"/>
      <c r="F56" s="384"/>
      <c r="G56" s="384"/>
      <c r="H56" s="384"/>
      <c r="I56" s="384"/>
      <c r="J56" s="384"/>
      <c r="K56" s="384"/>
      <c r="L56" s="384"/>
      <c r="M56" s="384"/>
      <c r="N56" s="384"/>
      <c r="O56" s="384"/>
      <c r="P56" s="384"/>
      <c r="Q56" s="384"/>
    </row>
    <row r="57">
      <c r="A57" s="396" t="str">
        <f>IFERROR(__xludf.DUMMYFUNCTION("""COMPUTED_VALUE"""),"Danielly Sousa Campelo  | Pós-Graduação Educação Especial e Inclusiva | Enviado")</f>
        <v>Danielly Sousa Campelo  | Pós-Graduação Educação Especial e Inclusiva | Enviado</v>
      </c>
      <c r="B57" s="396"/>
      <c r="C57" s="384"/>
      <c r="D57" s="384"/>
      <c r="E57" s="384"/>
      <c r="F57" s="384"/>
      <c r="G57" s="384"/>
      <c r="H57" s="384"/>
      <c r="I57" s="384"/>
      <c r="J57" s="384"/>
      <c r="K57" s="384"/>
      <c r="L57" s="384"/>
      <c r="M57" s="384"/>
      <c r="N57" s="384"/>
      <c r="O57" s="384"/>
      <c r="P57" s="384"/>
      <c r="Q57" s="384"/>
    </row>
    <row r="58">
      <c r="A58" s="396" t="str">
        <f>IFERROR(__xludf.DUMMYFUNCTION("""COMPUTED_VALUE"""),"Daiane do Prado Martins  | MBA em Gestão da Qualidade | ")</f>
        <v>Daiane do Prado Martins  | MBA em Gestão da Qualidade | </v>
      </c>
      <c r="B58" s="396"/>
      <c r="C58" s="384"/>
      <c r="D58" s="384"/>
      <c r="E58" s="384"/>
      <c r="F58" s="384"/>
      <c r="G58" s="384"/>
      <c r="H58" s="384"/>
      <c r="I58" s="384"/>
      <c r="J58" s="384"/>
      <c r="K58" s="384"/>
      <c r="L58" s="384"/>
      <c r="M58" s="384"/>
      <c r="N58" s="384"/>
      <c r="O58" s="384"/>
      <c r="P58" s="384"/>
      <c r="Q58" s="384"/>
    </row>
    <row r="59">
      <c r="A59" s="396" t="str">
        <f>IFERROR(__xludf.DUMMYFUNCTION("""COMPUTED_VALUE"""),"Eliane Reis Silva  | Pós-Graduação Terapia Cognitiva Comportamental | Enviado")</f>
        <v>Eliane Reis Silva  | Pós-Graduação Terapia Cognitiva Comportamental | Enviado</v>
      </c>
      <c r="B59" s="396"/>
      <c r="C59" s="384"/>
      <c r="D59" s="384"/>
      <c r="E59" s="384"/>
      <c r="F59" s="384"/>
      <c r="G59" s="384"/>
      <c r="H59" s="384"/>
      <c r="I59" s="384"/>
      <c r="J59" s="384"/>
      <c r="K59" s="384"/>
      <c r="L59" s="384"/>
      <c r="M59" s="384"/>
      <c r="N59" s="384"/>
      <c r="O59" s="384"/>
      <c r="P59" s="384"/>
      <c r="Q59" s="384"/>
    </row>
    <row r="60">
      <c r="A60" s="396" t="str">
        <f>IFERROR(__xludf.DUMMYFUNCTION("""COMPUTED_VALUE"""),"Letícia Lopes Veloso de Melo  | Pós-Graduação em Sexologia | Enviado")</f>
        <v>Letícia Lopes Veloso de Melo  | Pós-Graduação em Sexologia | Enviado</v>
      </c>
      <c r="B60" s="396"/>
      <c r="C60" s="384"/>
      <c r="D60" s="384"/>
      <c r="E60" s="384"/>
      <c r="F60" s="384"/>
      <c r="G60" s="384"/>
      <c r="H60" s="384"/>
      <c r="I60" s="384"/>
      <c r="J60" s="384"/>
      <c r="K60" s="384"/>
      <c r="L60" s="384"/>
      <c r="M60" s="384"/>
      <c r="N60" s="384"/>
      <c r="O60" s="384"/>
      <c r="P60" s="384"/>
      <c r="Q60" s="384"/>
    </row>
    <row r="61">
      <c r="A61" s="396" t="str">
        <f>IFERROR(__xludf.DUMMYFUNCTION("""COMPUTED_VALUE"""),"Mariana Langella  | Formação Livre Psicanálise | Enviado")</f>
        <v>Mariana Langella  | Formação Livre Psicanálise | Enviado</v>
      </c>
      <c r="B61" s="396"/>
      <c r="C61" s="384"/>
      <c r="D61" s="384"/>
      <c r="E61" s="384"/>
      <c r="F61" s="384"/>
      <c r="G61" s="384"/>
      <c r="H61" s="384"/>
      <c r="I61" s="384"/>
      <c r="J61" s="384"/>
      <c r="K61" s="384"/>
      <c r="L61" s="384"/>
      <c r="M61" s="384"/>
      <c r="N61" s="384"/>
      <c r="O61" s="384"/>
      <c r="P61" s="384"/>
      <c r="Q61" s="384"/>
    </row>
    <row r="62">
      <c r="A62" s="396" t="str">
        <f>IFERROR(__xludf.DUMMYFUNCTION("""COMPUTED_VALUE"""),"Adriana Pinheiro da Silva Ribeiro  | Formação Livre Psicanálise | Enviado")</f>
        <v>Adriana Pinheiro da Silva Ribeiro  | Formação Livre Psicanálise | Enviado</v>
      </c>
      <c r="B62" s="396"/>
      <c r="C62" s="384"/>
      <c r="D62" s="384"/>
      <c r="E62" s="384"/>
      <c r="F62" s="384"/>
      <c r="G62" s="384"/>
      <c r="H62" s="384"/>
      <c r="I62" s="384"/>
      <c r="J62" s="384"/>
      <c r="K62" s="384"/>
      <c r="L62" s="384"/>
      <c r="M62" s="384"/>
      <c r="N62" s="384"/>
      <c r="O62" s="384"/>
      <c r="P62" s="384"/>
      <c r="Q62" s="384"/>
    </row>
    <row r="63">
      <c r="A63" s="396" t="str">
        <f>IFERROR(__xludf.DUMMYFUNCTION("""COMPUTED_VALUE"""),"Rute dos Santos Oliveira | Pós-Graduação em Neuropsicopedagogia Institucional, Clínica e Hospitalar 850h | Enviado")</f>
        <v>Rute dos Santos Oliveira | Pós-Graduação em Neuropsicopedagogia Institucional, Clínica e Hospitalar 850h | Enviado</v>
      </c>
      <c r="B63" s="396"/>
      <c r="C63" s="384"/>
      <c r="D63" s="384"/>
      <c r="E63" s="384"/>
      <c r="F63" s="384"/>
      <c r="G63" s="384"/>
      <c r="H63" s="384"/>
      <c r="I63" s="384"/>
      <c r="J63" s="384"/>
      <c r="K63" s="384"/>
      <c r="L63" s="384"/>
      <c r="M63" s="384"/>
      <c r="N63" s="384"/>
      <c r="O63" s="384"/>
      <c r="P63" s="384"/>
      <c r="Q63" s="384"/>
    </row>
    <row r="64">
      <c r="A64" s="396" t="str">
        <f>IFERROR(__xludf.DUMMYFUNCTION("""COMPUTED_VALUE"""),"Soraya Aboim Freire Pereira  | Pós-Graduação Fonoaudiologia em Saúde Coletiva | ")</f>
        <v>Soraya Aboim Freire Pereira  | Pós-Graduação Fonoaudiologia em Saúde Coletiva | </v>
      </c>
      <c r="B64" s="396"/>
      <c r="C64" s="384"/>
      <c r="D64" s="384"/>
      <c r="E64" s="384"/>
      <c r="F64" s="384"/>
      <c r="G64" s="384"/>
      <c r="H64" s="384"/>
      <c r="I64" s="384"/>
      <c r="J64" s="384"/>
      <c r="K64" s="384"/>
      <c r="L64" s="384"/>
      <c r="M64" s="384"/>
      <c r="N64" s="384"/>
      <c r="O64" s="384"/>
      <c r="P64" s="384"/>
      <c r="Q64" s="384"/>
    </row>
    <row r="65">
      <c r="A65" s="396" t="str">
        <f>IFERROR(__xludf.DUMMYFUNCTION("""COMPUTED_VALUE"""),"Wlademir Aguiar Piva  | Pós-Graduação em Educação Musical  | Enviado")</f>
        <v>Wlademir Aguiar Piva  | Pós-Graduação em Educação Musical  | Enviado</v>
      </c>
      <c r="B65" s="396"/>
      <c r="C65" s="384"/>
      <c r="D65" s="384"/>
      <c r="E65" s="384"/>
      <c r="F65" s="384"/>
      <c r="G65" s="384"/>
      <c r="H65" s="384"/>
      <c r="I65" s="384"/>
      <c r="J65" s="384"/>
      <c r="K65" s="384"/>
      <c r="L65" s="384"/>
      <c r="M65" s="384"/>
      <c r="N65" s="384"/>
      <c r="O65" s="384"/>
      <c r="P65" s="384"/>
      <c r="Q65" s="384"/>
    </row>
    <row r="66">
      <c r="A66" s="396" t="str">
        <f>IFERROR(__xludf.DUMMYFUNCTION("""COMPUTED_VALUE"""),"Isabel Cristina da Costa Rodrigues  | Pós-Graduação em Sexologia 800Horas | Enviado")</f>
        <v>Isabel Cristina da Costa Rodrigues  | Pós-Graduação em Sexologia 800Horas | Enviado</v>
      </c>
      <c r="B66" s="396"/>
      <c r="C66" s="384"/>
      <c r="D66" s="384"/>
      <c r="E66" s="384"/>
      <c r="F66" s="384"/>
      <c r="G66" s="384"/>
      <c r="H66" s="384"/>
      <c r="I66" s="384"/>
      <c r="J66" s="384"/>
      <c r="K66" s="384"/>
      <c r="L66" s="384"/>
      <c r="M66" s="384"/>
      <c r="N66" s="384"/>
      <c r="O66" s="384"/>
      <c r="P66" s="384"/>
      <c r="Q66" s="384"/>
    </row>
    <row r="67">
      <c r="A67" s="396" t="str">
        <f>IFERROR(__xludf.DUMMYFUNCTION("""COMPUTED_VALUE"""),"Cristiane do Carmo Braga  | Formação Livre Psicanálise | Enviado")</f>
        <v>Cristiane do Carmo Braga  | Formação Livre Psicanálise | Enviado</v>
      </c>
      <c r="B67" s="396"/>
      <c r="C67" s="384"/>
      <c r="D67" s="384"/>
      <c r="E67" s="384"/>
      <c r="F67" s="384"/>
      <c r="G67" s="384"/>
      <c r="H67" s="384"/>
      <c r="I67" s="384"/>
      <c r="J67" s="384"/>
      <c r="K67" s="384"/>
      <c r="L67" s="384"/>
      <c r="M67" s="384"/>
      <c r="N67" s="384"/>
      <c r="O67" s="384"/>
      <c r="P67" s="384"/>
      <c r="Q67" s="384"/>
    </row>
    <row r="68">
      <c r="A68" s="396" t="str">
        <f>IFERROR(__xludf.DUMMYFUNCTION("""COMPUTED_VALUE"""),"Ingrid Louzeiro de Sousa Cruz  | Pós-Graduação em Psicanálise | Enviado")</f>
        <v>Ingrid Louzeiro de Sousa Cruz  | Pós-Graduação em Psicanálise | Enviado</v>
      </c>
      <c r="B68" s="396"/>
      <c r="C68" s="384"/>
      <c r="D68" s="384"/>
      <c r="E68" s="384"/>
      <c r="F68" s="384"/>
      <c r="G68" s="384"/>
      <c r="H68" s="384"/>
      <c r="I68" s="384"/>
      <c r="J68" s="384"/>
      <c r="K68" s="384"/>
      <c r="L68" s="384"/>
      <c r="M68" s="384"/>
      <c r="N68" s="384"/>
      <c r="O68" s="384"/>
      <c r="P68" s="384"/>
      <c r="Q68" s="384"/>
    </row>
    <row r="69">
      <c r="A69" s="396" t="str">
        <f>IFERROR(__xludf.DUMMYFUNCTION("""COMPUTED_VALUE"""),"Márcia Batista da Silva   | Formação Livre Psicanálise | Enviado")</f>
        <v>Márcia Batista da Silva   | Formação Livre Psicanálise | Enviado</v>
      </c>
      <c r="B69" s="396"/>
      <c r="C69" s="384"/>
      <c r="D69" s="384"/>
      <c r="E69" s="384"/>
      <c r="F69" s="384"/>
      <c r="G69" s="384"/>
      <c r="H69" s="384"/>
      <c r="I69" s="384"/>
      <c r="J69" s="384"/>
      <c r="K69" s="384"/>
      <c r="L69" s="384"/>
      <c r="M69" s="384"/>
      <c r="N69" s="384"/>
      <c r="O69" s="384"/>
      <c r="P69" s="384"/>
      <c r="Q69" s="384"/>
    </row>
    <row r="70">
      <c r="A70" s="396" t="str">
        <f>IFERROR(__xludf.DUMMYFUNCTION("""COMPUTED_VALUE"""),"Bruno César Borges da Penha - | Pós-Graduação em Educação Especial | Enviado")</f>
        <v>Bruno César Borges da Penha - | Pós-Graduação em Educação Especial | Enviado</v>
      </c>
      <c r="B70" s="396"/>
      <c r="C70" s="384"/>
      <c r="D70" s="384"/>
      <c r="E70" s="384"/>
      <c r="F70" s="384"/>
      <c r="G70" s="384"/>
      <c r="H70" s="384"/>
      <c r="I70" s="384"/>
      <c r="J70" s="384"/>
      <c r="K70" s="384"/>
      <c r="L70" s="384"/>
      <c r="M70" s="384"/>
      <c r="N70" s="384"/>
      <c r="O70" s="384"/>
      <c r="P70" s="384"/>
      <c r="Q70" s="384"/>
    </row>
    <row r="71">
      <c r="A71" s="396" t="str">
        <f>IFERROR(__xludf.DUMMYFUNCTION("""COMPUTED_VALUE"""),"Isabely franco Escossia | Pós-Graduação em Ensino de Artes | Enviado")</f>
        <v>Isabely franco Escossia | Pós-Graduação em Ensino de Artes | Enviado</v>
      </c>
      <c r="B71" s="396"/>
      <c r="C71" s="384"/>
      <c r="D71" s="384"/>
      <c r="E71" s="384"/>
      <c r="F71" s="384"/>
      <c r="G71" s="384"/>
      <c r="H71" s="384"/>
      <c r="I71" s="384"/>
      <c r="J71" s="384"/>
      <c r="K71" s="384"/>
      <c r="L71" s="384"/>
      <c r="M71" s="384"/>
      <c r="N71" s="384"/>
      <c r="O71" s="384"/>
      <c r="P71" s="384"/>
      <c r="Q71" s="384"/>
    </row>
    <row r="72">
      <c r="A72" s="396" t="str">
        <f>IFERROR(__xludf.DUMMYFUNCTION("""COMPUTED_VALUE"""),"Francine Madilene Capraro | PÓS-GRADUAÇÃO EM DIREITOS HUMANOS E A DIVERSIDADE SÓCIO- ECONÔMICA | Enviado")</f>
        <v>Francine Madilene Capraro | PÓS-GRADUAÇÃO EM DIREITOS HUMANOS E A DIVERSIDADE SÓCIO- ECONÔMICA | Enviado</v>
      </c>
      <c r="B72" s="396"/>
      <c r="C72" s="384"/>
      <c r="D72" s="384"/>
      <c r="E72" s="384"/>
      <c r="F72" s="384"/>
      <c r="G72" s="384"/>
      <c r="H72" s="384"/>
      <c r="I72" s="384"/>
      <c r="J72" s="384"/>
      <c r="K72" s="384"/>
      <c r="L72" s="384"/>
      <c r="M72" s="384"/>
      <c r="N72" s="384"/>
      <c r="O72" s="384"/>
      <c r="P72" s="384"/>
      <c r="Q72" s="384"/>
    </row>
    <row r="73">
      <c r="A73" s="396" t="str">
        <f>IFERROR(__xludf.DUMMYFUNCTION("""COMPUTED_VALUE"""),"Francine Madilene Capraro | PÓS-GRADUAÇÃO EM  NEUROPSICOLOGIA  | Enviado")</f>
        <v>Francine Madilene Capraro | PÓS-GRADUAÇÃO EM  NEUROPSICOLOGIA  | Enviado</v>
      </c>
      <c r="B73" s="396"/>
      <c r="C73" s="384"/>
      <c r="D73" s="384"/>
      <c r="E73" s="384"/>
      <c r="F73" s="384"/>
      <c r="G73" s="384"/>
      <c r="H73" s="384"/>
      <c r="I73" s="384"/>
      <c r="J73" s="384"/>
      <c r="K73" s="384"/>
      <c r="L73" s="384"/>
      <c r="M73" s="384"/>
      <c r="N73" s="384"/>
      <c r="O73" s="384"/>
      <c r="P73" s="384"/>
      <c r="Q73" s="384"/>
    </row>
    <row r="74">
      <c r="A74" s="396" t="str">
        <f>IFERROR(__xludf.DUMMYFUNCTION("""COMPUTED_VALUE"""),"Sandra Cristina Janeiro Lacerda  | Formação Livre em Psicanálise | Enviado")</f>
        <v>Sandra Cristina Janeiro Lacerda  | Formação Livre em Psicanálise | Enviado</v>
      </c>
      <c r="B74" s="396"/>
      <c r="C74" s="384"/>
      <c r="D74" s="384"/>
      <c r="E74" s="384"/>
      <c r="F74" s="384"/>
      <c r="G74" s="384"/>
      <c r="H74" s="384"/>
      <c r="I74" s="384"/>
      <c r="J74" s="384"/>
      <c r="K74" s="384"/>
      <c r="L74" s="384"/>
      <c r="M74" s="384"/>
      <c r="N74" s="384"/>
      <c r="O74" s="384"/>
      <c r="P74" s="384"/>
      <c r="Q74" s="384"/>
    </row>
    <row r="75">
      <c r="A75" s="396" t="str">
        <f>IFERROR(__xludf.DUMMYFUNCTION("""COMPUTED_VALUE"""),"Cleunir Áurea de Andrade Costa  | Formação Livre em Psicanálise | Enviado")</f>
        <v>Cleunir Áurea de Andrade Costa  | Formação Livre em Psicanálise | Enviado</v>
      </c>
      <c r="B75" s="396"/>
      <c r="C75" s="384"/>
      <c r="D75" s="384"/>
      <c r="E75" s="384"/>
      <c r="F75" s="384"/>
      <c r="G75" s="384"/>
      <c r="H75" s="384"/>
      <c r="I75" s="384"/>
      <c r="J75" s="384"/>
      <c r="K75" s="384"/>
      <c r="L75" s="384"/>
      <c r="M75" s="384"/>
      <c r="N75" s="384"/>
      <c r="O75" s="384"/>
      <c r="P75" s="384"/>
      <c r="Q75" s="384"/>
    </row>
    <row r="76">
      <c r="A76" s="396" t="str">
        <f>IFERROR(__xludf.DUMMYFUNCTION("""COMPUTED_VALUE"""),"Maria Helena Leal da Silva | Pós-Graduação em Psicanálise | Enviado")</f>
        <v>Maria Helena Leal da Silva | Pós-Graduação em Psicanálise | Enviado</v>
      </c>
      <c r="B76" s="396"/>
      <c r="C76" s="384"/>
      <c r="D76" s="384"/>
      <c r="E76" s="384"/>
      <c r="F76" s="384"/>
      <c r="G76" s="384"/>
      <c r="H76" s="384"/>
      <c r="I76" s="384"/>
      <c r="J76" s="384"/>
      <c r="K76" s="384"/>
      <c r="L76" s="384"/>
      <c r="M76" s="384"/>
      <c r="N76" s="384"/>
      <c r="O76" s="384"/>
      <c r="P76" s="384"/>
      <c r="Q76" s="384"/>
    </row>
    <row r="77">
      <c r="A77" s="396" t="str">
        <f>IFERROR(__xludf.DUMMYFUNCTION("""COMPUTED_VALUE"""),"Carlos Roberto Santos Oliveira  | Pós-Graduação em Sexologia | Enviado")</f>
        <v>Carlos Roberto Santos Oliveira  | Pós-Graduação em Sexologia | Enviado</v>
      </c>
      <c r="B77" s="396"/>
      <c r="C77" s="384"/>
      <c r="D77" s="384"/>
      <c r="E77" s="384"/>
      <c r="F77" s="384"/>
      <c r="G77" s="384"/>
      <c r="H77" s="384"/>
      <c r="I77" s="384"/>
      <c r="J77" s="384"/>
      <c r="K77" s="384"/>
      <c r="L77" s="384"/>
      <c r="M77" s="384"/>
      <c r="N77" s="384"/>
      <c r="O77" s="384"/>
      <c r="P77" s="384"/>
      <c r="Q77" s="384"/>
    </row>
    <row r="78">
      <c r="A78" s="396" t="str">
        <f>IFERROR(__xludf.DUMMYFUNCTION("""COMPUTED_VALUE"""),"Faelma Moraes Silva Araújo | Formação Livre em Psicanálise | Enviado")</f>
        <v>Faelma Moraes Silva Araújo | Formação Livre em Psicanálise | Enviado</v>
      </c>
      <c r="B78" s="396"/>
      <c r="C78" s="384"/>
      <c r="D78" s="384"/>
      <c r="E78" s="384"/>
      <c r="F78" s="384"/>
      <c r="G78" s="384"/>
      <c r="H78" s="384"/>
      <c r="I78" s="384"/>
      <c r="J78" s="384"/>
      <c r="K78" s="384"/>
      <c r="L78" s="384"/>
      <c r="M78" s="384"/>
      <c r="N78" s="384"/>
      <c r="O78" s="384"/>
      <c r="P78" s="384"/>
      <c r="Q78" s="384"/>
    </row>
    <row r="79">
      <c r="A79" s="396" t="str">
        <f>IFERROR(__xludf.DUMMYFUNCTION("""COMPUTED_VALUE"""),"Cristiane Luciano de Almeida  | Formação Livre em Psicanálise-2022 | Enviado")</f>
        <v>Cristiane Luciano de Almeida  | Formação Livre em Psicanálise-2022 | Enviado</v>
      </c>
      <c r="B79" s="396"/>
      <c r="C79" s="384"/>
      <c r="D79" s="384"/>
      <c r="E79" s="384"/>
      <c r="F79" s="384"/>
      <c r="G79" s="384"/>
      <c r="H79" s="384"/>
      <c r="I79" s="384"/>
      <c r="J79" s="384"/>
      <c r="K79" s="384"/>
      <c r="L79" s="384"/>
      <c r="M79" s="384"/>
      <c r="N79" s="384"/>
      <c r="O79" s="384"/>
      <c r="P79" s="384"/>
      <c r="Q79" s="384"/>
    </row>
    <row r="80">
      <c r="A80" s="396" t="str">
        <f>IFERROR(__xludf.DUMMYFUNCTION("""COMPUTED_VALUE"""),"Géssica Bento Nogueira de Oliveira  | Pós-Graduação em Neuropsicopedagogia | Enviado")</f>
        <v>Géssica Bento Nogueira de Oliveira  | Pós-Graduação em Neuropsicopedagogia | Enviado</v>
      </c>
      <c r="B80" s="396"/>
      <c r="C80" s="384"/>
      <c r="D80" s="384"/>
      <c r="E80" s="384"/>
      <c r="F80" s="384"/>
      <c r="G80" s="384"/>
      <c r="H80" s="384"/>
      <c r="I80" s="384"/>
      <c r="J80" s="384"/>
      <c r="K80" s="384"/>
      <c r="L80" s="384"/>
      <c r="M80" s="384"/>
      <c r="N80" s="384"/>
      <c r="O80" s="384"/>
      <c r="P80" s="384"/>
      <c r="Q80" s="384"/>
    </row>
    <row r="81">
      <c r="A81" s="396" t="str">
        <f>IFERROR(__xludf.DUMMYFUNCTION("""COMPUTED_VALUE"""),"Alexandra Moreira Cortes Souto Maior Bastos Luiz  | Pós-Graduação em Psicomotricidade | Enviado")</f>
        <v>Alexandra Moreira Cortes Souto Maior Bastos Luiz  | Pós-Graduação em Psicomotricidade | Enviado</v>
      </c>
      <c r="B81" s="396"/>
      <c r="C81" s="384"/>
      <c r="D81" s="384"/>
      <c r="E81" s="384"/>
      <c r="F81" s="384"/>
      <c r="G81" s="384"/>
      <c r="H81" s="384"/>
      <c r="I81" s="384"/>
      <c r="J81" s="384"/>
      <c r="K81" s="384"/>
      <c r="L81" s="384"/>
      <c r="M81" s="384"/>
      <c r="N81" s="384"/>
      <c r="O81" s="384"/>
      <c r="P81" s="384"/>
      <c r="Q81" s="384"/>
    </row>
    <row r="82">
      <c r="A82" s="396" t="str">
        <f>IFERROR(__xludf.DUMMYFUNCTION("""COMPUTED_VALUE"""),"Ana Paula Magro da Silva | Pós-Graduação em Psicanálise 800 Horas | Enviado")</f>
        <v>Ana Paula Magro da Silva | Pós-Graduação em Psicanálise 800 Horas | Enviado</v>
      </c>
      <c r="B82" s="396"/>
      <c r="C82" s="384"/>
      <c r="D82" s="384"/>
      <c r="E82" s="384"/>
      <c r="F82" s="384"/>
      <c r="G82" s="384"/>
      <c r="H82" s="384"/>
      <c r="I82" s="384"/>
      <c r="J82" s="384"/>
      <c r="K82" s="384"/>
      <c r="L82" s="384"/>
      <c r="M82" s="384"/>
      <c r="N82" s="384"/>
      <c r="O82" s="384"/>
      <c r="P82" s="384"/>
      <c r="Q82" s="384"/>
    </row>
    <row r="83">
      <c r="A83" s="403" t="str">
        <f>IFERROR(__xludf.DUMMYFUNCTION("""COMPUTED_VALUE"""),"Ana Paula Magro da Silva | Capacitação em Psicologia Familiar | Enviado")</f>
        <v>Ana Paula Magro da Silva | Capacitação em Psicologia Familiar | Enviado</v>
      </c>
      <c r="B83" s="403"/>
      <c r="C83" s="403"/>
      <c r="D83" s="403"/>
      <c r="E83" s="404"/>
      <c r="F83" s="404"/>
      <c r="G83" s="404"/>
      <c r="H83" s="404"/>
      <c r="I83" s="404"/>
      <c r="J83" s="404"/>
      <c r="K83" s="404"/>
      <c r="L83" s="404"/>
      <c r="M83" s="404"/>
      <c r="N83" s="384"/>
      <c r="O83" s="384"/>
      <c r="P83" s="384"/>
      <c r="Q83" s="384"/>
    </row>
    <row r="84">
      <c r="A84" s="396" t="str">
        <f>IFERROR(__xludf.DUMMYFUNCTION("""COMPUTED_VALUE"""),"Jaqueline de Jesus Lançone | Pós-Graduação Psicopedagogia Clínica, Institucional e Hospitalar | Enviado")</f>
        <v>Jaqueline de Jesus Lançone | Pós-Graduação Psicopedagogia Clínica, Institucional e Hospitalar | Enviado</v>
      </c>
      <c r="B84" s="396"/>
      <c r="C84" s="384"/>
      <c r="D84" s="384"/>
      <c r="E84" s="384"/>
      <c r="F84" s="384"/>
      <c r="G84" s="384"/>
      <c r="H84" s="384"/>
      <c r="I84" s="384"/>
      <c r="J84" s="384"/>
      <c r="K84" s="384"/>
      <c r="L84" s="384"/>
      <c r="M84" s="384"/>
      <c r="N84" s="384"/>
      <c r="O84" s="384"/>
      <c r="P84" s="384"/>
      <c r="Q84" s="384"/>
    </row>
    <row r="85">
      <c r="A85" s="396" t="str">
        <f>IFERROR(__xludf.DUMMYFUNCTION("""COMPUTED_VALUE"""),"Alexandra Moreira Cortes Souto Maior Bastos Luiz  | Pós-Graduação em Psicomotricidade | Enviado")</f>
        <v>Alexandra Moreira Cortes Souto Maior Bastos Luiz  | Pós-Graduação em Psicomotricidade | Enviado</v>
      </c>
      <c r="B85" s="396"/>
      <c r="C85" s="384"/>
      <c r="D85" s="384"/>
      <c r="E85" s="384"/>
      <c r="F85" s="384"/>
      <c r="G85" s="384"/>
      <c r="H85" s="384"/>
      <c r="I85" s="384"/>
      <c r="J85" s="384"/>
      <c r="K85" s="384"/>
      <c r="L85" s="384"/>
      <c r="M85" s="384"/>
      <c r="N85" s="384"/>
      <c r="O85" s="384"/>
      <c r="P85" s="384"/>
      <c r="Q85" s="384"/>
    </row>
    <row r="86">
      <c r="A86" s="396" t="str">
        <f>IFERROR(__xludf.DUMMYFUNCTION("""COMPUTED_VALUE"""),"Lenita Maria da Silva Barros  | Pós-Graduação em Psicanálise | Enviado")</f>
        <v>Lenita Maria da Silva Barros  | Pós-Graduação em Psicanálise | Enviado</v>
      </c>
      <c r="B86" s="396"/>
      <c r="C86" s="384"/>
      <c r="D86" s="384"/>
      <c r="E86" s="384"/>
      <c r="F86" s="384"/>
      <c r="G86" s="384"/>
      <c r="H86" s="384"/>
      <c r="I86" s="384"/>
      <c r="J86" s="384"/>
      <c r="K86" s="384"/>
      <c r="L86" s="384"/>
      <c r="M86" s="384"/>
      <c r="N86" s="384"/>
      <c r="O86" s="384"/>
      <c r="P86" s="384"/>
      <c r="Q86" s="384"/>
    </row>
    <row r="87">
      <c r="A87" s="396" t="str">
        <f>IFERROR(__xludf.DUMMYFUNCTION("""COMPUTED_VALUE"""),"Mesiuda Lima de Carvalho Costa   | PÓS-GRADUAÇÃO EM DOCÊNCIA DO ENSINO SUPERIOR E TUTORIA DE EDUCAÇÃO A DISTÂNCIA | Enviado")</f>
        <v>Mesiuda Lima de Carvalho Costa   | PÓS-GRADUAÇÃO EM DOCÊNCIA DO ENSINO SUPERIOR E TUTORIA DE EDUCAÇÃO A DISTÂNCIA | Enviado</v>
      </c>
      <c r="B87" s="396"/>
      <c r="C87" s="384"/>
      <c r="D87" s="384"/>
      <c r="E87" s="384"/>
      <c r="F87" s="384"/>
      <c r="G87" s="384"/>
      <c r="H87" s="384"/>
      <c r="I87" s="384"/>
      <c r="J87" s="384"/>
      <c r="K87" s="384"/>
      <c r="L87" s="384"/>
      <c r="M87" s="384"/>
      <c r="N87" s="384"/>
      <c r="O87" s="384"/>
      <c r="P87" s="384"/>
      <c r="Q87" s="384"/>
    </row>
    <row r="88">
      <c r="A88" s="396" t="str">
        <f>IFERROR(__xludf.DUMMYFUNCTION("""COMPUTED_VALUE"""),"Renata Thayná de Oliveira Pinheiro Lima | Pós-Graduação em Coordenação e Orientação Escolar | Enviado")</f>
        <v>Renata Thayná de Oliveira Pinheiro Lima | Pós-Graduação em Coordenação e Orientação Escolar | Enviado</v>
      </c>
      <c r="B88" s="396"/>
      <c r="C88" s="384"/>
      <c r="D88" s="384"/>
      <c r="E88" s="384"/>
      <c r="F88" s="384"/>
      <c r="G88" s="384"/>
      <c r="H88" s="384"/>
      <c r="I88" s="384"/>
      <c r="J88" s="384"/>
      <c r="K88" s="384"/>
      <c r="L88" s="384"/>
      <c r="M88" s="384"/>
      <c r="N88" s="384"/>
      <c r="O88" s="384"/>
      <c r="P88" s="384"/>
      <c r="Q88" s="384"/>
    </row>
    <row r="89">
      <c r="A89" s="396" t="str">
        <f>IFERROR(__xludf.DUMMYFUNCTION("""COMPUTED_VALUE"""),"Olandim de Sousa Sueth  | Pós-Graduação em Gestão Escolar | Enviado")</f>
        <v>Olandim de Sousa Sueth  | Pós-Graduação em Gestão Escolar | Enviado</v>
      </c>
      <c r="B89" s="396"/>
      <c r="C89" s="384"/>
      <c r="D89" s="384"/>
      <c r="E89" s="384"/>
      <c r="F89" s="384"/>
      <c r="G89" s="384"/>
      <c r="H89" s="384"/>
      <c r="I89" s="384"/>
      <c r="J89" s="384"/>
      <c r="K89" s="384"/>
      <c r="L89" s="384"/>
      <c r="M89" s="384"/>
      <c r="N89" s="384"/>
      <c r="O89" s="384"/>
      <c r="P89" s="384"/>
      <c r="Q89" s="384"/>
    </row>
    <row r="90">
      <c r="A90" s="396" t="str">
        <f>IFERROR(__xludf.DUMMYFUNCTION("""COMPUTED_VALUE"""),"Adriana de Araújo Costa Ferreira | Formação Livre em Psicanálise | Enviado")</f>
        <v>Adriana de Araújo Costa Ferreira | Formação Livre em Psicanálise | Enviado</v>
      </c>
      <c r="B90" s="396"/>
      <c r="C90" s="384"/>
      <c r="D90" s="384"/>
      <c r="E90" s="384"/>
      <c r="F90" s="384"/>
      <c r="G90" s="384"/>
      <c r="H90" s="384"/>
      <c r="I90" s="384"/>
      <c r="J90" s="384"/>
      <c r="K90" s="384"/>
      <c r="L90" s="384"/>
      <c r="M90" s="384"/>
      <c r="N90" s="384"/>
      <c r="O90" s="384"/>
      <c r="P90" s="384"/>
      <c r="Q90" s="384"/>
    </row>
    <row r="91">
      <c r="A91" s="396" t="str">
        <f>IFERROR(__xludf.DUMMYFUNCTION("""COMPUTED_VALUE"""),"Elisabete Pirone Dias  | Pós-Graduação em Psicanálise | Enviado")</f>
        <v>Elisabete Pirone Dias  | Pós-Graduação em Psicanálise | Enviado</v>
      </c>
      <c r="B91" s="396"/>
      <c r="C91" s="384"/>
      <c r="D91" s="384"/>
      <c r="E91" s="384"/>
      <c r="F91" s="384"/>
      <c r="G91" s="384"/>
      <c r="H91" s="384"/>
      <c r="I91" s="384"/>
      <c r="J91" s="384"/>
      <c r="K91" s="384"/>
      <c r="L91" s="384"/>
      <c r="M91" s="384"/>
      <c r="N91" s="384"/>
      <c r="O91" s="384"/>
      <c r="P91" s="384"/>
      <c r="Q91" s="384"/>
    </row>
    <row r="92">
      <c r="A92" s="396" t="str">
        <f>IFERROR(__xludf.DUMMYFUNCTION("""COMPUTED_VALUE"""),"Isabel Cristina Nunes Lacau Conte  | Pós-Graduação em Tecnologias Educacionais | Enviado")</f>
        <v>Isabel Cristina Nunes Lacau Conte  | Pós-Graduação em Tecnologias Educacionais | Enviado</v>
      </c>
      <c r="B92" s="396"/>
      <c r="C92" s="384"/>
      <c r="D92" s="384"/>
      <c r="E92" s="384"/>
      <c r="F92" s="384"/>
      <c r="G92" s="384"/>
      <c r="H92" s="384"/>
      <c r="I92" s="384"/>
      <c r="J92" s="384"/>
      <c r="K92" s="384"/>
      <c r="L92" s="384"/>
      <c r="M92" s="384"/>
      <c r="N92" s="384"/>
      <c r="O92" s="384"/>
      <c r="P92" s="384"/>
      <c r="Q92" s="384"/>
    </row>
    <row r="93">
      <c r="A93" s="396" t="str">
        <f>IFERROR(__xludf.DUMMYFUNCTION("""COMPUTED_VALUE"""),"Marilza Dias Borges Silva  | Pós-Graduação em Gestão de Serviço da Saúde | Enviado")</f>
        <v>Marilza Dias Borges Silva  | Pós-Graduação em Gestão de Serviço da Saúde | Enviado</v>
      </c>
      <c r="B93" s="396"/>
      <c r="C93" s="384"/>
      <c r="D93" s="384"/>
      <c r="E93" s="384"/>
      <c r="F93" s="384"/>
      <c r="G93" s="384"/>
      <c r="H93" s="384"/>
      <c r="I93" s="384"/>
      <c r="J93" s="384"/>
      <c r="K93" s="384"/>
      <c r="L93" s="384"/>
      <c r="M93" s="384"/>
      <c r="N93" s="384"/>
      <c r="O93" s="384"/>
      <c r="P93" s="384"/>
      <c r="Q93" s="384"/>
    </row>
    <row r="94">
      <c r="A94" s="396" t="str">
        <f>IFERROR(__xludf.DUMMYFUNCTION("""COMPUTED_VALUE"""),"Luiz Carlos Pereira de Brito  | Pós-Graduação Alfabetização e Letramento | Enviado")</f>
        <v>Luiz Carlos Pereira de Brito  | Pós-Graduação Alfabetização e Letramento | Enviado</v>
      </c>
      <c r="B94" s="396"/>
      <c r="C94" s="384"/>
      <c r="D94" s="384"/>
      <c r="E94" s="384"/>
      <c r="F94" s="384"/>
      <c r="G94" s="384"/>
      <c r="H94" s="384"/>
      <c r="I94" s="384"/>
      <c r="J94" s="384"/>
      <c r="K94" s="384"/>
      <c r="L94" s="384"/>
      <c r="M94" s="384"/>
      <c r="N94" s="384"/>
      <c r="O94" s="384"/>
      <c r="P94" s="384"/>
      <c r="Q94" s="384"/>
    </row>
    <row r="95">
      <c r="A95" s="396" t="str">
        <f>IFERROR(__xludf.DUMMYFUNCTION("""COMPUTED_VALUE"""),"Miriam de Souza lira  | Formação Livre Psicanálise | Enviado")</f>
        <v>Miriam de Souza lira  | Formação Livre Psicanálise | Enviado</v>
      </c>
      <c r="B95" s="396"/>
      <c r="C95" s="384"/>
      <c r="D95" s="384"/>
      <c r="E95" s="384"/>
      <c r="F95" s="384"/>
      <c r="G95" s="384"/>
      <c r="H95" s="384"/>
      <c r="I95" s="384"/>
      <c r="J95" s="384"/>
      <c r="K95" s="384"/>
      <c r="L95" s="384"/>
      <c r="M95" s="384"/>
      <c r="N95" s="384"/>
      <c r="O95" s="384"/>
      <c r="P95" s="384"/>
      <c r="Q95" s="384"/>
    </row>
    <row r="96">
      <c r="A96" s="396" t="str">
        <f>IFERROR(__xludf.DUMMYFUNCTION("""COMPUTED_VALUE"""),"Andrea da Silva  | Formação Livre Psicanálise | Enviado")</f>
        <v>Andrea da Silva  | Formação Livre Psicanálise | Enviado</v>
      </c>
      <c r="B96" s="396"/>
      <c r="C96" s="384"/>
      <c r="D96" s="384"/>
      <c r="E96" s="384"/>
      <c r="F96" s="384"/>
      <c r="G96" s="384"/>
      <c r="H96" s="384"/>
      <c r="I96" s="384"/>
      <c r="J96" s="384"/>
      <c r="K96" s="384"/>
      <c r="L96" s="384"/>
      <c r="M96" s="384"/>
      <c r="N96" s="384"/>
      <c r="O96" s="384"/>
      <c r="P96" s="384"/>
      <c r="Q96" s="384"/>
    </row>
    <row r="97">
      <c r="A97" s="396" t="str">
        <f>IFERROR(__xludf.DUMMYFUNCTION("""COMPUTED_VALUE"""),"Vivian Souto Vieira Freitas de Sousa  | Pós-Graduação em Sexologia | Enviado")</f>
        <v>Vivian Souto Vieira Freitas de Sousa  | Pós-Graduação em Sexologia | Enviado</v>
      </c>
      <c r="B97" s="396"/>
      <c r="C97" s="384"/>
      <c r="D97" s="384"/>
      <c r="E97" s="384"/>
      <c r="F97" s="384"/>
      <c r="G97" s="384"/>
      <c r="H97" s="384"/>
      <c r="I97" s="384"/>
      <c r="J97" s="384"/>
      <c r="K97" s="384"/>
      <c r="L97" s="384"/>
      <c r="M97" s="384"/>
      <c r="N97" s="384"/>
      <c r="O97" s="384"/>
      <c r="P97" s="384"/>
      <c r="Q97" s="384"/>
    </row>
    <row r="98">
      <c r="A98" s="396" t="str">
        <f>IFERROR(__xludf.DUMMYFUNCTION("""COMPUTED_VALUE"""),"Ana Lúcia Santos Costa  | Pós-Graduação em Psicanálise | Enviado")</f>
        <v>Ana Lúcia Santos Costa  | Pós-Graduação em Psicanálise | Enviado</v>
      </c>
      <c r="B98" s="396"/>
      <c r="C98" s="384"/>
      <c r="D98" s="384"/>
      <c r="E98" s="384"/>
      <c r="F98" s="384"/>
      <c r="G98" s="384"/>
      <c r="H98" s="384"/>
      <c r="I98" s="384"/>
      <c r="J98" s="384"/>
      <c r="K98" s="384"/>
      <c r="L98" s="384"/>
      <c r="M98" s="384"/>
      <c r="N98" s="384"/>
      <c r="O98" s="384"/>
      <c r="P98" s="384"/>
      <c r="Q98" s="384"/>
    </row>
    <row r="99">
      <c r="A99" s="396" t="str">
        <f>IFERROR(__xludf.DUMMYFUNCTION("""COMPUTED_VALUE"""),"Glauber Lúcio Alves Santiago | Pós-Graduação em Tecnologias Educacionais | Enviado")</f>
        <v>Glauber Lúcio Alves Santiago | Pós-Graduação em Tecnologias Educacionais | Enviado</v>
      </c>
      <c r="B99" s="396"/>
      <c r="C99" s="384"/>
      <c r="D99" s="384"/>
      <c r="E99" s="384"/>
      <c r="F99" s="384"/>
      <c r="G99" s="384"/>
      <c r="H99" s="384"/>
      <c r="I99" s="384"/>
      <c r="J99" s="384"/>
      <c r="K99" s="384"/>
      <c r="L99" s="384"/>
      <c r="M99" s="384"/>
      <c r="N99" s="384"/>
      <c r="O99" s="384"/>
      <c r="P99" s="384"/>
      <c r="Q99" s="384"/>
    </row>
    <row r="100">
      <c r="A100" s="396" t="str">
        <f>IFERROR(__xludf.DUMMYFUNCTION("""COMPUTED_VALUE"""),"Eliseu Venceslau de brito  | Pós-Graduação em Psicanálise | Enviado")</f>
        <v>Eliseu Venceslau de brito  | Pós-Graduação em Psicanálise | Enviado</v>
      </c>
      <c r="B100" s="396"/>
      <c r="C100" s="384"/>
      <c r="D100" s="384"/>
      <c r="E100" s="384"/>
      <c r="F100" s="384"/>
      <c r="G100" s="384"/>
      <c r="H100" s="384"/>
      <c r="I100" s="384"/>
      <c r="J100" s="384"/>
      <c r="K100" s="384"/>
      <c r="L100" s="384"/>
      <c r="M100" s="384"/>
      <c r="N100" s="384"/>
      <c r="O100" s="384"/>
      <c r="P100" s="384"/>
      <c r="Q100" s="384"/>
    </row>
    <row r="101">
      <c r="A101" s="396" t="str">
        <f>IFERROR(__xludf.DUMMYFUNCTION("""COMPUTED_VALUE"""),"Marlla Angélica dos Santos da Costa | Pós-Graduação em Gestão Escolar | Enviado")</f>
        <v>Marlla Angélica dos Santos da Costa | Pós-Graduação em Gestão Escolar | Enviado</v>
      </c>
      <c r="B101" s="396"/>
      <c r="C101" s="384"/>
      <c r="D101" s="384"/>
      <c r="E101" s="384"/>
      <c r="F101" s="384"/>
      <c r="G101" s="384"/>
      <c r="H101" s="384"/>
      <c r="I101" s="384"/>
      <c r="J101" s="384"/>
      <c r="K101" s="384"/>
      <c r="L101" s="384"/>
      <c r="M101" s="384"/>
      <c r="N101" s="384"/>
      <c r="O101" s="384"/>
      <c r="P101" s="384"/>
      <c r="Q101" s="384"/>
    </row>
    <row r="102">
      <c r="A102" s="396" t="str">
        <f>IFERROR(__xludf.DUMMYFUNCTION("""COMPUTED_VALUE"""),"Antônio Carlos Magalhães de Menezes  | Pós-graduação em Neuropsicologia | Enviado")</f>
        <v>Antônio Carlos Magalhães de Menezes  | Pós-graduação em Neuropsicologia | Enviado</v>
      </c>
      <c r="B102" s="396"/>
      <c r="C102" s="384"/>
      <c r="D102" s="384"/>
      <c r="E102" s="384"/>
      <c r="F102" s="384"/>
      <c r="G102" s="384"/>
      <c r="H102" s="384"/>
      <c r="I102" s="384"/>
      <c r="J102" s="384"/>
      <c r="K102" s="384"/>
      <c r="L102" s="384"/>
      <c r="M102" s="384"/>
      <c r="N102" s="384"/>
      <c r="O102" s="384"/>
      <c r="P102" s="384"/>
      <c r="Q102" s="384"/>
    </row>
    <row r="103">
      <c r="A103" s="396" t="str">
        <f>IFERROR(__xludf.DUMMYFUNCTION("""COMPUTED_VALUE"""),"Eduarda Roberta Outeiro Rodrigues  | Pós-Graduação em Gestão Escolar | Enviado")</f>
        <v>Eduarda Roberta Outeiro Rodrigues  | Pós-Graduação em Gestão Escolar | Enviado</v>
      </c>
      <c r="B103" s="396"/>
      <c r="C103" s="384"/>
      <c r="D103" s="384"/>
      <c r="E103" s="384"/>
      <c r="F103" s="384"/>
      <c r="G103" s="384"/>
      <c r="H103" s="384"/>
      <c r="I103" s="384"/>
      <c r="J103" s="384"/>
      <c r="K103" s="384"/>
      <c r="L103" s="384"/>
      <c r="M103" s="384"/>
      <c r="N103" s="384"/>
      <c r="O103" s="384"/>
      <c r="P103" s="384"/>
      <c r="Q103" s="384"/>
    </row>
    <row r="104">
      <c r="A104" s="396" t="str">
        <f>IFERROR(__xludf.DUMMYFUNCTION("""COMPUTED_VALUE"""),"Rosalves Antônio de Lima | Pós-Graduação em Educação Musical | Enviado")</f>
        <v>Rosalves Antônio de Lima | Pós-Graduação em Educação Musical | Enviado</v>
      </c>
      <c r="B104" s="396"/>
      <c r="C104" s="384"/>
      <c r="D104" s="384"/>
      <c r="E104" s="384"/>
      <c r="F104" s="384"/>
      <c r="G104" s="384"/>
      <c r="H104" s="384"/>
      <c r="I104" s="384"/>
      <c r="J104" s="384"/>
      <c r="K104" s="384"/>
      <c r="L104" s="384"/>
      <c r="M104" s="384"/>
      <c r="N104" s="384"/>
      <c r="O104" s="384"/>
      <c r="P104" s="384"/>
      <c r="Q104" s="384"/>
    </row>
    <row r="105">
      <c r="A105" s="396" t="str">
        <f>IFERROR(__xludf.DUMMYFUNCTION("""COMPUTED_VALUE"""),"Cíntia Batista Lima   | Formação Livre Psicanálise | Enviado")</f>
        <v>Cíntia Batista Lima   | Formação Livre Psicanálise | Enviado</v>
      </c>
      <c r="B105" s="396"/>
      <c r="C105" s="384"/>
      <c r="D105" s="384"/>
      <c r="E105" s="384"/>
      <c r="F105" s="384"/>
      <c r="G105" s="384"/>
      <c r="H105" s="384"/>
      <c r="I105" s="384"/>
      <c r="J105" s="384"/>
      <c r="K105" s="384"/>
      <c r="L105" s="384"/>
      <c r="M105" s="384"/>
      <c r="N105" s="384"/>
      <c r="O105" s="384"/>
      <c r="P105" s="384"/>
      <c r="Q105" s="384"/>
    </row>
    <row r="106">
      <c r="A106" s="396" t="str">
        <f>IFERROR(__xludf.DUMMYFUNCTION("""COMPUTED_VALUE"""),"Inaiara Calderaro Foresto   | Pós-Graduação em Ensino de Artes | Enviado")</f>
        <v>Inaiara Calderaro Foresto   | Pós-Graduação em Ensino de Artes | Enviado</v>
      </c>
      <c r="B106" s="396"/>
      <c r="C106" s="384"/>
      <c r="D106" s="384"/>
      <c r="E106" s="384"/>
      <c r="F106" s="384"/>
      <c r="G106" s="384"/>
      <c r="H106" s="384"/>
      <c r="I106" s="384"/>
      <c r="J106" s="384"/>
      <c r="K106" s="384"/>
      <c r="L106" s="384"/>
      <c r="M106" s="384"/>
      <c r="N106" s="384"/>
      <c r="O106" s="384"/>
      <c r="P106" s="384"/>
      <c r="Q106" s="384"/>
    </row>
    <row r="107">
      <c r="A107" s="396" t="str">
        <f>IFERROR(__xludf.DUMMYFUNCTION("""COMPUTED_VALUE"""),"Diego da Silva Rosa  | Formação Livre em Psicanálise | Enviado")</f>
        <v>Diego da Silva Rosa  | Formação Livre em Psicanálise | Enviado</v>
      </c>
      <c r="B107" s="396"/>
      <c r="C107" s="384"/>
      <c r="D107" s="384"/>
      <c r="E107" s="384"/>
      <c r="F107" s="384"/>
      <c r="G107" s="384"/>
      <c r="H107" s="384"/>
      <c r="I107" s="384"/>
      <c r="J107" s="384"/>
      <c r="K107" s="384"/>
      <c r="L107" s="384"/>
      <c r="M107" s="384"/>
      <c r="N107" s="384"/>
      <c r="O107" s="384"/>
      <c r="P107" s="384"/>
      <c r="Q107" s="384"/>
    </row>
    <row r="108">
      <c r="A108" s="396" t="str">
        <f>IFERROR(__xludf.DUMMYFUNCTION("""COMPUTED_VALUE"""),"Rogério Belmiro Tampellini  | Pós-Graduação em Avaliação Psicológica e Psicodiagnóstico | Enviado")</f>
        <v>Rogério Belmiro Tampellini  | Pós-Graduação em Avaliação Psicológica e Psicodiagnóstico | Enviado</v>
      </c>
      <c r="B108" s="396"/>
      <c r="C108" s="384"/>
      <c r="D108" s="384"/>
      <c r="E108" s="384"/>
      <c r="F108" s="384"/>
      <c r="G108" s="384"/>
      <c r="H108" s="384"/>
      <c r="I108" s="384"/>
      <c r="J108" s="384"/>
      <c r="K108" s="384"/>
      <c r="L108" s="384"/>
      <c r="M108" s="384"/>
      <c r="N108" s="384"/>
      <c r="O108" s="384"/>
      <c r="P108" s="384"/>
      <c r="Q108" s="384"/>
    </row>
    <row r="109">
      <c r="A109" s="396" t="str">
        <f>IFERROR(__xludf.DUMMYFUNCTION("""COMPUTED_VALUE"""),"Cláudia Luciane Sant'ana Rocha Vidal  | Pós-Graduação em MBA em Secretariado Executivo | Enviado")</f>
        <v>Cláudia Luciane Sant'ana Rocha Vidal  | Pós-Graduação em MBA em Secretariado Executivo | Enviado</v>
      </c>
      <c r="B109" s="396"/>
      <c r="C109" s="384"/>
      <c r="D109" s="384"/>
      <c r="E109" s="384"/>
      <c r="F109" s="384"/>
      <c r="G109" s="384"/>
      <c r="H109" s="384"/>
      <c r="I109" s="384"/>
      <c r="J109" s="384"/>
      <c r="K109" s="384"/>
      <c r="L109" s="384"/>
      <c r="M109" s="384"/>
      <c r="N109" s="384"/>
      <c r="O109" s="384"/>
      <c r="P109" s="384"/>
      <c r="Q109" s="384"/>
    </row>
    <row r="110">
      <c r="A110" s="396" t="str">
        <f>IFERROR(__xludf.DUMMYFUNCTION("""COMPUTED_VALUE"""),"Cláudia Luciane Sant'ana Rocha Vidal  | Pós-Graduação em Autismo | Enviado")</f>
        <v>Cláudia Luciane Sant'ana Rocha Vidal  | Pós-Graduação em Autismo | Enviado</v>
      </c>
      <c r="B110" s="396"/>
      <c r="C110" s="384"/>
      <c r="D110" s="384"/>
      <c r="E110" s="384"/>
      <c r="F110" s="384"/>
      <c r="G110" s="384"/>
      <c r="H110" s="384"/>
      <c r="I110" s="384"/>
      <c r="J110" s="384"/>
      <c r="K110" s="384"/>
      <c r="L110" s="384"/>
      <c r="M110" s="384"/>
      <c r="N110" s="384"/>
      <c r="O110" s="384"/>
      <c r="P110" s="384"/>
      <c r="Q110" s="384"/>
    </row>
    <row r="111">
      <c r="A111" s="396" t="str">
        <f>IFERROR(__xludf.DUMMYFUNCTION("""COMPUTED_VALUE"""),"Joice Wochnik de Lima  | Formação Livre em Psicanálise | Enviado")</f>
        <v>Joice Wochnik de Lima  | Formação Livre em Psicanálise | Enviado</v>
      </c>
      <c r="B111" s="396"/>
      <c r="C111" s="384"/>
      <c r="D111" s="384"/>
      <c r="E111" s="384"/>
      <c r="F111" s="384"/>
      <c r="G111" s="384"/>
      <c r="H111" s="384"/>
      <c r="I111" s="384"/>
      <c r="J111" s="384"/>
      <c r="K111" s="384"/>
      <c r="L111" s="384"/>
      <c r="M111" s="384"/>
      <c r="N111" s="384"/>
      <c r="O111" s="384"/>
      <c r="P111" s="384"/>
      <c r="Q111" s="384"/>
    </row>
    <row r="112">
      <c r="A112" s="396" t="str">
        <f>IFERROR(__xludf.DUMMYFUNCTION("""COMPUTED_VALUE"""),"Vitória Rodrigues Montalvao  | Pós-Graduação Educação Especial e Inclusiva | Enviado")</f>
        <v>Vitória Rodrigues Montalvao  | Pós-Graduação Educação Especial e Inclusiva | Enviado</v>
      </c>
      <c r="B112" s="396"/>
      <c r="C112" s="384"/>
      <c r="D112" s="384"/>
      <c r="E112" s="384"/>
      <c r="F112" s="384"/>
      <c r="G112" s="384"/>
      <c r="H112" s="384"/>
      <c r="I112" s="384"/>
      <c r="J112" s="384"/>
      <c r="K112" s="384"/>
      <c r="L112" s="384"/>
      <c r="M112" s="384"/>
      <c r="N112" s="384"/>
      <c r="O112" s="384"/>
      <c r="P112" s="384"/>
      <c r="Q112" s="384"/>
    </row>
    <row r="113">
      <c r="A113" s="396" t="str">
        <f>IFERROR(__xludf.DUMMYFUNCTION("""COMPUTED_VALUE"""),"Ana Cristina dos Santos Tobias  | Formação Livre Psicanálise | Enviado")</f>
        <v>Ana Cristina dos Santos Tobias  | Formação Livre Psicanálise | Enviado</v>
      </c>
      <c r="B113" s="396"/>
      <c r="C113" s="384"/>
      <c r="D113" s="384"/>
      <c r="E113" s="384"/>
      <c r="F113" s="384"/>
      <c r="G113" s="384"/>
      <c r="H113" s="384"/>
      <c r="I113" s="384"/>
      <c r="J113" s="384"/>
      <c r="K113" s="384"/>
      <c r="L113" s="384"/>
      <c r="M113" s="384"/>
      <c r="N113" s="384"/>
      <c r="O113" s="384"/>
      <c r="P113" s="384"/>
      <c r="Q113" s="384"/>
    </row>
    <row r="114">
      <c r="A114" s="396" t="str">
        <f>IFERROR(__xludf.DUMMYFUNCTION("""COMPUTED_VALUE"""),"Michelli Monteiro De Holanda  | Pós-Graduação em Direito Ambiental | Enviado")</f>
        <v>Michelli Monteiro De Holanda  | Pós-Graduação em Direito Ambiental | Enviado</v>
      </c>
      <c r="B114" s="396"/>
      <c r="C114" s="384"/>
      <c r="D114" s="384"/>
      <c r="E114" s="384"/>
      <c r="F114" s="384"/>
      <c r="G114" s="384"/>
      <c r="H114" s="384"/>
      <c r="I114" s="384"/>
      <c r="J114" s="384"/>
      <c r="K114" s="384"/>
      <c r="L114" s="384"/>
      <c r="M114" s="384"/>
      <c r="N114" s="384"/>
      <c r="O114" s="384"/>
      <c r="P114" s="384"/>
      <c r="Q114" s="384"/>
    </row>
    <row r="115">
      <c r="A115" s="396" t="str">
        <f>IFERROR(__xludf.DUMMYFUNCTION("""COMPUTED_VALUE"""),"Claudinaldo Sena dos santos  | Pós-Graduação em Psicanálise | Enviado")</f>
        <v>Claudinaldo Sena dos santos  | Pós-Graduação em Psicanálise | Enviado</v>
      </c>
      <c r="B115" s="396"/>
      <c r="C115" s="384"/>
      <c r="D115" s="384"/>
      <c r="E115" s="384"/>
      <c r="F115" s="384"/>
      <c r="G115" s="384"/>
      <c r="H115" s="384"/>
      <c r="I115" s="384"/>
      <c r="J115" s="384"/>
      <c r="K115" s="384"/>
      <c r="L115" s="384"/>
      <c r="M115" s="384"/>
      <c r="N115" s="384"/>
      <c r="O115" s="384"/>
      <c r="P115" s="384"/>
      <c r="Q115" s="384"/>
    </row>
    <row r="116">
      <c r="A116" s="396" t="str">
        <f>IFERROR(__xludf.DUMMYFUNCTION("""COMPUTED_VALUE"""),"Ana Cristina Oliveira dos Santos | Pós-Graduação em Gestão Educacional | Enviado")</f>
        <v>Ana Cristina Oliveira dos Santos | Pós-Graduação em Gestão Educacional | Enviado</v>
      </c>
      <c r="B116" s="396"/>
      <c r="C116" s="384"/>
      <c r="D116" s="384"/>
      <c r="E116" s="384"/>
      <c r="F116" s="384"/>
      <c r="G116" s="384"/>
      <c r="H116" s="384"/>
      <c r="I116" s="384"/>
      <c r="J116" s="384"/>
      <c r="K116" s="384"/>
      <c r="L116" s="384"/>
      <c r="M116" s="384"/>
      <c r="N116" s="384"/>
      <c r="O116" s="384"/>
      <c r="P116" s="384"/>
      <c r="Q116" s="384"/>
    </row>
    <row r="117">
      <c r="A117" s="396" t="str">
        <f>IFERROR(__xludf.DUMMYFUNCTION("""COMPUTED_VALUE"""),"Maria Vanessa dos santos  | Pós-graduação em Metodologia Do Ensino da Matemática | Enviado")</f>
        <v>Maria Vanessa dos santos  | Pós-graduação em Metodologia Do Ensino da Matemática | Enviado</v>
      </c>
      <c r="B117" s="396"/>
      <c r="C117" s="384"/>
      <c r="D117" s="384"/>
      <c r="E117" s="384"/>
      <c r="F117" s="384"/>
      <c r="G117" s="384"/>
      <c r="H117" s="384"/>
      <c r="I117" s="384"/>
      <c r="J117" s="384"/>
      <c r="K117" s="384"/>
      <c r="L117" s="384"/>
      <c r="M117" s="384"/>
      <c r="N117" s="384"/>
      <c r="O117" s="384"/>
      <c r="P117" s="384"/>
      <c r="Q117" s="384"/>
    </row>
    <row r="118">
      <c r="A118" s="396" t="str">
        <f>IFERROR(__xludf.DUMMYFUNCTION("""COMPUTED_VALUE"""),"Thyara Pryscyla Lima Gomes  | Pós-Graduação em Psicopedagogia Clínica, Institucional e Hospitalar-620 Horas | Enviado")</f>
        <v>Thyara Pryscyla Lima Gomes  | Pós-Graduação em Psicopedagogia Clínica, Institucional e Hospitalar-620 Horas | Enviado</v>
      </c>
      <c r="B118" s="396"/>
      <c r="C118" s="384"/>
      <c r="D118" s="384"/>
      <c r="E118" s="384"/>
      <c r="F118" s="384"/>
      <c r="G118" s="384"/>
      <c r="H118" s="384"/>
      <c r="I118" s="384"/>
      <c r="J118" s="384"/>
      <c r="K118" s="384"/>
      <c r="L118" s="384"/>
      <c r="M118" s="384"/>
      <c r="N118" s="384"/>
      <c r="O118" s="384"/>
      <c r="P118" s="384"/>
      <c r="Q118" s="384"/>
    </row>
    <row r="119">
      <c r="A119" s="396" t="str">
        <f>IFERROR(__xludf.DUMMYFUNCTION("""COMPUTED_VALUE"""),"Vandenilson Gomes da Paixão | Pós-Graduação Engenharia Elétrica | Enviado")</f>
        <v>Vandenilson Gomes da Paixão | Pós-Graduação Engenharia Elétrica | Enviado</v>
      </c>
      <c r="B119" s="396"/>
      <c r="C119" s="384"/>
      <c r="D119" s="384"/>
      <c r="E119" s="384"/>
      <c r="F119" s="384"/>
      <c r="G119" s="384"/>
      <c r="H119" s="384"/>
      <c r="I119" s="384"/>
      <c r="J119" s="384"/>
      <c r="K119" s="384"/>
      <c r="L119" s="384"/>
      <c r="M119" s="384"/>
      <c r="N119" s="384"/>
      <c r="O119" s="384"/>
      <c r="P119" s="384"/>
      <c r="Q119" s="384"/>
    </row>
    <row r="120">
      <c r="A120" s="396" t="str">
        <f>IFERROR(__xludf.DUMMYFUNCTION("""COMPUTED_VALUE"""),"Edneia Haweroth  | Pós-Graduação em Sexologia | Enviado")</f>
        <v>Edneia Haweroth  | Pós-Graduação em Sexologia | Enviado</v>
      </c>
      <c r="B120" s="396"/>
      <c r="C120" s="384"/>
      <c r="D120" s="384"/>
      <c r="E120" s="384"/>
      <c r="F120" s="384"/>
      <c r="G120" s="384"/>
      <c r="H120" s="384"/>
      <c r="I120" s="384"/>
      <c r="J120" s="384"/>
      <c r="K120" s="384"/>
      <c r="L120" s="384"/>
      <c r="M120" s="384"/>
      <c r="N120" s="384"/>
      <c r="O120" s="384"/>
      <c r="P120" s="384"/>
      <c r="Q120" s="384"/>
    </row>
    <row r="121">
      <c r="A121" s="396" t="str">
        <f>IFERROR(__xludf.DUMMYFUNCTION("""COMPUTED_VALUE"""),"Jardel Rodrigues Coelho  | Pós-Graduação em Psicanálise | Enviado")</f>
        <v>Jardel Rodrigues Coelho  | Pós-Graduação em Psicanálise | Enviado</v>
      </c>
      <c r="B121" s="396"/>
      <c r="C121" s="384"/>
      <c r="D121" s="384"/>
      <c r="E121" s="384"/>
      <c r="F121" s="384"/>
      <c r="G121" s="384"/>
      <c r="H121" s="384"/>
      <c r="I121" s="384"/>
      <c r="J121" s="384"/>
      <c r="K121" s="384"/>
      <c r="L121" s="384"/>
      <c r="M121" s="384"/>
      <c r="N121" s="384"/>
      <c r="O121" s="384"/>
      <c r="P121" s="384"/>
      <c r="Q121" s="384"/>
    </row>
    <row r="122">
      <c r="A122" s="396" t="str">
        <f>IFERROR(__xludf.DUMMYFUNCTION("""COMPUTED_VALUE"""),"Michele Ribeiro Tome | Pós-Graduação em Administração Pública | Enviado")</f>
        <v>Michele Ribeiro Tome | Pós-Graduação em Administração Pública | Enviado</v>
      </c>
      <c r="B122" s="396"/>
      <c r="C122" s="384"/>
      <c r="D122" s="384"/>
      <c r="E122" s="384"/>
      <c r="F122" s="384"/>
      <c r="G122" s="384"/>
      <c r="H122" s="384"/>
      <c r="I122" s="384"/>
      <c r="J122" s="384"/>
      <c r="K122" s="384"/>
      <c r="L122" s="384"/>
      <c r="M122" s="384"/>
      <c r="N122" s="384"/>
      <c r="O122" s="384"/>
      <c r="P122" s="384"/>
      <c r="Q122" s="384"/>
    </row>
    <row r="123">
      <c r="A123" s="396" t="str">
        <f>IFERROR(__xludf.DUMMYFUNCTION("""COMPUTED_VALUE"""),"Flávia Rita dos Santos Lopes | Pós-Graduação em Gestão Escolar Integrada com Ênfase em Supervisão, Orientação, Administração e Inspeção | Enviado")</f>
        <v>Flávia Rita dos Santos Lopes | Pós-Graduação em Gestão Escolar Integrada com Ênfase em Supervisão, Orientação, Administração e Inspeção | Enviado</v>
      </c>
      <c r="B123" s="396"/>
      <c r="C123" s="384"/>
      <c r="D123" s="384"/>
      <c r="E123" s="384"/>
      <c r="F123" s="384"/>
      <c r="G123" s="384"/>
      <c r="H123" s="384"/>
      <c r="I123" s="384"/>
      <c r="J123" s="384"/>
      <c r="K123" s="384"/>
      <c r="L123" s="384"/>
      <c r="M123" s="384"/>
      <c r="N123" s="384"/>
      <c r="O123" s="384"/>
      <c r="P123" s="384"/>
      <c r="Q123" s="384"/>
    </row>
    <row r="124">
      <c r="A124" s="396" t="str">
        <f>IFERROR(__xludf.DUMMYFUNCTION("""COMPUTED_VALUE"""),"Thamires Almeida Pereira   | Pós-Graduação em Terapia em ABA- Análise do Comportamento Aplicada | Enviado")</f>
        <v>Thamires Almeida Pereira   | Pós-Graduação em Terapia em ABA- Análise do Comportamento Aplicada | Enviado</v>
      </c>
      <c r="B124" s="396"/>
      <c r="C124" s="384"/>
      <c r="D124" s="384"/>
      <c r="E124" s="384"/>
      <c r="F124" s="384"/>
      <c r="G124" s="384"/>
      <c r="H124" s="384"/>
      <c r="I124" s="384"/>
      <c r="J124" s="384"/>
      <c r="K124" s="384"/>
      <c r="L124" s="384"/>
      <c r="M124" s="384"/>
      <c r="N124" s="384"/>
      <c r="O124" s="384"/>
      <c r="P124" s="384"/>
      <c r="Q124" s="384"/>
    </row>
    <row r="125">
      <c r="A125" s="396" t="str">
        <f>IFERROR(__xludf.DUMMYFUNCTION("""COMPUTED_VALUE"""),"Kelly Costa de Miranda santos | Formação Livre Psicanálise | Enviado")</f>
        <v>Kelly Costa de Miranda santos | Formação Livre Psicanálise | Enviado</v>
      </c>
      <c r="B125" s="396"/>
      <c r="C125" s="384"/>
      <c r="D125" s="384"/>
      <c r="E125" s="384"/>
      <c r="F125" s="384"/>
      <c r="G125" s="384"/>
      <c r="H125" s="384"/>
      <c r="I125" s="384"/>
      <c r="J125" s="384"/>
      <c r="K125" s="384"/>
      <c r="L125" s="384"/>
      <c r="M125" s="384"/>
      <c r="N125" s="384"/>
      <c r="O125" s="384"/>
      <c r="P125" s="384"/>
      <c r="Q125" s="384"/>
    </row>
    <row r="126">
      <c r="A126" s="396" t="str">
        <f>IFERROR(__xludf.DUMMYFUNCTION("""COMPUTED_VALUE""")," |  | ")</f>
        <v> |  | </v>
      </c>
      <c r="B126" s="396"/>
      <c r="C126" s="384"/>
      <c r="D126" s="384"/>
      <c r="E126" s="384"/>
      <c r="F126" s="384"/>
      <c r="G126" s="384"/>
      <c r="H126" s="384"/>
      <c r="I126" s="384"/>
      <c r="J126" s="384"/>
      <c r="K126" s="384"/>
      <c r="L126" s="384"/>
      <c r="M126" s="384"/>
      <c r="N126" s="384"/>
      <c r="O126" s="384"/>
      <c r="P126" s="384"/>
      <c r="Q126" s="384"/>
    </row>
    <row r="127">
      <c r="A127" s="396" t="str">
        <f>IFERROR(__xludf.DUMMYFUNCTION("""COMPUTED_VALUE"""),"Rafael Fernando Torres Neves -NÃO POSSUI PERFIL SIMPLE  | Pós-Graduação em Sexologia | Enviado")</f>
        <v>Rafael Fernando Torres Neves -NÃO POSSUI PERFIL SIMPLE  | Pós-Graduação em Sexologia | Enviado</v>
      </c>
      <c r="B127" s="396"/>
      <c r="C127" s="384"/>
      <c r="D127" s="384"/>
      <c r="E127" s="384"/>
      <c r="F127" s="384"/>
      <c r="G127" s="384"/>
      <c r="H127" s="384"/>
      <c r="I127" s="384"/>
      <c r="J127" s="384"/>
      <c r="K127" s="384"/>
      <c r="L127" s="384"/>
      <c r="M127" s="384"/>
      <c r="N127" s="384"/>
      <c r="O127" s="384"/>
      <c r="P127" s="384"/>
      <c r="Q127" s="384"/>
    </row>
    <row r="128">
      <c r="A128" s="396" t="str">
        <f>IFERROR(__xludf.DUMMYFUNCTION("""COMPUTED_VALUE"""),"Rafael Fernando Torres Neves -NÃO POSSUI PERFIL SIMPLE  | Pós-Graduação em Psicánalise | Enviado")</f>
        <v>Rafael Fernando Torres Neves -NÃO POSSUI PERFIL SIMPLE  | Pós-Graduação em Psicánalise | Enviado</v>
      </c>
      <c r="B128" s="396"/>
      <c r="C128" s="384"/>
      <c r="D128" s="384"/>
      <c r="E128" s="384"/>
      <c r="F128" s="384"/>
      <c r="G128" s="384"/>
      <c r="H128" s="384"/>
      <c r="I128" s="384"/>
      <c r="J128" s="384"/>
      <c r="K128" s="384"/>
      <c r="L128" s="384"/>
      <c r="M128" s="384"/>
      <c r="N128" s="384"/>
      <c r="O128" s="384"/>
      <c r="P128" s="384"/>
      <c r="Q128" s="384"/>
    </row>
    <row r="129">
      <c r="A129" s="396" t="str">
        <f>IFERROR(__xludf.DUMMYFUNCTION("""COMPUTED_VALUE"""),"Maristela Simões Carvalheira Hirosaki - CURSO INATIVADO | Pós-Graduação em Gestão Escolar | Enviado")</f>
        <v>Maristela Simões Carvalheira Hirosaki - CURSO INATIVADO | Pós-Graduação em Gestão Escolar | Enviado</v>
      </c>
      <c r="B129" s="396"/>
      <c r="C129" s="384"/>
      <c r="D129" s="384"/>
      <c r="E129" s="384"/>
      <c r="F129" s="384"/>
      <c r="G129" s="384"/>
      <c r="H129" s="384"/>
      <c r="I129" s="384"/>
      <c r="J129" s="384"/>
      <c r="K129" s="384"/>
      <c r="L129" s="384"/>
      <c r="M129" s="384"/>
      <c r="N129" s="384"/>
      <c r="O129" s="384"/>
      <c r="P129" s="384"/>
      <c r="Q129" s="384"/>
    </row>
    <row r="130">
      <c r="A130" s="396" t="str">
        <f>IFERROR(__xludf.DUMMYFUNCTION("""COMPUTED_VALUE"""),"Suélen Vieira Carrara - CURSO INATIVADO | Pós-Graduação em Psicopedagogia Escolar | Enviado")</f>
        <v>Suélen Vieira Carrara - CURSO INATIVADO | Pós-Graduação em Psicopedagogia Escolar | Enviado</v>
      </c>
      <c r="B130" s="396"/>
      <c r="C130" s="384"/>
      <c r="D130" s="384"/>
      <c r="E130" s="384"/>
      <c r="F130" s="384"/>
      <c r="G130" s="384"/>
      <c r="H130" s="384"/>
      <c r="I130" s="384"/>
      <c r="J130" s="384"/>
      <c r="K130" s="384"/>
      <c r="L130" s="384"/>
      <c r="M130" s="384"/>
      <c r="N130" s="384"/>
      <c r="O130" s="384"/>
      <c r="P130" s="384"/>
      <c r="Q130" s="384"/>
    </row>
    <row r="131">
      <c r="A131" s="396" t="str">
        <f>IFERROR(__xludf.DUMMYFUNCTION("""COMPUTED_VALUE"""),"Joelson Silvano de Moura -NÃO POSSUI PERFIL SIMPLE  | Pós-Graduação em Psicánalise | Enviado")</f>
        <v>Joelson Silvano de Moura -NÃO POSSUI PERFIL SIMPLE  | Pós-Graduação em Psicánalise | Enviado</v>
      </c>
      <c r="B131" s="396"/>
      <c r="C131" s="384"/>
      <c r="D131" s="384"/>
      <c r="E131" s="384"/>
      <c r="F131" s="384"/>
      <c r="G131" s="384"/>
      <c r="H131" s="384"/>
      <c r="I131" s="384"/>
      <c r="J131" s="384"/>
      <c r="K131" s="384"/>
      <c r="L131" s="384"/>
      <c r="M131" s="384"/>
      <c r="N131" s="384"/>
      <c r="O131" s="384"/>
      <c r="P131" s="384"/>
      <c r="Q131" s="384"/>
    </row>
    <row r="132">
      <c r="A132" s="396" t="str">
        <f>IFERROR(__xludf.DUMMYFUNCTION("""COMPUTED_VALUE"""),"Juliana Ferreira Natividade dos Santos   | Pós-Graduação Terapia em ABA - Análise do Comportamento Aplicada | ")</f>
        <v>Juliana Ferreira Natividade dos Santos   | Pós-Graduação Terapia em ABA - Análise do Comportamento Aplicada | </v>
      </c>
      <c r="B132" s="396"/>
      <c r="C132" s="384"/>
      <c r="D132" s="384"/>
      <c r="E132" s="384"/>
      <c r="F132" s="384"/>
      <c r="G132" s="384"/>
      <c r="H132" s="384"/>
      <c r="I132" s="384"/>
      <c r="J132" s="384"/>
      <c r="K132" s="384"/>
      <c r="L132" s="384"/>
      <c r="M132" s="384"/>
      <c r="N132" s="384"/>
      <c r="O132" s="384"/>
      <c r="P132" s="384"/>
      <c r="Q132" s="384"/>
    </row>
    <row r="133">
      <c r="A133" s="396" t="str">
        <f>IFERROR(__xludf.DUMMYFUNCTION("""COMPUTED_VALUE"""),"Etienne Valeria Monteiro Cardoso - ALUNO E CURSO INATIVADOS | Pós-graduação em Neuropsicologia | Enviado")</f>
        <v>Etienne Valeria Monteiro Cardoso - ALUNO E CURSO INATIVADOS | Pós-graduação em Neuropsicologia | Enviado</v>
      </c>
      <c r="B133" s="396"/>
      <c r="C133" s="384"/>
      <c r="D133" s="384"/>
      <c r="E133" s="384"/>
      <c r="F133" s="384"/>
      <c r="G133" s="384"/>
      <c r="H133" s="384"/>
      <c r="I133" s="384"/>
      <c r="J133" s="384"/>
      <c r="K133" s="384"/>
      <c r="L133" s="384"/>
      <c r="M133" s="384"/>
      <c r="N133" s="384"/>
      <c r="O133" s="384"/>
      <c r="P133" s="384"/>
      <c r="Q133" s="384"/>
    </row>
    <row r="134">
      <c r="A134" s="396" t="str">
        <f>IFERROR(__xludf.DUMMYFUNCTION("""COMPUTED_VALUE"""),"Bianca Cristina Da Silva Baptista - ALUNO E CURSO INATIVADOS | Pós-Graduação Psicopedagogia Clínica, Institucional e Hospitalar | Enviado")</f>
        <v>Bianca Cristina Da Silva Baptista - ALUNO E CURSO INATIVADOS | Pós-Graduação Psicopedagogia Clínica, Institucional e Hospitalar | Enviado</v>
      </c>
      <c r="B134" s="396"/>
      <c r="C134" s="384"/>
      <c r="D134" s="384"/>
      <c r="E134" s="384"/>
      <c r="F134" s="384"/>
      <c r="G134" s="384"/>
      <c r="H134" s="384"/>
      <c r="I134" s="384"/>
      <c r="J134" s="384"/>
      <c r="K134" s="384"/>
      <c r="L134" s="384"/>
      <c r="M134" s="384"/>
      <c r="N134" s="384"/>
      <c r="O134" s="384"/>
      <c r="P134" s="384"/>
      <c r="Q134" s="384"/>
    </row>
    <row r="135">
      <c r="A135" s="396" t="str">
        <f>IFERROR(__xludf.DUMMYFUNCTION("""COMPUTED_VALUE"""),"Patricia dos Santos Gonçalves Silva - ALUNO E CURSO INATIVADOS | Pós-Graduação em Psicánalise | Enviado")</f>
        <v>Patricia dos Santos Gonçalves Silva - ALUNO E CURSO INATIVADOS | Pós-Graduação em Psicánalise | Enviado</v>
      </c>
      <c r="B135" s="396"/>
      <c r="C135" s="384"/>
      <c r="D135" s="384"/>
      <c r="E135" s="384"/>
      <c r="F135" s="384"/>
      <c r="G135" s="384"/>
      <c r="H135" s="384"/>
      <c r="I135" s="384"/>
      <c r="J135" s="384"/>
      <c r="K135" s="384"/>
      <c r="L135" s="384"/>
      <c r="M135" s="384"/>
      <c r="N135" s="384"/>
      <c r="O135" s="384"/>
      <c r="P135" s="384"/>
      <c r="Q135" s="384"/>
    </row>
    <row r="136">
      <c r="A136" s="396" t="str">
        <f>IFERROR(__xludf.DUMMYFUNCTION("""COMPUTED_VALUE"""),"Raquel Nogueira Kaur Lima - ALUNO E CURSO INATIVADOS | Pós-Graduação em Psicanálise | Enviado")</f>
        <v>Raquel Nogueira Kaur Lima - ALUNO E CURSO INATIVADOS | Pós-Graduação em Psicanálise | Enviado</v>
      </c>
      <c r="B136" s="396"/>
      <c r="C136" s="384"/>
      <c r="D136" s="384"/>
      <c r="E136" s="384"/>
      <c r="F136" s="384"/>
      <c r="G136" s="384"/>
      <c r="H136" s="384"/>
      <c r="I136" s="384"/>
      <c r="J136" s="384"/>
      <c r="K136" s="384"/>
      <c r="L136" s="384"/>
      <c r="M136" s="384"/>
      <c r="N136" s="384"/>
      <c r="O136" s="384"/>
      <c r="P136" s="384"/>
      <c r="Q136" s="384"/>
    </row>
    <row r="137">
      <c r="A137" s="396" t="str">
        <f>IFERROR(__xludf.DUMMYFUNCTION("""COMPUTED_VALUE"""),"Daniel Evangelista do Nascimento CURSO INATIVADO | Pós-graduação em Gestão Escolar Integradora com Ênfase em Supervisão, Orientação, Administração e Inspeção 740Horas | Enviado")</f>
        <v>Daniel Evangelista do Nascimento CURSO INATIVADO | Pós-graduação em Gestão Escolar Integradora com Ênfase em Supervisão, Orientação, Administração e Inspeção 740Horas | Enviado</v>
      </c>
      <c r="B137" s="396"/>
      <c r="C137" s="384"/>
      <c r="D137" s="384"/>
      <c r="E137" s="384"/>
      <c r="F137" s="384"/>
      <c r="G137" s="384"/>
      <c r="H137" s="384"/>
      <c r="I137" s="384"/>
      <c r="J137" s="384"/>
      <c r="K137" s="384"/>
      <c r="L137" s="384"/>
      <c r="M137" s="384"/>
      <c r="N137" s="384"/>
      <c r="O137" s="384"/>
      <c r="P137" s="384"/>
      <c r="Q137" s="384"/>
    </row>
    <row r="138">
      <c r="A138" s="396" t="str">
        <f>IFERROR(__xludf.DUMMYFUNCTION("""COMPUTED_VALUE"""),"Natalia Bracarense Campos ALUNO E CURSO INATIVADOS | Pós-Graduação em Sexologia | Enviado")</f>
        <v>Natalia Bracarense Campos ALUNO E CURSO INATIVADOS | Pós-Graduação em Sexologia | Enviado</v>
      </c>
      <c r="B138" s="396"/>
      <c r="C138" s="384"/>
      <c r="D138" s="384"/>
      <c r="E138" s="384"/>
      <c r="F138" s="384"/>
      <c r="G138" s="384"/>
      <c r="H138" s="384"/>
      <c r="I138" s="384"/>
      <c r="J138" s="384"/>
      <c r="K138" s="384"/>
      <c r="L138" s="384"/>
      <c r="M138" s="384"/>
      <c r="N138" s="384"/>
      <c r="O138" s="384"/>
      <c r="P138" s="384"/>
      <c r="Q138" s="384"/>
    </row>
    <row r="139">
      <c r="A139" s="396" t="str">
        <f>IFERROR(__xludf.DUMMYFUNCTION("""COMPUTED_VALUE"""),"Houzane Gonçalves | Pós-Graduação em Sexologia | Enviado")</f>
        <v>Houzane Gonçalves | Pós-Graduação em Sexologia | Enviado</v>
      </c>
      <c r="B139" s="396"/>
      <c r="C139" s="384"/>
      <c r="D139" s="384"/>
      <c r="E139" s="384"/>
      <c r="F139" s="384"/>
      <c r="G139" s="384"/>
      <c r="H139" s="384"/>
      <c r="I139" s="384"/>
      <c r="J139" s="384"/>
      <c r="K139" s="384"/>
      <c r="L139" s="384"/>
      <c r="M139" s="384"/>
      <c r="N139" s="384"/>
      <c r="O139" s="384"/>
      <c r="P139" s="384"/>
      <c r="Q139" s="384"/>
    </row>
    <row r="140">
      <c r="A140" s="396" t="str">
        <f>IFERROR(__xludf.DUMMYFUNCTION("""COMPUTED_VALUE"""),"Chrissanto Verom Neto | Pós-Graduação em Educação e Direitos Humanos | ")</f>
        <v>Chrissanto Verom Neto | Pós-Graduação em Educação e Direitos Humanos | </v>
      </c>
      <c r="B140" s="396"/>
      <c r="C140" s="384"/>
      <c r="D140" s="384"/>
      <c r="E140" s="384"/>
      <c r="F140" s="384"/>
      <c r="G140" s="384"/>
      <c r="H140" s="384"/>
      <c r="I140" s="384"/>
      <c r="J140" s="384"/>
      <c r="K140" s="384"/>
      <c r="L140" s="384"/>
      <c r="M140" s="384"/>
      <c r="N140" s="384"/>
      <c r="O140" s="384"/>
      <c r="P140" s="384"/>
      <c r="Q140" s="384"/>
    </row>
    <row r="141">
      <c r="A141" s="396" t="str">
        <f>IFERROR(__xludf.DUMMYFUNCTION("""COMPUTED_VALUE"""),"Renata Boschetti  ALUNO E CURSO INATIVADOS | Pós-Graduação em Sexologia | Enviado")</f>
        <v>Renata Boschetti  ALUNO E CURSO INATIVADOS | Pós-Graduação em Sexologia | Enviado</v>
      </c>
      <c r="B141" s="396"/>
      <c r="C141" s="384"/>
      <c r="D141" s="384"/>
      <c r="E141" s="384"/>
      <c r="F141" s="384"/>
      <c r="G141" s="384"/>
      <c r="H141" s="384"/>
      <c r="I141" s="384"/>
      <c r="J141" s="384"/>
      <c r="K141" s="384"/>
      <c r="L141" s="384"/>
      <c r="M141" s="384"/>
      <c r="N141" s="384"/>
      <c r="O141" s="384"/>
      <c r="P141" s="384"/>
      <c r="Q141" s="384"/>
    </row>
    <row r="142">
      <c r="A142" s="396" t="str">
        <f>IFERROR(__xludf.DUMMYFUNCTION("""COMPUTED_VALUE"""),"Daniela Cardoso Lidorio  CURSO INATIVADO | Pós-Graduação em Autismo | Enviado")</f>
        <v>Daniela Cardoso Lidorio  CURSO INATIVADO | Pós-Graduação em Autismo | Enviado</v>
      </c>
      <c r="B142" s="396"/>
      <c r="C142" s="384"/>
      <c r="D142" s="384"/>
      <c r="E142" s="384"/>
      <c r="F142" s="384"/>
      <c r="G142" s="384"/>
      <c r="H142" s="384"/>
      <c r="I142" s="384"/>
      <c r="J142" s="384"/>
      <c r="K142" s="384"/>
      <c r="L142" s="384"/>
      <c r="M142" s="384"/>
      <c r="N142" s="384"/>
      <c r="O142" s="384"/>
      <c r="P142" s="384"/>
      <c r="Q142" s="384"/>
    </row>
    <row r="143">
      <c r="A143" s="396" t="str">
        <f>IFERROR(__xludf.DUMMYFUNCTION("""COMPUTED_VALUE"""),"ROSELY DOS SANTOS COSTA  ALUNO E CURSO INATIVADOS | Pós-Graduação em Psicanálise | Enviado")</f>
        <v>ROSELY DOS SANTOS COSTA  ALUNO E CURSO INATIVADOS | Pós-Graduação em Psicanálise | Enviado</v>
      </c>
      <c r="B143" s="396"/>
      <c r="C143" s="384"/>
      <c r="D143" s="384"/>
      <c r="E143" s="384"/>
      <c r="F143" s="384"/>
      <c r="G143" s="384"/>
      <c r="H143" s="384"/>
      <c r="I143" s="384"/>
      <c r="J143" s="384"/>
      <c r="K143" s="384"/>
      <c r="L143" s="384"/>
      <c r="M143" s="384"/>
      <c r="N143" s="384"/>
      <c r="O143" s="384"/>
      <c r="P143" s="384"/>
      <c r="Q143" s="384"/>
    </row>
    <row r="144">
      <c r="A144" s="396" t="str">
        <f>IFERROR(__xludf.DUMMYFUNCTION("""COMPUTED_VALUE"""),"Priscila Lima da Silva  CURSO INATIVADO | Pós-Graduação em Neuropsicopedagogia Institucional | Enviado")</f>
        <v>Priscila Lima da Silva  CURSO INATIVADO | Pós-Graduação em Neuropsicopedagogia Institucional | Enviado</v>
      </c>
      <c r="B144" s="396"/>
      <c r="C144" s="384"/>
      <c r="D144" s="384"/>
      <c r="E144" s="384"/>
      <c r="F144" s="384"/>
      <c r="G144" s="384"/>
      <c r="H144" s="384"/>
      <c r="I144" s="384"/>
      <c r="J144" s="384"/>
      <c r="K144" s="384"/>
      <c r="L144" s="384"/>
      <c r="M144" s="384"/>
      <c r="N144" s="384"/>
      <c r="O144" s="384"/>
      <c r="P144" s="384"/>
      <c r="Q144" s="384"/>
    </row>
    <row r="145">
      <c r="A145" s="396" t="str">
        <f>IFERROR(__xludf.DUMMYFUNCTION("""COMPUTED_VALUE"""),"Raquel Dos Santos Freitas  ALUNO E CURSO INATIVADOS | Formação Livre Psicanálise | Enviado")</f>
        <v>Raquel Dos Santos Freitas  ALUNO E CURSO INATIVADOS | Formação Livre Psicanálise | Enviado</v>
      </c>
      <c r="B145" s="396"/>
      <c r="C145" s="384"/>
      <c r="D145" s="384"/>
      <c r="E145" s="384"/>
      <c r="F145" s="384"/>
      <c r="G145" s="384"/>
      <c r="H145" s="384"/>
      <c r="I145" s="384"/>
      <c r="J145" s="384"/>
      <c r="K145" s="384"/>
      <c r="L145" s="384"/>
      <c r="M145" s="384"/>
      <c r="N145" s="384"/>
      <c r="O145" s="384"/>
      <c r="P145" s="384"/>
      <c r="Q145" s="384"/>
    </row>
    <row r="146">
      <c r="A146" s="396" t="str">
        <f>IFERROR(__xludf.DUMMYFUNCTION("""COMPUTED_VALUE"""),"Rafael Rodrigues Guimarães CURSO INATIVADO | Pós-Graduação em Supervisão Escolar | Enviado")</f>
        <v>Rafael Rodrigues Guimarães CURSO INATIVADO | Pós-Graduação em Supervisão Escolar | Enviado</v>
      </c>
      <c r="B146" s="396"/>
      <c r="C146" s="384"/>
      <c r="D146" s="384"/>
      <c r="E146" s="384"/>
      <c r="F146" s="384"/>
      <c r="G146" s="384"/>
      <c r="H146" s="384"/>
      <c r="I146" s="384"/>
      <c r="J146" s="384"/>
      <c r="K146" s="384"/>
      <c r="L146" s="384"/>
      <c r="M146" s="384"/>
      <c r="N146" s="384"/>
      <c r="O146" s="384"/>
      <c r="P146" s="384"/>
      <c r="Q146" s="384"/>
    </row>
    <row r="147">
      <c r="A147" s="396" t="str">
        <f>IFERROR(__xludf.DUMMYFUNCTION("""COMPUTED_VALUE"""),"Rosemeire Peterle de Sant""Ana  ALUNO E CURSO INATIVADOS | Formação Livre Psicanálise | Enviado")</f>
        <v>Rosemeire Peterle de Sant"Ana  ALUNO E CURSO INATIVADOS | Formação Livre Psicanálise | Enviado</v>
      </c>
      <c r="B147" s="396"/>
      <c r="C147" s="384"/>
      <c r="D147" s="384"/>
      <c r="E147" s="384"/>
      <c r="F147" s="384"/>
      <c r="G147" s="384"/>
      <c r="H147" s="384"/>
      <c r="I147" s="384"/>
      <c r="J147" s="384"/>
      <c r="K147" s="384"/>
      <c r="L147" s="384"/>
      <c r="M147" s="384"/>
      <c r="N147" s="384"/>
      <c r="O147" s="384"/>
      <c r="P147" s="384"/>
      <c r="Q147" s="384"/>
    </row>
    <row r="148">
      <c r="A148" s="396" t="str">
        <f>IFERROR(__xludf.DUMMYFUNCTION("""COMPUTED_VALUE"""),"Poliana Maciel Capanema - CURSO INATIVADO | Pós-Graduação em Gestão Escolar Integradora com Ênfase em Supervisão, Orientação, Administração e Inspeção 870Horas | Enviado")</f>
        <v>Poliana Maciel Capanema - CURSO INATIVADO | Pós-Graduação em Gestão Escolar Integradora com Ênfase em Supervisão, Orientação, Administração e Inspeção 870Horas | Enviado</v>
      </c>
      <c r="B148" s="396"/>
      <c r="C148" s="384"/>
      <c r="D148" s="384"/>
      <c r="E148" s="384"/>
      <c r="F148" s="384"/>
      <c r="G148" s="384"/>
      <c r="H148" s="384"/>
      <c r="I148" s="384"/>
      <c r="J148" s="384"/>
      <c r="K148" s="384"/>
      <c r="L148" s="384"/>
      <c r="M148" s="384"/>
      <c r="N148" s="384"/>
      <c r="O148" s="384"/>
      <c r="P148" s="384"/>
      <c r="Q148" s="384"/>
    </row>
    <row r="149">
      <c r="A149" s="396" t="str">
        <f>IFERROR(__xludf.DUMMYFUNCTION("""COMPUTED_VALUE"""),"Diane Roberta Giroto Cavichioni CURSO INATIVADO | Pós-Graduação em Direito Administrativo | Enviado")</f>
        <v>Diane Roberta Giroto Cavichioni CURSO INATIVADO | Pós-Graduação em Direito Administrativo | Enviado</v>
      </c>
      <c r="B149" s="396"/>
      <c r="C149" s="384"/>
      <c r="D149" s="384"/>
      <c r="E149" s="384"/>
      <c r="F149" s="384"/>
      <c r="G149" s="384"/>
      <c r="H149" s="384"/>
      <c r="I149" s="384"/>
      <c r="J149" s="384"/>
      <c r="K149" s="384"/>
      <c r="L149" s="384"/>
      <c r="M149" s="384"/>
      <c r="N149" s="384"/>
      <c r="O149" s="384"/>
      <c r="P149" s="384"/>
      <c r="Q149" s="384"/>
    </row>
    <row r="150">
      <c r="A150" s="396" t="str">
        <f>IFERROR(__xludf.DUMMYFUNCTION("""COMPUTED_VALUE"""),"Tatiane Santos Rezende Poderoso ALUNO E CURSO INATIVADO | Pós-Graduação em Psicanálise | Enviado")</f>
        <v>Tatiane Santos Rezende Poderoso ALUNO E CURSO INATIVADO | Pós-Graduação em Psicanálise | Enviado</v>
      </c>
      <c r="B150" s="396"/>
      <c r="C150" s="384"/>
      <c r="D150" s="384"/>
      <c r="E150" s="384"/>
      <c r="F150" s="384"/>
      <c r="G150" s="384"/>
      <c r="H150" s="384"/>
      <c r="I150" s="384"/>
      <c r="J150" s="384"/>
      <c r="K150" s="384"/>
      <c r="L150" s="384"/>
      <c r="M150" s="384"/>
      <c r="N150" s="384"/>
      <c r="O150" s="384"/>
      <c r="P150" s="384"/>
      <c r="Q150" s="384"/>
    </row>
    <row r="151">
      <c r="A151" s="396" t="str">
        <f>IFERROR(__xludf.DUMMYFUNCTION("""COMPUTED_VALUE"""),"Arlene do Socorro Teixeira Cardoso | Pós-Graduação Terapia em ABA - Análise do Comportamento Aplicada | ")</f>
        <v>Arlene do Socorro Teixeira Cardoso | Pós-Graduação Terapia em ABA - Análise do Comportamento Aplicada | </v>
      </c>
      <c r="B151" s="396"/>
      <c r="C151" s="384"/>
      <c r="D151" s="384"/>
      <c r="E151" s="384"/>
      <c r="F151" s="384"/>
      <c r="G151" s="384"/>
      <c r="H151" s="384"/>
      <c r="I151" s="384"/>
      <c r="J151" s="384"/>
      <c r="K151" s="384"/>
      <c r="L151" s="384"/>
      <c r="M151" s="384"/>
      <c r="N151" s="384"/>
      <c r="O151" s="384"/>
      <c r="P151" s="384"/>
      <c r="Q151" s="384"/>
    </row>
    <row r="152">
      <c r="A152" s="396" t="str">
        <f>IFERROR(__xludf.DUMMYFUNCTION("""COMPUTED_VALUE"""),"Janie Caroline Rodrigues da silva  CURSO E ALUNO INATIVADO | Pós-Graduação em Autismo | Enviado")</f>
        <v>Janie Caroline Rodrigues da silva  CURSO E ALUNO INATIVADO | Pós-Graduação em Autismo | Enviado</v>
      </c>
      <c r="B152" s="396"/>
      <c r="C152" s="384"/>
      <c r="D152" s="384"/>
      <c r="E152" s="384"/>
      <c r="F152" s="384"/>
      <c r="G152" s="384"/>
      <c r="H152" s="384"/>
      <c r="I152" s="384"/>
      <c r="J152" s="384"/>
      <c r="K152" s="384"/>
      <c r="L152" s="384"/>
      <c r="M152" s="384"/>
      <c r="N152" s="384"/>
      <c r="O152" s="384"/>
      <c r="P152" s="384"/>
      <c r="Q152" s="384"/>
    </row>
    <row r="153">
      <c r="A153" s="396" t="str">
        <f>IFERROR(__xludf.DUMMYFUNCTION("""COMPUTED_VALUE"""),"Alex da Silva Bonfim | Pós-Graduação em Psicanálise | Enviado")</f>
        <v>Alex da Silva Bonfim | Pós-Graduação em Psicanálise | Enviado</v>
      </c>
      <c r="B153" s="396"/>
      <c r="C153" s="384"/>
      <c r="D153" s="384"/>
      <c r="E153" s="384"/>
      <c r="F153" s="384"/>
      <c r="G153" s="384"/>
      <c r="H153" s="384"/>
      <c r="I153" s="384"/>
      <c r="J153" s="384"/>
      <c r="K153" s="384"/>
      <c r="L153" s="384"/>
      <c r="M153" s="384"/>
      <c r="N153" s="384"/>
      <c r="O153" s="384"/>
      <c r="P153" s="384"/>
      <c r="Q153" s="384"/>
    </row>
    <row r="154">
      <c r="A154" s="396" t="str">
        <f>IFERROR(__xludf.DUMMYFUNCTION("""COMPUTED_VALUE"""),"Gilda Cristina de Souza Siqueira | Pós-Graduação em Sexologia | Enviado")</f>
        <v>Gilda Cristina de Souza Siqueira | Pós-Graduação em Sexologia | Enviado</v>
      </c>
      <c r="B154" s="396"/>
      <c r="C154" s="384"/>
      <c r="D154" s="384"/>
      <c r="E154" s="384"/>
      <c r="F154" s="384"/>
      <c r="G154" s="384"/>
      <c r="H154" s="384"/>
      <c r="I154" s="384"/>
      <c r="J154" s="384"/>
      <c r="K154" s="384"/>
      <c r="L154" s="384"/>
      <c r="M154" s="384"/>
      <c r="N154" s="384"/>
      <c r="O154" s="384"/>
      <c r="P154" s="384"/>
      <c r="Q154" s="384"/>
    </row>
    <row r="155">
      <c r="A155" s="396" t="str">
        <f>IFERROR(__xludf.DUMMYFUNCTION("""COMPUTED_VALUE"""),"Mariane Soares Lage | Pós-Graduação Metodologia Do Ensino de Sociologia | Enviado")</f>
        <v>Mariane Soares Lage | Pós-Graduação Metodologia Do Ensino de Sociologia | Enviado</v>
      </c>
      <c r="B155" s="396"/>
      <c r="C155" s="384"/>
      <c r="D155" s="384"/>
      <c r="E155" s="384"/>
      <c r="F155" s="384"/>
      <c r="G155" s="384"/>
      <c r="H155" s="384"/>
      <c r="I155" s="384"/>
      <c r="J155" s="384"/>
      <c r="K155" s="384"/>
      <c r="L155" s="384"/>
      <c r="M155" s="384"/>
      <c r="N155" s="384"/>
      <c r="O155" s="384"/>
      <c r="P155" s="384"/>
      <c r="Q155" s="384"/>
    </row>
    <row r="156">
      <c r="A156" s="396" t="str">
        <f>IFERROR(__xludf.DUMMYFUNCTION("""COMPUTED_VALUE"""),"Janie Caroline Rodrigues da silva  CURSO E ALUNO INATIVADO | Pós-Graduação em Psicomotricidade | Enviado")</f>
        <v>Janie Caroline Rodrigues da silva  CURSO E ALUNO INATIVADO | Pós-Graduação em Psicomotricidade | Enviado</v>
      </c>
      <c r="B156" s="396"/>
      <c r="C156" s="384"/>
      <c r="D156" s="384"/>
      <c r="E156" s="384"/>
      <c r="F156" s="384"/>
      <c r="G156" s="384"/>
      <c r="H156" s="384"/>
      <c r="I156" s="384"/>
      <c r="J156" s="384"/>
      <c r="K156" s="384"/>
      <c r="L156" s="384"/>
      <c r="M156" s="384"/>
      <c r="N156" s="384"/>
      <c r="O156" s="384"/>
      <c r="P156" s="384"/>
      <c r="Q156" s="384"/>
    </row>
    <row r="157">
      <c r="A157" s="405" t="str">
        <f>IFERROR(__xludf.DUMMYFUNCTION("""COMPUTED_VALUE"""),"Henry Kenji Bevilaqua Kadomoto - ALUNO E CURSO INATIVADOS  | Pós-Graduação em Administração Pública | Enviado")</f>
        <v>Henry Kenji Bevilaqua Kadomoto - ALUNO E CURSO INATIVADOS  | Pós-Graduação em Administração Pública | Enviado</v>
      </c>
      <c r="B157" s="405"/>
      <c r="C157" s="405"/>
      <c r="D157" s="405"/>
      <c r="E157" s="405"/>
      <c r="F157" s="405"/>
      <c r="G157" s="405"/>
      <c r="H157" s="405"/>
      <c r="I157" s="405"/>
      <c r="J157" s="405"/>
      <c r="K157" s="404"/>
      <c r="L157" s="404"/>
      <c r="M157" s="404"/>
      <c r="N157" s="384"/>
      <c r="O157" s="384"/>
      <c r="P157" s="384"/>
      <c r="Q157" s="384"/>
    </row>
    <row r="158">
      <c r="A158" s="396" t="str">
        <f>IFERROR(__xludf.DUMMYFUNCTION("""COMPUTED_VALUE"""),"Wesley Raposo Lopes | Pós-Graduação em MBA em Economia e Finanças-2022 | Enviado")</f>
        <v>Wesley Raposo Lopes | Pós-Graduação em MBA em Economia e Finanças-2022 | Enviado</v>
      </c>
      <c r="B158" s="396"/>
      <c r="C158" s="384"/>
      <c r="D158" s="384"/>
      <c r="E158" s="384"/>
      <c r="F158" s="384"/>
      <c r="G158" s="384"/>
      <c r="H158" s="384"/>
      <c r="I158" s="384"/>
      <c r="J158" s="384"/>
      <c r="K158" s="384"/>
      <c r="L158" s="384"/>
      <c r="M158" s="384"/>
      <c r="N158" s="384"/>
      <c r="O158" s="384"/>
      <c r="P158" s="384"/>
      <c r="Q158" s="384"/>
    </row>
    <row r="159">
      <c r="A159" s="396" t="str">
        <f>IFERROR(__xludf.DUMMYFUNCTION("""COMPUTED_VALUE"""),"Hudson Caio Martins - CURSO INATIVADO | Pós-Graduação em Administração Pública | Enviado")</f>
        <v>Hudson Caio Martins - CURSO INATIVADO | Pós-Graduação em Administração Pública | Enviado</v>
      </c>
      <c r="B159" s="396"/>
      <c r="C159" s="384"/>
      <c r="D159" s="384"/>
      <c r="E159" s="384"/>
      <c r="F159" s="384"/>
      <c r="G159" s="384"/>
      <c r="H159" s="384"/>
      <c r="I159" s="384"/>
      <c r="J159" s="384"/>
      <c r="K159" s="384"/>
      <c r="L159" s="384"/>
      <c r="M159" s="384"/>
      <c r="N159" s="384"/>
      <c r="O159" s="384"/>
      <c r="P159" s="384"/>
      <c r="Q159" s="384"/>
    </row>
    <row r="160">
      <c r="A160" s="396" t="str">
        <f>IFERROR(__xludf.DUMMYFUNCTION("""COMPUTED_VALUE"""),"Simone de Faria Cabral  ALUNO E CURSO INATIVADO | Pós-Graduação em Neuropsicopedagogia Institucional, Clínica e Hospitalar 850h | Enviado")</f>
        <v>Simone de Faria Cabral  ALUNO E CURSO INATIVADO | Pós-Graduação em Neuropsicopedagogia Institucional, Clínica e Hospitalar 850h | Enviado</v>
      </c>
      <c r="B160" s="396"/>
      <c r="C160" s="384"/>
      <c r="D160" s="384"/>
      <c r="E160" s="384"/>
      <c r="F160" s="384"/>
      <c r="G160" s="384"/>
      <c r="H160" s="384"/>
      <c r="I160" s="384"/>
      <c r="J160" s="384"/>
      <c r="K160" s="384"/>
      <c r="L160" s="384"/>
      <c r="M160" s="384"/>
      <c r="N160" s="384"/>
      <c r="O160" s="384"/>
      <c r="P160" s="384"/>
      <c r="Q160" s="384"/>
    </row>
    <row r="161">
      <c r="A161" s="396" t="str">
        <f>IFERROR(__xludf.DUMMYFUNCTION("""COMPUTED_VALUE"""),"Fausta galdino beleza - CURSO INATIVADO | Pós-Graduação em Atendimento Educacional Especializado Com Ênfase Em Educação Especial e Inclusiva | Enviado")</f>
        <v>Fausta galdino beleza - CURSO INATIVADO | Pós-Graduação em Atendimento Educacional Especializado Com Ênfase Em Educação Especial e Inclusiva | Enviado</v>
      </c>
      <c r="B161" s="396"/>
      <c r="C161" s="384"/>
      <c r="D161" s="384"/>
      <c r="E161" s="384"/>
      <c r="F161" s="384"/>
      <c r="G161" s="384"/>
      <c r="H161" s="384"/>
      <c r="I161" s="384"/>
      <c r="J161" s="384"/>
      <c r="K161" s="384"/>
      <c r="L161" s="384"/>
      <c r="M161" s="384"/>
      <c r="N161" s="384"/>
      <c r="O161" s="384"/>
      <c r="P161" s="384"/>
      <c r="Q161" s="384"/>
    </row>
    <row r="162">
      <c r="A162" s="396" t="str">
        <f>IFERROR(__xludf.DUMMYFUNCTION("""COMPUTED_VALUE"""),"Maria de Lourdes Querino ALUNO E CURSO INATIVADO | Formação Livre em Psicanálise | Enviado")</f>
        <v>Maria de Lourdes Querino ALUNO E CURSO INATIVADO | Formação Livre em Psicanálise | Enviado</v>
      </c>
      <c r="B162" s="396"/>
      <c r="C162" s="384"/>
      <c r="D162" s="384"/>
      <c r="E162" s="384"/>
      <c r="F162" s="384"/>
      <c r="G162" s="384"/>
      <c r="H162" s="384"/>
      <c r="I162" s="384"/>
      <c r="J162" s="384"/>
      <c r="K162" s="384"/>
      <c r="L162" s="384"/>
      <c r="M162" s="384"/>
      <c r="N162" s="384"/>
      <c r="O162" s="384"/>
      <c r="P162" s="384"/>
      <c r="Q162" s="384"/>
    </row>
    <row r="163">
      <c r="A163" s="396" t="str">
        <f>IFERROR(__xludf.DUMMYFUNCTION("""COMPUTED_VALUE"""),"Kety Adriana Bichet  CURSO INATIVADO | Pós-Graduação em Alfabetização e Letramento e a Psicopedagogia | Enviado")</f>
        <v>Kety Adriana Bichet  CURSO INATIVADO | Pós-Graduação em Alfabetização e Letramento e a Psicopedagogia | Enviado</v>
      </c>
      <c r="B163" s="396"/>
      <c r="C163" s="384"/>
      <c r="D163" s="384"/>
      <c r="E163" s="384"/>
      <c r="F163" s="384"/>
      <c r="G163" s="384"/>
      <c r="H163" s="384"/>
      <c r="I163" s="384"/>
      <c r="J163" s="384"/>
      <c r="K163" s="384"/>
      <c r="L163" s="384"/>
      <c r="M163" s="384"/>
      <c r="N163" s="384"/>
      <c r="O163" s="384"/>
      <c r="P163" s="384"/>
      <c r="Q163" s="384"/>
    </row>
    <row r="164">
      <c r="A164" s="396" t="str">
        <f>IFERROR(__xludf.DUMMYFUNCTION("""COMPUTED_VALUE"""),"Alcione Maria Terra  CURSO INATIVADO | Pós-Graduação em Atendimento Educacional Especializado Com Ênfase Em Educação Especial e Inclusiva | Enviado")</f>
        <v>Alcione Maria Terra  CURSO INATIVADO | Pós-Graduação em Atendimento Educacional Especializado Com Ênfase Em Educação Especial e Inclusiva | Enviado</v>
      </c>
      <c r="B164" s="396"/>
      <c r="C164" s="384"/>
      <c r="D164" s="384"/>
      <c r="E164" s="384"/>
      <c r="F164" s="384"/>
      <c r="G164" s="384"/>
      <c r="H164" s="384"/>
      <c r="I164" s="384"/>
      <c r="J164" s="384"/>
      <c r="K164" s="384"/>
      <c r="L164" s="384"/>
      <c r="M164" s="384"/>
      <c r="N164" s="384"/>
      <c r="O164" s="384"/>
      <c r="P164" s="384"/>
      <c r="Q164" s="384"/>
    </row>
    <row r="165">
      <c r="A165" s="396" t="str">
        <f>IFERROR(__xludf.DUMMYFUNCTION("""COMPUTED_VALUE"""),"Suely Ferraz Seretnei | 	Formação Livre Psicanálise | Enviado")</f>
        <v>Suely Ferraz Seretnei | 	Formação Livre Psicanálise | Enviado</v>
      </c>
      <c r="B165" s="396"/>
      <c r="C165" s="384"/>
      <c r="D165" s="384"/>
      <c r="E165" s="384"/>
      <c r="F165" s="384"/>
      <c r="G165" s="384"/>
      <c r="H165" s="384"/>
      <c r="I165" s="384"/>
      <c r="J165" s="384"/>
      <c r="K165" s="384"/>
      <c r="L165" s="384"/>
      <c r="M165" s="384"/>
      <c r="N165" s="384"/>
      <c r="O165" s="384"/>
      <c r="P165" s="384"/>
      <c r="Q165" s="384"/>
    </row>
    <row r="166">
      <c r="A166" s="396" t="str">
        <f>IFERROR(__xludf.DUMMYFUNCTION("""COMPUTED_VALUE"""),"Luziane Cruz de Azevedo  CURSO INATIVADO | Pós-Graduação em Autismo | Enviado")</f>
        <v>Luziane Cruz de Azevedo  CURSO INATIVADO | Pós-Graduação em Autismo | Enviado</v>
      </c>
      <c r="B166" s="396"/>
      <c r="C166" s="384"/>
      <c r="D166" s="384"/>
      <c r="E166" s="384"/>
      <c r="F166" s="384"/>
      <c r="G166" s="384"/>
      <c r="H166" s="384"/>
      <c r="I166" s="384"/>
      <c r="J166" s="384"/>
      <c r="K166" s="384"/>
      <c r="L166" s="384"/>
      <c r="M166" s="384"/>
      <c r="N166" s="384"/>
      <c r="O166" s="384"/>
      <c r="P166" s="384"/>
      <c r="Q166" s="384"/>
    </row>
    <row r="167">
      <c r="A167" s="396" t="str">
        <f>IFERROR(__xludf.DUMMYFUNCTION("""COMPUTED_VALUE"""),"Laís Natália Nogueira Pedrosa | Pós-Graduação em Educação Musical | Enviado")</f>
        <v>Laís Natália Nogueira Pedrosa | Pós-Graduação em Educação Musical | Enviado</v>
      </c>
      <c r="B167" s="396"/>
      <c r="C167" s="384"/>
      <c r="D167" s="384"/>
      <c r="E167" s="384"/>
      <c r="F167" s="384"/>
      <c r="G167" s="384"/>
      <c r="H167" s="384"/>
      <c r="I167" s="384"/>
      <c r="J167" s="384"/>
      <c r="K167" s="384"/>
      <c r="L167" s="384"/>
      <c r="M167" s="384"/>
      <c r="N167" s="384"/>
      <c r="O167" s="384"/>
      <c r="P167" s="384"/>
      <c r="Q167" s="384"/>
    </row>
    <row r="168">
      <c r="A168" s="396" t="str">
        <f>IFERROR(__xludf.DUMMYFUNCTION("""COMPUTED_VALUE"""),"Aldenice Melo Silva | Formação Livre Psicanálise | Enviado")</f>
        <v>Aldenice Melo Silva | Formação Livre Psicanálise | Enviado</v>
      </c>
      <c r="B168" s="396"/>
      <c r="C168" s="384"/>
      <c r="D168" s="384"/>
      <c r="E168" s="384"/>
      <c r="F168" s="384"/>
      <c r="G168" s="384"/>
      <c r="H168" s="384"/>
      <c r="I168" s="384"/>
      <c r="J168" s="384"/>
      <c r="K168" s="384"/>
      <c r="L168" s="384"/>
      <c r="M168" s="384"/>
      <c r="N168" s="384"/>
      <c r="O168" s="384"/>
      <c r="P168" s="384"/>
      <c r="Q168" s="384"/>
    </row>
    <row r="169">
      <c r="A169" s="396" t="str">
        <f>IFERROR(__xludf.DUMMYFUNCTION("""COMPUTED_VALUE"""),"Hudson Caio Martins - ALUNO E CURSO INATIVADOS | Pós-Graduação em Engenharia Ambiental e Energias Renováveis | Enviado")</f>
        <v>Hudson Caio Martins - ALUNO E CURSO INATIVADOS | Pós-Graduação em Engenharia Ambiental e Energias Renováveis | Enviado</v>
      </c>
      <c r="B169" s="396"/>
      <c r="C169" s="384"/>
      <c r="D169" s="384"/>
      <c r="E169" s="384"/>
      <c r="F169" s="384"/>
      <c r="G169" s="384"/>
      <c r="H169" s="384"/>
      <c r="I169" s="384"/>
      <c r="J169" s="384"/>
      <c r="K169" s="384"/>
      <c r="L169" s="384"/>
      <c r="M169" s="384"/>
      <c r="N169" s="384"/>
      <c r="O169" s="384"/>
      <c r="P169" s="384"/>
      <c r="Q169" s="384"/>
    </row>
    <row r="170">
      <c r="A170" s="396" t="str">
        <f>IFERROR(__xludf.DUMMYFUNCTION("""COMPUTED_VALUE"""),"Patrícia Maria Alves Paranhos ALUNO E CURSO INATIVADOS | Pós-Graduação em Psicanálise 800 Horas | Enviado")</f>
        <v>Patrícia Maria Alves Paranhos ALUNO E CURSO INATIVADOS | Pós-Graduação em Psicanálise 800 Horas | Enviado</v>
      </c>
      <c r="B170" s="396"/>
      <c r="C170" s="384"/>
      <c r="D170" s="384"/>
      <c r="E170" s="384"/>
      <c r="F170" s="384"/>
      <c r="G170" s="384"/>
      <c r="H170" s="384"/>
      <c r="I170" s="384"/>
      <c r="J170" s="384"/>
      <c r="K170" s="384"/>
      <c r="L170" s="384"/>
      <c r="M170" s="384"/>
      <c r="N170" s="384"/>
      <c r="O170" s="384"/>
      <c r="P170" s="384"/>
      <c r="Q170" s="384"/>
    </row>
    <row r="171">
      <c r="A171" s="396" t="str">
        <f>IFERROR(__xludf.DUMMYFUNCTION("""COMPUTED_VALUE""")," Letícia Abadia Prata Teodoro CURSO INATIVADO | Pós-Graduação em Ciências de Dados | Enviado")</f>
        <v> Letícia Abadia Prata Teodoro CURSO INATIVADO | Pós-Graduação em Ciências de Dados | Enviado</v>
      </c>
      <c r="B171" s="396"/>
      <c r="C171" s="384"/>
      <c r="D171" s="384"/>
      <c r="E171" s="384"/>
      <c r="F171" s="384"/>
      <c r="G171" s="384"/>
      <c r="H171" s="384"/>
      <c r="I171" s="384"/>
      <c r="J171" s="384"/>
      <c r="K171" s="384"/>
      <c r="L171" s="384"/>
      <c r="M171" s="384"/>
      <c r="N171" s="384"/>
      <c r="O171" s="384"/>
      <c r="P171" s="384"/>
      <c r="Q171" s="384"/>
    </row>
    <row r="172">
      <c r="A172" s="396" t="str">
        <f>IFERROR(__xludf.DUMMYFUNCTION("""COMPUTED_VALUE"""),"Sidjane Andrade da Silva CURSO INATIVADO
 | Pós-Graduação em Ensino de Artes | Enviado")</f>
        <v>Sidjane Andrade da Silva CURSO INATIVADO
 | Pós-Graduação em Ensino de Artes | Enviado</v>
      </c>
      <c r="B172" s="396"/>
      <c r="C172" s="384"/>
      <c r="D172" s="384"/>
      <c r="E172" s="384"/>
      <c r="F172" s="384"/>
      <c r="G172" s="384"/>
      <c r="H172" s="384"/>
      <c r="I172" s="384"/>
      <c r="J172" s="384"/>
      <c r="K172" s="384"/>
      <c r="L172" s="384"/>
      <c r="M172" s="384"/>
      <c r="N172" s="384"/>
      <c r="O172" s="384"/>
      <c r="P172" s="384"/>
      <c r="Q172" s="384"/>
    </row>
    <row r="173">
      <c r="A173" s="396" t="str">
        <f>IFERROR(__xludf.DUMMYFUNCTION("""COMPUTED_VALUE"""),"Luíz Gustavo de Freitas Dias   | Pós-Graduação em Ensino de Artes | ")</f>
        <v>Luíz Gustavo de Freitas Dias   | Pós-Graduação em Ensino de Artes | </v>
      </c>
      <c r="B173" s="396"/>
      <c r="C173" s="384"/>
      <c r="D173" s="384"/>
      <c r="E173" s="384"/>
      <c r="F173" s="384"/>
      <c r="G173" s="384"/>
      <c r="H173" s="384"/>
      <c r="I173" s="384"/>
      <c r="J173" s="384"/>
      <c r="K173" s="384"/>
      <c r="L173" s="384"/>
      <c r="M173" s="384"/>
      <c r="N173" s="384"/>
      <c r="O173" s="384"/>
      <c r="P173" s="384"/>
      <c r="Q173" s="384"/>
    </row>
    <row r="174">
      <c r="A174" s="396" t="str">
        <f>IFERROR(__xludf.DUMMYFUNCTION("""COMPUTED_VALUE"""),"ANDRESSA BERTON DE CARLI - CURSO INATIVADO | Pós-Graduação em Musicoterapia | Enviado")</f>
        <v>ANDRESSA BERTON DE CARLI - CURSO INATIVADO | Pós-Graduação em Musicoterapia | Enviado</v>
      </c>
      <c r="B174" s="396"/>
      <c r="C174" s="384"/>
      <c r="D174" s="384"/>
      <c r="E174" s="384"/>
      <c r="F174" s="384"/>
      <c r="G174" s="384"/>
      <c r="H174" s="384"/>
      <c r="I174" s="384"/>
      <c r="J174" s="384"/>
      <c r="K174" s="384"/>
      <c r="L174" s="384"/>
      <c r="M174" s="384"/>
      <c r="N174" s="384"/>
      <c r="O174" s="384"/>
      <c r="P174" s="384"/>
      <c r="Q174" s="384"/>
    </row>
    <row r="175">
      <c r="A175" s="396" t="str">
        <f>IFERROR(__xludf.DUMMYFUNCTION("""COMPUTED_VALUE"""),"Ingridi dapper da costa | Formação livre em Psicanalise | Enviado")</f>
        <v>Ingridi dapper da costa | Formação livre em Psicanalise | Enviado</v>
      </c>
      <c r="B175" s="396"/>
      <c r="C175" s="384"/>
      <c r="D175" s="384"/>
      <c r="E175" s="384"/>
      <c r="F175" s="384"/>
      <c r="G175" s="384"/>
      <c r="H175" s="384"/>
      <c r="I175" s="384"/>
      <c r="J175" s="384"/>
      <c r="K175" s="384"/>
      <c r="L175" s="384"/>
      <c r="M175" s="384"/>
      <c r="N175" s="384"/>
      <c r="O175" s="384"/>
      <c r="P175" s="384"/>
      <c r="Q175" s="384"/>
    </row>
    <row r="176">
      <c r="A176" s="396" t="str">
        <f>IFERROR(__xludf.DUMMYFUNCTION("""COMPUTED_VALUE"""),"Lucimara Valdambrini Moriconi | Pós-Graduação em Neuropsicopedagogia | Enviado")</f>
        <v>Lucimara Valdambrini Moriconi | Pós-Graduação em Neuropsicopedagogia | Enviado</v>
      </c>
      <c r="B176" s="396"/>
      <c r="C176" s="384"/>
      <c r="D176" s="384"/>
      <c r="E176" s="384"/>
      <c r="F176" s="384"/>
      <c r="G176" s="384"/>
      <c r="H176" s="384"/>
      <c r="I176" s="384"/>
      <c r="J176" s="384"/>
      <c r="K176" s="384"/>
      <c r="L176" s="384"/>
      <c r="M176" s="384"/>
      <c r="N176" s="384"/>
      <c r="O176" s="384"/>
      <c r="P176" s="384"/>
      <c r="Q176" s="384"/>
    </row>
    <row r="177">
      <c r="A177" s="396" t="str">
        <f>IFERROR(__xludf.DUMMYFUNCTION("""COMPUTED_VALUE"""),"Danyela Dreissig | Pós-Graduação Alfabetização e Letramento | Enviado")</f>
        <v>Danyela Dreissig | Pós-Graduação Alfabetização e Letramento | Enviado</v>
      </c>
      <c r="B177" s="396"/>
      <c r="C177" s="384"/>
      <c r="D177" s="384"/>
      <c r="E177" s="384"/>
      <c r="F177" s="384"/>
      <c r="G177" s="384"/>
      <c r="H177" s="384"/>
      <c r="I177" s="384"/>
      <c r="J177" s="384"/>
      <c r="K177" s="384"/>
      <c r="L177" s="384"/>
      <c r="M177" s="384"/>
      <c r="N177" s="384"/>
      <c r="O177" s="384"/>
      <c r="P177" s="384"/>
      <c r="Q177" s="384"/>
    </row>
    <row r="178">
      <c r="A178" s="396" t="str">
        <f>IFERROR(__xludf.DUMMYFUNCTION("""COMPUTED_VALUE"""),"Sergio Henrique Santos Gonzaga | Formação Livre em Psicanálise-2022 | Enviado")</f>
        <v>Sergio Henrique Santos Gonzaga | Formação Livre em Psicanálise-2022 | Enviado</v>
      </c>
      <c r="B178" s="396"/>
      <c r="C178" s="384"/>
      <c r="D178" s="384"/>
      <c r="E178" s="384"/>
      <c r="F178" s="384"/>
      <c r="G178" s="384"/>
      <c r="H178" s="384"/>
      <c r="I178" s="384"/>
      <c r="J178" s="384"/>
      <c r="K178" s="384"/>
      <c r="L178" s="384"/>
      <c r="M178" s="384"/>
      <c r="N178" s="384"/>
      <c r="O178" s="384"/>
      <c r="P178" s="384"/>
      <c r="Q178" s="384"/>
    </row>
    <row r="179">
      <c r="A179" s="396" t="str">
        <f>IFERROR(__xludf.DUMMYFUNCTION("""COMPUTED_VALUE"""),"Gilobaldo Botelho Moura | Formação Livre Psicanálise | Enviado")</f>
        <v>Gilobaldo Botelho Moura | Formação Livre Psicanálise | Enviado</v>
      </c>
      <c r="B179" s="396"/>
      <c r="C179" s="384"/>
      <c r="D179" s="384"/>
      <c r="E179" s="384"/>
      <c r="F179" s="384"/>
      <c r="G179" s="384"/>
      <c r="H179" s="384"/>
      <c r="I179" s="384"/>
      <c r="J179" s="384"/>
      <c r="K179" s="384"/>
      <c r="L179" s="384"/>
      <c r="M179" s="384"/>
      <c r="N179" s="384"/>
      <c r="O179" s="384"/>
      <c r="P179" s="384"/>
      <c r="Q179" s="384"/>
    </row>
    <row r="180">
      <c r="A180" s="396" t="str">
        <f>IFERROR(__xludf.DUMMYFUNCTION("""COMPUTED_VALUE"""),"Emelly Aparecida Rocha Borg | Pós-Graduação em Ensino de História | Enviado")</f>
        <v>Emelly Aparecida Rocha Borg | Pós-Graduação em Ensino de História | Enviado</v>
      </c>
      <c r="B180" s="396"/>
      <c r="C180" s="384"/>
      <c r="D180" s="384"/>
      <c r="E180" s="384"/>
      <c r="F180" s="384"/>
      <c r="G180" s="384"/>
      <c r="H180" s="384"/>
      <c r="I180" s="384"/>
      <c r="J180" s="384"/>
      <c r="K180" s="384"/>
      <c r="L180" s="384"/>
      <c r="M180" s="384"/>
      <c r="N180" s="384"/>
      <c r="O180" s="384"/>
      <c r="P180" s="384"/>
      <c r="Q180" s="384"/>
    </row>
    <row r="181">
      <c r="A181" s="396" t="str">
        <f>IFERROR(__xludf.DUMMYFUNCTION("""COMPUTED_VALUE"""),"Wagner Santos de Souza | Pós-Graduação em Psicanálise 800 Horas | Enviado")</f>
        <v>Wagner Santos de Souza | Pós-Graduação em Psicanálise 800 Horas | Enviado</v>
      </c>
      <c r="B181" s="396"/>
      <c r="C181" s="384"/>
      <c r="D181" s="384"/>
      <c r="E181" s="384"/>
      <c r="F181" s="384"/>
      <c r="G181" s="384"/>
      <c r="H181" s="384"/>
      <c r="I181" s="384"/>
      <c r="J181" s="384"/>
      <c r="K181" s="384"/>
      <c r="L181" s="384"/>
      <c r="M181" s="384"/>
      <c r="N181" s="384"/>
      <c r="O181" s="384"/>
      <c r="P181" s="384"/>
      <c r="Q181" s="384"/>
    </row>
    <row r="182">
      <c r="A182" s="396" t="str">
        <f>IFERROR(__xludf.DUMMYFUNCTION("""COMPUTED_VALUE"""),"Patrocínio Santos de Sousa | pós-graduação em  educação musica | Enviado")</f>
        <v>Patrocínio Santos de Sousa | pós-graduação em  educação musica | Enviado</v>
      </c>
      <c r="B182" s="396"/>
      <c r="C182" s="384"/>
      <c r="D182" s="384"/>
      <c r="E182" s="384"/>
      <c r="F182" s="384"/>
      <c r="G182" s="384"/>
      <c r="H182" s="384"/>
      <c r="I182" s="384"/>
      <c r="J182" s="384"/>
      <c r="K182" s="384"/>
      <c r="L182" s="384"/>
      <c r="M182" s="384"/>
      <c r="N182" s="384"/>
      <c r="O182" s="384"/>
      <c r="P182" s="384"/>
      <c r="Q182" s="384"/>
    </row>
    <row r="183">
      <c r="A183" s="396" t="str">
        <f>IFERROR(__xludf.DUMMYFUNCTION("""COMPUTED_VALUE"""),"Cleide Marques de Souza | PÓS-GRADUAÇÃO EM GESTÃO DE RECURSOS HUMANOS | Enviado")</f>
        <v>Cleide Marques de Souza | PÓS-GRADUAÇÃO EM GESTÃO DE RECURSOS HUMANOS | Enviado</v>
      </c>
      <c r="B183" s="396"/>
      <c r="C183" s="384"/>
      <c r="D183" s="384"/>
      <c r="E183" s="384"/>
      <c r="F183" s="384"/>
      <c r="G183" s="384"/>
      <c r="H183" s="384"/>
      <c r="I183" s="384"/>
      <c r="J183" s="384"/>
      <c r="K183" s="384"/>
      <c r="L183" s="384"/>
      <c r="M183" s="384"/>
      <c r="N183" s="384"/>
      <c r="O183" s="384"/>
      <c r="P183" s="384"/>
      <c r="Q183" s="384"/>
    </row>
    <row r="184">
      <c r="A184" s="396" t="str">
        <f>IFERROR(__xludf.DUMMYFUNCTION("""COMPUTED_VALUE"""),"Ivete Alves da Silva | Pós-Graduação em Ensino de História e Geografia | Enviado")</f>
        <v>Ivete Alves da Silva | Pós-Graduação em Ensino de História e Geografia | Enviado</v>
      </c>
      <c r="B184" s="396"/>
      <c r="C184" s="384"/>
      <c r="D184" s="384"/>
      <c r="E184" s="384"/>
      <c r="F184" s="384"/>
      <c r="G184" s="384"/>
      <c r="H184" s="384"/>
      <c r="I184" s="384"/>
      <c r="J184" s="384"/>
      <c r="K184" s="384"/>
      <c r="L184" s="384"/>
      <c r="M184" s="384"/>
      <c r="N184" s="384"/>
      <c r="O184" s="384"/>
      <c r="P184" s="384"/>
      <c r="Q184" s="384"/>
    </row>
    <row r="185">
      <c r="A185" s="396" t="str">
        <f>IFERROR(__xludf.DUMMYFUNCTION("""COMPUTED_VALUE"""),"Roberta de Carvalho | Pós-Graduação em Gestão Educacional | Enviado")</f>
        <v>Roberta de Carvalho | Pós-Graduação em Gestão Educacional | Enviado</v>
      </c>
      <c r="B185" s="396"/>
      <c r="C185" s="384"/>
      <c r="D185" s="384"/>
      <c r="E185" s="384"/>
      <c r="F185" s="384"/>
      <c r="G185" s="384"/>
      <c r="H185" s="384"/>
      <c r="I185" s="384"/>
      <c r="J185" s="384"/>
      <c r="K185" s="384"/>
      <c r="L185" s="384"/>
      <c r="M185" s="384"/>
      <c r="N185" s="384"/>
      <c r="O185" s="384"/>
      <c r="P185" s="384"/>
      <c r="Q185" s="384"/>
    </row>
    <row r="186">
      <c r="A186" s="396" t="str">
        <f>IFERROR(__xludf.DUMMYFUNCTION("""COMPUTED_VALUE"""),"Lília Elísia Dos Reis | Capacitação em Sexologia  | Enviado")</f>
        <v>Lília Elísia Dos Reis | Capacitação em Sexologia  | Enviado</v>
      </c>
      <c r="B186" s="396"/>
      <c r="C186" s="384"/>
      <c r="D186" s="384"/>
      <c r="E186" s="384"/>
      <c r="F186" s="384"/>
      <c r="G186" s="384"/>
      <c r="H186" s="384"/>
      <c r="I186" s="384"/>
      <c r="J186" s="384"/>
      <c r="K186" s="384"/>
      <c r="L186" s="384"/>
      <c r="M186" s="384"/>
      <c r="N186" s="384"/>
      <c r="O186" s="384"/>
      <c r="P186" s="384"/>
      <c r="Q186" s="384"/>
    </row>
    <row r="187">
      <c r="A187" s="396" t="str">
        <f>IFERROR(__xludf.DUMMYFUNCTION("""COMPUTED_VALUE"""),"Kátia Regina Generoso Cotta | PÓS-GRADUAÇÃO EM PSICANÁLISE | Enviado")</f>
        <v>Kátia Regina Generoso Cotta | PÓS-GRADUAÇÃO EM PSICANÁLISE | Enviado</v>
      </c>
      <c r="B187" s="396"/>
      <c r="C187" s="384"/>
      <c r="D187" s="384"/>
      <c r="E187" s="384"/>
      <c r="F187" s="384"/>
      <c r="G187" s="384"/>
      <c r="H187" s="384"/>
      <c r="I187" s="384"/>
      <c r="J187" s="384"/>
      <c r="K187" s="384"/>
      <c r="L187" s="384"/>
      <c r="M187" s="384"/>
      <c r="N187" s="384"/>
      <c r="O187" s="384"/>
      <c r="P187" s="384"/>
      <c r="Q187" s="384"/>
    </row>
    <row r="188">
      <c r="A188" s="396" t="str">
        <f>IFERROR(__xludf.DUMMYFUNCTION("""COMPUTED_VALUE"""),"José Arthur Leorne Da Silva Santos | Formação Livre em Psicanálise-2022 | Enviado")</f>
        <v>José Arthur Leorne Da Silva Santos | Formação Livre em Psicanálise-2022 | Enviado</v>
      </c>
      <c r="B188" s="396"/>
      <c r="C188" s="384"/>
      <c r="D188" s="384"/>
      <c r="E188" s="384"/>
      <c r="F188" s="384"/>
      <c r="G188" s="384"/>
      <c r="H188" s="384"/>
      <c r="I188" s="384"/>
      <c r="J188" s="384"/>
      <c r="K188" s="384"/>
      <c r="L188" s="384"/>
      <c r="M188" s="384"/>
      <c r="N188" s="384"/>
      <c r="O188" s="384"/>
      <c r="P188" s="384"/>
      <c r="Q188" s="384"/>
    </row>
    <row r="189">
      <c r="A189" s="396" t="str">
        <f>IFERROR(__xludf.DUMMYFUNCTION("""COMPUTED_VALUE"""),"Nedyr Venus de Souza Assumpção | Pós graduação em libras  | Enviado")</f>
        <v>Nedyr Venus de Souza Assumpção | Pós graduação em libras  | Enviado</v>
      </c>
      <c r="B189" s="396"/>
      <c r="C189" s="384"/>
      <c r="D189" s="384"/>
      <c r="E189" s="384"/>
      <c r="F189" s="384"/>
      <c r="G189" s="384"/>
      <c r="H189" s="384"/>
      <c r="I189" s="384"/>
      <c r="J189" s="384"/>
      <c r="K189" s="384"/>
      <c r="L189" s="384"/>
      <c r="M189" s="384"/>
      <c r="N189" s="384"/>
      <c r="O189" s="384"/>
      <c r="P189" s="384"/>
      <c r="Q189" s="384"/>
    </row>
    <row r="190">
      <c r="A190" s="396" t="str">
        <f>IFERROR(__xludf.DUMMYFUNCTION("""COMPUTED_VALUE""")," Alexandre Machado Marques de Souza Sobrinho | Pós-Graduação em Metodologia Ativas e Tecnologias Educacionais | Enviado")</f>
        <v> Alexandre Machado Marques de Souza Sobrinho | Pós-Graduação em Metodologia Ativas e Tecnologias Educacionais | Enviado</v>
      </c>
      <c r="B190" s="396"/>
      <c r="C190" s="384"/>
      <c r="D190" s="384"/>
      <c r="E190" s="384"/>
      <c r="F190" s="384"/>
      <c r="G190" s="384"/>
      <c r="H190" s="384"/>
      <c r="I190" s="384"/>
      <c r="J190" s="384"/>
      <c r="K190" s="384"/>
      <c r="L190" s="384"/>
      <c r="M190" s="384"/>
      <c r="N190" s="384"/>
      <c r="O190" s="384"/>
      <c r="P190" s="384"/>
      <c r="Q190" s="384"/>
    </row>
    <row r="191">
      <c r="A191" s="396" t="str">
        <f>IFERROR(__xludf.DUMMYFUNCTION("""COMPUTED_VALUE"""),"Sônia América da Cunha | Pós-Graduação em Musicoterapia | Enviado")</f>
        <v>Sônia América da Cunha | Pós-Graduação em Musicoterapia | Enviado</v>
      </c>
      <c r="B191" s="396"/>
      <c r="C191" s="384"/>
      <c r="D191" s="384"/>
      <c r="E191" s="384"/>
      <c r="F191" s="384"/>
      <c r="G191" s="384"/>
      <c r="H191" s="384"/>
      <c r="I191" s="384"/>
      <c r="J191" s="384"/>
      <c r="K191" s="384"/>
      <c r="L191" s="384"/>
      <c r="M191" s="384"/>
      <c r="N191" s="384"/>
      <c r="O191" s="384"/>
      <c r="P191" s="384"/>
      <c r="Q191" s="384"/>
    </row>
    <row r="192">
      <c r="A192" s="396" t="str">
        <f>IFERROR(__xludf.DUMMYFUNCTION("""COMPUTED_VALUE"""),"Mariana Luize Souza Zaupa Silva | Pós-Graduação em Educação Infantil | Enviado")</f>
        <v>Mariana Luize Souza Zaupa Silva | Pós-Graduação em Educação Infantil | Enviado</v>
      </c>
      <c r="B192" s="396"/>
      <c r="C192" s="384"/>
      <c r="D192" s="384"/>
      <c r="E192" s="384"/>
      <c r="F192" s="384"/>
      <c r="G192" s="384"/>
      <c r="H192" s="384"/>
      <c r="I192" s="384"/>
      <c r="J192" s="384"/>
      <c r="K192" s="384"/>
      <c r="L192" s="384"/>
      <c r="M192" s="384"/>
      <c r="N192" s="384"/>
      <c r="O192" s="384"/>
      <c r="P192" s="384"/>
      <c r="Q192" s="384"/>
    </row>
    <row r="193">
      <c r="A193" s="396" t="str">
        <f>IFERROR(__xludf.DUMMYFUNCTION("""COMPUTED_VALUE"""),"Frasier Alves Rabelo | Pós-Graduação em Psicanálise | Enviado")</f>
        <v>Frasier Alves Rabelo | Pós-Graduação em Psicanálise | Enviado</v>
      </c>
      <c r="B193" s="396"/>
      <c r="C193" s="384"/>
      <c r="D193" s="384"/>
      <c r="E193" s="384"/>
      <c r="F193" s="384"/>
      <c r="G193" s="384"/>
      <c r="H193" s="384"/>
      <c r="I193" s="384"/>
      <c r="J193" s="384"/>
      <c r="K193" s="384"/>
      <c r="L193" s="384"/>
      <c r="M193" s="384"/>
      <c r="N193" s="384"/>
      <c r="O193" s="384"/>
      <c r="P193" s="384"/>
      <c r="Q193" s="384"/>
    </row>
    <row r="194">
      <c r="A194" s="396" t="str">
        <f>IFERROR(__xludf.DUMMYFUNCTION("""COMPUTED_VALUE"""),"Leticia Alves de Almeida Correia | Pós-Graduação em Sexologia | Enviado")</f>
        <v>Leticia Alves de Almeida Correia | Pós-Graduação em Sexologia | Enviado</v>
      </c>
      <c r="B194" s="396"/>
      <c r="C194" s="384"/>
      <c r="D194" s="384"/>
      <c r="E194" s="384"/>
      <c r="F194" s="384"/>
      <c r="G194" s="384"/>
      <c r="H194" s="384"/>
      <c r="I194" s="384"/>
      <c r="J194" s="384"/>
      <c r="K194" s="384"/>
      <c r="L194" s="384"/>
      <c r="M194" s="384"/>
      <c r="N194" s="384"/>
      <c r="O194" s="384"/>
      <c r="P194" s="384"/>
      <c r="Q194" s="384"/>
    </row>
    <row r="195">
      <c r="A195" s="396" t="str">
        <f>IFERROR(__xludf.DUMMYFUNCTION("""COMPUTED_VALUE"""),"Antonio Henrique dos Santos  | Pós-Graduação em Terapia Familíar | Enviado")</f>
        <v>Antonio Henrique dos Santos  | Pós-Graduação em Terapia Familíar | Enviado</v>
      </c>
      <c r="B195" s="396"/>
      <c r="C195" s="384"/>
      <c r="D195" s="384"/>
      <c r="E195" s="384"/>
      <c r="F195" s="384"/>
      <c r="G195" s="384"/>
      <c r="H195" s="384"/>
      <c r="I195" s="384"/>
      <c r="J195" s="384"/>
      <c r="K195" s="384"/>
      <c r="L195" s="384"/>
      <c r="M195" s="384"/>
      <c r="N195" s="384"/>
      <c r="O195" s="384"/>
      <c r="P195" s="384"/>
      <c r="Q195" s="384"/>
    </row>
    <row r="196">
      <c r="A196" s="396" t="str">
        <f>IFERROR(__xludf.DUMMYFUNCTION("""COMPUTED_VALUE"""),"Talita Raquel Nunes Bonetti | Formação Livre em Sexologia  | Enviado")</f>
        <v>Talita Raquel Nunes Bonetti | Formação Livre em Sexologia  | Enviado</v>
      </c>
      <c r="B196" s="396"/>
      <c r="C196" s="384"/>
      <c r="D196" s="384"/>
      <c r="E196" s="384"/>
      <c r="F196" s="384"/>
      <c r="G196" s="384"/>
      <c r="H196" s="384"/>
      <c r="I196" s="384"/>
      <c r="J196" s="384"/>
      <c r="K196" s="384"/>
      <c r="L196" s="384"/>
      <c r="M196" s="384"/>
      <c r="N196" s="384"/>
      <c r="O196" s="384"/>
      <c r="P196" s="384"/>
      <c r="Q196" s="384"/>
    </row>
    <row r="197">
      <c r="A197" s="396" t="str">
        <f>IFERROR(__xludf.DUMMYFUNCTION("""COMPUTED_VALUE"""),"Alini Rosa Bertoldi do Carmo | Pós-Graduação ABA- Análise do Comportamento Aplicada | ")</f>
        <v>Alini Rosa Bertoldi do Carmo | Pós-Graduação ABA- Análise do Comportamento Aplicada | </v>
      </c>
      <c r="B197" s="396"/>
      <c r="C197" s="384"/>
      <c r="D197" s="384"/>
      <c r="E197" s="384"/>
      <c r="F197" s="384"/>
      <c r="G197" s="384"/>
      <c r="H197" s="384"/>
      <c r="I197" s="384"/>
      <c r="J197" s="384"/>
      <c r="K197" s="384"/>
      <c r="L197" s="384"/>
      <c r="M197" s="384"/>
      <c r="N197" s="384"/>
      <c r="O197" s="384"/>
      <c r="P197" s="384"/>
      <c r="Q197" s="384"/>
    </row>
    <row r="198">
      <c r="A198" s="396" t="str">
        <f>IFERROR(__xludf.DUMMYFUNCTION("""COMPUTED_VALUE"""),"Alcilene Morais Rodrigues | Pós-Graduação em Educação Especial e Inclusiva | Enviado")</f>
        <v>Alcilene Morais Rodrigues | Pós-Graduação em Educação Especial e Inclusiva | Enviado</v>
      </c>
      <c r="B198" s="396"/>
      <c r="C198" s="384"/>
      <c r="D198" s="384"/>
      <c r="E198" s="384"/>
      <c r="F198" s="384"/>
      <c r="G198" s="384"/>
      <c r="H198" s="384"/>
      <c r="I198" s="384"/>
      <c r="J198" s="384"/>
      <c r="K198" s="384"/>
      <c r="L198" s="384"/>
      <c r="M198" s="384"/>
      <c r="N198" s="384"/>
      <c r="O198" s="384"/>
      <c r="P198" s="384"/>
      <c r="Q198" s="384"/>
    </row>
    <row r="199">
      <c r="A199" s="396" t="str">
        <f>IFERROR(__xludf.DUMMYFUNCTION("""COMPUTED_VALUE""")," |  | ")</f>
        <v> |  | </v>
      </c>
      <c r="B199" s="396"/>
      <c r="C199" s="384"/>
      <c r="D199" s="384"/>
      <c r="E199" s="384"/>
      <c r="F199" s="384"/>
      <c r="G199" s="384"/>
      <c r="H199" s="384"/>
      <c r="I199" s="384"/>
      <c r="J199" s="384"/>
      <c r="K199" s="384"/>
      <c r="L199" s="384"/>
      <c r="M199" s="384"/>
      <c r="N199" s="384"/>
      <c r="O199" s="384"/>
      <c r="P199" s="384"/>
      <c r="Q199" s="384"/>
    </row>
    <row r="200">
      <c r="A200" s="396" t="str">
        <f>IFERROR(__xludf.DUMMYFUNCTION("""COMPUTED_VALUE"""),"Monique Cursino dos Santos Lima  | Formação livre em Psicanalise  | Enviado em 11/09/2024 - E-mail ")</f>
        <v>Monique Cursino dos Santos Lima  | Formação livre em Psicanalise  | Enviado em 11/09/2024 - E-mail </v>
      </c>
      <c r="B200" s="396"/>
      <c r="C200" s="384"/>
      <c r="D200" s="384"/>
      <c r="E200" s="384"/>
      <c r="F200" s="384"/>
      <c r="G200" s="384"/>
      <c r="H200" s="384"/>
      <c r="I200" s="384"/>
      <c r="J200" s="384"/>
      <c r="K200" s="384"/>
      <c r="L200" s="384"/>
      <c r="M200" s="384"/>
      <c r="N200" s="384"/>
      <c r="O200" s="384"/>
      <c r="P200" s="384"/>
      <c r="Q200" s="384"/>
    </row>
    <row r="201">
      <c r="A201" s="396" t="str">
        <f>IFERROR(__xludf.DUMMYFUNCTION("""COMPUTED_VALUE"""),"Yasmim Figueira Ferreira | Pós-Graduação em Educação Especial 720Horas | Enviado em 11/09/2024 - E-mail ")</f>
        <v>Yasmim Figueira Ferreira | Pós-Graduação em Educação Especial 720Horas | Enviado em 11/09/2024 - E-mail </v>
      </c>
      <c r="B201" s="396"/>
      <c r="C201" s="384"/>
      <c r="D201" s="384"/>
      <c r="E201" s="384"/>
      <c r="F201" s="384"/>
      <c r="G201" s="384"/>
      <c r="H201" s="384"/>
      <c r="I201" s="384"/>
      <c r="J201" s="384"/>
      <c r="K201" s="384"/>
      <c r="L201" s="384"/>
      <c r="M201" s="384"/>
      <c r="N201" s="384"/>
      <c r="O201" s="384"/>
      <c r="P201" s="384"/>
      <c r="Q201" s="384"/>
    </row>
    <row r="202">
      <c r="A202" s="396" t="str">
        <f>IFERROR(__xludf.DUMMYFUNCTION("""COMPUTED_VALUE"""),"Josilaine Bramer Candido | Pós-Graduação em Educação Inclusiva e Diversidade  | Enviado em 11/09/2024 - E-mail ")</f>
        <v>Josilaine Bramer Candido | Pós-Graduação em Educação Inclusiva e Diversidade  | Enviado em 11/09/2024 - E-mail </v>
      </c>
      <c r="B202" s="396"/>
      <c r="C202" s="384"/>
      <c r="D202" s="384"/>
      <c r="E202" s="384"/>
      <c r="F202" s="384"/>
      <c r="G202" s="384"/>
      <c r="H202" s="384"/>
      <c r="I202" s="384"/>
      <c r="J202" s="384"/>
      <c r="K202" s="384"/>
      <c r="L202" s="384"/>
      <c r="M202" s="384"/>
      <c r="N202" s="384"/>
      <c r="O202" s="384"/>
      <c r="P202" s="384"/>
      <c r="Q202" s="384"/>
    </row>
    <row r="203">
      <c r="A203" s="396" t="str">
        <f>IFERROR(__xludf.DUMMYFUNCTION("""COMPUTED_VALUE"""),"Santina Aparecida de Oliveira | Pós-Graduação em Psicanálise | Enviado em 11/09/2024 - E-mail ")</f>
        <v>Santina Aparecida de Oliveira | Pós-Graduação em Psicanálise | Enviado em 11/09/2024 - E-mail </v>
      </c>
      <c r="B203" s="396"/>
      <c r="C203" s="384"/>
      <c r="D203" s="384"/>
      <c r="E203" s="384"/>
      <c r="F203" s="384"/>
      <c r="G203" s="384"/>
      <c r="H203" s="384"/>
      <c r="I203" s="384"/>
      <c r="J203" s="384"/>
      <c r="K203" s="384"/>
      <c r="L203" s="384"/>
      <c r="M203" s="384"/>
      <c r="N203" s="384"/>
      <c r="O203" s="384"/>
      <c r="P203" s="384"/>
      <c r="Q203" s="384"/>
    </row>
    <row r="204">
      <c r="A204" s="396" t="str">
        <f>IFERROR(__xludf.DUMMYFUNCTION("""COMPUTED_VALUE"""),"Alessandra Rodrigues da Costa | Pós-Graduação em Sexologia | Enviado em 11/09/2024 - E-mail ")</f>
        <v>Alessandra Rodrigues da Costa | Pós-Graduação em Sexologia | Enviado em 11/09/2024 - E-mail </v>
      </c>
      <c r="B204" s="396"/>
      <c r="C204" s="384"/>
      <c r="D204" s="384"/>
      <c r="E204" s="384"/>
      <c r="F204" s="384"/>
      <c r="G204" s="384"/>
      <c r="H204" s="384"/>
      <c r="I204" s="384"/>
      <c r="J204" s="384"/>
      <c r="K204" s="384"/>
      <c r="L204" s="384"/>
      <c r="M204" s="384"/>
      <c r="N204" s="384"/>
      <c r="O204" s="384"/>
      <c r="P204" s="384"/>
      <c r="Q204" s="384"/>
    </row>
    <row r="205">
      <c r="A205" s="396" t="str">
        <f>IFERROR(__xludf.DUMMYFUNCTION("""COMPUTED_VALUE"""),"Simone Cristina Da Silva | Formação livre em Psicanalise  | Enviado em 02/08/2024 - E-mail e Chat")</f>
        <v>Simone Cristina Da Silva | Formação livre em Psicanalise  | Enviado em 02/08/2024 - E-mail e Chat</v>
      </c>
      <c r="B205" s="396"/>
      <c r="C205" s="384"/>
      <c r="D205" s="384"/>
      <c r="E205" s="384"/>
      <c r="F205" s="384"/>
      <c r="G205" s="384"/>
      <c r="H205" s="384"/>
      <c r="I205" s="384"/>
      <c r="J205" s="384"/>
      <c r="K205" s="384"/>
      <c r="L205" s="384"/>
      <c r="M205" s="384"/>
      <c r="N205" s="384"/>
      <c r="O205" s="384"/>
      <c r="P205" s="384"/>
      <c r="Q205" s="384"/>
    </row>
    <row r="206">
      <c r="A206" s="396" t="str">
        <f>IFERROR(__xludf.DUMMYFUNCTION("""COMPUTED_VALUE"""),"Silvia Junia Passos | Pós-Graduação em Ensino Religioso | Enviado em 11/08/2024 - E-mail")</f>
        <v>Silvia Junia Passos | Pós-Graduação em Ensino Religioso | Enviado em 11/08/2024 - E-mail</v>
      </c>
      <c r="B206" s="396"/>
      <c r="C206" s="384"/>
      <c r="D206" s="384"/>
      <c r="E206" s="384"/>
      <c r="F206" s="384"/>
      <c r="G206" s="384"/>
      <c r="H206" s="384"/>
      <c r="I206" s="384"/>
      <c r="J206" s="384"/>
      <c r="K206" s="384"/>
      <c r="L206" s="384"/>
      <c r="M206" s="384"/>
      <c r="N206" s="384"/>
      <c r="O206" s="384"/>
      <c r="P206" s="384"/>
      <c r="Q206" s="384"/>
    </row>
    <row r="207">
      <c r="A207" s="396" t="str">
        <f>IFERROR(__xludf.DUMMYFUNCTION("""COMPUTED_VALUE"""),"Joyce Valeria Stangler de Boer | Pós-Graduação em Terapia em ABA- Análise do Comportamento Aplicada | Enviado em 19/09/2024 - E-mail ")</f>
        <v>Joyce Valeria Stangler de Boer | Pós-Graduação em Terapia em ABA- Análise do Comportamento Aplicada | Enviado em 19/09/2024 - E-mail </v>
      </c>
      <c r="B207" s="396"/>
      <c r="C207" s="384"/>
      <c r="D207" s="384"/>
      <c r="E207" s="384"/>
      <c r="F207" s="384"/>
      <c r="G207" s="384"/>
      <c r="H207" s="384"/>
      <c r="I207" s="384"/>
      <c r="J207" s="384"/>
      <c r="K207" s="384"/>
      <c r="L207" s="384"/>
      <c r="M207" s="384"/>
      <c r="N207" s="384"/>
      <c r="O207" s="384"/>
      <c r="P207" s="384"/>
      <c r="Q207" s="384"/>
    </row>
    <row r="208">
      <c r="A208" s="396" t="str">
        <f>IFERROR(__xludf.DUMMYFUNCTION("""COMPUTED_VALUE"""),"Adenilde Rodrigues Paulo Pinto | Pós-Graduação em Sexologia         | Enviado em 20/09/2024 - E-mail")</f>
        <v>Adenilde Rodrigues Paulo Pinto | Pós-Graduação em Sexologia         | Enviado em 20/09/2024 - E-mail</v>
      </c>
      <c r="B208" s="396"/>
      <c r="C208" s="384"/>
      <c r="D208" s="384"/>
      <c r="E208" s="384"/>
      <c r="F208" s="384"/>
      <c r="G208" s="384"/>
      <c r="H208" s="384"/>
      <c r="I208" s="384"/>
      <c r="J208" s="384"/>
      <c r="K208" s="384"/>
      <c r="L208" s="384"/>
      <c r="M208" s="384"/>
      <c r="N208" s="384"/>
      <c r="O208" s="384"/>
      <c r="P208" s="384"/>
      <c r="Q208" s="384"/>
    </row>
    <row r="209">
      <c r="A209" s="396" t="str">
        <f>IFERROR(__xludf.DUMMYFUNCTION("""COMPUTED_VALUE"""),"Regiane Alves Rodrigues | Pós-Graduação em Ensino Religioso | Enviado em 23/08/2024 - E-mail e Chat")</f>
        <v>Regiane Alves Rodrigues | Pós-Graduação em Ensino Religioso | Enviado em 23/08/2024 - E-mail e Chat</v>
      </c>
      <c r="B209" s="396"/>
      <c r="C209" s="384"/>
      <c r="D209" s="384"/>
      <c r="E209" s="384"/>
      <c r="F209" s="384"/>
      <c r="G209" s="384"/>
      <c r="H209" s="384"/>
      <c r="I209" s="384"/>
      <c r="J209" s="384"/>
      <c r="K209" s="384"/>
      <c r="L209" s="384"/>
      <c r="M209" s="384"/>
      <c r="N209" s="384"/>
      <c r="O209" s="384"/>
      <c r="P209" s="384"/>
      <c r="Q209" s="384"/>
    </row>
    <row r="210">
      <c r="A210" s="396" t="str">
        <f>IFERROR(__xludf.DUMMYFUNCTION("""COMPUTED_VALUE"""),"Anderson Augusto Silva Oliveira | Pós-Graduação em Musicoterapia	 | Enviado em 11/09/2024 - E-mail ")</f>
        <v>Anderson Augusto Silva Oliveira | Pós-Graduação em Musicoterapia	 | Enviado em 11/09/2024 - E-mail </v>
      </c>
      <c r="B210" s="396"/>
      <c r="C210" s="384"/>
      <c r="D210" s="384"/>
      <c r="E210" s="384"/>
      <c r="F210" s="384"/>
      <c r="G210" s="384"/>
      <c r="H210" s="384"/>
      <c r="I210" s="384"/>
      <c r="J210" s="384"/>
      <c r="K210" s="384"/>
      <c r="L210" s="384"/>
      <c r="M210" s="384"/>
      <c r="N210" s="384"/>
      <c r="O210" s="384"/>
      <c r="P210" s="384"/>
      <c r="Q210" s="384"/>
    </row>
    <row r="211">
      <c r="A211" s="396" t="str">
        <f>IFERROR(__xludf.DUMMYFUNCTION("""COMPUTED_VALUE"""),"Leticia Cardoso Dos Santos | Pós-Graduação em Sexologia | Enviado em 11/09/2024 - E-mail ")</f>
        <v>Leticia Cardoso Dos Santos | Pós-Graduação em Sexologia | Enviado em 11/09/2024 - E-mail </v>
      </c>
      <c r="B211" s="396"/>
      <c r="C211" s="384"/>
      <c r="D211" s="384"/>
      <c r="E211" s="384"/>
      <c r="F211" s="384"/>
      <c r="G211" s="384"/>
      <c r="H211" s="384"/>
      <c r="I211" s="384"/>
      <c r="J211" s="384"/>
      <c r="K211" s="384"/>
      <c r="L211" s="384"/>
      <c r="M211" s="384"/>
      <c r="N211" s="384"/>
      <c r="O211" s="384"/>
      <c r="P211" s="384"/>
      <c r="Q211" s="384"/>
    </row>
    <row r="212">
      <c r="A212" s="396" t="str">
        <f>IFERROR(__xludf.DUMMYFUNCTION("""COMPUTED_VALUE"""),"Luciene da Silva Borba da Fonseca | Pós-Graduação em Neuropsicopedagogia Institucional, Clínica e Hospitalar 850h | Enviado em 11/09/2024 - E-mail ")</f>
        <v>Luciene da Silva Borba da Fonseca | Pós-Graduação em Neuropsicopedagogia Institucional, Clínica e Hospitalar 850h | Enviado em 11/09/2024 - E-mail </v>
      </c>
      <c r="B212" s="396"/>
      <c r="C212" s="384"/>
      <c r="D212" s="384"/>
      <c r="E212" s="384"/>
      <c r="F212" s="384"/>
      <c r="G212" s="384"/>
      <c r="H212" s="384"/>
      <c r="I212" s="384"/>
      <c r="J212" s="384"/>
      <c r="K212" s="384"/>
      <c r="L212" s="384"/>
      <c r="M212" s="384"/>
      <c r="N212" s="384"/>
      <c r="O212" s="384"/>
      <c r="P212" s="384"/>
      <c r="Q212" s="384"/>
    </row>
    <row r="213">
      <c r="A213" s="396" t="str">
        <f>IFERROR(__xludf.DUMMYFUNCTION("""COMPUTED_VALUE"""),"Ronny Menezes Marques | Pós-graduação em Gestão Escolar Integradora com Ênfase em Supervisão, Orientação, Administração e Inspeção 740Horas | Enviado em 11/09/2024 - E-mail ")</f>
        <v>Ronny Menezes Marques | Pós-graduação em Gestão Escolar Integradora com Ênfase em Supervisão, Orientação, Administração e Inspeção 740Horas | Enviado em 11/09/2024 - E-mail </v>
      </c>
      <c r="B213" s="396"/>
      <c r="C213" s="384"/>
      <c r="D213" s="384"/>
      <c r="E213" s="384"/>
      <c r="F213" s="384"/>
      <c r="G213" s="384"/>
      <c r="H213" s="384"/>
      <c r="I213" s="384"/>
      <c r="J213" s="384"/>
      <c r="K213" s="384"/>
      <c r="L213" s="384"/>
      <c r="M213" s="384"/>
      <c r="N213" s="384"/>
      <c r="O213" s="384"/>
      <c r="P213" s="384"/>
      <c r="Q213" s="384"/>
    </row>
    <row r="214">
      <c r="A214" s="396" t="str">
        <f>IFERROR(__xludf.DUMMYFUNCTION("""COMPUTED_VALUE"""),"Mychele Dayane da Silva Souza | Formação Livre em Psicanálise | Enviado em 11/09/2024 - E-mail ")</f>
        <v>Mychele Dayane da Silva Souza | Formação Livre em Psicanálise | Enviado em 11/09/2024 - E-mail </v>
      </c>
      <c r="B214" s="396"/>
      <c r="C214" s="384"/>
      <c r="D214" s="384"/>
      <c r="E214" s="384"/>
      <c r="F214" s="384"/>
      <c r="G214" s="384"/>
      <c r="H214" s="384"/>
      <c r="I214" s="384"/>
      <c r="J214" s="384"/>
      <c r="K214" s="384"/>
      <c r="L214" s="384"/>
      <c r="M214" s="384"/>
      <c r="N214" s="384"/>
      <c r="O214" s="384"/>
      <c r="P214" s="384"/>
      <c r="Q214" s="384"/>
    </row>
    <row r="215">
      <c r="A215" s="396" t="str">
        <f>IFERROR(__xludf.DUMMYFUNCTION("""COMPUTED_VALUE"""),"Jacyara Luzia de Souza | Pós em direito administrativo | Enviado em 05/08/2024 - E-mail")</f>
        <v>Jacyara Luzia de Souza | Pós em direito administrativo | Enviado em 05/08/2024 - E-mail</v>
      </c>
      <c r="B215" s="396"/>
      <c r="C215" s="384"/>
      <c r="D215" s="384"/>
      <c r="E215" s="384"/>
      <c r="F215" s="384"/>
      <c r="G215" s="384"/>
      <c r="H215" s="384"/>
      <c r="I215" s="384"/>
      <c r="J215" s="384"/>
      <c r="K215" s="384"/>
      <c r="L215" s="384"/>
      <c r="M215" s="384"/>
      <c r="N215" s="384"/>
      <c r="O215" s="384"/>
      <c r="P215" s="384"/>
      <c r="Q215" s="384"/>
    </row>
    <row r="216">
      <c r="A216" s="396" t="str">
        <f>IFERROR(__xludf.DUMMYFUNCTION("""COMPUTED_VALUE"""),"ADRIANE FAGUNDES SILVEIRA ALVES | Pós-Graduação em Libras | Enviado em 11/09/2024 - E-mail")</f>
        <v>ADRIANE FAGUNDES SILVEIRA ALVES | Pós-Graduação em Libras | Enviado em 11/09/2024 - E-mail</v>
      </c>
      <c r="B216" s="396"/>
      <c r="C216" s="384"/>
      <c r="D216" s="384"/>
      <c r="E216" s="384"/>
      <c r="F216" s="384"/>
      <c r="G216" s="384"/>
      <c r="H216" s="384"/>
      <c r="I216" s="384"/>
      <c r="J216" s="384"/>
      <c r="K216" s="384"/>
      <c r="L216" s="384"/>
      <c r="M216" s="384"/>
      <c r="N216" s="384"/>
      <c r="O216" s="384"/>
      <c r="P216" s="384"/>
      <c r="Q216" s="384"/>
    </row>
    <row r="217">
      <c r="A217" s="396" t="str">
        <f>IFERROR(__xludf.DUMMYFUNCTION("""COMPUTED_VALUE"""),"Raissa Marley Dantas de Oliveira   | Pós-graduação em gestão e orientação escolar 600h | Enviado em 05/08/2024 - E-mail")</f>
        <v>Raissa Marley Dantas de Oliveira   | Pós-graduação em gestão e orientação escolar 600h | Enviado em 05/08/2024 - E-mail</v>
      </c>
      <c r="B217" s="396"/>
      <c r="C217" s="384"/>
      <c r="D217" s="384"/>
      <c r="E217" s="384"/>
      <c r="F217" s="384"/>
      <c r="G217" s="384"/>
      <c r="H217" s="384"/>
      <c r="I217" s="384"/>
      <c r="J217" s="384"/>
      <c r="K217" s="384"/>
      <c r="L217" s="384"/>
      <c r="M217" s="384"/>
      <c r="N217" s="384"/>
      <c r="O217" s="384"/>
      <c r="P217" s="384"/>
      <c r="Q217" s="384"/>
    </row>
    <row r="218">
      <c r="A218" s="396" t="str">
        <f>IFERROR(__xludf.DUMMYFUNCTION("""COMPUTED_VALUE"""),"Erica Cristina Zerbinatti Menezes Pereira | Pós-Graduação em Educação MusicaL | Enviado em 11/09/2024 - E-mail")</f>
        <v>Erica Cristina Zerbinatti Menezes Pereira | Pós-Graduação em Educação MusicaL | Enviado em 11/09/2024 - E-mail</v>
      </c>
      <c r="B218" s="396"/>
      <c r="C218" s="384"/>
      <c r="D218" s="384"/>
      <c r="E218" s="384"/>
      <c r="F218" s="384"/>
      <c r="G218" s="384"/>
      <c r="H218" s="384"/>
      <c r="I218" s="384"/>
      <c r="J218" s="384"/>
      <c r="K218" s="384"/>
      <c r="L218" s="384"/>
      <c r="M218" s="384"/>
      <c r="N218" s="384"/>
      <c r="O218" s="384"/>
      <c r="P218" s="384"/>
      <c r="Q218" s="384"/>
    </row>
    <row r="219">
      <c r="A219" s="396" t="str">
        <f>IFERROR(__xludf.DUMMYFUNCTION("""COMPUTED_VALUE"""),"Alba Valeria Gomes Baptista | Formação livre em Psicanalise  | Enviado em 12/09/2024 - E-mail ")</f>
        <v>Alba Valeria Gomes Baptista | Formação livre em Psicanalise  | Enviado em 12/09/2024 - E-mail </v>
      </c>
      <c r="B219" s="396"/>
      <c r="C219" s="384"/>
      <c r="D219" s="384"/>
      <c r="E219" s="384"/>
      <c r="F219" s="384"/>
      <c r="G219" s="384"/>
      <c r="H219" s="384"/>
      <c r="I219" s="384"/>
      <c r="J219" s="384"/>
      <c r="K219" s="384"/>
      <c r="L219" s="384"/>
      <c r="M219" s="384"/>
      <c r="N219" s="384"/>
      <c r="O219" s="384"/>
      <c r="P219" s="384"/>
      <c r="Q219" s="384"/>
    </row>
    <row r="220">
      <c r="A220" s="396" t="str">
        <f>IFERROR(__xludf.DUMMYFUNCTION("""COMPUTED_VALUE"""),"Robson Mauricio Ventura Vieira | Pós-Graduação em Educação Musical | Enviado em 11/09/2024 - E-mail")</f>
        <v>Robson Mauricio Ventura Vieira | Pós-Graduação em Educação Musical | Enviado em 11/09/2024 - E-mail</v>
      </c>
      <c r="B220" s="396"/>
      <c r="C220" s="384"/>
      <c r="D220" s="384"/>
      <c r="E220" s="384"/>
      <c r="F220" s="384"/>
      <c r="G220" s="384"/>
      <c r="H220" s="384"/>
      <c r="I220" s="384"/>
      <c r="J220" s="384"/>
      <c r="K220" s="384"/>
      <c r="L220" s="384"/>
      <c r="M220" s="384"/>
      <c r="N220" s="384"/>
      <c r="O220" s="384"/>
      <c r="P220" s="384"/>
      <c r="Q220" s="384"/>
    </row>
    <row r="221">
      <c r="A221" s="396" t="str">
        <f>IFERROR(__xludf.DUMMYFUNCTION("""COMPUTED_VALUE"""),"Nathália Batista Dias Fróes | Pós-Graduação Alfabetização e Letramento | Enviado em 11/09/2024 - E-mail")</f>
        <v>Nathália Batista Dias Fróes | Pós-Graduação Alfabetização e Letramento | Enviado em 11/09/2024 - E-mail</v>
      </c>
      <c r="B221" s="396"/>
      <c r="C221" s="384"/>
      <c r="D221" s="384"/>
      <c r="E221" s="384"/>
      <c r="F221" s="384"/>
      <c r="G221" s="384"/>
      <c r="H221" s="384"/>
      <c r="I221" s="384"/>
      <c r="J221" s="384"/>
      <c r="K221" s="384"/>
      <c r="L221" s="384"/>
      <c r="M221" s="384"/>
      <c r="N221" s="384"/>
      <c r="O221" s="384"/>
      <c r="P221" s="384"/>
      <c r="Q221" s="384"/>
    </row>
    <row r="222">
      <c r="A222" s="396" t="str">
        <f>IFERROR(__xludf.DUMMYFUNCTION("""COMPUTED_VALUE"""),"Lucimara Valdambrini Moriconi | Pós-Graduação em Psicopedagogia em Educação Especial | Enviado em 11/09/2024 - E-mail")</f>
        <v>Lucimara Valdambrini Moriconi | Pós-Graduação em Psicopedagogia em Educação Especial | Enviado em 11/09/2024 - E-mail</v>
      </c>
      <c r="B222" s="396"/>
      <c r="C222" s="384"/>
      <c r="D222" s="384"/>
      <c r="E222" s="384"/>
      <c r="F222" s="384"/>
      <c r="G222" s="384"/>
      <c r="H222" s="384"/>
      <c r="I222" s="384"/>
      <c r="J222" s="384"/>
      <c r="K222" s="384"/>
      <c r="L222" s="384"/>
      <c r="M222" s="384"/>
      <c r="N222" s="384"/>
      <c r="O222" s="384"/>
      <c r="P222" s="384"/>
      <c r="Q222" s="384"/>
    </row>
    <row r="223">
      <c r="A223" s="396" t="str">
        <f>IFERROR(__xludf.DUMMYFUNCTION("""COMPUTED_VALUE"""),"Maria Cecilia Starke | Formação Livre em Psicanálise | Enviado em 12/09/2024 - E-mail ")</f>
        <v>Maria Cecilia Starke | Formação Livre em Psicanálise | Enviado em 12/09/2024 - E-mail </v>
      </c>
      <c r="B223" s="396"/>
      <c r="C223" s="384"/>
      <c r="D223" s="384"/>
      <c r="E223" s="384"/>
      <c r="F223" s="384"/>
      <c r="G223" s="384"/>
      <c r="H223" s="384"/>
      <c r="I223" s="384"/>
      <c r="J223" s="384"/>
      <c r="K223" s="384"/>
      <c r="L223" s="384"/>
      <c r="M223" s="384"/>
      <c r="N223" s="384"/>
      <c r="O223" s="384"/>
      <c r="P223" s="384"/>
      <c r="Q223" s="384"/>
    </row>
    <row r="224">
      <c r="A224" s="396" t="str">
        <f>IFERROR(__xludf.DUMMYFUNCTION("""COMPUTED_VALUE"""),"Camila Nadjala Fernandes Monteiro | Pós-Graduação em Psicanálise | Enviado em 04/09/2024 - E-mail ")</f>
        <v>Camila Nadjala Fernandes Monteiro | Pós-Graduação em Psicanálise | Enviado em 04/09/2024 - E-mail </v>
      </c>
      <c r="B224" s="396"/>
      <c r="C224" s="384"/>
      <c r="D224" s="384"/>
      <c r="E224" s="384"/>
      <c r="F224" s="384"/>
      <c r="G224" s="384"/>
      <c r="H224" s="384"/>
      <c r="I224" s="384"/>
      <c r="J224" s="384"/>
      <c r="K224" s="384"/>
      <c r="L224" s="384"/>
      <c r="M224" s="384"/>
      <c r="N224" s="384"/>
      <c r="O224" s="384"/>
      <c r="P224" s="384"/>
      <c r="Q224" s="384"/>
    </row>
    <row r="225">
      <c r="A225" s="396" t="str">
        <f>IFERROR(__xludf.DUMMYFUNCTION("""COMPUTED_VALUE"""),"Rosimeire Aparecida Martin Rosa | Pós-Graduação em Musicoterapia	 | Enviado em 11/09/2024 - E-mail")</f>
        <v>Rosimeire Aparecida Martin Rosa | Pós-Graduação em Musicoterapia	 | Enviado em 11/09/2024 - E-mail</v>
      </c>
      <c r="B225" s="396"/>
      <c r="C225" s="384"/>
      <c r="D225" s="384"/>
      <c r="E225" s="384"/>
      <c r="F225" s="384"/>
      <c r="G225" s="384"/>
      <c r="H225" s="384"/>
      <c r="I225" s="384"/>
      <c r="J225" s="384"/>
      <c r="K225" s="384"/>
      <c r="L225" s="384"/>
      <c r="M225" s="384"/>
      <c r="N225" s="384"/>
      <c r="O225" s="384"/>
      <c r="P225" s="384"/>
      <c r="Q225" s="384"/>
    </row>
    <row r="226">
      <c r="A226" s="396" t="str">
        <f>IFERROR(__xludf.DUMMYFUNCTION("""COMPUTED_VALUE"""),"Mayra Porto Romualdo da Silva | Pós-Graduação em Sexologia | Enviado em 11/09/2024 - E-mail")</f>
        <v>Mayra Porto Romualdo da Silva | Pós-Graduação em Sexologia | Enviado em 11/09/2024 - E-mail</v>
      </c>
      <c r="B226" s="396"/>
      <c r="C226" s="384"/>
      <c r="D226" s="384"/>
      <c r="E226" s="384"/>
      <c r="F226" s="384"/>
      <c r="G226" s="384"/>
      <c r="H226" s="384"/>
      <c r="I226" s="384"/>
      <c r="J226" s="384"/>
      <c r="K226" s="384"/>
      <c r="L226" s="384"/>
      <c r="M226" s="384"/>
      <c r="N226" s="384"/>
      <c r="O226" s="384"/>
      <c r="P226" s="384"/>
      <c r="Q226" s="384"/>
    </row>
    <row r="227">
      <c r="A227" s="396" t="str">
        <f>IFERROR(__xludf.DUMMYFUNCTION("""COMPUTED_VALUE"""),"Eunaítala Farias da Silva | Pós-Graduação em Análise de Comportamento Aplicada ao Autismo-ABA Com Habilitação em Docência no Ensino Superior | Enviado em 11/09/2024 - E-mail")</f>
        <v>Eunaítala Farias da Silva | Pós-Graduação em Análise de Comportamento Aplicada ao Autismo-ABA Com Habilitação em Docência no Ensino Superior | Enviado em 11/09/2024 - E-mail</v>
      </c>
      <c r="B227" s="396"/>
      <c r="C227" s="384"/>
      <c r="D227" s="384"/>
      <c r="E227" s="384"/>
      <c r="F227" s="384"/>
      <c r="G227" s="384"/>
      <c r="H227" s="384"/>
      <c r="I227" s="384"/>
      <c r="J227" s="384"/>
      <c r="K227" s="384"/>
      <c r="L227" s="384"/>
      <c r="M227" s="384"/>
      <c r="N227" s="384"/>
      <c r="O227" s="384"/>
      <c r="P227" s="384"/>
      <c r="Q227" s="384"/>
    </row>
    <row r="228">
      <c r="A228" s="396" t="str">
        <f>IFERROR(__xludf.DUMMYFUNCTION("""COMPUTED_VALUE"""),"Evani Aparecida Melchior Machado | Formação Livre Psicanálise | Enviado em 12/09/2024 - E-mail ")</f>
        <v>Evani Aparecida Melchior Machado | Formação Livre Psicanálise | Enviado em 12/09/2024 - E-mail </v>
      </c>
      <c r="B228" s="396"/>
      <c r="C228" s="384"/>
      <c r="D228" s="384"/>
      <c r="E228" s="384"/>
      <c r="F228" s="384"/>
      <c r="G228" s="384"/>
      <c r="H228" s="384"/>
      <c r="I228" s="384"/>
      <c r="J228" s="384"/>
      <c r="K228" s="384"/>
      <c r="L228" s="384"/>
      <c r="M228" s="384"/>
      <c r="N228" s="384"/>
      <c r="O228" s="384"/>
      <c r="P228" s="384"/>
      <c r="Q228" s="384"/>
    </row>
    <row r="229">
      <c r="A229" s="396" t="str">
        <f>IFERROR(__xludf.DUMMYFUNCTION("""COMPUTED_VALUE"""),"Cássia Braga Andalécio         | Pós-Graduação em Psicanálise | Enviado em 11/09/2024 - E-mail")</f>
        <v>Cássia Braga Andalécio         | Pós-Graduação em Psicanálise | Enviado em 11/09/2024 - E-mail</v>
      </c>
      <c r="B229" s="396"/>
      <c r="C229" s="384"/>
      <c r="D229" s="384"/>
      <c r="E229" s="384"/>
      <c r="F229" s="384"/>
      <c r="G229" s="384"/>
      <c r="H229" s="384"/>
      <c r="I229" s="384"/>
      <c r="J229" s="384"/>
      <c r="K229" s="384"/>
      <c r="L229" s="384"/>
      <c r="M229" s="384"/>
      <c r="N229" s="384"/>
      <c r="O229" s="384"/>
      <c r="P229" s="384"/>
      <c r="Q229" s="384"/>
    </row>
    <row r="230">
      <c r="A230" s="396" t="str">
        <f>IFERROR(__xludf.DUMMYFUNCTION("""COMPUTED_VALUE"""),"Antonio Marcos Schiavo | Pós-Graduação em Educação Física Escolar e Treinamento Desportivo | Enviado em 16/09/2024 - E-mail  ")</f>
        <v>Antonio Marcos Schiavo | Pós-Graduação em Educação Física Escolar e Treinamento Desportivo | Enviado em 16/09/2024 - E-mail  </v>
      </c>
      <c r="B230" s="396"/>
      <c r="C230" s="384"/>
      <c r="D230" s="384"/>
      <c r="E230" s="384"/>
      <c r="F230" s="384"/>
      <c r="G230" s="384"/>
      <c r="H230" s="384"/>
      <c r="I230" s="384"/>
      <c r="J230" s="384"/>
      <c r="K230" s="384"/>
      <c r="L230" s="384"/>
      <c r="M230" s="384"/>
      <c r="N230" s="384"/>
      <c r="O230" s="384"/>
      <c r="P230" s="384"/>
      <c r="Q230" s="384"/>
    </row>
    <row r="231">
      <c r="A231" s="396" t="str">
        <f>IFERROR(__xludf.DUMMYFUNCTION("""COMPUTED_VALUE"""),"Cássia Braga Andalécio         | Pós-Graduação em Psicanálise | Enviado em 13/09/2024 - E-mail")</f>
        <v>Cássia Braga Andalécio         | Pós-Graduação em Psicanálise | Enviado em 13/09/2024 - E-mail</v>
      </c>
      <c r="B231" s="396"/>
      <c r="C231" s="384"/>
      <c r="D231" s="384"/>
      <c r="E231" s="384"/>
      <c r="F231" s="384"/>
      <c r="G231" s="384"/>
      <c r="H231" s="384"/>
      <c r="I231" s="384"/>
      <c r="J231" s="384"/>
      <c r="K231" s="384"/>
      <c r="L231" s="384"/>
      <c r="M231" s="384"/>
      <c r="N231" s="384"/>
      <c r="O231" s="384"/>
      <c r="P231" s="384"/>
      <c r="Q231" s="384"/>
    </row>
    <row r="232">
      <c r="A232" s="396" t="str">
        <f>IFERROR(__xludf.DUMMYFUNCTION("""COMPUTED_VALUE"""),"Naiara Nunes da Silva | Pós-Graduação em Psicopedagogia Clinica, Institucional e Hospitalar 660Horas | Enviado em 16/09/2024 - E-mail  ")</f>
        <v>Naiara Nunes da Silva | Pós-Graduação em Psicopedagogia Clinica, Institucional e Hospitalar 660Horas | Enviado em 16/09/2024 - E-mail  </v>
      </c>
      <c r="B232" s="396"/>
      <c r="C232" s="384"/>
      <c r="D232" s="384"/>
      <c r="E232" s="384"/>
      <c r="F232" s="384"/>
      <c r="G232" s="384"/>
      <c r="H232" s="384"/>
      <c r="I232" s="384"/>
      <c r="J232" s="384"/>
      <c r="K232" s="384"/>
      <c r="L232" s="384"/>
      <c r="M232" s="384"/>
      <c r="N232" s="384"/>
      <c r="O232" s="384"/>
      <c r="P232" s="384"/>
      <c r="Q232" s="384"/>
    </row>
    <row r="233">
      <c r="A233" s="396" t="str">
        <f>IFERROR(__xludf.DUMMYFUNCTION("""COMPUTED_VALUE"""),"Ana Claudia Alves Lima  | Pós-Graduação Educação Especial e Inclusiva         | Enviado em 22/08/2024 - E-mail")</f>
        <v>Ana Claudia Alves Lima  | Pós-Graduação Educação Especial e Inclusiva         | Enviado em 22/08/2024 - E-mail</v>
      </c>
      <c r="B233" s="396"/>
      <c r="C233" s="384"/>
      <c r="D233" s="384"/>
      <c r="E233" s="384"/>
      <c r="F233" s="384"/>
      <c r="G233" s="384"/>
      <c r="H233" s="384"/>
      <c r="I233" s="384"/>
      <c r="J233" s="384"/>
      <c r="K233" s="384"/>
      <c r="L233" s="384"/>
      <c r="M233" s="384"/>
      <c r="N233" s="384"/>
      <c r="O233" s="384"/>
      <c r="P233" s="384"/>
      <c r="Q233" s="384"/>
    </row>
    <row r="234">
      <c r="A234" s="396" t="str">
        <f>IFERROR(__xludf.DUMMYFUNCTION("""COMPUTED_VALUE"""),"Elaine Galdino Justino da Costa | Formação Livre em Psicanálise-2022 | Enviado em 12/09/2024 - E-mail ")</f>
        <v>Elaine Galdino Justino da Costa | Formação Livre em Psicanálise-2022 | Enviado em 12/09/2024 - E-mail </v>
      </c>
      <c r="B234" s="396"/>
      <c r="C234" s="384"/>
      <c r="D234" s="384"/>
      <c r="E234" s="384"/>
      <c r="F234" s="384"/>
      <c r="G234" s="384"/>
      <c r="H234" s="384"/>
      <c r="I234" s="384"/>
      <c r="J234" s="384"/>
      <c r="K234" s="384"/>
      <c r="L234" s="384"/>
      <c r="M234" s="384"/>
      <c r="N234" s="384"/>
      <c r="O234" s="384"/>
      <c r="P234" s="384"/>
      <c r="Q234" s="384"/>
    </row>
    <row r="235">
      <c r="A235" s="396" t="str">
        <f>IFERROR(__xludf.DUMMYFUNCTION("""COMPUTED_VALUE"""),"Cíntia Batista Lima | Formação Livre Psicanálise | Enviado em 02/08/2024 - E-mail ")</f>
        <v>Cíntia Batista Lima | Formação Livre Psicanálise | Enviado em 02/08/2024 - E-mail </v>
      </c>
      <c r="B235" s="396"/>
      <c r="C235" s="384"/>
      <c r="D235" s="384"/>
      <c r="E235" s="384"/>
      <c r="F235" s="384"/>
      <c r="G235" s="384"/>
      <c r="H235" s="384"/>
      <c r="I235" s="384"/>
      <c r="J235" s="384"/>
      <c r="K235" s="384"/>
      <c r="L235" s="384"/>
      <c r="M235" s="384"/>
      <c r="N235" s="384"/>
      <c r="O235" s="384"/>
      <c r="P235" s="384"/>
      <c r="Q235" s="384"/>
    </row>
    <row r="236">
      <c r="A236" s="396" t="str">
        <f>IFERROR(__xludf.DUMMYFUNCTION("""COMPUTED_VALUE"""),"Maria José Ferreira de Souza | Pós-Graduação em Sexologia | Enviado em 11/09/2024 - E-mail")</f>
        <v>Maria José Ferreira de Souza | Pós-Graduação em Sexologia | Enviado em 11/09/2024 - E-mail</v>
      </c>
      <c r="B236" s="396"/>
      <c r="C236" s="384"/>
      <c r="D236" s="384"/>
      <c r="E236" s="384"/>
      <c r="F236" s="384"/>
      <c r="G236" s="384"/>
      <c r="H236" s="384"/>
      <c r="I236" s="384"/>
      <c r="J236" s="384"/>
      <c r="K236" s="384"/>
      <c r="L236" s="384"/>
      <c r="M236" s="384"/>
      <c r="N236" s="384"/>
      <c r="O236" s="384"/>
      <c r="P236" s="384"/>
      <c r="Q236" s="384"/>
    </row>
    <row r="237">
      <c r="A237" s="396" t="str">
        <f>IFERROR(__xludf.DUMMYFUNCTION("""COMPUTED_VALUE"""),"Danilo Ferreira Soares | Pós-Graduação em Inspeção Escolar | Enviado em 16/09/2024 - E-mail  ")</f>
        <v>Danilo Ferreira Soares | Pós-Graduação em Inspeção Escolar | Enviado em 16/09/2024 - E-mail  </v>
      </c>
      <c r="B237" s="396"/>
      <c r="C237" s="384"/>
      <c r="D237" s="384"/>
      <c r="E237" s="384"/>
      <c r="F237" s="384"/>
      <c r="G237" s="384"/>
      <c r="H237" s="384"/>
      <c r="I237" s="384"/>
      <c r="J237" s="384"/>
      <c r="K237" s="384"/>
      <c r="L237" s="384"/>
      <c r="M237" s="384"/>
      <c r="N237" s="384"/>
      <c r="O237" s="384"/>
      <c r="P237" s="384"/>
      <c r="Q237" s="384"/>
    </row>
    <row r="238">
      <c r="A238" s="396" t="str">
        <f>IFERROR(__xludf.DUMMYFUNCTION("""COMPUTED_VALUE"""),"Jorcelaine Rodrigues Dos Santos | Formação Livre Psicanálise | Enviado em 12/09/2024 - E-mail ")</f>
        <v>Jorcelaine Rodrigues Dos Santos | Formação Livre Psicanálise | Enviado em 12/09/2024 - E-mail </v>
      </c>
      <c r="B238" s="396"/>
      <c r="C238" s="384"/>
      <c r="D238" s="384"/>
      <c r="E238" s="384"/>
      <c r="F238" s="384"/>
      <c r="G238" s="384"/>
      <c r="H238" s="384"/>
      <c r="I238" s="384"/>
      <c r="J238" s="384"/>
      <c r="K238" s="384"/>
      <c r="L238" s="384"/>
      <c r="M238" s="384"/>
      <c r="N238" s="384"/>
      <c r="O238" s="384"/>
      <c r="P238" s="384"/>
      <c r="Q238" s="384"/>
    </row>
    <row r="239">
      <c r="A239" s="396" t="str">
        <f>IFERROR(__xludf.DUMMYFUNCTION("""COMPUTED_VALUE"""),"Kaina Weiber Waisbek | Pós-Graduação em Tecnologias Educacionais | ")</f>
        <v>Kaina Weiber Waisbek | Pós-Graduação em Tecnologias Educacionais | </v>
      </c>
      <c r="B239" s="396"/>
      <c r="C239" s="384"/>
      <c r="D239" s="384"/>
      <c r="E239" s="384"/>
      <c r="F239" s="384"/>
      <c r="G239" s="384"/>
      <c r="H239" s="384"/>
      <c r="I239" s="384"/>
      <c r="J239" s="384"/>
      <c r="K239" s="384"/>
      <c r="L239" s="384"/>
      <c r="M239" s="384"/>
      <c r="N239" s="384"/>
      <c r="O239" s="384"/>
      <c r="P239" s="384"/>
      <c r="Q239" s="384"/>
    </row>
    <row r="240">
      <c r="A240" s="396" t="str">
        <f>IFERROR(__xludf.DUMMYFUNCTION("""COMPUTED_VALUE"""),"Kaina Weiber Waisbek | Pós-Graduação em Biblioteconomia | ")</f>
        <v>Kaina Weiber Waisbek | Pós-Graduação em Biblioteconomia | </v>
      </c>
      <c r="B240" s="396"/>
      <c r="C240" s="384"/>
      <c r="D240" s="384"/>
      <c r="E240" s="384"/>
      <c r="F240" s="384"/>
      <c r="G240" s="384"/>
      <c r="H240" s="384"/>
      <c r="I240" s="384"/>
      <c r="J240" s="384"/>
      <c r="K240" s="384"/>
      <c r="L240" s="384"/>
      <c r="M240" s="384"/>
      <c r="N240" s="384"/>
      <c r="O240" s="384"/>
      <c r="P240" s="384"/>
      <c r="Q240" s="384"/>
    </row>
    <row r="241">
      <c r="A241" s="396" t="str">
        <f>IFERROR(__xludf.DUMMYFUNCTION("""COMPUTED_VALUE"""),"Thayanne Silva Braz | Pós-Graduação em Nutrição na Geriatria | curso fora do MEC")</f>
        <v>Thayanne Silva Braz | Pós-Graduação em Nutrição na Geriatria | curso fora do MEC</v>
      </c>
      <c r="B241" s="396"/>
      <c r="C241" s="384"/>
      <c r="D241" s="384"/>
      <c r="E241" s="384"/>
      <c r="F241" s="384"/>
      <c r="G241" s="384"/>
      <c r="H241" s="384"/>
      <c r="I241" s="384"/>
      <c r="J241" s="384"/>
      <c r="K241" s="384"/>
      <c r="L241" s="384"/>
      <c r="M241" s="384"/>
      <c r="N241" s="384"/>
      <c r="O241" s="384"/>
      <c r="P241" s="384"/>
      <c r="Q241" s="384"/>
    </row>
    <row r="242">
      <c r="A242" s="396" t="str">
        <f>IFERROR(__xludf.DUMMYFUNCTION("""COMPUTED_VALUE"""),"Alcione Maria Terra | Pós-Graduação em Atendimento Educacional Especializado Com Ênfase Em Educação Especial e Inclusiva | Enviado em 22/08/2024 - E-mail")</f>
        <v>Alcione Maria Terra | Pós-Graduação em Atendimento Educacional Especializado Com Ênfase Em Educação Especial e Inclusiva | Enviado em 22/08/2024 - E-mail</v>
      </c>
      <c r="B242" s="396"/>
      <c r="C242" s="384"/>
      <c r="D242" s="384"/>
      <c r="E242" s="384"/>
      <c r="F242" s="384"/>
      <c r="G242" s="384"/>
      <c r="H242" s="384"/>
      <c r="I242" s="384"/>
      <c r="J242" s="384"/>
      <c r="K242" s="384"/>
      <c r="L242" s="384"/>
      <c r="M242" s="384"/>
      <c r="N242" s="384"/>
      <c r="O242" s="384"/>
      <c r="P242" s="384"/>
      <c r="Q242" s="384"/>
    </row>
    <row r="243">
      <c r="A243" s="396" t="str">
        <f>IFERROR(__xludf.DUMMYFUNCTION("""COMPUTED_VALUE"""),"Claudia Ernesto Caetano | Pós-Graduação em Sexologia | Enviado em 11/09/2024 - E-mail")</f>
        <v>Claudia Ernesto Caetano | Pós-Graduação em Sexologia | Enviado em 11/09/2024 - E-mail</v>
      </c>
      <c r="B243" s="396"/>
      <c r="C243" s="384"/>
      <c r="D243" s="384"/>
      <c r="E243" s="384"/>
      <c r="F243" s="384"/>
      <c r="G243" s="384"/>
      <c r="H243" s="384"/>
      <c r="I243" s="384"/>
      <c r="J243" s="384"/>
      <c r="K243" s="384"/>
      <c r="L243" s="384"/>
      <c r="M243" s="384"/>
      <c r="N243" s="384"/>
      <c r="O243" s="384"/>
      <c r="P243" s="384"/>
      <c r="Q243" s="384"/>
    </row>
    <row r="244">
      <c r="A244" s="403" t="str">
        <f>IFERROR(__xludf.DUMMYFUNCTION("""COMPUTED_VALUE"""),"Renato Vendramel Lacerda Perrone | Pós-Graduação em Educação Inclusiva e Diversidade | Enviado em 16/09/2024 - E-mail  ")</f>
        <v>Renato Vendramel Lacerda Perrone | Pós-Graduação em Educação Inclusiva e Diversidade | Enviado em 16/09/2024 - E-mail  </v>
      </c>
      <c r="B244" s="403"/>
      <c r="C244" s="403"/>
      <c r="D244" s="403"/>
      <c r="E244" s="403"/>
      <c r="F244" s="403"/>
      <c r="G244" s="403"/>
      <c r="H244" s="404"/>
      <c r="I244" s="404"/>
      <c r="J244" s="404"/>
      <c r="K244" s="404"/>
      <c r="L244" s="404"/>
      <c r="M244" s="404"/>
      <c r="N244" s="384"/>
      <c r="O244" s="384"/>
      <c r="P244" s="384"/>
      <c r="Q244" s="384"/>
    </row>
    <row r="245">
      <c r="A245" s="396" t="str">
        <f>IFERROR(__xludf.DUMMYFUNCTION("""COMPUTED_VALUE"""),"Eliani da Silva Gonçalves | Pós-Graduação Alfabetização e Letramento | Enviado em 11/09/2024 - E-mail")</f>
        <v>Eliani da Silva Gonçalves | Pós-Graduação Alfabetização e Letramento | Enviado em 11/09/2024 - E-mail</v>
      </c>
      <c r="B245" s="396"/>
      <c r="C245" s="384"/>
      <c r="D245" s="384"/>
      <c r="E245" s="384"/>
      <c r="F245" s="384"/>
      <c r="G245" s="384"/>
      <c r="H245" s="384"/>
      <c r="I245" s="384"/>
      <c r="J245" s="384"/>
      <c r="K245" s="384"/>
      <c r="L245" s="384"/>
      <c r="M245" s="384"/>
      <c r="N245" s="384"/>
      <c r="O245" s="384"/>
      <c r="P245" s="384"/>
      <c r="Q245" s="384"/>
    </row>
    <row r="246">
      <c r="A246" s="396" t="str">
        <f>IFERROR(__xludf.DUMMYFUNCTION("""COMPUTED_VALUE"""),"Marcelo Furini | Pós-Graduação em Nutrição Esportiva | Enviado dia 16/09/2024 - E-mail ")</f>
        <v>Marcelo Furini | Pós-Graduação em Nutrição Esportiva | Enviado dia 16/09/2024 - E-mail </v>
      </c>
      <c r="B246" s="396"/>
      <c r="C246" s="384"/>
      <c r="D246" s="384"/>
      <c r="E246" s="384"/>
      <c r="F246" s="384"/>
      <c r="G246" s="384"/>
      <c r="H246" s="384"/>
      <c r="I246" s="384"/>
      <c r="J246" s="384"/>
      <c r="K246" s="384"/>
      <c r="L246" s="384"/>
      <c r="M246" s="384"/>
      <c r="N246" s="384"/>
      <c r="O246" s="384"/>
      <c r="P246" s="384"/>
      <c r="Q246" s="384"/>
    </row>
    <row r="247">
      <c r="A247" s="396" t="str">
        <f>IFERROR(__xludf.DUMMYFUNCTION("""COMPUTED_VALUE"""),"Bernadete de Lourdes Lima | Pós-Graduação em Neuropsicopedagogia Institucional, Clínica e Hospitalar 850h | Enviado em 11/09/2024 - E-mail")</f>
        <v>Bernadete de Lourdes Lima | Pós-Graduação em Neuropsicopedagogia Institucional, Clínica e Hospitalar 850h | Enviado em 11/09/2024 - E-mail</v>
      </c>
      <c r="B247" s="396"/>
      <c r="C247" s="384"/>
      <c r="D247" s="384"/>
      <c r="E247" s="384"/>
      <c r="F247" s="384"/>
      <c r="G247" s="384"/>
      <c r="H247" s="384"/>
      <c r="I247" s="384"/>
      <c r="J247" s="384"/>
      <c r="K247" s="384"/>
      <c r="L247" s="384"/>
      <c r="M247" s="384"/>
      <c r="N247" s="384"/>
      <c r="O247" s="384"/>
      <c r="P247" s="384"/>
      <c r="Q247" s="384"/>
    </row>
    <row r="248">
      <c r="A248" s="396" t="str">
        <f>IFERROR(__xludf.DUMMYFUNCTION("""COMPUTED_VALUE"""),"João Acelino Barbosa Filho | Pós-Graduação em Educação Musical | Enviado em 11/09/2024 - E-mail")</f>
        <v>João Acelino Barbosa Filho | Pós-Graduação em Educação Musical | Enviado em 11/09/2024 - E-mail</v>
      </c>
      <c r="B248" s="396"/>
      <c r="C248" s="384"/>
      <c r="D248" s="384"/>
      <c r="E248" s="384"/>
      <c r="F248" s="384"/>
      <c r="G248" s="384"/>
      <c r="H248" s="384"/>
      <c r="I248" s="384"/>
      <c r="J248" s="384"/>
      <c r="K248" s="384"/>
      <c r="L248" s="384"/>
      <c r="M248" s="384"/>
      <c r="N248" s="384"/>
      <c r="O248" s="384"/>
      <c r="P248" s="384"/>
      <c r="Q248" s="384"/>
    </row>
    <row r="249">
      <c r="A249" s="396" t="str">
        <f>IFERROR(__xludf.DUMMYFUNCTION("""COMPUTED_VALUE"""),"Vani Lucindo Couto Alves | Pós-Graduação em Psicanálise 800 Horas | Enviado dia 13/09/2024 - E-mail ")</f>
        <v>Vani Lucindo Couto Alves | Pós-Graduação em Psicanálise 800 Horas | Enviado dia 13/09/2024 - E-mail </v>
      </c>
      <c r="B249" s="396"/>
      <c r="C249" s="384"/>
      <c r="D249" s="384"/>
      <c r="E249" s="384"/>
      <c r="F249" s="384"/>
      <c r="G249" s="384"/>
      <c r="H249" s="384"/>
      <c r="I249" s="384"/>
      <c r="J249" s="384"/>
      <c r="K249" s="384"/>
      <c r="L249" s="384"/>
      <c r="M249" s="384"/>
      <c r="N249" s="384"/>
      <c r="O249" s="384"/>
      <c r="P249" s="384"/>
      <c r="Q249" s="384"/>
    </row>
    <row r="250">
      <c r="A250" s="396" t="str">
        <f>IFERROR(__xludf.DUMMYFUNCTION("""COMPUTED_VALUE"""),"Ênio Richard Goulart de Oliveira | Pós-Graduação em Nutrição Esportiva | Enviado dia 16/09/2024 - E-mail ")</f>
        <v>Ênio Richard Goulart de Oliveira | Pós-Graduação em Nutrição Esportiva | Enviado dia 16/09/2024 - E-mail </v>
      </c>
      <c r="B250" s="396"/>
      <c r="C250" s="384"/>
      <c r="D250" s="384"/>
      <c r="E250" s="384"/>
      <c r="F250" s="384"/>
      <c r="G250" s="384"/>
      <c r="H250" s="384"/>
      <c r="I250" s="384"/>
      <c r="J250" s="384"/>
      <c r="K250" s="384"/>
      <c r="L250" s="384"/>
      <c r="M250" s="384"/>
      <c r="N250" s="384"/>
      <c r="O250" s="384"/>
      <c r="P250" s="384"/>
      <c r="Q250" s="384"/>
    </row>
    <row r="251">
      <c r="A251" s="396" t="str">
        <f>IFERROR(__xludf.DUMMYFUNCTION("""COMPUTED_VALUE"""),"Carmem Lucia Rosa | Pós-Graduação em Psicanálise 800 Horas | Enviado em 21/09/2024 - E-mail ")</f>
        <v>Carmem Lucia Rosa | Pós-Graduação em Psicanálise 800 Horas | Enviado em 21/09/2024 - E-mail </v>
      </c>
      <c r="B251" s="396"/>
      <c r="C251" s="384"/>
      <c r="D251" s="384"/>
      <c r="E251" s="384"/>
      <c r="F251" s="384"/>
      <c r="G251" s="384"/>
      <c r="H251" s="384"/>
      <c r="I251" s="384"/>
      <c r="J251" s="384"/>
      <c r="K251" s="384"/>
      <c r="L251" s="384"/>
      <c r="M251" s="384"/>
      <c r="N251" s="384"/>
      <c r="O251" s="384"/>
      <c r="P251" s="384"/>
      <c r="Q251" s="384"/>
    </row>
    <row r="252">
      <c r="A252" s="396" t="str">
        <f>IFERROR(__xludf.DUMMYFUNCTION("""COMPUTED_VALUE"""),"Sabrina da Silva Magalhães Martins | Pós-Graduação em Gestão Escolar Integrada com Ênfase em Supervisão, Orientação, Administração e Inspeção | Enviado dia 16/09/2024 - E-mail ")</f>
        <v>Sabrina da Silva Magalhães Martins | Pós-Graduação em Gestão Escolar Integrada com Ênfase em Supervisão, Orientação, Administração e Inspeção | Enviado dia 16/09/2024 - E-mail </v>
      </c>
      <c r="B252" s="396"/>
      <c r="C252" s="384"/>
      <c r="D252" s="384"/>
      <c r="E252" s="384"/>
      <c r="F252" s="384"/>
      <c r="G252" s="384"/>
      <c r="H252" s="384"/>
      <c r="I252" s="384"/>
      <c r="J252" s="384"/>
      <c r="K252" s="384"/>
      <c r="L252" s="384"/>
      <c r="M252" s="384"/>
      <c r="N252" s="384"/>
      <c r="O252" s="384"/>
      <c r="P252" s="384"/>
      <c r="Q252" s="384"/>
    </row>
    <row r="253">
      <c r="A253" s="396" t="str">
        <f>IFERROR(__xludf.DUMMYFUNCTION("""COMPUTED_VALUE"""),"Suely Candida Ribeiro | Pós-Graduação em Psicanálise | Enviado dia 16/09/2024 - E-mail ")</f>
        <v>Suely Candida Ribeiro | Pós-Graduação em Psicanálise | Enviado dia 16/09/2024 - E-mail </v>
      </c>
      <c r="B253" s="396"/>
      <c r="C253" s="384"/>
      <c r="D253" s="384"/>
      <c r="E253" s="384"/>
      <c r="F253" s="384"/>
      <c r="G253" s="384"/>
      <c r="H253" s="384"/>
      <c r="I253" s="384"/>
      <c r="J253" s="384"/>
      <c r="K253" s="384"/>
      <c r="L253" s="384"/>
      <c r="M253" s="384"/>
      <c r="N253" s="384"/>
      <c r="O253" s="384"/>
      <c r="P253" s="384"/>
      <c r="Q253" s="384"/>
    </row>
    <row r="254">
      <c r="A254" s="396" t="str">
        <f>IFERROR(__xludf.DUMMYFUNCTION("""COMPUTED_VALUE"""),"Daniele Tauane Souza de Melo | Pós-Graduação em Supervisão Escolar | Enviado dia 16/09/2024 - E-mail ")</f>
        <v>Daniele Tauane Souza de Melo | Pós-Graduação em Supervisão Escolar | Enviado dia 16/09/2024 - E-mail </v>
      </c>
      <c r="B254" s="396"/>
      <c r="C254" s="384"/>
      <c r="D254" s="384"/>
      <c r="E254" s="384"/>
      <c r="F254" s="384"/>
      <c r="G254" s="384"/>
      <c r="H254" s="384"/>
      <c r="I254" s="384"/>
      <c r="J254" s="384"/>
      <c r="K254" s="384"/>
      <c r="L254" s="384"/>
      <c r="M254" s="384"/>
      <c r="N254" s="384"/>
      <c r="O254" s="384"/>
      <c r="P254" s="384"/>
      <c r="Q254" s="384"/>
    </row>
    <row r="255">
      <c r="A255" s="396" t="str">
        <f>IFERROR(__xludf.DUMMYFUNCTION("""COMPUTED_VALUE"""),"Maria Vanuza Silva de Sous | Pós-Graduação em Neuropsicopedagogia Institucional | Enviado em 23/09/2024 - E-mail")</f>
        <v>Maria Vanuza Silva de Sous | Pós-Graduação em Neuropsicopedagogia Institucional | Enviado em 23/09/2024 - E-mail</v>
      </c>
      <c r="B255" s="396"/>
      <c r="C255" s="384"/>
      <c r="D255" s="384"/>
      <c r="E255" s="384"/>
      <c r="F255" s="384"/>
      <c r="G255" s="384"/>
      <c r="H255" s="384"/>
      <c r="I255" s="384"/>
      <c r="J255" s="384"/>
      <c r="K255" s="384"/>
      <c r="L255" s="384"/>
      <c r="M255" s="384"/>
      <c r="N255" s="384"/>
      <c r="O255" s="384"/>
      <c r="P255" s="384"/>
      <c r="Q255" s="384"/>
    </row>
    <row r="256">
      <c r="A256" s="396" t="str">
        <f>IFERROR(__xludf.DUMMYFUNCTION("""COMPUTED_VALUE"""),"Maria Madalena Francelino de Carvalho Santos | Pós-Graduação em Psicanálise | Enviado em 13/09/2024 - E-mail")</f>
        <v>Maria Madalena Francelino de Carvalho Santos | Pós-Graduação em Psicanálise | Enviado em 13/09/2024 - E-mail</v>
      </c>
      <c r="B256" s="396"/>
      <c r="C256" s="384"/>
      <c r="D256" s="384"/>
      <c r="E256" s="384"/>
      <c r="F256" s="384"/>
      <c r="G256" s="384"/>
      <c r="H256" s="384"/>
      <c r="I256" s="384"/>
      <c r="J256" s="384"/>
      <c r="K256" s="384"/>
      <c r="L256" s="384"/>
      <c r="M256" s="384"/>
      <c r="N256" s="384"/>
      <c r="O256" s="384"/>
      <c r="P256" s="384"/>
      <c r="Q256" s="384"/>
    </row>
    <row r="257">
      <c r="A257" s="396" t="str">
        <f>IFERROR(__xludf.DUMMYFUNCTION("""COMPUTED_VALUE"""),"Maria da Conceição da Silva Leão Bernal | Formação Livre Psicanálise | Enviado em 13/09/2024 - E-mail")</f>
        <v>Maria da Conceição da Silva Leão Bernal | Formação Livre Psicanálise | Enviado em 13/09/2024 - E-mail</v>
      </c>
      <c r="B257" s="396"/>
      <c r="C257" s="384"/>
      <c r="D257" s="384"/>
      <c r="E257" s="384"/>
      <c r="F257" s="384"/>
      <c r="G257" s="384"/>
      <c r="H257" s="384"/>
      <c r="I257" s="384"/>
      <c r="J257" s="384"/>
      <c r="K257" s="384"/>
      <c r="L257" s="384"/>
      <c r="M257" s="384"/>
      <c r="N257" s="384"/>
      <c r="O257" s="384"/>
      <c r="P257" s="384"/>
      <c r="Q257" s="384"/>
    </row>
    <row r="258">
      <c r="A258" s="396" t="str">
        <f>IFERROR(__xludf.DUMMYFUNCTION("""COMPUTED_VALUE"""),"Josy Michelly Ferreira Da Costa Nunes | Pós-Graduação em MBA em Gestão Social | Enviado em 20/09/2024 - E-mail")</f>
        <v>Josy Michelly Ferreira Da Costa Nunes | Pós-Graduação em MBA em Gestão Social | Enviado em 20/09/2024 - E-mail</v>
      </c>
      <c r="B258" s="396"/>
      <c r="C258" s="384"/>
      <c r="D258" s="384"/>
      <c r="E258" s="384"/>
      <c r="F258" s="384"/>
      <c r="G258" s="384"/>
      <c r="H258" s="384"/>
      <c r="I258" s="384"/>
      <c r="J258" s="384"/>
      <c r="K258" s="384"/>
      <c r="L258" s="384"/>
      <c r="M258" s="384"/>
      <c r="N258" s="384"/>
      <c r="O258" s="384"/>
      <c r="P258" s="384"/>
      <c r="Q258" s="384"/>
    </row>
    <row r="259">
      <c r="A259" s="396" t="str">
        <f>IFERROR(__xludf.DUMMYFUNCTION("""COMPUTED_VALUE"""),"Daniele Cristina Barbosa de Oliveira Pereira | Formação Livre Psicanálise | Enviado em 13/09/2024 - E-mail")</f>
        <v>Daniele Cristina Barbosa de Oliveira Pereira | Formação Livre Psicanálise | Enviado em 13/09/2024 - E-mail</v>
      </c>
      <c r="B259" s="396"/>
      <c r="C259" s="384"/>
      <c r="D259" s="384"/>
      <c r="E259" s="384"/>
      <c r="F259" s="384"/>
      <c r="G259" s="384"/>
      <c r="H259" s="384"/>
      <c r="I259" s="384"/>
      <c r="J259" s="384"/>
      <c r="K259" s="384"/>
      <c r="L259" s="384"/>
      <c r="M259" s="384"/>
      <c r="N259" s="384"/>
      <c r="O259" s="384"/>
      <c r="P259" s="384"/>
      <c r="Q259" s="384"/>
    </row>
    <row r="260">
      <c r="A260" s="396" t="str">
        <f>IFERROR(__xludf.DUMMYFUNCTION("""COMPUTED_VALUE"""),"Thiago Vaz dos Santos  | Pós-graduação em Sexologia  | Enviado dia 16/09/2024 - E-mail ")</f>
        <v>Thiago Vaz dos Santos  | Pós-graduação em Sexologia  | Enviado dia 16/09/2024 - E-mail </v>
      </c>
      <c r="B260" s="396"/>
      <c r="C260" s="384"/>
      <c r="D260" s="384"/>
      <c r="E260" s="384"/>
      <c r="F260" s="384"/>
      <c r="G260" s="384"/>
      <c r="H260" s="384"/>
      <c r="I260" s="384"/>
      <c r="J260" s="384"/>
      <c r="K260" s="384"/>
      <c r="L260" s="384"/>
      <c r="M260" s="384"/>
      <c r="N260" s="384"/>
      <c r="O260" s="384"/>
      <c r="P260" s="384"/>
      <c r="Q260" s="384"/>
    </row>
    <row r="261">
      <c r="A261" s="396" t="str">
        <f>IFERROR(__xludf.DUMMYFUNCTION("""COMPUTED_VALUE""")," Ecicleide maria da silva | Pós-Graduação em Psicanálise | Enviado dia 16/09/2024 - E-mail ")</f>
        <v> Ecicleide maria da silva | Pós-Graduação em Psicanálise | Enviado dia 16/09/2024 - E-mail </v>
      </c>
      <c r="B261" s="396"/>
      <c r="C261" s="384"/>
      <c r="D261" s="384"/>
      <c r="E261" s="384"/>
      <c r="F261" s="384"/>
      <c r="G261" s="384"/>
      <c r="H261" s="384"/>
      <c r="I261" s="384"/>
      <c r="J261" s="384"/>
      <c r="K261" s="384"/>
      <c r="L261" s="384"/>
      <c r="M261" s="384"/>
      <c r="N261" s="384"/>
      <c r="O261" s="384"/>
      <c r="P261" s="384"/>
      <c r="Q261" s="384"/>
    </row>
    <row r="262">
      <c r="A262" s="396" t="str">
        <f>IFERROR(__xludf.DUMMYFUNCTION("""COMPUTED_VALUE"""),"Claudete Aparecida Pereira | Pós-Graduação em Psicanálise | Enviado dia 16/09/2024 - E-mail ")</f>
        <v>Claudete Aparecida Pereira | Pós-Graduação em Psicanálise | Enviado dia 16/09/2024 - E-mail </v>
      </c>
      <c r="B262" s="396"/>
      <c r="C262" s="384"/>
      <c r="D262" s="384"/>
      <c r="E262" s="384"/>
      <c r="F262" s="384"/>
      <c r="G262" s="384"/>
      <c r="H262" s="384"/>
      <c r="I262" s="384"/>
      <c r="J262" s="384"/>
      <c r="K262" s="384"/>
      <c r="L262" s="384"/>
      <c r="M262" s="384"/>
      <c r="N262" s="384"/>
      <c r="O262" s="384"/>
      <c r="P262" s="384"/>
      <c r="Q262" s="384"/>
    </row>
    <row r="263">
      <c r="A263" s="396" t="str">
        <f>IFERROR(__xludf.DUMMYFUNCTION("""COMPUTED_VALUE"""),"Ângela Fátima da Silva Souza | Pós-Graduação em Psicanálise | Enviado dia 16/09/2024 - E-mail ")</f>
        <v>Ângela Fátima da Silva Souza | Pós-Graduação em Psicanálise | Enviado dia 16/09/2024 - E-mail </v>
      </c>
      <c r="B263" s="396"/>
      <c r="C263" s="384"/>
      <c r="D263" s="384"/>
      <c r="E263" s="384"/>
      <c r="F263" s="384"/>
      <c r="G263" s="384"/>
      <c r="H263" s="384"/>
      <c r="I263" s="384"/>
      <c r="J263" s="384"/>
      <c r="K263" s="384"/>
      <c r="L263" s="384"/>
      <c r="M263" s="384"/>
      <c r="N263" s="384"/>
      <c r="O263" s="384"/>
      <c r="P263" s="384"/>
      <c r="Q263" s="384"/>
    </row>
    <row r="264">
      <c r="A264" s="396" t="str">
        <f>IFERROR(__xludf.DUMMYFUNCTION("""COMPUTED_VALUE"""),"Irleyde Brito Alencar | Pós-Graduação em Psicanálise 2/2023 | Enviado dia 16/09/2024 - E-mail ")</f>
        <v>Irleyde Brito Alencar | Pós-Graduação em Psicanálise 2/2023 | Enviado dia 16/09/2024 - E-mail </v>
      </c>
      <c r="B264" s="396"/>
      <c r="C264" s="384"/>
      <c r="D264" s="384"/>
      <c r="E264" s="384"/>
      <c r="F264" s="384"/>
      <c r="G264" s="384"/>
      <c r="H264" s="384"/>
      <c r="I264" s="384"/>
      <c r="J264" s="384"/>
      <c r="K264" s="384"/>
      <c r="L264" s="384"/>
      <c r="M264" s="384"/>
      <c r="N264" s="384"/>
      <c r="O264" s="384"/>
      <c r="P264" s="384"/>
      <c r="Q264" s="384"/>
    </row>
    <row r="265">
      <c r="A265" s="396" t="str">
        <f>IFERROR(__xludf.DUMMYFUNCTION("""COMPUTED_VALUE"""),"Mauro Luiz Justo Medeiros | Pós-Graduação em Psicanálise | Enviado 16/09/2024 - E-mail ")</f>
        <v>Mauro Luiz Justo Medeiros | Pós-Graduação em Psicanálise | Enviado 16/09/2024 - E-mail </v>
      </c>
      <c r="B265" s="396"/>
      <c r="C265" s="384"/>
      <c r="D265" s="384"/>
      <c r="E265" s="384"/>
      <c r="F265" s="384"/>
      <c r="G265" s="384"/>
      <c r="H265" s="384"/>
      <c r="I265" s="384"/>
      <c r="J265" s="384"/>
      <c r="K265" s="384"/>
      <c r="L265" s="384"/>
      <c r="M265" s="384"/>
      <c r="N265" s="384"/>
      <c r="O265" s="384"/>
      <c r="P265" s="384"/>
      <c r="Q265" s="384"/>
    </row>
    <row r="266">
      <c r="A266" s="396" t="str">
        <f>IFERROR(__xludf.DUMMYFUNCTION("""COMPUTED_VALUE"""),"Ericon Moura de Jesus  | Pós-Graduação em Educação Musical | Enviado em  17/09/2024 - E-mail")</f>
        <v>Ericon Moura de Jesus  | Pós-Graduação em Educação Musical | Enviado em  17/09/2024 - E-mail</v>
      </c>
      <c r="B266" s="396"/>
      <c r="C266" s="384"/>
      <c r="D266" s="384"/>
      <c r="E266" s="384"/>
      <c r="F266" s="384"/>
      <c r="G266" s="384"/>
      <c r="H266" s="384"/>
      <c r="I266" s="384"/>
      <c r="J266" s="384"/>
      <c r="K266" s="384"/>
      <c r="L266" s="384"/>
      <c r="M266" s="384"/>
      <c r="N266" s="384"/>
      <c r="O266" s="384"/>
      <c r="P266" s="384"/>
      <c r="Q266" s="384"/>
    </row>
    <row r="267">
      <c r="A267" s="396" t="str">
        <f>IFERROR(__xludf.DUMMYFUNCTION("""COMPUTED_VALUE"""),"Deivison Mariano de souza | Pos graduação em Direito constitucional, | Enviado dia 16/09/2024 - E-mail ")</f>
        <v>Deivison Mariano de souza | Pos graduação em Direito constitucional, | Enviado dia 16/09/2024 - E-mail </v>
      </c>
      <c r="B267" s="396"/>
      <c r="C267" s="384"/>
      <c r="D267" s="384"/>
      <c r="E267" s="384"/>
      <c r="F267" s="384"/>
      <c r="G267" s="384"/>
      <c r="H267" s="384"/>
      <c r="I267" s="384"/>
      <c r="J267" s="384"/>
      <c r="K267" s="384"/>
      <c r="L267" s="384"/>
      <c r="M267" s="384"/>
      <c r="N267" s="384"/>
      <c r="O267" s="384"/>
      <c r="P267" s="384"/>
      <c r="Q267" s="384"/>
    </row>
    <row r="268">
      <c r="A268" s="396" t="str">
        <f>IFERROR(__xludf.DUMMYFUNCTION("""COMPUTED_VALUE"""),"Deivison Mariano de souza | Pós graduação em Direito penal e processual penal  | Enviado dia 16/09/2024 - E-mail ")</f>
        <v>Deivison Mariano de souza | Pós graduação em Direito penal e processual penal  | Enviado dia 16/09/2024 - E-mail </v>
      </c>
      <c r="B268" s="396"/>
      <c r="C268" s="384"/>
      <c r="D268" s="384"/>
      <c r="E268" s="384"/>
      <c r="F268" s="384"/>
      <c r="G268" s="384"/>
      <c r="H268" s="384"/>
      <c r="I268" s="384"/>
      <c r="J268" s="384"/>
      <c r="K268" s="384"/>
      <c r="L268" s="384"/>
      <c r="M268" s="384"/>
      <c r="N268" s="384"/>
      <c r="O268" s="384"/>
      <c r="P268" s="384"/>
      <c r="Q268" s="384"/>
    </row>
    <row r="269">
      <c r="A269" s="396" t="str">
        <f>IFERROR(__xludf.DUMMYFUNCTION("""COMPUTED_VALUE"""),"Deivison Mariano de souza | Pós-Graduação em Direito Administrativo | Enviado dia 16/09/2024 - E-mail ")</f>
        <v>Deivison Mariano de souza | Pós-Graduação em Direito Administrativo | Enviado dia 16/09/2024 - E-mail </v>
      </c>
      <c r="B269" s="396"/>
      <c r="C269" s="384"/>
      <c r="D269" s="384"/>
      <c r="E269" s="384"/>
      <c r="F269" s="384"/>
      <c r="G269" s="384"/>
      <c r="H269" s="384"/>
      <c r="I269" s="384"/>
      <c r="J269" s="384"/>
      <c r="K269" s="384"/>
      <c r="L269" s="384"/>
      <c r="M269" s="384"/>
      <c r="N269" s="384"/>
      <c r="O269" s="384"/>
      <c r="P269" s="384"/>
      <c r="Q269" s="384"/>
    </row>
    <row r="270">
      <c r="A270" s="396" t="str">
        <f>IFERROR(__xludf.DUMMYFUNCTION("""COMPUTED_VALUE"""),"Angelina Alves Ferreira | Pós em Educação Especial e Inclusiva com Ênfase em Neurociência e Aprendizagem | Enviado dia 16/09/2024 - E-mail ")</f>
        <v>Angelina Alves Ferreira | Pós em Educação Especial e Inclusiva com Ênfase em Neurociência e Aprendizagem | Enviado dia 16/09/2024 - E-mail </v>
      </c>
      <c r="B270" s="396"/>
      <c r="C270" s="384"/>
      <c r="D270" s="384"/>
      <c r="E270" s="384"/>
      <c r="F270" s="384"/>
      <c r="G270" s="384"/>
      <c r="H270" s="384"/>
      <c r="I270" s="384"/>
      <c r="J270" s="384"/>
      <c r="K270" s="384"/>
      <c r="L270" s="384"/>
      <c r="M270" s="384"/>
      <c r="N270" s="384"/>
      <c r="O270" s="384"/>
      <c r="P270" s="384"/>
      <c r="Q270" s="384"/>
    </row>
    <row r="271">
      <c r="A271" s="396" t="str">
        <f>IFERROR(__xludf.DUMMYFUNCTION("""COMPUTED_VALUE"""),"Rosane Isabella Oliveira de Melo | Pós-Graduação em TDAH – Transtorno do Déficit de Atenção e Hiperatividade | Enviado dia 16/09/2024 - E-mail ")</f>
        <v>Rosane Isabella Oliveira de Melo | Pós-Graduação em TDAH – Transtorno do Déficit de Atenção e Hiperatividade | Enviado dia 16/09/2024 - E-mail </v>
      </c>
      <c r="B271" s="396"/>
      <c r="C271" s="384"/>
      <c r="D271" s="384"/>
      <c r="E271" s="384"/>
      <c r="F271" s="384"/>
      <c r="G271" s="384"/>
      <c r="H271" s="384"/>
      <c r="I271" s="384"/>
      <c r="J271" s="384"/>
      <c r="K271" s="384"/>
      <c r="L271" s="384"/>
      <c r="M271" s="384"/>
      <c r="N271" s="384"/>
      <c r="O271" s="384"/>
      <c r="P271" s="384"/>
      <c r="Q271" s="384"/>
    </row>
    <row r="272">
      <c r="A272" s="396" t="str">
        <f>IFERROR(__xludf.DUMMYFUNCTION("""COMPUTED_VALUE"""),"Rita de Cassia da Silva de Oliveira | Pós-Graduação em Psicanálise 800 Horas | Enviado em 21/09/2024 - E-mail")</f>
        <v>Rita de Cassia da Silva de Oliveira | Pós-Graduação em Psicanálise 800 Horas | Enviado em 21/09/2024 - E-mail</v>
      </c>
      <c r="B272" s="396"/>
      <c r="C272" s="384"/>
      <c r="D272" s="384"/>
      <c r="E272" s="384"/>
      <c r="F272" s="384"/>
      <c r="G272" s="384"/>
      <c r="H272" s="384"/>
      <c r="I272" s="384"/>
      <c r="J272" s="384"/>
      <c r="K272" s="384"/>
      <c r="L272" s="384"/>
      <c r="M272" s="384"/>
      <c r="N272" s="384"/>
      <c r="O272" s="384"/>
      <c r="P272" s="384"/>
      <c r="Q272" s="384"/>
    </row>
    <row r="273">
      <c r="A273" s="396" t="str">
        <f>IFERROR(__xludf.DUMMYFUNCTION("""COMPUTED_VALUE"""),"CELSO HENRIQUE VIEIRA DE LIMA | Pós-Graduação em Musicoterapia | Enviado em 23/09/2024 - E-mail  ")</f>
        <v>CELSO HENRIQUE VIEIRA DE LIMA | Pós-Graduação em Musicoterapia | Enviado em 23/09/2024 - E-mail  </v>
      </c>
      <c r="B273" s="396"/>
      <c r="C273" s="384"/>
      <c r="D273" s="384"/>
      <c r="E273" s="384"/>
      <c r="F273" s="384"/>
      <c r="G273" s="384"/>
      <c r="H273" s="384"/>
      <c r="I273" s="384"/>
      <c r="J273" s="384"/>
      <c r="K273" s="384"/>
      <c r="L273" s="384"/>
      <c r="M273" s="384"/>
      <c r="N273" s="384"/>
      <c r="O273" s="384"/>
      <c r="P273" s="384"/>
      <c r="Q273" s="384"/>
    </row>
    <row r="274">
      <c r="A274" s="396" t="str">
        <f>IFERROR(__xludf.DUMMYFUNCTION("""COMPUTED_VALUE"""),"Alexandre Carvalho Salvador | Pós-Graduação em Psicanálise 800 Horas | Enviado em 23/09/2024 - E-mail  ")</f>
        <v>Alexandre Carvalho Salvador | Pós-Graduação em Psicanálise 800 Horas | Enviado em 23/09/2024 - E-mail  </v>
      </c>
      <c r="B274" s="396"/>
      <c r="C274" s="384"/>
      <c r="D274" s="384"/>
      <c r="E274" s="384"/>
      <c r="F274" s="384"/>
      <c r="G274" s="384"/>
      <c r="H274" s="384"/>
      <c r="I274" s="384"/>
      <c r="J274" s="384"/>
      <c r="K274" s="384"/>
      <c r="L274" s="384"/>
      <c r="M274" s="384"/>
      <c r="N274" s="384"/>
      <c r="O274" s="384"/>
      <c r="P274" s="384"/>
      <c r="Q274" s="384"/>
    </row>
    <row r="275">
      <c r="A275" s="396" t="str">
        <f>IFERROR(__xludf.DUMMYFUNCTION("""COMPUTED_VALUE"""),"Anderson Mateus Jesus Oliveira | Formação Livre em Psicanalise  | Enviado em 13/09/2024 - E-mail")</f>
        <v>Anderson Mateus Jesus Oliveira | Formação Livre em Psicanalise  | Enviado em 13/09/2024 - E-mail</v>
      </c>
      <c r="B275" s="396"/>
      <c r="C275" s="384"/>
      <c r="D275" s="384"/>
      <c r="E275" s="384"/>
      <c r="F275" s="384"/>
      <c r="G275" s="384"/>
      <c r="H275" s="384"/>
      <c r="I275" s="384"/>
      <c r="J275" s="384"/>
      <c r="K275" s="384"/>
      <c r="L275" s="384"/>
      <c r="M275" s="384"/>
      <c r="N275" s="384"/>
      <c r="O275" s="384"/>
      <c r="P275" s="384"/>
      <c r="Q275" s="384"/>
    </row>
    <row r="276">
      <c r="A276" s="396" t="str">
        <f>IFERROR(__xludf.DUMMYFUNCTION("""COMPUTED_VALUE"""),"Karolaine Silva Dutra Alves | Pós-Graduação em Supervisão e Orientação Escolar- | Enviado em 23/09/2024 - E-mail  ")</f>
        <v>Karolaine Silva Dutra Alves | Pós-Graduação em Supervisão e Orientação Escolar- | Enviado em 23/09/2024 - E-mail  </v>
      </c>
      <c r="B276" s="396"/>
      <c r="C276" s="384"/>
      <c r="D276" s="384"/>
      <c r="E276" s="384"/>
      <c r="F276" s="384"/>
      <c r="G276" s="384"/>
      <c r="H276" s="384"/>
      <c r="I276" s="384"/>
      <c r="J276" s="384"/>
      <c r="K276" s="384"/>
      <c r="L276" s="384"/>
      <c r="M276" s="384"/>
      <c r="N276" s="384"/>
      <c r="O276" s="384"/>
      <c r="P276" s="384"/>
      <c r="Q276" s="384"/>
    </row>
    <row r="277">
      <c r="A277" s="396" t="str">
        <f>IFERROR(__xludf.DUMMYFUNCTION("""COMPUTED_VALUE"""),"Cleiton de Paula Oliveira | Pós-Graduação em Educação Física Escolar e Treinamento Desportivo 2022 | Enviado dia 16/09/2024 - E-mail ")</f>
        <v>Cleiton de Paula Oliveira | Pós-Graduação em Educação Física Escolar e Treinamento Desportivo 2022 | Enviado dia 16/09/2024 - E-mail </v>
      </c>
      <c r="B277" s="396"/>
      <c r="C277" s="384"/>
      <c r="D277" s="384"/>
      <c r="E277" s="384"/>
      <c r="F277" s="384"/>
      <c r="G277" s="384"/>
      <c r="H277" s="384"/>
      <c r="I277" s="384"/>
      <c r="J277" s="384"/>
      <c r="K277" s="384"/>
      <c r="L277" s="384"/>
      <c r="M277" s="384"/>
      <c r="N277" s="384"/>
      <c r="O277" s="384"/>
      <c r="P277" s="384"/>
      <c r="Q277" s="384"/>
    </row>
    <row r="278">
      <c r="A278" s="396" t="str">
        <f>IFERROR(__xludf.DUMMYFUNCTION("""COMPUTED_VALUE"""),"Maria Vanuza Silva de Sousa | Pós-Graduação em Neuropsicopedagogia Institucional | Enviado dia 16/09/2024 - E-mail ")</f>
        <v>Maria Vanuza Silva de Sousa | Pós-Graduação em Neuropsicopedagogia Institucional | Enviado dia 16/09/2024 - E-mail </v>
      </c>
      <c r="B278" s="396"/>
      <c r="C278" s="384"/>
      <c r="D278" s="384"/>
      <c r="E278" s="384"/>
      <c r="F278" s="384"/>
      <c r="G278" s="384"/>
      <c r="H278" s="384"/>
      <c r="I278" s="384"/>
      <c r="J278" s="384"/>
      <c r="K278" s="384"/>
      <c r="L278" s="384"/>
      <c r="M278" s="384"/>
      <c r="N278" s="384"/>
      <c r="O278" s="384"/>
      <c r="P278" s="384"/>
      <c r="Q278" s="384"/>
    </row>
    <row r="279">
      <c r="A279" s="396" t="str">
        <f>IFERROR(__xludf.DUMMYFUNCTION("""COMPUTED_VALUE"""),"Maria Aparecida Jesus Freitas de Morais | Pós-Graduação em Educação Musical | Enviado em 23/09/2024 - E-mail  ")</f>
        <v>Maria Aparecida Jesus Freitas de Morais | Pós-Graduação em Educação Musical | Enviado em 23/09/2024 - E-mail  </v>
      </c>
      <c r="B279" s="396"/>
      <c r="C279" s="384"/>
      <c r="D279" s="384"/>
      <c r="E279" s="384"/>
      <c r="F279" s="384"/>
      <c r="G279" s="384"/>
      <c r="H279" s="384"/>
      <c r="I279" s="384"/>
      <c r="J279" s="384"/>
      <c r="K279" s="384"/>
      <c r="L279" s="384"/>
      <c r="M279" s="384"/>
      <c r="N279" s="384"/>
      <c r="O279" s="384"/>
      <c r="P279" s="384"/>
      <c r="Q279" s="384"/>
    </row>
    <row r="280">
      <c r="A280" s="396" t="str">
        <f>IFERROR(__xludf.DUMMYFUNCTION("""COMPUTED_VALUE"""),"Adyla Bispo Costa | Pós-Graduação em Psicanálise | Enviado em 16/09/2024 - E-mail")</f>
        <v>Adyla Bispo Costa | Pós-Graduação em Psicanálise | Enviado em 16/09/2024 - E-mail</v>
      </c>
      <c r="B280" s="396"/>
      <c r="C280" s="384"/>
      <c r="D280" s="384"/>
      <c r="E280" s="384"/>
      <c r="F280" s="384"/>
      <c r="G280" s="384"/>
      <c r="H280" s="384"/>
      <c r="I280" s="384"/>
      <c r="J280" s="384"/>
      <c r="K280" s="384"/>
      <c r="L280" s="384"/>
      <c r="M280" s="384"/>
      <c r="N280" s="384"/>
      <c r="O280" s="384"/>
      <c r="P280" s="384"/>
      <c r="Q280" s="384"/>
    </row>
    <row r="281">
      <c r="A281" s="396" t="str">
        <f>IFERROR(__xludf.DUMMYFUNCTION("""COMPUTED_VALUE"""),"Ricardo Nunes | Pós-Graduação em Psicanálise 800 Horas | Enviado em 16/09/2024 - E-mail")</f>
        <v>Ricardo Nunes | Pós-Graduação em Psicanálise 800 Horas | Enviado em 16/09/2024 - E-mail</v>
      </c>
      <c r="B281" s="396"/>
      <c r="C281" s="384"/>
      <c r="D281" s="384"/>
      <c r="E281" s="384"/>
      <c r="F281" s="384"/>
      <c r="G281" s="384"/>
      <c r="H281" s="384"/>
      <c r="I281" s="384"/>
      <c r="J281" s="384"/>
      <c r="K281" s="384"/>
      <c r="L281" s="384"/>
      <c r="M281" s="384"/>
      <c r="N281" s="384"/>
      <c r="O281" s="384"/>
      <c r="P281" s="384"/>
      <c r="Q281" s="384"/>
    </row>
    <row r="282">
      <c r="A282" s="396" t="str">
        <f>IFERROR(__xludf.DUMMYFUNCTION("""COMPUTED_VALUE"""),"Sonia Elena Pimenta | Pós-Graduação em Neuropsicopedagogia Clínica e Institucional | Enviado em 23/09/2024 - E-mail  ")</f>
        <v>Sonia Elena Pimenta | Pós-Graduação em Neuropsicopedagogia Clínica e Institucional | Enviado em 23/09/2024 - E-mail  </v>
      </c>
      <c r="B282" s="396"/>
      <c r="C282" s="384"/>
      <c r="D282" s="384"/>
      <c r="E282" s="384"/>
      <c r="F282" s="384"/>
      <c r="G282" s="384"/>
      <c r="H282" s="384"/>
      <c r="I282" s="384"/>
      <c r="J282" s="384"/>
      <c r="K282" s="384"/>
      <c r="L282" s="384"/>
      <c r="M282" s="384"/>
      <c r="N282" s="384"/>
      <c r="O282" s="384"/>
      <c r="P282" s="384"/>
      <c r="Q282" s="384"/>
    </row>
    <row r="283">
      <c r="A283" s="396" t="str">
        <f>IFERROR(__xludf.DUMMYFUNCTION("""COMPUTED_VALUE"""),"Maria Divina Batista de Souza | Pós-Graduação Educação Especial e Inclusiva | Enviado em 16/09/2024 - E-mail")</f>
        <v>Maria Divina Batista de Souza | Pós-Graduação Educação Especial e Inclusiva | Enviado em 16/09/2024 - E-mail</v>
      </c>
      <c r="B283" s="396"/>
      <c r="C283" s="384"/>
      <c r="D283" s="384"/>
      <c r="E283" s="384"/>
      <c r="F283" s="384"/>
      <c r="G283" s="384"/>
      <c r="H283" s="384"/>
      <c r="I283" s="384"/>
      <c r="J283" s="384"/>
      <c r="K283" s="384"/>
      <c r="L283" s="384"/>
      <c r="M283" s="384"/>
      <c r="N283" s="384"/>
      <c r="O283" s="384"/>
      <c r="P283" s="384"/>
      <c r="Q283" s="384"/>
    </row>
    <row r="284">
      <c r="A284" s="396" t="str">
        <f>IFERROR(__xludf.DUMMYFUNCTION("""COMPUTED_VALUE"""),"Thaís Braga de Souza  | Pós Graduação Psicologia Esportiva | ")</f>
        <v>Thaís Braga de Souza  | Pós Graduação Psicologia Esportiva | </v>
      </c>
      <c r="B284" s="396"/>
      <c r="C284" s="384"/>
      <c r="D284" s="384"/>
      <c r="E284" s="384"/>
      <c r="F284" s="384"/>
      <c r="G284" s="384"/>
      <c r="H284" s="384"/>
      <c r="I284" s="384"/>
      <c r="J284" s="384"/>
      <c r="K284" s="384"/>
      <c r="L284" s="384"/>
      <c r="M284" s="384"/>
      <c r="N284" s="384"/>
      <c r="O284" s="384"/>
      <c r="P284" s="384"/>
      <c r="Q284" s="384"/>
    </row>
    <row r="285">
      <c r="A285" s="396" t="str">
        <f>IFERROR(__xludf.DUMMYFUNCTION("""COMPUTED_VALUE""")," Laise Camile Tesch Gums | Pós-graduação em Neuropsicologia | Enviado em 16/09/2024 - E-mail")</f>
        <v> Laise Camile Tesch Gums | Pós-graduação em Neuropsicologia | Enviado em 16/09/2024 - E-mail</v>
      </c>
      <c r="B285" s="396"/>
      <c r="C285" s="384"/>
      <c r="D285" s="384"/>
      <c r="E285" s="384"/>
      <c r="F285" s="384"/>
      <c r="G285" s="384"/>
      <c r="H285" s="384"/>
      <c r="I285" s="384"/>
      <c r="J285" s="384"/>
      <c r="K285" s="384"/>
      <c r="L285" s="384"/>
      <c r="M285" s="384"/>
      <c r="N285" s="384"/>
      <c r="O285" s="384"/>
      <c r="P285" s="384"/>
      <c r="Q285" s="384"/>
    </row>
    <row r="286">
      <c r="A286" s="396" t="str">
        <f>IFERROR(__xludf.DUMMYFUNCTION("""COMPUTED_VALUE""")," |  | ")</f>
        <v> |  | </v>
      </c>
      <c r="B286" s="396"/>
      <c r="C286" s="384"/>
      <c r="D286" s="384"/>
      <c r="E286" s="384"/>
      <c r="F286" s="384"/>
      <c r="G286" s="384"/>
      <c r="H286" s="384"/>
      <c r="I286" s="384"/>
      <c r="J286" s="384"/>
      <c r="K286" s="384"/>
      <c r="L286" s="384"/>
      <c r="M286" s="384"/>
      <c r="N286" s="384"/>
      <c r="O286" s="384"/>
      <c r="P286" s="384"/>
      <c r="Q286" s="384"/>
    </row>
    <row r="287">
      <c r="A287" s="396" t="str">
        <f>IFERROR(__xludf.DUMMYFUNCTION("""COMPUTED_VALUE"""),"Rosiene Sousa da Silva | Rio Verde - GO | Enviado")</f>
        <v>Rosiene Sousa da Silva | Rio Verde - GO | Enviado</v>
      </c>
      <c r="B287" s="396"/>
      <c r="C287" s="384"/>
      <c r="D287" s="384"/>
      <c r="E287" s="384"/>
      <c r="F287" s="384"/>
      <c r="G287" s="384"/>
      <c r="H287" s="384"/>
      <c r="I287" s="384"/>
      <c r="J287" s="384"/>
      <c r="K287" s="384"/>
      <c r="L287" s="384"/>
      <c r="M287" s="384"/>
      <c r="N287" s="384"/>
      <c r="O287" s="384"/>
      <c r="P287" s="384"/>
      <c r="Q287" s="384"/>
    </row>
    <row r="288">
      <c r="A288" s="396" t="str">
        <f>IFERROR(__xludf.DUMMYFUNCTION("""COMPUTED_VALUE"""),"Ane Marie da Vitória Cavalcante | Vitória - ES | Enviado")</f>
        <v>Ane Marie da Vitória Cavalcante | Vitória - ES | Enviado</v>
      </c>
      <c r="B288" s="396"/>
      <c r="C288" s="384"/>
      <c r="D288" s="384"/>
      <c r="E288" s="384"/>
      <c r="F288" s="384"/>
      <c r="G288" s="384"/>
      <c r="H288" s="384"/>
      <c r="I288" s="384"/>
      <c r="J288" s="384"/>
      <c r="K288" s="384"/>
      <c r="L288" s="384"/>
      <c r="M288" s="384"/>
      <c r="N288" s="384"/>
      <c r="O288" s="384"/>
      <c r="P288" s="384"/>
      <c r="Q288" s="384"/>
    </row>
    <row r="289">
      <c r="A289" s="396" t="str">
        <f>IFERROR(__xludf.DUMMYFUNCTION("""COMPUTED_VALUE"""),"Vanessa Paula de Campos Ferreira | Botucatu - SP | Enviado")</f>
        <v>Vanessa Paula de Campos Ferreira | Botucatu - SP | Enviado</v>
      </c>
      <c r="B289" s="396"/>
      <c r="C289" s="384"/>
      <c r="D289" s="384"/>
      <c r="E289" s="384"/>
      <c r="F289" s="384"/>
      <c r="G289" s="384"/>
      <c r="H289" s="384"/>
      <c r="I289" s="384"/>
      <c r="J289" s="384"/>
      <c r="K289" s="384"/>
      <c r="L289" s="384"/>
      <c r="M289" s="384"/>
      <c r="N289" s="384"/>
      <c r="O289" s="384"/>
      <c r="P289" s="384"/>
      <c r="Q289" s="384"/>
    </row>
    <row r="290">
      <c r="A290" s="396" t="str">
        <f>IFERROR(__xludf.DUMMYFUNCTION("""COMPUTED_VALUE"""),"João Batista Lourenço da Silva | Assu - RN | Enviado")</f>
        <v>João Batista Lourenço da Silva | Assu - RN | Enviado</v>
      </c>
      <c r="B290" s="396"/>
      <c r="C290" s="384"/>
      <c r="D290" s="384"/>
      <c r="E290" s="384"/>
      <c r="F290" s="384"/>
      <c r="G290" s="384"/>
      <c r="H290" s="384"/>
      <c r="I290" s="384"/>
      <c r="J290" s="384"/>
      <c r="K290" s="384"/>
      <c r="L290" s="384"/>
      <c r="M290" s="384"/>
      <c r="N290" s="384"/>
      <c r="O290" s="384"/>
      <c r="P290" s="384"/>
      <c r="Q290" s="384"/>
    </row>
    <row r="291">
      <c r="A291" s="396" t="str">
        <f>IFERROR(__xludf.DUMMYFUNCTION("""COMPUTED_VALUE"""),"Silvania Moraes Mascarin Bezerra | Deodapolis - MS | Enviado")</f>
        <v>Silvania Moraes Mascarin Bezerra | Deodapolis - MS | Enviado</v>
      </c>
      <c r="B291" s="396"/>
      <c r="C291" s="384"/>
      <c r="D291" s="384"/>
      <c r="E291" s="384"/>
      <c r="F291" s="384"/>
      <c r="G291" s="384"/>
      <c r="H291" s="384"/>
      <c r="I291" s="384"/>
      <c r="J291" s="384"/>
      <c r="K291" s="384"/>
      <c r="L291" s="384"/>
      <c r="M291" s="384"/>
      <c r="N291" s="384"/>
      <c r="O291" s="384"/>
      <c r="P291" s="384"/>
      <c r="Q291" s="384"/>
    </row>
    <row r="292">
      <c r="A292" s="396" t="str">
        <f>IFERROR(__xludf.DUMMYFUNCTION("""COMPUTED_VALUE"""),"Marcilene Cristina Souza Araujo Menon Lopes | Ipatinga - MG | Enviado")</f>
        <v>Marcilene Cristina Souza Araujo Menon Lopes | Ipatinga - MG | Enviado</v>
      </c>
      <c r="B292" s="396"/>
      <c r="C292" s="384"/>
      <c r="D292" s="384"/>
      <c r="E292" s="384"/>
      <c r="F292" s="384"/>
      <c r="G292" s="384"/>
      <c r="H292" s="384"/>
      <c r="I292" s="384"/>
      <c r="J292" s="384"/>
      <c r="K292" s="384"/>
      <c r="L292" s="384"/>
      <c r="M292" s="384"/>
      <c r="N292" s="384"/>
      <c r="O292" s="384"/>
      <c r="P292" s="384"/>
      <c r="Q292" s="384"/>
    </row>
    <row r="293">
      <c r="A293" s="396" t="str">
        <f>IFERROR(__xludf.DUMMYFUNCTION("""COMPUTED_VALUE"""),"Mauro Cesar Correia da Cunha | Rio de Janeiro - RJ | Enviado")</f>
        <v>Mauro Cesar Correia da Cunha | Rio de Janeiro - RJ | Enviado</v>
      </c>
      <c r="B293" s="396"/>
      <c r="C293" s="384"/>
      <c r="D293" s="384"/>
      <c r="E293" s="384"/>
      <c r="F293" s="384"/>
      <c r="G293" s="384"/>
      <c r="H293" s="384"/>
      <c r="I293" s="384"/>
      <c r="J293" s="384"/>
      <c r="K293" s="384"/>
      <c r="L293" s="384"/>
      <c r="M293" s="384"/>
      <c r="N293" s="384"/>
      <c r="O293" s="384"/>
      <c r="P293" s="384"/>
      <c r="Q293" s="384"/>
    </row>
    <row r="294">
      <c r="A294" s="396" t="str">
        <f>IFERROR(__xludf.DUMMYFUNCTION("""COMPUTED_VALUE"""),"Stefania Messa Ferreira de Oliveira | Itaqui - RS | Enviado")</f>
        <v>Stefania Messa Ferreira de Oliveira | Itaqui - RS | Enviado</v>
      </c>
      <c r="B294" s="396"/>
      <c r="C294" s="384"/>
      <c r="D294" s="384"/>
      <c r="E294" s="384"/>
      <c r="F294" s="384"/>
      <c r="G294" s="384"/>
      <c r="H294" s="384"/>
      <c r="I294" s="384"/>
      <c r="J294" s="384"/>
      <c r="K294" s="384"/>
      <c r="L294" s="384"/>
      <c r="M294" s="384"/>
      <c r="N294" s="384"/>
      <c r="O294" s="384"/>
      <c r="P294" s="384"/>
      <c r="Q294" s="384"/>
    </row>
    <row r="295">
      <c r="A295" s="396" t="str">
        <f>IFERROR(__xludf.DUMMYFUNCTION("""COMPUTED_VALUE"""),"Stefania Messa Ferreira de Oliveira | Itaqui - RS | Enviado")</f>
        <v>Stefania Messa Ferreira de Oliveira | Itaqui - RS | Enviado</v>
      </c>
      <c r="B295" s="396"/>
      <c r="C295" s="384"/>
      <c r="D295" s="384"/>
      <c r="E295" s="384"/>
      <c r="F295" s="384"/>
      <c r="G295" s="384"/>
      <c r="H295" s="384"/>
      <c r="I295" s="384"/>
      <c r="J295" s="384"/>
      <c r="K295" s="384"/>
      <c r="L295" s="384"/>
      <c r="M295" s="384"/>
      <c r="N295" s="384"/>
      <c r="O295" s="384"/>
      <c r="P295" s="384"/>
      <c r="Q295" s="384"/>
    </row>
    <row r="296">
      <c r="A296" s="396" t="str">
        <f>IFERROR(__xludf.DUMMYFUNCTION("""COMPUTED_VALUE"""),"Stefania Messa Ferreira de Oliveira | Itaqui - RS | Enviado")</f>
        <v>Stefania Messa Ferreira de Oliveira | Itaqui - RS | Enviado</v>
      </c>
      <c r="B296" s="396"/>
      <c r="C296" s="384"/>
      <c r="D296" s="384"/>
      <c r="E296" s="384"/>
      <c r="F296" s="384"/>
      <c r="G296" s="384"/>
      <c r="H296" s="384"/>
      <c r="I296" s="384"/>
      <c r="J296" s="384"/>
      <c r="K296" s="384"/>
      <c r="L296" s="384"/>
      <c r="M296" s="384"/>
      <c r="N296" s="384"/>
      <c r="O296" s="384"/>
      <c r="P296" s="384"/>
      <c r="Q296" s="384"/>
    </row>
    <row r="297">
      <c r="A297" s="396" t="str">
        <f>IFERROR(__xludf.DUMMYFUNCTION("""COMPUTED_VALUE"""),"Ezequiel Teixeira Cruz | Japeri - RJ | Enviado")</f>
        <v>Ezequiel Teixeira Cruz | Japeri - RJ | Enviado</v>
      </c>
      <c r="B297" s="396"/>
      <c r="C297" s="384"/>
      <c r="D297" s="384"/>
      <c r="E297" s="384"/>
      <c r="F297" s="384"/>
      <c r="G297" s="384"/>
      <c r="H297" s="384"/>
      <c r="I297" s="384"/>
      <c r="J297" s="384"/>
      <c r="K297" s="384"/>
      <c r="L297" s="384"/>
      <c r="M297" s="384"/>
      <c r="N297" s="384"/>
      <c r="O297" s="384"/>
      <c r="P297" s="384"/>
      <c r="Q297" s="384"/>
    </row>
    <row r="298">
      <c r="A298" s="396" t="str">
        <f>IFERROR(__xludf.DUMMYFUNCTION("""COMPUTED_VALUE"""),"Joyce Valeria Stangler de Boer | Porto Alegre - RS | Enviado")</f>
        <v>Joyce Valeria Stangler de Boer | Porto Alegre - RS | Enviado</v>
      </c>
      <c r="B298" s="396"/>
      <c r="C298" s="384"/>
      <c r="D298" s="384"/>
      <c r="E298" s="384"/>
      <c r="F298" s="384"/>
      <c r="G298" s="384"/>
      <c r="H298" s="384"/>
      <c r="I298" s="384"/>
      <c r="J298" s="384"/>
      <c r="K298" s="384"/>
      <c r="L298" s="384"/>
      <c r="M298" s="384"/>
      <c r="N298" s="384"/>
      <c r="O298" s="384"/>
      <c r="P298" s="384"/>
      <c r="Q298" s="384"/>
    </row>
    <row r="299">
      <c r="A299" s="396" t="str">
        <f>IFERROR(__xludf.DUMMYFUNCTION("""COMPUTED_VALUE"""),"Réberton Peres dos Santos | Pelotas - RS | Enviado")</f>
        <v>Réberton Peres dos Santos | Pelotas - RS | Enviado</v>
      </c>
      <c r="B299" s="396"/>
      <c r="C299" s="384"/>
      <c r="D299" s="384"/>
      <c r="E299" s="384"/>
      <c r="F299" s="384"/>
      <c r="G299" s="384"/>
      <c r="H299" s="384"/>
      <c r="I299" s="384"/>
      <c r="J299" s="384"/>
      <c r="K299" s="384"/>
      <c r="L299" s="384"/>
      <c r="M299" s="384"/>
      <c r="N299" s="384"/>
      <c r="O299" s="384"/>
      <c r="P299" s="384"/>
      <c r="Q299" s="384"/>
    </row>
    <row r="300">
      <c r="A300" s="403" t="str">
        <f>IFERROR(__xludf.DUMMYFUNCTION("""COMPUTED_VALUE"""),"Lorena Lacerda Lima e Bezerra | Ituiutaba - MG | Enviado")</f>
        <v>Lorena Lacerda Lima e Bezerra | Ituiutaba - MG | Enviado</v>
      </c>
      <c r="B300" s="403"/>
      <c r="C300" s="406"/>
      <c r="D300" s="406"/>
      <c r="E300" s="407"/>
      <c r="F300" s="407"/>
      <c r="G300" s="407"/>
      <c r="H300" s="407"/>
      <c r="I300" s="407"/>
      <c r="J300" s="407"/>
      <c r="K300" s="407"/>
      <c r="L300" s="407"/>
      <c r="M300" s="407"/>
      <c r="N300" s="384"/>
      <c r="O300" s="384"/>
      <c r="P300" s="384"/>
      <c r="Q300" s="384"/>
    </row>
    <row r="301">
      <c r="A301" s="396" t="str">
        <f>IFERROR(__xludf.DUMMYFUNCTION("""COMPUTED_VALUE"""),"Vanessa Moura Cotrin | Goioere - PR | Enviado")</f>
        <v>Vanessa Moura Cotrin | Goioere - PR | Enviado</v>
      </c>
      <c r="B301" s="396"/>
      <c r="C301" s="384"/>
      <c r="D301" s="384"/>
      <c r="E301" s="384"/>
      <c r="F301" s="384"/>
      <c r="G301" s="384"/>
      <c r="H301" s="384"/>
      <c r="I301" s="384"/>
      <c r="J301" s="384"/>
      <c r="K301" s="384"/>
      <c r="L301" s="384"/>
      <c r="M301" s="384"/>
      <c r="N301" s="384"/>
      <c r="O301" s="384"/>
      <c r="P301" s="384"/>
      <c r="Q301" s="384"/>
    </row>
    <row r="302">
      <c r="A302" s="396" t="str">
        <f>IFERROR(__xludf.DUMMYFUNCTION("""COMPUTED_VALUE"""),"Nathalia Christmann | Cruz Alta - RS | Enviado")</f>
        <v>Nathalia Christmann | Cruz Alta - RS | Enviado</v>
      </c>
      <c r="B302" s="396"/>
      <c r="C302" s="384"/>
      <c r="D302" s="384"/>
      <c r="E302" s="384"/>
      <c r="F302" s="384"/>
      <c r="G302" s="384"/>
      <c r="H302" s="384"/>
      <c r="I302" s="384"/>
      <c r="J302" s="384"/>
      <c r="K302" s="384"/>
      <c r="L302" s="384"/>
      <c r="M302" s="384"/>
      <c r="N302" s="384"/>
      <c r="O302" s="384"/>
      <c r="P302" s="384"/>
      <c r="Q302" s="384"/>
    </row>
    <row r="303">
      <c r="A303" s="396" t="str">
        <f>IFERROR(__xludf.DUMMYFUNCTION("""COMPUTED_VALUE"""),"Cleide Marques de Souza | Petrolandia - PE | Enviado")</f>
        <v>Cleide Marques de Souza | Petrolandia - PE | Enviado</v>
      </c>
      <c r="B303" s="396"/>
      <c r="C303" s="384"/>
      <c r="D303" s="384"/>
      <c r="E303" s="384"/>
      <c r="F303" s="384"/>
      <c r="G303" s="384"/>
      <c r="H303" s="384"/>
      <c r="I303" s="384"/>
      <c r="J303" s="384"/>
      <c r="K303" s="384"/>
      <c r="L303" s="384"/>
      <c r="M303" s="384"/>
      <c r="N303" s="384"/>
      <c r="O303" s="384"/>
      <c r="P303" s="384"/>
      <c r="Q303" s="384"/>
    </row>
    <row r="304">
      <c r="A304" s="396" t="str">
        <f>IFERROR(__xludf.DUMMYFUNCTION("""COMPUTED_VALUE"""),"Kelcilene Lagasse Brites Curado | Amambai - MS | Enviado")</f>
        <v>Kelcilene Lagasse Brites Curado | Amambai - MS | Enviado</v>
      </c>
      <c r="B304" s="396"/>
      <c r="C304" s="384"/>
      <c r="D304" s="384"/>
      <c r="E304" s="384"/>
      <c r="F304" s="384"/>
      <c r="G304" s="384"/>
      <c r="H304" s="384"/>
      <c r="I304" s="384"/>
      <c r="J304" s="384"/>
      <c r="K304" s="384"/>
      <c r="L304" s="384"/>
      <c r="M304" s="384"/>
      <c r="N304" s="384"/>
      <c r="O304" s="384"/>
      <c r="P304" s="384"/>
      <c r="Q304" s="384"/>
    </row>
    <row r="305">
      <c r="A305" s="396" t="str">
        <f>IFERROR(__xludf.DUMMYFUNCTION("""COMPUTED_VALUE"""),"Danilo Dias Paes Landim  | Sobradinho - DF | Enviado")</f>
        <v>Danilo Dias Paes Landim  | Sobradinho - DF | Enviado</v>
      </c>
      <c r="B305" s="396"/>
      <c r="C305" s="384"/>
      <c r="D305" s="384"/>
      <c r="E305" s="384"/>
      <c r="F305" s="384"/>
      <c r="G305" s="384"/>
      <c r="H305" s="384"/>
      <c r="I305" s="384"/>
      <c r="J305" s="384"/>
      <c r="K305" s="384"/>
      <c r="L305" s="384"/>
      <c r="M305" s="384"/>
      <c r="N305" s="384"/>
      <c r="O305" s="384"/>
      <c r="P305" s="384"/>
      <c r="Q305" s="384"/>
    </row>
    <row r="306">
      <c r="A306" s="396" t="str">
        <f>IFERROR(__xludf.DUMMYFUNCTION("""COMPUTED_VALUE"""),"Lusineide Carvalho de Matos | São Mateus do Maranhão - MA | Enviado")</f>
        <v>Lusineide Carvalho de Matos | São Mateus do Maranhão - MA | Enviado</v>
      </c>
      <c r="B306" s="396"/>
      <c r="C306" s="384"/>
      <c r="D306" s="384"/>
      <c r="E306" s="384"/>
      <c r="F306" s="384"/>
      <c r="G306" s="384"/>
      <c r="H306" s="384"/>
      <c r="I306" s="384"/>
      <c r="J306" s="384"/>
      <c r="K306" s="384"/>
      <c r="L306" s="384"/>
      <c r="M306" s="384"/>
      <c r="N306" s="384"/>
      <c r="O306" s="384"/>
      <c r="P306" s="384"/>
      <c r="Q306" s="384"/>
    </row>
    <row r="307">
      <c r="A307" s="396" t="str">
        <f>IFERROR(__xludf.DUMMYFUNCTION("""COMPUTED_VALUE"""),"Flávia Aparecida Leandro | Campinas - SP | Enviado")</f>
        <v>Flávia Aparecida Leandro | Campinas - SP | Enviado</v>
      </c>
      <c r="B307" s="396"/>
      <c r="C307" s="384"/>
      <c r="D307" s="384"/>
      <c r="E307" s="384"/>
      <c r="F307" s="384"/>
      <c r="G307" s="384"/>
      <c r="H307" s="384"/>
      <c r="I307" s="384"/>
      <c r="J307" s="384"/>
      <c r="K307" s="384"/>
      <c r="L307" s="384"/>
      <c r="M307" s="384"/>
      <c r="N307" s="384"/>
      <c r="O307" s="384"/>
      <c r="P307" s="384"/>
      <c r="Q307" s="384"/>
    </row>
    <row r="308">
      <c r="A308" s="396" t="str">
        <f>IFERROR(__xludf.DUMMYFUNCTION("""COMPUTED_VALUE"""),"Isabela Rodrigues Helfstein | APARECIDA DO TABOADO - MS | Enviado")</f>
        <v>Isabela Rodrigues Helfstein | APARECIDA DO TABOADO - MS | Enviado</v>
      </c>
      <c r="B308" s="396"/>
      <c r="C308" s="384"/>
      <c r="D308" s="384"/>
      <c r="E308" s="384"/>
      <c r="F308" s="384"/>
      <c r="G308" s="384"/>
      <c r="H308" s="384"/>
      <c r="I308" s="384"/>
      <c r="J308" s="384"/>
      <c r="K308" s="384"/>
      <c r="L308" s="384"/>
      <c r="M308" s="384"/>
      <c r="N308" s="384"/>
      <c r="O308" s="384"/>
      <c r="P308" s="384"/>
      <c r="Q308" s="384"/>
    </row>
    <row r="309">
      <c r="A309" s="396" t="str">
        <f>IFERROR(__xludf.DUMMYFUNCTION("""COMPUTED_VALUE"""),"Ariadny Rafaela Valejo Santana | Miranda - MS | Enviado")</f>
        <v>Ariadny Rafaela Valejo Santana | Miranda - MS | Enviado</v>
      </c>
      <c r="B309" s="396"/>
      <c r="C309" s="384"/>
      <c r="D309" s="384"/>
      <c r="E309" s="384"/>
      <c r="F309" s="384"/>
      <c r="G309" s="384"/>
      <c r="H309" s="384"/>
      <c r="I309" s="384"/>
      <c r="J309" s="384"/>
      <c r="K309" s="384"/>
      <c r="L309" s="384"/>
      <c r="M309" s="384"/>
      <c r="N309" s="384"/>
      <c r="O309" s="384"/>
      <c r="P309" s="384"/>
      <c r="Q309" s="384"/>
    </row>
    <row r="310">
      <c r="A310" s="396" t="str">
        <f>IFERROR(__xludf.DUMMYFUNCTION("""COMPUTED_VALUE"""),"Eliza Reis Freitas Anastácio | São Paulo - SP | Enviado")</f>
        <v>Eliza Reis Freitas Anastácio | São Paulo - SP | Enviado</v>
      </c>
      <c r="B310" s="396"/>
      <c r="C310" s="384"/>
      <c r="D310" s="384"/>
      <c r="E310" s="384"/>
      <c r="F310" s="384"/>
      <c r="G310" s="384"/>
      <c r="H310" s="384"/>
      <c r="I310" s="384"/>
      <c r="J310" s="384"/>
      <c r="K310" s="384"/>
      <c r="L310" s="384"/>
      <c r="M310" s="384"/>
      <c r="N310" s="384"/>
      <c r="O310" s="384"/>
      <c r="P310" s="384"/>
      <c r="Q310" s="384"/>
    </row>
    <row r="311">
      <c r="A311" s="396" t="str">
        <f>IFERROR(__xludf.DUMMYFUNCTION("""COMPUTED_VALUE"""),"Eliza Reis Freitas Anastácio | São Paulo - SP | Enviado")</f>
        <v>Eliza Reis Freitas Anastácio | São Paulo - SP | Enviado</v>
      </c>
      <c r="B311" s="396"/>
      <c r="C311" s="384"/>
      <c r="D311" s="384"/>
      <c r="E311" s="384"/>
      <c r="F311" s="384"/>
      <c r="G311" s="384"/>
      <c r="H311" s="384"/>
      <c r="I311" s="384"/>
      <c r="J311" s="384"/>
      <c r="K311" s="384"/>
      <c r="L311" s="384"/>
      <c r="M311" s="384"/>
      <c r="N311" s="384"/>
      <c r="O311" s="384"/>
      <c r="P311" s="384"/>
      <c r="Q311" s="384"/>
    </row>
    <row r="312">
      <c r="A312" s="396" t="str">
        <f>IFERROR(__xludf.DUMMYFUNCTION("""COMPUTED_VALUE"""),"RAYANE KELLY SANTOS SOUZA |  | Enviado")</f>
        <v>RAYANE KELLY SANTOS SOUZA |  | Enviado</v>
      </c>
      <c r="B312" s="396"/>
      <c r="C312" s="384"/>
      <c r="D312" s="384"/>
      <c r="E312" s="384"/>
      <c r="F312" s="384"/>
      <c r="G312" s="384"/>
      <c r="H312" s="384"/>
      <c r="I312" s="384"/>
      <c r="J312" s="384"/>
      <c r="K312" s="384"/>
      <c r="L312" s="384"/>
      <c r="M312" s="384"/>
      <c r="N312" s="384"/>
      <c r="O312" s="384"/>
      <c r="P312" s="384"/>
      <c r="Q312" s="384"/>
    </row>
    <row r="313">
      <c r="A313" s="396" t="str">
        <f>IFERROR(__xludf.DUMMYFUNCTION("""COMPUTED_VALUE"""),"Tatiana Fernanda Leite de Mello Friande | Rio de Janeiro - RJ | Enviado")</f>
        <v>Tatiana Fernanda Leite de Mello Friande | Rio de Janeiro - RJ | Enviado</v>
      </c>
      <c r="B313" s="396"/>
      <c r="C313" s="384"/>
      <c r="D313" s="384"/>
      <c r="E313" s="384"/>
      <c r="F313" s="384"/>
      <c r="G313" s="384"/>
      <c r="H313" s="384"/>
      <c r="I313" s="384"/>
      <c r="J313" s="384"/>
      <c r="K313" s="384"/>
      <c r="L313" s="384"/>
      <c r="M313" s="384"/>
      <c r="N313" s="384"/>
      <c r="O313" s="384"/>
      <c r="P313" s="384"/>
      <c r="Q313" s="384"/>
    </row>
    <row r="314">
      <c r="A314" s="396" t="str">
        <f>IFERROR(__xludf.DUMMYFUNCTION("""COMPUTED_VALUE"""),"Fabiana de Moura e Costa | Cerro Azul - PR | Enviado")</f>
        <v>Fabiana de Moura e Costa | Cerro Azul - PR | Enviado</v>
      </c>
      <c r="B314" s="396"/>
      <c r="C314" s="384"/>
      <c r="D314" s="384"/>
      <c r="E314" s="384"/>
      <c r="F314" s="384"/>
      <c r="G314" s="384"/>
      <c r="H314" s="384"/>
      <c r="I314" s="384"/>
      <c r="J314" s="384"/>
      <c r="K314" s="384"/>
      <c r="L314" s="384"/>
      <c r="M314" s="384"/>
      <c r="N314" s="384"/>
      <c r="O314" s="384"/>
      <c r="P314" s="384"/>
      <c r="Q314" s="384"/>
    </row>
    <row r="315">
      <c r="A315" s="396" t="str">
        <f>IFERROR(__xludf.DUMMYFUNCTION("""COMPUTED_VALUE"""),"Marli Bones Mello Cidral | PIRATUBA/SC | Enviado")</f>
        <v>Marli Bones Mello Cidral | PIRATUBA/SC | Enviado</v>
      </c>
      <c r="B315" s="396"/>
      <c r="C315" s="384"/>
      <c r="D315" s="384"/>
      <c r="E315" s="384"/>
      <c r="F315" s="384"/>
      <c r="G315" s="384"/>
      <c r="H315" s="384"/>
      <c r="I315" s="384"/>
      <c r="J315" s="384"/>
      <c r="K315" s="384"/>
      <c r="L315" s="384"/>
      <c r="M315" s="384"/>
      <c r="N315" s="384"/>
      <c r="O315" s="384"/>
      <c r="P315" s="384"/>
      <c r="Q315" s="384"/>
    </row>
    <row r="316">
      <c r="A316" s="396" t="str">
        <f>IFERROR(__xludf.DUMMYFUNCTION("""COMPUTED_VALUE"""),"Lucilaine Maria de Abreu Boraschi Pereira | Coromandel - MG | Enviado")</f>
        <v>Lucilaine Maria de Abreu Boraschi Pereira | Coromandel - MG | Enviado</v>
      </c>
      <c r="B316" s="396"/>
      <c r="C316" s="384"/>
      <c r="D316" s="384"/>
      <c r="E316" s="384"/>
      <c r="F316" s="384"/>
      <c r="G316" s="384"/>
      <c r="H316" s="384"/>
      <c r="I316" s="384"/>
      <c r="J316" s="384"/>
      <c r="K316" s="384"/>
      <c r="L316" s="384"/>
      <c r="M316" s="384"/>
      <c r="N316" s="384"/>
      <c r="O316" s="384"/>
      <c r="P316" s="384"/>
      <c r="Q316" s="384"/>
    </row>
    <row r="317">
      <c r="A317" s="396" t="str">
        <f>IFERROR(__xludf.DUMMYFUNCTION("""COMPUTED_VALUE"""),"Eduardo Henrique Bastos Santos | Oliveira - MG | Enviado")</f>
        <v>Eduardo Henrique Bastos Santos | Oliveira - MG | Enviado</v>
      </c>
      <c r="B317" s="396"/>
      <c r="C317" s="384"/>
      <c r="D317" s="384"/>
      <c r="E317" s="384"/>
      <c r="F317" s="384"/>
      <c r="G317" s="384"/>
      <c r="H317" s="384"/>
      <c r="I317" s="384"/>
      <c r="J317" s="384"/>
      <c r="K317" s="384"/>
      <c r="L317" s="384"/>
      <c r="M317" s="384"/>
      <c r="N317" s="384"/>
      <c r="O317" s="384"/>
      <c r="P317" s="384"/>
      <c r="Q317" s="384"/>
    </row>
    <row r="318">
      <c r="A318" s="396" t="str">
        <f>IFERROR(__xludf.DUMMYFUNCTION("""COMPUTED_VALUE"""),"Tânia malheiros | São Paulo - SP | Enviado")</f>
        <v>Tânia malheiros | São Paulo - SP | Enviado</v>
      </c>
      <c r="B318" s="396"/>
      <c r="C318" s="384"/>
      <c r="D318" s="384"/>
      <c r="E318" s="384"/>
      <c r="F318" s="384"/>
      <c r="G318" s="384"/>
      <c r="H318" s="384"/>
      <c r="I318" s="384"/>
      <c r="J318" s="384"/>
      <c r="K318" s="384"/>
      <c r="L318" s="384"/>
      <c r="M318" s="384"/>
      <c r="N318" s="384"/>
      <c r="O318" s="384"/>
      <c r="P318" s="384"/>
      <c r="Q318" s="384"/>
    </row>
    <row r="319">
      <c r="A319" s="396" t="str">
        <f>IFERROR(__xludf.DUMMYFUNCTION("""COMPUTED_VALUE"""),"Jorge Ventura de Sena | São Paulo - SP | Enviado")</f>
        <v>Jorge Ventura de Sena | São Paulo - SP | Enviado</v>
      </c>
      <c r="B319" s="396"/>
      <c r="C319" s="384"/>
      <c r="D319" s="384"/>
      <c r="E319" s="384"/>
      <c r="F319" s="384"/>
      <c r="G319" s="384"/>
      <c r="H319" s="384"/>
      <c r="I319" s="384"/>
      <c r="J319" s="384"/>
      <c r="K319" s="384"/>
      <c r="L319" s="384"/>
      <c r="M319" s="384"/>
      <c r="N319" s="384"/>
      <c r="O319" s="384"/>
      <c r="P319" s="384"/>
      <c r="Q319" s="384"/>
    </row>
    <row r="320">
      <c r="A320" s="396" t="str">
        <f>IFERROR(__xludf.DUMMYFUNCTION("""COMPUTED_VALUE"""),"Jozinete Vinhas de Deus | Cândido Mendes - MA | Enviado")</f>
        <v>Jozinete Vinhas de Deus | Cândido Mendes - MA | Enviado</v>
      </c>
      <c r="B320" s="396"/>
      <c r="C320" s="384"/>
      <c r="D320" s="384"/>
      <c r="E320" s="384"/>
      <c r="F320" s="384"/>
      <c r="G320" s="384"/>
      <c r="H320" s="384"/>
      <c r="I320" s="384"/>
      <c r="J320" s="384"/>
      <c r="K320" s="384"/>
      <c r="L320" s="384"/>
      <c r="M320" s="384"/>
      <c r="N320" s="384"/>
      <c r="O320" s="384"/>
      <c r="P320" s="384"/>
      <c r="Q320" s="384"/>
    </row>
    <row r="321">
      <c r="A321" s="396" t="str">
        <f>IFERROR(__xludf.DUMMYFUNCTION("""COMPUTED_VALUE"""),"Maria Teresa Martins dos Santos Seabra | Rio de Janeiro - RJ | Enviado")</f>
        <v>Maria Teresa Martins dos Santos Seabra | Rio de Janeiro - RJ | Enviado</v>
      </c>
      <c r="B321" s="396"/>
      <c r="C321" s="384"/>
      <c r="D321" s="384"/>
      <c r="E321" s="384"/>
      <c r="F321" s="384"/>
      <c r="G321" s="384"/>
      <c r="H321" s="384"/>
      <c r="I321" s="384"/>
      <c r="J321" s="384"/>
      <c r="K321" s="384"/>
      <c r="L321" s="384"/>
      <c r="M321" s="384"/>
      <c r="N321" s="384"/>
      <c r="O321" s="384"/>
      <c r="P321" s="384"/>
      <c r="Q321" s="384"/>
    </row>
    <row r="322">
      <c r="A322" s="396" t="str">
        <f>IFERROR(__xludf.DUMMYFUNCTION("""COMPUTED_VALUE"""),"Sabrina Ligneul Macedo de Victa | Rio de Janeiro - RJ | Enviado")</f>
        <v>Sabrina Ligneul Macedo de Victa | Rio de Janeiro - RJ | Enviado</v>
      </c>
      <c r="B322" s="396"/>
      <c r="C322" s="384"/>
      <c r="D322" s="384"/>
      <c r="E322" s="384"/>
      <c r="F322" s="384"/>
      <c r="G322" s="384"/>
      <c r="H322" s="384"/>
      <c r="I322" s="384"/>
      <c r="J322" s="384"/>
      <c r="K322" s="384"/>
      <c r="L322" s="384"/>
      <c r="M322" s="384"/>
      <c r="N322" s="384"/>
      <c r="O322" s="384"/>
      <c r="P322" s="384"/>
      <c r="Q322" s="384"/>
    </row>
    <row r="323">
      <c r="A323" s="396" t="str">
        <f>IFERROR(__xludf.DUMMYFUNCTION("""COMPUTED_VALUE"""),"Nádia Maria Dorneles | Ceres-GO | Enviado")</f>
        <v>Nádia Maria Dorneles | Ceres-GO | Enviado</v>
      </c>
      <c r="B323" s="396"/>
      <c r="C323" s="384"/>
      <c r="D323" s="384"/>
      <c r="E323" s="384"/>
      <c r="F323" s="384"/>
      <c r="G323" s="384"/>
      <c r="H323" s="384"/>
      <c r="I323" s="384"/>
      <c r="J323" s="384"/>
      <c r="K323" s="384"/>
      <c r="L323" s="384"/>
      <c r="M323" s="384"/>
      <c r="N323" s="384"/>
      <c r="O323" s="384"/>
      <c r="P323" s="384"/>
      <c r="Q323" s="384"/>
    </row>
    <row r="324">
      <c r="A324" s="396" t="str">
        <f>IFERROR(__xludf.DUMMYFUNCTION("""COMPUTED_VALUE"""),"Natalia Regina Dias Amaral | Campinas - SP | Enviado")</f>
        <v>Natalia Regina Dias Amaral | Campinas - SP | Enviado</v>
      </c>
      <c r="B324" s="396"/>
      <c r="C324" s="384"/>
      <c r="D324" s="384"/>
      <c r="E324" s="384"/>
      <c r="F324" s="384"/>
      <c r="G324" s="384"/>
      <c r="H324" s="384"/>
      <c r="I324" s="384"/>
      <c r="J324" s="384"/>
      <c r="K324" s="384"/>
      <c r="L324" s="384"/>
      <c r="M324" s="384"/>
      <c r="N324" s="384"/>
      <c r="O324" s="384"/>
      <c r="P324" s="384"/>
      <c r="Q324" s="384"/>
    </row>
    <row r="325">
      <c r="A325" s="396" t="str">
        <f>IFERROR(__xludf.DUMMYFUNCTION("""COMPUTED_VALUE"""),"Natalia Regina Dias Amaral | Campinas - SP | Enviado")</f>
        <v>Natalia Regina Dias Amaral | Campinas - SP | Enviado</v>
      </c>
      <c r="B325" s="396"/>
      <c r="C325" s="384"/>
      <c r="D325" s="384"/>
      <c r="E325" s="384"/>
      <c r="F325" s="384"/>
      <c r="G325" s="384"/>
      <c r="H325" s="384"/>
      <c r="I325" s="384"/>
      <c r="J325" s="384"/>
      <c r="K325" s="384"/>
      <c r="L325" s="384"/>
      <c r="M325" s="384"/>
      <c r="N325" s="384"/>
      <c r="O325" s="384"/>
      <c r="P325" s="384"/>
      <c r="Q325" s="384"/>
    </row>
    <row r="326">
      <c r="A326" s="396" t="str">
        <f>IFERROR(__xludf.DUMMYFUNCTION("""COMPUTED_VALUE"""),"Antonio Alberto Farias Gonçalves Parada | Rio de Janeiro - RJ | Enviado")</f>
        <v>Antonio Alberto Farias Gonçalves Parada | Rio de Janeiro - RJ | Enviado</v>
      </c>
      <c r="B326" s="396"/>
      <c r="C326" s="384"/>
      <c r="D326" s="384"/>
      <c r="E326" s="384"/>
      <c r="F326" s="384"/>
      <c r="G326" s="384"/>
      <c r="H326" s="384"/>
      <c r="I326" s="384"/>
      <c r="J326" s="384"/>
      <c r="K326" s="384"/>
      <c r="L326" s="384"/>
      <c r="M326" s="384"/>
      <c r="N326" s="384"/>
      <c r="O326" s="384"/>
      <c r="P326" s="384"/>
      <c r="Q326" s="384"/>
    </row>
    <row r="327">
      <c r="A327" s="396" t="str">
        <f>IFERROR(__xludf.DUMMYFUNCTION("""COMPUTED_VALUE"""),"JOSELAINE LOPES DE SOUSA BARBOSA | Apucarana - PR | Enviado")</f>
        <v>JOSELAINE LOPES DE SOUSA BARBOSA | Apucarana - PR | Enviado</v>
      </c>
      <c r="B327" s="396"/>
      <c r="C327" s="384"/>
      <c r="D327" s="384"/>
      <c r="E327" s="384"/>
      <c r="F327" s="384"/>
      <c r="G327" s="384"/>
      <c r="H327" s="384"/>
      <c r="I327" s="384"/>
      <c r="J327" s="384"/>
      <c r="K327" s="384"/>
      <c r="L327" s="384"/>
      <c r="M327" s="384"/>
      <c r="N327" s="384"/>
      <c r="O327" s="384"/>
      <c r="P327" s="384"/>
      <c r="Q327" s="384"/>
    </row>
    <row r="328">
      <c r="A328" s="396" t="str">
        <f>IFERROR(__xludf.DUMMYFUNCTION("""COMPUTED_VALUE"""),"Mariah Gomes de Souza | Nova Friburgo - RJ | Enviado")</f>
        <v>Mariah Gomes de Souza | Nova Friburgo - RJ | Enviado</v>
      </c>
      <c r="B328" s="396"/>
      <c r="C328" s="384"/>
      <c r="D328" s="384"/>
      <c r="E328" s="384"/>
      <c r="F328" s="384"/>
      <c r="G328" s="384"/>
      <c r="H328" s="384"/>
      <c r="I328" s="384"/>
      <c r="J328" s="384"/>
      <c r="K328" s="384"/>
      <c r="L328" s="384"/>
      <c r="M328" s="384"/>
      <c r="N328" s="384"/>
      <c r="O328" s="384"/>
      <c r="P328" s="384"/>
      <c r="Q328" s="384"/>
    </row>
    <row r="329">
      <c r="A329" s="396" t="str">
        <f>IFERROR(__xludf.DUMMYFUNCTION("""COMPUTED_VALUE"""),"JOSÉ JACQUES DE LIMA | Viçosa - CE | Enviado")</f>
        <v>JOSÉ JACQUES DE LIMA | Viçosa - CE | Enviado</v>
      </c>
      <c r="B329" s="396"/>
      <c r="C329" s="384"/>
      <c r="D329" s="384"/>
      <c r="E329" s="384"/>
      <c r="F329" s="384"/>
      <c r="G329" s="384"/>
      <c r="H329" s="384"/>
      <c r="I329" s="384"/>
      <c r="J329" s="384"/>
      <c r="K329" s="384"/>
      <c r="L329" s="384"/>
      <c r="M329" s="384"/>
      <c r="N329" s="384"/>
      <c r="O329" s="384"/>
      <c r="P329" s="384"/>
      <c r="Q329" s="384"/>
    </row>
    <row r="330">
      <c r="A330" s="396" t="str">
        <f>IFERROR(__xludf.DUMMYFUNCTION("""COMPUTED_VALUE"""),"Vanessa Cristina Xavier Cardoso | Itibaia - SP | Enviado")</f>
        <v>Vanessa Cristina Xavier Cardoso | Itibaia - SP | Enviado</v>
      </c>
      <c r="B330" s="396"/>
      <c r="C330" s="384"/>
      <c r="D330" s="384"/>
      <c r="E330" s="384"/>
      <c r="F330" s="384"/>
      <c r="G330" s="384"/>
      <c r="H330" s="384"/>
      <c r="I330" s="384"/>
      <c r="J330" s="384"/>
      <c r="K330" s="384"/>
      <c r="L330" s="384"/>
      <c r="M330" s="384"/>
      <c r="N330" s="384"/>
      <c r="O330" s="384"/>
      <c r="P330" s="384"/>
      <c r="Q330" s="384"/>
    </row>
    <row r="331">
      <c r="A331" s="396" t="str">
        <f>IFERROR(__xludf.DUMMYFUNCTION("""COMPUTED_VALUE"""),"Carla de Souza Moreira Portilho | Rio de Janeiro - RJ | Enviado")</f>
        <v>Carla de Souza Moreira Portilho | Rio de Janeiro - RJ | Enviado</v>
      </c>
      <c r="B331" s="396"/>
      <c r="C331" s="384"/>
      <c r="D331" s="384"/>
      <c r="E331" s="384"/>
      <c r="F331" s="384"/>
      <c r="G331" s="384"/>
      <c r="H331" s="384"/>
      <c r="I331" s="384"/>
      <c r="J331" s="384"/>
      <c r="K331" s="384"/>
      <c r="L331" s="384"/>
      <c r="M331" s="384"/>
      <c r="N331" s="384"/>
      <c r="O331" s="384"/>
      <c r="P331" s="384"/>
      <c r="Q331" s="384"/>
    </row>
    <row r="332">
      <c r="A332" s="396" t="str">
        <f>IFERROR(__xludf.DUMMYFUNCTION("""COMPUTED_VALUE"""),"Ednelson Júnior Souza da Silva | Recife - PE | Enviado")</f>
        <v>Ednelson Júnior Souza da Silva | Recife - PE | Enviado</v>
      </c>
      <c r="B332" s="396"/>
      <c r="C332" s="384"/>
      <c r="D332" s="384"/>
      <c r="E332" s="384"/>
      <c r="F332" s="384"/>
      <c r="G332" s="384"/>
      <c r="H332" s="384"/>
      <c r="I332" s="384"/>
      <c r="J332" s="384"/>
      <c r="K332" s="384"/>
      <c r="L332" s="384"/>
      <c r="M332" s="384"/>
      <c r="N332" s="384"/>
      <c r="O332" s="384"/>
      <c r="P332" s="384"/>
      <c r="Q332" s="384"/>
    </row>
    <row r="333">
      <c r="A333" s="396" t="str">
        <f>IFERROR(__xludf.DUMMYFUNCTION("""COMPUTED_VALUE"""),"Rosangela de Oliveira | Nova Andradina - MG  | Enviado")</f>
        <v>Rosangela de Oliveira | Nova Andradina - MG  | Enviado</v>
      </c>
      <c r="B333" s="396"/>
      <c r="C333" s="384"/>
      <c r="D333" s="384"/>
      <c r="E333" s="384"/>
      <c r="F333" s="384"/>
      <c r="G333" s="384"/>
      <c r="H333" s="384"/>
      <c r="I333" s="384"/>
      <c r="J333" s="384"/>
      <c r="K333" s="384"/>
      <c r="L333" s="384"/>
      <c r="M333" s="384"/>
      <c r="N333" s="384"/>
      <c r="O333" s="384"/>
      <c r="P333" s="384"/>
      <c r="Q333" s="384"/>
    </row>
    <row r="334">
      <c r="A334" s="396" t="str">
        <f>IFERROR(__xludf.DUMMYFUNCTION("""COMPUTED_VALUE"""),"Michele Chaves Amancio Teubner | Temoteo - ES | Enviado")</f>
        <v>Michele Chaves Amancio Teubner | Temoteo - ES | Enviado</v>
      </c>
      <c r="B334" s="396"/>
      <c r="C334" s="384"/>
      <c r="D334" s="384"/>
      <c r="E334" s="384"/>
      <c r="F334" s="384"/>
      <c r="G334" s="384"/>
      <c r="H334" s="384"/>
      <c r="I334" s="384"/>
      <c r="J334" s="384"/>
      <c r="K334" s="384"/>
      <c r="L334" s="384"/>
      <c r="M334" s="384"/>
      <c r="N334" s="384"/>
      <c r="O334" s="384"/>
      <c r="P334" s="384"/>
      <c r="Q334" s="384"/>
    </row>
    <row r="335">
      <c r="A335" s="396" t="str">
        <f>IFERROR(__xludf.DUMMYFUNCTION("""COMPUTED_VALUE"""),"Luciene Pereira dos Santos Bentes | Itacoatiara | Enviado")</f>
        <v>Luciene Pereira dos Santos Bentes | Itacoatiara | Enviado</v>
      </c>
      <c r="B335" s="396"/>
      <c r="C335" s="384"/>
      <c r="D335" s="384"/>
      <c r="E335" s="384"/>
      <c r="F335" s="384"/>
      <c r="G335" s="384"/>
      <c r="H335" s="384"/>
      <c r="I335" s="384"/>
      <c r="J335" s="384"/>
      <c r="K335" s="384"/>
      <c r="L335" s="384"/>
      <c r="M335" s="384"/>
      <c r="N335" s="384"/>
      <c r="O335" s="384"/>
      <c r="P335" s="384"/>
      <c r="Q335" s="384"/>
    </row>
    <row r="336">
      <c r="A336" s="396" t="str">
        <f>IFERROR(__xludf.DUMMYFUNCTION("""COMPUTED_VALUE"""),"Jeozadaque Santos Martins  | São Paulo - SP | Enviado")</f>
        <v>Jeozadaque Santos Martins  | São Paulo - SP | Enviado</v>
      </c>
      <c r="B336" s="396"/>
      <c r="C336" s="384"/>
      <c r="D336" s="384"/>
      <c r="E336" s="384"/>
      <c r="F336" s="384"/>
      <c r="G336" s="384"/>
      <c r="H336" s="384"/>
      <c r="I336" s="384"/>
      <c r="J336" s="384"/>
      <c r="K336" s="384"/>
      <c r="L336" s="384"/>
      <c r="M336" s="384"/>
      <c r="N336" s="384"/>
      <c r="O336" s="384"/>
      <c r="P336" s="384"/>
      <c r="Q336" s="384"/>
    </row>
    <row r="337">
      <c r="A337" s="396" t="str">
        <f>IFERROR(__xludf.DUMMYFUNCTION("""COMPUTED_VALUE"""),"Adriana da Silva Falcoeiras Correa | Belford Roxo/RJ | Enviado")</f>
        <v>Adriana da Silva Falcoeiras Correa | Belford Roxo/RJ | Enviado</v>
      </c>
      <c r="B337" s="396"/>
      <c r="C337" s="384"/>
      <c r="D337" s="384"/>
      <c r="E337" s="384"/>
      <c r="F337" s="384"/>
      <c r="G337" s="384"/>
      <c r="H337" s="384"/>
      <c r="I337" s="384"/>
      <c r="J337" s="384"/>
      <c r="K337" s="384"/>
      <c r="L337" s="384"/>
      <c r="M337" s="384"/>
      <c r="N337" s="384"/>
      <c r="O337" s="384"/>
      <c r="P337" s="384"/>
      <c r="Q337" s="384"/>
    </row>
    <row r="338">
      <c r="A338" s="396" t="str">
        <f>IFERROR(__xludf.DUMMYFUNCTION("""COMPUTED_VALUE"""),"Tatiana Aparecida Carlino Pinheiro | Ribeirão Preto - SP | Enviado")</f>
        <v>Tatiana Aparecida Carlino Pinheiro | Ribeirão Preto - SP | Enviado</v>
      </c>
      <c r="B338" s="396"/>
      <c r="C338" s="384"/>
      <c r="D338" s="384"/>
      <c r="E338" s="384"/>
      <c r="F338" s="384"/>
      <c r="G338" s="384"/>
      <c r="H338" s="384"/>
      <c r="I338" s="384"/>
      <c r="J338" s="384"/>
      <c r="K338" s="384"/>
      <c r="L338" s="384"/>
      <c r="M338" s="384"/>
      <c r="N338" s="384"/>
      <c r="O338" s="384"/>
      <c r="P338" s="384"/>
      <c r="Q338" s="384"/>
    </row>
    <row r="339">
      <c r="A339" s="396" t="str">
        <f>IFERROR(__xludf.DUMMYFUNCTION("""COMPUTED_VALUE"""),"Fernanda Naiara de Souza Neves Colen | Poa - SP | Enviado")</f>
        <v>Fernanda Naiara de Souza Neves Colen | Poa - SP | Enviado</v>
      </c>
      <c r="B339" s="396"/>
      <c r="C339" s="384"/>
      <c r="D339" s="384"/>
      <c r="E339" s="384"/>
      <c r="F339" s="384"/>
      <c r="G339" s="384"/>
      <c r="H339" s="384"/>
      <c r="I339" s="384"/>
      <c r="J339" s="384"/>
      <c r="K339" s="384"/>
      <c r="L339" s="384"/>
      <c r="M339" s="384"/>
      <c r="N339" s="384"/>
      <c r="O339" s="384"/>
      <c r="P339" s="384"/>
      <c r="Q339" s="384"/>
    </row>
    <row r="340">
      <c r="A340" s="396" t="str">
        <f>IFERROR(__xludf.DUMMYFUNCTION("""COMPUTED_VALUE""")," |  | ")</f>
        <v> |  | </v>
      </c>
      <c r="B340" s="396"/>
      <c r="C340" s="384"/>
      <c r="D340" s="384"/>
      <c r="E340" s="384"/>
      <c r="F340" s="384"/>
      <c r="G340" s="384"/>
      <c r="H340" s="384"/>
      <c r="I340" s="384"/>
      <c r="J340" s="384"/>
      <c r="K340" s="384"/>
      <c r="L340" s="384"/>
      <c r="M340" s="384"/>
      <c r="N340" s="384"/>
      <c r="O340" s="384"/>
      <c r="P340" s="384"/>
      <c r="Q340" s="384"/>
    </row>
    <row r="341">
      <c r="A341" s="396" t="str">
        <f>IFERROR(__xludf.DUMMYFUNCTION("""COMPUTED_VALUE"""),"Rosicleide Teodoro | Queimados - RJ | Enviado email Erick 13/12/2024")</f>
        <v>Rosicleide Teodoro | Queimados - RJ | Enviado email Erick 13/12/2024</v>
      </c>
      <c r="B341" s="396"/>
      <c r="C341" s="384"/>
      <c r="D341" s="384"/>
      <c r="E341" s="384"/>
      <c r="F341" s="384"/>
      <c r="G341" s="384"/>
      <c r="H341" s="384"/>
      <c r="I341" s="384"/>
      <c r="J341" s="384"/>
      <c r="K341" s="384"/>
      <c r="L341" s="384"/>
      <c r="M341" s="384"/>
      <c r="N341" s="384"/>
      <c r="O341" s="384"/>
      <c r="P341" s="384"/>
      <c r="Q341" s="384"/>
    </row>
    <row r="342">
      <c r="A342" s="396" t="str">
        <f>IFERROR(__xludf.DUMMYFUNCTION("""COMPUTED_VALUE"""),"Tatiane Nunes Mozaldo do Espírito Santo Aguiar | Vilhena - RO | Enviado email Erick 13/12/2024")</f>
        <v>Tatiane Nunes Mozaldo do Espírito Santo Aguiar | Vilhena - RO | Enviado email Erick 13/12/2024</v>
      </c>
      <c r="B342" s="396"/>
      <c r="C342" s="384"/>
      <c r="D342" s="384"/>
      <c r="E342" s="384"/>
      <c r="F342" s="384"/>
      <c r="G342" s="384"/>
      <c r="H342" s="384"/>
      <c r="I342" s="384"/>
      <c r="J342" s="384"/>
      <c r="K342" s="384"/>
      <c r="L342" s="384"/>
      <c r="M342" s="384"/>
      <c r="N342" s="384"/>
      <c r="O342" s="384"/>
      <c r="P342" s="384"/>
      <c r="Q342" s="384"/>
    </row>
    <row r="343">
      <c r="A343" s="396" t="str">
        <f>IFERROR(__xludf.DUMMYFUNCTION("""COMPUTED_VALUE"""),"Tatiane Nunes Mozaldo do Espírito Santo Aguiar | Vilhena - RO | Enviado email Erick 13/12/2024")</f>
        <v>Tatiane Nunes Mozaldo do Espírito Santo Aguiar | Vilhena - RO | Enviado email Erick 13/12/2024</v>
      </c>
      <c r="B343" s="396"/>
      <c r="C343" s="384"/>
      <c r="D343" s="384"/>
      <c r="E343" s="384"/>
      <c r="F343" s="384"/>
      <c r="G343" s="384"/>
      <c r="H343" s="384"/>
      <c r="I343" s="384"/>
      <c r="J343" s="384"/>
      <c r="K343" s="384"/>
      <c r="L343" s="384"/>
      <c r="M343" s="384"/>
      <c r="N343" s="384"/>
      <c r="O343" s="384"/>
      <c r="P343" s="384"/>
      <c r="Q343" s="384"/>
    </row>
    <row r="344">
      <c r="A344" s="396" t="str">
        <f>IFERROR(__xludf.DUMMYFUNCTION("""COMPUTED_VALUE"""),"Joelma Mendes Sarges Vieira | BELEM- PA | Enviado email Erick 06/12/2024")</f>
        <v>Joelma Mendes Sarges Vieira | BELEM- PA | Enviado email Erick 06/12/2024</v>
      </c>
      <c r="B344" s="396"/>
      <c r="C344" s="384"/>
      <c r="D344" s="384"/>
      <c r="E344" s="384"/>
      <c r="F344" s="384"/>
      <c r="G344" s="384"/>
      <c r="H344" s="384"/>
      <c r="I344" s="384"/>
      <c r="J344" s="384"/>
      <c r="K344" s="384"/>
      <c r="L344" s="384"/>
      <c r="M344" s="384"/>
      <c r="N344" s="384"/>
      <c r="O344" s="384"/>
      <c r="P344" s="384"/>
      <c r="Q344" s="384"/>
    </row>
    <row r="345">
      <c r="A345" s="396" t="str">
        <f>IFERROR(__xludf.DUMMYFUNCTION("""COMPUTED_VALUE"""),"Jeciara de Brito Santos | Rio de janeiro - RJ | Enviado email 08/01/2024")</f>
        <v>Jeciara de Brito Santos | Rio de janeiro - RJ | Enviado email 08/01/2024</v>
      </c>
      <c r="B345" s="396"/>
      <c r="C345" s="384"/>
      <c r="D345" s="384"/>
      <c r="E345" s="384"/>
      <c r="F345" s="384"/>
      <c r="G345" s="384"/>
      <c r="H345" s="384"/>
      <c r="I345" s="384"/>
      <c r="J345" s="384"/>
      <c r="K345" s="384"/>
      <c r="L345" s="384"/>
      <c r="M345" s="384"/>
      <c r="N345" s="384"/>
      <c r="O345" s="384"/>
      <c r="P345" s="384"/>
      <c r="Q345" s="384"/>
    </row>
    <row r="346">
      <c r="A346" s="396" t="str">
        <f>IFERROR(__xludf.DUMMYFUNCTION("""COMPUTED_VALUE"""),"Carlandia Alves da Silva | Envira - AM | Enviado email Erick 10/12/2024")</f>
        <v>Carlandia Alves da Silva | Envira - AM | Enviado email Erick 10/12/2024</v>
      </c>
      <c r="B346" s="396"/>
      <c r="C346" s="384"/>
      <c r="D346" s="384"/>
      <c r="E346" s="384"/>
      <c r="F346" s="384"/>
      <c r="G346" s="384"/>
      <c r="H346" s="384"/>
      <c r="I346" s="384"/>
      <c r="J346" s="384"/>
      <c r="K346" s="384"/>
      <c r="L346" s="384"/>
      <c r="M346" s="384"/>
      <c r="N346" s="384"/>
      <c r="O346" s="384"/>
      <c r="P346" s="384"/>
      <c r="Q346" s="384"/>
    </row>
    <row r="347">
      <c r="A347" s="396" t="str">
        <f>IFERROR(__xludf.DUMMYFUNCTION("""COMPUTED_VALUE"""),"Robério da Silva Cruz | Fortaleza - CE | Enviado email 08/01/2024")</f>
        <v>Robério da Silva Cruz | Fortaleza - CE | Enviado email 08/01/2024</v>
      </c>
      <c r="B347" s="396"/>
      <c r="C347" s="384"/>
      <c r="D347" s="384"/>
      <c r="E347" s="384"/>
      <c r="F347" s="384"/>
      <c r="G347" s="384"/>
      <c r="H347" s="384"/>
      <c r="I347" s="384"/>
      <c r="J347" s="384"/>
      <c r="K347" s="384"/>
      <c r="L347" s="384"/>
      <c r="M347" s="384"/>
      <c r="N347" s="384"/>
      <c r="O347" s="384"/>
      <c r="P347" s="384"/>
      <c r="Q347" s="384"/>
    </row>
    <row r="348">
      <c r="A348" s="396" t="str">
        <f>IFERROR(__xludf.DUMMYFUNCTION("""COMPUTED_VALUE"""),"Robério da Silva Cruz | Fortaleza - CE | Enviado email 08/01/2024")</f>
        <v>Robério da Silva Cruz | Fortaleza - CE | Enviado email 08/01/2024</v>
      </c>
      <c r="B348" s="396"/>
      <c r="C348" s="384"/>
      <c r="D348" s="384"/>
      <c r="E348" s="384"/>
      <c r="F348" s="384"/>
      <c r="G348" s="384"/>
      <c r="H348" s="384"/>
      <c r="I348" s="384"/>
      <c r="J348" s="384"/>
      <c r="K348" s="384"/>
      <c r="L348" s="384"/>
      <c r="M348" s="384"/>
      <c r="N348" s="384"/>
      <c r="O348" s="384"/>
      <c r="P348" s="384"/>
      <c r="Q348" s="384"/>
    </row>
    <row r="349">
      <c r="A349" s="396" t="str">
        <f>IFERROR(__xludf.DUMMYFUNCTION("""COMPUTED_VALUE"""),"Ricardo da Costa Ferlin | Cuiabá - MT | Enviado email Erick 06/12/2024")</f>
        <v>Ricardo da Costa Ferlin | Cuiabá - MT | Enviado email Erick 06/12/2024</v>
      </c>
      <c r="B349" s="396"/>
      <c r="C349" s="384"/>
      <c r="D349" s="384"/>
      <c r="E349" s="384"/>
      <c r="F349" s="384"/>
      <c r="G349" s="384"/>
      <c r="H349" s="384"/>
      <c r="I349" s="384"/>
      <c r="J349" s="384"/>
      <c r="K349" s="384"/>
      <c r="L349" s="384"/>
      <c r="M349" s="384"/>
      <c r="N349" s="384"/>
      <c r="O349" s="384"/>
      <c r="P349" s="384"/>
      <c r="Q349" s="384"/>
    </row>
    <row r="350">
      <c r="A350" s="396" t="str">
        <f>IFERROR(__xludf.DUMMYFUNCTION("""COMPUTED_VALUE"""),"Leandro Fortolan Sampaio | Araras - SP | Enviado email 08/01/2025")</f>
        <v>Leandro Fortolan Sampaio | Araras - SP | Enviado email 08/01/2025</v>
      </c>
      <c r="B350" s="396"/>
      <c r="C350" s="384"/>
      <c r="D350" s="384"/>
      <c r="E350" s="384"/>
      <c r="F350" s="384"/>
      <c r="G350" s="384"/>
      <c r="H350" s="384"/>
      <c r="I350" s="384"/>
      <c r="J350" s="384"/>
      <c r="K350" s="384"/>
      <c r="L350" s="384"/>
      <c r="M350" s="384"/>
      <c r="N350" s="384"/>
      <c r="O350" s="384"/>
      <c r="P350" s="384"/>
      <c r="Q350" s="384"/>
    </row>
    <row r="351">
      <c r="A351" s="396" t="str">
        <f>IFERROR(__xludf.DUMMYFUNCTION("""COMPUTED_VALUE"""),"Ederson Farley Riedel | Rio Novo do Sul - ES | Enviado")</f>
        <v>Ederson Farley Riedel | Rio Novo do Sul - ES | Enviado</v>
      </c>
      <c r="B351" s="396"/>
      <c r="C351" s="384"/>
      <c r="D351" s="384"/>
      <c r="E351" s="384"/>
      <c r="F351" s="384"/>
      <c r="G351" s="384"/>
      <c r="H351" s="384"/>
      <c r="I351" s="384"/>
      <c r="J351" s="384"/>
      <c r="K351" s="384"/>
      <c r="L351" s="384"/>
      <c r="M351" s="384"/>
      <c r="N351" s="384"/>
      <c r="O351" s="384"/>
      <c r="P351" s="384"/>
      <c r="Q351" s="384"/>
    </row>
    <row r="352">
      <c r="A352" s="396" t="str">
        <f>IFERROR(__xludf.DUMMYFUNCTION("""COMPUTED_VALUE"""),"Natalino Henriqueta dos Santos | São Mateus - ES | Enviado email 08/01/2024")</f>
        <v>Natalino Henriqueta dos Santos | São Mateus - ES | Enviado email 08/01/2024</v>
      </c>
      <c r="B352" s="396"/>
      <c r="C352" s="384"/>
      <c r="D352" s="384"/>
      <c r="E352" s="384"/>
      <c r="F352" s="384"/>
      <c r="G352" s="384"/>
      <c r="H352" s="384"/>
      <c r="I352" s="384"/>
      <c r="J352" s="384"/>
      <c r="K352" s="384"/>
      <c r="L352" s="384"/>
      <c r="M352" s="384"/>
      <c r="N352" s="384"/>
      <c r="O352" s="384"/>
      <c r="P352" s="384"/>
      <c r="Q352" s="384"/>
    </row>
    <row r="353">
      <c r="A353" s="396" t="str">
        <f>IFERROR(__xludf.DUMMYFUNCTION("""COMPUTED_VALUE"""),"Natalino Henriqueta dos Santos | São Mateus - ES | Enviado email 08/01/2024")</f>
        <v>Natalino Henriqueta dos Santos | São Mateus - ES | Enviado email 08/01/2024</v>
      </c>
      <c r="B353" s="396"/>
      <c r="C353" s="384"/>
      <c r="D353" s="384"/>
      <c r="E353" s="384"/>
      <c r="F353" s="384"/>
      <c r="G353" s="384"/>
      <c r="H353" s="384"/>
      <c r="I353" s="384"/>
      <c r="J353" s="384"/>
      <c r="K353" s="384"/>
      <c r="L353" s="384"/>
      <c r="M353" s="384"/>
      <c r="N353" s="384"/>
      <c r="O353" s="384"/>
      <c r="P353" s="384"/>
      <c r="Q353" s="384"/>
    </row>
    <row r="354">
      <c r="A354" s="396" t="str">
        <f>IFERROR(__xludf.DUMMYFUNCTION("""COMPUTED_VALUE"""),"Bruno Renato Paschoal | Belo Horizonte - MG | Enviado email 08/01/2024")</f>
        <v>Bruno Renato Paschoal | Belo Horizonte - MG | Enviado email 08/01/2024</v>
      </c>
      <c r="B354" s="396"/>
      <c r="C354" s="384"/>
      <c r="D354" s="384"/>
      <c r="E354" s="384"/>
      <c r="F354" s="384"/>
      <c r="G354" s="384"/>
      <c r="H354" s="384"/>
      <c r="I354" s="384"/>
      <c r="J354" s="384"/>
      <c r="K354" s="384"/>
      <c r="L354" s="384"/>
      <c r="M354" s="384"/>
      <c r="N354" s="384"/>
      <c r="O354" s="384"/>
      <c r="P354" s="384"/>
      <c r="Q354" s="384"/>
    </row>
    <row r="355">
      <c r="A355" s="396" t="str">
        <f>IFERROR(__xludf.DUMMYFUNCTION("""COMPUTED_VALUE"""),"Rosely Aparecida Vilela Costa | Coronel Fabriciano - MG | Enviado email 08/01/2025")</f>
        <v>Rosely Aparecida Vilela Costa | Coronel Fabriciano - MG | Enviado email 08/01/2025</v>
      </c>
      <c r="B355" s="396"/>
      <c r="C355" s="384"/>
      <c r="D355" s="384"/>
      <c r="E355" s="384"/>
      <c r="F355" s="384"/>
      <c r="G355" s="384"/>
      <c r="H355" s="384"/>
      <c r="I355" s="384"/>
      <c r="J355" s="384"/>
      <c r="K355" s="384"/>
      <c r="L355" s="384"/>
      <c r="M355" s="384"/>
      <c r="N355" s="384"/>
      <c r="O355" s="384"/>
      <c r="P355" s="384"/>
      <c r="Q355" s="384"/>
    </row>
    <row r="356">
      <c r="A356" s="396" t="str">
        <f>IFERROR(__xludf.DUMMYFUNCTION("""COMPUTED_VALUE"""),"Daiane do Prado Martins | São Paulo SP | Enviado email")</f>
        <v>Daiane do Prado Martins | São Paulo SP | Enviado email</v>
      </c>
      <c r="B356" s="396"/>
      <c r="C356" s="384"/>
      <c r="D356" s="384"/>
      <c r="E356" s="384"/>
      <c r="F356" s="384"/>
      <c r="G356" s="384"/>
      <c r="H356" s="384"/>
      <c r="I356" s="384"/>
      <c r="J356" s="384"/>
      <c r="K356" s="384"/>
      <c r="L356" s="384"/>
      <c r="M356" s="384"/>
      <c r="N356" s="384"/>
      <c r="O356" s="384"/>
      <c r="P356" s="384"/>
      <c r="Q356" s="384"/>
    </row>
    <row r="357">
      <c r="A357" s="396" t="str">
        <f>IFERROR(__xludf.DUMMYFUNCTION("""COMPUTED_VALUE"""),"Flavia Corrêa Natal | Rio de Janeiro - RJ | Enviado email 08/01/2025")</f>
        <v>Flavia Corrêa Natal | Rio de Janeiro - RJ | Enviado email 08/01/2025</v>
      </c>
      <c r="B357" s="396"/>
      <c r="C357" s="384"/>
      <c r="D357" s="384"/>
      <c r="E357" s="384"/>
      <c r="F357" s="384"/>
      <c r="G357" s="384"/>
      <c r="H357" s="384"/>
      <c r="I357" s="384"/>
      <c r="J357" s="384"/>
      <c r="K357" s="384"/>
      <c r="L357" s="384"/>
      <c r="M357" s="384"/>
      <c r="N357" s="384"/>
      <c r="O357" s="384"/>
      <c r="P357" s="384"/>
      <c r="Q357" s="384"/>
    </row>
    <row r="358">
      <c r="A358" s="396" t="str">
        <f>IFERROR(__xludf.DUMMYFUNCTION("""COMPUTED_VALUE"""),"Isaquiel dos Santos de Sousa Pereira | Conc. do Araguaia - PA | Enviado email Erick 11/12/2024")</f>
        <v>Isaquiel dos Santos de Sousa Pereira | Conc. do Araguaia - PA | Enviado email Erick 11/12/2024</v>
      </c>
      <c r="B358" s="396"/>
      <c r="C358" s="384"/>
      <c r="D358" s="384"/>
      <c r="E358" s="384"/>
      <c r="F358" s="384"/>
      <c r="G358" s="384"/>
      <c r="H358" s="384"/>
      <c r="I358" s="384"/>
      <c r="J358" s="384"/>
      <c r="K358" s="384"/>
      <c r="L358" s="384"/>
      <c r="M358" s="384"/>
      <c r="N358" s="384"/>
      <c r="O358" s="384"/>
      <c r="P358" s="384"/>
      <c r="Q358" s="384"/>
    </row>
    <row r="359">
      <c r="A359" s="396" t="str">
        <f>IFERROR(__xludf.DUMMYFUNCTION("""COMPUTED_VALUE"""),"Anacélia da Silva Brito | Caxias - MA | ")</f>
        <v>Anacélia da Silva Brito | Caxias - MA | </v>
      </c>
      <c r="B359" s="396"/>
      <c r="C359" s="384"/>
      <c r="D359" s="384"/>
      <c r="E359" s="384"/>
      <c r="F359" s="384"/>
      <c r="G359" s="384"/>
      <c r="H359" s="384"/>
      <c r="I359" s="384"/>
      <c r="J359" s="384"/>
      <c r="K359" s="384"/>
      <c r="L359" s="384"/>
      <c r="M359" s="384"/>
      <c r="N359" s="384"/>
      <c r="O359" s="384"/>
      <c r="P359" s="384"/>
      <c r="Q359" s="384"/>
    </row>
    <row r="360">
      <c r="A360" s="396" t="str">
        <f>IFERROR(__xludf.DUMMYFUNCTION("""COMPUTED_VALUE"""),"Sidney de Jesus Moreira | Campinas - SP | Enviado email 08/01/2024")</f>
        <v>Sidney de Jesus Moreira | Campinas - SP | Enviado email 08/01/2024</v>
      </c>
      <c r="B360" s="396"/>
      <c r="C360" s="384"/>
      <c r="D360" s="384"/>
      <c r="E360" s="384"/>
      <c r="F360" s="384"/>
      <c r="G360" s="384"/>
      <c r="H360" s="384"/>
      <c r="I360" s="384"/>
      <c r="J360" s="384"/>
      <c r="K360" s="384"/>
      <c r="L360" s="384"/>
      <c r="M360" s="384"/>
      <c r="N360" s="384"/>
      <c r="O360" s="384"/>
      <c r="P360" s="384"/>
      <c r="Q360" s="384"/>
    </row>
    <row r="361">
      <c r="A361" s="396" t="str">
        <f>IFERROR(__xludf.DUMMYFUNCTION("""COMPUTED_VALUE"""),"Guilherme Martinez Freire | Barra dos bugres - MT | Enviado email 08/01/2024")</f>
        <v>Guilherme Martinez Freire | Barra dos bugres - MT | Enviado email 08/01/2024</v>
      </c>
      <c r="B361" s="396"/>
      <c r="C361" s="384"/>
      <c r="D361" s="384"/>
      <c r="E361" s="384"/>
      <c r="F361" s="384"/>
      <c r="G361" s="384"/>
      <c r="H361" s="384"/>
      <c r="I361" s="384"/>
      <c r="J361" s="384"/>
      <c r="K361" s="384"/>
      <c r="L361" s="384"/>
      <c r="M361" s="384"/>
      <c r="N361" s="384"/>
      <c r="O361" s="384"/>
      <c r="P361" s="384"/>
      <c r="Q361" s="384"/>
    </row>
    <row r="362">
      <c r="A362" s="396" t="str">
        <f>IFERROR(__xludf.DUMMYFUNCTION("""COMPUTED_VALUE"""),"Antônio José Roque | Arapiraca - AL | Enviado email ")</f>
        <v>Antônio José Roque | Arapiraca - AL | Enviado email </v>
      </c>
      <c r="B362" s="396"/>
      <c r="C362" s="384"/>
      <c r="D362" s="384"/>
      <c r="E362" s="384"/>
      <c r="F362" s="384"/>
      <c r="G362" s="384"/>
      <c r="H362" s="384"/>
      <c r="I362" s="384"/>
      <c r="J362" s="384"/>
      <c r="K362" s="384"/>
      <c r="L362" s="384"/>
      <c r="M362" s="384"/>
      <c r="N362" s="384"/>
      <c r="O362" s="384"/>
      <c r="P362" s="384"/>
      <c r="Q362" s="384"/>
    </row>
    <row r="363">
      <c r="A363" s="396" t="str">
        <f>IFERROR(__xludf.DUMMYFUNCTION("""COMPUTED_VALUE"""),"Luiz Carlos Lisboa Gondim | Recife / PE | ")</f>
        <v>Luiz Carlos Lisboa Gondim | Recife / PE | </v>
      </c>
      <c r="B363" s="396"/>
      <c r="C363" s="384"/>
      <c r="D363" s="384"/>
      <c r="E363" s="384"/>
      <c r="F363" s="384"/>
      <c r="G363" s="384"/>
      <c r="H363" s="384"/>
      <c r="I363" s="384"/>
      <c r="J363" s="384"/>
      <c r="K363" s="384"/>
      <c r="L363" s="384"/>
      <c r="M363" s="384"/>
      <c r="N363" s="384"/>
      <c r="O363" s="384"/>
      <c r="P363" s="384"/>
      <c r="Q363" s="384"/>
    </row>
    <row r="364">
      <c r="A364" s="396" t="str">
        <f>IFERROR(__xludf.DUMMYFUNCTION("""COMPUTED_VALUE"""),"Maryellen dos santos pereira | 30140 | ")</f>
        <v>Maryellen dos santos pereira | 30140 | </v>
      </c>
      <c r="B364" s="396"/>
      <c r="C364" s="384"/>
      <c r="D364" s="384"/>
      <c r="E364" s="384"/>
      <c r="F364" s="384"/>
      <c r="G364" s="384"/>
      <c r="H364" s="384"/>
      <c r="I364" s="384"/>
      <c r="J364" s="384"/>
      <c r="K364" s="384"/>
      <c r="L364" s="384"/>
      <c r="M364" s="384"/>
      <c r="N364" s="384"/>
      <c r="O364" s="384"/>
      <c r="P364" s="384"/>
      <c r="Q364" s="384"/>
    </row>
    <row r="365">
      <c r="A365" s="396" t="str">
        <f>IFERROR(__xludf.DUMMYFUNCTION("""COMPUTED_VALUE"""),"LUÍS GUSTAVO DE FREITAS DIAS |  | ")</f>
        <v>LUÍS GUSTAVO DE FREITAS DIAS |  | </v>
      </c>
      <c r="B365" s="396"/>
      <c r="C365" s="384"/>
      <c r="D365" s="384"/>
      <c r="E365" s="384"/>
      <c r="F365" s="384"/>
      <c r="G365" s="384"/>
      <c r="H365" s="384"/>
      <c r="I365" s="384"/>
      <c r="J365" s="384"/>
      <c r="K365" s="384"/>
      <c r="L365" s="384"/>
      <c r="M365" s="384"/>
      <c r="N365" s="384"/>
      <c r="O365" s="384"/>
      <c r="P365" s="384"/>
      <c r="Q365" s="384"/>
    </row>
    <row r="366">
      <c r="A366" s="396" t="str">
        <f>IFERROR(__xludf.DUMMYFUNCTION("""COMPUTED_VALUE"""),"Daniela Lucio Oliveira | Goianésia - GO | ")</f>
        <v>Daniela Lucio Oliveira | Goianésia - GO | </v>
      </c>
      <c r="B366" s="396"/>
      <c r="C366" s="384"/>
      <c r="D366" s="384"/>
      <c r="E366" s="384"/>
      <c r="F366" s="384"/>
      <c r="G366" s="384"/>
      <c r="H366" s="384"/>
      <c r="I366" s="384"/>
      <c r="J366" s="384"/>
      <c r="K366" s="384"/>
      <c r="L366" s="384"/>
      <c r="M366" s="384"/>
      <c r="N366" s="384"/>
      <c r="O366" s="384"/>
      <c r="P366" s="384"/>
      <c r="Q366" s="384"/>
    </row>
    <row r="367">
      <c r="A367" s="396" t="str">
        <f>IFERROR(__xludf.DUMMYFUNCTION("""COMPUTED_VALUE"""),"Karla Cardoso Lobato | Goiânia - GO | Enviado email Erick 16/12/204")</f>
        <v>Karla Cardoso Lobato | Goiânia - GO | Enviado email Erick 16/12/204</v>
      </c>
      <c r="B367" s="396"/>
      <c r="C367" s="384"/>
      <c r="D367" s="384"/>
      <c r="E367" s="384"/>
      <c r="F367" s="384"/>
      <c r="G367" s="384"/>
      <c r="H367" s="384"/>
      <c r="I367" s="384"/>
      <c r="J367" s="384"/>
      <c r="K367" s="384"/>
      <c r="L367" s="384"/>
      <c r="M367" s="384"/>
      <c r="N367" s="384"/>
      <c r="O367" s="384"/>
      <c r="P367" s="384"/>
      <c r="Q367" s="384"/>
    </row>
    <row r="368">
      <c r="A368" s="396" t="str">
        <f>IFERROR(__xludf.DUMMYFUNCTION("""COMPUTED_VALUE"""),"Karla Cardoso Lobato | Goiânia - GO | Enviado email Erick 16/12/204")</f>
        <v>Karla Cardoso Lobato | Goiânia - GO | Enviado email Erick 16/12/204</v>
      </c>
      <c r="B368" s="396"/>
      <c r="C368" s="384"/>
      <c r="D368" s="384"/>
      <c r="E368" s="384"/>
      <c r="F368" s="384"/>
      <c r="G368" s="384"/>
      <c r="H368" s="384"/>
      <c r="I368" s="384"/>
      <c r="J368" s="384"/>
      <c r="K368" s="384"/>
      <c r="L368" s="384"/>
      <c r="M368" s="384"/>
      <c r="N368" s="384"/>
      <c r="O368" s="384"/>
      <c r="P368" s="384"/>
      <c r="Q368" s="384"/>
    </row>
    <row r="369">
      <c r="A369" s="396" t="str">
        <f>IFERROR(__xludf.DUMMYFUNCTION("""COMPUTED_VALUE"""),"Adriana de Almeida Abreu | Vacaria - RS | ENviado emaul Erick 14/01/2025")</f>
        <v>Adriana de Almeida Abreu | Vacaria - RS | ENviado emaul Erick 14/01/2025</v>
      </c>
      <c r="B369" s="396"/>
      <c r="C369" s="384"/>
      <c r="D369" s="384"/>
      <c r="E369" s="384"/>
      <c r="F369" s="384"/>
      <c r="G369" s="384"/>
      <c r="H369" s="384"/>
      <c r="I369" s="384"/>
      <c r="J369" s="384"/>
      <c r="K369" s="384"/>
      <c r="L369" s="384"/>
      <c r="M369" s="384"/>
      <c r="N369" s="384"/>
      <c r="O369" s="384"/>
      <c r="P369" s="384"/>
      <c r="Q369" s="384"/>
    </row>
    <row r="370">
      <c r="A370" s="396" t="str">
        <f>IFERROR(__xludf.DUMMYFUNCTION("""COMPUTED_VALUE"""),"Adriana de Almeida Abreu | Vacaria - RS | ENviado emaul Erick 14/01/2025")</f>
        <v>Adriana de Almeida Abreu | Vacaria - RS | ENviado emaul Erick 14/01/2025</v>
      </c>
      <c r="B370" s="396"/>
      <c r="C370" s="384"/>
      <c r="D370" s="384"/>
      <c r="E370" s="384"/>
      <c r="F370" s="384"/>
      <c r="G370" s="384"/>
      <c r="H370" s="384"/>
      <c r="I370" s="384"/>
      <c r="J370" s="384"/>
      <c r="K370" s="384"/>
      <c r="L370" s="384"/>
      <c r="M370" s="384"/>
      <c r="N370" s="384"/>
      <c r="O370" s="384"/>
      <c r="P370" s="384"/>
      <c r="Q370" s="384"/>
    </row>
    <row r="371">
      <c r="A371" s="396" t="str">
        <f>IFERROR(__xludf.DUMMYFUNCTION("""COMPUTED_VALUE"""),"Sauiny da Silva Bento  | Taraucá - AC | ")</f>
        <v>Sauiny da Silva Bento  | Taraucá - AC | </v>
      </c>
      <c r="B371" s="396"/>
      <c r="C371" s="384"/>
      <c r="D371" s="384"/>
      <c r="E371" s="384"/>
      <c r="F371" s="384"/>
      <c r="G371" s="384"/>
      <c r="H371" s="384"/>
      <c r="I371" s="384"/>
      <c r="J371" s="384"/>
      <c r="K371" s="384"/>
      <c r="L371" s="384"/>
      <c r="M371" s="384"/>
      <c r="N371" s="384"/>
      <c r="O371" s="384"/>
      <c r="P371" s="384"/>
      <c r="Q371" s="384"/>
    </row>
    <row r="372">
      <c r="A372" s="396" t="str">
        <f>IFERROR(__xludf.DUMMYFUNCTION("""COMPUTED_VALUE"""),"Sonete Odivino De Oliveira Silva | Araruna - PR | ")</f>
        <v>Sonete Odivino De Oliveira Silva | Araruna - PR | </v>
      </c>
      <c r="B372" s="396"/>
      <c r="C372" s="384"/>
      <c r="D372" s="384"/>
      <c r="E372" s="384"/>
      <c r="F372" s="384"/>
      <c r="G372" s="384"/>
      <c r="H372" s="384"/>
      <c r="I372" s="384"/>
      <c r="J372" s="384"/>
      <c r="K372" s="384"/>
      <c r="L372" s="384"/>
      <c r="M372" s="384"/>
      <c r="N372" s="384"/>
      <c r="O372" s="384"/>
      <c r="P372" s="384"/>
      <c r="Q372" s="384"/>
    </row>
    <row r="373">
      <c r="A373" s="396" t="str">
        <f>IFERROR(__xludf.DUMMYFUNCTION("""COMPUTED_VALUE"""),"Sidneia Milléo de Oliveira | Paranaguá - PR | Enviado email Pedro 14/01/2025 ")</f>
        <v>Sidneia Milléo de Oliveira | Paranaguá - PR | Enviado email Pedro 14/01/2025 </v>
      </c>
      <c r="B373" s="396"/>
      <c r="C373" s="384"/>
      <c r="D373" s="384"/>
      <c r="E373" s="384"/>
      <c r="F373" s="384"/>
      <c r="G373" s="384"/>
      <c r="H373" s="384"/>
      <c r="I373" s="384"/>
      <c r="J373" s="384"/>
      <c r="K373" s="384"/>
      <c r="L373" s="384"/>
      <c r="M373" s="384"/>
      <c r="N373" s="384"/>
      <c r="O373" s="384"/>
      <c r="P373" s="384"/>
      <c r="Q373" s="384"/>
    </row>
    <row r="374">
      <c r="A374" s="396" t="str">
        <f>IFERROR(__xludf.DUMMYFUNCTION("""COMPUTED_VALUE"""),"Aline Daiane Fernandes Naparo | Santa Vitória do Palmar - RS | Enviado email 14/01/2025")</f>
        <v>Aline Daiane Fernandes Naparo | Santa Vitória do Palmar - RS | Enviado email 14/01/2025</v>
      </c>
      <c r="B374" s="396"/>
      <c r="C374" s="384"/>
      <c r="D374" s="384"/>
      <c r="E374" s="384"/>
      <c r="F374" s="384"/>
      <c r="G374" s="384"/>
      <c r="H374" s="384"/>
      <c r="I374" s="384"/>
      <c r="J374" s="384"/>
      <c r="K374" s="384"/>
      <c r="L374" s="384"/>
      <c r="M374" s="384"/>
      <c r="N374" s="384"/>
      <c r="O374" s="384"/>
      <c r="P374" s="384"/>
      <c r="Q374" s="384"/>
    </row>
    <row r="375">
      <c r="A375" s="396" t="str">
        <f>IFERROR(__xludf.DUMMYFUNCTION("""COMPUTED_VALUE"""),"Paulo Henrique Vasconcelos | Fortaleza - Ce | Enviado email Erick 08/01/2025")</f>
        <v>Paulo Henrique Vasconcelos | Fortaleza - Ce | Enviado email Erick 08/01/2025</v>
      </c>
      <c r="B375" s="396"/>
      <c r="C375" s="384"/>
      <c r="D375" s="384"/>
      <c r="E375" s="384"/>
      <c r="F375" s="384"/>
      <c r="G375" s="384"/>
      <c r="H375" s="384"/>
      <c r="I375" s="384"/>
      <c r="J375" s="384"/>
      <c r="K375" s="384"/>
      <c r="L375" s="384"/>
      <c r="M375" s="384"/>
      <c r="N375" s="384"/>
      <c r="O375" s="384"/>
      <c r="P375" s="384"/>
      <c r="Q375" s="384"/>
    </row>
    <row r="376">
      <c r="A376" s="396" t="str">
        <f>IFERROR(__xludf.DUMMYFUNCTION("""COMPUTED_VALUE"""),"José Fernando de Cerqueira Temoteo | Coité do Nóia - AL | ")</f>
        <v>José Fernando de Cerqueira Temoteo | Coité do Nóia - AL | </v>
      </c>
      <c r="B376" s="396"/>
      <c r="C376" s="384"/>
      <c r="D376" s="384"/>
      <c r="E376" s="384"/>
      <c r="F376" s="384"/>
      <c r="G376" s="384"/>
      <c r="H376" s="384"/>
      <c r="I376" s="384"/>
      <c r="J376" s="384"/>
      <c r="K376" s="384"/>
      <c r="L376" s="384"/>
      <c r="M376" s="384"/>
      <c r="N376" s="384"/>
      <c r="O376" s="384"/>
      <c r="P376" s="384"/>
      <c r="Q376" s="384"/>
    </row>
    <row r="377">
      <c r="A377" s="396" t="str">
        <f>IFERROR(__xludf.DUMMYFUNCTION("""COMPUTED_VALUE"""),"Larissa Albuquerque de Lima da Silva  |  |  ")</f>
        <v>Larissa Albuquerque de Lima da Silva  |  |  </v>
      </c>
      <c r="B377" s="396"/>
      <c r="C377" s="384"/>
      <c r="D377" s="384"/>
      <c r="E377" s="384"/>
      <c r="F377" s="384"/>
      <c r="G377" s="384"/>
      <c r="H377" s="384"/>
      <c r="I377" s="384"/>
      <c r="J377" s="384"/>
      <c r="K377" s="384"/>
      <c r="L377" s="384"/>
      <c r="M377" s="384"/>
      <c r="N377" s="384"/>
      <c r="O377" s="384"/>
      <c r="P377" s="384"/>
      <c r="Q377" s="384"/>
    </row>
    <row r="378">
      <c r="A378" s="396" t="str">
        <f>IFERROR(__xludf.DUMMYFUNCTION("""COMPUTED_VALUE"""),"NAYARA HELENA DE ARAÚJO OLIVEIRA | Conselheiro Pena - MG | ")</f>
        <v>NAYARA HELENA DE ARAÚJO OLIVEIRA | Conselheiro Pena - MG | </v>
      </c>
      <c r="B378" s="396"/>
      <c r="C378" s="384"/>
      <c r="D378" s="384"/>
      <c r="E378" s="384"/>
      <c r="F378" s="384"/>
      <c r="G378" s="384"/>
      <c r="H378" s="384"/>
      <c r="I378" s="384"/>
      <c r="J378" s="384"/>
      <c r="K378" s="384"/>
      <c r="L378" s="384"/>
      <c r="M378" s="384"/>
      <c r="N378" s="384"/>
      <c r="O378" s="384"/>
      <c r="P378" s="384"/>
      <c r="Q378" s="384"/>
    </row>
    <row r="379">
      <c r="A379" s="396" t="str">
        <f>IFERROR(__xludf.DUMMYFUNCTION("""COMPUTED_VALUE"""),"Ariana Francine Moreira | Sorocaba - SP | ")</f>
        <v>Ariana Francine Moreira | Sorocaba - SP | </v>
      </c>
      <c r="B379" s="396"/>
      <c r="C379" s="384"/>
      <c r="D379" s="384"/>
      <c r="E379" s="384"/>
      <c r="F379" s="384"/>
      <c r="G379" s="384"/>
      <c r="H379" s="384"/>
      <c r="I379" s="384"/>
      <c r="J379" s="384"/>
      <c r="K379" s="384"/>
      <c r="L379" s="384"/>
      <c r="M379" s="384"/>
      <c r="N379" s="384"/>
      <c r="O379" s="384"/>
      <c r="P379" s="384"/>
      <c r="Q379" s="384"/>
    </row>
    <row r="380">
      <c r="A380" s="396" t="str">
        <f>IFERROR(__xludf.DUMMYFUNCTION("""COMPUTED_VALUE"""),"Jamile Maria Ribeiro Duarte Nogueira | Caiapônia/GO | ")</f>
        <v>Jamile Maria Ribeiro Duarte Nogueira | Caiapônia/GO | </v>
      </c>
      <c r="B380" s="396"/>
      <c r="C380" s="384"/>
      <c r="D380" s="384"/>
      <c r="E380" s="384"/>
      <c r="F380" s="384"/>
      <c r="G380" s="384"/>
      <c r="H380" s="384"/>
      <c r="I380" s="384"/>
      <c r="J380" s="384"/>
      <c r="K380" s="384"/>
      <c r="L380" s="384"/>
      <c r="M380" s="384"/>
      <c r="N380" s="384"/>
      <c r="O380" s="384"/>
      <c r="P380" s="384"/>
      <c r="Q380" s="384"/>
    </row>
    <row r="381">
      <c r="A381" s="396" t="str">
        <f>IFERROR(__xludf.DUMMYFUNCTION("""COMPUTED_VALUE"""),"Patrick Westphal Elias | Tubarão - SC | Enviado email")</f>
        <v>Patrick Westphal Elias | Tubarão - SC | Enviado email</v>
      </c>
      <c r="B381" s="396"/>
      <c r="C381" s="384"/>
      <c r="D381" s="384"/>
      <c r="E381" s="384"/>
      <c r="F381" s="384"/>
      <c r="G381" s="384"/>
      <c r="H381" s="384"/>
      <c r="I381" s="384"/>
      <c r="J381" s="384"/>
      <c r="K381" s="384"/>
      <c r="L381" s="384"/>
      <c r="M381" s="384"/>
      <c r="N381" s="384"/>
      <c r="O381" s="384"/>
      <c r="P381" s="384"/>
      <c r="Q381" s="384"/>
    </row>
    <row r="382">
      <c r="A382" s="396" t="str">
        <f>IFERROR(__xludf.DUMMYFUNCTION("""COMPUTED_VALUE"""),"Tatiana Ap Carlino Pinheiro | 27744 | ")</f>
        <v>Tatiana Ap Carlino Pinheiro | 27744 | </v>
      </c>
      <c r="B382" s="396"/>
      <c r="C382" s="384"/>
      <c r="D382" s="384"/>
      <c r="E382" s="384"/>
      <c r="F382" s="384"/>
      <c r="G382" s="384"/>
      <c r="H382" s="384"/>
      <c r="I382" s="384"/>
      <c r="J382" s="384"/>
      <c r="K382" s="384"/>
      <c r="L382" s="384"/>
      <c r="M382" s="384"/>
      <c r="N382" s="384"/>
      <c r="O382" s="384"/>
      <c r="P382" s="384"/>
      <c r="Q382" s="384"/>
    </row>
    <row r="383">
      <c r="A383" s="396" t="str">
        <f>IFERROR(__xludf.DUMMYFUNCTION("""COMPUTED_VALUE"""),"Alessandra Ferreira da Silva | 26302 | Enviado Email")</f>
        <v>Alessandra Ferreira da Silva | 26302 | Enviado Email</v>
      </c>
      <c r="B383" s="396"/>
      <c r="C383" s="384"/>
      <c r="D383" s="384"/>
      <c r="E383" s="384"/>
      <c r="F383" s="384"/>
      <c r="G383" s="384"/>
      <c r="H383" s="384"/>
      <c r="I383" s="384"/>
      <c r="J383" s="384"/>
      <c r="K383" s="384"/>
      <c r="L383" s="384"/>
      <c r="M383" s="384"/>
      <c r="N383" s="384"/>
      <c r="O383" s="384"/>
      <c r="P383" s="384"/>
      <c r="Q383" s="384"/>
    </row>
    <row r="384">
      <c r="A384" s="396" t="str">
        <f>IFERROR(__xludf.DUMMYFUNCTION("""COMPUTED_VALUE"""),"Lazara Aparecida Rodrigues |  | ")</f>
        <v>Lazara Aparecida Rodrigues |  | </v>
      </c>
      <c r="B384" s="396"/>
      <c r="C384" s="384"/>
      <c r="D384" s="384"/>
      <c r="E384" s="384"/>
      <c r="F384" s="384"/>
      <c r="G384" s="384"/>
      <c r="H384" s="384"/>
      <c r="I384" s="384"/>
      <c r="J384" s="384"/>
      <c r="K384" s="384"/>
      <c r="L384" s="384"/>
      <c r="M384" s="384"/>
      <c r="N384" s="384"/>
      <c r="O384" s="384"/>
      <c r="P384" s="384"/>
      <c r="Q384" s="384"/>
    </row>
    <row r="385">
      <c r="A385" s="396" t="str">
        <f>IFERROR(__xludf.DUMMYFUNCTION("""COMPUTED_VALUE"""),"Paloma de Campos Alé Pereira | 34420 | ")</f>
        <v>Paloma de Campos Alé Pereira | 34420 | </v>
      </c>
      <c r="B385" s="396"/>
      <c r="C385" s="384"/>
      <c r="D385" s="384"/>
      <c r="E385" s="384"/>
      <c r="F385" s="384"/>
      <c r="G385" s="384"/>
      <c r="H385" s="384"/>
      <c r="I385" s="384"/>
      <c r="J385" s="384"/>
      <c r="K385" s="384"/>
      <c r="L385" s="384"/>
      <c r="M385" s="384"/>
      <c r="N385" s="384"/>
      <c r="O385" s="384"/>
      <c r="P385" s="384"/>
      <c r="Q385" s="384"/>
    </row>
    <row r="386">
      <c r="A386" s="396" t="str">
        <f>IFERROR(__xludf.DUMMYFUNCTION("""COMPUTED_VALUE"""),"Leonardo Inácio Pereira | 33443 | ")</f>
        <v>Leonardo Inácio Pereira | 33443 | </v>
      </c>
      <c r="B386" s="396"/>
      <c r="C386" s="384"/>
      <c r="D386" s="384"/>
      <c r="E386" s="384"/>
      <c r="F386" s="384"/>
      <c r="G386" s="384"/>
      <c r="H386" s="384"/>
      <c r="I386" s="384"/>
      <c r="J386" s="384"/>
      <c r="K386" s="384"/>
      <c r="L386" s="384"/>
      <c r="M386" s="384"/>
      <c r="N386" s="384"/>
      <c r="O386" s="384"/>
      <c r="P386" s="384"/>
      <c r="Q386" s="384"/>
    </row>
    <row r="387">
      <c r="A387" s="396" t="str">
        <f>IFERROR(__xludf.DUMMYFUNCTION("""COMPUTED_VALUE""")," |  | ")</f>
        <v> |  | </v>
      </c>
      <c r="B387" s="396"/>
      <c r="C387" s="384"/>
      <c r="D387" s="384"/>
      <c r="E387" s="384"/>
      <c r="F387" s="384"/>
      <c r="G387" s="384"/>
      <c r="H387" s="384"/>
      <c r="I387" s="384"/>
      <c r="J387" s="384"/>
      <c r="K387" s="384"/>
      <c r="L387" s="384"/>
      <c r="M387" s="384"/>
      <c r="N387" s="384"/>
      <c r="O387" s="384"/>
      <c r="P387" s="384"/>
      <c r="Q387" s="384"/>
    </row>
    <row r="388">
      <c r="A388" s="396" t="str">
        <f>IFERROR(__xludf.DUMMYFUNCTION("""COMPUTED_VALUE""")," |  | ")</f>
        <v> |  | </v>
      </c>
      <c r="B388" s="396"/>
      <c r="C388" s="384"/>
      <c r="D388" s="384"/>
      <c r="E388" s="384"/>
      <c r="F388" s="384"/>
      <c r="G388" s="384"/>
      <c r="H388" s="384"/>
      <c r="I388" s="384"/>
      <c r="J388" s="384"/>
      <c r="K388" s="384"/>
      <c r="L388" s="384"/>
      <c r="M388" s="384"/>
      <c r="N388" s="384"/>
      <c r="O388" s="384"/>
      <c r="P388" s="384"/>
      <c r="Q388" s="384"/>
    </row>
    <row r="389">
      <c r="A389" s="396" t="str">
        <f>IFERROR(__xludf.DUMMYFUNCTION("""COMPUTED_VALUE"""),"ALUNO | Naturalidade | INÍCIO CURSO")</f>
        <v>ALUNO | Naturalidade | INÍCIO CURSO</v>
      </c>
      <c r="B389" s="396"/>
      <c r="C389" s="384"/>
      <c r="D389" s="384"/>
      <c r="E389" s="384"/>
      <c r="F389" s="384"/>
      <c r="G389" s="384"/>
      <c r="H389" s="384"/>
      <c r="I389" s="384"/>
      <c r="J389" s="384"/>
      <c r="K389" s="384"/>
      <c r="L389" s="384"/>
      <c r="M389" s="384"/>
      <c r="N389" s="384"/>
      <c r="O389" s="384"/>
      <c r="P389" s="384"/>
      <c r="Q389" s="384"/>
    </row>
    <row r="390">
      <c r="A390" s="396" t="str">
        <f>IFERROR(__xludf.DUMMYFUNCTION("""COMPUTED_VALUE"""),"Francisco Alves Farias | HIdrolandia - CE | 45272")</f>
        <v>Francisco Alves Farias | HIdrolandia - CE | 45272</v>
      </c>
      <c r="B390" s="396"/>
      <c r="C390" s="384"/>
      <c r="D390" s="384"/>
      <c r="E390" s="384"/>
      <c r="F390" s="384"/>
      <c r="G390" s="384"/>
      <c r="H390" s="384"/>
      <c r="I390" s="384"/>
      <c r="J390" s="384"/>
      <c r="K390" s="384"/>
      <c r="L390" s="384"/>
      <c r="M390" s="384"/>
      <c r="N390" s="384"/>
      <c r="O390" s="384"/>
      <c r="P390" s="384"/>
      <c r="Q390" s="384"/>
    </row>
    <row r="391">
      <c r="A391" s="396" t="str">
        <f>IFERROR(__xludf.DUMMYFUNCTION("""COMPUTED_VALUE"""),"Elizabeth Cristina Sales Pereira Ferraz | Capelinha-MG  | 45112")</f>
        <v>Elizabeth Cristina Sales Pereira Ferraz | Capelinha-MG  | 45112</v>
      </c>
      <c r="B391" s="396"/>
      <c r="C391" s="384"/>
      <c r="D391" s="384"/>
      <c r="E391" s="384"/>
      <c r="F391" s="384"/>
      <c r="G391" s="384"/>
      <c r="H391" s="384"/>
      <c r="I391" s="384"/>
      <c r="J391" s="384"/>
      <c r="K391" s="384"/>
      <c r="L391" s="384"/>
      <c r="M391" s="384"/>
      <c r="N391" s="384"/>
      <c r="O391" s="384"/>
      <c r="P391" s="384"/>
      <c r="Q391" s="384"/>
    </row>
    <row r="392">
      <c r="A392" s="396" t="str">
        <f>IFERROR(__xludf.DUMMYFUNCTION("""COMPUTED_VALUE"""),"Rebecca Rodrigues Carvalho | Rio Verde -  GO | 44700")</f>
        <v>Rebecca Rodrigues Carvalho | Rio Verde -  GO | 44700</v>
      </c>
      <c r="B392" s="396"/>
      <c r="C392" s="384"/>
      <c r="D392" s="384"/>
      <c r="E392" s="384"/>
      <c r="F392" s="384"/>
      <c r="G392" s="384"/>
      <c r="H392" s="384"/>
      <c r="I392" s="384"/>
      <c r="J392" s="384"/>
      <c r="K392" s="384"/>
      <c r="L392" s="384"/>
      <c r="M392" s="384"/>
      <c r="N392" s="384"/>
      <c r="O392" s="384"/>
      <c r="P392" s="384"/>
      <c r="Q392" s="384"/>
    </row>
    <row r="393">
      <c r="A393" s="396" t="str">
        <f>IFERROR(__xludf.DUMMYFUNCTION("""COMPUTED_VALUE"""),"Roseli de Paula Dias | Guarulhos - SP | 45524")</f>
        <v>Roseli de Paula Dias | Guarulhos - SP | 45524</v>
      </c>
      <c r="B393" s="396"/>
      <c r="C393" s="384"/>
      <c r="D393" s="384"/>
      <c r="E393" s="384"/>
      <c r="F393" s="384"/>
      <c r="G393" s="384"/>
      <c r="H393" s="384"/>
      <c r="I393" s="384"/>
      <c r="J393" s="384"/>
      <c r="K393" s="384"/>
      <c r="L393" s="384"/>
      <c r="M393" s="384"/>
      <c r="N393" s="384"/>
      <c r="O393" s="384"/>
      <c r="P393" s="384"/>
      <c r="Q393" s="384"/>
    </row>
    <row r="394">
      <c r="A394" s="396" t="str">
        <f>IFERROR(__xludf.DUMMYFUNCTION("""COMPUTED_VALUE"""),"Eliane Aparecida Bassotto | Campo Belo do Sul - SC | 45224")</f>
        <v>Eliane Aparecida Bassotto | Campo Belo do Sul - SC | 45224</v>
      </c>
      <c r="B394" s="396"/>
      <c r="C394" s="384"/>
      <c r="D394" s="384"/>
      <c r="E394" s="384"/>
      <c r="F394" s="384"/>
      <c r="G394" s="384"/>
      <c r="H394" s="384"/>
      <c r="I394" s="384"/>
      <c r="J394" s="384"/>
      <c r="K394" s="384"/>
      <c r="L394" s="384"/>
      <c r="M394" s="384"/>
      <c r="N394" s="384"/>
      <c r="O394" s="384"/>
      <c r="P394" s="384"/>
      <c r="Q394" s="384"/>
    </row>
    <row r="395">
      <c r="A395" s="396" t="str">
        <f>IFERROR(__xludf.DUMMYFUNCTION("""COMPUTED_VALUE"""),"Camila Pereira Gonçalves de Souza | Caparão - MG | 45266")</f>
        <v>Camila Pereira Gonçalves de Souza | Caparão - MG | 45266</v>
      </c>
      <c r="B395" s="396"/>
      <c r="C395" s="384"/>
      <c r="D395" s="384"/>
      <c r="E395" s="384"/>
      <c r="F395" s="384"/>
      <c r="G395" s="384"/>
      <c r="H395" s="384"/>
      <c r="I395" s="384"/>
      <c r="J395" s="384"/>
      <c r="K395" s="384"/>
      <c r="L395" s="384"/>
      <c r="M395" s="384"/>
      <c r="N395" s="384"/>
      <c r="O395" s="384"/>
      <c r="P395" s="384"/>
      <c r="Q395" s="384"/>
    </row>
    <row r="396">
      <c r="A396" s="396" t="str">
        <f>IFERROR(__xludf.DUMMYFUNCTION("""COMPUTED_VALUE"""),"Geraldo Gonçalves Costa | Ponte NOva - MG | 45411")</f>
        <v>Geraldo Gonçalves Costa | Ponte NOva - MG | 45411</v>
      </c>
      <c r="B396" s="396"/>
      <c r="C396" s="384"/>
      <c r="D396" s="384"/>
      <c r="E396" s="384"/>
      <c r="F396" s="384"/>
      <c r="G396" s="384"/>
      <c r="H396" s="384"/>
      <c r="I396" s="384"/>
      <c r="J396" s="384"/>
      <c r="K396" s="384"/>
      <c r="L396" s="384"/>
      <c r="M396" s="384"/>
      <c r="N396" s="384"/>
      <c r="O396" s="384"/>
      <c r="P396" s="384"/>
      <c r="Q396" s="384"/>
    </row>
    <row r="397">
      <c r="A397" s="396" t="str">
        <f>IFERROR(__xludf.DUMMYFUNCTION("""COMPUTED_VALUE"""),"Juliana Luzia Dias | Londrina - PR  | 45362")</f>
        <v>Juliana Luzia Dias | Londrina - PR  | 45362</v>
      </c>
      <c r="B397" s="396"/>
      <c r="C397" s="384"/>
      <c r="D397" s="384"/>
      <c r="E397" s="384"/>
      <c r="F397" s="384"/>
      <c r="G397" s="384"/>
      <c r="H397" s="384"/>
      <c r="I397" s="384"/>
      <c r="J397" s="384"/>
      <c r="K397" s="384"/>
      <c r="L397" s="384"/>
      <c r="M397" s="384"/>
      <c r="N397" s="384"/>
      <c r="O397" s="384"/>
      <c r="P397" s="384"/>
      <c r="Q397" s="384"/>
    </row>
    <row r="398">
      <c r="A398" s="396" t="str">
        <f>IFERROR(__xludf.DUMMYFUNCTION("""COMPUTED_VALUE"""),"Francisco das Chagas Ramalhaes de Souza | São Paulo -SP  | 45202")</f>
        <v>Francisco das Chagas Ramalhaes de Souza | São Paulo -SP  | 45202</v>
      </c>
      <c r="B398" s="396"/>
      <c r="C398" s="384"/>
      <c r="D398" s="384"/>
      <c r="E398" s="384"/>
      <c r="F398" s="384"/>
      <c r="G398" s="384"/>
      <c r="H398" s="384"/>
      <c r="I398" s="384"/>
      <c r="J398" s="384"/>
      <c r="K398" s="384"/>
      <c r="L398" s="384"/>
      <c r="M398" s="384"/>
      <c r="N398" s="384"/>
      <c r="O398" s="384"/>
      <c r="P398" s="384"/>
      <c r="Q398" s="384"/>
    </row>
    <row r="399">
      <c r="A399" s="396" t="str">
        <f>IFERROR(__xludf.DUMMYFUNCTION("""COMPUTED_VALUE"""),"Renata de Melo Pereira Zacarias | Campo Beelo - MG | 45307")</f>
        <v>Renata de Melo Pereira Zacarias | Campo Beelo - MG | 45307</v>
      </c>
      <c r="B399" s="396"/>
      <c r="C399" s="384"/>
      <c r="D399" s="384"/>
      <c r="E399" s="384"/>
      <c r="F399" s="384"/>
      <c r="G399" s="384"/>
      <c r="H399" s="384"/>
      <c r="I399" s="384"/>
      <c r="J399" s="384"/>
      <c r="K399" s="384"/>
      <c r="L399" s="384"/>
      <c r="M399" s="384"/>
      <c r="N399" s="384"/>
      <c r="O399" s="384"/>
      <c r="P399" s="384"/>
      <c r="Q399" s="384"/>
    </row>
    <row r="400">
      <c r="A400" s="396" t="str">
        <f>IFERROR(__xludf.DUMMYFUNCTION("""COMPUTED_VALUE"""),"Rafaela Ferreira Virgolino | Rio de Janeiro - RJ | 45246")</f>
        <v>Rafaela Ferreira Virgolino | Rio de Janeiro - RJ | 45246</v>
      </c>
      <c r="B400" s="396"/>
      <c r="C400" s="384"/>
      <c r="D400" s="384"/>
      <c r="E400" s="384"/>
      <c r="F400" s="384"/>
      <c r="G400" s="384"/>
      <c r="H400" s="384"/>
      <c r="I400" s="384"/>
      <c r="J400" s="384"/>
      <c r="K400" s="384"/>
      <c r="L400" s="384"/>
      <c r="M400" s="384"/>
      <c r="N400" s="384"/>
      <c r="O400" s="384"/>
      <c r="P400" s="384"/>
      <c r="Q400" s="384"/>
    </row>
    <row r="401">
      <c r="A401" s="396" t="str">
        <f>IFERROR(__xludf.DUMMYFUNCTION("""COMPUTED_VALUE"""),"Waldemar Alvarenga Lapoente | Duqye de Caxias - RJ | 45314")</f>
        <v>Waldemar Alvarenga Lapoente | Duqye de Caxias - RJ | 45314</v>
      </c>
      <c r="B401" s="396"/>
      <c r="C401" s="384"/>
      <c r="D401" s="384"/>
      <c r="E401" s="384"/>
      <c r="F401" s="384"/>
      <c r="G401" s="384"/>
      <c r="H401" s="384"/>
      <c r="I401" s="384"/>
      <c r="J401" s="384"/>
      <c r="K401" s="384"/>
      <c r="L401" s="384"/>
      <c r="M401" s="384"/>
      <c r="N401" s="384"/>
      <c r="O401" s="384"/>
      <c r="P401" s="384"/>
      <c r="Q401" s="384"/>
    </row>
    <row r="402">
      <c r="A402" s="396" t="str">
        <f>IFERROR(__xludf.DUMMYFUNCTION("""COMPUTED_VALUE"""),"Simone Cândida da Silva Gomes | Guapó - Go | 45194")</f>
        <v>Simone Cândida da Silva Gomes | Guapó - Go | 45194</v>
      </c>
      <c r="B402" s="396"/>
      <c r="C402" s="384"/>
      <c r="D402" s="384"/>
      <c r="E402" s="384"/>
      <c r="F402" s="384"/>
      <c r="G402" s="384"/>
      <c r="H402" s="384"/>
      <c r="I402" s="384"/>
      <c r="J402" s="384"/>
      <c r="K402" s="384"/>
      <c r="L402" s="384"/>
      <c r="M402" s="384"/>
      <c r="N402" s="384"/>
      <c r="O402" s="384"/>
      <c r="P402" s="384"/>
      <c r="Q402" s="384"/>
    </row>
    <row r="403">
      <c r="A403" s="396" t="str">
        <f>IFERROR(__xludf.DUMMYFUNCTION("""COMPUTED_VALUE"""),"Vilma da Cruz | São Luis - MA | 45246")</f>
        <v>Vilma da Cruz | São Luis - MA | 45246</v>
      </c>
      <c r="B403" s="396"/>
      <c r="C403" s="384"/>
      <c r="D403" s="384"/>
      <c r="E403" s="384"/>
      <c r="F403" s="384"/>
      <c r="G403" s="384"/>
      <c r="H403" s="384"/>
      <c r="I403" s="384"/>
      <c r="J403" s="384"/>
      <c r="K403" s="384"/>
      <c r="L403" s="384"/>
      <c r="M403" s="384"/>
      <c r="N403" s="384"/>
      <c r="O403" s="384"/>
      <c r="P403" s="384"/>
      <c r="Q403" s="384"/>
    </row>
    <row r="404">
      <c r="A404" s="396" t="str">
        <f>IFERROR(__xludf.DUMMYFUNCTION("""COMPUTED_VALUE"""),"Elisangela Maria da Silva | Araxa - MG | ")</f>
        <v>Elisangela Maria da Silva | Araxa - MG | </v>
      </c>
      <c r="B404" s="396"/>
      <c r="C404" s="384"/>
      <c r="D404" s="384"/>
      <c r="E404" s="384"/>
      <c r="F404" s="384"/>
      <c r="G404" s="384"/>
      <c r="H404" s="384"/>
      <c r="I404" s="384"/>
      <c r="J404" s="384"/>
      <c r="K404" s="384"/>
      <c r="L404" s="384"/>
      <c r="M404" s="384"/>
      <c r="N404" s="384"/>
      <c r="O404" s="384"/>
      <c r="P404" s="384"/>
      <c r="Q404" s="384"/>
    </row>
    <row r="405">
      <c r="A405" s="396" t="str">
        <f>IFERROR(__xludf.DUMMYFUNCTION("""COMPUTED_VALUE"""),"Amauri José do Nascimento | Recife - PE | ")</f>
        <v>Amauri José do Nascimento | Recife - PE | </v>
      </c>
      <c r="B405" s="396"/>
      <c r="C405" s="384"/>
      <c r="D405" s="384"/>
      <c r="E405" s="384"/>
      <c r="F405" s="384"/>
      <c r="G405" s="384"/>
      <c r="H405" s="384"/>
      <c r="I405" s="384"/>
      <c r="J405" s="384"/>
      <c r="K405" s="384"/>
      <c r="L405" s="384"/>
      <c r="M405" s="384"/>
      <c r="N405" s="384"/>
      <c r="O405" s="384"/>
      <c r="P405" s="384"/>
      <c r="Q405" s="384"/>
    </row>
    <row r="406">
      <c r="A406" s="396" t="str">
        <f>IFERROR(__xludf.DUMMYFUNCTION("""COMPUTED_VALUE"""),"Bernadete Aparecida Fernandes | Espirito Santo | 44602")</f>
        <v>Bernadete Aparecida Fernandes | Espirito Santo | 44602</v>
      </c>
      <c r="B406" s="396"/>
      <c r="C406" s="384"/>
      <c r="D406" s="384"/>
      <c r="E406" s="384"/>
      <c r="F406" s="384"/>
      <c r="G406" s="384"/>
      <c r="H406" s="384"/>
      <c r="I406" s="384"/>
      <c r="J406" s="384"/>
      <c r="K406" s="384"/>
      <c r="L406" s="384"/>
      <c r="M406" s="384"/>
      <c r="N406" s="384"/>
      <c r="O406" s="384"/>
      <c r="P406" s="384"/>
      <c r="Q406" s="384"/>
    </row>
    <row r="407">
      <c r="A407" s="396" t="str">
        <f>IFERROR(__xludf.DUMMYFUNCTION("""COMPUTED_VALUE"""),"Marcelo Augusto da Silva Evangelista | Belo Horizonte - MG | 45527")</f>
        <v>Marcelo Augusto da Silva Evangelista | Belo Horizonte - MG | 45527</v>
      </c>
      <c r="B407" s="396"/>
      <c r="C407" s="384"/>
      <c r="D407" s="384"/>
      <c r="E407" s="384"/>
      <c r="F407" s="384"/>
      <c r="G407" s="384"/>
      <c r="H407" s="384"/>
      <c r="I407" s="384"/>
      <c r="J407" s="384"/>
      <c r="K407" s="384"/>
      <c r="L407" s="384"/>
      <c r="M407" s="384"/>
      <c r="N407" s="384"/>
      <c r="O407" s="384"/>
      <c r="P407" s="384"/>
      <c r="Q407" s="384"/>
    </row>
    <row r="408">
      <c r="A408" s="396" t="str">
        <f>IFERROR(__xludf.DUMMYFUNCTION("""COMPUTED_VALUE"""),"Lidiane Cristina Cavallin | Sapiranga - RS | 45296")</f>
        <v>Lidiane Cristina Cavallin | Sapiranga - RS | 45296</v>
      </c>
      <c r="B408" s="396"/>
      <c r="C408" s="384"/>
      <c r="D408" s="384"/>
      <c r="E408" s="384"/>
      <c r="F408" s="384"/>
      <c r="G408" s="384"/>
      <c r="H408" s="384"/>
      <c r="I408" s="384"/>
      <c r="J408" s="384"/>
      <c r="K408" s="384"/>
      <c r="L408" s="384"/>
      <c r="M408" s="384"/>
      <c r="N408" s="384"/>
      <c r="O408" s="384"/>
      <c r="P408" s="384"/>
      <c r="Q408" s="384"/>
    </row>
    <row r="409">
      <c r="A409" s="396" t="str">
        <f>IFERROR(__xludf.DUMMYFUNCTION("""COMPUTED_VALUE"""),"Lucidalva Nobre Lacerda da Silva | Recife - PE | 45237")</f>
        <v>Lucidalva Nobre Lacerda da Silva | Recife - PE | 45237</v>
      </c>
      <c r="B409" s="396"/>
      <c r="C409" s="384"/>
      <c r="D409" s="384"/>
      <c r="E409" s="384"/>
      <c r="F409" s="384"/>
      <c r="G409" s="384"/>
      <c r="H409" s="384"/>
      <c r="I409" s="384"/>
      <c r="J409" s="384"/>
      <c r="K409" s="384"/>
      <c r="L409" s="384"/>
      <c r="M409" s="384"/>
      <c r="N409" s="384"/>
      <c r="O409" s="384"/>
      <c r="P409" s="384"/>
      <c r="Q409" s="384"/>
    </row>
    <row r="410">
      <c r="A410" s="396" t="str">
        <f>IFERROR(__xludf.DUMMYFUNCTION("""COMPUTED_VALUE"""),"Andrea Nogueira da Silva Gomes | Barueri-SP  | 45251")</f>
        <v>Andrea Nogueira da Silva Gomes | Barueri-SP  | 45251</v>
      </c>
      <c r="B410" s="396"/>
      <c r="C410" s="384"/>
      <c r="D410" s="384"/>
      <c r="E410" s="384"/>
      <c r="F410" s="384"/>
      <c r="G410" s="384"/>
      <c r="H410" s="384"/>
      <c r="I410" s="384"/>
      <c r="J410" s="384"/>
      <c r="K410" s="384"/>
      <c r="L410" s="384"/>
      <c r="M410" s="384"/>
      <c r="N410" s="384"/>
      <c r="O410" s="384"/>
      <c r="P410" s="384"/>
      <c r="Q410" s="384"/>
    </row>
    <row r="411">
      <c r="A411" s="396" t="str">
        <f>IFERROR(__xludf.DUMMYFUNCTION("""COMPUTED_VALUE"""),"Edna Florentino de Oliveira Ferreira | Mirante Paranapanema - SP  | 44630")</f>
        <v>Edna Florentino de Oliveira Ferreira | Mirante Paranapanema - SP  | 44630</v>
      </c>
      <c r="B411" s="396"/>
      <c r="C411" s="384"/>
      <c r="D411" s="384"/>
      <c r="E411" s="384"/>
      <c r="F411" s="384"/>
      <c r="G411" s="384"/>
      <c r="H411" s="384"/>
      <c r="I411" s="384"/>
      <c r="J411" s="384"/>
      <c r="K411" s="384"/>
      <c r="L411" s="384"/>
      <c r="M411" s="384"/>
      <c r="N411" s="384"/>
      <c r="O411" s="384"/>
      <c r="P411" s="384"/>
      <c r="Q411" s="384"/>
    </row>
    <row r="412">
      <c r="A412" s="396" t="str">
        <f>IFERROR(__xludf.DUMMYFUNCTION("""COMPUTED_VALUE"""),"Célio Gomes de Oliveira | Santa Tereza do Bonito-MG  | 45258")</f>
        <v>Célio Gomes de Oliveira | Santa Tereza do Bonito-MG  | 45258</v>
      </c>
      <c r="B412" s="396"/>
      <c r="C412" s="384"/>
      <c r="D412" s="384"/>
      <c r="E412" s="384"/>
      <c r="F412" s="384"/>
      <c r="G412" s="384"/>
      <c r="H412" s="384"/>
      <c r="I412" s="384"/>
      <c r="J412" s="384"/>
      <c r="K412" s="384"/>
      <c r="L412" s="384"/>
      <c r="M412" s="384"/>
      <c r="N412" s="384"/>
      <c r="O412" s="384"/>
      <c r="P412" s="384"/>
      <c r="Q412" s="384"/>
    </row>
    <row r="413">
      <c r="A413" s="396" t="str">
        <f>IFERROR(__xludf.DUMMYFUNCTION("""COMPUTED_VALUE"""),"Wesley Violetti Evangelista | Alto Rio Novo - ES | 45230")</f>
        <v>Wesley Violetti Evangelista | Alto Rio Novo - ES | 45230</v>
      </c>
      <c r="B413" s="396"/>
      <c r="C413" s="384"/>
      <c r="D413" s="384"/>
      <c r="E413" s="384"/>
      <c r="F413" s="384"/>
      <c r="G413" s="384"/>
      <c r="H413" s="384"/>
      <c r="I413" s="384"/>
      <c r="J413" s="384"/>
      <c r="K413" s="384"/>
      <c r="L413" s="384"/>
      <c r="M413" s="384"/>
      <c r="N413" s="384"/>
      <c r="O413" s="384"/>
      <c r="P413" s="384"/>
      <c r="Q413" s="384"/>
    </row>
    <row r="414">
      <c r="A414" s="396" t="str">
        <f>IFERROR(__xludf.DUMMYFUNCTION("""COMPUTED_VALUE"""),"Ana Paula Di Pace Menezes  | São Paulo - SP | 45194")</f>
        <v>Ana Paula Di Pace Menezes  | São Paulo - SP | 45194</v>
      </c>
      <c r="B414" s="396"/>
      <c r="C414" s="384"/>
      <c r="D414" s="384"/>
      <c r="E414" s="384"/>
      <c r="F414" s="384"/>
      <c r="G414" s="384"/>
      <c r="H414" s="384"/>
      <c r="I414" s="384"/>
      <c r="J414" s="384"/>
      <c r="K414" s="384"/>
      <c r="L414" s="384"/>
      <c r="M414" s="384"/>
      <c r="N414" s="384"/>
      <c r="O414" s="384"/>
      <c r="P414" s="384"/>
      <c r="Q414" s="384"/>
    </row>
    <row r="415">
      <c r="A415" s="396" t="str">
        <f>IFERROR(__xludf.DUMMYFUNCTION("""COMPUTED_VALUE"""),"Ana Paula Di Pace Menezes  | São Paulo - SP | 45194")</f>
        <v>Ana Paula Di Pace Menezes  | São Paulo - SP | 45194</v>
      </c>
      <c r="B415" s="396"/>
      <c r="C415" s="384"/>
      <c r="D415" s="384"/>
      <c r="E415" s="384"/>
      <c r="F415" s="384"/>
      <c r="G415" s="384"/>
      <c r="H415" s="384"/>
      <c r="I415" s="384"/>
      <c r="J415" s="384"/>
      <c r="K415" s="384"/>
      <c r="L415" s="384"/>
      <c r="M415" s="384"/>
      <c r="N415" s="384"/>
      <c r="O415" s="384"/>
      <c r="P415" s="384"/>
      <c r="Q415" s="384"/>
    </row>
    <row r="416">
      <c r="A416" s="396" t="str">
        <f>IFERROR(__xludf.DUMMYFUNCTION("""COMPUTED_VALUE"""),"Marlucia De Melo Rodrigues | Matutina -MG  | 45117")</f>
        <v>Marlucia De Melo Rodrigues | Matutina -MG  | 45117</v>
      </c>
      <c r="B416" s="396"/>
      <c r="C416" s="384"/>
      <c r="D416" s="384"/>
      <c r="E416" s="384"/>
      <c r="F416" s="384"/>
      <c r="G416" s="384"/>
      <c r="H416" s="384"/>
      <c r="I416" s="384"/>
      <c r="J416" s="384"/>
      <c r="K416" s="384"/>
      <c r="L416" s="384"/>
      <c r="M416" s="384"/>
      <c r="N416" s="384"/>
      <c r="O416" s="384"/>
      <c r="P416" s="384"/>
      <c r="Q416" s="384"/>
    </row>
    <row r="417">
      <c r="A417" s="396" t="str">
        <f>IFERROR(__xludf.DUMMYFUNCTION("""COMPUTED_VALUE"""),"Debora Helena Moreira Da Silva | Rio de Janeiro - RJ | 45225")</f>
        <v>Debora Helena Moreira Da Silva | Rio de Janeiro - RJ | 45225</v>
      </c>
      <c r="B417" s="396"/>
      <c r="C417" s="384"/>
      <c r="D417" s="384"/>
      <c r="E417" s="384"/>
      <c r="F417" s="384"/>
      <c r="G417" s="384"/>
      <c r="H417" s="384"/>
      <c r="I417" s="384"/>
      <c r="J417" s="384"/>
      <c r="K417" s="384"/>
      <c r="L417" s="384"/>
      <c r="M417" s="384"/>
      <c r="N417" s="384"/>
      <c r="O417" s="384"/>
      <c r="P417" s="384"/>
      <c r="Q417" s="384"/>
    </row>
    <row r="418">
      <c r="A418" s="396" t="str">
        <f>IFERROR(__xludf.DUMMYFUNCTION("""COMPUTED_VALUE"""),"Nilton José de Souza | São Paulo - SP | 45531")</f>
        <v>Nilton José de Souza | São Paulo - SP | 45531</v>
      </c>
      <c r="B418" s="396"/>
      <c r="C418" s="384"/>
      <c r="D418" s="384"/>
      <c r="E418" s="384"/>
      <c r="F418" s="384"/>
      <c r="G418" s="384"/>
      <c r="H418" s="384"/>
      <c r="I418" s="384"/>
      <c r="J418" s="384"/>
      <c r="K418" s="384"/>
      <c r="L418" s="384"/>
      <c r="M418" s="384"/>
      <c r="N418" s="384"/>
      <c r="O418" s="384"/>
      <c r="P418" s="384"/>
      <c r="Q418" s="384"/>
    </row>
    <row r="419">
      <c r="A419" s="396" t="str">
        <f>IFERROR(__xludf.DUMMYFUNCTION("""COMPUTED_VALUE"""),"Rosemara dos Santos Fermino | S. Mescedes - SP | 45401")</f>
        <v>Rosemara dos Santos Fermino | S. Mescedes - SP | 45401</v>
      </c>
      <c r="B419" s="396"/>
      <c r="C419" s="384"/>
      <c r="D419" s="384"/>
      <c r="E419" s="384"/>
      <c r="F419" s="384"/>
      <c r="G419" s="384"/>
      <c r="H419" s="384"/>
      <c r="I419" s="384"/>
      <c r="J419" s="384"/>
      <c r="K419" s="384"/>
      <c r="L419" s="384"/>
      <c r="M419" s="384"/>
      <c r="N419" s="384"/>
      <c r="O419" s="384"/>
      <c r="P419" s="384"/>
      <c r="Q419" s="384"/>
    </row>
    <row r="420">
      <c r="A420" s="396" t="str">
        <f>IFERROR(__xludf.DUMMYFUNCTION("""COMPUTED_VALUE"""),"Leandro Maia Ribeiro dos Santos  | Alegrete - RS | 45307")</f>
        <v>Leandro Maia Ribeiro dos Santos  | Alegrete - RS | 45307</v>
      </c>
      <c r="B420" s="396"/>
      <c r="C420" s="384"/>
      <c r="D420" s="384"/>
      <c r="E420" s="384"/>
      <c r="F420" s="384"/>
      <c r="G420" s="384"/>
      <c r="H420" s="384"/>
      <c r="I420" s="384"/>
      <c r="J420" s="384"/>
      <c r="K420" s="384"/>
      <c r="L420" s="384"/>
      <c r="M420" s="384"/>
      <c r="N420" s="384"/>
      <c r="O420" s="384"/>
      <c r="P420" s="384"/>
      <c r="Q420" s="384"/>
    </row>
    <row r="421">
      <c r="A421" s="396" t="str">
        <f>IFERROR(__xludf.DUMMYFUNCTION("""COMPUTED_VALUE"""),"Laércio Hernane Amorim Gonçalves | Belo Horizonte - MG | 45194")</f>
        <v>Laércio Hernane Amorim Gonçalves | Belo Horizonte - MG | 45194</v>
      </c>
      <c r="B421" s="396"/>
      <c r="C421" s="384"/>
      <c r="D421" s="384"/>
      <c r="E421" s="384"/>
      <c r="F421" s="384"/>
      <c r="G421" s="384"/>
      <c r="H421" s="384"/>
      <c r="I421" s="384"/>
      <c r="J421" s="384"/>
      <c r="K421" s="384"/>
      <c r="L421" s="384"/>
      <c r="M421" s="384"/>
      <c r="N421" s="384"/>
      <c r="O421" s="384"/>
      <c r="P421" s="384"/>
      <c r="Q421" s="384"/>
    </row>
    <row r="422">
      <c r="A422" s="396" t="str">
        <f>IFERROR(__xludf.DUMMYFUNCTION("""COMPUTED_VALUE"""),"Marcos Luiz Clemente | Perdões - MG | 45224")</f>
        <v>Marcos Luiz Clemente | Perdões - MG | 45224</v>
      </c>
      <c r="B422" s="396"/>
      <c r="C422" s="384"/>
      <c r="D422" s="384"/>
      <c r="E422" s="384"/>
      <c r="F422" s="384"/>
      <c r="G422" s="384"/>
      <c r="H422" s="384"/>
      <c r="I422" s="384"/>
      <c r="J422" s="384"/>
      <c r="K422" s="384"/>
      <c r="L422" s="384"/>
      <c r="M422" s="384"/>
      <c r="N422" s="384"/>
      <c r="O422" s="384"/>
      <c r="P422" s="384"/>
      <c r="Q422" s="384"/>
    </row>
    <row r="423">
      <c r="A423" s="396" t="str">
        <f>IFERROR(__xludf.DUMMYFUNCTION("""COMPUTED_VALUE"""),"Márcia Cristina Borges de Sousa | Araguatins - TO | 45238")</f>
        <v>Márcia Cristina Borges de Sousa | Araguatins - TO | 45238</v>
      </c>
      <c r="B423" s="396"/>
      <c r="C423" s="384"/>
      <c r="D423" s="384"/>
      <c r="E423" s="384"/>
      <c r="F423" s="384"/>
      <c r="G423" s="384"/>
      <c r="H423" s="384"/>
      <c r="I423" s="384"/>
      <c r="J423" s="384"/>
      <c r="K423" s="384"/>
      <c r="L423" s="384"/>
      <c r="M423" s="384"/>
      <c r="N423" s="384"/>
      <c r="O423" s="384"/>
      <c r="P423" s="384"/>
      <c r="Q423" s="384"/>
    </row>
    <row r="424">
      <c r="A424" s="396" t="str">
        <f>IFERROR(__xludf.DUMMYFUNCTION("""COMPUTED_VALUE"""),"Luis Gustavo de Freitas Dias | Franca - SP | 45250")</f>
        <v>Luis Gustavo de Freitas Dias | Franca - SP | 45250</v>
      </c>
      <c r="B424" s="396"/>
      <c r="C424" s="384"/>
      <c r="D424" s="384"/>
      <c r="E424" s="384"/>
      <c r="F424" s="384"/>
      <c r="G424" s="384"/>
      <c r="H424" s="384"/>
      <c r="I424" s="384"/>
      <c r="J424" s="384"/>
      <c r="K424" s="384"/>
      <c r="L424" s="384"/>
      <c r="M424" s="384"/>
      <c r="N424" s="384"/>
      <c r="O424" s="384"/>
      <c r="P424" s="384"/>
      <c r="Q424" s="384"/>
    </row>
    <row r="425">
      <c r="A425" s="403" t="str">
        <f>IFERROR(__xludf.DUMMYFUNCTION("""COMPUTED_VALUE"""),"Rosimeire Aparecida Martín Rosa | Matão - SP | 45224")</f>
        <v>Rosimeire Aparecida Martín Rosa | Matão - SP | 45224</v>
      </c>
      <c r="B425" s="403"/>
      <c r="C425" s="406"/>
      <c r="D425" s="406"/>
      <c r="E425" s="406"/>
      <c r="F425" s="402"/>
      <c r="G425" s="402"/>
      <c r="H425" s="402"/>
      <c r="I425" s="402"/>
      <c r="J425" s="402"/>
      <c r="K425" s="402"/>
      <c r="L425" s="402"/>
      <c r="M425" s="402"/>
      <c r="N425" s="384"/>
      <c r="O425" s="384"/>
      <c r="P425" s="384"/>
      <c r="Q425" s="384"/>
    </row>
    <row r="426">
      <c r="A426" s="396" t="str">
        <f>IFERROR(__xludf.DUMMYFUNCTION("""COMPUTED_VALUE"""),"Marcelo Leandro Pereira Lopes | Teresina - PI  | 45210")</f>
        <v>Marcelo Leandro Pereira Lopes | Teresina - PI  | 45210</v>
      </c>
      <c r="B426" s="396"/>
      <c r="C426" s="384"/>
      <c r="D426" s="384"/>
      <c r="E426" s="384"/>
      <c r="F426" s="384"/>
      <c r="G426" s="384"/>
      <c r="H426" s="384"/>
      <c r="I426" s="384"/>
      <c r="J426" s="384"/>
      <c r="K426" s="384"/>
      <c r="L426" s="384"/>
      <c r="M426" s="384"/>
      <c r="N426" s="384"/>
      <c r="O426" s="384"/>
      <c r="P426" s="384"/>
      <c r="Q426" s="384"/>
    </row>
    <row r="427">
      <c r="A427" s="396" t="str">
        <f>IFERROR(__xludf.DUMMYFUNCTION("""COMPUTED_VALUE"""),"Milena Zilda Góes | Florianopolis - SC | 45229")</f>
        <v>Milena Zilda Góes | Florianopolis - SC | 45229</v>
      </c>
      <c r="B427" s="396"/>
      <c r="C427" s="384"/>
      <c r="D427" s="384"/>
      <c r="E427" s="384"/>
      <c r="F427" s="384"/>
      <c r="G427" s="384"/>
      <c r="H427" s="384"/>
      <c r="I427" s="384"/>
      <c r="J427" s="384"/>
      <c r="K427" s="384"/>
      <c r="L427" s="384"/>
      <c r="M427" s="384"/>
      <c r="N427" s="384"/>
      <c r="O427" s="384"/>
      <c r="P427" s="384"/>
      <c r="Q427" s="384"/>
    </row>
    <row r="428">
      <c r="A428" s="396" t="str">
        <f>IFERROR(__xludf.DUMMYFUNCTION("""COMPUTED_VALUE"""),"Marli Bones Mello Cidral | Piratuba - SC | 45222")</f>
        <v>Marli Bones Mello Cidral | Piratuba - SC | 45222</v>
      </c>
      <c r="B428" s="396"/>
      <c r="C428" s="384"/>
      <c r="D428" s="384"/>
      <c r="E428" s="384"/>
      <c r="F428" s="384"/>
      <c r="G428" s="384"/>
      <c r="H428" s="384"/>
      <c r="I428" s="384"/>
      <c r="J428" s="384"/>
      <c r="K428" s="384"/>
      <c r="L428" s="384"/>
      <c r="M428" s="384"/>
      <c r="N428" s="384"/>
      <c r="O428" s="384"/>
      <c r="P428" s="384"/>
      <c r="Q428" s="384"/>
    </row>
    <row r="429">
      <c r="A429" s="396" t="str">
        <f>IFERROR(__xludf.DUMMYFUNCTION("""COMPUTED_VALUE"""),"Jonas Miguel Destro | Campinas - SP | 45235")</f>
        <v>Jonas Miguel Destro | Campinas - SP | 45235</v>
      </c>
      <c r="B429" s="396"/>
      <c r="C429" s="384"/>
      <c r="D429" s="384"/>
      <c r="E429" s="384"/>
      <c r="F429" s="384"/>
      <c r="G429" s="384"/>
      <c r="H429" s="384"/>
      <c r="I429" s="384"/>
      <c r="J429" s="384"/>
      <c r="K429" s="384"/>
      <c r="L429" s="384"/>
      <c r="M429" s="384"/>
      <c r="N429" s="384"/>
      <c r="O429" s="384"/>
      <c r="P429" s="384"/>
      <c r="Q429" s="384"/>
    </row>
    <row r="430">
      <c r="A430" s="396" t="str">
        <f>IFERROR(__xludf.DUMMYFUNCTION("""COMPUTED_VALUE"""),"Leandro Roberto de Morais | Santa Rita do Sapucaí - MG | 45198")</f>
        <v>Leandro Roberto de Morais | Santa Rita do Sapucaí - MG | 45198</v>
      </c>
      <c r="B430" s="396"/>
      <c r="C430" s="384"/>
      <c r="D430" s="384"/>
      <c r="E430" s="384"/>
      <c r="F430" s="384"/>
      <c r="G430" s="384"/>
      <c r="H430" s="384"/>
      <c r="I430" s="384"/>
      <c r="J430" s="384"/>
      <c r="K430" s="384"/>
      <c r="L430" s="384"/>
      <c r="M430" s="384"/>
      <c r="N430" s="384"/>
      <c r="O430" s="384"/>
      <c r="P430" s="384"/>
      <c r="Q430" s="384"/>
    </row>
    <row r="431">
      <c r="A431" s="396" t="str">
        <f>IFERROR(__xludf.DUMMYFUNCTION("""COMPUTED_VALUE"""),"Bruno Wilwert Tomio | Gaspar - SC | Gaspar - SC")</f>
        <v>Bruno Wilwert Tomio | Gaspar - SC | Gaspar - SC</v>
      </c>
      <c r="B431" s="396"/>
      <c r="C431" s="384"/>
      <c r="D431" s="384"/>
      <c r="E431" s="384"/>
      <c r="F431" s="384"/>
      <c r="G431" s="384"/>
      <c r="H431" s="384"/>
      <c r="I431" s="384"/>
      <c r="J431" s="384"/>
      <c r="K431" s="384"/>
      <c r="L431" s="384"/>
      <c r="M431" s="384"/>
      <c r="N431" s="384"/>
      <c r="O431" s="384"/>
      <c r="P431" s="384"/>
      <c r="Q431" s="384"/>
    </row>
    <row r="432">
      <c r="A432" s="396" t="str">
        <f>IFERROR(__xludf.DUMMYFUNCTION("""COMPUTED_VALUE"""),"Fernanda Gomes dos Santos | Recife - PE | 45229")</f>
        <v>Fernanda Gomes dos Santos | Recife - PE | 45229</v>
      </c>
      <c r="B432" s="396"/>
      <c r="C432" s="384"/>
      <c r="D432" s="384"/>
      <c r="E432" s="384"/>
      <c r="F432" s="384"/>
      <c r="G432" s="384"/>
      <c r="H432" s="384"/>
      <c r="I432" s="384"/>
      <c r="J432" s="384"/>
      <c r="K432" s="384"/>
      <c r="L432" s="384"/>
      <c r="M432" s="384"/>
      <c r="N432" s="384"/>
      <c r="O432" s="384"/>
      <c r="P432" s="384"/>
      <c r="Q432" s="384"/>
    </row>
    <row r="433">
      <c r="A433" s="396" t="str">
        <f>IFERROR(__xludf.DUMMYFUNCTION("""COMPUTED_VALUE"""),"Angela Maria da Silva Barros | Campinas - SP | 45247")</f>
        <v>Angela Maria da Silva Barros | Campinas - SP | 45247</v>
      </c>
      <c r="B433" s="396"/>
      <c r="C433" s="384"/>
      <c r="D433" s="384"/>
      <c r="E433" s="384"/>
      <c r="F433" s="384"/>
      <c r="G433" s="384"/>
      <c r="H433" s="384"/>
      <c r="I433" s="384"/>
      <c r="J433" s="384"/>
      <c r="K433" s="384"/>
      <c r="L433" s="384"/>
      <c r="M433" s="384"/>
      <c r="N433" s="384"/>
      <c r="O433" s="384"/>
      <c r="P433" s="384"/>
      <c r="Q433" s="384"/>
    </row>
    <row r="434">
      <c r="A434" s="396" t="str">
        <f>IFERROR(__xludf.DUMMYFUNCTION("""COMPUTED_VALUE"""),"Angela Maria da Silva Barros | Campinas - SP | 45250")</f>
        <v>Angela Maria da Silva Barros | Campinas - SP | 45250</v>
      </c>
      <c r="B434" s="396"/>
      <c r="C434" s="384"/>
      <c r="D434" s="384"/>
      <c r="E434" s="384"/>
      <c r="F434" s="384"/>
      <c r="G434" s="384"/>
      <c r="H434" s="384"/>
      <c r="I434" s="384"/>
      <c r="J434" s="384"/>
      <c r="K434" s="384"/>
      <c r="L434" s="384"/>
      <c r="M434" s="384"/>
      <c r="N434" s="384"/>
      <c r="O434" s="384"/>
      <c r="P434" s="384"/>
      <c r="Q434" s="384"/>
    </row>
    <row r="435">
      <c r="A435" s="396" t="str">
        <f>IFERROR(__xludf.DUMMYFUNCTION("""COMPUTED_VALUE"""),"Hailton Brito da Silva | São José de Ribamar - MA | ")</f>
        <v>Hailton Brito da Silva | São José de Ribamar - MA | </v>
      </c>
      <c r="B435" s="396"/>
      <c r="C435" s="384"/>
      <c r="D435" s="384"/>
      <c r="E435" s="384"/>
      <c r="F435" s="384"/>
      <c r="G435" s="384"/>
      <c r="H435" s="384"/>
      <c r="I435" s="384"/>
      <c r="J435" s="384"/>
      <c r="K435" s="384"/>
      <c r="L435" s="384"/>
      <c r="M435" s="384"/>
      <c r="N435" s="384"/>
      <c r="O435" s="384"/>
      <c r="P435" s="384"/>
      <c r="Q435" s="384"/>
    </row>
    <row r="436">
      <c r="A436" s="396" t="str">
        <f>IFERROR(__xludf.DUMMYFUNCTION("""COMPUTED_VALUE"""),"Roziane Barreto dos Santos Távora | Manaus - AM | 45318")</f>
        <v>Roziane Barreto dos Santos Távora | Manaus - AM | 45318</v>
      </c>
      <c r="B436" s="396"/>
      <c r="C436" s="384"/>
      <c r="D436" s="384"/>
      <c r="E436" s="384"/>
      <c r="F436" s="384"/>
      <c r="G436" s="384"/>
      <c r="H436" s="384"/>
      <c r="I436" s="384"/>
      <c r="J436" s="384"/>
      <c r="K436" s="384"/>
      <c r="L436" s="384"/>
      <c r="M436" s="384"/>
      <c r="N436" s="384"/>
      <c r="O436" s="384"/>
      <c r="P436" s="384"/>
      <c r="Q436" s="384"/>
    </row>
    <row r="437">
      <c r="A437" s="396" t="str">
        <f>IFERROR(__xludf.DUMMYFUNCTION("""COMPUTED_VALUE"""),"Juliete de Sá Sousa | Santana do Araguaia - PA | 45267")</f>
        <v>Juliete de Sá Sousa | Santana do Araguaia - PA | 45267</v>
      </c>
      <c r="B437" s="396"/>
      <c r="C437" s="384"/>
      <c r="D437" s="384"/>
      <c r="E437" s="384"/>
      <c r="F437" s="384"/>
      <c r="G437" s="384"/>
      <c r="H437" s="384"/>
      <c r="I437" s="384"/>
      <c r="J437" s="384"/>
      <c r="K437" s="384"/>
      <c r="L437" s="384"/>
      <c r="M437" s="384"/>
      <c r="N437" s="384"/>
      <c r="O437" s="384"/>
      <c r="P437" s="384"/>
      <c r="Q437" s="384"/>
    </row>
    <row r="438">
      <c r="A438" s="396" t="str">
        <f>IFERROR(__xludf.DUMMYFUNCTION("""COMPUTED_VALUE"""),"Eunaítala Farias da Silva | Recife - PE | 45226")</f>
        <v>Eunaítala Farias da Silva | Recife - PE | 45226</v>
      </c>
      <c r="B438" s="396"/>
      <c r="C438" s="384"/>
      <c r="D438" s="384"/>
      <c r="E438" s="384"/>
      <c r="F438" s="384"/>
      <c r="G438" s="384"/>
      <c r="H438" s="384"/>
      <c r="I438" s="384"/>
      <c r="J438" s="384"/>
      <c r="K438" s="384"/>
      <c r="L438" s="384"/>
      <c r="M438" s="384"/>
      <c r="N438" s="384"/>
      <c r="O438" s="384"/>
      <c r="P438" s="384"/>
      <c r="Q438" s="384"/>
    </row>
    <row r="439">
      <c r="A439" s="396" t="str">
        <f>IFERROR(__xludf.DUMMYFUNCTION("""COMPUTED_VALUE"""),"Cláudio Fabrício Martins | Juiz de Fora -  MG | 44708")</f>
        <v>Cláudio Fabrício Martins | Juiz de Fora -  MG | 44708</v>
      </c>
      <c r="B439" s="396"/>
      <c r="C439" s="384"/>
      <c r="D439" s="384"/>
      <c r="E439" s="384"/>
      <c r="F439" s="384"/>
      <c r="G439" s="384"/>
      <c r="H439" s="384"/>
      <c r="I439" s="384"/>
      <c r="J439" s="384"/>
      <c r="K439" s="384"/>
      <c r="L439" s="384"/>
      <c r="M439" s="384"/>
      <c r="N439" s="384"/>
      <c r="O439" s="384"/>
      <c r="P439" s="384"/>
      <c r="Q439" s="384"/>
    </row>
    <row r="440">
      <c r="A440" s="396" t="str">
        <f>IFERROR(__xludf.DUMMYFUNCTION("""COMPUTED_VALUE"""),"Vagner Chaves Tonon | Rio de Janeiro - RJ | 45173")</f>
        <v>Vagner Chaves Tonon | Rio de Janeiro - RJ | 45173</v>
      </c>
      <c r="B440" s="396"/>
      <c r="C440" s="384"/>
      <c r="D440" s="384"/>
      <c r="E440" s="384"/>
      <c r="F440" s="384"/>
      <c r="G440" s="384"/>
      <c r="H440" s="384"/>
      <c r="I440" s="384"/>
      <c r="J440" s="384"/>
      <c r="K440" s="384"/>
      <c r="L440" s="384"/>
      <c r="M440" s="384"/>
      <c r="N440" s="384"/>
      <c r="O440" s="384"/>
      <c r="P440" s="384"/>
      <c r="Q440" s="384"/>
    </row>
    <row r="441">
      <c r="A441" s="396" t="str">
        <f>IFERROR(__xludf.DUMMYFUNCTION("""COMPUTED_VALUE"""),"Cristiane Limão Santos da Silva | Cubatão - SP | 45226")</f>
        <v>Cristiane Limão Santos da Silva | Cubatão - SP | 45226</v>
      </c>
      <c r="B441" s="396"/>
      <c r="C441" s="384"/>
      <c r="D441" s="384"/>
      <c r="E441" s="384"/>
      <c r="F441" s="384"/>
      <c r="G441" s="384"/>
      <c r="H441" s="384"/>
      <c r="I441" s="384"/>
      <c r="J441" s="384"/>
      <c r="K441" s="384"/>
      <c r="L441" s="384"/>
      <c r="M441" s="384"/>
      <c r="N441" s="384"/>
      <c r="O441" s="384"/>
      <c r="P441" s="384"/>
      <c r="Q441" s="384"/>
    </row>
    <row r="442">
      <c r="A442" s="396" t="str">
        <f>IFERROR(__xludf.DUMMYFUNCTION("""COMPUTED_VALUE"""),"Meirelane Aparecida Fonseca Franco | Itaúna - MG | 45155")</f>
        <v>Meirelane Aparecida Fonseca Franco | Itaúna - MG | 45155</v>
      </c>
      <c r="B442" s="396"/>
      <c r="C442" s="384"/>
      <c r="D442" s="384"/>
      <c r="E442" s="384"/>
      <c r="F442" s="384"/>
      <c r="G442" s="384"/>
      <c r="H442" s="384"/>
      <c r="I442" s="384"/>
      <c r="J442" s="384"/>
      <c r="K442" s="384"/>
      <c r="L442" s="384"/>
      <c r="M442" s="384"/>
      <c r="N442" s="384"/>
      <c r="O442" s="384"/>
      <c r="P442" s="384"/>
      <c r="Q442" s="384"/>
    </row>
    <row r="443">
      <c r="A443" s="396" t="str">
        <f>IFERROR(__xludf.DUMMYFUNCTION("""COMPUTED_VALUE"""),"Solange de Assunção Colaça | Imperatriz-MA | 44776")</f>
        <v>Solange de Assunção Colaça | Imperatriz-MA | 44776</v>
      </c>
      <c r="B443" s="396"/>
      <c r="C443" s="384"/>
      <c r="D443" s="384"/>
      <c r="E443" s="384"/>
      <c r="F443" s="384"/>
      <c r="G443" s="384"/>
      <c r="H443" s="384"/>
      <c r="I443" s="384"/>
      <c r="J443" s="384"/>
      <c r="K443" s="384"/>
      <c r="L443" s="384"/>
      <c r="M443" s="384"/>
      <c r="N443" s="384"/>
      <c r="O443" s="384"/>
      <c r="P443" s="384"/>
      <c r="Q443" s="384"/>
    </row>
    <row r="444">
      <c r="A444" s="396" t="str">
        <f>IFERROR(__xludf.DUMMYFUNCTION("""COMPUTED_VALUE"""),"Jusley Caroliny Santos Rocha | Itaiatuba - PA | 45278")</f>
        <v>Jusley Caroliny Santos Rocha | Itaiatuba - PA | 45278</v>
      </c>
      <c r="B444" s="396"/>
      <c r="C444" s="384"/>
      <c r="D444" s="384"/>
      <c r="E444" s="384"/>
      <c r="F444" s="384"/>
      <c r="G444" s="384"/>
      <c r="H444" s="384"/>
      <c r="I444" s="384"/>
      <c r="J444" s="384"/>
      <c r="K444" s="384"/>
      <c r="L444" s="384"/>
      <c r="M444" s="384"/>
      <c r="N444" s="384"/>
      <c r="O444" s="384"/>
      <c r="P444" s="384"/>
      <c r="Q444" s="384"/>
    </row>
    <row r="445">
      <c r="A445" s="396" t="str">
        <f>IFERROR(__xludf.DUMMYFUNCTION("""COMPUTED_VALUE"""),"Patrícia da Silva Maturana Freire  | São Gonçalo - RJ | 45209")</f>
        <v>Patrícia da Silva Maturana Freire  | São Gonçalo - RJ | 45209</v>
      </c>
      <c r="B445" s="396"/>
      <c r="C445" s="384"/>
      <c r="D445" s="384"/>
      <c r="E445" s="384"/>
      <c r="F445" s="384"/>
      <c r="G445" s="384"/>
      <c r="H445" s="384"/>
      <c r="I445" s="384"/>
      <c r="J445" s="384"/>
      <c r="K445" s="384"/>
      <c r="L445" s="384"/>
      <c r="M445" s="384"/>
      <c r="N445" s="384"/>
      <c r="O445" s="384"/>
      <c r="P445" s="384"/>
      <c r="Q445" s="384"/>
    </row>
    <row r="446">
      <c r="A446" s="396" t="str">
        <f>IFERROR(__xludf.DUMMYFUNCTION("""COMPUTED_VALUE"""),"Tiago Silvio Dedoné | Bandeirantes - PR | 45491")</f>
        <v>Tiago Silvio Dedoné | Bandeirantes - PR | 45491</v>
      </c>
      <c r="B446" s="396"/>
      <c r="C446" s="384"/>
      <c r="D446" s="384"/>
      <c r="E446" s="384"/>
      <c r="F446" s="384"/>
      <c r="G446" s="384"/>
      <c r="H446" s="384"/>
      <c r="I446" s="384"/>
      <c r="J446" s="384"/>
      <c r="K446" s="384"/>
      <c r="L446" s="384"/>
      <c r="M446" s="384"/>
      <c r="N446" s="384"/>
      <c r="O446" s="384"/>
      <c r="P446" s="384"/>
      <c r="Q446" s="384"/>
    </row>
    <row r="447">
      <c r="A447" s="396" t="str">
        <f>IFERROR(__xludf.DUMMYFUNCTION("""COMPUTED_VALUE"""),"Tiago Silvio Dedoné | Bandeirantes - PR | 45191")</f>
        <v>Tiago Silvio Dedoné | Bandeirantes - PR | 45191</v>
      </c>
      <c r="B447" s="396"/>
      <c r="C447" s="384"/>
      <c r="D447" s="384"/>
      <c r="E447" s="384"/>
      <c r="F447" s="384"/>
      <c r="G447" s="384"/>
      <c r="H447" s="384"/>
      <c r="I447" s="384"/>
      <c r="J447" s="384"/>
      <c r="K447" s="384"/>
      <c r="L447" s="384"/>
      <c r="M447" s="384"/>
      <c r="N447" s="384"/>
      <c r="O447" s="384"/>
      <c r="P447" s="384"/>
      <c r="Q447" s="384"/>
    </row>
    <row r="448">
      <c r="A448" s="396" t="str">
        <f>IFERROR(__xludf.DUMMYFUNCTION("""COMPUTED_VALUE"""),"Denyse Cruz de Oliveira | Maraba - PA | 45474")</f>
        <v>Denyse Cruz de Oliveira | Maraba - PA | 45474</v>
      </c>
      <c r="B448" s="396"/>
      <c r="C448" s="384"/>
      <c r="D448" s="384"/>
      <c r="E448" s="384"/>
      <c r="F448" s="384"/>
      <c r="G448" s="384"/>
      <c r="H448" s="384"/>
      <c r="I448" s="384"/>
      <c r="J448" s="384"/>
      <c r="K448" s="384"/>
      <c r="L448" s="384"/>
      <c r="M448" s="384"/>
      <c r="N448" s="384"/>
      <c r="O448" s="384"/>
      <c r="P448" s="384"/>
      <c r="Q448" s="384"/>
    </row>
    <row r="449">
      <c r="A449" s="396" t="str">
        <f>IFERROR(__xludf.DUMMYFUNCTION("""COMPUTED_VALUE"""),"Taciane Mara de Lima Gomes | Sorocaba - SP | 45100")</f>
        <v>Taciane Mara de Lima Gomes | Sorocaba - SP | 45100</v>
      </c>
      <c r="B449" s="396"/>
      <c r="C449" s="384"/>
      <c r="D449" s="384"/>
      <c r="E449" s="384"/>
      <c r="F449" s="384"/>
      <c r="G449" s="384"/>
      <c r="H449" s="384"/>
      <c r="I449" s="384"/>
      <c r="J449" s="384"/>
      <c r="K449" s="384"/>
      <c r="L449" s="384"/>
      <c r="M449" s="384"/>
      <c r="N449" s="384"/>
      <c r="O449" s="384"/>
      <c r="P449" s="384"/>
      <c r="Q449" s="384"/>
    </row>
    <row r="450">
      <c r="A450" s="396" t="str">
        <f>IFERROR(__xludf.DUMMYFUNCTION("""COMPUTED_VALUE"""),"Antonio Carlos de Jesus | São Paulo - SP | 45258")</f>
        <v>Antonio Carlos de Jesus | São Paulo - SP | 45258</v>
      </c>
      <c r="B450" s="396"/>
      <c r="C450" s="384"/>
      <c r="D450" s="384"/>
      <c r="E450" s="384"/>
      <c r="F450" s="384"/>
      <c r="G450" s="384"/>
      <c r="H450" s="384"/>
      <c r="I450" s="384"/>
      <c r="J450" s="384"/>
      <c r="K450" s="384"/>
      <c r="L450" s="384"/>
      <c r="M450" s="384"/>
      <c r="N450" s="384"/>
      <c r="O450" s="384"/>
      <c r="P450" s="384"/>
      <c r="Q450" s="384"/>
    </row>
    <row r="451">
      <c r="A451" s="396" t="str">
        <f>IFERROR(__xludf.DUMMYFUNCTION("""COMPUTED_VALUE"""),"Thainara Ribeiro dos Santos | Rio Verde - GO | 45307")</f>
        <v>Thainara Ribeiro dos Santos | Rio Verde - GO | 45307</v>
      </c>
      <c r="B451" s="396"/>
      <c r="C451" s="384"/>
      <c r="D451" s="384"/>
      <c r="E451" s="384"/>
      <c r="F451" s="384"/>
      <c r="G451" s="384"/>
      <c r="H451" s="384"/>
      <c r="I451" s="384"/>
      <c r="J451" s="384"/>
      <c r="K451" s="384"/>
      <c r="L451" s="384"/>
      <c r="M451" s="384"/>
      <c r="N451" s="384"/>
      <c r="O451" s="384"/>
      <c r="P451" s="384"/>
      <c r="Q451" s="384"/>
    </row>
    <row r="452">
      <c r="A452" s="396" t="str">
        <f>IFERROR(__xludf.DUMMYFUNCTION("""COMPUTED_VALUE"""),"Antônio Vieira da Silva Júnior | Surubim -PE | 45276")</f>
        <v>Antônio Vieira da Silva Júnior | Surubim -PE | 45276</v>
      </c>
      <c r="B452" s="396"/>
      <c r="C452" s="384"/>
      <c r="D452" s="384"/>
      <c r="E452" s="384"/>
      <c r="F452" s="384"/>
      <c r="G452" s="384"/>
      <c r="H452" s="384"/>
      <c r="I452" s="384"/>
      <c r="J452" s="384"/>
      <c r="K452" s="384"/>
      <c r="L452" s="384"/>
      <c r="M452" s="384"/>
      <c r="N452" s="384"/>
      <c r="O452" s="384"/>
      <c r="P452" s="384"/>
      <c r="Q452" s="384"/>
    </row>
    <row r="453">
      <c r="A453" s="396" t="str">
        <f>IFERROR(__xludf.DUMMYFUNCTION("""COMPUTED_VALUE"""),"Thiago Ribeiro Silva | Cachoeira Paulista - SP | 45254")</f>
        <v>Thiago Ribeiro Silva | Cachoeira Paulista - SP | 45254</v>
      </c>
      <c r="B453" s="396"/>
      <c r="C453" s="384"/>
      <c r="D453" s="384"/>
      <c r="E453" s="384"/>
      <c r="F453" s="384"/>
      <c r="G453" s="384"/>
      <c r="H453" s="384"/>
      <c r="I453" s="384"/>
      <c r="J453" s="384"/>
      <c r="K453" s="384"/>
      <c r="L453" s="384"/>
      <c r="M453" s="384"/>
      <c r="N453" s="384"/>
      <c r="O453" s="384"/>
      <c r="P453" s="384"/>
      <c r="Q453" s="384"/>
    </row>
    <row r="454">
      <c r="A454" s="396" t="str">
        <f>IFERROR(__xludf.DUMMYFUNCTION("""COMPUTED_VALUE"""),"Robson Prati Neves de Oliveira | Vitória - ES | 45210")</f>
        <v>Robson Prati Neves de Oliveira | Vitória - ES | 45210</v>
      </c>
      <c r="B454" s="396"/>
      <c r="C454" s="384"/>
      <c r="D454" s="384"/>
      <c r="E454" s="384"/>
      <c r="F454" s="384"/>
      <c r="G454" s="384"/>
      <c r="H454" s="384"/>
      <c r="I454" s="384"/>
      <c r="J454" s="384"/>
      <c r="K454" s="384"/>
      <c r="L454" s="384"/>
      <c r="M454" s="384"/>
      <c r="N454" s="384"/>
      <c r="O454" s="384"/>
      <c r="P454" s="384"/>
      <c r="Q454" s="384"/>
    </row>
    <row r="455">
      <c r="A455" s="396" t="str">
        <f>IFERROR(__xludf.DUMMYFUNCTION("""COMPUTED_VALUE"""),"Patrícia Cláudia Fonseca | Patrocinio - MG | 44953")</f>
        <v>Patrícia Cláudia Fonseca | Patrocinio - MG | 44953</v>
      </c>
      <c r="B455" s="396"/>
      <c r="C455" s="384"/>
      <c r="D455" s="384"/>
      <c r="E455" s="384"/>
      <c r="F455" s="384"/>
      <c r="G455" s="384"/>
      <c r="H455" s="384"/>
      <c r="I455" s="384"/>
      <c r="J455" s="384"/>
      <c r="K455" s="384"/>
      <c r="L455" s="384"/>
      <c r="M455" s="384"/>
      <c r="N455" s="384"/>
      <c r="O455" s="384"/>
      <c r="P455" s="384"/>
      <c r="Q455" s="384"/>
    </row>
    <row r="456">
      <c r="A456" s="396" t="str">
        <f>IFERROR(__xludf.DUMMYFUNCTION("""COMPUTED_VALUE"""),"Rayanne Moreira morais | Custodia - PE | 45099")</f>
        <v>Rayanne Moreira morais | Custodia - PE | 45099</v>
      </c>
      <c r="B456" s="396"/>
      <c r="C456" s="384"/>
      <c r="D456" s="384"/>
      <c r="E456" s="384"/>
      <c r="F456" s="384"/>
      <c r="G456" s="384"/>
      <c r="H456" s="384"/>
      <c r="I456" s="384"/>
      <c r="J456" s="384"/>
      <c r="K456" s="384"/>
      <c r="L456" s="384"/>
      <c r="M456" s="384"/>
      <c r="N456" s="384"/>
      <c r="O456" s="384"/>
      <c r="P456" s="384"/>
      <c r="Q456" s="384"/>
    </row>
    <row r="457">
      <c r="A457" s="396" t="str">
        <f>IFERROR(__xludf.DUMMYFUNCTION("""COMPUTED_VALUE"""),"Kairo Roniely Brito Souza | Morrinhos - GO | 45239")</f>
        <v>Kairo Roniely Brito Souza | Morrinhos - GO | 45239</v>
      </c>
      <c r="B457" s="396"/>
      <c r="C457" s="384"/>
      <c r="D457" s="384"/>
      <c r="E457" s="384"/>
      <c r="F457" s="384"/>
      <c r="G457" s="384"/>
      <c r="H457" s="384"/>
      <c r="I457" s="384"/>
      <c r="J457" s="384"/>
      <c r="K457" s="384"/>
      <c r="L457" s="384"/>
      <c r="M457" s="384"/>
      <c r="N457" s="384"/>
      <c r="O457" s="384"/>
      <c r="P457" s="384"/>
      <c r="Q457" s="384"/>
    </row>
    <row r="458">
      <c r="A458" s="396" t="str">
        <f>IFERROR(__xludf.DUMMYFUNCTION("""COMPUTED_VALUE"""),"Magda Coelho da Silva | Pedreiras - MA | -320273")</f>
        <v>Magda Coelho da Silva | Pedreiras - MA | -320273</v>
      </c>
      <c r="B458" s="396"/>
      <c r="C458" s="384"/>
      <c r="D458" s="384"/>
      <c r="E458" s="384"/>
      <c r="F458" s="384"/>
      <c r="G458" s="384"/>
      <c r="H458" s="384"/>
      <c r="I458" s="384"/>
      <c r="J458" s="384"/>
      <c r="K458" s="384"/>
      <c r="L458" s="384"/>
      <c r="M458" s="384"/>
      <c r="N458" s="384"/>
      <c r="O458" s="384"/>
      <c r="P458" s="384"/>
      <c r="Q458" s="384"/>
    </row>
    <row r="459">
      <c r="A459" s="396" t="str">
        <f>IFERROR(__xludf.DUMMYFUNCTION("""COMPUTED_VALUE"""),"Magda Coelho da Silva | Pedreiras - MA | -320273")</f>
        <v>Magda Coelho da Silva | Pedreiras - MA | -320273</v>
      </c>
      <c r="B459" s="396"/>
      <c r="C459" s="384"/>
      <c r="D459" s="384"/>
      <c r="E459" s="384"/>
      <c r="F459" s="384"/>
      <c r="G459" s="384"/>
      <c r="H459" s="384"/>
      <c r="I459" s="384"/>
      <c r="J459" s="384"/>
      <c r="K459" s="384"/>
      <c r="L459" s="384"/>
      <c r="M459" s="384"/>
      <c r="N459" s="384"/>
      <c r="O459" s="384"/>
      <c r="P459" s="384"/>
      <c r="Q459" s="384"/>
    </row>
    <row r="460">
      <c r="A460" s="396" t="str">
        <f>IFERROR(__xludf.DUMMYFUNCTION("""COMPUTED_VALUE"""),"Alexandre Felizardo da Cruz | Urupês - SP | 45160")</f>
        <v>Alexandre Felizardo da Cruz | Urupês - SP | 45160</v>
      </c>
      <c r="B460" s="396"/>
      <c r="C460" s="384"/>
      <c r="D460" s="384"/>
      <c r="E460" s="384"/>
      <c r="F460" s="384"/>
      <c r="G460" s="384"/>
      <c r="H460" s="384"/>
      <c r="I460" s="384"/>
      <c r="J460" s="384"/>
      <c r="K460" s="384"/>
      <c r="L460" s="384"/>
      <c r="M460" s="384"/>
      <c r="N460" s="384"/>
      <c r="O460" s="384"/>
      <c r="P460" s="384"/>
      <c r="Q460" s="384"/>
    </row>
    <row r="461">
      <c r="A461" s="396" t="str">
        <f>IFERROR(__xludf.DUMMYFUNCTION("""COMPUTED_VALUE"""),"Vinicius Figueiredo Santos |  | 45156")</f>
        <v>Vinicius Figueiredo Santos |  | 45156</v>
      </c>
      <c r="B461" s="396"/>
      <c r="C461" s="384"/>
      <c r="D461" s="384"/>
      <c r="E461" s="384"/>
      <c r="F461" s="384"/>
      <c r="G461" s="384"/>
      <c r="H461" s="384"/>
      <c r="I461" s="384"/>
      <c r="J461" s="384"/>
      <c r="K461" s="384"/>
      <c r="L461" s="384"/>
      <c r="M461" s="384"/>
      <c r="N461" s="384"/>
      <c r="O461" s="384"/>
      <c r="P461" s="384"/>
      <c r="Q461" s="384"/>
    </row>
    <row r="462">
      <c r="A462" s="396" t="str">
        <f>IFERROR(__xludf.DUMMYFUNCTION("""COMPUTED_VALUE"""),"Luciana Maria Pastor Masala | Mandaguari - PR | ")</f>
        <v>Luciana Maria Pastor Masala | Mandaguari - PR | </v>
      </c>
      <c r="B462" s="396"/>
      <c r="C462" s="384"/>
      <c r="D462" s="384"/>
      <c r="E462" s="384"/>
      <c r="F462" s="384"/>
      <c r="G462" s="384"/>
      <c r="H462" s="384"/>
      <c r="I462" s="384"/>
      <c r="J462" s="384"/>
      <c r="K462" s="384"/>
      <c r="L462" s="384"/>
      <c r="M462" s="384"/>
      <c r="N462" s="384"/>
      <c r="O462" s="384"/>
      <c r="P462" s="384"/>
      <c r="Q462" s="384"/>
    </row>
    <row r="463">
      <c r="A463" s="396" t="str">
        <f>IFERROR(__xludf.DUMMYFUNCTION("""COMPUTED_VALUE""")," |  | ")</f>
        <v> |  | </v>
      </c>
      <c r="B463" s="396"/>
      <c r="C463" s="384"/>
      <c r="D463" s="384"/>
      <c r="E463" s="384"/>
      <c r="F463" s="384"/>
      <c r="G463" s="384"/>
      <c r="H463" s="384"/>
      <c r="I463" s="384"/>
      <c r="J463" s="384"/>
      <c r="K463" s="384"/>
      <c r="L463" s="384"/>
      <c r="M463" s="384"/>
      <c r="N463" s="384"/>
      <c r="O463" s="384"/>
      <c r="P463" s="384"/>
      <c r="Q463" s="384"/>
    </row>
    <row r="464">
      <c r="A464" s="396" t="str">
        <f>IFERROR(__xludf.DUMMYFUNCTION("""COMPUTED_VALUE"""),"ALUNO | Naturalidade | INÍCIO CURSO")</f>
        <v>ALUNO | Naturalidade | INÍCIO CURSO</v>
      </c>
      <c r="B464" s="396"/>
      <c r="C464" s="384"/>
      <c r="D464" s="384"/>
      <c r="E464" s="384"/>
      <c r="F464" s="384"/>
      <c r="G464" s="384"/>
      <c r="H464" s="384"/>
      <c r="I464" s="384"/>
      <c r="J464" s="384"/>
      <c r="K464" s="384"/>
      <c r="L464" s="384"/>
      <c r="M464" s="384"/>
      <c r="N464" s="384"/>
      <c r="O464" s="384"/>
      <c r="P464" s="384"/>
      <c r="Q464" s="384"/>
    </row>
    <row r="465">
      <c r="A465" s="396" t="str">
        <f>IFERROR(__xludf.DUMMYFUNCTION("""COMPUTED_VALUE"""),"Mauricio Aires Vieira | Pelotas - RS | 45337")</f>
        <v>Mauricio Aires Vieira | Pelotas - RS | 45337</v>
      </c>
      <c r="B465" s="396"/>
      <c r="C465" s="384"/>
      <c r="D465" s="384"/>
      <c r="E465" s="384"/>
      <c r="F465" s="384"/>
      <c r="G465" s="384"/>
      <c r="H465" s="384"/>
      <c r="I465" s="384"/>
      <c r="J465" s="384"/>
      <c r="K465" s="384"/>
      <c r="L465" s="384"/>
      <c r="M465" s="384"/>
      <c r="N465" s="384"/>
      <c r="O465" s="384"/>
      <c r="P465" s="384"/>
      <c r="Q465" s="384"/>
    </row>
    <row r="466">
      <c r="A466" s="396" t="str">
        <f>IFERROR(__xludf.DUMMYFUNCTION("""COMPUTED_VALUE"""),"Monique Torres Manfron | Osasco - SP | 45279")</f>
        <v>Monique Torres Manfron | Osasco - SP | 45279</v>
      </c>
      <c r="B466" s="396"/>
      <c r="C466" s="384"/>
      <c r="D466" s="384"/>
      <c r="E466" s="384"/>
      <c r="F466" s="384"/>
      <c r="G466" s="384"/>
      <c r="H466" s="384"/>
      <c r="I466" s="384"/>
      <c r="J466" s="384"/>
      <c r="K466" s="384"/>
      <c r="L466" s="384"/>
      <c r="M466" s="384"/>
      <c r="N466" s="384"/>
      <c r="O466" s="384"/>
      <c r="P466" s="384"/>
      <c r="Q466" s="384"/>
    </row>
    <row r="467">
      <c r="A467" s="396" t="str">
        <f>IFERROR(__xludf.DUMMYFUNCTION("""COMPUTED_VALUE"""),"Wagno Sérgio | Rio de Janeiro - RJ | 45183")</f>
        <v>Wagno Sérgio | Rio de Janeiro - RJ | 45183</v>
      </c>
      <c r="B467" s="396"/>
      <c r="C467" s="384"/>
      <c r="D467" s="384"/>
      <c r="E467" s="384"/>
      <c r="F467" s="384"/>
      <c r="G467" s="384"/>
      <c r="H467" s="384"/>
      <c r="I467" s="384"/>
      <c r="J467" s="384"/>
      <c r="K467" s="384"/>
      <c r="L467" s="384"/>
      <c r="M467" s="384"/>
      <c r="N467" s="384"/>
      <c r="O467" s="384"/>
      <c r="P467" s="384"/>
      <c r="Q467" s="384"/>
    </row>
    <row r="468">
      <c r="A468" s="396" t="str">
        <f>IFERROR(__xludf.DUMMYFUNCTION("""COMPUTED_VALUE"""),"Jonnyka Maria Figueiredo Nascimento Lima | Cruzeiro do Sul - AC | 44560")</f>
        <v>Jonnyka Maria Figueiredo Nascimento Lima | Cruzeiro do Sul - AC | 44560</v>
      </c>
      <c r="B468" s="396"/>
      <c r="C468" s="384"/>
      <c r="D468" s="384"/>
      <c r="E468" s="384"/>
      <c r="F468" s="384"/>
      <c r="G468" s="384"/>
      <c r="H468" s="384"/>
      <c r="I468" s="384"/>
      <c r="J468" s="384"/>
      <c r="K468" s="384"/>
      <c r="L468" s="384"/>
      <c r="M468" s="384"/>
      <c r="N468" s="384"/>
      <c r="O468" s="384"/>
      <c r="P468" s="384"/>
      <c r="Q468" s="384"/>
    </row>
    <row r="469">
      <c r="A469" s="396" t="str">
        <f>IFERROR(__xludf.DUMMYFUNCTION("""COMPUTED_VALUE"""),"Renata Pires Tavares | Loanda - PR | 44915")</f>
        <v>Renata Pires Tavares | Loanda - PR | 44915</v>
      </c>
      <c r="B469" s="396"/>
      <c r="C469" s="384"/>
      <c r="D469" s="384"/>
      <c r="E469" s="384"/>
      <c r="F469" s="384"/>
      <c r="G469" s="384"/>
      <c r="H469" s="384"/>
      <c r="I469" s="384"/>
      <c r="J469" s="384"/>
      <c r="K469" s="384"/>
      <c r="L469" s="384"/>
      <c r="M469" s="384"/>
      <c r="N469" s="384"/>
      <c r="O469" s="384"/>
      <c r="P469" s="384"/>
      <c r="Q469" s="384"/>
    </row>
    <row r="470">
      <c r="A470" s="396" t="str">
        <f>IFERROR(__xludf.DUMMYFUNCTION("""COMPUTED_VALUE"""),"Danieli de Castro Silva | Cotia - SP | 45169")</f>
        <v>Danieli de Castro Silva | Cotia - SP | 45169</v>
      </c>
      <c r="B470" s="396"/>
      <c r="C470" s="384"/>
      <c r="D470" s="384"/>
      <c r="E470" s="384"/>
      <c r="F470" s="384"/>
      <c r="G470" s="384"/>
      <c r="H470" s="384"/>
      <c r="I470" s="384"/>
      <c r="J470" s="384"/>
      <c r="K470" s="384"/>
      <c r="L470" s="384"/>
      <c r="M470" s="384"/>
      <c r="N470" s="384"/>
      <c r="O470" s="384"/>
      <c r="P470" s="384"/>
      <c r="Q470" s="384"/>
    </row>
    <row r="471">
      <c r="A471" s="396" t="str">
        <f>IFERROR(__xludf.DUMMYFUNCTION("""COMPUTED_VALUE"""),"Jônatas Silva | Rio de Janeiro - RJ | 45420")</f>
        <v>Jônatas Silva | Rio de Janeiro - RJ | 45420</v>
      </c>
      <c r="B471" s="396"/>
      <c r="C471" s="384"/>
      <c r="D471" s="384"/>
      <c r="E471" s="384"/>
      <c r="F471" s="384"/>
      <c r="G471" s="384"/>
      <c r="H471" s="384"/>
      <c r="I471" s="384"/>
      <c r="J471" s="384"/>
      <c r="K471" s="384"/>
      <c r="L471" s="384"/>
      <c r="M471" s="384"/>
      <c r="N471" s="384"/>
      <c r="O471" s="384"/>
      <c r="P471" s="384"/>
      <c r="Q471" s="384"/>
    </row>
    <row r="472">
      <c r="A472" s="396" t="str">
        <f>IFERROR(__xludf.DUMMYFUNCTION("""COMPUTED_VALUE"""),"Efrain Rael de Eron Silva de Azevedo | Belém - PA | 45573")</f>
        <v>Efrain Rael de Eron Silva de Azevedo | Belém - PA | 45573</v>
      </c>
      <c r="B472" s="396"/>
      <c r="C472" s="384"/>
      <c r="D472" s="384"/>
      <c r="E472" s="384"/>
      <c r="F472" s="384"/>
      <c r="G472" s="384"/>
      <c r="H472" s="384"/>
      <c r="I472" s="384"/>
      <c r="J472" s="384"/>
      <c r="K472" s="384"/>
      <c r="L472" s="384"/>
      <c r="M472" s="384"/>
      <c r="N472" s="384"/>
      <c r="O472" s="384"/>
      <c r="P472" s="384"/>
      <c r="Q472" s="384"/>
    </row>
    <row r="473">
      <c r="A473" s="396" t="str">
        <f>IFERROR(__xludf.DUMMYFUNCTION("""COMPUTED_VALUE"""),"Maria Sandra Pereira da Silva Teixeira | Imperatriz - MA | 45099")</f>
        <v>Maria Sandra Pereira da Silva Teixeira | Imperatriz - MA | 45099</v>
      </c>
      <c r="B473" s="396"/>
      <c r="C473" s="384"/>
      <c r="D473" s="384"/>
      <c r="E473" s="384"/>
      <c r="F473" s="384"/>
      <c r="G473" s="384"/>
      <c r="H473" s="384"/>
      <c r="I473" s="384"/>
      <c r="J473" s="384"/>
      <c r="K473" s="384"/>
      <c r="L473" s="384"/>
      <c r="M473" s="384"/>
      <c r="N473" s="384"/>
      <c r="O473" s="384"/>
      <c r="P473" s="384"/>
      <c r="Q473" s="384"/>
    </row>
    <row r="474">
      <c r="A474" s="396" t="str">
        <f>IFERROR(__xludf.DUMMYFUNCTION("""COMPUTED_VALUE"""),"Jocilene Souza Santos | Amargosa - BA | 45224")</f>
        <v>Jocilene Souza Santos | Amargosa - BA | 45224</v>
      </c>
      <c r="B474" s="396"/>
      <c r="C474" s="384"/>
      <c r="D474" s="384"/>
      <c r="E474" s="384"/>
      <c r="F474" s="384"/>
      <c r="G474" s="384"/>
      <c r="H474" s="384"/>
      <c r="I474" s="384"/>
      <c r="J474" s="384"/>
      <c r="K474" s="384"/>
      <c r="L474" s="384"/>
      <c r="M474" s="384"/>
      <c r="N474" s="384"/>
      <c r="O474" s="384"/>
      <c r="P474" s="384"/>
      <c r="Q474" s="384"/>
    </row>
    <row r="475">
      <c r="A475" s="396" t="str">
        <f>IFERROR(__xludf.DUMMYFUNCTION("""COMPUTED_VALUE"""),"Joseph Junior Galdino Nunes | Princesa Isabel - PB | 45219")</f>
        <v>Joseph Junior Galdino Nunes | Princesa Isabel - PB | 45219</v>
      </c>
      <c r="B475" s="396"/>
      <c r="C475" s="384"/>
      <c r="D475" s="384"/>
      <c r="E475" s="384"/>
      <c r="F475" s="384"/>
      <c r="G475" s="384"/>
      <c r="H475" s="384"/>
      <c r="I475" s="384"/>
      <c r="J475" s="384"/>
      <c r="K475" s="384"/>
      <c r="L475" s="384"/>
      <c r="M475" s="384"/>
      <c r="N475" s="384"/>
      <c r="O475" s="384"/>
      <c r="P475" s="384"/>
      <c r="Q475" s="384"/>
    </row>
    <row r="476">
      <c r="A476" s="396" t="str">
        <f>IFERROR(__xludf.DUMMYFUNCTION("""COMPUTED_VALUE"""),"Luciana Maria Pastor Masala | Mandaguari - PR | 45257")</f>
        <v>Luciana Maria Pastor Masala | Mandaguari - PR | 45257</v>
      </c>
      <c r="B476" s="396"/>
      <c r="C476" s="384"/>
      <c r="D476" s="384"/>
      <c r="E476" s="384"/>
      <c r="F476" s="384"/>
      <c r="G476" s="384"/>
      <c r="H476" s="384"/>
      <c r="I476" s="384"/>
      <c r="J476" s="384"/>
      <c r="K476" s="384"/>
      <c r="L476" s="384"/>
      <c r="M476" s="384"/>
      <c r="N476" s="384"/>
      <c r="O476" s="384"/>
      <c r="P476" s="384"/>
      <c r="Q476" s="384"/>
    </row>
    <row r="477">
      <c r="A477" s="396" t="str">
        <f>IFERROR(__xludf.DUMMYFUNCTION("""COMPUTED_VALUE"""),"Whallef dos Reis Silva | Pedreiras - MA | 44984")</f>
        <v>Whallef dos Reis Silva | Pedreiras - MA | 44984</v>
      </c>
      <c r="B477" s="396"/>
      <c r="C477" s="384"/>
      <c r="D477" s="384"/>
      <c r="E477" s="384"/>
      <c r="F477" s="384"/>
      <c r="G477" s="384"/>
      <c r="H477" s="384"/>
      <c r="I477" s="384"/>
      <c r="J477" s="384"/>
      <c r="K477" s="384"/>
      <c r="L477" s="384"/>
      <c r="M477" s="384"/>
      <c r="N477" s="384"/>
      <c r="O477" s="384"/>
      <c r="P477" s="384"/>
      <c r="Q477" s="384"/>
    </row>
    <row r="478">
      <c r="A478" s="396" t="str">
        <f>IFERROR(__xludf.DUMMYFUNCTION("""COMPUTED_VALUE"""),"Jose Arthur Carneiro da Costa | Fortaleza - CE | 45194")</f>
        <v>Jose Arthur Carneiro da Costa | Fortaleza - CE | 45194</v>
      </c>
      <c r="B478" s="396"/>
      <c r="C478" s="384"/>
      <c r="D478" s="384"/>
      <c r="E478" s="384"/>
      <c r="F478" s="384"/>
      <c r="G478" s="384"/>
      <c r="H478" s="384"/>
      <c r="I478" s="384"/>
      <c r="J478" s="384"/>
      <c r="K478" s="384"/>
      <c r="L478" s="384"/>
      <c r="M478" s="384"/>
      <c r="N478" s="384"/>
      <c r="O478" s="384"/>
      <c r="P478" s="384"/>
      <c r="Q478" s="384"/>
    </row>
    <row r="479">
      <c r="A479" s="396" t="str">
        <f>IFERROR(__xludf.DUMMYFUNCTION("""COMPUTED_VALUE"""),"Eugênio Tavares de Mendonça Júnior |  | 45514")</f>
        <v>Eugênio Tavares de Mendonça Júnior |  | 45514</v>
      </c>
      <c r="B479" s="396"/>
      <c r="C479" s="384"/>
      <c r="D479" s="384"/>
      <c r="E479" s="384"/>
      <c r="F479" s="384"/>
      <c r="G479" s="384"/>
      <c r="H479" s="384"/>
      <c r="I479" s="384"/>
      <c r="J479" s="384"/>
      <c r="K479" s="384"/>
      <c r="L479" s="384"/>
      <c r="M479" s="384"/>
      <c r="N479" s="384"/>
      <c r="O479" s="384"/>
      <c r="P479" s="384"/>
      <c r="Q479" s="384"/>
    </row>
    <row r="480">
      <c r="A480" s="396" t="str">
        <f>IFERROR(__xludf.DUMMYFUNCTION("""COMPUTED_VALUE"""),"Joelita da Silva Soares Costa | Lajes - RN | 45225")</f>
        <v>Joelita da Silva Soares Costa | Lajes - RN | 45225</v>
      </c>
      <c r="B480" s="396"/>
      <c r="C480" s="384"/>
      <c r="D480" s="384"/>
      <c r="E480" s="384"/>
      <c r="F480" s="384"/>
      <c r="G480" s="384"/>
      <c r="H480" s="384"/>
      <c r="I480" s="384"/>
      <c r="J480" s="384"/>
      <c r="K480" s="384"/>
      <c r="L480" s="384"/>
      <c r="M480" s="384"/>
      <c r="N480" s="384"/>
      <c r="O480" s="384"/>
      <c r="P480" s="384"/>
      <c r="Q480" s="384"/>
    </row>
    <row r="481">
      <c r="A481" s="396" t="str">
        <f>IFERROR(__xludf.DUMMYFUNCTION("""COMPUTED_VALUE"""),"Joelita da Silva Soares Costa | Lajes - RN | 45225")</f>
        <v>Joelita da Silva Soares Costa | Lajes - RN | 45225</v>
      </c>
      <c r="B481" s="396"/>
      <c r="C481" s="384"/>
      <c r="D481" s="384"/>
      <c r="E481" s="384"/>
      <c r="F481" s="384"/>
      <c r="G481" s="384"/>
      <c r="H481" s="384"/>
      <c r="I481" s="384"/>
      <c r="J481" s="384"/>
      <c r="K481" s="384"/>
      <c r="L481" s="384"/>
      <c r="M481" s="384"/>
      <c r="N481" s="384"/>
      <c r="O481" s="384"/>
      <c r="P481" s="384"/>
      <c r="Q481" s="384"/>
    </row>
    <row r="482">
      <c r="A482" s="396" t="str">
        <f>IFERROR(__xludf.DUMMYFUNCTION("""COMPUTED_VALUE"""),"Adriana de Almeida Abreu  | Vacaria - RS | 45026")</f>
        <v>Adriana de Almeida Abreu  | Vacaria - RS | 45026</v>
      </c>
      <c r="B482" s="396"/>
      <c r="C482" s="384"/>
      <c r="D482" s="384"/>
      <c r="E482" s="384"/>
      <c r="F482" s="384"/>
      <c r="G482" s="384"/>
      <c r="H482" s="384"/>
      <c r="I482" s="384"/>
      <c r="J482" s="384"/>
      <c r="K482" s="384"/>
      <c r="L482" s="384"/>
      <c r="M482" s="384"/>
      <c r="N482" s="384"/>
      <c r="O482" s="384"/>
      <c r="P482" s="384"/>
      <c r="Q482" s="384"/>
    </row>
    <row r="483">
      <c r="A483" s="396" t="str">
        <f>IFERROR(__xludf.DUMMYFUNCTION("""COMPUTED_VALUE"""),"Jaciel da Silva Laranjeira | Chapada dos Guimarães - MT | 45296")</f>
        <v>Jaciel da Silva Laranjeira | Chapada dos Guimarães - MT | 45296</v>
      </c>
      <c r="B483" s="396"/>
      <c r="C483" s="384"/>
      <c r="D483" s="384"/>
      <c r="E483" s="384"/>
      <c r="F483" s="384"/>
      <c r="G483" s="384"/>
      <c r="H483" s="384"/>
      <c r="I483" s="384"/>
      <c r="J483" s="384"/>
      <c r="K483" s="384"/>
      <c r="L483" s="384"/>
      <c r="M483" s="384"/>
      <c r="N483" s="384"/>
      <c r="O483" s="384"/>
      <c r="P483" s="384"/>
      <c r="Q483" s="384"/>
    </row>
    <row r="484">
      <c r="A484" s="396" t="str">
        <f>IFERROR(__xludf.DUMMYFUNCTION("""COMPUTED_VALUE"""),"Janieli Vidal Pontes Prates | São Paulo - SP | 45308")</f>
        <v>Janieli Vidal Pontes Prates | São Paulo - SP | 45308</v>
      </c>
      <c r="B484" s="396"/>
      <c r="C484" s="384"/>
      <c r="D484" s="384"/>
      <c r="E484" s="384"/>
      <c r="F484" s="384"/>
      <c r="G484" s="384"/>
      <c r="H484" s="384"/>
      <c r="I484" s="384"/>
      <c r="J484" s="384"/>
      <c r="K484" s="384"/>
      <c r="L484" s="384"/>
      <c r="M484" s="384"/>
      <c r="N484" s="384"/>
      <c r="O484" s="384"/>
      <c r="P484" s="384"/>
      <c r="Q484" s="384"/>
    </row>
    <row r="485">
      <c r="A485" s="396" t="str">
        <f>IFERROR(__xludf.DUMMYFUNCTION("""COMPUTED_VALUE"""),"Danielle Mendonça Brandão | Itabuna - BA | 45195")</f>
        <v>Danielle Mendonça Brandão | Itabuna - BA | 45195</v>
      </c>
      <c r="B485" s="396"/>
      <c r="C485" s="384"/>
      <c r="D485" s="384"/>
      <c r="E485" s="384"/>
      <c r="F485" s="384"/>
      <c r="G485" s="384"/>
      <c r="H485" s="384"/>
      <c r="I485" s="384"/>
      <c r="J485" s="384"/>
      <c r="K485" s="384"/>
      <c r="L485" s="384"/>
      <c r="M485" s="384"/>
      <c r="N485" s="384"/>
      <c r="O485" s="384"/>
      <c r="P485" s="384"/>
      <c r="Q485" s="384"/>
    </row>
    <row r="486">
      <c r="A486" s="396" t="str">
        <f>IFERROR(__xludf.DUMMYFUNCTION("""COMPUTED_VALUE"""),"Edriane Araújo Serra Sousa |  | 45237")</f>
        <v>Edriane Araújo Serra Sousa |  | 45237</v>
      </c>
      <c r="B486" s="396"/>
      <c r="C486" s="384"/>
      <c r="D486" s="384"/>
      <c r="E486" s="384"/>
      <c r="F486" s="384"/>
      <c r="G486" s="384"/>
      <c r="H486" s="384"/>
      <c r="I486" s="384"/>
      <c r="J486" s="384"/>
      <c r="K486" s="384"/>
      <c r="L486" s="384"/>
      <c r="M486" s="384"/>
      <c r="N486" s="384"/>
      <c r="O486" s="384"/>
      <c r="P486" s="384"/>
      <c r="Q486" s="384"/>
    </row>
    <row r="487">
      <c r="A487" s="396" t="str">
        <f>IFERROR(__xludf.DUMMYFUNCTION("""COMPUTED_VALUE"""),"Patrícia Lopes de Freitas Silva | Vassouras - RJ | 45014")</f>
        <v>Patrícia Lopes de Freitas Silva | Vassouras - RJ | 45014</v>
      </c>
      <c r="B487" s="396"/>
      <c r="C487" s="384"/>
      <c r="D487" s="384"/>
      <c r="E487" s="384"/>
      <c r="F487" s="384"/>
      <c r="G487" s="384"/>
      <c r="H487" s="384"/>
      <c r="I487" s="384"/>
      <c r="J487" s="384"/>
      <c r="K487" s="384"/>
      <c r="L487" s="384"/>
      <c r="M487" s="384"/>
      <c r="N487" s="384"/>
      <c r="O487" s="384"/>
      <c r="P487" s="384"/>
      <c r="Q487" s="384"/>
    </row>
    <row r="488">
      <c r="A488" s="396" t="str">
        <f>IFERROR(__xludf.DUMMYFUNCTION("""COMPUTED_VALUE"""),"Patrícia Lopes de Freitas Silva | Vassouras - RJ | 44596")</f>
        <v>Patrícia Lopes de Freitas Silva | Vassouras - RJ | 44596</v>
      </c>
      <c r="B488" s="396"/>
      <c r="C488" s="384"/>
      <c r="D488" s="384"/>
      <c r="E488" s="384"/>
      <c r="F488" s="384"/>
      <c r="G488" s="384"/>
      <c r="H488" s="384"/>
      <c r="I488" s="384"/>
      <c r="J488" s="384"/>
      <c r="K488" s="384"/>
      <c r="L488" s="384"/>
      <c r="M488" s="384"/>
      <c r="N488" s="384"/>
      <c r="O488" s="384"/>
      <c r="P488" s="384"/>
      <c r="Q488" s="384"/>
    </row>
    <row r="489">
      <c r="A489" s="396" t="str">
        <f>IFERROR(__xludf.DUMMYFUNCTION("""COMPUTED_VALUE"""),"Tatiana Tassia Sampaio Pires |  | 44858")</f>
        <v>Tatiana Tassia Sampaio Pires |  | 44858</v>
      </c>
      <c r="B489" s="396"/>
      <c r="C489" s="384"/>
      <c r="D489" s="384"/>
      <c r="E489" s="384"/>
      <c r="F489" s="384"/>
      <c r="G489" s="384"/>
      <c r="H489" s="384"/>
      <c r="I489" s="384"/>
      <c r="J489" s="384"/>
      <c r="K489" s="384"/>
      <c r="L489" s="384"/>
      <c r="M489" s="384"/>
      <c r="N489" s="384"/>
      <c r="O489" s="384"/>
      <c r="P489" s="384"/>
      <c r="Q489" s="384"/>
    </row>
    <row r="490">
      <c r="A490" s="396" t="str">
        <f>IFERROR(__xludf.DUMMYFUNCTION("""COMPUTED_VALUE"""),"Ivanildo Batista Corrêa Junior | Manaus - AM | 45296")</f>
        <v>Ivanildo Batista Corrêa Junior | Manaus - AM | 45296</v>
      </c>
      <c r="B490" s="396"/>
      <c r="C490" s="384"/>
      <c r="D490" s="384"/>
      <c r="E490" s="384"/>
      <c r="F490" s="384"/>
      <c r="G490" s="384"/>
      <c r="H490" s="384"/>
      <c r="I490" s="384"/>
      <c r="J490" s="384"/>
      <c r="K490" s="384"/>
      <c r="L490" s="384"/>
      <c r="M490" s="384"/>
      <c r="N490" s="384"/>
      <c r="O490" s="384"/>
      <c r="P490" s="384"/>
      <c r="Q490" s="384"/>
    </row>
    <row r="491">
      <c r="A491" s="396" t="str">
        <f>IFERROR(__xludf.DUMMYFUNCTION("""COMPUTED_VALUE"""),"Lazara Aparecida Rodrigues | Patos de Minas - MG | 43540")</f>
        <v>Lazara Aparecida Rodrigues | Patos de Minas - MG | 43540</v>
      </c>
      <c r="B491" s="396"/>
      <c r="C491" s="384"/>
      <c r="D491" s="384"/>
      <c r="E491" s="384"/>
      <c r="F491" s="384"/>
      <c r="G491" s="384"/>
      <c r="H491" s="384"/>
      <c r="I491" s="384"/>
      <c r="J491" s="384"/>
      <c r="K491" s="384"/>
      <c r="L491" s="384"/>
      <c r="M491" s="384"/>
      <c r="N491" s="384"/>
      <c r="O491" s="384"/>
      <c r="P491" s="384"/>
      <c r="Q491" s="384"/>
    </row>
    <row r="492">
      <c r="A492" s="396" t="str">
        <f>IFERROR(__xludf.DUMMYFUNCTION("""COMPUTED_VALUE"""),"Karine Monteiro Silva Brasil Almeida | Brasília - DF | 45279")</f>
        <v>Karine Monteiro Silva Brasil Almeida | Brasília - DF | 45279</v>
      </c>
      <c r="B492" s="396"/>
      <c r="C492" s="384"/>
      <c r="D492" s="384"/>
      <c r="E492" s="384"/>
      <c r="F492" s="384"/>
      <c r="G492" s="384"/>
      <c r="H492" s="384"/>
      <c r="I492" s="384"/>
      <c r="J492" s="384"/>
      <c r="K492" s="384"/>
      <c r="L492" s="384"/>
      <c r="M492" s="384"/>
      <c r="N492" s="384"/>
      <c r="O492" s="384"/>
      <c r="P492" s="384"/>
      <c r="Q492" s="384"/>
    </row>
    <row r="493">
      <c r="A493" s="396" t="str">
        <f>IFERROR(__xludf.DUMMYFUNCTION("""COMPUTED_VALUE"""),"Marcilene Gonçalves Moreira | Tome Acu - PA | 44908")</f>
        <v>Marcilene Gonçalves Moreira | Tome Acu - PA | 44908</v>
      </c>
      <c r="B493" s="396"/>
      <c r="C493" s="384"/>
      <c r="D493" s="384"/>
      <c r="E493" s="384"/>
      <c r="F493" s="384"/>
      <c r="G493" s="384"/>
      <c r="H493" s="384"/>
      <c r="I493" s="384"/>
      <c r="J493" s="384"/>
      <c r="K493" s="384"/>
      <c r="L493" s="384"/>
      <c r="M493" s="384"/>
      <c r="N493" s="384"/>
      <c r="O493" s="384"/>
      <c r="P493" s="384"/>
      <c r="Q493" s="384"/>
    </row>
    <row r="494">
      <c r="A494" s="396" t="str">
        <f>IFERROR(__xludf.DUMMYFUNCTION("""COMPUTED_VALUE"""),"Vânia Cícero Dionízio de Souza | Canguaretama - RN | 45260")</f>
        <v>Vânia Cícero Dionízio de Souza | Canguaretama - RN | 45260</v>
      </c>
      <c r="B494" s="396"/>
      <c r="C494" s="384"/>
      <c r="D494" s="384"/>
      <c r="E494" s="384"/>
      <c r="F494" s="384"/>
      <c r="G494" s="384"/>
      <c r="H494" s="384"/>
      <c r="I494" s="384"/>
      <c r="J494" s="384"/>
      <c r="K494" s="384"/>
      <c r="L494" s="384"/>
      <c r="M494" s="384"/>
      <c r="N494" s="384"/>
      <c r="O494" s="384"/>
      <c r="P494" s="384"/>
      <c r="Q494" s="384"/>
    </row>
    <row r="495">
      <c r="A495" s="396" t="str">
        <f>IFERROR(__xludf.DUMMYFUNCTION("""COMPUTED_VALUE"""),"Vanusia Ferreira da Silva Santos | Pau Brasil - BA | 45160")</f>
        <v>Vanusia Ferreira da Silva Santos | Pau Brasil - BA | 45160</v>
      </c>
      <c r="B495" s="396"/>
      <c r="C495" s="384"/>
      <c r="D495" s="384"/>
      <c r="E495" s="384"/>
      <c r="F495" s="384"/>
      <c r="G495" s="384"/>
      <c r="H495" s="384"/>
      <c r="I495" s="384"/>
      <c r="J495" s="384"/>
      <c r="K495" s="384"/>
      <c r="L495" s="384"/>
      <c r="M495" s="384"/>
      <c r="N495" s="384"/>
      <c r="O495" s="384"/>
      <c r="P495" s="384"/>
      <c r="Q495" s="384"/>
    </row>
    <row r="496">
      <c r="A496" s="396" t="str">
        <f>IFERROR(__xludf.DUMMYFUNCTION("""COMPUTED_VALUE"""),"Roberta Liliane Gonçalves | Santa Bárbara do Sul - RS | 45051")</f>
        <v>Roberta Liliane Gonçalves | Santa Bárbara do Sul - RS | 45051</v>
      </c>
      <c r="B496" s="396"/>
      <c r="C496" s="384"/>
      <c r="D496" s="384"/>
      <c r="E496" s="384"/>
      <c r="F496" s="384"/>
      <c r="G496" s="384"/>
      <c r="H496" s="384"/>
      <c r="I496" s="384"/>
      <c r="J496" s="384"/>
      <c r="K496" s="384"/>
      <c r="L496" s="384"/>
      <c r="M496" s="384"/>
      <c r="N496" s="384"/>
      <c r="O496" s="384"/>
      <c r="P496" s="384"/>
      <c r="Q496" s="384"/>
    </row>
    <row r="497">
      <c r="A497" s="396" t="str">
        <f>IFERROR(__xludf.DUMMYFUNCTION("""COMPUTED_VALUE"""),"Jacilma Lopes Carneiro | Conceição do Coité - BA | 45232")</f>
        <v>Jacilma Lopes Carneiro | Conceição do Coité - BA | 45232</v>
      </c>
      <c r="B497" s="396"/>
      <c r="C497" s="384"/>
      <c r="D497" s="384"/>
      <c r="E497" s="384"/>
      <c r="F497" s="384"/>
      <c r="G497" s="384"/>
      <c r="H497" s="384"/>
      <c r="I497" s="384"/>
      <c r="J497" s="384"/>
      <c r="K497" s="384"/>
      <c r="L497" s="384"/>
      <c r="M497" s="384"/>
      <c r="N497" s="384"/>
      <c r="O497" s="384"/>
      <c r="P497" s="384"/>
      <c r="Q497" s="384"/>
    </row>
    <row r="498">
      <c r="A498" s="396" t="str">
        <f>IFERROR(__xludf.DUMMYFUNCTION("""COMPUTED_VALUE"""),"Alini Rosa Bertoldi do Carmo | Vitória - ES | 44550")</f>
        <v>Alini Rosa Bertoldi do Carmo | Vitória - ES | 44550</v>
      </c>
      <c r="B498" s="396"/>
      <c r="C498" s="384"/>
      <c r="D498" s="384"/>
      <c r="E498" s="384"/>
      <c r="F498" s="384"/>
      <c r="G498" s="384"/>
      <c r="H498" s="384"/>
      <c r="I498" s="384"/>
      <c r="J498" s="384"/>
      <c r="K498" s="384"/>
      <c r="L498" s="384"/>
      <c r="M498" s="384"/>
      <c r="N498" s="384"/>
      <c r="O498" s="384"/>
      <c r="P498" s="384"/>
      <c r="Q498" s="384"/>
    </row>
    <row r="499">
      <c r="A499" s="396" t="str">
        <f>IFERROR(__xludf.DUMMYFUNCTION("""COMPUTED_VALUE"""),"Carmem Lúcia Rosa | Pindamonhangaba - SP | 45265")</f>
        <v>Carmem Lúcia Rosa | Pindamonhangaba - SP | 45265</v>
      </c>
      <c r="B499" s="396"/>
      <c r="C499" s="384"/>
      <c r="D499" s="384"/>
      <c r="E499" s="384"/>
      <c r="F499" s="384"/>
      <c r="G499" s="384"/>
      <c r="H499" s="384"/>
      <c r="I499" s="384"/>
      <c r="J499" s="384"/>
      <c r="K499" s="384"/>
      <c r="L499" s="384"/>
      <c r="M499" s="384"/>
      <c r="N499" s="384"/>
      <c r="O499" s="384"/>
      <c r="P499" s="384"/>
      <c r="Q499" s="384"/>
    </row>
    <row r="500">
      <c r="A500" s="396" t="str">
        <f>IFERROR(__xludf.DUMMYFUNCTION("""COMPUTED_VALUE"""),"Villana Mércia Oliveira Freire | Paulo Afonso - BA | 44749")</f>
        <v>Villana Mércia Oliveira Freire | Paulo Afonso - BA | 44749</v>
      </c>
      <c r="B500" s="396"/>
      <c r="C500" s="384"/>
      <c r="D500" s="384"/>
      <c r="E500" s="384"/>
      <c r="F500" s="384"/>
      <c r="G500" s="384"/>
      <c r="H500" s="384"/>
      <c r="I500" s="384"/>
      <c r="J500" s="384"/>
      <c r="K500" s="384"/>
      <c r="L500" s="384"/>
      <c r="M500" s="384"/>
      <c r="N500" s="384"/>
      <c r="O500" s="384"/>
      <c r="P500" s="384"/>
      <c r="Q500" s="384"/>
    </row>
    <row r="501">
      <c r="A501" s="396" t="str">
        <f>IFERROR(__xludf.DUMMYFUNCTION("""COMPUTED_VALUE""")," |  | ")</f>
        <v> |  | </v>
      </c>
      <c r="B501" s="396"/>
      <c r="C501" s="384"/>
      <c r="D501" s="384"/>
      <c r="E501" s="384"/>
      <c r="F501" s="384"/>
      <c r="G501" s="384"/>
      <c r="H501" s="384"/>
      <c r="I501" s="384"/>
      <c r="J501" s="384"/>
      <c r="K501" s="384"/>
      <c r="L501" s="384"/>
      <c r="M501" s="384"/>
      <c r="N501" s="384"/>
      <c r="O501" s="384"/>
      <c r="P501" s="384"/>
      <c r="Q501" s="384"/>
    </row>
    <row r="502">
      <c r="A502" s="396" t="str">
        <f>IFERROR(__xludf.DUMMYFUNCTION("""COMPUTED_VALUE"""),"ALUNO | Naturalidade | INÍCIO CURSO")</f>
        <v>ALUNO | Naturalidade | INÍCIO CURSO</v>
      </c>
      <c r="B502" s="396"/>
      <c r="C502" s="384"/>
      <c r="D502" s="384"/>
      <c r="E502" s="384"/>
      <c r="F502" s="384"/>
      <c r="G502" s="384"/>
      <c r="H502" s="384"/>
      <c r="I502" s="384"/>
      <c r="J502" s="384"/>
      <c r="K502" s="384"/>
      <c r="L502" s="384"/>
      <c r="M502" s="384"/>
      <c r="N502" s="384"/>
      <c r="O502" s="384"/>
      <c r="P502" s="384"/>
      <c r="Q502" s="384"/>
    </row>
    <row r="503">
      <c r="A503" s="396" t="str">
        <f>IFERROR(__xludf.DUMMYFUNCTION("""COMPUTED_VALUE"""),"Cirlene Lopes de Lima | CARIDADE DO PIAUÍ/PI | 45141")</f>
        <v>Cirlene Lopes de Lima | CARIDADE DO PIAUÍ/PI | 45141</v>
      </c>
      <c r="B503" s="396"/>
      <c r="C503" s="384"/>
      <c r="D503" s="384"/>
      <c r="E503" s="384"/>
      <c r="F503" s="384"/>
      <c r="G503" s="384"/>
      <c r="H503" s="384"/>
      <c r="I503" s="384"/>
      <c r="J503" s="384"/>
      <c r="K503" s="384"/>
      <c r="L503" s="384"/>
      <c r="M503" s="384"/>
      <c r="N503" s="384"/>
      <c r="O503" s="384"/>
      <c r="P503" s="384"/>
      <c r="Q503" s="384"/>
    </row>
    <row r="504">
      <c r="A504" s="396" t="str">
        <f>IFERROR(__xludf.DUMMYFUNCTION("""COMPUTED_VALUE"""),"Regiane Alves Rodrigues | ITAMARANDIBA-MG | 44998")</f>
        <v>Regiane Alves Rodrigues | ITAMARANDIBA-MG | 44998</v>
      </c>
      <c r="B504" s="396"/>
      <c r="C504" s="384"/>
      <c r="D504" s="384"/>
      <c r="E504" s="384"/>
      <c r="F504" s="384"/>
      <c r="G504" s="384"/>
      <c r="H504" s="384"/>
      <c r="I504" s="384"/>
      <c r="J504" s="384"/>
      <c r="K504" s="384"/>
      <c r="L504" s="384"/>
      <c r="M504" s="384"/>
      <c r="N504" s="384"/>
      <c r="O504" s="384"/>
      <c r="P504" s="384"/>
      <c r="Q504" s="384"/>
    </row>
    <row r="505">
      <c r="A505" s="396" t="str">
        <f>IFERROR(__xludf.DUMMYFUNCTION("""COMPUTED_VALUE"""),"Tatiana Farias Bezerra | Rio de Janeiro - RJ | 45140")</f>
        <v>Tatiana Farias Bezerra | Rio de Janeiro - RJ | 45140</v>
      </c>
      <c r="B505" s="396"/>
      <c r="C505" s="384"/>
      <c r="D505" s="384"/>
      <c r="E505" s="384"/>
      <c r="F505" s="384"/>
      <c r="G505" s="384"/>
      <c r="H505" s="384"/>
      <c r="I505" s="384"/>
      <c r="J505" s="384"/>
      <c r="K505" s="384"/>
      <c r="L505" s="384"/>
      <c r="M505" s="384"/>
      <c r="N505" s="384"/>
      <c r="O505" s="384"/>
      <c r="P505" s="384"/>
      <c r="Q505" s="384"/>
    </row>
    <row r="506">
      <c r="A506" s="396" t="str">
        <f>IFERROR(__xludf.DUMMYFUNCTION("""COMPUTED_VALUE"""),"Ana Lucia Moreto | Sao Mateus - ES | ")</f>
        <v>Ana Lucia Moreto | Sao Mateus - ES | </v>
      </c>
      <c r="B506" s="396"/>
      <c r="C506" s="384"/>
      <c r="D506" s="384"/>
      <c r="E506" s="384"/>
      <c r="F506" s="384"/>
      <c r="G506" s="384"/>
      <c r="H506" s="384"/>
      <c r="I506" s="384"/>
      <c r="J506" s="384"/>
      <c r="K506" s="384"/>
      <c r="L506" s="384"/>
      <c r="M506" s="384"/>
      <c r="N506" s="384"/>
      <c r="O506" s="384"/>
      <c r="P506" s="384"/>
      <c r="Q506" s="384"/>
    </row>
    <row r="507">
      <c r="A507" s="396" t="str">
        <f>IFERROR(__xludf.DUMMYFUNCTION("""COMPUTED_VALUE"""),"Sheila Siqueira Lontra | Rio de Janeiro - RJ | 45497")</f>
        <v>Sheila Siqueira Lontra | Rio de Janeiro - RJ | 45497</v>
      </c>
      <c r="B507" s="396"/>
      <c r="C507" s="384"/>
      <c r="D507" s="384"/>
      <c r="E507" s="384"/>
      <c r="F507" s="384"/>
      <c r="G507" s="384"/>
      <c r="H507" s="384"/>
      <c r="I507" s="384"/>
      <c r="J507" s="384"/>
      <c r="K507" s="384"/>
      <c r="L507" s="384"/>
      <c r="M507" s="384"/>
      <c r="N507" s="384"/>
      <c r="O507" s="384"/>
      <c r="P507" s="384"/>
      <c r="Q507" s="384"/>
    </row>
    <row r="508">
      <c r="A508" s="396" t="str">
        <f>IFERROR(__xludf.DUMMYFUNCTION("""COMPUTED_VALUE"""),"Jéssica Queiróz | Arapuã - PA | 45530")</f>
        <v>Jéssica Queiróz | Arapuã - PA | 45530</v>
      </c>
      <c r="B508" s="396"/>
      <c r="C508" s="384"/>
      <c r="D508" s="384"/>
      <c r="E508" s="384"/>
      <c r="F508" s="384"/>
      <c r="G508" s="384"/>
      <c r="H508" s="384"/>
      <c r="I508" s="384"/>
      <c r="J508" s="384"/>
      <c r="K508" s="384"/>
      <c r="L508" s="384"/>
      <c r="M508" s="384"/>
      <c r="N508" s="384"/>
      <c r="O508" s="384"/>
      <c r="P508" s="384"/>
      <c r="Q508" s="384"/>
    </row>
    <row r="509">
      <c r="A509" s="396" t="str">
        <f>IFERROR(__xludf.DUMMYFUNCTION("""COMPUTED_VALUE"""),"Larissa Maria Costa | Natal - RN | 44335")</f>
        <v>Larissa Maria Costa | Natal - RN | 44335</v>
      </c>
      <c r="B509" s="396"/>
      <c r="C509" s="384"/>
      <c r="D509" s="384"/>
      <c r="E509" s="384"/>
      <c r="F509" s="384"/>
      <c r="G509" s="384"/>
      <c r="H509" s="384"/>
      <c r="I509" s="384"/>
      <c r="J509" s="384"/>
      <c r="K509" s="384"/>
      <c r="L509" s="384"/>
      <c r="M509" s="384"/>
      <c r="N509" s="384"/>
      <c r="O509" s="384"/>
      <c r="P509" s="384"/>
      <c r="Q509" s="384"/>
    </row>
    <row r="510">
      <c r="A510" s="396" t="str">
        <f>IFERROR(__xludf.DUMMYFUNCTION("""COMPUTED_VALUE"""),"Nivaldo da Silva Lima |  | ")</f>
        <v>Nivaldo da Silva Lima |  | </v>
      </c>
      <c r="B510" s="396"/>
      <c r="C510" s="384"/>
      <c r="D510" s="384"/>
      <c r="E510" s="384"/>
      <c r="F510" s="384"/>
      <c r="G510" s="384"/>
      <c r="H510" s="384"/>
      <c r="I510" s="384"/>
      <c r="J510" s="384"/>
      <c r="K510" s="384"/>
      <c r="L510" s="384"/>
      <c r="M510" s="384"/>
      <c r="N510" s="384"/>
      <c r="O510" s="384"/>
      <c r="P510" s="384"/>
      <c r="Q510" s="384"/>
    </row>
    <row r="511">
      <c r="A511" s="396" t="str">
        <f>IFERROR(__xludf.DUMMYFUNCTION("""COMPUTED_VALUE"""),"Antônio Alberto Prata Teodoro | Uberba - MG | 44721")</f>
        <v>Antônio Alberto Prata Teodoro | Uberba - MG | 44721</v>
      </c>
      <c r="B511" s="396"/>
      <c r="C511" s="384"/>
      <c r="D511" s="384"/>
      <c r="E511" s="384"/>
      <c r="F511" s="384"/>
      <c r="G511" s="384"/>
      <c r="H511" s="384"/>
      <c r="I511" s="384"/>
      <c r="J511" s="384"/>
      <c r="K511" s="384"/>
      <c r="L511" s="384"/>
      <c r="M511" s="384"/>
      <c r="N511" s="384"/>
      <c r="O511" s="384"/>
      <c r="P511" s="384"/>
      <c r="Q511" s="384"/>
    </row>
    <row r="512">
      <c r="A512" s="396" t="str">
        <f>IFERROR(__xludf.DUMMYFUNCTION("""COMPUTED_VALUE"""),"Antônio Alberto Prata Teodoro | Uberba - MG | 45493")</f>
        <v>Antônio Alberto Prata Teodoro | Uberba - MG | 45493</v>
      </c>
      <c r="B512" s="396"/>
      <c r="C512" s="384"/>
      <c r="D512" s="384"/>
      <c r="E512" s="384"/>
      <c r="F512" s="384"/>
      <c r="G512" s="384"/>
      <c r="H512" s="384"/>
      <c r="I512" s="384"/>
      <c r="J512" s="384"/>
      <c r="K512" s="384"/>
      <c r="L512" s="384"/>
      <c r="M512" s="384"/>
      <c r="N512" s="384"/>
      <c r="O512" s="384"/>
      <c r="P512" s="384"/>
      <c r="Q512" s="384"/>
    </row>
    <row r="513">
      <c r="A513" s="396" t="str">
        <f>IFERROR(__xludf.DUMMYFUNCTION("""COMPUTED_VALUE"""),"Antônio Alberto Prata Teodoro | Uberba - MG | 45489")</f>
        <v>Antônio Alberto Prata Teodoro | Uberba - MG | 45489</v>
      </c>
      <c r="B513" s="396"/>
      <c r="C513" s="384"/>
      <c r="D513" s="384"/>
      <c r="E513" s="384"/>
      <c r="F513" s="384"/>
      <c r="G513" s="384"/>
      <c r="H513" s="384"/>
      <c r="I513" s="384"/>
      <c r="J513" s="384"/>
      <c r="K513" s="384"/>
      <c r="L513" s="384"/>
      <c r="M513" s="384"/>
      <c r="N513" s="384"/>
      <c r="O513" s="384"/>
      <c r="P513" s="384"/>
      <c r="Q513" s="384"/>
    </row>
    <row r="514">
      <c r="A514" s="396" t="str">
        <f>IFERROR(__xludf.DUMMYFUNCTION("""COMPUTED_VALUE"""),"Franciany de Lima Alves |  | 45503")</f>
        <v>Franciany de Lima Alves |  | 45503</v>
      </c>
      <c r="B514" s="396"/>
      <c r="C514" s="384"/>
      <c r="D514" s="384"/>
      <c r="E514" s="384"/>
      <c r="F514" s="384"/>
      <c r="G514" s="384"/>
      <c r="H514" s="384"/>
      <c r="I514" s="384"/>
      <c r="J514" s="384"/>
      <c r="K514" s="384"/>
      <c r="L514" s="384"/>
      <c r="M514" s="384"/>
      <c r="N514" s="384"/>
      <c r="O514" s="384"/>
      <c r="P514" s="384"/>
      <c r="Q514" s="384"/>
    </row>
    <row r="515">
      <c r="A515" s="396" t="str">
        <f>IFERROR(__xludf.DUMMYFUNCTION("""COMPUTED_VALUE"""),"Eny Andrade | Barra de Sao Francisco - ES | 44874")</f>
        <v>Eny Andrade | Barra de Sao Francisco - ES | 44874</v>
      </c>
      <c r="B515" s="396"/>
      <c r="C515" s="384"/>
      <c r="D515" s="384"/>
      <c r="E515" s="384"/>
      <c r="F515" s="384"/>
      <c r="G515" s="384"/>
      <c r="H515" s="384"/>
      <c r="I515" s="384"/>
      <c r="J515" s="384"/>
      <c r="K515" s="384"/>
      <c r="L515" s="384"/>
      <c r="M515" s="384"/>
      <c r="N515" s="384"/>
      <c r="O515" s="384"/>
      <c r="P515" s="384"/>
      <c r="Q515" s="384"/>
    </row>
    <row r="516">
      <c r="A516" s="396" t="str">
        <f>IFERROR(__xludf.DUMMYFUNCTION("""COMPUTED_VALUE"""),"Johanna Meury Oliveira de Freitas | Assis - AC | 44991")</f>
        <v>Johanna Meury Oliveira de Freitas | Assis - AC | 44991</v>
      </c>
      <c r="B516" s="396"/>
      <c r="C516" s="384"/>
      <c r="D516" s="384"/>
      <c r="E516" s="384"/>
      <c r="F516" s="384"/>
      <c r="G516" s="384"/>
      <c r="H516" s="384"/>
      <c r="I516" s="384"/>
      <c r="J516" s="384"/>
      <c r="K516" s="384"/>
      <c r="L516" s="384"/>
      <c r="M516" s="384"/>
      <c r="N516" s="384"/>
      <c r="O516" s="384"/>
      <c r="P516" s="384"/>
      <c r="Q516" s="384"/>
    </row>
    <row r="517">
      <c r="A517" s="396" t="str">
        <f>IFERROR(__xludf.DUMMYFUNCTION("""COMPUTED_VALUE"""),"Paloma de Campos Alé Pereira | Curitiba - PR | 44362")</f>
        <v>Paloma de Campos Alé Pereira | Curitiba - PR | 44362</v>
      </c>
      <c r="B517" s="396"/>
      <c r="C517" s="384"/>
      <c r="D517" s="384"/>
      <c r="E517" s="384"/>
      <c r="F517" s="384"/>
      <c r="G517" s="384"/>
      <c r="H517" s="384"/>
      <c r="I517" s="384"/>
      <c r="J517" s="384"/>
      <c r="K517" s="384"/>
      <c r="L517" s="384"/>
      <c r="M517" s="384"/>
      <c r="N517" s="384"/>
      <c r="O517" s="384"/>
      <c r="P517" s="384"/>
      <c r="Q517" s="384"/>
    </row>
    <row r="518">
      <c r="A518" s="396" t="str">
        <f>IFERROR(__xludf.DUMMYFUNCTION("""COMPUTED_VALUE"""),"Rodrigo Augusto Alves da Silva |  | 44363")</f>
        <v>Rodrigo Augusto Alves da Silva |  | 44363</v>
      </c>
      <c r="B518" s="396"/>
      <c r="C518" s="384"/>
      <c r="D518" s="384"/>
      <c r="E518" s="384"/>
      <c r="F518" s="384"/>
      <c r="G518" s="384"/>
      <c r="H518" s="384"/>
      <c r="I518" s="384"/>
      <c r="J518" s="384"/>
      <c r="K518" s="384"/>
      <c r="L518" s="384"/>
      <c r="M518" s="384"/>
      <c r="N518" s="384"/>
      <c r="O518" s="384"/>
      <c r="P518" s="384"/>
      <c r="Q518" s="384"/>
    </row>
    <row r="519">
      <c r="A519" s="396" t="str">
        <f>IFERROR(__xludf.DUMMYFUNCTION("""COMPUTED_VALUE"""),"Luiz Henrique Soares Fontes | Itabira - MG | 45240")</f>
        <v>Luiz Henrique Soares Fontes | Itabira - MG | 45240</v>
      </c>
      <c r="B519" s="396"/>
      <c r="C519" s="384"/>
      <c r="D519" s="384"/>
      <c r="E519" s="384"/>
      <c r="F519" s="384"/>
      <c r="G519" s="384"/>
      <c r="H519" s="384"/>
      <c r="I519" s="384"/>
      <c r="J519" s="384"/>
      <c r="K519" s="384"/>
      <c r="L519" s="384"/>
      <c r="M519" s="384"/>
      <c r="N519" s="384"/>
      <c r="O519" s="384"/>
      <c r="P519" s="384"/>
      <c r="Q519" s="384"/>
    </row>
    <row r="520">
      <c r="A520" s="396" t="str">
        <f>IFERROR(__xludf.DUMMYFUNCTION("""COMPUTED_VALUE"""),"Antonio da Silva Paixão |  | 44890")</f>
        <v>Antonio da Silva Paixão |  | 44890</v>
      </c>
      <c r="B520" s="396"/>
      <c r="C520" s="384"/>
      <c r="D520" s="384"/>
      <c r="E520" s="384"/>
      <c r="F520" s="384"/>
      <c r="G520" s="384"/>
      <c r="H520" s="384"/>
      <c r="I520" s="384"/>
      <c r="J520" s="384"/>
      <c r="K520" s="384"/>
      <c r="L520" s="384"/>
      <c r="M520" s="384"/>
      <c r="N520" s="384"/>
      <c r="O520" s="384"/>
      <c r="P520" s="384"/>
      <c r="Q520" s="384"/>
    </row>
    <row r="521">
      <c r="A521" s="396" t="str">
        <f>IFERROR(__xludf.DUMMYFUNCTION("""COMPUTED_VALUE"""),"Sauiny da Silva Bento |  | 45541")</f>
        <v>Sauiny da Silva Bento |  | 45541</v>
      </c>
      <c r="B521" s="396"/>
      <c r="C521" s="384"/>
      <c r="D521" s="384"/>
      <c r="E521" s="384"/>
      <c r="F521" s="384"/>
      <c r="G521" s="384"/>
      <c r="H521" s="384"/>
      <c r="I521" s="384"/>
      <c r="J521" s="384"/>
      <c r="K521" s="384"/>
      <c r="L521" s="384"/>
      <c r="M521" s="384"/>
      <c r="N521" s="384"/>
      <c r="O521" s="384"/>
      <c r="P521" s="384"/>
      <c r="Q521" s="384"/>
    </row>
    <row r="522">
      <c r="A522" s="396" t="str">
        <f>IFERROR(__xludf.DUMMYFUNCTION("""COMPUTED_VALUE"""),"Vinicius Figueiredo Santos | Salvador - BA | 45082")</f>
        <v>Vinicius Figueiredo Santos | Salvador - BA | 45082</v>
      </c>
      <c r="B522" s="396"/>
      <c r="C522" s="384"/>
      <c r="D522" s="384"/>
      <c r="E522" s="384"/>
      <c r="F522" s="384"/>
      <c r="G522" s="384"/>
      <c r="H522" s="384"/>
      <c r="I522" s="384"/>
      <c r="J522" s="384"/>
      <c r="K522" s="384"/>
      <c r="L522" s="384"/>
      <c r="M522" s="384"/>
      <c r="N522" s="384"/>
      <c r="O522" s="384"/>
      <c r="P522" s="384"/>
      <c r="Q522" s="384"/>
    </row>
    <row r="523">
      <c r="A523" s="396" t="str">
        <f>IFERROR(__xludf.DUMMYFUNCTION("""COMPUTED_VALUE"""),"Juazete Soares de Souza | Conselheiro Pena - MG | 45139")</f>
        <v>Juazete Soares de Souza | Conselheiro Pena - MG | 45139</v>
      </c>
      <c r="B523" s="396"/>
      <c r="C523" s="384"/>
      <c r="D523" s="384"/>
      <c r="E523" s="384"/>
      <c r="F523" s="384"/>
      <c r="G523" s="384"/>
      <c r="H523" s="384"/>
      <c r="I523" s="384"/>
      <c r="J523" s="384"/>
      <c r="K523" s="384"/>
      <c r="L523" s="384"/>
      <c r="M523" s="384"/>
      <c r="N523" s="384"/>
      <c r="O523" s="384"/>
      <c r="P523" s="384"/>
      <c r="Q523" s="384"/>
    </row>
    <row r="524">
      <c r="A524" s="396" t="str">
        <f>IFERROR(__xludf.DUMMYFUNCTION("""COMPUTED_VALUE"""),"Valberto Ferreira da Silva | Natuba - PB | ")</f>
        <v>Valberto Ferreira da Silva | Natuba - PB | </v>
      </c>
      <c r="B524" s="396"/>
      <c r="C524" s="384"/>
      <c r="D524" s="384"/>
      <c r="E524" s="384"/>
      <c r="F524" s="384"/>
      <c r="G524" s="384"/>
      <c r="H524" s="384"/>
      <c r="I524" s="384"/>
      <c r="J524" s="384"/>
      <c r="K524" s="384"/>
      <c r="L524" s="384"/>
      <c r="M524" s="384"/>
      <c r="N524" s="384"/>
      <c r="O524" s="384"/>
      <c r="P524" s="384"/>
      <c r="Q524" s="384"/>
    </row>
    <row r="525">
      <c r="A525" s="396" t="str">
        <f>IFERROR(__xludf.DUMMYFUNCTION("""COMPUTED_VALUE"""),"Daniela de Fátima Bontempi |  | ")</f>
        <v>Daniela de Fátima Bontempi |  | </v>
      </c>
      <c r="B525" s="396"/>
      <c r="C525" s="384"/>
      <c r="D525" s="384"/>
      <c r="E525" s="384"/>
      <c r="F525" s="384"/>
      <c r="G525" s="384"/>
      <c r="H525" s="384"/>
      <c r="I525" s="384"/>
      <c r="J525" s="384"/>
      <c r="K525" s="384"/>
      <c r="L525" s="384"/>
      <c r="M525" s="384"/>
      <c r="N525" s="384"/>
      <c r="O525" s="384"/>
      <c r="P525" s="384"/>
      <c r="Q525" s="384"/>
    </row>
    <row r="526">
      <c r="A526" s="396" t="str">
        <f>IFERROR(__xludf.DUMMYFUNCTION("""COMPUTED_VALUE"""),"Tatiana Marcillino Felácio Oliveira | Tubarão - SC | 45280")</f>
        <v>Tatiana Marcillino Felácio Oliveira | Tubarão - SC | 45280</v>
      </c>
      <c r="B526" s="396"/>
      <c r="C526" s="384"/>
      <c r="D526" s="384"/>
      <c r="E526" s="384"/>
      <c r="F526" s="384"/>
      <c r="G526" s="384"/>
      <c r="H526" s="384"/>
      <c r="I526" s="384"/>
      <c r="J526" s="384"/>
      <c r="K526" s="384"/>
      <c r="L526" s="384"/>
      <c r="M526" s="384"/>
      <c r="N526" s="384"/>
      <c r="O526" s="384"/>
      <c r="P526" s="384"/>
      <c r="Q526" s="384"/>
    </row>
    <row r="527">
      <c r="A527" s="396" t="str">
        <f>IFERROR(__xludf.DUMMYFUNCTION("""COMPUTED_VALUE"""),"Antonia Jéssica Dantas Ferreira |  | 44517")</f>
        <v>Antonia Jéssica Dantas Ferreira |  | 44517</v>
      </c>
      <c r="B527" s="396"/>
      <c r="C527" s="384"/>
      <c r="D527" s="384"/>
      <c r="E527" s="384"/>
      <c r="F527" s="384"/>
      <c r="G527" s="384"/>
      <c r="H527" s="384"/>
      <c r="I527" s="384"/>
      <c r="J527" s="384"/>
      <c r="K527" s="384"/>
      <c r="L527" s="384"/>
      <c r="M527" s="384"/>
      <c r="N527" s="384"/>
      <c r="O527" s="384"/>
      <c r="P527" s="384"/>
      <c r="Q527" s="384"/>
    </row>
    <row r="528">
      <c r="A528" s="396" t="str">
        <f>IFERROR(__xludf.DUMMYFUNCTION("""COMPUTED_VALUE"""),"Adilson Nei Menezes da Conceição | ltaboraí - RJ | 45282")</f>
        <v>Adilson Nei Menezes da Conceição | ltaboraí - RJ | 45282</v>
      </c>
      <c r="B528" s="396"/>
      <c r="C528" s="384"/>
      <c r="D528" s="384"/>
      <c r="E528" s="384"/>
      <c r="F528" s="384"/>
      <c r="G528" s="384"/>
      <c r="H528" s="384"/>
      <c r="I528" s="384"/>
      <c r="J528" s="384"/>
      <c r="K528" s="384"/>
      <c r="L528" s="384"/>
      <c r="M528" s="384"/>
      <c r="N528" s="384"/>
      <c r="O528" s="384"/>
      <c r="P528" s="384"/>
      <c r="Q528" s="384"/>
    </row>
    <row r="529">
      <c r="A529" s="396" t="str">
        <f>IFERROR(__xludf.DUMMYFUNCTION("""COMPUTED_VALUE"""),"Andreia Andrade de Araújo |  | 44719")</f>
        <v>Andreia Andrade de Araújo |  | 44719</v>
      </c>
      <c r="B529" s="396"/>
      <c r="C529" s="384"/>
      <c r="D529" s="384"/>
      <c r="E529" s="384"/>
      <c r="F529" s="384"/>
      <c r="G529" s="384"/>
      <c r="H529" s="384"/>
      <c r="I529" s="384"/>
      <c r="J529" s="384"/>
      <c r="K529" s="384"/>
      <c r="L529" s="384"/>
      <c r="M529" s="384"/>
      <c r="N529" s="384"/>
      <c r="O529" s="384"/>
      <c r="P529" s="384"/>
      <c r="Q529" s="384"/>
    </row>
    <row r="530">
      <c r="A530" s="396" t="str">
        <f>IFERROR(__xludf.DUMMYFUNCTION("""COMPUTED_VALUE"""),"Andreia Andrade de Araújo |  | 44719")</f>
        <v>Andreia Andrade de Araújo |  | 44719</v>
      </c>
      <c r="B530" s="396"/>
      <c r="C530" s="384"/>
      <c r="D530" s="384"/>
      <c r="E530" s="384"/>
      <c r="F530" s="384"/>
      <c r="G530" s="384"/>
      <c r="H530" s="384"/>
      <c r="I530" s="384"/>
      <c r="J530" s="384"/>
      <c r="K530" s="384"/>
      <c r="L530" s="384"/>
      <c r="M530" s="384"/>
      <c r="N530" s="384"/>
      <c r="O530" s="384"/>
      <c r="P530" s="384"/>
      <c r="Q530" s="384"/>
    </row>
    <row r="531">
      <c r="A531" s="396" t="str">
        <f>IFERROR(__xludf.DUMMYFUNCTION("""COMPUTED_VALUE"""),"Carlos de Braga e Queiroz | Itajubá - MG | 44694")</f>
        <v>Carlos de Braga e Queiroz | Itajubá - MG | 44694</v>
      </c>
      <c r="B531" s="396"/>
      <c r="C531" s="384"/>
      <c r="D531" s="384"/>
      <c r="E531" s="384"/>
      <c r="F531" s="384"/>
      <c r="G531" s="384"/>
      <c r="H531" s="384"/>
      <c r="I531" s="384"/>
      <c r="J531" s="384"/>
      <c r="K531" s="384"/>
      <c r="L531" s="384"/>
      <c r="M531" s="384"/>
      <c r="N531" s="384"/>
      <c r="O531" s="384"/>
      <c r="P531" s="384"/>
      <c r="Q531" s="384"/>
    </row>
    <row r="532">
      <c r="A532" s="396" t="str">
        <f>IFERROR(__xludf.DUMMYFUNCTION("""COMPUTED_VALUE"""),"Deyze Karla da Silva Laurentino | Limoeiro - PE | 45101")</f>
        <v>Deyze Karla da Silva Laurentino | Limoeiro - PE | 45101</v>
      </c>
      <c r="B532" s="396"/>
      <c r="C532" s="384"/>
      <c r="D532" s="384"/>
      <c r="E532" s="384"/>
      <c r="F532" s="384"/>
      <c r="G532" s="384"/>
      <c r="H532" s="384"/>
      <c r="I532" s="384"/>
      <c r="J532" s="384"/>
      <c r="K532" s="384"/>
      <c r="L532" s="384"/>
      <c r="M532" s="384"/>
      <c r="N532" s="384"/>
      <c r="O532" s="384"/>
      <c r="P532" s="384"/>
      <c r="Q532" s="384"/>
    </row>
    <row r="533">
      <c r="A533" s="396" t="str">
        <f>IFERROR(__xludf.DUMMYFUNCTION("""COMPUTED_VALUE"""),"Janaína Karla Duarte Barbosa | Recife - PE | 44356")</f>
        <v>Janaína Karla Duarte Barbosa | Recife - PE | 44356</v>
      </c>
      <c r="B533" s="396"/>
      <c r="C533" s="384"/>
      <c r="D533" s="384"/>
      <c r="E533" s="384"/>
      <c r="F533" s="384"/>
      <c r="G533" s="384"/>
      <c r="H533" s="384"/>
      <c r="I533" s="384"/>
      <c r="J533" s="384"/>
      <c r="K533" s="384"/>
      <c r="L533" s="384"/>
      <c r="M533" s="384"/>
      <c r="N533" s="384"/>
      <c r="O533" s="384"/>
      <c r="P533" s="384"/>
      <c r="Q533" s="384"/>
    </row>
    <row r="534">
      <c r="A534" s="396" t="str">
        <f>IFERROR(__xludf.DUMMYFUNCTION("""COMPUTED_VALUE"""),"Simone Barbosa Pontes Beltrão |  | ")</f>
        <v>Simone Barbosa Pontes Beltrão |  | </v>
      </c>
      <c r="B534" s="396"/>
      <c r="C534" s="384"/>
      <c r="D534" s="384"/>
      <c r="E534" s="384"/>
      <c r="F534" s="384"/>
      <c r="G534" s="384"/>
      <c r="H534" s="384"/>
      <c r="I534" s="384"/>
      <c r="J534" s="384"/>
      <c r="K534" s="384"/>
      <c r="L534" s="384"/>
      <c r="M534" s="384"/>
      <c r="N534" s="384"/>
      <c r="O534" s="384"/>
      <c r="P534" s="384"/>
      <c r="Q534" s="384"/>
    </row>
    <row r="535">
      <c r="A535" s="396" t="str">
        <f>IFERROR(__xludf.DUMMYFUNCTION("""COMPUTED_VALUE"""),"Jamile Souza Pereira Costa | Alagoinhas - BA | 44449")</f>
        <v>Jamile Souza Pereira Costa | Alagoinhas - BA | 44449</v>
      </c>
      <c r="B535" s="396"/>
      <c r="C535" s="384"/>
      <c r="D535" s="384"/>
      <c r="E535" s="384"/>
      <c r="F535" s="384"/>
      <c r="G535" s="384"/>
      <c r="H535" s="384"/>
      <c r="I535" s="384"/>
      <c r="J535" s="384"/>
      <c r="K535" s="384"/>
      <c r="L535" s="384"/>
      <c r="M535" s="384"/>
      <c r="N535" s="384"/>
      <c r="O535" s="384"/>
      <c r="P535" s="384"/>
      <c r="Q535" s="384"/>
    </row>
    <row r="536">
      <c r="A536" s="396" t="str">
        <f>IFERROR(__xludf.DUMMYFUNCTION("""COMPUTED_VALUE"""),"Jamile Souza Pereira Costa | Alagoinhas - BA | 44449")</f>
        <v>Jamile Souza Pereira Costa | Alagoinhas - BA | 44449</v>
      </c>
      <c r="B536" s="396"/>
      <c r="C536" s="384"/>
      <c r="D536" s="384"/>
      <c r="E536" s="384"/>
      <c r="F536" s="384"/>
      <c r="G536" s="384"/>
      <c r="H536" s="384"/>
      <c r="I536" s="384"/>
      <c r="J536" s="384"/>
      <c r="K536" s="384"/>
      <c r="L536" s="384"/>
      <c r="M536" s="384"/>
      <c r="N536" s="384"/>
      <c r="O536" s="384"/>
      <c r="P536" s="384"/>
      <c r="Q536" s="384"/>
    </row>
    <row r="537">
      <c r="A537" s="396" t="str">
        <f>IFERROR(__xludf.DUMMYFUNCTION("""COMPUTED_VALUE"""),"Nailze Suanne de Almeida Santos |  | 44526")</f>
        <v>Nailze Suanne de Almeida Santos |  | 44526</v>
      </c>
      <c r="B537" s="396"/>
      <c r="C537" s="384"/>
      <c r="D537" s="384"/>
      <c r="E537" s="384"/>
      <c r="F537" s="384"/>
      <c r="G537" s="384"/>
      <c r="H537" s="384"/>
      <c r="I537" s="384"/>
      <c r="J537" s="384"/>
      <c r="K537" s="384"/>
      <c r="L537" s="384"/>
      <c r="M537" s="384"/>
      <c r="N537" s="384"/>
      <c r="O537" s="384"/>
      <c r="P537" s="384"/>
      <c r="Q537" s="384"/>
    </row>
    <row r="538">
      <c r="A538" s="396" t="str">
        <f>IFERROR(__xludf.DUMMYFUNCTION("""COMPUTED_VALUE"""),"Lazara Aparecida Rodrigues |  | 43540")</f>
        <v>Lazara Aparecida Rodrigues |  | 43540</v>
      </c>
      <c r="B538" s="396"/>
      <c r="C538" s="384"/>
      <c r="D538" s="384"/>
      <c r="E538" s="384"/>
      <c r="F538" s="384"/>
      <c r="G538" s="384"/>
      <c r="H538" s="384"/>
      <c r="I538" s="384"/>
      <c r="J538" s="384"/>
      <c r="K538" s="384"/>
      <c r="L538" s="384"/>
      <c r="M538" s="384"/>
      <c r="N538" s="384"/>
      <c r="O538" s="384"/>
      <c r="P538" s="384"/>
      <c r="Q538" s="384"/>
    </row>
    <row r="539">
      <c r="A539" s="396" t="str">
        <f>IFERROR(__xludf.DUMMYFUNCTION("""COMPUTED_VALUE"""),"Marcos André Gomes de Andrade | 29639 | 44756")</f>
        <v>Marcos André Gomes de Andrade | 29639 | 44756</v>
      </c>
      <c r="B539" s="396"/>
      <c r="C539" s="384"/>
      <c r="D539" s="384"/>
      <c r="E539" s="384"/>
      <c r="F539" s="384"/>
      <c r="G539" s="384"/>
      <c r="H539" s="384"/>
      <c r="I539" s="384"/>
      <c r="J539" s="384"/>
      <c r="K539" s="384"/>
      <c r="L539" s="384"/>
      <c r="M539" s="384"/>
      <c r="N539" s="384"/>
      <c r="O539" s="384"/>
      <c r="P539" s="384"/>
      <c r="Q539" s="384"/>
    </row>
    <row r="540">
      <c r="A540" s="396" t="str">
        <f>IFERROR(__xludf.DUMMYFUNCTION("""COMPUTED_VALUE"""),"Érica Arcelino de Macedo |  | 44501")</f>
        <v>Érica Arcelino de Macedo |  | 44501</v>
      </c>
      <c r="B540" s="396"/>
      <c r="C540" s="384"/>
      <c r="D540" s="384"/>
      <c r="E540" s="384"/>
      <c r="F540" s="384"/>
      <c r="G540" s="384"/>
      <c r="H540" s="384"/>
      <c r="I540" s="384"/>
      <c r="J540" s="384"/>
      <c r="K540" s="384"/>
      <c r="L540" s="384"/>
      <c r="M540" s="384"/>
      <c r="N540" s="384"/>
      <c r="O540" s="384"/>
      <c r="P540" s="384"/>
      <c r="Q540" s="384"/>
    </row>
    <row r="541">
      <c r="A541" s="396" t="str">
        <f>IFERROR(__xludf.DUMMYFUNCTION("""COMPUTED_VALUE"""),"Alexandre Lessa Pereira da Silva |  | ")</f>
        <v>Alexandre Lessa Pereira da Silva |  | </v>
      </c>
      <c r="B541" s="396"/>
      <c r="C541" s="384"/>
      <c r="D541" s="384"/>
      <c r="E541" s="384"/>
      <c r="F541" s="384"/>
      <c r="G541" s="384"/>
      <c r="H541" s="384"/>
      <c r="I541" s="384"/>
      <c r="J541" s="384"/>
      <c r="K541" s="384"/>
      <c r="L541" s="384"/>
      <c r="M541" s="384"/>
      <c r="N541" s="384"/>
      <c r="O541" s="384"/>
      <c r="P541" s="384"/>
      <c r="Q541" s="384"/>
    </row>
    <row r="542">
      <c r="A542" s="396" t="str">
        <f>IFERROR(__xludf.DUMMYFUNCTION("""COMPUTED_VALUE"""),"Beatriz Ferreira Santos | Padre Paraiso - MG | 44638")</f>
        <v>Beatriz Ferreira Santos | Padre Paraiso - MG | 44638</v>
      </c>
      <c r="B542" s="396"/>
      <c r="C542" s="384"/>
      <c r="D542" s="384"/>
      <c r="E542" s="384"/>
      <c r="F542" s="384"/>
      <c r="G542" s="384"/>
      <c r="H542" s="384"/>
      <c r="I542" s="384"/>
      <c r="J542" s="384"/>
      <c r="K542" s="384"/>
      <c r="L542" s="384"/>
      <c r="M542" s="384"/>
      <c r="N542" s="384"/>
      <c r="O542" s="384"/>
      <c r="P542" s="384"/>
      <c r="Q542" s="384"/>
    </row>
    <row r="543">
      <c r="A543" s="396" t="str">
        <f>IFERROR(__xludf.DUMMYFUNCTION("""COMPUTED_VALUE"""),"Luana Benaia Lora Matos Hangui | Santana do Araguaia - PA | 44972")</f>
        <v>Luana Benaia Lora Matos Hangui | Santana do Araguaia - PA | 44972</v>
      </c>
      <c r="B543" s="396"/>
      <c r="C543" s="384"/>
      <c r="D543" s="384"/>
      <c r="E543" s="384"/>
      <c r="F543" s="384"/>
      <c r="G543" s="384"/>
      <c r="H543" s="384"/>
      <c r="I543" s="384"/>
      <c r="J543" s="384"/>
      <c r="K543" s="384"/>
      <c r="L543" s="384"/>
      <c r="M543" s="384"/>
      <c r="N543" s="384"/>
      <c r="O543" s="384"/>
      <c r="P543" s="384"/>
      <c r="Q543" s="384"/>
    </row>
    <row r="544">
      <c r="A544" s="396" t="str">
        <f>IFERROR(__xludf.DUMMYFUNCTION("""COMPUTED_VALUE"""),"Elionete Maria Regina Souza Rezende | Brumadinho - MG | 45280")</f>
        <v>Elionete Maria Regina Souza Rezende | Brumadinho - MG | 45280</v>
      </c>
      <c r="B544" s="396"/>
      <c r="C544" s="384"/>
      <c r="D544" s="384"/>
      <c r="E544" s="384"/>
      <c r="F544" s="384"/>
      <c r="G544" s="384"/>
      <c r="H544" s="384"/>
      <c r="I544" s="384"/>
      <c r="J544" s="384"/>
      <c r="K544" s="384"/>
      <c r="L544" s="384"/>
      <c r="M544" s="384"/>
      <c r="N544" s="384"/>
      <c r="O544" s="384"/>
      <c r="P544" s="384"/>
      <c r="Q544" s="384"/>
    </row>
    <row r="545">
      <c r="A545" s="396" t="str">
        <f>IFERROR(__xludf.DUMMYFUNCTION("""COMPUTED_VALUE"""),"Everton Paulo Medeiros Duarte | Iguatu - CE | ")</f>
        <v>Everton Paulo Medeiros Duarte | Iguatu - CE | </v>
      </c>
      <c r="B545" s="396"/>
      <c r="C545" s="384"/>
      <c r="D545" s="384"/>
      <c r="E545" s="384"/>
      <c r="F545" s="384"/>
      <c r="G545" s="384"/>
      <c r="H545" s="384"/>
      <c r="I545" s="384"/>
      <c r="J545" s="384"/>
      <c r="K545" s="384"/>
      <c r="L545" s="384"/>
      <c r="M545" s="384"/>
      <c r="N545" s="384"/>
      <c r="O545" s="384"/>
      <c r="P545" s="384"/>
      <c r="Q545" s="384"/>
    </row>
    <row r="546">
      <c r="A546" s="396" t="str">
        <f>IFERROR(__xludf.DUMMYFUNCTION("""COMPUTED_VALUE"""),"Everton Paulo Medeiros Duarte | Iguatu - CE | ")</f>
        <v>Everton Paulo Medeiros Duarte | Iguatu - CE | </v>
      </c>
      <c r="B546" s="396"/>
      <c r="C546" s="384"/>
      <c r="D546" s="384"/>
      <c r="E546" s="384"/>
      <c r="F546" s="384"/>
      <c r="G546" s="384"/>
      <c r="H546" s="384"/>
      <c r="I546" s="384"/>
      <c r="J546" s="384"/>
      <c r="K546" s="384"/>
      <c r="L546" s="384"/>
      <c r="M546" s="384"/>
      <c r="N546" s="384"/>
      <c r="O546" s="384"/>
      <c r="P546" s="384"/>
      <c r="Q546" s="384"/>
    </row>
    <row r="547">
      <c r="A547" s="396" t="str">
        <f>IFERROR(__xludf.DUMMYFUNCTION("""COMPUTED_VALUE"""),"Everton Paulo Medeiros Duarte | Iguatu - CE | ")</f>
        <v>Everton Paulo Medeiros Duarte | Iguatu - CE | </v>
      </c>
      <c r="B547" s="396"/>
      <c r="C547" s="384"/>
      <c r="D547" s="384"/>
      <c r="E547" s="384"/>
      <c r="F547" s="384"/>
      <c r="G547" s="384"/>
      <c r="H547" s="384"/>
      <c r="I547" s="384"/>
      <c r="J547" s="384"/>
      <c r="K547" s="384"/>
      <c r="L547" s="384"/>
      <c r="M547" s="384"/>
      <c r="N547" s="384"/>
      <c r="O547" s="384"/>
      <c r="P547" s="384"/>
      <c r="Q547" s="384"/>
    </row>
    <row r="548">
      <c r="A548" s="396" t="str">
        <f>IFERROR(__xludf.DUMMYFUNCTION("""COMPUTED_VALUE"""),"Everton Paulo Medeiros Duarte | Iguatu - CE | ")</f>
        <v>Everton Paulo Medeiros Duarte | Iguatu - CE | </v>
      </c>
      <c r="B548" s="396"/>
      <c r="C548" s="384"/>
      <c r="D548" s="384"/>
      <c r="E548" s="384"/>
      <c r="F548" s="384"/>
      <c r="G548" s="384"/>
      <c r="H548" s="384"/>
      <c r="I548" s="384"/>
      <c r="J548" s="384"/>
      <c r="K548" s="384"/>
      <c r="L548" s="384"/>
      <c r="M548" s="384"/>
      <c r="N548" s="384"/>
      <c r="O548" s="384"/>
      <c r="P548" s="384"/>
      <c r="Q548" s="384"/>
    </row>
    <row r="549">
      <c r="A549" s="396" t="str">
        <f>IFERROR(__xludf.DUMMYFUNCTION("""COMPUTED_VALUE"""),"Everton Paulo Medeiros Duarte | Iguatu - CE | ")</f>
        <v>Everton Paulo Medeiros Duarte | Iguatu - CE | </v>
      </c>
      <c r="B549" s="396"/>
      <c r="C549" s="384"/>
      <c r="D549" s="384"/>
      <c r="E549" s="384"/>
      <c r="F549" s="384"/>
      <c r="G549" s="384"/>
      <c r="H549" s="384"/>
      <c r="I549" s="384"/>
      <c r="J549" s="384"/>
      <c r="K549" s="384"/>
      <c r="L549" s="384"/>
      <c r="M549" s="384"/>
      <c r="N549" s="384"/>
      <c r="O549" s="384"/>
      <c r="P549" s="384"/>
      <c r="Q549" s="384"/>
    </row>
    <row r="550">
      <c r="A550" s="396" t="str">
        <f>IFERROR(__xludf.DUMMYFUNCTION("""COMPUTED_VALUE"""),"Julio Cezar de Oliveira Santos | Ilheus - BA | 45026")</f>
        <v>Julio Cezar de Oliveira Santos | Ilheus - BA | 45026</v>
      </c>
      <c r="B550" s="396"/>
      <c r="C550" s="384"/>
      <c r="D550" s="384"/>
      <c r="E550" s="384"/>
      <c r="F550" s="384"/>
      <c r="G550" s="384"/>
      <c r="H550" s="384"/>
      <c r="I550" s="384"/>
      <c r="J550" s="384"/>
      <c r="K550" s="384"/>
      <c r="L550" s="384"/>
      <c r="M550" s="384"/>
      <c r="N550" s="384"/>
      <c r="O550" s="384"/>
      <c r="P550" s="384"/>
      <c r="Q550" s="384"/>
    </row>
    <row r="551">
      <c r="A551" s="396" t="str">
        <f>IFERROR(__xludf.DUMMYFUNCTION("""COMPUTED_VALUE"""),"Rafael Fernandes | São Paulo - SP | 45039")</f>
        <v>Rafael Fernandes | São Paulo - SP | 45039</v>
      </c>
      <c r="B551" s="396"/>
      <c r="C551" s="384"/>
      <c r="D551" s="384"/>
      <c r="E551" s="384"/>
      <c r="F551" s="384"/>
      <c r="G551" s="384"/>
      <c r="H551" s="384"/>
      <c r="I551" s="384"/>
      <c r="J551" s="384"/>
      <c r="K551" s="384"/>
      <c r="L551" s="384"/>
      <c r="M551" s="384"/>
      <c r="N551" s="384"/>
      <c r="O551" s="384"/>
      <c r="P551" s="384"/>
      <c r="Q551" s="384"/>
    </row>
    <row r="552">
      <c r="A552" s="396" t="str">
        <f>IFERROR(__xludf.DUMMYFUNCTION("""COMPUTED_VALUE"""),"Geanderson da Silva |  | 44627")</f>
        <v>Geanderson da Silva |  | 44627</v>
      </c>
      <c r="B552" s="396"/>
      <c r="C552" s="384"/>
      <c r="D552" s="384"/>
      <c r="E552" s="384"/>
      <c r="F552" s="384"/>
      <c r="G552" s="384"/>
      <c r="H552" s="384"/>
      <c r="I552" s="384"/>
      <c r="J552" s="384"/>
      <c r="K552" s="384"/>
      <c r="L552" s="384"/>
      <c r="M552" s="384"/>
      <c r="N552" s="384"/>
      <c r="O552" s="384"/>
      <c r="P552" s="384"/>
      <c r="Q552" s="384"/>
    </row>
    <row r="553">
      <c r="A553" s="396" t="str">
        <f>IFERROR(__xludf.DUMMYFUNCTION("""COMPUTED_VALUE"""),"André Alves Senhorinho |  | 45544")</f>
        <v>André Alves Senhorinho |  | 45544</v>
      </c>
      <c r="B553" s="396"/>
      <c r="C553" s="384"/>
      <c r="D553" s="384"/>
      <c r="E553" s="384"/>
      <c r="F553" s="384"/>
      <c r="G553" s="384"/>
      <c r="H553" s="384"/>
      <c r="I553" s="384"/>
      <c r="J553" s="384"/>
      <c r="K553" s="384"/>
      <c r="L553" s="384"/>
      <c r="M553" s="384"/>
      <c r="N553" s="384"/>
      <c r="O553" s="384"/>
      <c r="P553" s="384"/>
      <c r="Q553" s="384"/>
    </row>
    <row r="554">
      <c r="A554" s="396" t="str">
        <f>IFERROR(__xludf.DUMMYFUNCTION("""COMPUTED_VALUE"""),"Nathan Cruz Pireth dos Santos |  | 45260")</f>
        <v>Nathan Cruz Pireth dos Santos |  | 45260</v>
      </c>
      <c r="B554" s="396"/>
      <c r="C554" s="384"/>
      <c r="D554" s="384"/>
      <c r="E554" s="384"/>
      <c r="F554" s="384"/>
      <c r="G554" s="384"/>
      <c r="H554" s="384"/>
      <c r="I554" s="384"/>
      <c r="J554" s="384"/>
      <c r="K554" s="384"/>
      <c r="L554" s="384"/>
      <c r="M554" s="384"/>
      <c r="N554" s="384"/>
      <c r="O554" s="384"/>
      <c r="P554" s="384"/>
      <c r="Q554" s="384"/>
    </row>
    <row r="555">
      <c r="A555" s="396" t="str">
        <f>IFERROR(__xludf.DUMMYFUNCTION("""COMPUTED_VALUE"""),"Nathan Cruz Pireth dos Santos | Goiatuba - GO | 45117")</f>
        <v>Nathan Cruz Pireth dos Santos | Goiatuba - GO | 45117</v>
      </c>
      <c r="B555" s="396"/>
      <c r="C555" s="384"/>
      <c r="D555" s="384"/>
      <c r="E555" s="384"/>
      <c r="F555" s="384"/>
      <c r="G555" s="384"/>
      <c r="H555" s="384"/>
      <c r="I555" s="384"/>
      <c r="J555" s="384"/>
      <c r="K555" s="384"/>
      <c r="L555" s="384"/>
      <c r="M555" s="384"/>
      <c r="N555" s="384"/>
      <c r="O555" s="384"/>
      <c r="P555" s="384"/>
      <c r="Q555" s="384"/>
    </row>
    <row r="556">
      <c r="A556" s="396" t="str">
        <f>IFERROR(__xludf.DUMMYFUNCTION("""COMPUTED_VALUE"""),"Thaisa Alice Portela da Silva | Caruaru - PE | 44529")</f>
        <v>Thaisa Alice Portela da Silva | Caruaru - PE | 44529</v>
      </c>
      <c r="B556" s="396"/>
      <c r="C556" s="384"/>
      <c r="D556" s="384"/>
      <c r="E556" s="384"/>
      <c r="F556" s="384"/>
      <c r="G556" s="384"/>
      <c r="H556" s="384"/>
      <c r="I556" s="384"/>
      <c r="J556" s="384"/>
      <c r="K556" s="384"/>
      <c r="L556" s="384"/>
      <c r="M556" s="384"/>
      <c r="N556" s="384"/>
      <c r="O556" s="384"/>
      <c r="P556" s="384"/>
      <c r="Q556" s="384"/>
    </row>
    <row r="557">
      <c r="A557" s="396" t="str">
        <f>IFERROR(__xludf.DUMMYFUNCTION("""COMPUTED_VALUE"""),"Thainara Ribeiro dos Santos | Goiânia - GO | 45456")</f>
        <v>Thainara Ribeiro dos Santos | Goiânia - GO | 45456</v>
      </c>
      <c r="B557" s="396"/>
      <c r="C557" s="384"/>
      <c r="D557" s="384"/>
      <c r="E557" s="384"/>
      <c r="F557" s="384"/>
      <c r="G557" s="384"/>
      <c r="H557" s="384"/>
      <c r="I557" s="384"/>
      <c r="J557" s="384"/>
      <c r="K557" s="384"/>
      <c r="L557" s="384"/>
      <c r="M557" s="384"/>
      <c r="N557" s="384"/>
      <c r="O557" s="384"/>
      <c r="P557" s="384"/>
      <c r="Q557" s="384"/>
    </row>
    <row r="558">
      <c r="A558" s="396" t="str">
        <f>IFERROR(__xludf.DUMMYFUNCTION("""COMPUTED_VALUE"""),"Thainara Ribeiro dos Santos | Goiânia - GO | 45456")</f>
        <v>Thainara Ribeiro dos Santos | Goiânia - GO | 45456</v>
      </c>
      <c r="B558" s="396"/>
      <c r="C558" s="384"/>
      <c r="D558" s="384"/>
      <c r="E558" s="384"/>
      <c r="F558" s="384"/>
      <c r="G558" s="384"/>
      <c r="H558" s="384"/>
      <c r="I558" s="384"/>
      <c r="J558" s="384"/>
      <c r="K558" s="384"/>
      <c r="L558" s="384"/>
      <c r="M558" s="384"/>
      <c r="N558" s="384"/>
      <c r="O558" s="384"/>
      <c r="P558" s="384"/>
      <c r="Q558" s="384"/>
    </row>
    <row r="559">
      <c r="A559" s="396" t="str">
        <f>IFERROR(__xludf.DUMMYFUNCTION("""COMPUTED_VALUE"""),"Bruno Dias de Freitas |  | ")</f>
        <v>Bruno Dias de Freitas |  | </v>
      </c>
      <c r="B559" s="396"/>
      <c r="C559" s="384"/>
      <c r="D559" s="384"/>
      <c r="E559" s="384"/>
      <c r="F559" s="384"/>
      <c r="G559" s="384"/>
      <c r="H559" s="384"/>
      <c r="I559" s="384"/>
      <c r="J559" s="384"/>
      <c r="K559" s="384"/>
      <c r="L559" s="384"/>
      <c r="M559" s="384"/>
      <c r="N559" s="384"/>
      <c r="O559" s="384"/>
      <c r="P559" s="384"/>
      <c r="Q559" s="384"/>
    </row>
    <row r="560">
      <c r="A560" s="396" t="str">
        <f>IFERROR(__xludf.DUMMYFUNCTION("""COMPUTED_VALUE"""),"Aislan da Silva Magalhães | Rio Branco - AC | 45559")</f>
        <v>Aislan da Silva Magalhães | Rio Branco - AC | 45559</v>
      </c>
      <c r="B560" s="396"/>
      <c r="C560" s="384"/>
      <c r="D560" s="384"/>
      <c r="E560" s="384"/>
      <c r="F560" s="384"/>
      <c r="G560" s="384"/>
      <c r="H560" s="384"/>
      <c r="I560" s="384"/>
      <c r="J560" s="384"/>
      <c r="K560" s="384"/>
      <c r="L560" s="384"/>
      <c r="M560" s="384"/>
      <c r="N560" s="384"/>
      <c r="O560" s="384"/>
      <c r="P560" s="384"/>
      <c r="Q560" s="384"/>
    </row>
    <row r="561">
      <c r="A561" s="396" t="str">
        <f>IFERROR(__xludf.DUMMYFUNCTION("""COMPUTED_VALUE"""),"Fabiani da Costa Cruz |  | 45184")</f>
        <v>Fabiani da Costa Cruz |  | 45184</v>
      </c>
      <c r="B561" s="396"/>
      <c r="C561" s="384"/>
      <c r="D561" s="384"/>
      <c r="E561" s="384"/>
      <c r="F561" s="384"/>
      <c r="G561" s="384"/>
      <c r="H561" s="384"/>
      <c r="I561" s="384"/>
      <c r="J561" s="384"/>
      <c r="K561" s="384"/>
      <c r="L561" s="384"/>
      <c r="M561" s="384"/>
      <c r="N561" s="384"/>
      <c r="O561" s="384"/>
      <c r="P561" s="384"/>
      <c r="Q561" s="384"/>
    </row>
    <row r="562">
      <c r="A562" s="396" t="str">
        <f>IFERROR(__xludf.DUMMYFUNCTION("""COMPUTED_VALUE"""),"Helaine Clemilda Cardenetti da Silva | São Paulo - SP | 45317")</f>
        <v>Helaine Clemilda Cardenetti da Silva | São Paulo - SP | 45317</v>
      </c>
      <c r="B562" s="396"/>
      <c r="C562" s="384"/>
      <c r="D562" s="384"/>
      <c r="E562" s="384"/>
      <c r="F562" s="384"/>
      <c r="G562" s="384"/>
      <c r="H562" s="384"/>
      <c r="I562" s="384"/>
      <c r="J562" s="384"/>
      <c r="K562" s="384"/>
      <c r="L562" s="384"/>
      <c r="M562" s="384"/>
      <c r="N562" s="384"/>
      <c r="O562" s="384"/>
      <c r="P562" s="384"/>
      <c r="Q562" s="384"/>
    </row>
    <row r="563">
      <c r="A563" s="396" t="str">
        <f>IFERROR(__xludf.DUMMYFUNCTION("""COMPUTED_VALUE"""),"Bianca Maria Rocha Guerra |  | ")</f>
        <v>Bianca Maria Rocha Guerra |  | </v>
      </c>
      <c r="B563" s="396"/>
      <c r="C563" s="384"/>
      <c r="D563" s="384"/>
      <c r="E563" s="384"/>
      <c r="F563" s="384"/>
      <c r="G563" s="384"/>
      <c r="H563" s="384"/>
      <c r="I563" s="384"/>
      <c r="J563" s="384"/>
      <c r="K563" s="384"/>
      <c r="L563" s="384"/>
      <c r="M563" s="384"/>
      <c r="N563" s="384"/>
      <c r="O563" s="384"/>
      <c r="P563" s="384"/>
      <c r="Q563" s="384"/>
    </row>
    <row r="564">
      <c r="A564" s="396" t="str">
        <f>IFERROR(__xludf.DUMMYFUNCTION("""COMPUTED_VALUE"""),"Gersiane Gama da Silva | Senhor do Bonfim - BA | 44448")</f>
        <v>Gersiane Gama da Silva | Senhor do Bonfim - BA | 44448</v>
      </c>
      <c r="B564" s="396"/>
      <c r="C564" s="384"/>
      <c r="D564" s="384"/>
      <c r="E564" s="384"/>
      <c r="F564" s="384"/>
      <c r="G564" s="384"/>
      <c r="H564" s="384"/>
      <c r="I564" s="384"/>
      <c r="J564" s="384"/>
      <c r="K564" s="384"/>
      <c r="L564" s="384"/>
      <c r="M564" s="384"/>
      <c r="N564" s="384"/>
      <c r="O564" s="384"/>
      <c r="P564" s="384"/>
      <c r="Q564" s="384"/>
    </row>
    <row r="565">
      <c r="A565" s="396" t="str">
        <f>IFERROR(__xludf.DUMMYFUNCTION("""COMPUTED_VALUE"""),"Luciano Machado da Silva | Guaíba - RS | 45104")</f>
        <v>Luciano Machado da Silva | Guaíba - RS | 45104</v>
      </c>
      <c r="B565" s="396"/>
      <c r="C565" s="384"/>
      <c r="D565" s="384"/>
      <c r="E565" s="384"/>
      <c r="F565" s="384"/>
      <c r="G565" s="384"/>
      <c r="H565" s="384"/>
      <c r="I565" s="384"/>
      <c r="J565" s="384"/>
      <c r="K565" s="384"/>
      <c r="L565" s="384"/>
      <c r="M565" s="384"/>
      <c r="N565" s="384"/>
      <c r="O565" s="384"/>
      <c r="P565" s="384"/>
      <c r="Q565" s="384"/>
    </row>
    <row r="566">
      <c r="A566" s="396" t="str">
        <f>IFERROR(__xludf.DUMMYFUNCTION("""COMPUTED_VALUE"""),"Wallyson Klleuver Silva dos Santos |  | 45173")</f>
        <v>Wallyson Klleuver Silva dos Santos |  | 45173</v>
      </c>
      <c r="B566" s="396"/>
      <c r="C566" s="384"/>
      <c r="D566" s="384"/>
      <c r="E566" s="384"/>
      <c r="F566" s="384"/>
      <c r="G566" s="384"/>
      <c r="H566" s="384"/>
      <c r="I566" s="384"/>
      <c r="J566" s="384"/>
      <c r="K566" s="384"/>
      <c r="L566" s="384"/>
      <c r="M566" s="384"/>
      <c r="N566" s="384"/>
      <c r="O566" s="384"/>
      <c r="P566" s="384"/>
      <c r="Q566" s="384"/>
    </row>
    <row r="567">
      <c r="A567" s="396" t="str">
        <f>IFERROR(__xludf.DUMMYFUNCTION("""COMPUTED_VALUE"""),"MARIA DA GLÓRIA RABELO |  | 44966")</f>
        <v>MARIA DA GLÓRIA RABELO |  | 44966</v>
      </c>
      <c r="B567" s="396"/>
      <c r="C567" s="384"/>
      <c r="D567" s="384"/>
      <c r="E567" s="384"/>
      <c r="F567" s="384"/>
      <c r="G567" s="384"/>
      <c r="H567" s="384"/>
      <c r="I567" s="384"/>
      <c r="J567" s="384"/>
      <c r="K567" s="384"/>
      <c r="L567" s="384"/>
      <c r="M567" s="384"/>
      <c r="N567" s="384"/>
      <c r="O567" s="384"/>
      <c r="P567" s="384"/>
      <c r="Q567" s="384"/>
    </row>
    <row r="568">
      <c r="A568" s="396" t="str">
        <f>IFERROR(__xludf.DUMMYFUNCTION("""COMPUTED_VALUE"""),"Diego Rodrigues de Oliveira | São Gonçalo - RJ | 44986")</f>
        <v>Diego Rodrigues de Oliveira | São Gonçalo - RJ | 44986</v>
      </c>
      <c r="B568" s="396"/>
      <c r="C568" s="384"/>
      <c r="D568" s="384"/>
      <c r="E568" s="384"/>
      <c r="F568" s="384"/>
      <c r="G568" s="384"/>
      <c r="H568" s="384"/>
      <c r="I568" s="384"/>
      <c r="J568" s="384"/>
      <c r="K568" s="384"/>
      <c r="L568" s="384"/>
      <c r="M568" s="384"/>
      <c r="N568" s="384"/>
      <c r="O568" s="384"/>
      <c r="P568" s="384"/>
      <c r="Q568" s="384"/>
    </row>
    <row r="569">
      <c r="A569" s="396" t="str">
        <f>IFERROR(__xludf.DUMMYFUNCTION("""COMPUTED_VALUE"""),"Paulo Lourenço Filho | São Paulo - SP | 45547")</f>
        <v>Paulo Lourenço Filho | São Paulo - SP | 45547</v>
      </c>
      <c r="B569" s="396"/>
      <c r="C569" s="384"/>
      <c r="D569" s="384"/>
      <c r="E569" s="384"/>
      <c r="F569" s="384"/>
      <c r="G569" s="384"/>
      <c r="H569" s="384"/>
      <c r="I569" s="384"/>
      <c r="J569" s="384"/>
      <c r="K569" s="384"/>
      <c r="L569" s="384"/>
      <c r="M569" s="384"/>
      <c r="N569" s="384"/>
      <c r="O569" s="384"/>
      <c r="P569" s="384"/>
      <c r="Q569" s="384"/>
    </row>
    <row r="570">
      <c r="A570" s="396" t="str">
        <f>IFERROR(__xludf.DUMMYFUNCTION("""COMPUTED_VALUE"""),"Edmilson Barbosa Silvano | Rio de Janeiro - RJ | 45327")</f>
        <v>Edmilson Barbosa Silvano | Rio de Janeiro - RJ | 45327</v>
      </c>
      <c r="B570" s="396"/>
      <c r="C570" s="384"/>
      <c r="D570" s="384"/>
      <c r="E570" s="384"/>
      <c r="F570" s="384"/>
      <c r="G570" s="384"/>
      <c r="H570" s="384"/>
      <c r="I570" s="384"/>
      <c r="J570" s="384"/>
      <c r="K570" s="384"/>
      <c r="L570" s="384"/>
      <c r="M570" s="384"/>
      <c r="N570" s="384"/>
      <c r="O570" s="384"/>
      <c r="P570" s="384"/>
      <c r="Q570" s="384"/>
    </row>
    <row r="571">
      <c r="A571" s="396" t="str">
        <f>IFERROR(__xludf.DUMMYFUNCTION("""COMPUTED_VALUE"""),"Elisiane Andrade Lima |  | ")</f>
        <v>Elisiane Andrade Lima |  | </v>
      </c>
      <c r="B571" s="396"/>
      <c r="C571" s="384"/>
      <c r="D571" s="384"/>
      <c r="E571" s="384"/>
      <c r="F571" s="384"/>
      <c r="G571" s="384"/>
      <c r="H571" s="384"/>
      <c r="I571" s="384"/>
      <c r="J571" s="384"/>
      <c r="K571" s="384"/>
      <c r="L571" s="384"/>
      <c r="M571" s="384"/>
      <c r="N571" s="384"/>
      <c r="O571" s="384"/>
      <c r="P571" s="384"/>
      <c r="Q571" s="384"/>
    </row>
    <row r="572">
      <c r="A572" s="396" t="str">
        <f>IFERROR(__xludf.DUMMYFUNCTION("""COMPUTED_VALUE"""),"Alessandra Silva Gurgel | Fortaleza - CE | 44863")</f>
        <v>Alessandra Silva Gurgel | Fortaleza - CE | 44863</v>
      </c>
      <c r="B572" s="396"/>
      <c r="C572" s="384"/>
      <c r="D572" s="384"/>
      <c r="E572" s="384"/>
      <c r="F572" s="384"/>
      <c r="G572" s="384"/>
      <c r="H572" s="384"/>
      <c r="I572" s="384"/>
      <c r="J572" s="384"/>
      <c r="K572" s="384"/>
      <c r="L572" s="384"/>
      <c r="M572" s="384"/>
      <c r="N572" s="384"/>
      <c r="O572" s="384"/>
      <c r="P572" s="384"/>
      <c r="Q572" s="384"/>
    </row>
    <row r="573">
      <c r="A573" s="396" t="str">
        <f>IFERROR(__xludf.DUMMYFUNCTION("""COMPUTED_VALUE"""),"Carlos Eduardo Martins dos Santos |  | 44865")</f>
        <v>Carlos Eduardo Martins dos Santos |  | 44865</v>
      </c>
      <c r="B573" s="396"/>
      <c r="C573" s="384"/>
      <c r="D573" s="384"/>
      <c r="E573" s="384"/>
      <c r="F573" s="384"/>
      <c r="G573" s="384"/>
      <c r="H573" s="384"/>
      <c r="I573" s="384"/>
      <c r="J573" s="384"/>
      <c r="K573" s="384"/>
      <c r="L573" s="384"/>
      <c r="M573" s="384"/>
      <c r="N573" s="384"/>
      <c r="O573" s="384"/>
      <c r="P573" s="384"/>
      <c r="Q573" s="384"/>
    </row>
    <row r="574">
      <c r="A574" s="396" t="str">
        <f>IFERROR(__xludf.DUMMYFUNCTION("""COMPUTED_VALUE"""),"Letícia Trambini Corrêa | Mococa - SP | 45050")</f>
        <v>Letícia Trambini Corrêa | Mococa - SP | 45050</v>
      </c>
      <c r="B574" s="396"/>
      <c r="C574" s="384"/>
      <c r="D574" s="384"/>
      <c r="E574" s="384"/>
      <c r="F574" s="384"/>
      <c r="G574" s="384"/>
      <c r="H574" s="384"/>
      <c r="I574" s="384"/>
      <c r="J574" s="384"/>
      <c r="K574" s="384"/>
      <c r="L574" s="384"/>
      <c r="M574" s="384"/>
      <c r="N574" s="384"/>
      <c r="O574" s="384"/>
      <c r="P574" s="384"/>
      <c r="Q574" s="384"/>
    </row>
    <row r="575">
      <c r="A575" s="396" t="str">
        <f>IFERROR(__xludf.DUMMYFUNCTION("""COMPUTED_VALUE"""),"Letícia Trambini Corrêa | Mococa - SP | 44699")</f>
        <v>Letícia Trambini Corrêa | Mococa - SP | 44699</v>
      </c>
      <c r="B575" s="396"/>
      <c r="C575" s="384"/>
      <c r="D575" s="384"/>
      <c r="E575" s="384"/>
      <c r="F575" s="384"/>
      <c r="G575" s="384"/>
      <c r="H575" s="384"/>
      <c r="I575" s="384"/>
      <c r="J575" s="384"/>
      <c r="K575" s="384"/>
      <c r="L575" s="384"/>
      <c r="M575" s="384"/>
      <c r="N575" s="384"/>
      <c r="O575" s="384"/>
      <c r="P575" s="384"/>
      <c r="Q575" s="384"/>
    </row>
    <row r="576">
      <c r="A576" s="396" t="str">
        <f>IFERROR(__xludf.DUMMYFUNCTION("""COMPUTED_VALUE"""),"Adriana Sant'Ana das Neves | Nova Iguacu - RJ | 44630")</f>
        <v>Adriana Sant'Ana das Neves | Nova Iguacu - RJ | 44630</v>
      </c>
      <c r="B576" s="396"/>
      <c r="C576" s="384"/>
      <c r="D576" s="384"/>
      <c r="E576" s="384"/>
      <c r="F576" s="384"/>
      <c r="G576" s="384"/>
      <c r="H576" s="384"/>
      <c r="I576" s="384"/>
      <c r="J576" s="384"/>
      <c r="K576" s="384"/>
      <c r="L576" s="384"/>
      <c r="M576" s="384"/>
      <c r="N576" s="384"/>
      <c r="O576" s="384"/>
      <c r="P576" s="384"/>
      <c r="Q576" s="384"/>
    </row>
    <row r="577">
      <c r="A577" s="396" t="str">
        <f>IFERROR(__xludf.DUMMYFUNCTION("""COMPUTED_VALUE"""),"Fabio José Reis da Silva | Santos - SP | 45544")</f>
        <v>Fabio José Reis da Silva | Santos - SP | 45544</v>
      </c>
      <c r="B577" s="396"/>
      <c r="C577" s="384"/>
      <c r="D577" s="384"/>
      <c r="E577" s="384"/>
      <c r="F577" s="384"/>
      <c r="G577" s="384"/>
      <c r="H577" s="384"/>
      <c r="I577" s="384"/>
      <c r="J577" s="384"/>
      <c r="K577" s="384"/>
      <c r="L577" s="384"/>
      <c r="M577" s="384"/>
      <c r="N577" s="384"/>
      <c r="O577" s="384"/>
      <c r="P577" s="384"/>
      <c r="Q577" s="384"/>
    </row>
    <row r="578">
      <c r="A578" s="396" t="str">
        <f>IFERROR(__xludf.DUMMYFUNCTION("""COMPUTED_VALUE"""),"Cleini Fernandes Matos Cortes | Montanha - ES | 44826")</f>
        <v>Cleini Fernandes Matos Cortes | Montanha - ES | 44826</v>
      </c>
      <c r="B578" s="396"/>
      <c r="C578" s="384"/>
      <c r="D578" s="384"/>
      <c r="E578" s="384"/>
      <c r="F578" s="384"/>
      <c r="G578" s="384"/>
      <c r="H578" s="384"/>
      <c r="I578" s="384"/>
      <c r="J578" s="384"/>
      <c r="K578" s="384"/>
      <c r="L578" s="384"/>
      <c r="M578" s="384"/>
      <c r="N578" s="384"/>
      <c r="O578" s="384"/>
      <c r="P578" s="384"/>
      <c r="Q578" s="384"/>
    </row>
    <row r="579">
      <c r="A579" s="396" t="str">
        <f>IFERROR(__xludf.DUMMYFUNCTION("""COMPUTED_VALUE"""),"Maria José de Paula Ribeiro |  | 45089")</f>
        <v>Maria José de Paula Ribeiro |  | 45089</v>
      </c>
      <c r="B579" s="396"/>
      <c r="C579" s="384"/>
      <c r="D579" s="384"/>
      <c r="E579" s="384"/>
      <c r="F579" s="384"/>
      <c r="G579" s="384"/>
      <c r="H579" s="384"/>
      <c r="I579" s="384"/>
      <c r="J579" s="384"/>
      <c r="K579" s="384"/>
      <c r="L579" s="384"/>
      <c r="M579" s="384"/>
      <c r="N579" s="384"/>
      <c r="O579" s="384"/>
      <c r="P579" s="384"/>
      <c r="Q579" s="384"/>
    </row>
    <row r="580">
      <c r="A580" s="396" t="str">
        <f>IFERROR(__xludf.DUMMYFUNCTION("""COMPUTED_VALUE"""),"Maria José de Paula Ribeiro |  | 45089")</f>
        <v>Maria José de Paula Ribeiro |  | 45089</v>
      </c>
      <c r="B580" s="396"/>
      <c r="C580" s="384"/>
      <c r="D580" s="384"/>
      <c r="E580" s="384"/>
      <c r="F580" s="384"/>
      <c r="G580" s="384"/>
      <c r="H580" s="384"/>
      <c r="I580" s="384"/>
      <c r="J580" s="384"/>
      <c r="K580" s="384"/>
      <c r="L580" s="384"/>
      <c r="M580" s="384"/>
      <c r="N580" s="384"/>
      <c r="O580" s="384"/>
      <c r="P580" s="384"/>
      <c r="Q580" s="384"/>
    </row>
    <row r="581">
      <c r="A581" s="396" t="str">
        <f>IFERROR(__xludf.DUMMYFUNCTION("""COMPUTED_VALUE"""),"José Carlos da Silva |  | 44560")</f>
        <v>José Carlos da Silva |  | 44560</v>
      </c>
      <c r="B581" s="396"/>
      <c r="C581" s="384"/>
      <c r="D581" s="384"/>
      <c r="E581" s="384"/>
      <c r="F581" s="384"/>
      <c r="G581" s="384"/>
      <c r="H581" s="384"/>
      <c r="I581" s="384"/>
      <c r="J581" s="384"/>
      <c r="K581" s="384"/>
      <c r="L581" s="384"/>
      <c r="M581" s="384"/>
      <c r="N581" s="384"/>
      <c r="O581" s="384"/>
      <c r="P581" s="384"/>
      <c r="Q581" s="384"/>
    </row>
    <row r="582">
      <c r="A582" s="396" t="str">
        <f>IFERROR(__xludf.DUMMYFUNCTION("""COMPUTED_VALUE"""),"Lisandra de Oliveira Santana | 31448 | 44298")</f>
        <v>Lisandra de Oliveira Santana | 31448 | 44298</v>
      </c>
      <c r="B582" s="396"/>
      <c r="C582" s="384"/>
      <c r="D582" s="384"/>
      <c r="E582" s="384"/>
      <c r="F582" s="384"/>
      <c r="G582" s="384"/>
      <c r="H582" s="384"/>
      <c r="I582" s="384"/>
      <c r="J582" s="384"/>
      <c r="K582" s="384"/>
      <c r="L582" s="384"/>
      <c r="M582" s="384"/>
      <c r="N582" s="384"/>
      <c r="O582" s="384"/>
      <c r="P582" s="384"/>
      <c r="Q582" s="384"/>
    </row>
    <row r="583">
      <c r="A583" s="396" t="str">
        <f>IFERROR(__xludf.DUMMYFUNCTION("""COMPUTED_VALUE"""),"Hugo Alexandre da Silva Resende |  | 44656")</f>
        <v>Hugo Alexandre da Silva Resende |  | 44656</v>
      </c>
      <c r="B583" s="396"/>
      <c r="C583" s="384"/>
      <c r="D583" s="384"/>
      <c r="E583" s="384"/>
      <c r="F583" s="384"/>
      <c r="G583" s="384"/>
      <c r="H583" s="384"/>
      <c r="I583" s="384"/>
      <c r="J583" s="384"/>
      <c r="K583" s="384"/>
      <c r="L583" s="384"/>
      <c r="M583" s="384"/>
      <c r="N583" s="384"/>
      <c r="O583" s="384"/>
      <c r="P583" s="384"/>
      <c r="Q583" s="384"/>
    </row>
    <row r="584">
      <c r="A584" s="396" t="str">
        <f>IFERROR(__xludf.DUMMYFUNCTION("""COMPUTED_VALUE"""),"Élcio Alves da Silva |  | 06/06/2023,")</f>
        <v>Élcio Alves da Silva |  | 06/06/2023,</v>
      </c>
      <c r="B584" s="396"/>
      <c r="C584" s="384"/>
      <c r="D584" s="384"/>
      <c r="E584" s="384"/>
      <c r="F584" s="384"/>
      <c r="G584" s="384"/>
      <c r="H584" s="384"/>
      <c r="I584" s="384"/>
      <c r="J584" s="384"/>
      <c r="K584" s="384"/>
      <c r="L584" s="384"/>
      <c r="M584" s="384"/>
      <c r="N584" s="384"/>
      <c r="O584" s="384"/>
      <c r="P584" s="384"/>
      <c r="Q584" s="384"/>
    </row>
    <row r="585">
      <c r="A585" s="396" t="str">
        <f>IFERROR(__xludf.DUMMYFUNCTION("""COMPUTED_VALUE"""),"Rosa Maria Cavalcanti Brito |  | 44320")</f>
        <v>Rosa Maria Cavalcanti Brito |  | 44320</v>
      </c>
      <c r="B585" s="396"/>
      <c r="C585" s="384"/>
      <c r="D585" s="384"/>
      <c r="E585" s="384"/>
      <c r="F585" s="384"/>
      <c r="G585" s="384"/>
      <c r="H585" s="384"/>
      <c r="I585" s="384"/>
      <c r="J585" s="384"/>
      <c r="K585" s="384"/>
      <c r="L585" s="384"/>
      <c r="M585" s="384"/>
      <c r="N585" s="384"/>
      <c r="O585" s="384"/>
      <c r="P585" s="384"/>
      <c r="Q585" s="384"/>
    </row>
    <row r="586">
      <c r="A586" s="396" t="str">
        <f>IFERROR(__xludf.DUMMYFUNCTION("""COMPUTED_VALUE"""),"Rejane Inês da Silva |  | 44872")</f>
        <v>Rejane Inês da Silva |  | 44872</v>
      </c>
      <c r="B586" s="396"/>
      <c r="C586" s="384"/>
      <c r="D586" s="384"/>
      <c r="E586" s="384"/>
      <c r="F586" s="384"/>
      <c r="G586" s="384"/>
      <c r="H586" s="384"/>
      <c r="I586" s="384"/>
      <c r="J586" s="384"/>
      <c r="K586" s="384"/>
      <c r="L586" s="384"/>
      <c r="M586" s="384"/>
      <c r="N586" s="384"/>
      <c r="O586" s="384"/>
      <c r="P586" s="384"/>
      <c r="Q586" s="384"/>
    </row>
    <row r="587">
      <c r="A587" s="396" t="str">
        <f>IFERROR(__xludf.DUMMYFUNCTION("""COMPUTED_VALUE"""),"Fernanda da Silva | São Paulo - SP | 45236")</f>
        <v>Fernanda da Silva | São Paulo - SP | 45236</v>
      </c>
      <c r="B587" s="396"/>
      <c r="C587" s="384"/>
      <c r="D587" s="384"/>
      <c r="E587" s="384"/>
      <c r="F587" s="384"/>
      <c r="G587" s="384"/>
      <c r="H587" s="384"/>
      <c r="I587" s="384"/>
      <c r="J587" s="384"/>
      <c r="K587" s="384"/>
      <c r="L587" s="384"/>
      <c r="M587" s="384"/>
      <c r="N587" s="384"/>
      <c r="O587" s="384"/>
      <c r="P587" s="384"/>
      <c r="Q587" s="384"/>
    </row>
    <row r="588">
      <c r="A588" s="396" t="str">
        <f>IFERROR(__xludf.DUMMYFUNCTION("""COMPUTED_VALUE"""),"Kaina Weiber Waisbek | 31389 | 45293")</f>
        <v>Kaina Weiber Waisbek | 31389 | 45293</v>
      </c>
      <c r="B588" s="396"/>
      <c r="C588" s="384"/>
      <c r="D588" s="384"/>
      <c r="E588" s="384"/>
      <c r="F588" s="384"/>
      <c r="G588" s="384"/>
      <c r="H588" s="384"/>
      <c r="I588" s="384"/>
      <c r="J588" s="384"/>
      <c r="K588" s="384"/>
      <c r="L588" s="384"/>
      <c r="M588" s="384"/>
      <c r="N588" s="384"/>
      <c r="O588" s="384"/>
      <c r="P588" s="384"/>
      <c r="Q588" s="384"/>
    </row>
    <row r="589">
      <c r="A589" s="396" t="str">
        <f>IFERROR(__xludf.DUMMYFUNCTION("""COMPUTED_VALUE"""),"Kaina Weiber Waisbek | 31389 | 45293")</f>
        <v>Kaina Weiber Waisbek | 31389 | 45293</v>
      </c>
      <c r="B589" s="396"/>
      <c r="C589" s="384"/>
      <c r="D589" s="384"/>
      <c r="E589" s="384"/>
      <c r="F589" s="384"/>
      <c r="G589" s="384"/>
      <c r="H589" s="384"/>
      <c r="I589" s="384"/>
      <c r="J589" s="384"/>
      <c r="K589" s="384"/>
      <c r="L589" s="384"/>
      <c r="M589" s="384"/>
      <c r="N589" s="384"/>
      <c r="O589" s="384"/>
      <c r="P589" s="384"/>
      <c r="Q589" s="384"/>
    </row>
    <row r="590">
      <c r="A590" s="396" t="str">
        <f>IFERROR(__xludf.DUMMYFUNCTION("""COMPUTED_VALUE"""),"Zenilda Barbosa Vilela dos Santos |  | 45631")</f>
        <v>Zenilda Barbosa Vilela dos Santos |  | 45631</v>
      </c>
      <c r="B590" s="396"/>
      <c r="C590" s="384"/>
      <c r="D590" s="384"/>
      <c r="E590" s="384"/>
      <c r="F590" s="384"/>
      <c r="G590" s="384"/>
      <c r="H590" s="384"/>
      <c r="I590" s="384"/>
      <c r="J590" s="384"/>
      <c r="K590" s="384"/>
      <c r="L590" s="384"/>
      <c r="M590" s="384"/>
      <c r="N590" s="384"/>
      <c r="O590" s="384"/>
      <c r="P590" s="384"/>
      <c r="Q590" s="384"/>
    </row>
    <row r="591">
      <c r="A591" s="396" t="str">
        <f>IFERROR(__xludf.DUMMYFUNCTION("""COMPUTED_VALUE"""),"Nara Elizama Machado da Silveira Rodrigues |  | 45320")</f>
        <v>Nara Elizama Machado da Silveira Rodrigues |  | 45320</v>
      </c>
      <c r="B591" s="396"/>
      <c r="C591" s="384"/>
      <c r="D591" s="384"/>
      <c r="E591" s="384"/>
      <c r="F591" s="384"/>
      <c r="G591" s="384"/>
      <c r="H591" s="384"/>
      <c r="I591" s="384"/>
      <c r="J591" s="384"/>
      <c r="K591" s="384"/>
      <c r="L591" s="384"/>
      <c r="M591" s="384"/>
      <c r="N591" s="384"/>
      <c r="O591" s="384"/>
      <c r="P591" s="384"/>
      <c r="Q591" s="384"/>
    </row>
    <row r="592">
      <c r="A592" s="396" t="str">
        <f>IFERROR(__xludf.DUMMYFUNCTION("""COMPUTED_VALUE"""),"Marlla Angélica dos Santos da Costa |  | ")</f>
        <v>Marlla Angélica dos Santos da Costa |  | </v>
      </c>
      <c r="B592" s="396"/>
      <c r="C592" s="384"/>
      <c r="D592" s="384"/>
      <c r="E592" s="384"/>
      <c r="F592" s="384"/>
      <c r="G592" s="384"/>
      <c r="H592" s="384"/>
      <c r="I592" s="384"/>
      <c r="J592" s="384"/>
      <c r="K592" s="384"/>
      <c r="L592" s="384"/>
      <c r="M592" s="384"/>
      <c r="N592" s="384"/>
      <c r="O592" s="384"/>
      <c r="P592" s="384"/>
      <c r="Q592" s="384"/>
    </row>
    <row r="593">
      <c r="A593" s="396" t="str">
        <f>IFERROR(__xludf.DUMMYFUNCTION("""COMPUTED_VALUE"""),"Leonardo da Silva Oliveira dos Santos | 32500 | 45317")</f>
        <v>Leonardo da Silva Oliveira dos Santos | 32500 | 45317</v>
      </c>
      <c r="B593" s="396"/>
      <c r="C593" s="384"/>
      <c r="D593" s="384"/>
      <c r="E593" s="384"/>
      <c r="F593" s="384"/>
      <c r="G593" s="384"/>
      <c r="H593" s="384"/>
      <c r="I593" s="384"/>
      <c r="J593" s="384"/>
      <c r="K593" s="384"/>
      <c r="L593" s="384"/>
      <c r="M593" s="384"/>
      <c r="N593" s="384"/>
      <c r="O593" s="384"/>
      <c r="P593" s="384"/>
      <c r="Q593" s="384"/>
    </row>
    <row r="594">
      <c r="A594" s="396" t="str">
        <f>IFERROR(__xludf.DUMMYFUNCTION("""COMPUTED_VALUE"""),"Izabella Dias Basso Aragão |  | ")</f>
        <v>Izabella Dias Basso Aragão |  | </v>
      </c>
      <c r="B594" s="396"/>
      <c r="C594" s="384"/>
      <c r="D594" s="384"/>
      <c r="E594" s="384"/>
      <c r="F594" s="384"/>
      <c r="G594" s="384"/>
      <c r="H594" s="384"/>
      <c r="I594" s="384"/>
      <c r="J594" s="384"/>
      <c r="K594" s="384"/>
      <c r="L594" s="384"/>
      <c r="M594" s="384"/>
      <c r="N594" s="384"/>
      <c r="O594" s="384"/>
      <c r="P594" s="384"/>
      <c r="Q594" s="384"/>
    </row>
    <row r="595">
      <c r="A595" s="396" t="str">
        <f>IFERROR(__xludf.DUMMYFUNCTION("""COMPUTED_VALUE"""),"Madequier Jesus Naressi |  | ")</f>
        <v>Madequier Jesus Naressi |  | </v>
      </c>
      <c r="B595" s="396"/>
      <c r="C595" s="384"/>
      <c r="D595" s="384"/>
      <c r="E595" s="384"/>
      <c r="F595" s="384"/>
      <c r="G595" s="384"/>
      <c r="H595" s="384"/>
      <c r="I595" s="384"/>
      <c r="J595" s="384"/>
      <c r="K595" s="384"/>
      <c r="L595" s="384"/>
      <c r="M595" s="384"/>
      <c r="N595" s="384"/>
      <c r="O595" s="384"/>
      <c r="P595" s="384"/>
      <c r="Q595" s="384"/>
    </row>
    <row r="596">
      <c r="A596" s="396" t="str">
        <f>IFERROR(__xludf.DUMMYFUNCTION("""COMPUTED_VALUE""")," |  | ")</f>
        <v> |  | </v>
      </c>
      <c r="B596" s="396"/>
      <c r="C596" s="384"/>
      <c r="D596" s="384"/>
      <c r="E596" s="384"/>
      <c r="F596" s="384"/>
      <c r="G596" s="384"/>
      <c r="H596" s="384"/>
      <c r="I596" s="384"/>
      <c r="J596" s="384"/>
      <c r="K596" s="384"/>
      <c r="L596" s="384"/>
      <c r="M596" s="384"/>
      <c r="N596" s="384"/>
      <c r="O596" s="384"/>
      <c r="P596" s="384"/>
      <c r="Q596" s="384"/>
    </row>
    <row r="597">
      <c r="A597" s="396" t="str">
        <f>IFERROR(__xludf.DUMMYFUNCTION("""COMPUTED_VALUE"""),"ALUNO | Naturalidade | INÍCIO CURSO")</f>
        <v>ALUNO | Naturalidade | INÍCIO CURSO</v>
      </c>
      <c r="B597" s="396"/>
      <c r="C597" s="384"/>
      <c r="D597" s="384"/>
      <c r="E597" s="384"/>
      <c r="F597" s="384"/>
      <c r="G597" s="384"/>
      <c r="H597" s="384"/>
      <c r="I597" s="384"/>
      <c r="J597" s="384"/>
      <c r="K597" s="384"/>
      <c r="L597" s="384"/>
      <c r="M597" s="384"/>
      <c r="N597" s="384"/>
      <c r="O597" s="384"/>
      <c r="P597" s="384"/>
      <c r="Q597" s="384"/>
    </row>
    <row r="598">
      <c r="A598" s="396" t="str">
        <f>IFERROR(__xludf.DUMMYFUNCTION("""COMPUTED_VALUE"""),"Viviane Rosa Pires | Santa Terezinha De Goias - GO | 45215")</f>
        <v>Viviane Rosa Pires | Santa Terezinha De Goias - GO | 45215</v>
      </c>
      <c r="B598" s="396"/>
      <c r="C598" s="384"/>
      <c r="D598" s="384"/>
      <c r="E598" s="384"/>
      <c r="F598" s="384"/>
      <c r="G598" s="384"/>
      <c r="H598" s="384"/>
      <c r="I598" s="384"/>
      <c r="J598" s="384"/>
      <c r="K598" s="384"/>
      <c r="L598" s="384"/>
      <c r="M598" s="384"/>
      <c r="N598" s="384"/>
      <c r="O598" s="384"/>
      <c r="P598" s="384"/>
      <c r="Q598" s="384"/>
    </row>
    <row r="599">
      <c r="A599" s="396" t="str">
        <f>IFERROR(__xludf.DUMMYFUNCTION("""COMPUTED_VALUE"""),"Marcinelio Estevão de Oliveira | Oliveira - MG | 45181")</f>
        <v>Marcinelio Estevão de Oliveira | Oliveira - MG | 45181</v>
      </c>
      <c r="B599" s="396"/>
      <c r="C599" s="384"/>
      <c r="D599" s="384"/>
      <c r="E599" s="384"/>
      <c r="F599" s="384"/>
      <c r="G599" s="384"/>
      <c r="H599" s="384"/>
      <c r="I599" s="384"/>
      <c r="J599" s="384"/>
      <c r="K599" s="384"/>
      <c r="L599" s="384"/>
      <c r="M599" s="384"/>
      <c r="N599" s="384"/>
      <c r="O599" s="384"/>
      <c r="P599" s="384"/>
      <c r="Q599" s="384"/>
    </row>
    <row r="600">
      <c r="A600" s="396" t="str">
        <f>IFERROR(__xludf.DUMMYFUNCTION("""COMPUTED_VALUE"""),"Michael Douglas Conceição de Oliveira |  | 45209")</f>
        <v>Michael Douglas Conceição de Oliveira |  | 45209</v>
      </c>
      <c r="B600" s="396"/>
      <c r="C600" s="384"/>
      <c r="D600" s="384"/>
      <c r="E600" s="384"/>
      <c r="F600" s="384"/>
      <c r="G600" s="384"/>
      <c r="H600" s="384"/>
      <c r="I600" s="384"/>
      <c r="J600" s="384"/>
      <c r="K600" s="384"/>
      <c r="L600" s="384"/>
      <c r="M600" s="384"/>
      <c r="N600" s="384"/>
      <c r="O600" s="384"/>
      <c r="P600" s="384"/>
      <c r="Q600" s="384"/>
    </row>
    <row r="601">
      <c r="A601" s="396" t="str">
        <f>IFERROR(__xludf.DUMMYFUNCTION("""COMPUTED_VALUE"""),"Fernanda Viana Azevedo Protasio | Vilhena - RO | 45243")</f>
        <v>Fernanda Viana Azevedo Protasio | Vilhena - RO | 45243</v>
      </c>
      <c r="B601" s="396"/>
      <c r="C601" s="384"/>
      <c r="D601" s="384"/>
      <c r="E601" s="384"/>
      <c r="F601" s="384"/>
      <c r="G601" s="384"/>
      <c r="H601" s="384"/>
      <c r="I601" s="384"/>
      <c r="J601" s="384"/>
      <c r="K601" s="384"/>
      <c r="L601" s="384"/>
      <c r="M601" s="384"/>
      <c r="N601" s="384"/>
      <c r="O601" s="384"/>
      <c r="P601" s="384"/>
      <c r="Q601" s="384"/>
    </row>
    <row r="602">
      <c r="A602" s="396" t="str">
        <f>IFERROR(__xludf.DUMMYFUNCTION("""COMPUTED_VALUE"""),"Carla Silene de Faria Bragaglia. | Patos de Minas - MG | 45167")</f>
        <v>Carla Silene de Faria Bragaglia. | Patos de Minas - MG | 45167</v>
      </c>
      <c r="B602" s="396"/>
      <c r="C602" s="384"/>
      <c r="D602" s="384"/>
      <c r="E602" s="384"/>
      <c r="F602" s="384"/>
      <c r="G602" s="384"/>
      <c r="H602" s="384"/>
      <c r="I602" s="384"/>
      <c r="J602" s="384"/>
      <c r="K602" s="384"/>
      <c r="L602" s="384"/>
      <c r="M602" s="384"/>
      <c r="N602" s="384"/>
      <c r="O602" s="384"/>
      <c r="P602" s="384"/>
      <c r="Q602" s="384"/>
    </row>
    <row r="603">
      <c r="A603" s="396" t="str">
        <f>IFERROR(__xludf.DUMMYFUNCTION("""COMPUTED_VALUE"""),"Paulo César Lino | Bebedouro - SP | 45313")</f>
        <v>Paulo César Lino | Bebedouro - SP | 45313</v>
      </c>
      <c r="B603" s="396"/>
      <c r="C603" s="384"/>
      <c r="D603" s="384"/>
      <c r="E603" s="384"/>
      <c r="F603" s="384"/>
      <c r="G603" s="384"/>
      <c r="H603" s="384"/>
      <c r="I603" s="384"/>
      <c r="J603" s="384"/>
      <c r="K603" s="384"/>
      <c r="L603" s="384"/>
      <c r="M603" s="384"/>
      <c r="N603" s="384"/>
      <c r="O603" s="384"/>
      <c r="P603" s="384"/>
      <c r="Q603" s="384"/>
    </row>
    <row r="604">
      <c r="A604" s="396" t="str">
        <f>IFERROR(__xludf.DUMMYFUNCTION("""COMPUTED_VALUE"""),"Daniela Carvalho Ximendes | Porto Alegre - RS | 45545")</f>
        <v>Daniela Carvalho Ximendes | Porto Alegre - RS | 45545</v>
      </c>
      <c r="B604" s="396"/>
      <c r="C604" s="384"/>
      <c r="D604" s="384"/>
      <c r="E604" s="384"/>
      <c r="F604" s="384"/>
      <c r="G604" s="384"/>
      <c r="H604" s="384"/>
      <c r="I604" s="384"/>
      <c r="J604" s="384"/>
      <c r="K604" s="384"/>
      <c r="L604" s="384"/>
      <c r="M604" s="384"/>
      <c r="N604" s="384"/>
      <c r="O604" s="384"/>
      <c r="P604" s="384"/>
      <c r="Q604" s="384"/>
    </row>
    <row r="605">
      <c r="A605" s="396" t="str">
        <f>IFERROR(__xludf.DUMMYFUNCTION("""COMPUTED_VALUE"""),"Petrônio Dias da Silva | Recife - PE | 45243")</f>
        <v>Petrônio Dias da Silva | Recife - PE | 45243</v>
      </c>
      <c r="B605" s="396"/>
      <c r="C605" s="384"/>
      <c r="D605" s="384"/>
      <c r="E605" s="384"/>
      <c r="F605" s="384"/>
      <c r="G605" s="384"/>
      <c r="H605" s="384"/>
      <c r="I605" s="384"/>
      <c r="J605" s="384"/>
      <c r="K605" s="384"/>
      <c r="L605" s="384"/>
      <c r="M605" s="384"/>
      <c r="N605" s="384"/>
      <c r="O605" s="384"/>
      <c r="P605" s="384"/>
      <c r="Q605" s="384"/>
    </row>
    <row r="606">
      <c r="A606" s="396" t="str">
        <f>IFERROR(__xludf.DUMMYFUNCTION("""COMPUTED_VALUE"""),"Elias Vargas Ramm | Canguçu - RS | 45222")</f>
        <v>Elias Vargas Ramm | Canguçu - RS | 45222</v>
      </c>
      <c r="B606" s="396"/>
      <c r="C606" s="384"/>
      <c r="D606" s="384"/>
      <c r="E606" s="384"/>
      <c r="F606" s="384"/>
      <c r="G606" s="384"/>
      <c r="H606" s="384"/>
      <c r="I606" s="384"/>
      <c r="J606" s="384"/>
      <c r="K606" s="384"/>
      <c r="L606" s="384"/>
      <c r="M606" s="384"/>
      <c r="N606" s="384"/>
      <c r="O606" s="384"/>
      <c r="P606" s="384"/>
      <c r="Q606" s="384"/>
    </row>
    <row r="607">
      <c r="A607" s="396" t="str">
        <f>IFERROR(__xludf.DUMMYFUNCTION("""COMPUTED_VALUE"""),"Sueli da Silva feitosa de Sousa |  | 45293")</f>
        <v>Sueli da Silva feitosa de Sousa |  | 45293</v>
      </c>
      <c r="B607" s="396"/>
      <c r="C607" s="384"/>
      <c r="D607" s="384"/>
      <c r="E607" s="384"/>
      <c r="F607" s="384"/>
      <c r="G607" s="384"/>
      <c r="H607" s="384"/>
      <c r="I607" s="384"/>
      <c r="J607" s="384"/>
      <c r="K607" s="384"/>
      <c r="L607" s="384"/>
      <c r="M607" s="384"/>
      <c r="N607" s="384"/>
      <c r="O607" s="384"/>
      <c r="P607" s="384"/>
      <c r="Q607" s="384"/>
    </row>
    <row r="608">
      <c r="A608" s="396" t="str">
        <f>IFERROR(__xludf.DUMMYFUNCTION("""COMPUTED_VALUE"""),"Gabriela Queiroz Saraiva | Goiânia - GO | 45271")</f>
        <v>Gabriela Queiroz Saraiva | Goiânia - GO | 45271</v>
      </c>
      <c r="B608" s="396"/>
      <c r="C608" s="384"/>
      <c r="D608" s="384"/>
      <c r="E608" s="384"/>
      <c r="F608" s="384"/>
      <c r="G608" s="384"/>
      <c r="H608" s="384"/>
      <c r="I608" s="384"/>
      <c r="J608" s="384"/>
      <c r="K608" s="384"/>
      <c r="L608" s="384"/>
      <c r="M608" s="384"/>
      <c r="N608" s="384"/>
      <c r="O608" s="384"/>
      <c r="P608" s="384"/>
      <c r="Q608" s="384"/>
    </row>
    <row r="609">
      <c r="A609" s="396" t="str">
        <f>IFERROR(__xludf.DUMMYFUNCTION("""COMPUTED_VALUE"""),"Wilson Santos Cavalho | S. André -SP | 45149")</f>
        <v>Wilson Santos Cavalho | S. André -SP | 45149</v>
      </c>
      <c r="B609" s="396"/>
      <c r="C609" s="384"/>
      <c r="D609" s="384"/>
      <c r="E609" s="384"/>
      <c r="F609" s="384"/>
      <c r="G609" s="384"/>
      <c r="H609" s="384"/>
      <c r="I609" s="384"/>
      <c r="J609" s="384"/>
      <c r="K609" s="384"/>
      <c r="L609" s="384"/>
      <c r="M609" s="384"/>
      <c r="N609" s="384"/>
      <c r="O609" s="384"/>
      <c r="P609" s="384"/>
      <c r="Q609" s="384"/>
    </row>
    <row r="610">
      <c r="A610" s="396" t="str">
        <f>IFERROR(__xludf.DUMMYFUNCTION("""COMPUTED_VALUE"""),"Geni Gomes da Rocha | 31966 | 45600")</f>
        <v>Geni Gomes da Rocha | 31966 | 45600</v>
      </c>
      <c r="B610" s="396"/>
      <c r="C610" s="384"/>
      <c r="D610" s="384"/>
      <c r="E610" s="384"/>
      <c r="F610" s="384"/>
      <c r="G610" s="384"/>
      <c r="H610" s="384"/>
      <c r="I610" s="384"/>
      <c r="J610" s="384"/>
      <c r="K610" s="384"/>
      <c r="L610" s="384"/>
      <c r="M610" s="384"/>
      <c r="N610" s="384"/>
      <c r="O610" s="384"/>
      <c r="P610" s="384"/>
      <c r="Q610" s="384"/>
    </row>
    <row r="611">
      <c r="A611" s="396" t="str">
        <f>IFERROR(__xludf.DUMMYFUNCTION("""COMPUTED_VALUE"""),"Marcel Ribeiro Risso | São Paulo - SP | 45188")</f>
        <v>Marcel Ribeiro Risso | São Paulo - SP | 45188</v>
      </c>
      <c r="B611" s="396"/>
      <c r="C611" s="384"/>
      <c r="D611" s="384"/>
      <c r="E611" s="384"/>
      <c r="F611" s="384"/>
      <c r="G611" s="384"/>
      <c r="H611" s="384"/>
      <c r="I611" s="384"/>
      <c r="J611" s="384"/>
      <c r="K611" s="384"/>
      <c r="L611" s="384"/>
      <c r="M611" s="384"/>
      <c r="N611" s="384"/>
      <c r="O611" s="384"/>
      <c r="P611" s="384"/>
      <c r="Q611" s="384"/>
    </row>
    <row r="612">
      <c r="A612" s="396" t="str">
        <f>IFERROR(__xludf.DUMMYFUNCTION("""COMPUTED_VALUE"""),"Jurandir Sousa Saraiva Neto | Fortaleza - CE | 45175")</f>
        <v>Jurandir Sousa Saraiva Neto | Fortaleza - CE | 45175</v>
      </c>
      <c r="B612" s="396"/>
      <c r="C612" s="384"/>
      <c r="D612" s="384"/>
      <c r="E612" s="384"/>
      <c r="F612" s="384"/>
      <c r="G612" s="384"/>
      <c r="H612" s="384"/>
      <c r="I612" s="384"/>
      <c r="J612" s="384"/>
      <c r="K612" s="384"/>
      <c r="L612" s="384"/>
      <c r="M612" s="384"/>
      <c r="N612" s="384"/>
      <c r="O612" s="384"/>
      <c r="P612" s="384"/>
      <c r="Q612" s="384"/>
    </row>
    <row r="613">
      <c r="A613" s="396" t="str">
        <f>IFERROR(__xludf.DUMMYFUNCTION("""COMPUTED_VALUE"""),"Vanessa Moura Cotrin | Goioere - PR | 45252")</f>
        <v>Vanessa Moura Cotrin | Goioere - PR | 45252</v>
      </c>
      <c r="B613" s="396"/>
      <c r="C613" s="384"/>
      <c r="D613" s="384"/>
      <c r="E613" s="384"/>
      <c r="F613" s="384"/>
      <c r="G613" s="384"/>
      <c r="H613" s="384"/>
      <c r="I613" s="384"/>
      <c r="J613" s="384"/>
      <c r="K613" s="384"/>
      <c r="L613" s="384"/>
      <c r="M613" s="384"/>
      <c r="N613" s="384"/>
      <c r="O613" s="384"/>
      <c r="P613" s="384"/>
      <c r="Q613" s="384"/>
    </row>
    <row r="614">
      <c r="A614" s="396" t="str">
        <f>IFERROR(__xludf.DUMMYFUNCTION("""COMPUTED_VALUE"""),"Hamilton Portella Junior | Ponta Grossa - PR | 45293")</f>
        <v>Hamilton Portella Junior | Ponta Grossa - PR | 45293</v>
      </c>
      <c r="B614" s="396"/>
      <c r="C614" s="384"/>
      <c r="D614" s="384"/>
      <c r="E614" s="384"/>
      <c r="F614" s="384"/>
      <c r="G614" s="384"/>
      <c r="H614" s="384"/>
      <c r="I614" s="384"/>
      <c r="J614" s="384"/>
      <c r="K614" s="384"/>
      <c r="L614" s="384"/>
      <c r="M614" s="384"/>
      <c r="N614" s="384"/>
      <c r="O614" s="384"/>
      <c r="P614" s="384"/>
      <c r="Q614" s="384"/>
    </row>
    <row r="615">
      <c r="A615" s="396" t="str">
        <f>IFERROR(__xludf.DUMMYFUNCTION("""COMPUTED_VALUE"""),"Naisa Cândida Garcia | São João Da Boa Vista - SP | 44670")</f>
        <v>Naisa Cândida Garcia | São João Da Boa Vista - SP | 44670</v>
      </c>
      <c r="B615" s="396"/>
      <c r="C615" s="384"/>
      <c r="D615" s="384"/>
      <c r="E615" s="384"/>
      <c r="F615" s="384"/>
      <c r="G615" s="384"/>
      <c r="H615" s="384"/>
      <c r="I615" s="384"/>
      <c r="J615" s="384"/>
      <c r="K615" s="384"/>
      <c r="L615" s="384"/>
      <c r="M615" s="384"/>
      <c r="N615" s="384"/>
      <c r="O615" s="384"/>
      <c r="P615" s="384"/>
      <c r="Q615" s="384"/>
    </row>
    <row r="616">
      <c r="A616" s="396" t="str">
        <f>IFERROR(__xludf.DUMMYFUNCTION("""COMPUTED_VALUE"""),"Jamile Souza Pereira Costa | Alagoinhas - BA | 44449")</f>
        <v>Jamile Souza Pereira Costa | Alagoinhas - BA | 44449</v>
      </c>
      <c r="B616" s="396"/>
      <c r="C616" s="384"/>
      <c r="D616" s="384"/>
      <c r="E616" s="384"/>
      <c r="F616" s="384"/>
      <c r="G616" s="384"/>
      <c r="H616" s="384"/>
      <c r="I616" s="384"/>
      <c r="J616" s="384"/>
      <c r="K616" s="384"/>
      <c r="L616" s="384"/>
      <c r="M616" s="384"/>
      <c r="N616" s="384"/>
      <c r="O616" s="384"/>
      <c r="P616" s="384"/>
      <c r="Q616" s="384"/>
    </row>
    <row r="617">
      <c r="A617" s="396" t="str">
        <f>IFERROR(__xludf.DUMMYFUNCTION("""COMPUTED_VALUE"""),"Pablo Epitácio de Farias | Olinda -PE | 44425")</f>
        <v>Pablo Epitácio de Farias | Olinda -PE | 44425</v>
      </c>
      <c r="B617" s="396"/>
      <c r="C617" s="384"/>
      <c r="D617" s="384"/>
      <c r="E617" s="384"/>
      <c r="F617" s="384"/>
      <c r="G617" s="384"/>
      <c r="H617" s="384"/>
      <c r="I617" s="384"/>
      <c r="J617" s="384"/>
      <c r="K617" s="384"/>
      <c r="L617" s="384"/>
      <c r="M617" s="384"/>
      <c r="N617" s="384"/>
      <c r="O617" s="384"/>
      <c r="P617" s="384"/>
      <c r="Q617" s="384"/>
    </row>
    <row r="618">
      <c r="A618" s="396" t="str">
        <f>IFERROR(__xludf.DUMMYFUNCTION("""COMPUTED_VALUE"""),"Cristiane Maria Rezende | Pires Do Rio - GO | 45233")</f>
        <v>Cristiane Maria Rezende | Pires Do Rio - GO | 45233</v>
      </c>
      <c r="B618" s="396"/>
      <c r="C618" s="384"/>
      <c r="D618" s="384"/>
      <c r="E618" s="384"/>
      <c r="F618" s="384"/>
      <c r="G618" s="384"/>
      <c r="H618" s="384"/>
      <c r="I618" s="384"/>
      <c r="J618" s="384"/>
      <c r="K618" s="384"/>
      <c r="L618" s="384"/>
      <c r="M618" s="384"/>
      <c r="N618" s="384"/>
      <c r="O618" s="384"/>
      <c r="P618" s="384"/>
      <c r="Q618" s="384"/>
    </row>
    <row r="619">
      <c r="A619" s="396" t="str">
        <f>IFERROR(__xludf.DUMMYFUNCTION("""COMPUTED_VALUE"""),"Kelley Adriana Lopes Martins | São Gostardo - MG | 45227")</f>
        <v>Kelley Adriana Lopes Martins | São Gostardo - MG | 45227</v>
      </c>
      <c r="B619" s="396"/>
      <c r="C619" s="384"/>
      <c r="D619" s="384"/>
      <c r="E619" s="384"/>
      <c r="F619" s="384"/>
      <c r="G619" s="384"/>
      <c r="H619" s="384"/>
      <c r="I619" s="384"/>
      <c r="J619" s="384"/>
      <c r="K619" s="384"/>
      <c r="L619" s="384"/>
      <c r="M619" s="384"/>
      <c r="N619" s="384"/>
      <c r="O619" s="384"/>
      <c r="P619" s="384"/>
      <c r="Q619" s="384"/>
    </row>
    <row r="620">
      <c r="A620" s="396" t="str">
        <f>IFERROR(__xludf.DUMMYFUNCTION("""COMPUTED_VALUE"""),"José Adriano de Lima | Vicência - PE | 45695")</f>
        <v>José Adriano de Lima | Vicência - PE | 45695</v>
      </c>
      <c r="B620" s="396"/>
      <c r="C620" s="384"/>
      <c r="D620" s="384"/>
      <c r="E620" s="384"/>
      <c r="F620" s="384"/>
      <c r="G620" s="384"/>
      <c r="H620" s="384"/>
      <c r="I620" s="384"/>
      <c r="J620" s="384"/>
      <c r="K620" s="384"/>
      <c r="L620" s="384"/>
      <c r="M620" s="384"/>
      <c r="N620" s="384"/>
      <c r="O620" s="384"/>
      <c r="P620" s="384"/>
      <c r="Q620" s="384"/>
    </row>
    <row r="621">
      <c r="A621" s="396" t="str">
        <f>IFERROR(__xludf.DUMMYFUNCTION("""COMPUTED_VALUE"""),"Jaqueline de fatima Marcos de Paula |  | 45324")</f>
        <v>Jaqueline de fatima Marcos de Paula |  | 45324</v>
      </c>
      <c r="B621" s="396"/>
      <c r="C621" s="384"/>
      <c r="D621" s="384"/>
      <c r="E621" s="384"/>
      <c r="F621" s="384"/>
      <c r="G621" s="384"/>
      <c r="H621" s="384"/>
      <c r="I621" s="384"/>
      <c r="J621" s="384"/>
      <c r="K621" s="384"/>
      <c r="L621" s="384"/>
      <c r="M621" s="384"/>
      <c r="N621" s="384"/>
      <c r="O621" s="384"/>
      <c r="P621" s="384"/>
      <c r="Q621" s="384"/>
    </row>
    <row r="622">
      <c r="A622" s="396" t="str">
        <f>IFERROR(__xludf.DUMMYFUNCTION("""COMPUTED_VALUE"""),"José Roberto de Oliveira Martins | Unaí - MG | 45566")</f>
        <v>José Roberto de Oliveira Martins | Unaí - MG | 45566</v>
      </c>
      <c r="B622" s="396"/>
      <c r="C622" s="384"/>
      <c r="D622" s="384"/>
      <c r="E622" s="384"/>
      <c r="F622" s="384"/>
      <c r="G622" s="384"/>
      <c r="H622" s="384"/>
      <c r="I622" s="384"/>
      <c r="J622" s="384"/>
      <c r="K622" s="384"/>
      <c r="L622" s="384"/>
      <c r="M622" s="384"/>
      <c r="N622" s="384"/>
      <c r="O622" s="384"/>
      <c r="P622" s="384"/>
      <c r="Q622" s="384"/>
    </row>
    <row r="623">
      <c r="A623" s="396" t="str">
        <f>IFERROR(__xludf.DUMMYFUNCTION("""COMPUTED_VALUE"""),"Eliete da Silva Cambraia | São Paulo - SP | 44523")</f>
        <v>Eliete da Silva Cambraia | São Paulo - SP | 44523</v>
      </c>
      <c r="B623" s="396"/>
      <c r="C623" s="384"/>
      <c r="D623" s="384"/>
      <c r="E623" s="384"/>
      <c r="F623" s="384"/>
      <c r="G623" s="384"/>
      <c r="H623" s="384"/>
      <c r="I623" s="384"/>
      <c r="J623" s="384"/>
      <c r="K623" s="384"/>
      <c r="L623" s="384"/>
      <c r="M623" s="384"/>
      <c r="N623" s="384"/>
      <c r="O623" s="384"/>
      <c r="P623" s="384"/>
      <c r="Q623" s="384"/>
    </row>
    <row r="624">
      <c r="A624" s="396" t="str">
        <f>IFERROR(__xludf.DUMMYFUNCTION("""COMPUTED_VALUE"""),"Izabel Cristina Rosa da Silva | Ibititá - BA | 45363")</f>
        <v>Izabel Cristina Rosa da Silva | Ibititá - BA | 45363</v>
      </c>
      <c r="B624" s="396"/>
      <c r="C624" s="384"/>
      <c r="D624" s="384"/>
      <c r="E624" s="384"/>
      <c r="F624" s="384"/>
      <c r="G624" s="384"/>
      <c r="H624" s="384"/>
      <c r="I624" s="384"/>
      <c r="J624" s="384"/>
      <c r="K624" s="384"/>
      <c r="L624" s="384"/>
      <c r="M624" s="384"/>
      <c r="N624" s="384"/>
      <c r="O624" s="384"/>
      <c r="P624" s="384"/>
      <c r="Q624" s="384"/>
    </row>
    <row r="625">
      <c r="A625" s="396" t="str">
        <f>IFERROR(__xludf.DUMMYFUNCTION("""COMPUTED_VALUE"""),"Fabiano Luciano Pessoa  | Santana Do Jacaré - MG | 45216")</f>
        <v>Fabiano Luciano Pessoa  | Santana Do Jacaré - MG | 45216</v>
      </c>
      <c r="B625" s="396"/>
      <c r="C625" s="384"/>
      <c r="D625" s="384"/>
      <c r="E625" s="384"/>
      <c r="F625" s="384"/>
      <c r="G625" s="384"/>
      <c r="H625" s="384"/>
      <c r="I625" s="384"/>
      <c r="J625" s="384"/>
      <c r="K625" s="384"/>
      <c r="L625" s="384"/>
      <c r="M625" s="384"/>
      <c r="N625" s="384"/>
      <c r="O625" s="384"/>
      <c r="P625" s="384"/>
      <c r="Q625" s="384"/>
    </row>
    <row r="626">
      <c r="A626" s="396" t="str">
        <f>IFERROR(__xludf.DUMMYFUNCTION("""COMPUTED_VALUE"""),"Alexandre Oliveira de Sousa | Fortaleza - CE | 45194")</f>
        <v>Alexandre Oliveira de Sousa | Fortaleza - CE | 45194</v>
      </c>
      <c r="B626" s="396"/>
      <c r="C626" s="384"/>
      <c r="D626" s="384"/>
      <c r="E626" s="384"/>
      <c r="F626" s="384"/>
      <c r="G626" s="384"/>
      <c r="H626" s="384"/>
      <c r="I626" s="384"/>
      <c r="J626" s="384"/>
      <c r="K626" s="384"/>
      <c r="L626" s="384"/>
      <c r="M626" s="384"/>
      <c r="N626" s="384"/>
      <c r="O626" s="384"/>
      <c r="P626" s="384"/>
      <c r="Q626" s="384"/>
    </row>
    <row r="627">
      <c r="A627" s="396" t="str">
        <f>IFERROR(__xludf.DUMMYFUNCTION("""COMPUTED_VALUE"""),"Regina Ferreira Barra | Juiz De Fora - MG | 44825")</f>
        <v>Regina Ferreira Barra | Juiz De Fora - MG | 44825</v>
      </c>
      <c r="B627" s="396"/>
      <c r="C627" s="384"/>
      <c r="D627" s="384"/>
      <c r="E627" s="384"/>
      <c r="F627" s="384"/>
      <c r="G627" s="384"/>
      <c r="H627" s="384"/>
      <c r="I627" s="384"/>
      <c r="J627" s="384"/>
      <c r="K627" s="384"/>
      <c r="L627" s="384"/>
      <c r="M627" s="384"/>
      <c r="N627" s="384"/>
      <c r="O627" s="384"/>
      <c r="P627" s="384"/>
      <c r="Q627" s="384"/>
    </row>
    <row r="628">
      <c r="A628" s="396" t="str">
        <f>IFERROR(__xludf.DUMMYFUNCTION("""COMPUTED_VALUE"""),"Regina Ferreira Barra | Juiz De Fora - MG | 44825")</f>
        <v>Regina Ferreira Barra | Juiz De Fora - MG | 44825</v>
      </c>
      <c r="B628" s="396"/>
      <c r="C628" s="384"/>
      <c r="D628" s="384"/>
      <c r="E628" s="384"/>
      <c r="F628" s="384"/>
      <c r="G628" s="384"/>
      <c r="H628" s="384"/>
      <c r="I628" s="384"/>
      <c r="J628" s="384"/>
      <c r="K628" s="384"/>
      <c r="L628" s="384"/>
      <c r="M628" s="384"/>
      <c r="N628" s="384"/>
      <c r="O628" s="384"/>
      <c r="P628" s="384"/>
      <c r="Q628" s="384"/>
    </row>
    <row r="629">
      <c r="A629" s="396" t="str">
        <f>IFERROR(__xludf.DUMMYFUNCTION("""COMPUTED_VALUE"""),"Gabrielle Barra Tarocco | Juiz De Fora - MG | 45048")</f>
        <v>Gabrielle Barra Tarocco | Juiz De Fora - MG | 45048</v>
      </c>
      <c r="B629" s="396"/>
      <c r="C629" s="384"/>
      <c r="D629" s="384"/>
      <c r="E629" s="384"/>
      <c r="F629" s="384"/>
      <c r="G629" s="384"/>
      <c r="H629" s="384"/>
      <c r="I629" s="384"/>
      <c r="J629" s="384"/>
      <c r="K629" s="384"/>
      <c r="L629" s="384"/>
      <c r="M629" s="384"/>
      <c r="N629" s="384"/>
      <c r="O629" s="384"/>
      <c r="P629" s="384"/>
      <c r="Q629" s="384"/>
    </row>
    <row r="630">
      <c r="A630" s="396" t="str">
        <f>IFERROR(__xludf.DUMMYFUNCTION("""COMPUTED_VALUE"""),"Caroline da Silva Cezar | Pelotas - RS | 45152")</f>
        <v>Caroline da Silva Cezar | Pelotas - RS | 45152</v>
      </c>
      <c r="B630" s="396"/>
      <c r="C630" s="384"/>
      <c r="D630" s="384"/>
      <c r="E630" s="384"/>
      <c r="F630" s="384"/>
      <c r="G630" s="384"/>
      <c r="H630" s="384"/>
      <c r="I630" s="384"/>
      <c r="J630" s="384"/>
      <c r="K630" s="384"/>
      <c r="L630" s="384"/>
      <c r="M630" s="384"/>
      <c r="N630" s="384"/>
      <c r="O630" s="384"/>
      <c r="P630" s="384"/>
      <c r="Q630" s="384"/>
    </row>
    <row r="631">
      <c r="A631" s="396" t="str">
        <f>IFERROR(__xludf.DUMMYFUNCTION("""COMPUTED_VALUE"""),"Helzilane Virgínia Gomes De Oliveira | Araguari - MG | 45301")</f>
        <v>Helzilane Virgínia Gomes De Oliveira | Araguari - MG | 45301</v>
      </c>
      <c r="B631" s="396"/>
      <c r="C631" s="384"/>
      <c r="D631" s="384"/>
      <c r="E631" s="384"/>
      <c r="F631" s="384"/>
      <c r="G631" s="384"/>
      <c r="H631" s="384"/>
      <c r="I631" s="384"/>
      <c r="J631" s="384"/>
      <c r="K631" s="384"/>
      <c r="L631" s="384"/>
      <c r="M631" s="384"/>
      <c r="N631" s="384"/>
      <c r="O631" s="384"/>
      <c r="P631" s="384"/>
      <c r="Q631" s="384"/>
    </row>
    <row r="632">
      <c r="A632" s="396" t="str">
        <f>IFERROR(__xludf.DUMMYFUNCTION("""COMPUTED_VALUE"""),"Fabiane Jevinski | Estação - RS | 45509")</f>
        <v>Fabiane Jevinski | Estação - RS | 45509</v>
      </c>
      <c r="B632" s="396"/>
      <c r="C632" s="384"/>
      <c r="D632" s="384"/>
      <c r="E632" s="384"/>
      <c r="F632" s="384"/>
      <c r="G632" s="384"/>
      <c r="H632" s="384"/>
      <c r="I632" s="384"/>
      <c r="J632" s="384"/>
      <c r="K632" s="384"/>
      <c r="L632" s="384"/>
      <c r="M632" s="384"/>
      <c r="N632" s="384"/>
      <c r="O632" s="384"/>
      <c r="P632" s="384"/>
      <c r="Q632" s="384"/>
    </row>
    <row r="633">
      <c r="A633" s="396" t="str">
        <f>IFERROR(__xludf.DUMMYFUNCTION("""COMPUTED_VALUE"""),"Charles Miranda | Rio de Janeiro - RJ | 45699")</f>
        <v>Charles Miranda | Rio de Janeiro - RJ | 45699</v>
      </c>
      <c r="B633" s="396"/>
      <c r="C633" s="384"/>
      <c r="D633" s="384"/>
      <c r="E633" s="384"/>
      <c r="F633" s="384"/>
      <c r="G633" s="384"/>
      <c r="H633" s="384"/>
      <c r="I633" s="384"/>
      <c r="J633" s="384"/>
      <c r="K633" s="384"/>
      <c r="L633" s="384"/>
      <c r="M633" s="384"/>
      <c r="N633" s="384"/>
      <c r="O633" s="384"/>
      <c r="P633" s="384"/>
      <c r="Q633" s="384"/>
    </row>
    <row r="634">
      <c r="A634" s="396" t="str">
        <f>IFERROR(__xludf.DUMMYFUNCTION("""COMPUTED_VALUE"""),"Carlos Alberto Sousa dos Santos | Santos - SP | 45322")</f>
        <v>Carlos Alberto Sousa dos Santos | Santos - SP | 45322</v>
      </c>
      <c r="B634" s="396"/>
      <c r="C634" s="384"/>
      <c r="D634" s="384"/>
      <c r="E634" s="384"/>
      <c r="F634" s="384"/>
      <c r="G634" s="384"/>
      <c r="H634" s="384"/>
      <c r="I634" s="384"/>
      <c r="J634" s="384"/>
      <c r="K634" s="384"/>
      <c r="L634" s="384"/>
      <c r="M634" s="384"/>
      <c r="N634" s="384"/>
      <c r="O634" s="384"/>
      <c r="P634" s="384"/>
      <c r="Q634" s="384"/>
    </row>
    <row r="635">
      <c r="A635" s="396" t="str">
        <f>IFERROR(__xludf.DUMMYFUNCTION("""COMPUTED_VALUE""")," |  | ")</f>
        <v> |  | </v>
      </c>
      <c r="B635" s="396"/>
      <c r="C635" s="384"/>
      <c r="D635" s="384"/>
      <c r="E635" s="384"/>
      <c r="F635" s="384"/>
      <c r="G635" s="384"/>
      <c r="H635" s="384"/>
      <c r="I635" s="384"/>
      <c r="J635" s="384"/>
      <c r="K635" s="384"/>
      <c r="L635" s="384"/>
      <c r="M635" s="384"/>
      <c r="N635" s="384"/>
      <c r="O635" s="384"/>
      <c r="P635" s="384"/>
      <c r="Q635" s="384"/>
    </row>
    <row r="636">
      <c r="A636" s="396" t="str">
        <f>IFERROR(__xludf.DUMMYFUNCTION("""COMPUTED_VALUE"""),"Rosimeire Ferreira Merval Silva | Pedreiras - MA | 45223")</f>
        <v>Rosimeire Ferreira Merval Silva | Pedreiras - MA | 45223</v>
      </c>
      <c r="B636" s="396"/>
      <c r="C636" s="384"/>
      <c r="D636" s="384"/>
      <c r="E636" s="384"/>
      <c r="F636" s="384"/>
      <c r="G636" s="384"/>
      <c r="H636" s="384"/>
      <c r="I636" s="384"/>
      <c r="J636" s="384"/>
      <c r="K636" s="384"/>
      <c r="L636" s="384"/>
      <c r="M636" s="384"/>
      <c r="N636" s="384"/>
      <c r="O636" s="384"/>
      <c r="P636" s="384"/>
      <c r="Q636" s="384"/>
    </row>
    <row r="637">
      <c r="A637" s="396" t="str">
        <f>IFERROR(__xludf.DUMMYFUNCTION("""COMPUTED_VALUE"""),"Ênio Chrystian Goulart de Oliveira |  | 45051")</f>
        <v>Ênio Chrystian Goulart de Oliveira |  | 45051</v>
      </c>
      <c r="B637" s="396"/>
      <c r="C637" s="384"/>
      <c r="D637" s="384"/>
      <c r="E637" s="384"/>
      <c r="F637" s="384"/>
      <c r="G637" s="384"/>
      <c r="H637" s="384"/>
      <c r="I637" s="384"/>
      <c r="J637" s="384"/>
      <c r="K637" s="384"/>
      <c r="L637" s="384"/>
      <c r="M637" s="384"/>
      <c r="N637" s="384"/>
      <c r="O637" s="384"/>
      <c r="P637" s="384"/>
      <c r="Q637" s="384"/>
    </row>
    <row r="638">
      <c r="A638" s="396" t="str">
        <f>IFERROR(__xludf.DUMMYFUNCTION("""COMPUTED_VALUE"""),"Rafaela Vitor de Carvalho | Bezerros - PE | 45112")</f>
        <v>Rafaela Vitor de Carvalho | Bezerros - PE | 45112</v>
      </c>
      <c r="B638" s="396"/>
      <c r="C638" s="384"/>
      <c r="D638" s="384"/>
      <c r="E638" s="384"/>
      <c r="F638" s="384"/>
      <c r="G638" s="384"/>
      <c r="H638" s="384"/>
      <c r="I638" s="384"/>
      <c r="J638" s="384"/>
      <c r="K638" s="384"/>
      <c r="L638" s="384"/>
      <c r="M638" s="384"/>
      <c r="N638" s="384"/>
      <c r="O638" s="384"/>
      <c r="P638" s="384"/>
      <c r="Q638" s="384"/>
    </row>
    <row r="639">
      <c r="A639" s="396" t="str">
        <f>IFERROR(__xludf.DUMMYFUNCTION("""COMPUTED_VALUE"""),"Adilson de Sousa | São Paulo - SP | 45061")</f>
        <v>Adilson de Sousa | São Paulo - SP | 45061</v>
      </c>
      <c r="B639" s="396"/>
      <c r="C639" s="384"/>
      <c r="D639" s="384"/>
      <c r="E639" s="384"/>
      <c r="F639" s="384"/>
      <c r="G639" s="384"/>
      <c r="H639" s="384"/>
      <c r="I639" s="384"/>
      <c r="J639" s="384"/>
      <c r="K639" s="384"/>
      <c r="L639" s="384"/>
      <c r="M639" s="384"/>
      <c r="N639" s="384"/>
      <c r="O639" s="384"/>
      <c r="P639" s="384"/>
      <c r="Q639" s="384"/>
    </row>
    <row r="640">
      <c r="A640" s="396" t="str">
        <f>IFERROR(__xludf.DUMMYFUNCTION("""COMPUTED_VALUE"""),"Luana Moreira de Souza | Barretos - SP | ")</f>
        <v>Luana Moreira de Souza | Barretos - SP | </v>
      </c>
      <c r="B640" s="396"/>
      <c r="C640" s="384"/>
      <c r="D640" s="384"/>
      <c r="E640" s="384"/>
      <c r="F640" s="384"/>
      <c r="G640" s="384"/>
      <c r="H640" s="384"/>
      <c r="I640" s="384"/>
      <c r="J640" s="384"/>
      <c r="K640" s="384"/>
      <c r="L640" s="384"/>
      <c r="M640" s="384"/>
      <c r="N640" s="384"/>
      <c r="O640" s="384"/>
      <c r="P640" s="384"/>
      <c r="Q640" s="384"/>
    </row>
    <row r="641">
      <c r="A641" s="396" t="str">
        <f>IFERROR(__xludf.DUMMYFUNCTION("""COMPUTED_VALUE"""),"Vanessa Bensa de Oliveira Neves |  | ")</f>
        <v>Vanessa Bensa de Oliveira Neves |  | </v>
      </c>
      <c r="B641" s="396"/>
      <c r="C641" s="384"/>
      <c r="D641" s="384"/>
      <c r="E641" s="384"/>
      <c r="F641" s="384"/>
      <c r="G641" s="384"/>
      <c r="H641" s="384"/>
      <c r="I641" s="384"/>
      <c r="J641" s="384"/>
      <c r="K641" s="384"/>
      <c r="L641" s="384"/>
      <c r="M641" s="384"/>
      <c r="N641" s="384"/>
      <c r="O641" s="384"/>
      <c r="P641" s="384"/>
      <c r="Q641" s="384"/>
    </row>
    <row r="642">
      <c r="A642" s="396" t="str">
        <f>IFERROR(__xludf.DUMMYFUNCTION("""COMPUTED_VALUE"""),"Vanessa Bensa de Oliveira Neves |  | ")</f>
        <v>Vanessa Bensa de Oliveira Neves |  | </v>
      </c>
      <c r="B642" s="396"/>
      <c r="C642" s="384"/>
      <c r="D642" s="384"/>
      <c r="E642" s="384"/>
      <c r="F642" s="384"/>
      <c r="G642" s="384"/>
      <c r="H642" s="384"/>
      <c r="I642" s="384"/>
      <c r="J642" s="384"/>
      <c r="K642" s="384"/>
      <c r="L642" s="384"/>
      <c r="M642" s="384"/>
      <c r="N642" s="384"/>
      <c r="O642" s="384"/>
      <c r="P642" s="384"/>
      <c r="Q642" s="384"/>
    </row>
    <row r="643">
      <c r="A643" s="396" t="str">
        <f>IFERROR(__xludf.DUMMYFUNCTION("""COMPUTED_VALUE"""),"Rhanna Hayara Costa Santos |  | ")</f>
        <v>Rhanna Hayara Costa Santos |  | </v>
      </c>
      <c r="B643" s="396"/>
      <c r="C643" s="384"/>
      <c r="D643" s="384"/>
      <c r="E643" s="384"/>
      <c r="F643" s="384"/>
      <c r="G643" s="384"/>
      <c r="H643" s="384"/>
      <c r="I643" s="384"/>
      <c r="J643" s="384"/>
      <c r="K643" s="384"/>
      <c r="L643" s="384"/>
      <c r="M643" s="384"/>
      <c r="N643" s="384"/>
      <c r="O643" s="384"/>
      <c r="P643" s="384"/>
      <c r="Q643" s="384"/>
    </row>
    <row r="644">
      <c r="A644" s="396" t="str">
        <f>IFERROR(__xludf.DUMMYFUNCTION("""COMPUTED_VALUE"""),"Cinthia Silva Raslan | Teodilo Otoni - MG | 45645")</f>
        <v>Cinthia Silva Raslan | Teodilo Otoni - MG | 45645</v>
      </c>
      <c r="B644" s="396"/>
      <c r="C644" s="384"/>
      <c r="D644" s="384"/>
      <c r="E644" s="384"/>
      <c r="F644" s="384"/>
      <c r="G644" s="384"/>
      <c r="H644" s="384"/>
      <c r="I644" s="384"/>
      <c r="J644" s="384"/>
      <c r="K644" s="384"/>
      <c r="L644" s="384"/>
      <c r="M644" s="384"/>
      <c r="N644" s="384"/>
      <c r="O644" s="384"/>
      <c r="P644" s="384"/>
      <c r="Q644" s="384"/>
    </row>
    <row r="645">
      <c r="A645" s="396" t="str">
        <f>IFERROR(__xludf.DUMMYFUNCTION("""COMPUTED_VALUE"""),"Luis Davi Cucco Avelar de Freitas | Duque de Caxias - RJ | 45707")</f>
        <v>Luis Davi Cucco Avelar de Freitas | Duque de Caxias - RJ | 45707</v>
      </c>
      <c r="B645" s="396"/>
      <c r="C645" s="384"/>
      <c r="D645" s="384"/>
      <c r="E645" s="384"/>
      <c r="F645" s="384"/>
      <c r="G645" s="384"/>
      <c r="H645" s="384"/>
      <c r="I645" s="384"/>
      <c r="J645" s="384"/>
      <c r="K645" s="384"/>
      <c r="L645" s="384"/>
      <c r="M645" s="384"/>
      <c r="N645" s="384"/>
      <c r="O645" s="384"/>
      <c r="P645" s="384"/>
      <c r="Q645" s="384"/>
    </row>
    <row r="646">
      <c r="A646" s="396" t="str">
        <f>IFERROR(__xludf.DUMMYFUNCTION("""COMPUTED_VALUE"""),"Sarah Estevão da Costa Teixeira |  | 45195")</f>
        <v>Sarah Estevão da Costa Teixeira |  | 45195</v>
      </c>
      <c r="B646" s="396"/>
      <c r="C646" s="384"/>
      <c r="D646" s="384"/>
      <c r="E646" s="384"/>
      <c r="F646" s="384"/>
      <c r="G646" s="384"/>
      <c r="H646" s="384"/>
      <c r="I646" s="384"/>
      <c r="J646" s="384"/>
      <c r="K646" s="384"/>
      <c r="L646" s="384"/>
      <c r="M646" s="384"/>
      <c r="N646" s="384"/>
      <c r="O646" s="384"/>
      <c r="P646" s="384"/>
      <c r="Q646" s="384"/>
    </row>
    <row r="647">
      <c r="A647" s="396" t="str">
        <f>IFERROR(__xludf.DUMMYFUNCTION("""COMPUTED_VALUE"""),"Ivaneide de Souza | São Paulo - SP | 44322")</f>
        <v>Ivaneide de Souza | São Paulo - SP | 44322</v>
      </c>
      <c r="B647" s="396"/>
      <c r="C647" s="384"/>
      <c r="D647" s="384"/>
      <c r="E647" s="384"/>
      <c r="F647" s="384"/>
      <c r="G647" s="384"/>
      <c r="H647" s="384"/>
      <c r="I647" s="384"/>
      <c r="J647" s="384"/>
      <c r="K647" s="384"/>
      <c r="L647" s="384"/>
      <c r="M647" s="384"/>
      <c r="N647" s="384"/>
      <c r="O647" s="384"/>
      <c r="P647" s="384"/>
      <c r="Q647" s="384"/>
    </row>
    <row r="648">
      <c r="A648" s="396" t="str">
        <f>IFERROR(__xludf.DUMMYFUNCTION("""COMPUTED_VALUE"""),"Gabriela Rosas Brandão | BRASÍLIA/DF | ")</f>
        <v>Gabriela Rosas Brandão | BRASÍLIA/DF | </v>
      </c>
      <c r="B648" s="396"/>
      <c r="C648" s="384"/>
      <c r="D648" s="384"/>
      <c r="E648" s="384"/>
      <c r="F648" s="384"/>
      <c r="G648" s="384"/>
      <c r="H648" s="384"/>
      <c r="I648" s="384"/>
      <c r="J648" s="384"/>
      <c r="K648" s="384"/>
      <c r="L648" s="384"/>
      <c r="M648" s="384"/>
      <c r="N648" s="384"/>
      <c r="O648" s="384"/>
      <c r="P648" s="384"/>
      <c r="Q648" s="384"/>
    </row>
    <row r="649">
      <c r="A649" s="396" t="str">
        <f>IFERROR(__xludf.DUMMYFUNCTION("""COMPUTED_VALUE"""),"Joyci Pereira Lima |  | 44364")</f>
        <v>Joyci Pereira Lima |  | 44364</v>
      </c>
      <c r="B649" s="396"/>
      <c r="C649" s="384"/>
      <c r="D649" s="384"/>
      <c r="E649" s="384"/>
      <c r="F649" s="384"/>
      <c r="G649" s="384"/>
      <c r="H649" s="384"/>
      <c r="I649" s="384"/>
      <c r="J649" s="384"/>
      <c r="K649" s="384"/>
      <c r="L649" s="384"/>
      <c r="M649" s="384"/>
      <c r="N649" s="384"/>
      <c r="O649" s="384"/>
      <c r="P649" s="384"/>
      <c r="Q649" s="384"/>
    </row>
    <row r="650">
      <c r="A650" s="396" t="str">
        <f>IFERROR(__xludf.DUMMYFUNCTION("""COMPUTED_VALUE"""),"Leandro José Osti |  | ")</f>
        <v>Leandro José Osti |  | </v>
      </c>
      <c r="B650" s="396"/>
      <c r="C650" s="384"/>
      <c r="D650" s="384"/>
      <c r="E650" s="384"/>
      <c r="F650" s="384"/>
      <c r="G650" s="384"/>
      <c r="H650" s="384"/>
      <c r="I650" s="384"/>
      <c r="J650" s="384"/>
      <c r="K650" s="384"/>
      <c r="L650" s="384"/>
      <c r="M650" s="384"/>
      <c r="N650" s="384"/>
      <c r="O650" s="384"/>
      <c r="P650" s="384"/>
      <c r="Q650" s="384"/>
    </row>
    <row r="651">
      <c r="A651" s="396" t="str">
        <f>IFERROR(__xludf.DUMMYFUNCTION("""COMPUTED_VALUE"""),"Igor da Silva Bernardo |  | 45712")</f>
        <v>Igor da Silva Bernardo |  | 45712</v>
      </c>
      <c r="B651" s="396"/>
      <c r="C651" s="384"/>
      <c r="D651" s="384"/>
      <c r="E651" s="384"/>
      <c r="F651" s="384"/>
      <c r="G651" s="384"/>
      <c r="H651" s="384"/>
      <c r="I651" s="384"/>
      <c r="J651" s="384"/>
      <c r="K651" s="384"/>
      <c r="L651" s="384"/>
      <c r="M651" s="384"/>
      <c r="N651" s="384"/>
      <c r="O651" s="384"/>
      <c r="P651" s="384"/>
      <c r="Q651" s="384"/>
    </row>
    <row r="652">
      <c r="A652" s="396" t="str">
        <f>IFERROR(__xludf.DUMMYFUNCTION("""COMPUTED_VALUE"""),"Selma de oliveira |  | 45182")</f>
        <v>Selma de oliveira |  | 45182</v>
      </c>
      <c r="B652" s="396"/>
      <c r="C652" s="384"/>
      <c r="D652" s="384"/>
      <c r="E652" s="384"/>
      <c r="F652" s="384"/>
      <c r="G652" s="384"/>
      <c r="H652" s="384"/>
      <c r="I652" s="384"/>
      <c r="J652" s="384"/>
      <c r="K652" s="384"/>
      <c r="L652" s="384"/>
      <c r="M652" s="384"/>
      <c r="N652" s="384"/>
      <c r="O652" s="384"/>
      <c r="P652" s="384"/>
      <c r="Q652" s="384"/>
    </row>
    <row r="653">
      <c r="A653" s="396" t="str">
        <f>IFERROR(__xludf.DUMMYFUNCTION("""COMPUTED_VALUE"""),"Elizabeth Forni | Garça - SP | 45609")</f>
        <v>Elizabeth Forni | Garça - SP | 45609</v>
      </c>
      <c r="B653" s="396"/>
      <c r="C653" s="384"/>
      <c r="D653" s="384"/>
      <c r="E653" s="384"/>
      <c r="F653" s="384"/>
      <c r="G653" s="384"/>
      <c r="H653" s="384"/>
      <c r="I653" s="384"/>
      <c r="J653" s="384"/>
      <c r="K653" s="384"/>
      <c r="L653" s="384"/>
      <c r="M653" s="384"/>
      <c r="N653" s="384"/>
      <c r="O653" s="384"/>
      <c r="P653" s="384"/>
      <c r="Q653" s="384"/>
    </row>
    <row r="654">
      <c r="A654" s="396" t="str">
        <f>IFERROR(__xludf.DUMMYFUNCTION("""COMPUTED_VALUE"""),"Berenice de Castro Herculano Silva | Canaa - MG | 44720")</f>
        <v>Berenice de Castro Herculano Silva | Canaa - MG | 44720</v>
      </c>
      <c r="B654" s="396"/>
      <c r="C654" s="384"/>
      <c r="D654" s="384"/>
      <c r="E654" s="384"/>
      <c r="F654" s="384"/>
      <c r="G654" s="384"/>
      <c r="H654" s="384"/>
      <c r="I654" s="384"/>
      <c r="J654" s="384"/>
      <c r="K654" s="384"/>
      <c r="L654" s="384"/>
      <c r="M654" s="384"/>
      <c r="N654" s="384"/>
      <c r="O654" s="384"/>
      <c r="P654" s="384"/>
      <c r="Q654" s="384"/>
    </row>
    <row r="655">
      <c r="A655" s="396" t="str">
        <f>IFERROR(__xludf.DUMMYFUNCTION("""COMPUTED_VALUE"""),"Wamberson Adelino | Santa Rita - PB | 45110")</f>
        <v>Wamberson Adelino | Santa Rita - PB | 45110</v>
      </c>
      <c r="B655" s="396"/>
      <c r="C655" s="384"/>
      <c r="D655" s="384"/>
      <c r="E655" s="384"/>
      <c r="F655" s="384"/>
      <c r="G655" s="384"/>
      <c r="H655" s="384"/>
      <c r="I655" s="384"/>
      <c r="J655" s="384"/>
      <c r="K655" s="384"/>
      <c r="L655" s="384"/>
      <c r="M655" s="384"/>
      <c r="N655" s="384"/>
      <c r="O655" s="384"/>
      <c r="P655" s="384"/>
      <c r="Q655" s="384"/>
    </row>
    <row r="656">
      <c r="A656" s="396" t="str">
        <f>IFERROR(__xludf.DUMMYFUNCTION("""COMPUTED_VALUE"""),"HERMÓGENES OLIVEIRA NEVES | Bahia - BA | 45299")</f>
        <v>HERMÓGENES OLIVEIRA NEVES | Bahia - BA | 45299</v>
      </c>
      <c r="B656" s="396"/>
      <c r="C656" s="384"/>
      <c r="D656" s="384"/>
      <c r="E656" s="384"/>
      <c r="F656" s="384"/>
      <c r="G656" s="384"/>
      <c r="H656" s="384"/>
      <c r="I656" s="384"/>
      <c r="J656" s="384"/>
      <c r="K656" s="384"/>
      <c r="L656" s="384"/>
      <c r="M656" s="384"/>
      <c r="N656" s="384"/>
      <c r="O656" s="384"/>
      <c r="P656" s="384"/>
      <c r="Q656" s="384"/>
    </row>
    <row r="657">
      <c r="A657" s="396" t="str">
        <f>IFERROR(__xludf.DUMMYFUNCTION("""COMPUTED_VALUE"""),"Adenilton dos Reis Lima | Irituia - PA | 45299")</f>
        <v>Adenilton dos Reis Lima | Irituia - PA | 45299</v>
      </c>
      <c r="B657" s="396"/>
      <c r="C657" s="384"/>
      <c r="D657" s="384"/>
      <c r="E657" s="384"/>
      <c r="F657" s="384"/>
      <c r="G657" s="384"/>
      <c r="H657" s="384"/>
      <c r="I657" s="384"/>
      <c r="J657" s="384"/>
      <c r="K657" s="384"/>
      <c r="L657" s="384"/>
      <c r="M657" s="384"/>
      <c r="N657" s="384"/>
      <c r="O657" s="384"/>
      <c r="P657" s="384"/>
      <c r="Q657" s="384"/>
    </row>
    <row r="658">
      <c r="A658" s="396" t="str">
        <f>IFERROR(__xludf.DUMMYFUNCTION("""COMPUTED_VALUE"""),"Antônio Ferreira da Silva | Potengi - CE | 44781")</f>
        <v>Antônio Ferreira da Silva | Potengi - CE | 44781</v>
      </c>
      <c r="B658" s="396"/>
      <c r="C658" s="384"/>
      <c r="D658" s="384"/>
      <c r="E658" s="384"/>
      <c r="F658" s="384"/>
      <c r="G658" s="384"/>
      <c r="H658" s="384"/>
      <c r="I658" s="384"/>
      <c r="J658" s="384"/>
      <c r="K658" s="384"/>
      <c r="L658" s="384"/>
      <c r="M658" s="384"/>
      <c r="N658" s="384"/>
      <c r="O658" s="384"/>
      <c r="P658" s="384"/>
      <c r="Q658" s="384"/>
    </row>
    <row r="659">
      <c r="A659" s="396" t="str">
        <f>IFERROR(__xludf.DUMMYFUNCTION("""COMPUTED_VALUE"""),"Nivaldo Lisboa da Silva |  | 44775")</f>
        <v>Nivaldo Lisboa da Silva |  | 44775</v>
      </c>
      <c r="B659" s="396"/>
      <c r="C659" s="384"/>
      <c r="D659" s="384"/>
      <c r="E659" s="384"/>
      <c r="F659" s="384"/>
      <c r="G659" s="384"/>
      <c r="H659" s="384"/>
      <c r="I659" s="384"/>
      <c r="J659" s="384"/>
      <c r="K659" s="384"/>
      <c r="L659" s="384"/>
      <c r="M659" s="384"/>
      <c r="N659" s="384"/>
      <c r="O659" s="384"/>
      <c r="P659" s="384"/>
      <c r="Q659" s="384"/>
    </row>
    <row r="660">
      <c r="A660" s="396" t="str">
        <f>IFERROR(__xludf.DUMMYFUNCTION("""COMPUTED_VALUE"""),"Marcos André Gomes de Andrade | Ipubi - PE | 44756")</f>
        <v>Marcos André Gomes de Andrade | Ipubi - PE | 44756</v>
      </c>
      <c r="B660" s="396"/>
      <c r="C660" s="384"/>
      <c r="D660" s="384"/>
      <c r="E660" s="384"/>
      <c r="F660" s="384"/>
      <c r="G660" s="384"/>
      <c r="H660" s="384"/>
      <c r="I660" s="384"/>
      <c r="J660" s="384"/>
      <c r="K660" s="384"/>
      <c r="L660" s="384"/>
      <c r="M660" s="384"/>
      <c r="N660" s="384"/>
      <c r="O660" s="384"/>
      <c r="P660" s="384"/>
      <c r="Q660" s="384"/>
    </row>
    <row r="661">
      <c r="A661" s="396" t="str">
        <f>IFERROR(__xludf.DUMMYFUNCTION("""COMPUTED_VALUE"""),"Nayara Tallita Moreno Rodrigues | Rurópolis - PA | 45110")</f>
        <v>Nayara Tallita Moreno Rodrigues | Rurópolis - PA | 45110</v>
      </c>
      <c r="B661" s="396"/>
      <c r="C661" s="384"/>
      <c r="D661" s="384"/>
      <c r="E661" s="384"/>
      <c r="F661" s="384"/>
      <c r="G661" s="384"/>
      <c r="H661" s="384"/>
      <c r="I661" s="384"/>
      <c r="J661" s="384"/>
      <c r="K661" s="384"/>
      <c r="L661" s="384"/>
      <c r="M661" s="384"/>
      <c r="N661" s="384"/>
      <c r="O661" s="384"/>
      <c r="P661" s="384"/>
      <c r="Q661" s="384"/>
    </row>
    <row r="662">
      <c r="A662" s="396" t="str">
        <f>IFERROR(__xludf.DUMMYFUNCTION("""COMPUTED_VALUE"""),"Leonildo Ferreira do Nascimento | Mairinque - SP | 45692")</f>
        <v>Leonildo Ferreira do Nascimento | Mairinque - SP | 45692</v>
      </c>
      <c r="B662" s="396"/>
      <c r="C662" s="384"/>
      <c r="D662" s="384"/>
      <c r="E662" s="384"/>
      <c r="F662" s="384"/>
      <c r="G662" s="384"/>
      <c r="H662" s="384"/>
      <c r="I662" s="384"/>
      <c r="J662" s="384"/>
      <c r="K662" s="384"/>
      <c r="L662" s="384"/>
      <c r="M662" s="384"/>
      <c r="N662" s="384"/>
      <c r="O662" s="384"/>
      <c r="P662" s="384"/>
      <c r="Q662" s="384"/>
    </row>
    <row r="663">
      <c r="A663" s="396" t="str">
        <f>IFERROR(__xludf.DUMMYFUNCTION("""COMPUTED_VALUE"""),"Andrêssa Cristina Generoso Tripode | Brasília - DF | 45348")</f>
        <v>Andrêssa Cristina Generoso Tripode | Brasília - DF | 45348</v>
      </c>
      <c r="B663" s="396"/>
      <c r="C663" s="384"/>
      <c r="D663" s="384"/>
      <c r="E663" s="384"/>
      <c r="F663" s="384"/>
      <c r="G663" s="384"/>
      <c r="H663" s="384"/>
      <c r="I663" s="384"/>
      <c r="J663" s="384"/>
      <c r="K663" s="384"/>
      <c r="L663" s="384"/>
      <c r="M663" s="384"/>
      <c r="N663" s="384"/>
      <c r="O663" s="384"/>
      <c r="P663" s="384"/>
      <c r="Q663" s="384"/>
    </row>
    <row r="664">
      <c r="A664" s="396" t="str">
        <f>IFERROR(__xludf.DUMMYFUNCTION("""COMPUTED_VALUE"""),"Silvia Maria da Rocha Nascimento |  | ")</f>
        <v>Silvia Maria da Rocha Nascimento |  | </v>
      </c>
      <c r="B664" s="396"/>
      <c r="C664" s="384"/>
      <c r="D664" s="384"/>
      <c r="E664" s="384"/>
      <c r="F664" s="384"/>
      <c r="G664" s="384"/>
      <c r="H664" s="384"/>
      <c r="I664" s="384"/>
      <c r="J664" s="384"/>
      <c r="K664" s="384"/>
      <c r="L664" s="384"/>
      <c r="M664" s="384"/>
      <c r="N664" s="384"/>
      <c r="O664" s="384"/>
      <c r="P664" s="384"/>
      <c r="Q664" s="384"/>
    </row>
    <row r="665">
      <c r="A665" s="396" t="str">
        <f>IFERROR(__xludf.DUMMYFUNCTION("""COMPUTED_VALUE"""),"Laís Vargas Ramm |  | 45229")</f>
        <v>Laís Vargas Ramm |  | 45229</v>
      </c>
      <c r="B665" s="396"/>
      <c r="C665" s="384"/>
      <c r="D665" s="384"/>
      <c r="E665" s="384"/>
      <c r="F665" s="384"/>
      <c r="G665" s="384"/>
      <c r="H665" s="384"/>
      <c r="I665" s="384"/>
      <c r="J665" s="384"/>
      <c r="K665" s="384"/>
      <c r="L665" s="384"/>
      <c r="M665" s="384"/>
      <c r="N665" s="384"/>
      <c r="O665" s="384"/>
      <c r="P665" s="384"/>
      <c r="Q665" s="384"/>
    </row>
    <row r="666">
      <c r="A666" s="396" t="str">
        <f>IFERROR(__xludf.DUMMYFUNCTION("""COMPUTED_VALUE"""),"Jôsy Michelly Ferreira da Costa | REDENCAO-CE | 45065")</f>
        <v>Jôsy Michelly Ferreira da Costa | REDENCAO-CE | 45065</v>
      </c>
      <c r="B666" s="396"/>
      <c r="C666" s="384"/>
      <c r="D666" s="384"/>
      <c r="E666" s="384"/>
      <c r="F666" s="384"/>
      <c r="G666" s="384"/>
      <c r="H666" s="384"/>
      <c r="I666" s="384"/>
      <c r="J666" s="384"/>
      <c r="K666" s="384"/>
      <c r="L666" s="384"/>
      <c r="M666" s="384"/>
      <c r="N666" s="384"/>
      <c r="O666" s="384"/>
      <c r="P666" s="384"/>
      <c r="Q666" s="384"/>
    </row>
    <row r="667">
      <c r="A667" s="396" t="str">
        <f>IFERROR(__xludf.DUMMYFUNCTION("""COMPUTED_VALUE"""),"Ketura delin de Araújo |  | ")</f>
        <v>Ketura delin de Araújo |  | </v>
      </c>
      <c r="B667" s="396"/>
      <c r="C667" s="384"/>
      <c r="D667" s="384"/>
      <c r="E667" s="384"/>
      <c r="F667" s="384"/>
      <c r="G667" s="384"/>
      <c r="H667" s="384"/>
      <c r="I667" s="384"/>
      <c r="J667" s="384"/>
      <c r="K667" s="384"/>
      <c r="L667" s="384"/>
      <c r="M667" s="384"/>
      <c r="N667" s="384"/>
      <c r="O667" s="384"/>
      <c r="P667" s="384"/>
      <c r="Q667" s="384"/>
    </row>
    <row r="668">
      <c r="A668" s="396" t="str">
        <f>IFERROR(__xludf.DUMMYFUNCTION("""COMPUTED_VALUE"""),"Ketura delin de Araújo |  | ")</f>
        <v>Ketura delin de Araújo |  | </v>
      </c>
      <c r="B668" s="396"/>
      <c r="C668" s="384"/>
      <c r="D668" s="384"/>
      <c r="E668" s="384"/>
      <c r="F668" s="384"/>
      <c r="G668" s="384"/>
      <c r="H668" s="384"/>
      <c r="I668" s="384"/>
      <c r="J668" s="384"/>
      <c r="K668" s="384"/>
      <c r="L668" s="384"/>
      <c r="M668" s="384"/>
      <c r="N668" s="384"/>
      <c r="O668" s="384"/>
      <c r="P668" s="384"/>
      <c r="Q668" s="384"/>
    </row>
    <row r="669">
      <c r="A669" s="396" t="str">
        <f>IFERROR(__xludf.DUMMYFUNCTION("""COMPUTED_VALUE""")," |  | ")</f>
        <v> |  | </v>
      </c>
      <c r="B669" s="396"/>
      <c r="C669" s="384"/>
      <c r="D669" s="384"/>
      <c r="E669" s="384"/>
      <c r="F669" s="384"/>
      <c r="G669" s="384"/>
      <c r="H669" s="384"/>
      <c r="I669" s="384"/>
      <c r="J669" s="384"/>
      <c r="K669" s="384"/>
      <c r="L669" s="384"/>
      <c r="M669" s="384"/>
      <c r="N669" s="384"/>
      <c r="O669" s="384"/>
      <c r="P669" s="384"/>
      <c r="Q669" s="384"/>
    </row>
    <row r="670">
      <c r="A670" s="396" t="str">
        <f>IFERROR(__xludf.DUMMYFUNCTION("""COMPUTED_VALUE"""),"ALUNO | Naturalidade | INÍCIO CURSO")</f>
        <v>ALUNO | Naturalidade | INÍCIO CURSO</v>
      </c>
      <c r="B670" s="396"/>
      <c r="C670" s="384"/>
      <c r="D670" s="384"/>
      <c r="E670" s="384"/>
      <c r="F670" s="384"/>
      <c r="G670" s="384"/>
      <c r="H670" s="384"/>
      <c r="I670" s="384"/>
      <c r="J670" s="384"/>
      <c r="K670" s="384"/>
      <c r="L670" s="384"/>
      <c r="M670" s="384"/>
      <c r="N670" s="384"/>
      <c r="O670" s="384"/>
      <c r="P670" s="384"/>
      <c r="Q670" s="384"/>
    </row>
    <row r="671">
      <c r="A671" s="396" t="str">
        <f>IFERROR(__xludf.DUMMYFUNCTION("""COMPUTED_VALUE"""),"Ketura delin de Araújo |  | ")</f>
        <v>Ketura delin de Araújo |  | </v>
      </c>
      <c r="B671" s="396"/>
      <c r="C671" s="384"/>
      <c r="D671" s="384"/>
      <c r="E671" s="384"/>
      <c r="F671" s="384"/>
      <c r="G671" s="384"/>
      <c r="H671" s="384"/>
      <c r="I671" s="384"/>
      <c r="J671" s="384"/>
      <c r="K671" s="384"/>
      <c r="L671" s="384"/>
      <c r="M671" s="384"/>
      <c r="N671" s="384"/>
      <c r="O671" s="384"/>
      <c r="P671" s="384"/>
      <c r="Q671" s="384"/>
    </row>
    <row r="672">
      <c r="A672" s="396" t="str">
        <f>IFERROR(__xludf.DUMMYFUNCTION("""COMPUTED_VALUE"""),"Ketura delin de Araújo |  | ")</f>
        <v>Ketura delin de Araújo |  | </v>
      </c>
      <c r="B672" s="396"/>
      <c r="C672" s="384"/>
      <c r="D672" s="384"/>
      <c r="E672" s="384"/>
      <c r="F672" s="384"/>
      <c r="G672" s="384"/>
      <c r="H672" s="384"/>
      <c r="I672" s="384"/>
      <c r="J672" s="384"/>
      <c r="K672" s="384"/>
      <c r="L672" s="384"/>
      <c r="M672" s="384"/>
      <c r="N672" s="384"/>
      <c r="O672" s="384"/>
      <c r="P672" s="384"/>
      <c r="Q672" s="384"/>
    </row>
    <row r="673">
      <c r="A673" s="396" t="str">
        <f>IFERROR(__xludf.DUMMYFUNCTION("""COMPUTED_VALUE"""),"Everson Gomes de Oliveira | Colatina - ES | 45313")</f>
        <v>Everson Gomes de Oliveira | Colatina - ES | 45313</v>
      </c>
      <c r="B673" s="396"/>
      <c r="C673" s="384"/>
      <c r="D673" s="384"/>
      <c r="E673" s="384"/>
      <c r="F673" s="384"/>
      <c r="G673" s="384"/>
      <c r="H673" s="384"/>
      <c r="I673" s="384"/>
      <c r="J673" s="384"/>
      <c r="K673" s="384"/>
      <c r="L673" s="384"/>
      <c r="M673" s="384"/>
      <c r="N673" s="384"/>
      <c r="O673" s="384"/>
      <c r="P673" s="384"/>
      <c r="Q673" s="384"/>
    </row>
    <row r="674">
      <c r="A674" s="396" t="str">
        <f>IFERROR(__xludf.DUMMYFUNCTION("""COMPUTED_VALUE"""),"Emerson Carlos Ribeiro | Campinas - SP | 45726")</f>
        <v>Emerson Carlos Ribeiro | Campinas - SP | 45726</v>
      </c>
      <c r="B674" s="396"/>
      <c r="C674" s="384"/>
      <c r="D674" s="384"/>
      <c r="E674" s="384"/>
      <c r="F674" s="384"/>
      <c r="G674" s="384"/>
      <c r="H674" s="384"/>
      <c r="I674" s="384"/>
      <c r="J674" s="384"/>
      <c r="K674" s="384"/>
      <c r="L674" s="384"/>
      <c r="M674" s="384"/>
      <c r="N674" s="384"/>
      <c r="O674" s="384"/>
      <c r="P674" s="384"/>
      <c r="Q674" s="384"/>
    </row>
    <row r="675">
      <c r="A675" s="396" t="str">
        <f>IFERROR(__xludf.DUMMYFUNCTION("""COMPUTED_VALUE"""),"CLERINGTON DA SILVA INACIO |  | ")</f>
        <v>CLERINGTON DA SILVA INACIO |  | </v>
      </c>
      <c r="B675" s="396"/>
      <c r="C675" s="384"/>
      <c r="D675" s="384"/>
      <c r="E675" s="384"/>
      <c r="F675" s="384"/>
      <c r="G675" s="384"/>
      <c r="H675" s="384"/>
      <c r="I675" s="384"/>
      <c r="J675" s="384"/>
      <c r="K675" s="384"/>
      <c r="L675" s="384"/>
      <c r="M675" s="384"/>
      <c r="N675" s="384"/>
      <c r="O675" s="384"/>
      <c r="P675" s="384"/>
      <c r="Q675" s="384"/>
    </row>
    <row r="676">
      <c r="A676" s="396" t="str">
        <f>IFERROR(__xludf.DUMMYFUNCTION("""COMPUTED_VALUE"""),"Leonildo Ferreira do Nascimento | Mairinque - SP | 45692")</f>
        <v>Leonildo Ferreira do Nascimento | Mairinque - SP | 45692</v>
      </c>
      <c r="B676" s="396"/>
      <c r="C676" s="384"/>
      <c r="D676" s="384"/>
      <c r="E676" s="384"/>
      <c r="F676" s="384"/>
      <c r="G676" s="384"/>
      <c r="H676" s="384"/>
      <c r="I676" s="384"/>
      <c r="J676" s="384"/>
      <c r="K676" s="384"/>
      <c r="L676" s="384"/>
      <c r="M676" s="384"/>
      <c r="N676" s="384"/>
      <c r="O676" s="384"/>
      <c r="P676" s="384"/>
      <c r="Q676" s="384"/>
    </row>
    <row r="677">
      <c r="A677" s="396" t="str">
        <f>IFERROR(__xludf.DUMMYFUNCTION("""COMPUTED_VALUE"""),"Claiton Tavares Reinhardt | Pedro Osório - RS | 45707")</f>
        <v>Claiton Tavares Reinhardt | Pedro Osório - RS | 45707</v>
      </c>
      <c r="B677" s="396"/>
      <c r="C677" s="384"/>
      <c r="D677" s="384"/>
      <c r="E677" s="384"/>
      <c r="F677" s="384"/>
      <c r="G677" s="384"/>
      <c r="H677" s="384"/>
      <c r="I677" s="384"/>
      <c r="J677" s="384"/>
      <c r="K677" s="384"/>
      <c r="L677" s="384"/>
      <c r="M677" s="384"/>
      <c r="N677" s="384"/>
      <c r="O677" s="384"/>
      <c r="P677" s="384"/>
      <c r="Q677" s="384"/>
    </row>
    <row r="678">
      <c r="A678" s="396" t="str">
        <f>IFERROR(__xludf.DUMMYFUNCTION("""COMPUTED_VALUE"""),"Ruana Beth de Almeida | Rio de Janeiro - RJ | 45455")</f>
        <v>Ruana Beth de Almeida | Rio de Janeiro - RJ | 45455</v>
      </c>
      <c r="B678" s="396"/>
      <c r="C678" s="384"/>
      <c r="D678" s="384"/>
      <c r="E678" s="384"/>
      <c r="F678" s="384"/>
      <c r="G678" s="384"/>
      <c r="H678" s="384"/>
      <c r="I678" s="384"/>
      <c r="J678" s="384"/>
      <c r="K678" s="384"/>
      <c r="L678" s="384"/>
      <c r="M678" s="384"/>
      <c r="N678" s="384"/>
      <c r="O678" s="384"/>
      <c r="P678" s="384"/>
      <c r="Q678" s="384"/>
    </row>
    <row r="679">
      <c r="A679" s="396" t="str">
        <f>IFERROR(__xludf.DUMMYFUNCTION("""COMPUTED_VALUE"""),"Sandra Berté |  | ")</f>
        <v>Sandra Berté |  | </v>
      </c>
      <c r="B679" s="396"/>
      <c r="C679" s="384"/>
      <c r="D679" s="384"/>
      <c r="E679" s="384"/>
      <c r="F679" s="384"/>
      <c r="G679" s="384"/>
      <c r="H679" s="384"/>
      <c r="I679" s="384"/>
      <c r="J679" s="384"/>
      <c r="K679" s="384"/>
      <c r="L679" s="384"/>
      <c r="M679" s="384"/>
      <c r="N679" s="384"/>
      <c r="O679" s="384"/>
      <c r="P679" s="384"/>
      <c r="Q679" s="384"/>
    </row>
    <row r="680">
      <c r="A680" s="396" t="str">
        <f>IFERROR(__xludf.DUMMYFUNCTION("""COMPUTED_VALUE"""),"Janaína Marchioretto Mella | Anta Gorda - RS | 45721")</f>
        <v>Janaína Marchioretto Mella | Anta Gorda - RS | 45721</v>
      </c>
      <c r="B680" s="396"/>
      <c r="C680" s="384"/>
      <c r="D680" s="384"/>
      <c r="E680" s="384"/>
      <c r="F680" s="384"/>
      <c r="G680" s="384"/>
      <c r="H680" s="384"/>
      <c r="I680" s="384"/>
      <c r="J680" s="384"/>
      <c r="K680" s="384"/>
      <c r="L680" s="384"/>
      <c r="M680" s="384"/>
      <c r="N680" s="384"/>
      <c r="O680" s="384"/>
      <c r="P680" s="384"/>
      <c r="Q680" s="384"/>
    </row>
    <row r="681">
      <c r="A681" s="396" t="str">
        <f>IFERROR(__xludf.DUMMYFUNCTION("""COMPUTED_VALUE"""),"Wmarley Antônio Pedro Martins |  | ")</f>
        <v>Wmarley Antônio Pedro Martins |  | </v>
      </c>
      <c r="B681" s="396"/>
      <c r="C681" s="384"/>
      <c r="D681" s="384"/>
      <c r="E681" s="384"/>
      <c r="F681" s="384"/>
      <c r="G681" s="384"/>
      <c r="H681" s="384"/>
      <c r="I681" s="384"/>
      <c r="J681" s="384"/>
      <c r="K681" s="384"/>
      <c r="L681" s="384"/>
      <c r="M681" s="384"/>
      <c r="N681" s="384"/>
      <c r="O681" s="384"/>
      <c r="P681" s="384"/>
      <c r="Q681" s="384"/>
    </row>
    <row r="682">
      <c r="A682" s="396" t="str">
        <f>IFERROR(__xludf.DUMMYFUNCTION("""COMPUTED_VALUE"""),"Jeneffer Vilela de Souza Almeida |  | 45356")</f>
        <v>Jeneffer Vilela de Souza Almeida |  | 45356</v>
      </c>
      <c r="B682" s="396"/>
      <c r="C682" s="384"/>
      <c r="D682" s="384"/>
      <c r="E682" s="384"/>
      <c r="F682" s="384"/>
      <c r="G682" s="384"/>
      <c r="H682" s="384"/>
      <c r="I682" s="384"/>
      <c r="J682" s="384"/>
      <c r="K682" s="384"/>
      <c r="L682" s="384"/>
      <c r="M682" s="384"/>
      <c r="N682" s="384"/>
      <c r="O682" s="384"/>
      <c r="P682" s="384"/>
      <c r="Q682" s="384"/>
    </row>
    <row r="683">
      <c r="A683" s="396" t="str">
        <f>IFERROR(__xludf.DUMMYFUNCTION("""COMPUTED_VALUE"""),"Beatriz Saraiva Garcia |  | 45695")</f>
        <v>Beatriz Saraiva Garcia |  | 45695</v>
      </c>
      <c r="B683" s="396"/>
      <c r="C683" s="384"/>
      <c r="D683" s="384"/>
      <c r="E683" s="384"/>
      <c r="F683" s="384"/>
      <c r="G683" s="384"/>
      <c r="H683" s="384"/>
      <c r="I683" s="384"/>
      <c r="J683" s="384"/>
      <c r="K683" s="384"/>
      <c r="L683" s="384"/>
      <c r="M683" s="384"/>
      <c r="N683" s="384"/>
      <c r="O683" s="384"/>
      <c r="P683" s="384"/>
      <c r="Q683" s="384"/>
    </row>
    <row r="684">
      <c r="A684" s="396" t="str">
        <f>IFERROR(__xludf.DUMMYFUNCTION("""COMPUTED_VALUE"""),"Beatriz Saraiva Garcia |  | 45695")</f>
        <v>Beatriz Saraiva Garcia |  | 45695</v>
      </c>
      <c r="B684" s="396"/>
      <c r="C684" s="384"/>
      <c r="D684" s="384"/>
      <c r="E684" s="384"/>
      <c r="F684" s="384"/>
      <c r="G684" s="384"/>
      <c r="H684" s="384"/>
      <c r="I684" s="384"/>
      <c r="J684" s="384"/>
      <c r="K684" s="384"/>
      <c r="L684" s="384"/>
      <c r="M684" s="384"/>
      <c r="N684" s="384"/>
      <c r="O684" s="384"/>
      <c r="P684" s="384"/>
      <c r="Q684" s="384"/>
    </row>
    <row r="685">
      <c r="A685" s="396" t="str">
        <f>IFERROR(__xludf.DUMMYFUNCTION("""COMPUTED_VALUE"""),"Beatriz Saraiva Garcia |  | 45695")</f>
        <v>Beatriz Saraiva Garcia |  | 45695</v>
      </c>
      <c r="B685" s="396"/>
      <c r="C685" s="384"/>
      <c r="D685" s="384"/>
      <c r="E685" s="384"/>
      <c r="F685" s="384"/>
      <c r="G685" s="384"/>
      <c r="H685" s="384"/>
      <c r="I685" s="384"/>
      <c r="J685" s="384"/>
      <c r="K685" s="384"/>
      <c r="L685" s="384"/>
      <c r="M685" s="384"/>
      <c r="N685" s="384"/>
      <c r="O685" s="384"/>
      <c r="P685" s="384"/>
      <c r="Q685" s="384"/>
    </row>
    <row r="686">
      <c r="A686" s="396" t="str">
        <f>IFERROR(__xludf.DUMMYFUNCTION("""COMPUTED_VALUE"""),"Tamires Silva Rodrigues |  | 45322")</f>
        <v>Tamires Silva Rodrigues |  | 45322</v>
      </c>
      <c r="B686" s="396"/>
      <c r="C686" s="384"/>
      <c r="D686" s="384"/>
      <c r="E686" s="384"/>
      <c r="F686" s="384"/>
      <c r="G686" s="384"/>
      <c r="H686" s="384"/>
      <c r="I686" s="384"/>
      <c r="J686" s="384"/>
      <c r="K686" s="384"/>
      <c r="L686" s="384"/>
      <c r="M686" s="384"/>
      <c r="N686" s="384"/>
      <c r="O686" s="384"/>
      <c r="P686" s="384"/>
      <c r="Q686" s="384"/>
    </row>
    <row r="687">
      <c r="A687" s="396" t="str">
        <f>IFERROR(__xludf.DUMMYFUNCTION("""COMPUTED_VALUE""")," |  | ")</f>
        <v> |  | </v>
      </c>
      <c r="B687" s="396"/>
      <c r="C687" s="384"/>
      <c r="D687" s="384"/>
      <c r="E687" s="384"/>
      <c r="F687" s="384"/>
      <c r="G687" s="384"/>
      <c r="H687" s="384"/>
      <c r="I687" s="384"/>
      <c r="J687" s="384"/>
      <c r="K687" s="384"/>
      <c r="L687" s="384"/>
      <c r="M687" s="384"/>
      <c r="N687" s="384"/>
      <c r="O687" s="384"/>
      <c r="P687" s="384"/>
      <c r="Q687" s="384"/>
    </row>
    <row r="688">
      <c r="A688" s="396" t="str">
        <f>IFERROR(__xludf.DUMMYFUNCTION("""COMPUTED_VALUE""")," |  | ")</f>
        <v> |  | </v>
      </c>
      <c r="B688" s="396"/>
      <c r="C688" s="384"/>
      <c r="D688" s="384"/>
      <c r="E688" s="384"/>
      <c r="F688" s="384"/>
      <c r="G688" s="384"/>
      <c r="H688" s="384"/>
      <c r="I688" s="384"/>
      <c r="J688" s="384"/>
      <c r="K688" s="384"/>
      <c r="L688" s="384"/>
      <c r="M688" s="384"/>
      <c r="N688" s="384"/>
      <c r="O688" s="384"/>
      <c r="P688" s="384"/>
      <c r="Q688" s="384"/>
    </row>
    <row r="689">
      <c r="A689" s="396" t="str">
        <f>IFERROR(__xludf.DUMMYFUNCTION("""COMPUTED_VALUE""")," |  | ")</f>
        <v> |  | </v>
      </c>
      <c r="B689" s="396"/>
      <c r="C689" s="384"/>
      <c r="D689" s="384"/>
      <c r="E689" s="384"/>
      <c r="F689" s="384"/>
      <c r="G689" s="384"/>
      <c r="H689" s="384"/>
      <c r="I689" s="384"/>
      <c r="J689" s="384"/>
      <c r="K689" s="384"/>
      <c r="L689" s="384"/>
      <c r="M689" s="384"/>
      <c r="N689" s="384"/>
      <c r="O689" s="384"/>
      <c r="P689" s="384"/>
      <c r="Q689" s="384"/>
    </row>
    <row r="690">
      <c r="A690" s="396" t="str">
        <f>IFERROR(__xludf.DUMMYFUNCTION("""COMPUTED_VALUE""")," |  | ")</f>
        <v> |  | </v>
      </c>
      <c r="B690" s="396"/>
      <c r="C690" s="384"/>
      <c r="D690" s="384"/>
      <c r="E690" s="384"/>
      <c r="F690" s="384"/>
      <c r="G690" s="384"/>
      <c r="H690" s="384"/>
      <c r="I690" s="384"/>
      <c r="J690" s="384"/>
      <c r="K690" s="384"/>
      <c r="L690" s="384"/>
      <c r="M690" s="384"/>
      <c r="N690" s="384"/>
      <c r="O690" s="384"/>
      <c r="P690" s="384"/>
      <c r="Q690" s="384"/>
    </row>
    <row r="691">
      <c r="A691" s="396" t="str">
        <f>IFERROR(__xludf.DUMMYFUNCTION("""COMPUTED_VALUE""")," |  | ")</f>
        <v> |  | </v>
      </c>
      <c r="B691" s="396"/>
      <c r="C691" s="384"/>
      <c r="D691" s="384"/>
      <c r="E691" s="384"/>
      <c r="F691" s="384"/>
      <c r="G691" s="384"/>
      <c r="H691" s="384"/>
      <c r="I691" s="384"/>
      <c r="J691" s="384"/>
      <c r="K691" s="384"/>
      <c r="L691" s="384"/>
      <c r="M691" s="384"/>
      <c r="N691" s="384"/>
      <c r="O691" s="384"/>
      <c r="P691" s="384"/>
      <c r="Q691" s="384"/>
    </row>
    <row r="692">
      <c r="A692" s="396" t="str">
        <f>IFERROR(__xludf.DUMMYFUNCTION("""COMPUTED_VALUE""")," |  | ")</f>
        <v> |  | </v>
      </c>
      <c r="B692" s="396"/>
      <c r="C692" s="384"/>
      <c r="D692" s="384"/>
      <c r="E692" s="384"/>
      <c r="F692" s="384"/>
      <c r="G692" s="384"/>
      <c r="H692" s="384"/>
      <c r="I692" s="384"/>
      <c r="J692" s="384"/>
      <c r="K692" s="384"/>
      <c r="L692" s="384"/>
      <c r="M692" s="384"/>
      <c r="N692" s="384"/>
      <c r="O692" s="384"/>
      <c r="P692" s="384"/>
      <c r="Q692" s="384"/>
    </row>
    <row r="693">
      <c r="A693" s="396" t="str">
        <f>IFERROR(__xludf.DUMMYFUNCTION("""COMPUTED_VALUE""")," |  | ")</f>
        <v> |  | </v>
      </c>
      <c r="B693" s="396"/>
      <c r="C693" s="384"/>
      <c r="D693" s="384"/>
      <c r="E693" s="384"/>
      <c r="F693" s="384"/>
      <c r="G693" s="384"/>
      <c r="H693" s="384"/>
      <c r="I693" s="384"/>
      <c r="J693" s="384"/>
      <c r="K693" s="384"/>
      <c r="L693" s="384"/>
      <c r="M693" s="384"/>
      <c r="N693" s="384"/>
      <c r="O693" s="384"/>
      <c r="P693" s="384"/>
      <c r="Q693" s="384"/>
    </row>
    <row r="694">
      <c r="A694" s="396" t="str">
        <f>IFERROR(__xludf.DUMMYFUNCTION("""COMPUTED_VALUE""")," |  | ")</f>
        <v> |  | </v>
      </c>
      <c r="B694" s="396"/>
      <c r="C694" s="384"/>
      <c r="D694" s="384"/>
      <c r="E694" s="384"/>
      <c r="F694" s="384"/>
      <c r="G694" s="384"/>
      <c r="H694" s="384"/>
      <c r="I694" s="384"/>
      <c r="J694" s="384"/>
      <c r="K694" s="384"/>
      <c r="L694" s="384"/>
      <c r="M694" s="384"/>
      <c r="N694" s="384"/>
      <c r="O694" s="384"/>
      <c r="P694" s="384"/>
      <c r="Q694" s="384"/>
    </row>
    <row r="695">
      <c r="A695" s="396" t="str">
        <f>IFERROR(__xludf.DUMMYFUNCTION("""COMPUTED_VALUE""")," |  | ")</f>
        <v> |  | </v>
      </c>
      <c r="B695" s="396"/>
      <c r="C695" s="384"/>
      <c r="D695" s="384"/>
      <c r="E695" s="384"/>
      <c r="F695" s="384"/>
      <c r="G695" s="384"/>
      <c r="H695" s="384"/>
      <c r="I695" s="384"/>
      <c r="J695" s="384"/>
      <c r="K695" s="384"/>
      <c r="L695" s="384"/>
      <c r="M695" s="384"/>
      <c r="N695" s="384"/>
      <c r="O695" s="384"/>
      <c r="P695" s="384"/>
      <c r="Q695" s="384"/>
    </row>
    <row r="696">
      <c r="A696" s="396" t="str">
        <f>IFERROR(__xludf.DUMMYFUNCTION("""COMPUTED_VALUE""")," |  | ")</f>
        <v> |  | </v>
      </c>
      <c r="B696" s="396"/>
      <c r="C696" s="384"/>
      <c r="D696" s="384"/>
      <c r="E696" s="384"/>
      <c r="F696" s="384"/>
      <c r="G696" s="384"/>
      <c r="H696" s="384"/>
      <c r="I696" s="384"/>
      <c r="J696" s="384"/>
      <c r="K696" s="384"/>
      <c r="L696" s="384"/>
      <c r="M696" s="384"/>
      <c r="N696" s="384"/>
      <c r="O696" s="384"/>
      <c r="P696" s="384"/>
      <c r="Q696" s="384"/>
    </row>
    <row r="697">
      <c r="A697" s="396" t="str">
        <f>IFERROR(__xludf.DUMMYFUNCTION("""COMPUTED_VALUE""")," |  | ")</f>
        <v> |  | </v>
      </c>
      <c r="B697" s="396"/>
      <c r="C697" s="384"/>
      <c r="D697" s="384"/>
      <c r="E697" s="384"/>
      <c r="F697" s="384"/>
      <c r="G697" s="384"/>
      <c r="H697" s="384"/>
      <c r="I697" s="384"/>
      <c r="J697" s="384"/>
      <c r="K697" s="384"/>
      <c r="L697" s="384"/>
      <c r="M697" s="384"/>
      <c r="N697" s="384"/>
      <c r="O697" s="384"/>
      <c r="P697" s="384"/>
      <c r="Q697" s="384"/>
    </row>
    <row r="698">
      <c r="A698" s="396" t="str">
        <f>IFERROR(__xludf.DUMMYFUNCTION("""COMPUTED_VALUE""")," |  | ")</f>
        <v> |  | </v>
      </c>
      <c r="B698" s="396"/>
      <c r="C698" s="384"/>
      <c r="D698" s="384"/>
      <c r="E698" s="384"/>
      <c r="F698" s="384"/>
      <c r="G698" s="384"/>
      <c r="H698" s="384"/>
      <c r="I698" s="384"/>
      <c r="J698" s="384"/>
      <c r="K698" s="384"/>
      <c r="L698" s="384"/>
      <c r="M698" s="384"/>
      <c r="N698" s="384"/>
      <c r="O698" s="384"/>
      <c r="P698" s="384"/>
      <c r="Q698" s="384"/>
    </row>
    <row r="699">
      <c r="A699" s="396" t="str">
        <f>IFERROR(__xludf.DUMMYFUNCTION("""COMPUTED_VALUE""")," |  | ")</f>
        <v> |  | </v>
      </c>
      <c r="B699" s="396"/>
      <c r="C699" s="384"/>
      <c r="D699" s="384"/>
      <c r="E699" s="384"/>
      <c r="F699" s="384"/>
      <c r="G699" s="384"/>
      <c r="H699" s="384"/>
      <c r="I699" s="384"/>
      <c r="J699" s="384"/>
      <c r="K699" s="384"/>
      <c r="L699" s="384"/>
      <c r="M699" s="384"/>
      <c r="N699" s="384"/>
      <c r="O699" s="384"/>
      <c r="P699" s="384"/>
      <c r="Q699" s="384"/>
    </row>
    <row r="700">
      <c r="A700" s="396" t="str">
        <f>IFERROR(__xludf.DUMMYFUNCTION("""COMPUTED_VALUE""")," |  | ")</f>
        <v> |  | </v>
      </c>
      <c r="B700" s="396"/>
      <c r="C700" s="384"/>
      <c r="D700" s="384"/>
      <c r="E700" s="384"/>
      <c r="F700" s="384"/>
      <c r="G700" s="384"/>
      <c r="H700" s="384"/>
      <c r="I700" s="384"/>
      <c r="J700" s="384"/>
      <c r="K700" s="384"/>
      <c r="L700" s="384"/>
      <c r="M700" s="384"/>
      <c r="N700" s="384"/>
      <c r="O700" s="384"/>
      <c r="P700" s="384"/>
      <c r="Q700" s="384"/>
    </row>
    <row r="701">
      <c r="A701" s="396" t="str">
        <f>IFERROR(__xludf.DUMMYFUNCTION("""COMPUTED_VALUE""")," |  | ")</f>
        <v> |  | </v>
      </c>
      <c r="B701" s="396"/>
      <c r="C701" s="384"/>
      <c r="D701" s="384"/>
      <c r="E701" s="384"/>
      <c r="F701" s="384"/>
      <c r="G701" s="384"/>
      <c r="H701" s="384"/>
      <c r="I701" s="384"/>
      <c r="J701" s="384"/>
      <c r="K701" s="384"/>
      <c r="L701" s="384"/>
      <c r="M701" s="384"/>
      <c r="N701" s="384"/>
      <c r="O701" s="384"/>
      <c r="P701" s="384"/>
      <c r="Q701" s="384"/>
    </row>
    <row r="702">
      <c r="A702" s="396" t="str">
        <f>IFERROR(__xludf.DUMMYFUNCTION("""COMPUTED_VALUE""")," |  | ")</f>
        <v> |  | </v>
      </c>
      <c r="B702" s="396"/>
      <c r="C702" s="384"/>
      <c r="D702" s="384"/>
      <c r="E702" s="384"/>
      <c r="F702" s="384"/>
      <c r="G702" s="384"/>
      <c r="H702" s="384"/>
      <c r="I702" s="384"/>
      <c r="J702" s="384"/>
      <c r="K702" s="384"/>
      <c r="L702" s="384"/>
      <c r="M702" s="384"/>
      <c r="N702" s="384"/>
      <c r="O702" s="384"/>
      <c r="P702" s="384"/>
      <c r="Q702" s="384"/>
    </row>
    <row r="703">
      <c r="A703" s="396" t="str">
        <f>IFERROR(__xludf.DUMMYFUNCTION("""COMPUTED_VALUE""")," |  | ")</f>
        <v> |  | </v>
      </c>
      <c r="B703" s="396"/>
      <c r="C703" s="384"/>
      <c r="D703" s="384"/>
      <c r="E703" s="384"/>
      <c r="F703" s="384"/>
      <c r="G703" s="384"/>
      <c r="H703" s="384"/>
      <c r="I703" s="384"/>
      <c r="J703" s="384"/>
      <c r="K703" s="384"/>
      <c r="L703" s="384"/>
      <c r="M703" s="384"/>
      <c r="N703" s="384"/>
      <c r="O703" s="384"/>
      <c r="P703" s="384"/>
      <c r="Q703" s="384"/>
    </row>
    <row r="704">
      <c r="A704" s="396" t="str">
        <f>IFERROR(__xludf.DUMMYFUNCTION("""COMPUTED_VALUE""")," |  | ")</f>
        <v> |  | </v>
      </c>
      <c r="B704" s="396"/>
      <c r="C704" s="384"/>
      <c r="D704" s="384"/>
      <c r="E704" s="384"/>
      <c r="F704" s="384"/>
      <c r="G704" s="384"/>
      <c r="H704" s="384"/>
      <c r="I704" s="384"/>
      <c r="J704" s="384"/>
      <c r="K704" s="384"/>
      <c r="L704" s="384"/>
      <c r="M704" s="384"/>
      <c r="N704" s="384"/>
      <c r="O704" s="384"/>
      <c r="P704" s="384"/>
      <c r="Q704" s="384"/>
    </row>
    <row r="705">
      <c r="A705" s="396" t="str">
        <f>IFERROR(__xludf.DUMMYFUNCTION("""COMPUTED_VALUE""")," |  | ")</f>
        <v> |  | </v>
      </c>
      <c r="B705" s="396"/>
      <c r="C705" s="384"/>
      <c r="D705" s="384"/>
      <c r="E705" s="384"/>
      <c r="F705" s="384"/>
      <c r="G705" s="384"/>
      <c r="H705" s="384"/>
      <c r="I705" s="384"/>
      <c r="J705" s="384"/>
      <c r="K705" s="384"/>
      <c r="L705" s="384"/>
      <c r="M705" s="384"/>
      <c r="N705" s="384"/>
      <c r="O705" s="384"/>
      <c r="P705" s="384"/>
      <c r="Q705" s="384"/>
    </row>
    <row r="706">
      <c r="A706" s="396" t="str">
        <f>IFERROR(__xludf.DUMMYFUNCTION("""COMPUTED_VALUE""")," |  | ")</f>
        <v> |  | </v>
      </c>
      <c r="B706" s="396"/>
      <c r="C706" s="384"/>
      <c r="D706" s="384"/>
      <c r="E706" s="384"/>
      <c r="F706" s="384"/>
      <c r="G706" s="384"/>
      <c r="H706" s="384"/>
      <c r="I706" s="384"/>
      <c r="J706" s="384"/>
      <c r="K706" s="384"/>
      <c r="L706" s="384"/>
      <c r="M706" s="384"/>
      <c r="N706" s="384"/>
      <c r="O706" s="384"/>
      <c r="P706" s="384"/>
      <c r="Q706" s="384"/>
    </row>
    <row r="707">
      <c r="A707" s="396" t="str">
        <f>IFERROR(__xludf.DUMMYFUNCTION("""COMPUTED_VALUE""")," |  | ")</f>
        <v> |  | </v>
      </c>
      <c r="B707" s="396"/>
      <c r="C707" s="384"/>
      <c r="D707" s="384"/>
      <c r="E707" s="384"/>
      <c r="F707" s="384"/>
      <c r="G707" s="384"/>
      <c r="H707" s="384"/>
      <c r="I707" s="384"/>
      <c r="J707" s="384"/>
      <c r="K707" s="384"/>
      <c r="L707" s="384"/>
      <c r="M707" s="384"/>
      <c r="N707" s="384"/>
      <c r="O707" s="384"/>
      <c r="P707" s="384"/>
      <c r="Q707" s="384"/>
    </row>
    <row r="708">
      <c r="A708" s="396" t="str">
        <f>IFERROR(__xludf.DUMMYFUNCTION("""COMPUTED_VALUE""")," |  | ")</f>
        <v> |  | </v>
      </c>
      <c r="B708" s="396"/>
      <c r="C708" s="384"/>
      <c r="D708" s="384"/>
      <c r="E708" s="384"/>
      <c r="F708" s="384"/>
      <c r="G708" s="384"/>
      <c r="H708" s="384"/>
      <c r="I708" s="384"/>
      <c r="J708" s="384"/>
      <c r="K708" s="384"/>
      <c r="L708" s="384"/>
      <c r="M708" s="384"/>
      <c r="N708" s="384"/>
      <c r="O708" s="384"/>
      <c r="P708" s="384"/>
      <c r="Q708" s="384"/>
    </row>
    <row r="709">
      <c r="A709" s="396" t="str">
        <f>IFERROR(__xludf.DUMMYFUNCTION("""COMPUTED_VALUE""")," |  | ")</f>
        <v> |  | </v>
      </c>
      <c r="B709" s="396"/>
      <c r="C709" s="384"/>
      <c r="D709" s="384"/>
      <c r="E709" s="384"/>
      <c r="F709" s="384"/>
      <c r="G709" s="384"/>
      <c r="H709" s="384"/>
      <c r="I709" s="384"/>
      <c r="J709" s="384"/>
      <c r="K709" s="384"/>
      <c r="L709" s="384"/>
      <c r="M709" s="384"/>
      <c r="N709" s="384"/>
      <c r="O709" s="384"/>
      <c r="P709" s="384"/>
      <c r="Q709" s="384"/>
    </row>
    <row r="710">
      <c r="A710" s="396" t="str">
        <f>IFERROR(__xludf.DUMMYFUNCTION("""COMPUTED_VALUE""")," |  | ")</f>
        <v> |  | </v>
      </c>
      <c r="B710" s="396"/>
      <c r="C710" s="384"/>
      <c r="D710" s="384"/>
      <c r="E710" s="384"/>
      <c r="F710" s="384"/>
      <c r="G710" s="384"/>
      <c r="H710" s="384"/>
      <c r="I710" s="384"/>
      <c r="J710" s="384"/>
      <c r="K710" s="384"/>
      <c r="L710" s="384"/>
      <c r="M710" s="384"/>
      <c r="N710" s="384"/>
      <c r="O710" s="384"/>
      <c r="P710" s="384"/>
      <c r="Q710" s="384"/>
    </row>
    <row r="711">
      <c r="A711" s="396" t="str">
        <f>IFERROR(__xludf.DUMMYFUNCTION("""COMPUTED_VALUE""")," |  | ")</f>
        <v> |  | </v>
      </c>
      <c r="B711" s="396"/>
      <c r="C711" s="384"/>
      <c r="D711" s="384"/>
      <c r="E711" s="384"/>
      <c r="F711" s="384"/>
      <c r="G711" s="384"/>
      <c r="H711" s="384"/>
      <c r="I711" s="384"/>
      <c r="J711" s="384"/>
      <c r="K711" s="384"/>
      <c r="L711" s="384"/>
      <c r="M711" s="384"/>
      <c r="N711" s="384"/>
      <c r="O711" s="384"/>
      <c r="P711" s="384"/>
      <c r="Q711" s="384"/>
    </row>
    <row r="712">
      <c r="A712" s="396" t="str">
        <f>IFERROR(__xludf.DUMMYFUNCTION("""COMPUTED_VALUE""")," |  | ")</f>
        <v> |  | </v>
      </c>
      <c r="B712" s="396"/>
      <c r="C712" s="384"/>
      <c r="D712" s="384"/>
      <c r="E712" s="384"/>
      <c r="F712" s="384"/>
      <c r="G712" s="384"/>
      <c r="H712" s="384"/>
      <c r="I712" s="384"/>
      <c r="J712" s="384"/>
      <c r="K712" s="384"/>
      <c r="L712" s="384"/>
      <c r="M712" s="384"/>
      <c r="N712" s="384"/>
      <c r="O712" s="384"/>
      <c r="P712" s="384"/>
      <c r="Q712" s="384"/>
    </row>
    <row r="713">
      <c r="A713" s="396" t="str">
        <f>IFERROR(__xludf.DUMMYFUNCTION("""COMPUTED_VALUE""")," |  | ")</f>
        <v> |  | </v>
      </c>
      <c r="B713" s="396"/>
      <c r="C713" s="384"/>
      <c r="D713" s="384"/>
      <c r="E713" s="384"/>
      <c r="F713" s="384"/>
      <c r="G713" s="384"/>
      <c r="H713" s="384"/>
      <c r="I713" s="384"/>
      <c r="J713" s="384"/>
      <c r="K713" s="384"/>
      <c r="L713" s="384"/>
      <c r="M713" s="384"/>
      <c r="N713" s="384"/>
      <c r="O713" s="384"/>
      <c r="P713" s="384"/>
      <c r="Q713" s="384"/>
    </row>
    <row r="714">
      <c r="A714" s="396" t="str">
        <f>IFERROR(__xludf.DUMMYFUNCTION("""COMPUTED_VALUE""")," |  | ")</f>
        <v> |  | </v>
      </c>
      <c r="B714" s="396"/>
      <c r="C714" s="384"/>
      <c r="D714" s="384"/>
      <c r="E714" s="384"/>
      <c r="F714" s="384"/>
      <c r="G714" s="384"/>
      <c r="H714" s="384"/>
      <c r="I714" s="384"/>
      <c r="J714" s="384"/>
      <c r="K714" s="384"/>
      <c r="L714" s="384"/>
      <c r="M714" s="384"/>
      <c r="N714" s="384"/>
      <c r="O714" s="384"/>
      <c r="P714" s="384"/>
      <c r="Q714" s="384"/>
    </row>
    <row r="715">
      <c r="A715" s="396" t="str">
        <f>IFERROR(__xludf.DUMMYFUNCTION("""COMPUTED_VALUE""")," |  | ")</f>
        <v> |  | </v>
      </c>
      <c r="B715" s="396"/>
      <c r="C715" s="384"/>
      <c r="D715" s="384"/>
      <c r="E715" s="384"/>
      <c r="F715" s="384"/>
      <c r="G715" s="384"/>
      <c r="H715" s="384"/>
      <c r="I715" s="384"/>
      <c r="J715" s="384"/>
      <c r="K715" s="384"/>
      <c r="L715" s="384"/>
      <c r="M715" s="384"/>
      <c r="N715" s="384"/>
      <c r="O715" s="384"/>
      <c r="P715" s="384"/>
      <c r="Q715" s="384"/>
    </row>
    <row r="716">
      <c r="A716" s="396" t="str">
        <f>IFERROR(__xludf.DUMMYFUNCTION("""COMPUTED_VALUE""")," |  | ")</f>
        <v> |  | </v>
      </c>
      <c r="B716" s="396"/>
      <c r="C716" s="384"/>
      <c r="D716" s="384"/>
      <c r="E716" s="384"/>
      <c r="F716" s="384"/>
      <c r="G716" s="384"/>
      <c r="H716" s="384"/>
      <c r="I716" s="384"/>
      <c r="J716" s="384"/>
      <c r="K716" s="384"/>
      <c r="L716" s="384"/>
      <c r="M716" s="384"/>
      <c r="N716" s="384"/>
      <c r="O716" s="384"/>
      <c r="P716" s="384"/>
      <c r="Q716" s="384"/>
    </row>
    <row r="717">
      <c r="A717" s="396" t="str">
        <f>IFERROR(__xludf.DUMMYFUNCTION("""COMPUTED_VALUE""")," |  | ")</f>
        <v> |  | </v>
      </c>
      <c r="B717" s="396"/>
      <c r="C717" s="384"/>
      <c r="D717" s="384"/>
      <c r="E717" s="384"/>
      <c r="F717" s="384"/>
      <c r="G717" s="384"/>
      <c r="H717" s="384"/>
      <c r="I717" s="384"/>
      <c r="J717" s="384"/>
      <c r="K717" s="384"/>
      <c r="L717" s="384"/>
      <c r="M717" s="384"/>
      <c r="N717" s="384"/>
      <c r="O717" s="384"/>
      <c r="P717" s="384"/>
      <c r="Q717" s="384"/>
    </row>
    <row r="718">
      <c r="A718" s="396" t="str">
        <f>IFERROR(__xludf.DUMMYFUNCTION("""COMPUTED_VALUE""")," |  | ")</f>
        <v> |  | </v>
      </c>
      <c r="B718" s="396"/>
      <c r="C718" s="384"/>
      <c r="D718" s="384"/>
      <c r="E718" s="384"/>
      <c r="F718" s="384"/>
      <c r="G718" s="384"/>
      <c r="H718" s="384"/>
      <c r="I718" s="384"/>
      <c r="J718" s="384"/>
      <c r="K718" s="384"/>
      <c r="L718" s="384"/>
      <c r="M718" s="384"/>
      <c r="N718" s="384"/>
      <c r="O718" s="384"/>
      <c r="P718" s="384"/>
      <c r="Q718" s="384"/>
    </row>
    <row r="719">
      <c r="A719" s="396" t="str">
        <f>IFERROR(__xludf.DUMMYFUNCTION("""COMPUTED_VALUE""")," |  | ")</f>
        <v> |  | </v>
      </c>
      <c r="B719" s="396"/>
      <c r="C719" s="384"/>
      <c r="D719" s="384"/>
      <c r="E719" s="384"/>
      <c r="F719" s="384"/>
      <c r="G719" s="384"/>
      <c r="H719" s="384"/>
      <c r="I719" s="384"/>
      <c r="J719" s="384"/>
      <c r="K719" s="384"/>
      <c r="L719" s="384"/>
      <c r="M719" s="384"/>
      <c r="N719" s="384"/>
      <c r="O719" s="384"/>
      <c r="P719" s="384"/>
      <c r="Q719" s="384"/>
    </row>
    <row r="720">
      <c r="A720" s="396" t="str">
        <f>IFERROR(__xludf.DUMMYFUNCTION("""COMPUTED_VALUE""")," |  | ")</f>
        <v> |  | </v>
      </c>
      <c r="B720" s="396"/>
      <c r="C720" s="384"/>
      <c r="D720" s="384"/>
      <c r="E720" s="384"/>
      <c r="F720" s="384"/>
      <c r="G720" s="384"/>
      <c r="H720" s="384"/>
      <c r="I720" s="384"/>
      <c r="J720" s="384"/>
      <c r="K720" s="384"/>
      <c r="L720" s="384"/>
      <c r="M720" s="384"/>
      <c r="N720" s="384"/>
      <c r="O720" s="384"/>
      <c r="P720" s="384"/>
      <c r="Q720" s="384"/>
    </row>
    <row r="721">
      <c r="A721" s="396" t="str">
        <f>IFERROR(__xludf.DUMMYFUNCTION("""COMPUTED_VALUE""")," |  | ")</f>
        <v> |  | </v>
      </c>
      <c r="B721" s="396"/>
      <c r="C721" s="384"/>
      <c r="D721" s="384"/>
      <c r="E721" s="384"/>
      <c r="F721" s="384"/>
      <c r="G721" s="384"/>
      <c r="H721" s="384"/>
      <c r="I721" s="384"/>
      <c r="J721" s="384"/>
      <c r="K721" s="384"/>
      <c r="L721" s="384"/>
      <c r="M721" s="384"/>
      <c r="N721" s="384"/>
      <c r="O721" s="384"/>
      <c r="P721" s="384"/>
      <c r="Q721" s="384"/>
    </row>
    <row r="722">
      <c r="A722" s="396" t="str">
        <f>IFERROR(__xludf.DUMMYFUNCTION("""COMPUTED_VALUE""")," |  | ")</f>
        <v> |  | </v>
      </c>
      <c r="B722" s="396"/>
      <c r="C722" s="384"/>
      <c r="D722" s="384"/>
      <c r="E722" s="384"/>
      <c r="F722" s="384"/>
      <c r="G722" s="384"/>
      <c r="H722" s="384"/>
      <c r="I722" s="384"/>
      <c r="J722" s="384"/>
      <c r="K722" s="384"/>
      <c r="L722" s="384"/>
      <c r="M722" s="384"/>
      <c r="N722" s="384"/>
      <c r="O722" s="384"/>
      <c r="P722" s="384"/>
      <c r="Q722" s="384"/>
    </row>
    <row r="723">
      <c r="A723" s="396" t="str">
        <f>IFERROR(__xludf.DUMMYFUNCTION("""COMPUTED_VALUE""")," |  | ")</f>
        <v> |  | </v>
      </c>
      <c r="B723" s="396"/>
      <c r="C723" s="384"/>
      <c r="D723" s="384"/>
      <c r="E723" s="384"/>
      <c r="F723" s="384"/>
      <c r="G723" s="384"/>
      <c r="H723" s="384"/>
      <c r="I723" s="384"/>
      <c r="J723" s="384"/>
      <c r="K723" s="384"/>
      <c r="L723" s="384"/>
      <c r="M723" s="384"/>
      <c r="N723" s="384"/>
      <c r="O723" s="384"/>
      <c r="P723" s="384"/>
      <c r="Q723" s="384"/>
    </row>
    <row r="724">
      <c r="A724" s="396" t="str">
        <f>IFERROR(__xludf.DUMMYFUNCTION("""COMPUTED_VALUE""")," |  | ")</f>
        <v> |  | </v>
      </c>
      <c r="B724" s="396"/>
      <c r="C724" s="384"/>
      <c r="D724" s="384"/>
      <c r="E724" s="384"/>
      <c r="F724" s="384"/>
      <c r="G724" s="384"/>
      <c r="H724" s="384"/>
      <c r="I724" s="384"/>
      <c r="J724" s="384"/>
      <c r="K724" s="384"/>
      <c r="L724" s="384"/>
      <c r="M724" s="384"/>
      <c r="N724" s="384"/>
      <c r="O724" s="384"/>
      <c r="P724" s="384"/>
      <c r="Q724" s="384"/>
    </row>
    <row r="725">
      <c r="A725" s="396" t="str">
        <f>IFERROR(__xludf.DUMMYFUNCTION("""COMPUTED_VALUE""")," |  | ")</f>
        <v> |  | </v>
      </c>
      <c r="B725" s="396"/>
      <c r="C725" s="384"/>
      <c r="D725" s="384"/>
      <c r="E725" s="384"/>
      <c r="F725" s="384"/>
      <c r="G725" s="384"/>
      <c r="H725" s="384"/>
      <c r="I725" s="384"/>
      <c r="J725" s="384"/>
      <c r="K725" s="384"/>
      <c r="L725" s="384"/>
      <c r="M725" s="384"/>
      <c r="N725" s="384"/>
      <c r="O725" s="384"/>
      <c r="P725" s="384"/>
      <c r="Q725" s="384"/>
    </row>
    <row r="726">
      <c r="A726" s="396" t="str">
        <f>IFERROR(__xludf.DUMMYFUNCTION("""COMPUTED_VALUE""")," |  | ")</f>
        <v> |  | </v>
      </c>
      <c r="B726" s="396"/>
      <c r="C726" s="384"/>
      <c r="D726" s="384"/>
      <c r="E726" s="384"/>
      <c r="F726" s="384"/>
      <c r="G726" s="384"/>
      <c r="H726" s="384"/>
      <c r="I726" s="384"/>
      <c r="J726" s="384"/>
      <c r="K726" s="384"/>
      <c r="L726" s="384"/>
      <c r="M726" s="384"/>
      <c r="N726" s="384"/>
      <c r="O726" s="384"/>
      <c r="P726" s="384"/>
      <c r="Q726" s="384"/>
    </row>
    <row r="727">
      <c r="A727" s="396" t="str">
        <f>IFERROR(__xludf.DUMMYFUNCTION("""COMPUTED_VALUE""")," |  | ")</f>
        <v> |  | </v>
      </c>
      <c r="B727" s="396"/>
      <c r="C727" s="384"/>
      <c r="D727" s="384"/>
      <c r="E727" s="384"/>
      <c r="F727" s="384"/>
      <c r="G727" s="384"/>
      <c r="H727" s="384"/>
      <c r="I727" s="384"/>
      <c r="J727" s="384"/>
      <c r="K727" s="384"/>
      <c r="L727" s="384"/>
      <c r="M727" s="384"/>
      <c r="N727" s="384"/>
      <c r="O727" s="384"/>
      <c r="P727" s="384"/>
      <c r="Q727" s="384"/>
    </row>
    <row r="728">
      <c r="A728" s="396" t="str">
        <f>IFERROR(__xludf.DUMMYFUNCTION("""COMPUTED_VALUE""")," |  | ")</f>
        <v> |  | </v>
      </c>
      <c r="B728" s="396"/>
      <c r="C728" s="384"/>
      <c r="D728" s="384"/>
      <c r="E728" s="384"/>
      <c r="F728" s="384"/>
      <c r="G728" s="384"/>
      <c r="H728" s="384"/>
      <c r="I728" s="384"/>
      <c r="J728" s="384"/>
      <c r="K728" s="384"/>
      <c r="L728" s="384"/>
      <c r="M728" s="384"/>
      <c r="N728" s="384"/>
      <c r="O728" s="384"/>
      <c r="P728" s="384"/>
      <c r="Q728" s="384"/>
    </row>
    <row r="729">
      <c r="A729" s="396" t="str">
        <f>IFERROR(__xludf.DUMMYFUNCTION("""COMPUTED_VALUE""")," |  | ")</f>
        <v> |  | </v>
      </c>
      <c r="B729" s="396"/>
      <c r="C729" s="384"/>
      <c r="D729" s="384"/>
      <c r="E729" s="384"/>
      <c r="F729" s="384"/>
      <c r="G729" s="384"/>
      <c r="H729" s="384"/>
      <c r="I729" s="384"/>
      <c r="J729" s="384"/>
      <c r="K729" s="384"/>
      <c r="L729" s="384"/>
      <c r="M729" s="384"/>
      <c r="N729" s="384"/>
      <c r="O729" s="384"/>
      <c r="P729" s="384"/>
      <c r="Q729" s="384"/>
    </row>
    <row r="730">
      <c r="A730" s="396" t="str">
        <f>IFERROR(__xludf.DUMMYFUNCTION("""COMPUTED_VALUE""")," |  | ")</f>
        <v> |  | </v>
      </c>
      <c r="B730" s="396"/>
      <c r="C730" s="384"/>
      <c r="D730" s="384"/>
      <c r="E730" s="384"/>
      <c r="F730" s="384"/>
      <c r="G730" s="384"/>
      <c r="H730" s="384"/>
      <c r="I730" s="384"/>
      <c r="J730" s="384"/>
      <c r="K730" s="384"/>
      <c r="L730" s="384"/>
      <c r="M730" s="384"/>
      <c r="N730" s="384"/>
      <c r="O730" s="384"/>
      <c r="P730" s="384"/>
      <c r="Q730" s="384"/>
    </row>
    <row r="731">
      <c r="A731" s="396" t="str">
        <f>IFERROR(__xludf.DUMMYFUNCTION("""COMPUTED_VALUE""")," |  | ")</f>
        <v> |  | </v>
      </c>
      <c r="B731" s="396"/>
      <c r="C731" s="384"/>
      <c r="D731" s="384"/>
      <c r="E731" s="384"/>
      <c r="F731" s="384"/>
      <c r="G731" s="384"/>
      <c r="H731" s="384"/>
      <c r="I731" s="384"/>
      <c r="J731" s="384"/>
      <c r="K731" s="384"/>
      <c r="L731" s="384"/>
      <c r="M731" s="384"/>
      <c r="N731" s="384"/>
      <c r="O731" s="384"/>
      <c r="P731" s="384"/>
      <c r="Q731" s="384"/>
    </row>
    <row r="732">
      <c r="A732" s="396" t="str">
        <f>IFERROR(__xludf.DUMMYFUNCTION("""COMPUTED_VALUE""")," |  | ")</f>
        <v> |  | </v>
      </c>
      <c r="B732" s="396"/>
      <c r="C732" s="384"/>
      <c r="D732" s="384"/>
      <c r="E732" s="384"/>
      <c r="F732" s="384"/>
      <c r="G732" s="384"/>
      <c r="H732" s="384"/>
      <c r="I732" s="384"/>
      <c r="J732" s="384"/>
      <c r="K732" s="384"/>
      <c r="L732" s="384"/>
      <c r="M732" s="384"/>
      <c r="N732" s="384"/>
      <c r="O732" s="384"/>
      <c r="P732" s="384"/>
      <c r="Q732" s="384"/>
    </row>
    <row r="733">
      <c r="A733" s="396" t="str">
        <f>IFERROR(__xludf.DUMMYFUNCTION("""COMPUTED_VALUE""")," |  | ")</f>
        <v> |  | </v>
      </c>
      <c r="B733" s="396"/>
      <c r="C733" s="384"/>
      <c r="D733" s="384"/>
      <c r="E733" s="384"/>
      <c r="F733" s="384"/>
      <c r="G733" s="384"/>
      <c r="H733" s="384"/>
      <c r="I733" s="384"/>
      <c r="J733" s="384"/>
      <c r="K733" s="384"/>
      <c r="L733" s="384"/>
      <c r="M733" s="384"/>
      <c r="N733" s="384"/>
      <c r="O733" s="384"/>
      <c r="P733" s="384"/>
      <c r="Q733" s="384"/>
    </row>
    <row r="734">
      <c r="A734" s="396" t="str">
        <f>IFERROR(__xludf.DUMMYFUNCTION("""COMPUTED_VALUE""")," |  | ")</f>
        <v> |  | </v>
      </c>
      <c r="B734" s="396"/>
      <c r="C734" s="384"/>
      <c r="D734" s="384"/>
      <c r="E734" s="384"/>
      <c r="F734" s="384"/>
      <c r="G734" s="384"/>
      <c r="H734" s="384"/>
      <c r="I734" s="384"/>
      <c r="J734" s="384"/>
      <c r="K734" s="384"/>
      <c r="L734" s="384"/>
      <c r="M734" s="384"/>
      <c r="N734" s="384"/>
      <c r="O734" s="384"/>
      <c r="P734" s="384"/>
      <c r="Q734" s="384"/>
    </row>
    <row r="735">
      <c r="A735" s="396" t="str">
        <f>IFERROR(__xludf.DUMMYFUNCTION("""COMPUTED_VALUE""")," |  | ")</f>
        <v> |  | </v>
      </c>
      <c r="B735" s="396"/>
      <c r="C735" s="384"/>
      <c r="D735" s="384"/>
      <c r="E735" s="384"/>
      <c r="F735" s="384"/>
      <c r="G735" s="384"/>
      <c r="H735" s="384"/>
      <c r="I735" s="384"/>
      <c r="J735" s="384"/>
      <c r="K735" s="384"/>
      <c r="L735" s="384"/>
      <c r="M735" s="384"/>
      <c r="N735" s="384"/>
      <c r="O735" s="384"/>
      <c r="P735" s="384"/>
      <c r="Q735" s="384"/>
    </row>
    <row r="736">
      <c r="A736" s="396" t="str">
        <f>IFERROR(__xludf.DUMMYFUNCTION("""COMPUTED_VALUE""")," |  | ")</f>
        <v> |  | </v>
      </c>
      <c r="B736" s="396"/>
      <c r="C736" s="384"/>
      <c r="D736" s="384"/>
      <c r="E736" s="384"/>
      <c r="F736" s="384"/>
      <c r="G736" s="384"/>
      <c r="H736" s="384"/>
      <c r="I736" s="384"/>
      <c r="J736" s="384"/>
      <c r="K736" s="384"/>
      <c r="L736" s="384"/>
      <c r="M736" s="384"/>
      <c r="N736" s="384"/>
      <c r="O736" s="384"/>
      <c r="P736" s="384"/>
      <c r="Q736" s="384"/>
    </row>
    <row r="737">
      <c r="A737" s="396" t="str">
        <f>IFERROR(__xludf.DUMMYFUNCTION("""COMPUTED_VALUE""")," |  | ")</f>
        <v> |  | </v>
      </c>
      <c r="B737" s="396"/>
      <c r="C737" s="384"/>
      <c r="D737" s="384"/>
      <c r="E737" s="384"/>
      <c r="F737" s="384"/>
      <c r="G737" s="384"/>
      <c r="H737" s="384"/>
      <c r="I737" s="384"/>
      <c r="J737" s="384"/>
      <c r="K737" s="384"/>
      <c r="L737" s="384"/>
      <c r="M737" s="384"/>
      <c r="N737" s="384"/>
      <c r="O737" s="384"/>
      <c r="P737" s="384"/>
      <c r="Q737" s="384"/>
    </row>
    <row r="738">
      <c r="A738" s="396" t="str">
        <f>IFERROR(__xludf.DUMMYFUNCTION("""COMPUTED_VALUE""")," |  | ")</f>
        <v> |  | </v>
      </c>
      <c r="B738" s="396"/>
      <c r="C738" s="384"/>
      <c r="D738" s="384"/>
      <c r="E738" s="384"/>
      <c r="F738" s="384"/>
      <c r="G738" s="384"/>
      <c r="H738" s="384"/>
      <c r="I738" s="384"/>
      <c r="J738" s="384"/>
      <c r="K738" s="384"/>
      <c r="L738" s="384"/>
      <c r="M738" s="384"/>
      <c r="N738" s="384"/>
      <c r="O738" s="384"/>
      <c r="P738" s="384"/>
      <c r="Q738" s="384"/>
    </row>
    <row r="739">
      <c r="A739" s="396" t="str">
        <f>IFERROR(__xludf.DUMMYFUNCTION("""COMPUTED_VALUE""")," |  | ")</f>
        <v> |  | </v>
      </c>
      <c r="B739" s="396"/>
      <c r="C739" s="384"/>
      <c r="D739" s="384"/>
      <c r="E739" s="384"/>
      <c r="F739" s="384"/>
      <c r="G739" s="384"/>
      <c r="H739" s="384"/>
      <c r="I739" s="384"/>
      <c r="J739" s="384"/>
      <c r="K739" s="384"/>
      <c r="L739" s="384"/>
      <c r="M739" s="384"/>
      <c r="N739" s="384"/>
      <c r="O739" s="384"/>
      <c r="P739" s="384"/>
      <c r="Q739" s="384"/>
    </row>
    <row r="740">
      <c r="A740" s="396" t="str">
        <f>IFERROR(__xludf.DUMMYFUNCTION("""COMPUTED_VALUE""")," |  | ")</f>
        <v> |  | </v>
      </c>
      <c r="B740" s="396"/>
      <c r="C740" s="384"/>
      <c r="D740" s="384"/>
      <c r="E740" s="384"/>
      <c r="F740" s="384"/>
      <c r="G740" s="384"/>
      <c r="H740" s="384"/>
      <c r="I740" s="384"/>
      <c r="J740" s="384"/>
      <c r="K740" s="384"/>
      <c r="L740" s="384"/>
      <c r="M740" s="384"/>
      <c r="N740" s="384"/>
      <c r="O740" s="384"/>
      <c r="P740" s="384"/>
      <c r="Q740" s="384"/>
    </row>
    <row r="741">
      <c r="A741" s="396" t="str">
        <f>IFERROR(__xludf.DUMMYFUNCTION("""COMPUTED_VALUE""")," |  | ")</f>
        <v> |  | </v>
      </c>
      <c r="B741" s="396"/>
      <c r="C741" s="384"/>
      <c r="D741" s="384"/>
      <c r="E741" s="384"/>
      <c r="F741" s="384"/>
      <c r="G741" s="384"/>
      <c r="H741" s="384"/>
      <c r="I741" s="384"/>
      <c r="J741" s="384"/>
      <c r="K741" s="384"/>
      <c r="L741" s="384"/>
      <c r="M741" s="384"/>
      <c r="N741" s="384"/>
      <c r="O741" s="384"/>
      <c r="P741" s="384"/>
      <c r="Q741" s="384"/>
    </row>
    <row r="742">
      <c r="A742" s="396" t="str">
        <f>IFERROR(__xludf.DUMMYFUNCTION("""COMPUTED_VALUE""")," |  | ")</f>
        <v> |  | </v>
      </c>
      <c r="B742" s="396"/>
      <c r="C742" s="384"/>
      <c r="D742" s="384"/>
      <c r="E742" s="384"/>
      <c r="F742" s="384"/>
      <c r="G742" s="384"/>
      <c r="H742" s="384"/>
      <c r="I742" s="384"/>
      <c r="J742" s="384"/>
      <c r="K742" s="384"/>
      <c r="L742" s="384"/>
      <c r="M742" s="384"/>
      <c r="N742" s="384"/>
      <c r="O742" s="384"/>
      <c r="P742" s="384"/>
      <c r="Q742" s="384"/>
    </row>
    <row r="743">
      <c r="A743" s="396" t="str">
        <f>IFERROR(__xludf.DUMMYFUNCTION("""COMPUTED_VALUE""")," |  | ")</f>
        <v> |  | </v>
      </c>
      <c r="B743" s="396"/>
      <c r="C743" s="384"/>
      <c r="D743" s="384"/>
      <c r="E743" s="384"/>
      <c r="F743" s="384"/>
      <c r="G743" s="384"/>
      <c r="H743" s="384"/>
      <c r="I743" s="384"/>
      <c r="J743" s="384"/>
      <c r="K743" s="384"/>
      <c r="L743" s="384"/>
      <c r="M743" s="384"/>
      <c r="N743" s="384"/>
      <c r="O743" s="384"/>
      <c r="P743" s="384"/>
      <c r="Q743" s="384"/>
    </row>
    <row r="744">
      <c r="A744" s="396" t="str">
        <f>IFERROR(__xludf.DUMMYFUNCTION("""COMPUTED_VALUE""")," |  | ")</f>
        <v> |  | </v>
      </c>
      <c r="B744" s="396"/>
      <c r="C744" s="384"/>
      <c r="D744" s="384"/>
      <c r="E744" s="384"/>
      <c r="F744" s="384"/>
      <c r="G744" s="384"/>
      <c r="H744" s="384"/>
      <c r="I744" s="384"/>
      <c r="J744" s="384"/>
      <c r="K744" s="384"/>
      <c r="L744" s="384"/>
      <c r="M744" s="384"/>
      <c r="N744" s="384"/>
      <c r="O744" s="384"/>
      <c r="P744" s="384"/>
      <c r="Q744" s="384"/>
    </row>
    <row r="745">
      <c r="A745" s="396" t="str">
        <f>IFERROR(__xludf.DUMMYFUNCTION("""COMPUTED_VALUE""")," |  | ")</f>
        <v> |  | </v>
      </c>
      <c r="B745" s="396"/>
      <c r="C745" s="384"/>
      <c r="D745" s="384"/>
      <c r="E745" s="384"/>
      <c r="F745" s="384"/>
      <c r="G745" s="384"/>
      <c r="H745" s="384"/>
      <c r="I745" s="384"/>
      <c r="J745" s="384"/>
      <c r="K745" s="384"/>
      <c r="L745" s="384"/>
      <c r="M745" s="384"/>
      <c r="N745" s="384"/>
      <c r="O745" s="384"/>
      <c r="P745" s="384"/>
      <c r="Q745" s="384"/>
    </row>
    <row r="746">
      <c r="A746" s="396" t="str">
        <f>IFERROR(__xludf.DUMMYFUNCTION("""COMPUTED_VALUE""")," |  | ")</f>
        <v> |  | </v>
      </c>
      <c r="B746" s="396"/>
      <c r="C746" s="384"/>
      <c r="D746" s="384"/>
      <c r="E746" s="384"/>
      <c r="F746" s="384"/>
      <c r="G746" s="384"/>
      <c r="H746" s="384"/>
      <c r="I746" s="384"/>
      <c r="J746" s="384"/>
      <c r="K746" s="384"/>
      <c r="L746" s="384"/>
      <c r="M746" s="384"/>
      <c r="N746" s="384"/>
      <c r="O746" s="384"/>
      <c r="P746" s="384"/>
      <c r="Q746" s="384"/>
    </row>
    <row r="747">
      <c r="A747" s="396" t="str">
        <f>IFERROR(__xludf.DUMMYFUNCTION("""COMPUTED_VALUE""")," |  | ")</f>
        <v> |  | </v>
      </c>
      <c r="B747" s="396"/>
      <c r="C747" s="384"/>
      <c r="D747" s="384"/>
      <c r="E747" s="384"/>
      <c r="F747" s="384"/>
      <c r="G747" s="384"/>
      <c r="H747" s="384"/>
      <c r="I747" s="384"/>
      <c r="J747" s="384"/>
      <c r="K747" s="384"/>
      <c r="L747" s="384"/>
      <c r="M747" s="384"/>
      <c r="N747" s="384"/>
      <c r="O747" s="384"/>
      <c r="P747" s="384"/>
      <c r="Q747" s="384"/>
    </row>
    <row r="748">
      <c r="A748" s="396" t="str">
        <f>IFERROR(__xludf.DUMMYFUNCTION("""COMPUTED_VALUE""")," |  | ")</f>
        <v> |  | </v>
      </c>
      <c r="B748" s="396"/>
      <c r="C748" s="384"/>
      <c r="D748" s="384"/>
      <c r="E748" s="384"/>
      <c r="F748" s="384"/>
      <c r="G748" s="384"/>
      <c r="H748" s="384"/>
      <c r="I748" s="384"/>
      <c r="J748" s="384"/>
      <c r="K748" s="384"/>
      <c r="L748" s="384"/>
      <c r="M748" s="384"/>
      <c r="N748" s="384"/>
      <c r="O748" s="384"/>
      <c r="P748" s="384"/>
      <c r="Q748" s="384"/>
    </row>
    <row r="749">
      <c r="A749" s="396" t="str">
        <f>IFERROR(__xludf.DUMMYFUNCTION("""COMPUTED_VALUE""")," |  | ")</f>
        <v> |  | </v>
      </c>
      <c r="B749" s="396"/>
      <c r="C749" s="384"/>
      <c r="D749" s="384"/>
      <c r="E749" s="384"/>
      <c r="F749" s="384"/>
      <c r="G749" s="384"/>
      <c r="H749" s="384"/>
      <c r="I749" s="384"/>
      <c r="J749" s="384"/>
      <c r="K749" s="384"/>
      <c r="L749" s="384"/>
      <c r="M749" s="384"/>
      <c r="N749" s="384"/>
      <c r="O749" s="384"/>
      <c r="P749" s="384"/>
      <c r="Q749" s="384"/>
    </row>
    <row r="750">
      <c r="A750" s="396" t="str">
        <f>IFERROR(__xludf.DUMMYFUNCTION("""COMPUTED_VALUE""")," |  | ")</f>
        <v> |  | </v>
      </c>
      <c r="B750" s="396"/>
      <c r="C750" s="384"/>
      <c r="D750" s="384"/>
      <c r="E750" s="384"/>
      <c r="F750" s="384"/>
      <c r="G750" s="384"/>
      <c r="H750" s="384"/>
      <c r="I750" s="384"/>
      <c r="J750" s="384"/>
      <c r="K750" s="384"/>
      <c r="L750" s="384"/>
      <c r="M750" s="384"/>
      <c r="N750" s="384"/>
      <c r="O750" s="384"/>
      <c r="P750" s="384"/>
      <c r="Q750" s="384"/>
    </row>
    <row r="751">
      <c r="A751" s="396" t="str">
        <f>IFERROR(__xludf.DUMMYFUNCTION("""COMPUTED_VALUE""")," |  | ")</f>
        <v> |  | </v>
      </c>
      <c r="B751" s="396"/>
      <c r="C751" s="384"/>
      <c r="D751" s="384"/>
      <c r="E751" s="384"/>
      <c r="F751" s="384"/>
      <c r="G751" s="384"/>
      <c r="H751" s="384"/>
      <c r="I751" s="384"/>
      <c r="J751" s="384"/>
      <c r="K751" s="384"/>
      <c r="L751" s="384"/>
      <c r="M751" s="384"/>
      <c r="N751" s="384"/>
      <c r="O751" s="384"/>
      <c r="P751" s="384"/>
      <c r="Q751" s="384"/>
    </row>
    <row r="752">
      <c r="A752" s="396" t="str">
        <f>IFERROR(__xludf.DUMMYFUNCTION("""COMPUTED_VALUE""")," |  | ")</f>
        <v> |  | </v>
      </c>
      <c r="B752" s="396"/>
      <c r="C752" s="384"/>
      <c r="D752" s="384"/>
      <c r="E752" s="384"/>
      <c r="F752" s="384"/>
      <c r="G752" s="384"/>
      <c r="H752" s="384"/>
      <c r="I752" s="384"/>
      <c r="J752" s="384"/>
      <c r="K752" s="384"/>
      <c r="L752" s="384"/>
      <c r="M752" s="384"/>
      <c r="N752" s="384"/>
      <c r="O752" s="384"/>
      <c r="P752" s="384"/>
      <c r="Q752" s="384"/>
    </row>
    <row r="753">
      <c r="A753" s="396" t="str">
        <f>IFERROR(__xludf.DUMMYFUNCTION("""COMPUTED_VALUE""")," |  | ")</f>
        <v> |  | </v>
      </c>
      <c r="B753" s="396"/>
      <c r="C753" s="384"/>
      <c r="D753" s="384"/>
      <c r="E753" s="384"/>
      <c r="F753" s="384"/>
      <c r="G753" s="384"/>
      <c r="H753" s="384"/>
      <c r="I753" s="384"/>
      <c r="J753" s="384"/>
      <c r="K753" s="384"/>
      <c r="L753" s="384"/>
      <c r="M753" s="384"/>
      <c r="N753" s="384"/>
      <c r="O753" s="384"/>
      <c r="P753" s="384"/>
      <c r="Q753" s="384"/>
    </row>
    <row r="754">
      <c r="A754" s="396" t="str">
        <f>IFERROR(__xludf.DUMMYFUNCTION("""COMPUTED_VALUE""")," |  | ")</f>
        <v> |  | </v>
      </c>
      <c r="B754" s="396"/>
      <c r="C754" s="384"/>
      <c r="D754" s="384"/>
      <c r="E754" s="384"/>
      <c r="F754" s="384"/>
      <c r="G754" s="384"/>
      <c r="H754" s="384"/>
      <c r="I754" s="384"/>
      <c r="J754" s="384"/>
      <c r="K754" s="384"/>
      <c r="L754" s="384"/>
      <c r="M754" s="384"/>
      <c r="N754" s="384"/>
      <c r="O754" s="384"/>
      <c r="P754" s="384"/>
      <c r="Q754" s="384"/>
    </row>
    <row r="755">
      <c r="A755" s="396" t="str">
        <f>IFERROR(__xludf.DUMMYFUNCTION("""COMPUTED_VALUE""")," |  | ")</f>
        <v> |  | </v>
      </c>
      <c r="B755" s="396"/>
      <c r="C755" s="384"/>
      <c r="D755" s="384"/>
      <c r="E755" s="384"/>
      <c r="F755" s="384"/>
      <c r="G755" s="384"/>
      <c r="H755" s="384"/>
      <c r="I755" s="384"/>
      <c r="J755" s="384"/>
      <c r="K755" s="384"/>
      <c r="L755" s="384"/>
      <c r="M755" s="384"/>
      <c r="N755" s="384"/>
      <c r="O755" s="384"/>
      <c r="P755" s="384"/>
      <c r="Q755" s="384"/>
    </row>
    <row r="756">
      <c r="A756" s="396" t="str">
        <f>IFERROR(__xludf.DUMMYFUNCTION("""COMPUTED_VALUE""")," |  | ")</f>
        <v> |  | </v>
      </c>
      <c r="B756" s="396"/>
      <c r="C756" s="384"/>
      <c r="D756" s="384"/>
      <c r="E756" s="384"/>
      <c r="F756" s="384"/>
      <c r="G756" s="384"/>
      <c r="H756" s="384"/>
      <c r="I756" s="384"/>
      <c r="J756" s="384"/>
      <c r="K756" s="384"/>
      <c r="L756" s="384"/>
      <c r="M756" s="384"/>
      <c r="N756" s="384"/>
      <c r="O756" s="384"/>
      <c r="P756" s="384"/>
      <c r="Q756" s="384"/>
    </row>
    <row r="757">
      <c r="A757" s="396" t="str">
        <f>IFERROR(__xludf.DUMMYFUNCTION("""COMPUTED_VALUE""")," |  | ")</f>
        <v> |  | </v>
      </c>
      <c r="B757" s="396"/>
      <c r="C757" s="384"/>
      <c r="D757" s="384"/>
      <c r="E757" s="384"/>
      <c r="F757" s="384"/>
      <c r="G757" s="384"/>
      <c r="H757" s="384"/>
      <c r="I757" s="384"/>
      <c r="J757" s="384"/>
      <c r="K757" s="384"/>
      <c r="L757" s="384"/>
      <c r="M757" s="384"/>
      <c r="N757" s="384"/>
      <c r="O757" s="384"/>
      <c r="P757" s="384"/>
      <c r="Q757" s="384"/>
    </row>
    <row r="758">
      <c r="A758" s="396" t="str">
        <f>IFERROR(__xludf.DUMMYFUNCTION("""COMPUTED_VALUE""")," |  | ")</f>
        <v> |  | </v>
      </c>
      <c r="B758" s="396"/>
      <c r="C758" s="384"/>
      <c r="D758" s="384"/>
      <c r="E758" s="384"/>
      <c r="F758" s="384"/>
      <c r="G758" s="384"/>
      <c r="H758" s="384"/>
      <c r="I758" s="384"/>
      <c r="J758" s="384"/>
      <c r="K758" s="384"/>
      <c r="L758" s="384"/>
      <c r="M758" s="384"/>
      <c r="N758" s="384"/>
      <c r="O758" s="384"/>
      <c r="P758" s="384"/>
      <c r="Q758" s="384"/>
    </row>
    <row r="759">
      <c r="A759" s="396" t="str">
        <f>IFERROR(__xludf.DUMMYFUNCTION("""COMPUTED_VALUE""")," |  | ")</f>
        <v> |  | </v>
      </c>
      <c r="B759" s="396"/>
      <c r="C759" s="384"/>
      <c r="D759" s="384"/>
      <c r="E759" s="384"/>
      <c r="F759" s="384"/>
      <c r="G759" s="384"/>
      <c r="H759" s="384"/>
      <c r="I759" s="384"/>
      <c r="J759" s="384"/>
      <c r="K759" s="384"/>
      <c r="L759" s="384"/>
      <c r="M759" s="384"/>
      <c r="N759" s="384"/>
      <c r="O759" s="384"/>
      <c r="P759" s="384"/>
      <c r="Q759" s="384"/>
    </row>
    <row r="760">
      <c r="A760" s="396" t="str">
        <f>IFERROR(__xludf.DUMMYFUNCTION("""COMPUTED_VALUE""")," |  | ")</f>
        <v> |  | </v>
      </c>
      <c r="B760" s="396"/>
      <c r="C760" s="384"/>
      <c r="D760" s="384"/>
      <c r="E760" s="384"/>
      <c r="F760" s="384"/>
      <c r="G760" s="384"/>
      <c r="H760" s="384"/>
      <c r="I760" s="384"/>
      <c r="J760" s="384"/>
      <c r="K760" s="384"/>
      <c r="L760" s="384"/>
      <c r="M760" s="384"/>
      <c r="N760" s="384"/>
      <c r="O760" s="384"/>
      <c r="P760" s="384"/>
      <c r="Q760" s="384"/>
    </row>
    <row r="761">
      <c r="A761" s="396" t="str">
        <f>IFERROR(__xludf.DUMMYFUNCTION("""COMPUTED_VALUE""")," |  | ")</f>
        <v> |  | </v>
      </c>
      <c r="B761" s="396"/>
      <c r="C761" s="384"/>
      <c r="D761" s="384"/>
      <c r="E761" s="384"/>
      <c r="F761" s="384"/>
      <c r="G761" s="384"/>
      <c r="H761" s="384"/>
      <c r="I761" s="384"/>
      <c r="J761" s="384"/>
      <c r="K761" s="384"/>
      <c r="L761" s="384"/>
      <c r="M761" s="384"/>
      <c r="N761" s="384"/>
      <c r="O761" s="384"/>
      <c r="P761" s="384"/>
      <c r="Q761" s="384"/>
    </row>
    <row r="762">
      <c r="A762" s="396" t="str">
        <f>IFERROR(__xludf.DUMMYFUNCTION("""COMPUTED_VALUE""")," |  | ")</f>
        <v> |  | </v>
      </c>
      <c r="B762" s="396"/>
      <c r="C762" s="384"/>
      <c r="D762" s="384"/>
      <c r="E762" s="384"/>
      <c r="F762" s="384"/>
      <c r="G762" s="384"/>
      <c r="H762" s="384"/>
      <c r="I762" s="384"/>
      <c r="J762" s="384"/>
      <c r="K762" s="384"/>
      <c r="L762" s="384"/>
      <c r="M762" s="384"/>
      <c r="N762" s="384"/>
      <c r="O762" s="384"/>
      <c r="P762" s="384"/>
      <c r="Q762" s="384"/>
    </row>
    <row r="763">
      <c r="A763" s="396" t="str">
        <f>IFERROR(__xludf.DUMMYFUNCTION("""COMPUTED_VALUE""")," |  | ")</f>
        <v> |  | </v>
      </c>
      <c r="B763" s="396"/>
      <c r="C763" s="384"/>
      <c r="D763" s="384"/>
      <c r="E763" s="384"/>
      <c r="F763" s="384"/>
      <c r="G763" s="384"/>
      <c r="H763" s="384"/>
      <c r="I763" s="384"/>
      <c r="J763" s="384"/>
      <c r="K763" s="384"/>
      <c r="L763" s="384"/>
      <c r="M763" s="384"/>
      <c r="N763" s="384"/>
      <c r="O763" s="384"/>
      <c r="P763" s="384"/>
      <c r="Q763" s="384"/>
    </row>
    <row r="764">
      <c r="A764" s="396" t="str">
        <f>IFERROR(__xludf.DUMMYFUNCTION("""COMPUTED_VALUE""")," |  | ")</f>
        <v> |  | </v>
      </c>
      <c r="B764" s="396"/>
      <c r="C764" s="384"/>
      <c r="D764" s="384"/>
      <c r="E764" s="384"/>
      <c r="F764" s="384"/>
      <c r="G764" s="384"/>
      <c r="H764" s="384"/>
      <c r="I764" s="384"/>
      <c r="J764" s="384"/>
      <c r="K764" s="384"/>
      <c r="L764" s="384"/>
      <c r="M764" s="384"/>
      <c r="N764" s="384"/>
      <c r="O764" s="384"/>
      <c r="P764" s="384"/>
      <c r="Q764" s="384"/>
    </row>
    <row r="765">
      <c r="A765" s="396" t="str">
        <f>IFERROR(__xludf.DUMMYFUNCTION("""COMPUTED_VALUE""")," |  | ")</f>
        <v> |  | </v>
      </c>
      <c r="B765" s="396"/>
      <c r="C765" s="384"/>
      <c r="D765" s="384"/>
      <c r="E765" s="384"/>
      <c r="F765" s="384"/>
      <c r="G765" s="384"/>
      <c r="H765" s="384"/>
      <c r="I765" s="384"/>
      <c r="J765" s="384"/>
      <c r="K765" s="384"/>
      <c r="L765" s="384"/>
      <c r="M765" s="384"/>
      <c r="N765" s="384"/>
      <c r="O765" s="384"/>
      <c r="P765" s="384"/>
      <c r="Q765" s="384"/>
    </row>
    <row r="766">
      <c r="A766" s="396" t="str">
        <f>IFERROR(__xludf.DUMMYFUNCTION("""COMPUTED_VALUE""")," |  | ")</f>
        <v> |  | </v>
      </c>
      <c r="B766" s="396"/>
      <c r="C766" s="384"/>
      <c r="D766" s="384"/>
      <c r="E766" s="384"/>
      <c r="F766" s="384"/>
      <c r="G766" s="384"/>
      <c r="H766" s="384"/>
      <c r="I766" s="384"/>
      <c r="J766" s="384"/>
      <c r="K766" s="384"/>
      <c r="L766" s="384"/>
      <c r="M766" s="384"/>
      <c r="N766" s="384"/>
      <c r="O766" s="384"/>
      <c r="P766" s="384"/>
      <c r="Q766" s="384"/>
    </row>
    <row r="767">
      <c r="A767" s="396" t="str">
        <f>IFERROR(__xludf.DUMMYFUNCTION("""COMPUTED_VALUE""")," |  | ")</f>
        <v> |  | </v>
      </c>
      <c r="B767" s="396"/>
      <c r="C767" s="384"/>
      <c r="D767" s="384"/>
      <c r="E767" s="384"/>
      <c r="F767" s="384"/>
      <c r="G767" s="384"/>
      <c r="H767" s="384"/>
      <c r="I767" s="384"/>
      <c r="J767" s="384"/>
      <c r="K767" s="384"/>
      <c r="L767" s="384"/>
      <c r="M767" s="384"/>
      <c r="N767" s="384"/>
      <c r="O767" s="384"/>
      <c r="P767" s="384"/>
      <c r="Q767" s="384"/>
    </row>
    <row r="768">
      <c r="A768" s="396" t="str">
        <f>IFERROR(__xludf.DUMMYFUNCTION("""COMPUTED_VALUE""")," |  | ")</f>
        <v> |  | </v>
      </c>
      <c r="B768" s="396"/>
      <c r="C768" s="384"/>
      <c r="D768" s="384"/>
      <c r="E768" s="384"/>
      <c r="F768" s="384"/>
      <c r="G768" s="384"/>
      <c r="H768" s="384"/>
      <c r="I768" s="384"/>
      <c r="J768" s="384"/>
      <c r="K768" s="384"/>
      <c r="L768" s="384"/>
      <c r="M768" s="384"/>
      <c r="N768" s="384"/>
      <c r="O768" s="384"/>
      <c r="P768" s="384"/>
      <c r="Q768" s="384"/>
    </row>
    <row r="769">
      <c r="A769" s="396" t="str">
        <f>IFERROR(__xludf.DUMMYFUNCTION("""COMPUTED_VALUE""")," |  | ")</f>
        <v> |  | </v>
      </c>
      <c r="B769" s="396"/>
      <c r="C769" s="384"/>
      <c r="D769" s="384"/>
      <c r="E769" s="384"/>
      <c r="F769" s="384"/>
      <c r="G769" s="384"/>
      <c r="H769" s="384"/>
      <c r="I769" s="384"/>
      <c r="J769" s="384"/>
      <c r="K769" s="384"/>
      <c r="L769" s="384"/>
      <c r="M769" s="384"/>
      <c r="N769" s="384"/>
      <c r="O769" s="384"/>
      <c r="P769" s="384"/>
      <c r="Q769" s="384"/>
    </row>
    <row r="770">
      <c r="A770" s="396" t="str">
        <f>IFERROR(__xludf.DUMMYFUNCTION("""COMPUTED_VALUE""")," |  | ")</f>
        <v> |  | </v>
      </c>
      <c r="B770" s="396"/>
      <c r="C770" s="384"/>
      <c r="D770" s="384"/>
      <c r="E770" s="384"/>
      <c r="F770" s="384"/>
      <c r="G770" s="384"/>
      <c r="H770" s="384"/>
      <c r="I770" s="384"/>
      <c r="J770" s="384"/>
      <c r="K770" s="384"/>
      <c r="L770" s="384"/>
      <c r="M770" s="384"/>
      <c r="N770" s="384"/>
      <c r="O770" s="384"/>
      <c r="P770" s="384"/>
      <c r="Q770" s="384"/>
    </row>
    <row r="771">
      <c r="A771" s="396" t="str">
        <f>IFERROR(__xludf.DUMMYFUNCTION("""COMPUTED_VALUE""")," |  | ")</f>
        <v> |  | </v>
      </c>
      <c r="B771" s="396"/>
      <c r="C771" s="384"/>
      <c r="D771" s="384"/>
      <c r="E771" s="384"/>
      <c r="F771" s="384"/>
      <c r="G771" s="384"/>
      <c r="H771" s="384"/>
      <c r="I771" s="384"/>
      <c r="J771" s="384"/>
      <c r="K771" s="384"/>
      <c r="L771" s="384"/>
      <c r="M771" s="384"/>
      <c r="N771" s="384"/>
      <c r="O771" s="384"/>
      <c r="P771" s="384"/>
      <c r="Q771" s="384"/>
    </row>
    <row r="772">
      <c r="A772" s="396" t="str">
        <f>IFERROR(__xludf.DUMMYFUNCTION("""COMPUTED_VALUE""")," |  | ")</f>
        <v> |  | </v>
      </c>
      <c r="B772" s="396"/>
      <c r="C772" s="384"/>
      <c r="D772" s="384"/>
      <c r="E772" s="384"/>
      <c r="F772" s="384"/>
      <c r="G772" s="384"/>
      <c r="H772" s="384"/>
      <c r="I772" s="384"/>
      <c r="J772" s="384"/>
      <c r="K772" s="384"/>
      <c r="L772" s="384"/>
      <c r="M772" s="384"/>
      <c r="N772" s="384"/>
      <c r="O772" s="384"/>
      <c r="P772" s="384"/>
      <c r="Q772" s="384"/>
    </row>
    <row r="773">
      <c r="A773" s="396" t="str">
        <f>IFERROR(__xludf.DUMMYFUNCTION("""COMPUTED_VALUE""")," |  | ")</f>
        <v> |  | </v>
      </c>
      <c r="B773" s="396"/>
      <c r="C773" s="384"/>
      <c r="D773" s="384"/>
      <c r="E773" s="384"/>
      <c r="F773" s="384"/>
      <c r="G773" s="384"/>
      <c r="H773" s="384"/>
      <c r="I773" s="384"/>
      <c r="J773" s="384"/>
      <c r="K773" s="384"/>
      <c r="L773" s="384"/>
      <c r="M773" s="384"/>
      <c r="N773" s="384"/>
      <c r="O773" s="384"/>
      <c r="P773" s="384"/>
      <c r="Q773" s="384"/>
    </row>
    <row r="774">
      <c r="A774" s="396" t="str">
        <f>IFERROR(__xludf.DUMMYFUNCTION("""COMPUTED_VALUE""")," |  | ")</f>
        <v> |  | </v>
      </c>
      <c r="B774" s="396"/>
      <c r="C774" s="384"/>
      <c r="D774" s="384"/>
      <c r="E774" s="384"/>
      <c r="F774" s="384"/>
      <c r="G774" s="384"/>
      <c r="H774" s="384"/>
      <c r="I774" s="384"/>
      <c r="J774" s="384"/>
      <c r="K774" s="384"/>
      <c r="L774" s="384"/>
      <c r="M774" s="384"/>
      <c r="N774" s="384"/>
      <c r="O774" s="384"/>
      <c r="P774" s="384"/>
      <c r="Q774" s="384"/>
    </row>
    <row r="775">
      <c r="A775" s="396" t="str">
        <f>IFERROR(__xludf.DUMMYFUNCTION("""COMPUTED_VALUE""")," |  | ")</f>
        <v> |  | </v>
      </c>
      <c r="B775" s="396"/>
      <c r="C775" s="384"/>
      <c r="D775" s="384"/>
      <c r="E775" s="384"/>
      <c r="F775" s="384"/>
      <c r="G775" s="384"/>
      <c r="H775" s="384"/>
      <c r="I775" s="384"/>
      <c r="J775" s="384"/>
      <c r="K775" s="384"/>
      <c r="L775" s="384"/>
      <c r="M775" s="384"/>
      <c r="N775" s="384"/>
      <c r="O775" s="384"/>
      <c r="P775" s="384"/>
      <c r="Q775" s="384"/>
    </row>
    <row r="776">
      <c r="A776" s="396" t="str">
        <f>IFERROR(__xludf.DUMMYFUNCTION("""COMPUTED_VALUE""")," |  | ")</f>
        <v> |  | </v>
      </c>
      <c r="B776" s="396"/>
      <c r="C776" s="384"/>
      <c r="D776" s="384"/>
      <c r="E776" s="384"/>
      <c r="F776" s="384"/>
      <c r="G776" s="384"/>
      <c r="H776" s="384"/>
      <c r="I776" s="384"/>
      <c r="J776" s="384"/>
      <c r="K776" s="384"/>
      <c r="L776" s="384"/>
      <c r="M776" s="384"/>
      <c r="N776" s="384"/>
      <c r="O776" s="384"/>
      <c r="P776" s="384"/>
      <c r="Q776" s="384"/>
    </row>
    <row r="777">
      <c r="A777" s="396" t="str">
        <f>IFERROR(__xludf.DUMMYFUNCTION("""COMPUTED_VALUE""")," |  | ")</f>
        <v> |  | </v>
      </c>
      <c r="B777" s="396"/>
      <c r="C777" s="384"/>
      <c r="D777" s="384"/>
      <c r="E777" s="384"/>
      <c r="F777" s="384"/>
      <c r="G777" s="384"/>
      <c r="H777" s="384"/>
      <c r="I777" s="384"/>
      <c r="J777" s="384"/>
      <c r="K777" s="384"/>
      <c r="L777" s="384"/>
      <c r="M777" s="384"/>
      <c r="N777" s="384"/>
      <c r="O777" s="384"/>
      <c r="P777" s="384"/>
      <c r="Q777" s="384"/>
    </row>
    <row r="778">
      <c r="A778" s="396" t="str">
        <f>IFERROR(__xludf.DUMMYFUNCTION("""COMPUTED_VALUE""")," |  | ")</f>
        <v> |  | </v>
      </c>
      <c r="B778" s="396"/>
      <c r="C778" s="384"/>
      <c r="D778" s="384"/>
      <c r="E778" s="384"/>
      <c r="F778" s="384"/>
      <c r="G778" s="384"/>
      <c r="H778" s="384"/>
      <c r="I778" s="384"/>
      <c r="J778" s="384"/>
      <c r="K778" s="384"/>
      <c r="L778" s="384"/>
      <c r="M778" s="384"/>
      <c r="N778" s="384"/>
      <c r="O778" s="384"/>
      <c r="P778" s="384"/>
      <c r="Q778" s="384"/>
    </row>
    <row r="779">
      <c r="A779" s="396" t="str">
        <f>IFERROR(__xludf.DUMMYFUNCTION("""COMPUTED_VALUE""")," |  | ")</f>
        <v> |  | </v>
      </c>
      <c r="B779" s="396"/>
      <c r="C779" s="384"/>
      <c r="D779" s="384"/>
      <c r="E779" s="384"/>
      <c r="F779" s="384"/>
      <c r="G779" s="384"/>
      <c r="H779" s="384"/>
      <c r="I779" s="384"/>
      <c r="J779" s="384"/>
      <c r="K779" s="384"/>
      <c r="L779" s="384"/>
      <c r="M779" s="384"/>
      <c r="N779" s="384"/>
      <c r="O779" s="384"/>
      <c r="P779" s="384"/>
      <c r="Q779" s="384"/>
    </row>
    <row r="780">
      <c r="A780" s="396" t="str">
        <f>IFERROR(__xludf.DUMMYFUNCTION("""COMPUTED_VALUE""")," |  | ")</f>
        <v> |  | </v>
      </c>
      <c r="B780" s="396"/>
      <c r="C780" s="384"/>
      <c r="D780" s="384"/>
      <c r="E780" s="384"/>
      <c r="F780" s="384"/>
      <c r="G780" s="384"/>
      <c r="H780" s="384"/>
      <c r="I780" s="384"/>
      <c r="J780" s="384"/>
      <c r="K780" s="384"/>
      <c r="L780" s="384"/>
      <c r="M780" s="384"/>
      <c r="N780" s="384"/>
      <c r="O780" s="384"/>
      <c r="P780" s="384"/>
      <c r="Q780" s="384"/>
    </row>
    <row r="781">
      <c r="A781" s="396" t="str">
        <f>IFERROR(__xludf.DUMMYFUNCTION("""COMPUTED_VALUE""")," |  | ")</f>
        <v> |  | </v>
      </c>
      <c r="B781" s="396"/>
      <c r="C781" s="384"/>
      <c r="D781" s="384"/>
      <c r="E781" s="384"/>
      <c r="F781" s="384"/>
      <c r="G781" s="384"/>
      <c r="H781" s="384"/>
      <c r="I781" s="384"/>
      <c r="J781" s="384"/>
      <c r="K781" s="384"/>
      <c r="L781" s="384"/>
      <c r="M781" s="384"/>
      <c r="N781" s="384"/>
      <c r="O781" s="384"/>
      <c r="P781" s="384"/>
      <c r="Q781" s="384"/>
    </row>
    <row r="782">
      <c r="A782" s="396" t="str">
        <f>IFERROR(__xludf.DUMMYFUNCTION("""COMPUTED_VALUE""")," |  | ")</f>
        <v> |  | </v>
      </c>
      <c r="B782" s="396"/>
      <c r="C782" s="384"/>
      <c r="D782" s="384"/>
      <c r="E782" s="384"/>
      <c r="F782" s="384"/>
      <c r="G782" s="384"/>
      <c r="H782" s="384"/>
      <c r="I782" s="384"/>
      <c r="J782" s="384"/>
      <c r="K782" s="384"/>
      <c r="L782" s="384"/>
      <c r="M782" s="384"/>
      <c r="N782" s="384"/>
      <c r="O782" s="384"/>
      <c r="P782" s="384"/>
      <c r="Q782" s="384"/>
    </row>
    <row r="783">
      <c r="A783" s="396" t="str">
        <f>IFERROR(__xludf.DUMMYFUNCTION("""COMPUTED_VALUE""")," |  | ")</f>
        <v> |  | </v>
      </c>
      <c r="B783" s="396"/>
      <c r="C783" s="384"/>
      <c r="D783" s="384"/>
      <c r="E783" s="384"/>
      <c r="F783" s="384"/>
      <c r="G783" s="384"/>
      <c r="H783" s="384"/>
      <c r="I783" s="384"/>
      <c r="J783" s="384"/>
      <c r="K783" s="384"/>
      <c r="L783" s="384"/>
      <c r="M783" s="384"/>
      <c r="N783" s="384"/>
      <c r="O783" s="384"/>
      <c r="P783" s="384"/>
      <c r="Q783" s="384"/>
    </row>
    <row r="784">
      <c r="A784" s="396" t="str">
        <f>IFERROR(__xludf.DUMMYFUNCTION("""COMPUTED_VALUE""")," |  | ")</f>
        <v> |  | </v>
      </c>
      <c r="B784" s="396"/>
      <c r="C784" s="384"/>
      <c r="D784" s="384"/>
      <c r="E784" s="384"/>
      <c r="F784" s="384"/>
      <c r="G784" s="384"/>
      <c r="H784" s="384"/>
      <c r="I784" s="384"/>
      <c r="J784" s="384"/>
      <c r="K784" s="384"/>
      <c r="L784" s="384"/>
      <c r="M784" s="384"/>
      <c r="N784" s="384"/>
      <c r="O784" s="384"/>
      <c r="P784" s="384"/>
      <c r="Q784" s="384"/>
    </row>
    <row r="785">
      <c r="A785" s="396" t="str">
        <f>IFERROR(__xludf.DUMMYFUNCTION("""COMPUTED_VALUE""")," |  | ")</f>
        <v> |  | </v>
      </c>
      <c r="B785" s="396"/>
      <c r="C785" s="384"/>
      <c r="D785" s="384"/>
      <c r="E785" s="384"/>
      <c r="F785" s="384"/>
      <c r="G785" s="384"/>
      <c r="H785" s="384"/>
      <c r="I785" s="384"/>
      <c r="J785" s="384"/>
      <c r="K785" s="384"/>
      <c r="L785" s="384"/>
      <c r="M785" s="384"/>
      <c r="N785" s="384"/>
      <c r="O785" s="384"/>
      <c r="P785" s="384"/>
      <c r="Q785" s="384"/>
    </row>
    <row r="786">
      <c r="A786" s="396" t="str">
        <f>IFERROR(__xludf.DUMMYFUNCTION("""COMPUTED_VALUE""")," |  | ")</f>
        <v> |  | </v>
      </c>
      <c r="B786" s="396"/>
      <c r="C786" s="384"/>
      <c r="D786" s="384"/>
      <c r="E786" s="384"/>
      <c r="F786" s="384"/>
      <c r="G786" s="384"/>
      <c r="H786" s="384"/>
      <c r="I786" s="384"/>
      <c r="J786" s="384"/>
      <c r="K786" s="384"/>
      <c r="L786" s="384"/>
      <c r="M786" s="384"/>
      <c r="N786" s="384"/>
      <c r="O786" s="384"/>
      <c r="P786" s="384"/>
      <c r="Q786" s="384"/>
    </row>
    <row r="787">
      <c r="A787" s="396" t="str">
        <f>IFERROR(__xludf.DUMMYFUNCTION("""COMPUTED_VALUE""")," |  | ")</f>
        <v> |  | </v>
      </c>
      <c r="B787" s="396"/>
      <c r="C787" s="384"/>
      <c r="D787" s="384"/>
      <c r="E787" s="384"/>
      <c r="F787" s="384"/>
      <c r="G787" s="384"/>
      <c r="H787" s="384"/>
      <c r="I787" s="384"/>
      <c r="J787" s="384"/>
      <c r="K787" s="384"/>
      <c r="L787" s="384"/>
      <c r="M787" s="384"/>
      <c r="N787" s="384"/>
      <c r="O787" s="384"/>
      <c r="P787" s="384"/>
      <c r="Q787" s="384"/>
    </row>
    <row r="788">
      <c r="A788" s="396" t="str">
        <f>IFERROR(__xludf.DUMMYFUNCTION("""COMPUTED_VALUE""")," |  | ")</f>
        <v> |  | </v>
      </c>
      <c r="B788" s="396"/>
      <c r="C788" s="384"/>
      <c r="D788" s="384"/>
      <c r="E788" s="384"/>
      <c r="F788" s="384"/>
      <c r="G788" s="384"/>
      <c r="H788" s="384"/>
      <c r="I788" s="384"/>
      <c r="J788" s="384"/>
      <c r="K788" s="384"/>
      <c r="L788" s="384"/>
      <c r="M788" s="384"/>
      <c r="N788" s="384"/>
      <c r="O788" s="384"/>
      <c r="P788" s="384"/>
      <c r="Q788" s="384"/>
    </row>
    <row r="789">
      <c r="A789" s="396" t="str">
        <f>IFERROR(__xludf.DUMMYFUNCTION("""COMPUTED_VALUE""")," |  | ")</f>
        <v> |  | </v>
      </c>
      <c r="B789" s="396"/>
      <c r="C789" s="384"/>
      <c r="D789" s="384"/>
      <c r="E789" s="384"/>
      <c r="F789" s="384"/>
      <c r="G789" s="384"/>
      <c r="H789" s="384"/>
      <c r="I789" s="384"/>
      <c r="J789" s="384"/>
      <c r="K789" s="384"/>
      <c r="L789" s="384"/>
      <c r="M789" s="384"/>
      <c r="N789" s="384"/>
      <c r="O789" s="384"/>
      <c r="P789" s="384"/>
      <c r="Q789" s="384"/>
    </row>
    <row r="790">
      <c r="A790" s="396" t="str">
        <f>IFERROR(__xludf.DUMMYFUNCTION("""COMPUTED_VALUE""")," |  | ")</f>
        <v> |  | </v>
      </c>
      <c r="B790" s="396"/>
      <c r="C790" s="384"/>
      <c r="D790" s="384"/>
      <c r="E790" s="384"/>
      <c r="F790" s="384"/>
      <c r="G790" s="384"/>
      <c r="H790" s="384"/>
      <c r="I790" s="384"/>
      <c r="J790" s="384"/>
      <c r="K790" s="384"/>
      <c r="L790" s="384"/>
      <c r="M790" s="384"/>
      <c r="N790" s="384"/>
      <c r="O790" s="384"/>
      <c r="P790" s="384"/>
      <c r="Q790" s="384"/>
    </row>
    <row r="791">
      <c r="A791" s="396" t="str">
        <f>IFERROR(__xludf.DUMMYFUNCTION("""COMPUTED_VALUE""")," |  | ")</f>
        <v> |  | </v>
      </c>
      <c r="B791" s="396"/>
      <c r="C791" s="384"/>
      <c r="D791" s="384"/>
      <c r="E791" s="384"/>
      <c r="F791" s="384"/>
      <c r="G791" s="384"/>
      <c r="H791" s="384"/>
      <c r="I791" s="384"/>
      <c r="J791" s="384"/>
      <c r="K791" s="384"/>
      <c r="L791" s="384"/>
      <c r="M791" s="384"/>
      <c r="N791" s="384"/>
      <c r="O791" s="384"/>
      <c r="P791" s="384"/>
      <c r="Q791" s="384"/>
    </row>
    <row r="792">
      <c r="A792" s="396" t="str">
        <f>IFERROR(__xludf.DUMMYFUNCTION("""COMPUTED_VALUE""")," |  | ")</f>
        <v> |  | </v>
      </c>
      <c r="B792" s="396"/>
      <c r="C792" s="384"/>
      <c r="D792" s="384"/>
      <c r="E792" s="384"/>
      <c r="F792" s="384"/>
      <c r="G792" s="384"/>
      <c r="H792" s="384"/>
      <c r="I792" s="384"/>
      <c r="J792" s="384"/>
      <c r="K792" s="384"/>
      <c r="L792" s="384"/>
      <c r="M792" s="384"/>
      <c r="N792" s="384"/>
      <c r="O792" s="384"/>
      <c r="P792" s="384"/>
      <c r="Q792" s="384"/>
    </row>
    <row r="793">
      <c r="A793" s="396" t="str">
        <f>IFERROR(__xludf.DUMMYFUNCTION("""COMPUTED_VALUE""")," |  | ")</f>
        <v> |  | </v>
      </c>
      <c r="B793" s="396"/>
      <c r="C793" s="384"/>
      <c r="D793" s="384"/>
      <c r="E793" s="384"/>
      <c r="F793" s="384"/>
      <c r="G793" s="384"/>
      <c r="H793" s="384"/>
      <c r="I793" s="384"/>
      <c r="J793" s="384"/>
      <c r="K793" s="384"/>
      <c r="L793" s="384"/>
      <c r="M793" s="384"/>
      <c r="N793" s="384"/>
      <c r="O793" s="384"/>
      <c r="P793" s="384"/>
      <c r="Q793" s="384"/>
    </row>
    <row r="794">
      <c r="A794" s="396" t="str">
        <f>IFERROR(__xludf.DUMMYFUNCTION("""COMPUTED_VALUE""")," |  | ")</f>
        <v> |  | </v>
      </c>
      <c r="B794" s="396"/>
      <c r="C794" s="384"/>
      <c r="D794" s="384"/>
      <c r="E794" s="384"/>
      <c r="F794" s="384"/>
      <c r="G794" s="384"/>
      <c r="H794" s="384"/>
      <c r="I794" s="384"/>
      <c r="J794" s="384"/>
      <c r="K794" s="384"/>
      <c r="L794" s="384"/>
      <c r="M794" s="384"/>
      <c r="N794" s="384"/>
      <c r="O794" s="384"/>
      <c r="P794" s="384"/>
      <c r="Q794" s="384"/>
    </row>
    <row r="795">
      <c r="A795" s="396" t="str">
        <f>IFERROR(__xludf.DUMMYFUNCTION("""COMPUTED_VALUE""")," |  | ")</f>
        <v> |  | </v>
      </c>
      <c r="B795" s="396"/>
      <c r="C795" s="384"/>
      <c r="D795" s="384"/>
      <c r="E795" s="384"/>
      <c r="F795" s="384"/>
      <c r="G795" s="384"/>
      <c r="H795" s="384"/>
      <c r="I795" s="384"/>
      <c r="J795" s="384"/>
      <c r="K795" s="384"/>
      <c r="L795" s="384"/>
      <c r="M795" s="384"/>
      <c r="N795" s="384"/>
      <c r="O795" s="384"/>
      <c r="P795" s="384"/>
      <c r="Q795" s="384"/>
    </row>
    <row r="796">
      <c r="A796" s="396" t="str">
        <f>IFERROR(__xludf.DUMMYFUNCTION("""COMPUTED_VALUE""")," |  | ")</f>
        <v> |  | </v>
      </c>
      <c r="B796" s="396"/>
      <c r="C796" s="384"/>
      <c r="D796" s="384"/>
      <c r="E796" s="384"/>
      <c r="F796" s="384"/>
      <c r="G796" s="384"/>
      <c r="H796" s="384"/>
      <c r="I796" s="384"/>
      <c r="J796" s="384"/>
      <c r="K796" s="384"/>
      <c r="L796" s="384"/>
      <c r="M796" s="384"/>
      <c r="N796" s="384"/>
      <c r="O796" s="384"/>
      <c r="P796" s="384"/>
      <c r="Q796" s="384"/>
    </row>
    <row r="797">
      <c r="A797" s="396" t="str">
        <f>IFERROR(__xludf.DUMMYFUNCTION("""COMPUTED_VALUE""")," |  | ")</f>
        <v> |  | </v>
      </c>
      <c r="B797" s="396"/>
      <c r="C797" s="384"/>
      <c r="D797" s="384"/>
      <c r="E797" s="384"/>
      <c r="F797" s="384"/>
      <c r="G797" s="384"/>
      <c r="H797" s="384"/>
      <c r="I797" s="384"/>
      <c r="J797" s="384"/>
      <c r="K797" s="384"/>
      <c r="L797" s="384"/>
      <c r="M797" s="384"/>
      <c r="N797" s="384"/>
      <c r="O797" s="384"/>
      <c r="P797" s="384"/>
      <c r="Q797" s="384"/>
    </row>
    <row r="798">
      <c r="A798" s="396" t="str">
        <f>IFERROR(__xludf.DUMMYFUNCTION("""COMPUTED_VALUE""")," |  | ")</f>
        <v> |  | </v>
      </c>
      <c r="B798" s="396"/>
      <c r="C798" s="384"/>
      <c r="D798" s="384"/>
      <c r="E798" s="384"/>
      <c r="F798" s="384"/>
      <c r="G798" s="384"/>
      <c r="H798" s="384"/>
      <c r="I798" s="384"/>
      <c r="J798" s="384"/>
      <c r="K798" s="384"/>
      <c r="L798" s="384"/>
      <c r="M798" s="384"/>
      <c r="N798" s="384"/>
      <c r="O798" s="384"/>
      <c r="P798" s="384"/>
      <c r="Q798" s="384"/>
    </row>
    <row r="799">
      <c r="A799" s="396" t="str">
        <f>IFERROR(__xludf.DUMMYFUNCTION("""COMPUTED_VALUE""")," |  | ")</f>
        <v> |  | </v>
      </c>
      <c r="B799" s="396"/>
      <c r="C799" s="384"/>
      <c r="D799" s="384"/>
      <c r="E799" s="384"/>
      <c r="F799" s="384"/>
      <c r="G799" s="384"/>
      <c r="H799" s="384"/>
      <c r="I799" s="384"/>
      <c r="J799" s="384"/>
      <c r="K799" s="384"/>
      <c r="L799" s="384"/>
      <c r="M799" s="384"/>
      <c r="N799" s="384"/>
      <c r="O799" s="384"/>
      <c r="P799" s="384"/>
      <c r="Q799" s="384"/>
    </row>
    <row r="800">
      <c r="A800" s="396" t="str">
        <f>IFERROR(__xludf.DUMMYFUNCTION("""COMPUTED_VALUE""")," |  | ")</f>
        <v> |  | </v>
      </c>
      <c r="B800" s="396"/>
      <c r="C800" s="384"/>
      <c r="D800" s="384"/>
      <c r="E800" s="384"/>
      <c r="F800" s="384"/>
      <c r="G800" s="384"/>
      <c r="H800" s="384"/>
      <c r="I800" s="384"/>
      <c r="J800" s="384"/>
      <c r="K800" s="384"/>
      <c r="L800" s="384"/>
      <c r="M800" s="384"/>
      <c r="N800" s="384"/>
      <c r="O800" s="384"/>
      <c r="P800" s="384"/>
      <c r="Q800" s="384"/>
    </row>
    <row r="801">
      <c r="A801" s="396" t="str">
        <f>IFERROR(__xludf.DUMMYFUNCTION("""COMPUTED_VALUE""")," |  | ")</f>
        <v> |  | </v>
      </c>
      <c r="B801" s="396"/>
      <c r="C801" s="384"/>
      <c r="D801" s="384"/>
      <c r="E801" s="384"/>
      <c r="F801" s="384"/>
      <c r="G801" s="384"/>
      <c r="H801" s="384"/>
      <c r="I801" s="384"/>
      <c r="J801" s="384"/>
      <c r="K801" s="384"/>
      <c r="L801" s="384"/>
      <c r="M801" s="384"/>
      <c r="N801" s="384"/>
      <c r="O801" s="384"/>
      <c r="P801" s="384"/>
      <c r="Q801" s="384"/>
    </row>
    <row r="802">
      <c r="A802" s="396"/>
      <c r="B802" s="396"/>
      <c r="C802" s="384"/>
      <c r="D802" s="384"/>
      <c r="E802" s="384"/>
      <c r="F802" s="384"/>
      <c r="G802" s="384"/>
      <c r="H802" s="384"/>
      <c r="I802" s="384"/>
      <c r="J802" s="384"/>
      <c r="K802" s="384"/>
      <c r="L802" s="384"/>
      <c r="M802" s="384"/>
      <c r="N802" s="384"/>
      <c r="O802" s="384"/>
      <c r="P802" s="384"/>
      <c r="Q802" s="384"/>
    </row>
    <row r="803">
      <c r="A803" s="396"/>
      <c r="B803" s="396"/>
      <c r="C803" s="384"/>
      <c r="D803" s="384"/>
      <c r="E803" s="384"/>
      <c r="F803" s="384"/>
      <c r="G803" s="384"/>
      <c r="H803" s="384"/>
      <c r="I803" s="384"/>
      <c r="J803" s="384"/>
      <c r="K803" s="384"/>
      <c r="L803" s="384"/>
      <c r="M803" s="384"/>
      <c r="N803" s="384"/>
      <c r="O803" s="384"/>
      <c r="P803" s="384"/>
      <c r="Q803" s="384"/>
    </row>
    <row r="804">
      <c r="A804" s="396"/>
      <c r="B804" s="396"/>
      <c r="C804" s="384"/>
      <c r="D804" s="384"/>
      <c r="E804" s="384"/>
      <c r="F804" s="384"/>
      <c r="G804" s="384"/>
      <c r="H804" s="384"/>
      <c r="I804" s="384"/>
      <c r="J804" s="384"/>
      <c r="K804" s="384"/>
      <c r="L804" s="384"/>
      <c r="M804" s="384"/>
      <c r="N804" s="384"/>
      <c r="O804" s="384"/>
      <c r="P804" s="384"/>
      <c r="Q804" s="384"/>
    </row>
    <row r="805">
      <c r="A805" s="396"/>
      <c r="B805" s="396"/>
      <c r="C805" s="384"/>
      <c r="D805" s="384"/>
      <c r="E805" s="384"/>
      <c r="F805" s="384"/>
      <c r="G805" s="384"/>
      <c r="H805" s="384"/>
      <c r="I805" s="384"/>
      <c r="J805" s="384"/>
      <c r="K805" s="384"/>
      <c r="L805" s="384"/>
      <c r="M805" s="384"/>
      <c r="N805" s="384"/>
      <c r="O805" s="384"/>
      <c r="P805" s="384"/>
      <c r="Q805" s="384"/>
    </row>
    <row r="806">
      <c r="A806" s="396"/>
      <c r="B806" s="396"/>
      <c r="C806" s="384"/>
      <c r="D806" s="384"/>
      <c r="E806" s="384"/>
      <c r="F806" s="384"/>
      <c r="G806" s="384"/>
      <c r="H806" s="384"/>
      <c r="I806" s="384"/>
      <c r="J806" s="384"/>
      <c r="K806" s="384"/>
      <c r="L806" s="384"/>
      <c r="M806" s="384"/>
      <c r="N806" s="384"/>
      <c r="O806" s="384"/>
      <c r="P806" s="384"/>
      <c r="Q806" s="384"/>
    </row>
    <row r="807">
      <c r="A807" s="396"/>
      <c r="B807" s="396"/>
      <c r="C807" s="384"/>
      <c r="D807" s="384"/>
      <c r="E807" s="384"/>
      <c r="F807" s="384"/>
      <c r="G807" s="384"/>
      <c r="H807" s="384"/>
      <c r="I807" s="384"/>
      <c r="J807" s="384"/>
      <c r="K807" s="384"/>
      <c r="L807" s="384"/>
      <c r="M807" s="384"/>
      <c r="N807" s="384"/>
      <c r="O807" s="384"/>
      <c r="P807" s="384"/>
      <c r="Q807" s="384"/>
    </row>
    <row r="808">
      <c r="A808" s="396"/>
      <c r="B808" s="396"/>
      <c r="C808" s="384"/>
      <c r="D808" s="384"/>
      <c r="E808" s="384"/>
      <c r="F808" s="384"/>
      <c r="G808" s="384"/>
      <c r="H808" s="384"/>
      <c r="I808" s="384"/>
      <c r="J808" s="384"/>
      <c r="K808" s="384"/>
      <c r="L808" s="384"/>
      <c r="M808" s="384"/>
      <c r="N808" s="384"/>
      <c r="O808" s="384"/>
      <c r="P808" s="384"/>
      <c r="Q808" s="384"/>
    </row>
    <row r="809">
      <c r="A809" s="396"/>
      <c r="B809" s="396"/>
      <c r="C809" s="384"/>
      <c r="D809" s="384"/>
      <c r="E809" s="384"/>
      <c r="F809" s="384"/>
      <c r="G809" s="384"/>
      <c r="H809" s="384"/>
      <c r="I809" s="384"/>
      <c r="J809" s="384"/>
      <c r="K809" s="384"/>
      <c r="L809" s="384"/>
      <c r="M809" s="384"/>
      <c r="N809" s="384"/>
      <c r="O809" s="384"/>
      <c r="P809" s="384"/>
      <c r="Q809" s="384"/>
    </row>
    <row r="810">
      <c r="A810" s="396"/>
      <c r="B810" s="396"/>
      <c r="C810" s="384"/>
      <c r="D810" s="384"/>
      <c r="E810" s="384"/>
      <c r="F810" s="384"/>
      <c r="G810" s="384"/>
      <c r="H810" s="384"/>
      <c r="I810" s="384"/>
      <c r="J810" s="384"/>
      <c r="K810" s="384"/>
      <c r="L810" s="384"/>
      <c r="M810" s="384"/>
      <c r="N810" s="384"/>
      <c r="O810" s="384"/>
      <c r="P810" s="384"/>
      <c r="Q810" s="384"/>
    </row>
    <row r="811">
      <c r="A811" s="396"/>
      <c r="B811" s="396"/>
      <c r="C811" s="384"/>
      <c r="D811" s="384"/>
      <c r="E811" s="384"/>
      <c r="F811" s="384"/>
      <c r="G811" s="384"/>
      <c r="H811" s="384"/>
      <c r="I811" s="384"/>
      <c r="J811" s="384"/>
      <c r="K811" s="384"/>
      <c r="L811" s="384"/>
      <c r="M811" s="384"/>
      <c r="N811" s="384"/>
      <c r="O811" s="384"/>
      <c r="P811" s="384"/>
      <c r="Q811" s="384"/>
    </row>
    <row r="812">
      <c r="A812" s="396"/>
      <c r="B812" s="396"/>
      <c r="C812" s="384"/>
      <c r="D812" s="384"/>
      <c r="E812" s="384"/>
      <c r="F812" s="384"/>
      <c r="G812" s="384"/>
      <c r="H812" s="384"/>
      <c r="I812" s="384"/>
      <c r="J812" s="384"/>
      <c r="K812" s="384"/>
      <c r="L812" s="384"/>
      <c r="M812" s="384"/>
      <c r="N812" s="384"/>
      <c r="O812" s="384"/>
      <c r="P812" s="384"/>
      <c r="Q812" s="384"/>
    </row>
    <row r="813">
      <c r="A813" s="396"/>
      <c r="B813" s="396"/>
      <c r="C813" s="384"/>
      <c r="D813" s="384"/>
      <c r="E813" s="384"/>
      <c r="F813" s="384"/>
      <c r="G813" s="384"/>
      <c r="H813" s="384"/>
      <c r="I813" s="384"/>
      <c r="J813" s="384"/>
      <c r="K813" s="384"/>
      <c r="L813" s="384"/>
      <c r="M813" s="384"/>
      <c r="N813" s="384"/>
      <c r="O813" s="384"/>
      <c r="P813" s="384"/>
      <c r="Q813" s="384"/>
    </row>
    <row r="814">
      <c r="A814" s="396"/>
      <c r="B814" s="396"/>
      <c r="C814" s="384"/>
      <c r="D814" s="384"/>
      <c r="E814" s="384"/>
      <c r="F814" s="384"/>
      <c r="G814" s="384"/>
      <c r="H814" s="384"/>
      <c r="I814" s="384"/>
      <c r="J814" s="384"/>
      <c r="K814" s="384"/>
      <c r="L814" s="384"/>
      <c r="M814" s="384"/>
      <c r="N814" s="384"/>
      <c r="O814" s="384"/>
      <c r="P814" s="384"/>
      <c r="Q814" s="384"/>
    </row>
    <row r="815">
      <c r="A815" s="396"/>
      <c r="B815" s="396"/>
      <c r="C815" s="384"/>
      <c r="D815" s="384"/>
      <c r="E815" s="384"/>
      <c r="F815" s="384"/>
      <c r="G815" s="384"/>
      <c r="H815" s="384"/>
      <c r="I815" s="384"/>
      <c r="J815" s="384"/>
      <c r="K815" s="384"/>
      <c r="L815" s="384"/>
      <c r="M815" s="384"/>
      <c r="N815" s="384"/>
      <c r="O815" s="384"/>
      <c r="P815" s="384"/>
      <c r="Q815" s="384"/>
    </row>
    <row r="816">
      <c r="A816" s="396"/>
      <c r="B816" s="396"/>
      <c r="C816" s="384"/>
      <c r="D816" s="384"/>
      <c r="E816" s="384"/>
      <c r="F816" s="384"/>
      <c r="G816" s="384"/>
      <c r="H816" s="384"/>
      <c r="I816" s="384"/>
      <c r="J816" s="384"/>
      <c r="K816" s="384"/>
      <c r="L816" s="384"/>
      <c r="M816" s="384"/>
      <c r="N816" s="384"/>
      <c r="O816" s="384"/>
      <c r="P816" s="384"/>
      <c r="Q816" s="384"/>
    </row>
    <row r="817">
      <c r="A817" s="396"/>
      <c r="B817" s="396"/>
      <c r="C817" s="384"/>
      <c r="D817" s="384"/>
      <c r="E817" s="384"/>
      <c r="F817" s="384"/>
      <c r="G817" s="384"/>
      <c r="H817" s="384"/>
      <c r="I817" s="384"/>
      <c r="J817" s="384"/>
      <c r="K817" s="384"/>
      <c r="L817" s="384"/>
      <c r="M817" s="384"/>
      <c r="N817" s="384"/>
      <c r="O817" s="384"/>
      <c r="P817" s="384"/>
      <c r="Q817" s="384"/>
    </row>
    <row r="818">
      <c r="A818" s="396"/>
      <c r="B818" s="396"/>
      <c r="C818" s="384"/>
      <c r="D818" s="384"/>
      <c r="E818" s="384"/>
      <c r="F818" s="384"/>
      <c r="G818" s="384"/>
      <c r="H818" s="384"/>
      <c r="I818" s="384"/>
      <c r="J818" s="384"/>
      <c r="K818" s="384"/>
      <c r="L818" s="384"/>
      <c r="M818" s="384"/>
      <c r="N818" s="384"/>
      <c r="O818" s="384"/>
      <c r="P818" s="384"/>
      <c r="Q818" s="384"/>
    </row>
    <row r="819">
      <c r="A819" s="396"/>
      <c r="B819" s="396"/>
      <c r="C819" s="384"/>
      <c r="D819" s="384"/>
      <c r="E819" s="384"/>
      <c r="F819" s="384"/>
      <c r="G819" s="384"/>
      <c r="H819" s="384"/>
      <c r="I819" s="384"/>
      <c r="J819" s="384"/>
      <c r="K819" s="384"/>
      <c r="L819" s="384"/>
      <c r="M819" s="384"/>
      <c r="N819" s="384"/>
      <c r="O819" s="384"/>
      <c r="P819" s="384"/>
      <c r="Q819" s="384"/>
    </row>
    <row r="820">
      <c r="A820" s="396"/>
      <c r="B820" s="396"/>
      <c r="C820" s="384"/>
      <c r="D820" s="384"/>
      <c r="E820" s="384"/>
      <c r="F820" s="384"/>
      <c r="G820" s="384"/>
      <c r="H820" s="384"/>
      <c r="I820" s="384"/>
      <c r="J820" s="384"/>
      <c r="K820" s="384"/>
      <c r="L820" s="384"/>
      <c r="M820" s="384"/>
      <c r="N820" s="384"/>
      <c r="O820" s="384"/>
      <c r="P820" s="384"/>
      <c r="Q820" s="384"/>
    </row>
    <row r="821">
      <c r="A821" s="396"/>
      <c r="B821" s="396"/>
      <c r="C821" s="384"/>
      <c r="D821" s="384"/>
      <c r="E821" s="384"/>
      <c r="F821" s="384"/>
      <c r="G821" s="384"/>
      <c r="H821" s="384"/>
      <c r="I821" s="384"/>
      <c r="J821" s="384"/>
      <c r="K821" s="384"/>
      <c r="L821" s="384"/>
      <c r="M821" s="384"/>
      <c r="N821" s="384"/>
      <c r="O821" s="384"/>
      <c r="P821" s="384"/>
      <c r="Q821" s="384"/>
    </row>
    <row r="822">
      <c r="A822" s="396"/>
      <c r="B822" s="396"/>
      <c r="C822" s="384"/>
      <c r="D822" s="384"/>
      <c r="E822" s="384"/>
      <c r="F822" s="384"/>
      <c r="G822" s="384"/>
      <c r="H822" s="384"/>
      <c r="I822" s="384"/>
      <c r="J822" s="384"/>
      <c r="K822" s="384"/>
      <c r="L822" s="384"/>
      <c r="M822" s="384"/>
      <c r="N822" s="384"/>
      <c r="O822" s="384"/>
      <c r="P822" s="384"/>
      <c r="Q822" s="384"/>
    </row>
    <row r="823">
      <c r="A823" s="396"/>
      <c r="B823" s="396"/>
      <c r="C823" s="384"/>
      <c r="D823" s="384"/>
      <c r="E823" s="384"/>
      <c r="F823" s="384"/>
      <c r="G823" s="384"/>
      <c r="H823" s="384"/>
      <c r="I823" s="384"/>
      <c r="J823" s="384"/>
      <c r="K823" s="384"/>
      <c r="L823" s="384"/>
      <c r="M823" s="384"/>
      <c r="N823" s="384"/>
      <c r="O823" s="384"/>
      <c r="P823" s="384"/>
      <c r="Q823" s="384"/>
    </row>
    <row r="824">
      <c r="A824" s="396"/>
      <c r="B824" s="396"/>
      <c r="C824" s="384"/>
      <c r="D824" s="384"/>
      <c r="E824" s="384"/>
      <c r="F824" s="384"/>
      <c r="G824" s="384"/>
      <c r="H824" s="384"/>
      <c r="I824" s="384"/>
      <c r="J824" s="384"/>
      <c r="K824" s="384"/>
      <c r="L824" s="384"/>
      <c r="M824" s="384"/>
      <c r="N824" s="384"/>
      <c r="O824" s="384"/>
      <c r="P824" s="384"/>
      <c r="Q824" s="384"/>
    </row>
    <row r="825">
      <c r="A825" s="396"/>
      <c r="B825" s="396"/>
      <c r="C825" s="384"/>
      <c r="D825" s="384"/>
      <c r="E825" s="384"/>
      <c r="F825" s="384"/>
      <c r="G825" s="384"/>
      <c r="H825" s="384"/>
      <c r="I825" s="384"/>
      <c r="J825" s="384"/>
      <c r="K825" s="384"/>
      <c r="L825" s="384"/>
      <c r="M825" s="384"/>
      <c r="N825" s="384"/>
      <c r="O825" s="384"/>
      <c r="P825" s="384"/>
      <c r="Q825" s="384"/>
    </row>
    <row r="826">
      <c r="A826" s="396"/>
      <c r="B826" s="396"/>
      <c r="C826" s="384"/>
      <c r="D826" s="384"/>
      <c r="E826" s="384"/>
      <c r="F826" s="384"/>
      <c r="G826" s="384"/>
      <c r="H826" s="384"/>
      <c r="I826" s="384"/>
      <c r="J826" s="384"/>
      <c r="K826" s="384"/>
      <c r="L826" s="384"/>
      <c r="M826" s="384"/>
      <c r="N826" s="384"/>
      <c r="O826" s="384"/>
      <c r="P826" s="384"/>
      <c r="Q826" s="384"/>
    </row>
    <row r="827">
      <c r="A827" s="396"/>
      <c r="B827" s="396"/>
      <c r="C827" s="384"/>
      <c r="D827" s="384"/>
      <c r="E827" s="384"/>
      <c r="F827" s="384"/>
      <c r="G827" s="384"/>
      <c r="H827" s="384"/>
      <c r="I827" s="384"/>
      <c r="J827" s="384"/>
      <c r="K827" s="384"/>
      <c r="L827" s="384"/>
      <c r="M827" s="384"/>
      <c r="N827" s="384"/>
      <c r="O827" s="384"/>
      <c r="P827" s="384"/>
      <c r="Q827" s="384"/>
    </row>
    <row r="828">
      <c r="A828" s="396"/>
      <c r="B828" s="396"/>
      <c r="C828" s="384"/>
      <c r="D828" s="384"/>
      <c r="E828" s="384"/>
      <c r="F828" s="384"/>
      <c r="G828" s="384"/>
      <c r="H828" s="384"/>
      <c r="I828" s="384"/>
      <c r="J828" s="384"/>
      <c r="K828" s="384"/>
      <c r="L828" s="384"/>
      <c r="M828" s="384"/>
      <c r="N828" s="384"/>
      <c r="O828" s="384"/>
      <c r="P828" s="384"/>
      <c r="Q828" s="384"/>
    </row>
    <row r="829">
      <c r="A829" s="396"/>
      <c r="B829" s="396"/>
      <c r="C829" s="384"/>
      <c r="D829" s="384"/>
      <c r="E829" s="384"/>
      <c r="F829" s="384"/>
      <c r="G829" s="384"/>
      <c r="H829" s="384"/>
      <c r="I829" s="384"/>
      <c r="J829" s="384"/>
      <c r="K829" s="384"/>
      <c r="L829" s="384"/>
      <c r="M829" s="384"/>
      <c r="N829" s="384"/>
      <c r="O829" s="384"/>
      <c r="P829" s="384"/>
      <c r="Q829" s="384"/>
    </row>
    <row r="830">
      <c r="A830" s="396"/>
      <c r="B830" s="396"/>
      <c r="C830" s="384"/>
      <c r="D830" s="384"/>
      <c r="E830" s="384"/>
      <c r="F830" s="384"/>
      <c r="G830" s="384"/>
      <c r="H830" s="384"/>
      <c r="I830" s="384"/>
      <c r="J830" s="384"/>
      <c r="K830" s="384"/>
      <c r="L830" s="384"/>
      <c r="M830" s="384"/>
      <c r="N830" s="384"/>
      <c r="O830" s="384"/>
      <c r="P830" s="384"/>
      <c r="Q830" s="384"/>
    </row>
    <row r="831">
      <c r="A831" s="396"/>
      <c r="B831" s="396"/>
      <c r="C831" s="384"/>
      <c r="D831" s="384"/>
      <c r="E831" s="384"/>
      <c r="F831" s="384"/>
      <c r="G831" s="384"/>
      <c r="H831" s="384"/>
      <c r="I831" s="384"/>
      <c r="J831" s="384"/>
      <c r="K831" s="384"/>
      <c r="L831" s="384"/>
      <c r="M831" s="384"/>
      <c r="N831" s="384"/>
      <c r="O831" s="384"/>
      <c r="P831" s="384"/>
      <c r="Q831" s="384"/>
    </row>
    <row r="832">
      <c r="A832" s="396"/>
      <c r="B832" s="396"/>
      <c r="C832" s="384"/>
      <c r="D832" s="384"/>
      <c r="E832" s="384"/>
      <c r="F832" s="384"/>
      <c r="G832" s="384"/>
      <c r="H832" s="384"/>
      <c r="I832" s="384"/>
      <c r="J832" s="384"/>
      <c r="K832" s="384"/>
      <c r="L832" s="384"/>
      <c r="M832" s="384"/>
      <c r="N832" s="384"/>
      <c r="O832" s="384"/>
      <c r="P832" s="384"/>
      <c r="Q832" s="384"/>
    </row>
    <row r="833">
      <c r="A833" s="396"/>
      <c r="B833" s="396"/>
      <c r="C833" s="384"/>
      <c r="D833" s="384"/>
      <c r="E833" s="384"/>
      <c r="F833" s="384"/>
      <c r="G833" s="384"/>
      <c r="H833" s="384"/>
      <c r="I833" s="384"/>
      <c r="J833" s="384"/>
      <c r="K833" s="384"/>
      <c r="L833" s="384"/>
      <c r="M833" s="384"/>
      <c r="N833" s="384"/>
      <c r="O833" s="384"/>
      <c r="P833" s="384"/>
      <c r="Q833" s="384"/>
    </row>
    <row r="834">
      <c r="A834" s="396"/>
      <c r="B834" s="396"/>
      <c r="C834" s="384"/>
      <c r="D834" s="384"/>
      <c r="E834" s="384"/>
      <c r="F834" s="384"/>
      <c r="G834" s="384"/>
      <c r="H834" s="384"/>
      <c r="I834" s="384"/>
      <c r="J834" s="384"/>
      <c r="K834" s="384"/>
      <c r="L834" s="384"/>
      <c r="M834" s="384"/>
      <c r="N834" s="384"/>
      <c r="O834" s="384"/>
      <c r="P834" s="384"/>
      <c r="Q834" s="384"/>
    </row>
    <row r="835">
      <c r="A835" s="396"/>
      <c r="B835" s="396"/>
      <c r="C835" s="384"/>
      <c r="D835" s="384"/>
      <c r="E835" s="384"/>
      <c r="F835" s="384"/>
      <c r="G835" s="384"/>
      <c r="H835" s="384"/>
      <c r="I835" s="384"/>
      <c r="J835" s="384"/>
      <c r="K835" s="384"/>
      <c r="L835" s="384"/>
      <c r="M835" s="384"/>
      <c r="N835" s="384"/>
      <c r="O835" s="384"/>
      <c r="P835" s="384"/>
      <c r="Q835" s="384"/>
    </row>
    <row r="836">
      <c r="A836" s="396"/>
      <c r="B836" s="396"/>
      <c r="C836" s="384"/>
      <c r="D836" s="384"/>
      <c r="E836" s="384"/>
      <c r="F836" s="384"/>
      <c r="G836" s="384"/>
      <c r="H836" s="384"/>
      <c r="I836" s="384"/>
      <c r="J836" s="384"/>
      <c r="K836" s="384"/>
      <c r="L836" s="384"/>
      <c r="M836" s="384"/>
      <c r="N836" s="384"/>
      <c r="O836" s="384"/>
      <c r="P836" s="384"/>
      <c r="Q836" s="384"/>
    </row>
    <row r="837">
      <c r="A837" s="396"/>
      <c r="B837" s="396"/>
      <c r="C837" s="384"/>
      <c r="D837" s="384"/>
      <c r="E837" s="384"/>
      <c r="F837" s="384"/>
      <c r="G837" s="384"/>
      <c r="H837" s="384"/>
      <c r="I837" s="384"/>
      <c r="J837" s="384"/>
      <c r="K837" s="384"/>
      <c r="L837" s="384"/>
      <c r="M837" s="384"/>
      <c r="N837" s="384"/>
      <c r="O837" s="384"/>
      <c r="P837" s="384"/>
      <c r="Q837" s="384"/>
    </row>
    <row r="838">
      <c r="A838" s="396"/>
      <c r="B838" s="396"/>
      <c r="C838" s="384"/>
      <c r="D838" s="384"/>
      <c r="E838" s="384"/>
      <c r="F838" s="384"/>
      <c r="G838" s="384"/>
      <c r="H838" s="384"/>
      <c r="I838" s="384"/>
      <c r="J838" s="384"/>
      <c r="K838" s="384"/>
      <c r="L838" s="384"/>
      <c r="M838" s="384"/>
      <c r="N838" s="384"/>
      <c r="O838" s="384"/>
      <c r="P838" s="384"/>
      <c r="Q838" s="384"/>
    </row>
    <row r="839">
      <c r="A839" s="396"/>
      <c r="B839" s="396"/>
      <c r="C839" s="384"/>
      <c r="D839" s="384"/>
      <c r="E839" s="384"/>
      <c r="F839" s="384"/>
      <c r="G839" s="384"/>
      <c r="H839" s="384"/>
      <c r="I839" s="384"/>
      <c r="J839" s="384"/>
      <c r="K839" s="384"/>
      <c r="L839" s="384"/>
      <c r="M839" s="384"/>
      <c r="N839" s="384"/>
      <c r="O839" s="384"/>
      <c r="P839" s="384"/>
      <c r="Q839" s="384"/>
    </row>
    <row r="840">
      <c r="A840" s="396"/>
      <c r="B840" s="396"/>
      <c r="C840" s="384"/>
      <c r="D840" s="384"/>
      <c r="E840" s="384"/>
      <c r="F840" s="384"/>
      <c r="G840" s="384"/>
      <c r="H840" s="384"/>
      <c r="I840" s="384"/>
      <c r="J840" s="384"/>
      <c r="K840" s="384"/>
      <c r="L840" s="384"/>
      <c r="M840" s="384"/>
      <c r="N840" s="384"/>
      <c r="O840" s="384"/>
      <c r="P840" s="384"/>
      <c r="Q840" s="384"/>
    </row>
    <row r="841">
      <c r="A841" s="396"/>
      <c r="B841" s="396"/>
      <c r="C841" s="384"/>
      <c r="D841" s="384"/>
      <c r="E841" s="384"/>
      <c r="F841" s="384"/>
      <c r="G841" s="384"/>
      <c r="H841" s="384"/>
      <c r="I841" s="384"/>
      <c r="J841" s="384"/>
      <c r="K841" s="384"/>
      <c r="L841" s="384"/>
      <c r="M841" s="384"/>
      <c r="N841" s="384"/>
      <c r="O841" s="384"/>
      <c r="P841" s="384"/>
      <c r="Q841" s="384"/>
    </row>
    <row r="842">
      <c r="A842" s="396"/>
      <c r="B842" s="396"/>
      <c r="C842" s="384"/>
      <c r="D842" s="384"/>
      <c r="E842" s="384"/>
      <c r="F842" s="384"/>
      <c r="G842" s="384"/>
      <c r="H842" s="384"/>
      <c r="I842" s="384"/>
      <c r="J842" s="384"/>
      <c r="K842" s="384"/>
      <c r="L842" s="384"/>
      <c r="M842" s="384"/>
      <c r="N842" s="384"/>
      <c r="O842" s="384"/>
      <c r="P842" s="384"/>
      <c r="Q842" s="384"/>
    </row>
    <row r="843">
      <c r="A843" s="396"/>
      <c r="B843" s="396"/>
      <c r="C843" s="384"/>
      <c r="D843" s="384"/>
      <c r="E843" s="384"/>
      <c r="F843" s="384"/>
      <c r="G843" s="384"/>
      <c r="H843" s="384"/>
      <c r="I843" s="384"/>
      <c r="J843" s="384"/>
      <c r="K843" s="384"/>
      <c r="L843" s="384"/>
      <c r="M843" s="384"/>
      <c r="N843" s="384"/>
      <c r="O843" s="384"/>
      <c r="P843" s="384"/>
      <c r="Q843" s="384"/>
    </row>
    <row r="844">
      <c r="A844" s="396"/>
      <c r="B844" s="396"/>
      <c r="C844" s="384"/>
      <c r="D844" s="384"/>
      <c r="E844" s="384"/>
      <c r="F844" s="384"/>
      <c r="G844" s="384"/>
      <c r="H844" s="384"/>
      <c r="I844" s="384"/>
      <c r="J844" s="384"/>
      <c r="K844" s="384"/>
      <c r="L844" s="384"/>
      <c r="M844" s="384"/>
      <c r="N844" s="384"/>
      <c r="O844" s="384"/>
      <c r="P844" s="384"/>
      <c r="Q844" s="384"/>
    </row>
    <row r="845">
      <c r="A845" s="396"/>
      <c r="B845" s="396"/>
      <c r="C845" s="384"/>
      <c r="D845" s="384"/>
      <c r="E845" s="384"/>
      <c r="F845" s="384"/>
      <c r="G845" s="384"/>
      <c r="H845" s="384"/>
      <c r="I845" s="384"/>
      <c r="J845" s="384"/>
      <c r="K845" s="384"/>
      <c r="L845" s="384"/>
      <c r="M845" s="384"/>
      <c r="N845" s="384"/>
      <c r="O845" s="384"/>
      <c r="P845" s="384"/>
      <c r="Q845" s="384"/>
    </row>
    <row r="846">
      <c r="A846" s="396"/>
      <c r="B846" s="396"/>
      <c r="C846" s="384"/>
      <c r="D846" s="384"/>
      <c r="E846" s="384"/>
      <c r="F846" s="384"/>
      <c r="G846" s="384"/>
      <c r="H846" s="384"/>
      <c r="I846" s="384"/>
      <c r="J846" s="384"/>
      <c r="K846" s="384"/>
      <c r="L846" s="384"/>
      <c r="M846" s="384"/>
      <c r="N846" s="384"/>
      <c r="O846" s="384"/>
      <c r="P846" s="384"/>
      <c r="Q846" s="384"/>
    </row>
    <row r="847">
      <c r="A847" s="396"/>
      <c r="B847" s="396"/>
      <c r="C847" s="384"/>
      <c r="D847" s="384"/>
      <c r="E847" s="384"/>
      <c r="F847" s="384"/>
      <c r="G847" s="384"/>
      <c r="H847" s="384"/>
      <c r="I847" s="384"/>
      <c r="J847" s="384"/>
      <c r="K847" s="384"/>
      <c r="L847" s="384"/>
      <c r="M847" s="384"/>
      <c r="N847" s="384"/>
      <c r="O847" s="384"/>
      <c r="P847" s="384"/>
      <c r="Q847" s="384"/>
    </row>
    <row r="848">
      <c r="A848" s="396"/>
      <c r="B848" s="396"/>
      <c r="C848" s="384"/>
      <c r="D848" s="384"/>
      <c r="E848" s="384"/>
      <c r="F848" s="384"/>
      <c r="G848" s="384"/>
      <c r="H848" s="384"/>
      <c r="I848" s="384"/>
      <c r="J848" s="384"/>
      <c r="K848" s="384"/>
      <c r="L848" s="384"/>
      <c r="M848" s="384"/>
      <c r="N848" s="384"/>
      <c r="O848" s="384"/>
      <c r="P848" s="384"/>
      <c r="Q848" s="384"/>
    </row>
    <row r="849">
      <c r="A849" s="396"/>
      <c r="B849" s="396"/>
      <c r="C849" s="384"/>
      <c r="D849" s="384"/>
      <c r="E849" s="384"/>
      <c r="F849" s="384"/>
      <c r="G849" s="384"/>
      <c r="H849" s="384"/>
      <c r="I849" s="384"/>
      <c r="J849" s="384"/>
      <c r="K849" s="384"/>
      <c r="L849" s="384"/>
      <c r="M849" s="384"/>
      <c r="N849" s="384"/>
      <c r="O849" s="384"/>
      <c r="P849" s="384"/>
      <c r="Q849" s="384"/>
    </row>
    <row r="850">
      <c r="A850" s="396"/>
      <c r="B850" s="396"/>
      <c r="C850" s="384"/>
      <c r="D850" s="384"/>
      <c r="E850" s="384"/>
      <c r="F850" s="384"/>
      <c r="G850" s="384"/>
      <c r="H850" s="384"/>
      <c r="I850" s="384"/>
      <c r="J850" s="384"/>
      <c r="K850" s="384"/>
      <c r="L850" s="384"/>
      <c r="M850" s="384"/>
      <c r="N850" s="384"/>
      <c r="O850" s="384"/>
      <c r="P850" s="384"/>
      <c r="Q850" s="384"/>
    </row>
    <row r="851">
      <c r="A851" s="396"/>
      <c r="B851" s="396"/>
      <c r="C851" s="384"/>
      <c r="D851" s="384"/>
      <c r="E851" s="384"/>
      <c r="F851" s="384"/>
      <c r="G851" s="384"/>
      <c r="H851" s="384"/>
      <c r="I851" s="384"/>
      <c r="J851" s="384"/>
      <c r="K851" s="384"/>
      <c r="L851" s="384"/>
      <c r="M851" s="384"/>
      <c r="N851" s="384"/>
      <c r="O851" s="384"/>
      <c r="P851" s="384"/>
      <c r="Q851" s="384"/>
    </row>
    <row r="852">
      <c r="A852" s="396"/>
      <c r="B852" s="396"/>
      <c r="C852" s="384"/>
      <c r="D852" s="384"/>
      <c r="E852" s="384"/>
      <c r="F852" s="384"/>
      <c r="G852" s="384"/>
      <c r="H852" s="384"/>
      <c r="I852" s="384"/>
      <c r="J852" s="384"/>
      <c r="K852" s="384"/>
      <c r="L852" s="384"/>
      <c r="M852" s="384"/>
      <c r="N852" s="384"/>
      <c r="O852" s="384"/>
      <c r="P852" s="384"/>
      <c r="Q852" s="384"/>
    </row>
    <row r="853">
      <c r="A853" s="396"/>
      <c r="B853" s="396"/>
      <c r="C853" s="384"/>
      <c r="D853" s="384"/>
      <c r="E853" s="384"/>
      <c r="F853" s="384"/>
      <c r="G853" s="384"/>
      <c r="H853" s="384"/>
      <c r="I853" s="384"/>
      <c r="J853" s="384"/>
      <c r="K853" s="384"/>
      <c r="L853" s="384"/>
      <c r="M853" s="384"/>
      <c r="N853" s="384"/>
      <c r="O853" s="384"/>
      <c r="P853" s="384"/>
      <c r="Q853" s="384"/>
    </row>
    <row r="854">
      <c r="A854" s="396"/>
      <c r="B854" s="396"/>
      <c r="C854" s="384"/>
      <c r="D854" s="384"/>
      <c r="E854" s="384"/>
      <c r="F854" s="384"/>
      <c r="G854" s="384"/>
      <c r="H854" s="384"/>
      <c r="I854" s="384"/>
      <c r="J854" s="384"/>
      <c r="K854" s="384"/>
      <c r="L854" s="384"/>
      <c r="M854" s="384"/>
      <c r="N854" s="384"/>
      <c r="O854" s="384"/>
      <c r="P854" s="384"/>
      <c r="Q854" s="384"/>
    </row>
    <row r="855">
      <c r="A855" s="396"/>
      <c r="B855" s="396"/>
      <c r="C855" s="384"/>
      <c r="D855" s="384"/>
      <c r="E855" s="384"/>
      <c r="F855" s="384"/>
      <c r="G855" s="384"/>
      <c r="H855" s="384"/>
      <c r="I855" s="384"/>
      <c r="J855" s="384"/>
      <c r="K855" s="384"/>
      <c r="L855" s="384"/>
      <c r="M855" s="384"/>
      <c r="N855" s="384"/>
      <c r="O855" s="384"/>
      <c r="P855" s="384"/>
      <c r="Q855" s="384"/>
    </row>
    <row r="856">
      <c r="A856" s="396"/>
      <c r="B856" s="396"/>
      <c r="C856" s="384"/>
      <c r="D856" s="384"/>
      <c r="E856" s="384"/>
      <c r="F856" s="384"/>
      <c r="G856" s="384"/>
      <c r="H856" s="384"/>
      <c r="I856" s="384"/>
      <c r="J856" s="384"/>
      <c r="K856" s="384"/>
      <c r="L856" s="384"/>
      <c r="M856" s="384"/>
      <c r="N856" s="384"/>
      <c r="O856" s="384"/>
      <c r="P856" s="384"/>
      <c r="Q856" s="384"/>
    </row>
    <row r="857">
      <c r="A857" s="396"/>
      <c r="B857" s="396"/>
      <c r="C857" s="384"/>
      <c r="D857" s="384"/>
      <c r="E857" s="384"/>
      <c r="F857" s="384"/>
      <c r="G857" s="384"/>
      <c r="H857" s="384"/>
      <c r="I857" s="384"/>
      <c r="J857" s="384"/>
      <c r="K857" s="384"/>
      <c r="L857" s="384"/>
      <c r="M857" s="384"/>
      <c r="N857" s="384"/>
      <c r="O857" s="384"/>
      <c r="P857" s="384"/>
      <c r="Q857" s="384"/>
    </row>
    <row r="858">
      <c r="A858" s="396"/>
      <c r="B858" s="396"/>
      <c r="C858" s="384"/>
      <c r="D858" s="384"/>
      <c r="E858" s="384"/>
      <c r="F858" s="384"/>
      <c r="G858" s="384"/>
      <c r="H858" s="384"/>
      <c r="I858" s="384"/>
      <c r="J858" s="384"/>
      <c r="K858" s="384"/>
      <c r="L858" s="384"/>
      <c r="M858" s="384"/>
      <c r="N858" s="384"/>
      <c r="O858" s="384"/>
      <c r="P858" s="384"/>
      <c r="Q858" s="384"/>
    </row>
    <row r="859">
      <c r="A859" s="396"/>
      <c r="B859" s="396"/>
      <c r="C859" s="384"/>
      <c r="D859" s="384"/>
      <c r="E859" s="384"/>
      <c r="F859" s="384"/>
      <c r="G859" s="384"/>
      <c r="H859" s="384"/>
      <c r="I859" s="384"/>
      <c r="J859" s="384"/>
      <c r="K859" s="384"/>
      <c r="L859" s="384"/>
      <c r="M859" s="384"/>
      <c r="N859" s="384"/>
      <c r="O859" s="384"/>
      <c r="P859" s="384"/>
      <c r="Q859" s="384"/>
    </row>
    <row r="860">
      <c r="A860" s="396"/>
      <c r="B860" s="396"/>
      <c r="C860" s="384"/>
      <c r="D860" s="384"/>
      <c r="E860" s="384"/>
      <c r="F860" s="384"/>
      <c r="G860" s="384"/>
      <c r="H860" s="384"/>
      <c r="I860" s="384"/>
      <c r="J860" s="384"/>
      <c r="K860" s="384"/>
      <c r="L860" s="384"/>
      <c r="M860" s="384"/>
      <c r="N860" s="384"/>
      <c r="O860" s="384"/>
      <c r="P860" s="384"/>
      <c r="Q860" s="384"/>
    </row>
    <row r="861">
      <c r="A861" s="396"/>
      <c r="B861" s="396"/>
      <c r="C861" s="384"/>
      <c r="D861" s="384"/>
      <c r="E861" s="384"/>
      <c r="F861" s="384"/>
      <c r="G861" s="384"/>
      <c r="H861" s="384"/>
      <c r="I861" s="384"/>
      <c r="J861" s="384"/>
      <c r="K861" s="384"/>
      <c r="L861" s="384"/>
      <c r="M861" s="384"/>
      <c r="N861" s="384"/>
      <c r="O861" s="384"/>
      <c r="P861" s="384"/>
      <c r="Q861" s="384"/>
    </row>
    <row r="862">
      <c r="A862" s="396"/>
      <c r="B862" s="396"/>
      <c r="C862" s="384"/>
      <c r="D862" s="384"/>
      <c r="E862" s="384"/>
      <c r="F862" s="384"/>
      <c r="G862" s="384"/>
      <c r="H862" s="384"/>
      <c r="I862" s="384"/>
      <c r="J862" s="384"/>
      <c r="K862" s="384"/>
      <c r="L862" s="384"/>
      <c r="M862" s="384"/>
      <c r="N862" s="384"/>
      <c r="O862" s="384"/>
      <c r="P862" s="384"/>
      <c r="Q862" s="384"/>
    </row>
    <row r="863">
      <c r="A863" s="396"/>
      <c r="B863" s="396"/>
      <c r="C863" s="384"/>
      <c r="D863" s="384"/>
      <c r="E863" s="384"/>
      <c r="F863" s="384"/>
      <c r="G863" s="384"/>
      <c r="H863" s="384"/>
      <c r="I863" s="384"/>
      <c r="J863" s="384"/>
      <c r="K863" s="384"/>
      <c r="L863" s="384"/>
      <c r="M863" s="384"/>
      <c r="N863" s="384"/>
      <c r="O863" s="384"/>
      <c r="P863" s="384"/>
      <c r="Q863" s="384"/>
    </row>
    <row r="864">
      <c r="A864" s="396"/>
      <c r="B864" s="396"/>
      <c r="C864" s="384"/>
      <c r="D864" s="384"/>
      <c r="E864" s="384"/>
      <c r="F864" s="384"/>
      <c r="G864" s="384"/>
      <c r="H864" s="384"/>
      <c r="I864" s="384"/>
      <c r="J864" s="384"/>
      <c r="K864" s="384"/>
      <c r="L864" s="384"/>
      <c r="M864" s="384"/>
      <c r="N864" s="384"/>
      <c r="O864" s="384"/>
      <c r="P864" s="384"/>
      <c r="Q864" s="384"/>
    </row>
    <row r="865">
      <c r="A865" s="396"/>
      <c r="B865" s="396"/>
      <c r="C865" s="384"/>
      <c r="D865" s="384"/>
      <c r="E865" s="384"/>
      <c r="F865" s="384"/>
      <c r="G865" s="384"/>
      <c r="H865" s="384"/>
      <c r="I865" s="384"/>
      <c r="J865" s="384"/>
      <c r="K865" s="384"/>
      <c r="L865" s="384"/>
      <c r="M865" s="384"/>
      <c r="N865" s="384"/>
      <c r="O865" s="384"/>
      <c r="P865" s="384"/>
      <c r="Q865" s="384"/>
    </row>
    <row r="866">
      <c r="A866" s="396"/>
      <c r="B866" s="396"/>
      <c r="C866" s="384"/>
      <c r="D866" s="384"/>
      <c r="E866" s="384"/>
      <c r="F866" s="384"/>
      <c r="G866" s="384"/>
      <c r="H866" s="384"/>
      <c r="I866" s="384"/>
      <c r="J866" s="384"/>
      <c r="K866" s="384"/>
      <c r="L866" s="384"/>
      <c r="M866" s="384"/>
      <c r="N866" s="384"/>
      <c r="O866" s="384"/>
      <c r="P866" s="384"/>
      <c r="Q866" s="384"/>
    </row>
    <row r="867">
      <c r="A867" s="396"/>
      <c r="B867" s="396"/>
      <c r="C867" s="384"/>
      <c r="D867" s="384"/>
      <c r="E867" s="384"/>
      <c r="F867" s="384"/>
      <c r="G867" s="384"/>
      <c r="H867" s="384"/>
      <c r="I867" s="384"/>
      <c r="J867" s="384"/>
      <c r="K867" s="384"/>
      <c r="L867" s="384"/>
      <c r="M867" s="384"/>
      <c r="N867" s="384"/>
      <c r="O867" s="384"/>
      <c r="P867" s="384"/>
      <c r="Q867" s="384"/>
    </row>
    <row r="868">
      <c r="A868" s="396"/>
      <c r="B868" s="396"/>
      <c r="C868" s="384"/>
      <c r="D868" s="384"/>
      <c r="E868" s="384"/>
      <c r="F868" s="384"/>
      <c r="G868" s="384"/>
      <c r="H868" s="384"/>
      <c r="I868" s="384"/>
      <c r="J868" s="384"/>
      <c r="K868" s="384"/>
      <c r="L868" s="384"/>
      <c r="M868" s="384"/>
      <c r="N868" s="384"/>
      <c r="O868" s="384"/>
      <c r="P868" s="384"/>
      <c r="Q868" s="384"/>
    </row>
    <row r="869">
      <c r="A869" s="396"/>
      <c r="B869" s="396"/>
      <c r="C869" s="384"/>
      <c r="D869" s="384"/>
      <c r="E869" s="384"/>
      <c r="F869" s="384"/>
      <c r="G869" s="384"/>
      <c r="H869" s="384"/>
      <c r="I869" s="384"/>
      <c r="J869" s="384"/>
      <c r="K869" s="384"/>
      <c r="L869" s="384"/>
      <c r="M869" s="384"/>
      <c r="N869" s="384"/>
      <c r="O869" s="384"/>
      <c r="P869" s="384"/>
      <c r="Q869" s="384"/>
    </row>
    <row r="870">
      <c r="A870" s="396"/>
      <c r="B870" s="396"/>
      <c r="C870" s="384"/>
      <c r="D870" s="384"/>
      <c r="E870" s="384"/>
      <c r="F870" s="384"/>
      <c r="G870" s="384"/>
      <c r="H870" s="384"/>
      <c r="I870" s="384"/>
      <c r="J870" s="384"/>
      <c r="K870" s="384"/>
      <c r="L870" s="384"/>
      <c r="M870" s="384"/>
      <c r="N870" s="384"/>
      <c r="O870" s="384"/>
      <c r="P870" s="384"/>
      <c r="Q870" s="384"/>
    </row>
    <row r="871">
      <c r="A871" s="396"/>
      <c r="B871" s="396"/>
      <c r="C871" s="384"/>
      <c r="D871" s="384"/>
      <c r="E871" s="384"/>
      <c r="F871" s="384"/>
      <c r="G871" s="384"/>
      <c r="H871" s="384"/>
      <c r="I871" s="384"/>
      <c r="J871" s="384"/>
      <c r="K871" s="384"/>
      <c r="L871" s="384"/>
      <c r="M871" s="384"/>
      <c r="N871" s="384"/>
      <c r="O871" s="384"/>
      <c r="P871" s="384"/>
      <c r="Q871" s="384"/>
    </row>
    <row r="872">
      <c r="A872" s="396"/>
      <c r="B872" s="396"/>
      <c r="C872" s="384"/>
      <c r="D872" s="384"/>
      <c r="E872" s="384"/>
      <c r="F872" s="384"/>
      <c r="G872" s="384"/>
      <c r="H872" s="384"/>
      <c r="I872" s="384"/>
      <c r="J872" s="384"/>
      <c r="K872" s="384"/>
      <c r="L872" s="384"/>
      <c r="M872" s="384"/>
      <c r="N872" s="384"/>
      <c r="O872" s="384"/>
      <c r="P872" s="384"/>
      <c r="Q872" s="384"/>
    </row>
    <row r="873">
      <c r="A873" s="396"/>
      <c r="B873" s="396"/>
      <c r="C873" s="384"/>
      <c r="D873" s="384"/>
      <c r="E873" s="384"/>
      <c r="F873" s="384"/>
      <c r="G873" s="384"/>
      <c r="H873" s="384"/>
      <c r="I873" s="384"/>
      <c r="J873" s="384"/>
      <c r="K873" s="384"/>
      <c r="L873" s="384"/>
      <c r="M873" s="384"/>
      <c r="N873" s="384"/>
      <c r="O873" s="384"/>
      <c r="P873" s="384"/>
      <c r="Q873" s="384"/>
    </row>
    <row r="874">
      <c r="A874" s="396"/>
      <c r="B874" s="396"/>
      <c r="C874" s="384"/>
      <c r="D874" s="384"/>
      <c r="E874" s="384"/>
      <c r="F874" s="384"/>
      <c r="G874" s="384"/>
      <c r="H874" s="384"/>
      <c r="I874" s="384"/>
      <c r="J874" s="384"/>
      <c r="K874" s="384"/>
      <c r="L874" s="384"/>
      <c r="M874" s="384"/>
      <c r="N874" s="384"/>
      <c r="O874" s="384"/>
      <c r="P874" s="384"/>
      <c r="Q874" s="384"/>
    </row>
    <row r="875">
      <c r="A875" s="396"/>
      <c r="B875" s="396"/>
      <c r="C875" s="384"/>
      <c r="D875" s="384"/>
      <c r="E875" s="384"/>
      <c r="F875" s="384"/>
      <c r="G875" s="384"/>
      <c r="H875" s="384"/>
      <c r="I875" s="384"/>
      <c r="J875" s="384"/>
      <c r="K875" s="384"/>
      <c r="L875" s="384"/>
      <c r="M875" s="384"/>
      <c r="N875" s="384"/>
      <c r="O875" s="384"/>
      <c r="P875" s="384"/>
      <c r="Q875" s="384"/>
    </row>
    <row r="876">
      <c r="A876" s="396"/>
      <c r="B876" s="396"/>
      <c r="C876" s="384"/>
      <c r="D876" s="384"/>
      <c r="E876" s="384"/>
      <c r="F876" s="384"/>
      <c r="G876" s="384"/>
      <c r="H876" s="384"/>
      <c r="I876" s="384"/>
      <c r="J876" s="384"/>
      <c r="K876" s="384"/>
      <c r="L876" s="384"/>
      <c r="M876" s="384"/>
      <c r="N876" s="384"/>
      <c r="O876" s="384"/>
      <c r="P876" s="384"/>
      <c r="Q876" s="384"/>
    </row>
    <row r="877">
      <c r="A877" s="396"/>
      <c r="B877" s="396"/>
      <c r="C877" s="384"/>
      <c r="D877" s="384"/>
      <c r="E877" s="384"/>
      <c r="F877" s="384"/>
      <c r="G877" s="384"/>
      <c r="H877" s="384"/>
      <c r="I877" s="384"/>
      <c r="J877" s="384"/>
      <c r="K877" s="384"/>
      <c r="L877" s="384"/>
      <c r="M877" s="384"/>
      <c r="N877" s="384"/>
      <c r="O877" s="384"/>
      <c r="P877" s="384"/>
      <c r="Q877" s="384"/>
    </row>
    <row r="878">
      <c r="A878" s="396"/>
      <c r="B878" s="396"/>
      <c r="C878" s="384"/>
      <c r="D878" s="384"/>
      <c r="E878" s="384"/>
      <c r="F878" s="384"/>
      <c r="G878" s="384"/>
      <c r="H878" s="384"/>
      <c r="I878" s="384"/>
      <c r="J878" s="384"/>
      <c r="K878" s="384"/>
      <c r="L878" s="384"/>
      <c r="M878" s="384"/>
      <c r="N878" s="384"/>
      <c r="O878" s="384"/>
      <c r="P878" s="384"/>
      <c r="Q878" s="384"/>
    </row>
    <row r="879">
      <c r="A879" s="396"/>
      <c r="B879" s="396"/>
      <c r="C879" s="384"/>
      <c r="D879" s="384"/>
      <c r="E879" s="384"/>
      <c r="F879" s="384"/>
      <c r="G879" s="384"/>
      <c r="H879" s="384"/>
      <c r="I879" s="384"/>
      <c r="J879" s="384"/>
      <c r="K879" s="384"/>
      <c r="L879" s="384"/>
      <c r="M879" s="384"/>
      <c r="N879" s="384"/>
      <c r="O879" s="384"/>
      <c r="P879" s="384"/>
      <c r="Q879" s="384"/>
    </row>
    <row r="880">
      <c r="A880" s="396"/>
      <c r="B880" s="396"/>
      <c r="C880" s="384"/>
      <c r="D880" s="384"/>
      <c r="E880" s="384"/>
      <c r="F880" s="384"/>
      <c r="G880" s="384"/>
      <c r="H880" s="384"/>
      <c r="I880" s="384"/>
      <c r="J880" s="384"/>
      <c r="K880" s="384"/>
      <c r="L880" s="384"/>
      <c r="M880" s="384"/>
      <c r="N880" s="384"/>
      <c r="O880" s="384"/>
      <c r="P880" s="384"/>
      <c r="Q880" s="384"/>
    </row>
    <row r="881">
      <c r="A881" s="396"/>
      <c r="B881" s="396"/>
      <c r="C881" s="384"/>
      <c r="D881" s="384"/>
      <c r="E881" s="384"/>
      <c r="F881" s="384"/>
      <c r="G881" s="384"/>
      <c r="H881" s="384"/>
      <c r="I881" s="384"/>
      <c r="J881" s="384"/>
      <c r="K881" s="384"/>
      <c r="L881" s="384"/>
      <c r="M881" s="384"/>
      <c r="N881" s="384"/>
      <c r="O881" s="384"/>
      <c r="P881" s="384"/>
      <c r="Q881" s="384"/>
    </row>
    <row r="882">
      <c r="A882" s="396"/>
      <c r="B882" s="396"/>
      <c r="C882" s="384"/>
      <c r="D882" s="384"/>
      <c r="E882" s="384"/>
      <c r="F882" s="384"/>
      <c r="G882" s="384"/>
      <c r="H882" s="384"/>
      <c r="I882" s="384"/>
      <c r="J882" s="384"/>
      <c r="K882" s="384"/>
      <c r="L882" s="384"/>
      <c r="M882" s="384"/>
      <c r="N882" s="384"/>
      <c r="O882" s="384"/>
      <c r="P882" s="384"/>
      <c r="Q882" s="384"/>
    </row>
    <row r="883">
      <c r="A883" s="396"/>
      <c r="B883" s="396"/>
      <c r="C883" s="384"/>
      <c r="D883" s="384"/>
      <c r="E883" s="384"/>
      <c r="F883" s="384"/>
      <c r="G883" s="384"/>
      <c r="H883" s="384"/>
      <c r="I883" s="384"/>
      <c r="J883" s="384"/>
      <c r="K883" s="384"/>
      <c r="L883" s="384"/>
      <c r="M883" s="384"/>
      <c r="N883" s="384"/>
      <c r="O883" s="384"/>
      <c r="P883" s="384"/>
      <c r="Q883" s="384"/>
    </row>
    <row r="884">
      <c r="A884" s="396"/>
      <c r="B884" s="396"/>
      <c r="C884" s="384"/>
      <c r="D884" s="384"/>
      <c r="E884" s="384"/>
      <c r="F884" s="384"/>
      <c r="G884" s="384"/>
      <c r="H884" s="384"/>
      <c r="I884" s="384"/>
      <c r="J884" s="384"/>
      <c r="K884" s="384"/>
      <c r="L884" s="384"/>
      <c r="M884" s="384"/>
      <c r="N884" s="384"/>
      <c r="O884" s="384"/>
      <c r="P884" s="384"/>
      <c r="Q884" s="384"/>
    </row>
    <row r="885">
      <c r="A885" s="396"/>
      <c r="B885" s="396"/>
      <c r="C885" s="384"/>
      <c r="D885" s="384"/>
      <c r="E885" s="384"/>
      <c r="F885" s="384"/>
      <c r="G885" s="384"/>
      <c r="H885" s="384"/>
      <c r="I885" s="384"/>
      <c r="J885" s="384"/>
      <c r="K885" s="384"/>
      <c r="L885" s="384"/>
      <c r="M885" s="384"/>
      <c r="N885" s="384"/>
      <c r="O885" s="384"/>
      <c r="P885" s="384"/>
      <c r="Q885" s="384"/>
    </row>
    <row r="886">
      <c r="A886" s="396"/>
      <c r="B886" s="396"/>
      <c r="C886" s="384"/>
      <c r="D886" s="384"/>
      <c r="E886" s="384"/>
      <c r="F886" s="384"/>
      <c r="G886" s="384"/>
      <c r="H886" s="384"/>
      <c r="I886" s="384"/>
      <c r="J886" s="384"/>
      <c r="K886" s="384"/>
      <c r="L886" s="384"/>
      <c r="M886" s="384"/>
      <c r="N886" s="384"/>
      <c r="O886" s="384"/>
      <c r="P886" s="384"/>
      <c r="Q886" s="384"/>
    </row>
    <row r="887">
      <c r="A887" s="396"/>
      <c r="B887" s="396"/>
      <c r="C887" s="384"/>
      <c r="D887" s="384"/>
      <c r="E887" s="384"/>
      <c r="F887" s="384"/>
      <c r="G887" s="384"/>
      <c r="H887" s="384"/>
      <c r="I887" s="384"/>
      <c r="J887" s="384"/>
      <c r="K887" s="384"/>
      <c r="L887" s="384"/>
      <c r="M887" s="384"/>
      <c r="N887" s="384"/>
      <c r="O887" s="384"/>
      <c r="P887" s="384"/>
      <c r="Q887" s="384"/>
    </row>
    <row r="888">
      <c r="A888" s="396"/>
      <c r="B888" s="396"/>
      <c r="C888" s="384"/>
      <c r="D888" s="384"/>
      <c r="E888" s="384"/>
      <c r="F888" s="384"/>
      <c r="G888" s="384"/>
      <c r="H888" s="384"/>
      <c r="I888" s="384"/>
      <c r="J888" s="384"/>
      <c r="K888" s="384"/>
      <c r="L888" s="384"/>
      <c r="M888" s="384"/>
      <c r="N888" s="384"/>
      <c r="O888" s="384"/>
      <c r="P888" s="384"/>
      <c r="Q888" s="384"/>
    </row>
    <row r="889">
      <c r="A889" s="396"/>
      <c r="B889" s="396"/>
      <c r="C889" s="384"/>
      <c r="D889" s="384"/>
      <c r="E889" s="384"/>
      <c r="F889" s="384"/>
      <c r="G889" s="384"/>
      <c r="H889" s="384"/>
      <c r="I889" s="384"/>
      <c r="J889" s="384"/>
      <c r="K889" s="384"/>
      <c r="L889" s="384"/>
      <c r="M889" s="384"/>
      <c r="N889" s="384"/>
      <c r="O889" s="384"/>
      <c r="P889" s="384"/>
      <c r="Q889" s="384"/>
    </row>
    <row r="890">
      <c r="A890" s="396"/>
      <c r="B890" s="396"/>
      <c r="C890" s="384"/>
      <c r="D890" s="384"/>
      <c r="E890" s="384"/>
      <c r="F890" s="384"/>
      <c r="G890" s="384"/>
      <c r="H890" s="384"/>
      <c r="I890" s="384"/>
      <c r="J890" s="384"/>
      <c r="K890" s="384"/>
      <c r="L890" s="384"/>
      <c r="M890" s="384"/>
      <c r="N890" s="384"/>
      <c r="O890" s="384"/>
      <c r="P890" s="384"/>
      <c r="Q890" s="384"/>
    </row>
    <row r="891">
      <c r="A891" s="396"/>
      <c r="B891" s="396"/>
      <c r="C891" s="384"/>
      <c r="D891" s="384"/>
      <c r="E891" s="384"/>
      <c r="F891" s="384"/>
      <c r="G891" s="384"/>
      <c r="H891" s="384"/>
      <c r="I891" s="384"/>
      <c r="J891" s="384"/>
      <c r="K891" s="384"/>
      <c r="L891" s="384"/>
      <c r="M891" s="384"/>
      <c r="N891" s="384"/>
      <c r="O891" s="384"/>
      <c r="P891" s="384"/>
      <c r="Q891" s="384"/>
    </row>
    <row r="892">
      <c r="A892" s="396"/>
      <c r="B892" s="396"/>
      <c r="C892" s="384"/>
      <c r="D892" s="384"/>
      <c r="E892" s="384"/>
      <c r="F892" s="384"/>
      <c r="G892" s="384"/>
      <c r="H892" s="384"/>
      <c r="I892" s="384"/>
      <c r="J892" s="384"/>
      <c r="K892" s="384"/>
      <c r="L892" s="384"/>
      <c r="M892" s="384"/>
      <c r="N892" s="384"/>
      <c r="O892" s="384"/>
      <c r="P892" s="384"/>
      <c r="Q892" s="384"/>
    </row>
    <row r="893">
      <c r="A893" s="396"/>
      <c r="B893" s="396"/>
      <c r="C893" s="384"/>
      <c r="D893" s="384"/>
      <c r="E893" s="384"/>
      <c r="F893" s="384"/>
      <c r="G893" s="384"/>
      <c r="H893" s="384"/>
      <c r="I893" s="384"/>
      <c r="J893" s="384"/>
      <c r="K893" s="384"/>
      <c r="L893" s="384"/>
      <c r="M893" s="384"/>
      <c r="N893" s="384"/>
      <c r="O893" s="384"/>
      <c r="P893" s="384"/>
      <c r="Q893" s="384"/>
    </row>
    <row r="894">
      <c r="A894" s="396"/>
      <c r="B894" s="396"/>
      <c r="C894" s="384"/>
      <c r="D894" s="384"/>
      <c r="E894" s="384"/>
      <c r="F894" s="384"/>
      <c r="G894" s="384"/>
      <c r="H894" s="384"/>
      <c r="I894" s="384"/>
      <c r="J894" s="384"/>
      <c r="K894" s="384"/>
      <c r="L894" s="384"/>
      <c r="M894" s="384"/>
      <c r="N894" s="384"/>
      <c r="O894" s="384"/>
      <c r="P894" s="384"/>
      <c r="Q894" s="384"/>
    </row>
    <row r="895">
      <c r="A895" s="396"/>
      <c r="B895" s="396"/>
      <c r="C895" s="384"/>
      <c r="D895" s="384"/>
      <c r="E895" s="384"/>
      <c r="F895" s="384"/>
      <c r="G895" s="384"/>
      <c r="H895" s="384"/>
      <c r="I895" s="384"/>
      <c r="J895" s="384"/>
      <c r="K895" s="384"/>
      <c r="L895" s="384"/>
      <c r="M895" s="384"/>
      <c r="N895" s="384"/>
      <c r="O895" s="384"/>
      <c r="P895" s="384"/>
      <c r="Q895" s="384"/>
    </row>
    <row r="896">
      <c r="A896" s="396"/>
      <c r="B896" s="396"/>
      <c r="C896" s="384"/>
      <c r="D896" s="384"/>
      <c r="E896" s="384"/>
      <c r="F896" s="384"/>
      <c r="G896" s="384"/>
      <c r="H896" s="384"/>
      <c r="I896" s="384"/>
      <c r="J896" s="384"/>
      <c r="K896" s="384"/>
      <c r="L896" s="384"/>
      <c r="M896" s="384"/>
      <c r="N896" s="384"/>
      <c r="O896" s="384"/>
      <c r="P896" s="384"/>
      <c r="Q896" s="384"/>
    </row>
    <row r="897">
      <c r="A897" s="396"/>
      <c r="B897" s="396"/>
      <c r="C897" s="384"/>
      <c r="D897" s="384"/>
      <c r="E897" s="384"/>
      <c r="F897" s="384"/>
      <c r="G897" s="384"/>
      <c r="H897" s="384"/>
      <c r="I897" s="384"/>
      <c r="J897" s="384"/>
      <c r="K897" s="384"/>
      <c r="L897" s="384"/>
      <c r="M897" s="384"/>
      <c r="N897" s="384"/>
      <c r="O897" s="384"/>
      <c r="P897" s="384"/>
      <c r="Q897" s="384"/>
    </row>
    <row r="898">
      <c r="A898" s="396"/>
      <c r="B898" s="396"/>
      <c r="C898" s="384"/>
      <c r="D898" s="384"/>
      <c r="E898" s="384"/>
      <c r="F898" s="384"/>
      <c r="G898" s="384"/>
      <c r="H898" s="384"/>
      <c r="I898" s="384"/>
      <c r="J898" s="384"/>
      <c r="K898" s="384"/>
      <c r="L898" s="384"/>
      <c r="M898" s="384"/>
      <c r="N898" s="384"/>
      <c r="O898" s="384"/>
      <c r="P898" s="384"/>
      <c r="Q898" s="384"/>
    </row>
    <row r="899">
      <c r="A899" s="396"/>
      <c r="B899" s="396"/>
      <c r="C899" s="384"/>
      <c r="D899" s="384"/>
      <c r="E899" s="384"/>
      <c r="F899" s="384"/>
      <c r="G899" s="384"/>
      <c r="H899" s="384"/>
      <c r="I899" s="384"/>
      <c r="J899" s="384"/>
      <c r="K899" s="384"/>
      <c r="L899" s="384"/>
      <c r="M899" s="384"/>
      <c r="N899" s="384"/>
      <c r="O899" s="384"/>
      <c r="P899" s="384"/>
      <c r="Q899" s="384"/>
    </row>
    <row r="900">
      <c r="A900" s="396"/>
      <c r="B900" s="396"/>
      <c r="C900" s="384"/>
      <c r="D900" s="384"/>
      <c r="E900" s="384"/>
      <c r="F900" s="384"/>
      <c r="G900" s="384"/>
      <c r="H900" s="384"/>
      <c r="I900" s="384"/>
      <c r="J900" s="384"/>
      <c r="K900" s="384"/>
      <c r="L900" s="384"/>
      <c r="M900" s="384"/>
      <c r="N900" s="384"/>
      <c r="O900" s="384"/>
      <c r="P900" s="384"/>
      <c r="Q900" s="384"/>
    </row>
    <row r="901">
      <c r="A901" s="396"/>
      <c r="B901" s="396"/>
      <c r="C901" s="384"/>
      <c r="D901" s="384"/>
      <c r="E901" s="384"/>
      <c r="F901" s="384"/>
      <c r="G901" s="384"/>
      <c r="H901" s="384"/>
      <c r="I901" s="384"/>
      <c r="J901" s="384"/>
      <c r="K901" s="384"/>
      <c r="L901" s="384"/>
      <c r="M901" s="384"/>
      <c r="N901" s="384"/>
      <c r="O901" s="384"/>
      <c r="P901" s="384"/>
      <c r="Q901" s="384"/>
    </row>
    <row r="902">
      <c r="A902" s="396"/>
      <c r="B902" s="396"/>
      <c r="C902" s="384"/>
      <c r="D902" s="384"/>
      <c r="E902" s="384"/>
      <c r="F902" s="384"/>
      <c r="G902" s="384"/>
      <c r="H902" s="384"/>
      <c r="I902" s="384"/>
      <c r="J902" s="384"/>
      <c r="K902" s="384"/>
      <c r="L902" s="384"/>
      <c r="M902" s="384"/>
      <c r="N902" s="384"/>
      <c r="O902" s="384"/>
      <c r="P902" s="384"/>
      <c r="Q902" s="384"/>
    </row>
    <row r="903">
      <c r="A903" s="396"/>
      <c r="B903" s="396"/>
      <c r="C903" s="384"/>
      <c r="D903" s="384"/>
      <c r="E903" s="384"/>
      <c r="F903" s="384"/>
      <c r="G903" s="384"/>
      <c r="H903" s="384"/>
      <c r="I903" s="384"/>
      <c r="J903" s="384"/>
      <c r="K903" s="384"/>
      <c r="L903" s="384"/>
      <c r="M903" s="384"/>
      <c r="N903" s="384"/>
      <c r="O903" s="384"/>
      <c r="P903" s="384"/>
      <c r="Q903" s="384"/>
    </row>
    <row r="904">
      <c r="A904" s="396"/>
      <c r="B904" s="396"/>
      <c r="C904" s="384"/>
      <c r="D904" s="384"/>
      <c r="E904" s="384"/>
      <c r="F904" s="384"/>
      <c r="G904" s="384"/>
      <c r="H904" s="384"/>
      <c r="I904" s="384"/>
      <c r="J904" s="384"/>
      <c r="K904" s="384"/>
      <c r="L904" s="384"/>
      <c r="M904" s="384"/>
      <c r="N904" s="384"/>
      <c r="O904" s="384"/>
      <c r="P904" s="384"/>
      <c r="Q904" s="384"/>
    </row>
    <row r="905">
      <c r="A905" s="396"/>
      <c r="B905" s="396"/>
      <c r="C905" s="384"/>
      <c r="D905" s="384"/>
      <c r="E905" s="384"/>
      <c r="F905" s="384"/>
      <c r="G905" s="384"/>
      <c r="H905" s="384"/>
      <c r="I905" s="384"/>
      <c r="J905" s="384"/>
      <c r="K905" s="384"/>
      <c r="L905" s="384"/>
      <c r="M905" s="384"/>
      <c r="N905" s="384"/>
      <c r="O905" s="384"/>
      <c r="P905" s="384"/>
      <c r="Q905" s="384"/>
    </row>
    <row r="906">
      <c r="A906" s="396"/>
      <c r="B906" s="396"/>
      <c r="C906" s="384"/>
      <c r="D906" s="384"/>
      <c r="E906" s="384"/>
      <c r="F906" s="384"/>
      <c r="G906" s="384"/>
      <c r="H906" s="384"/>
      <c r="I906" s="384"/>
      <c r="J906" s="384"/>
      <c r="K906" s="384"/>
      <c r="L906" s="384"/>
      <c r="M906" s="384"/>
      <c r="N906" s="384"/>
      <c r="O906" s="384"/>
      <c r="P906" s="384"/>
      <c r="Q906" s="384"/>
    </row>
    <row r="907">
      <c r="A907" s="396"/>
      <c r="B907" s="396"/>
      <c r="C907" s="384"/>
      <c r="D907" s="384"/>
      <c r="E907" s="384"/>
      <c r="F907" s="384"/>
      <c r="G907" s="384"/>
      <c r="H907" s="384"/>
      <c r="I907" s="384"/>
      <c r="J907" s="384"/>
      <c r="K907" s="384"/>
      <c r="L907" s="384"/>
      <c r="M907" s="384"/>
      <c r="N907" s="384"/>
      <c r="O907" s="384"/>
      <c r="P907" s="384"/>
      <c r="Q907" s="384"/>
    </row>
    <row r="908">
      <c r="A908" s="396"/>
      <c r="B908" s="396"/>
      <c r="C908" s="384"/>
      <c r="D908" s="384"/>
      <c r="E908" s="384"/>
      <c r="F908" s="384"/>
      <c r="G908" s="384"/>
      <c r="H908" s="384"/>
      <c r="I908" s="384"/>
      <c r="J908" s="384"/>
      <c r="K908" s="384"/>
      <c r="L908" s="384"/>
      <c r="M908" s="384"/>
      <c r="N908" s="384"/>
      <c r="O908" s="384"/>
      <c r="P908" s="384"/>
      <c r="Q908" s="384"/>
    </row>
    <row r="909">
      <c r="A909" s="396"/>
      <c r="B909" s="396"/>
      <c r="C909" s="384"/>
      <c r="D909" s="384"/>
      <c r="E909" s="384"/>
      <c r="F909" s="384"/>
      <c r="G909" s="384"/>
      <c r="H909" s="384"/>
      <c r="I909" s="384"/>
      <c r="J909" s="384"/>
      <c r="K909" s="384"/>
      <c r="L909" s="384"/>
      <c r="M909" s="384"/>
      <c r="N909" s="384"/>
      <c r="O909" s="384"/>
      <c r="P909" s="384"/>
      <c r="Q909" s="384"/>
    </row>
    <row r="910">
      <c r="A910" s="396"/>
      <c r="B910" s="396"/>
      <c r="C910" s="384"/>
      <c r="D910" s="384"/>
      <c r="E910" s="384"/>
      <c r="F910" s="384"/>
      <c r="G910" s="384"/>
      <c r="H910" s="384"/>
      <c r="I910" s="384"/>
      <c r="J910" s="384"/>
      <c r="K910" s="384"/>
      <c r="L910" s="384"/>
      <c r="M910" s="384"/>
      <c r="N910" s="384"/>
      <c r="O910" s="384"/>
      <c r="P910" s="384"/>
      <c r="Q910" s="384"/>
    </row>
    <row r="911">
      <c r="A911" s="396"/>
      <c r="B911" s="396"/>
      <c r="C911" s="384"/>
      <c r="D911" s="384"/>
      <c r="E911" s="384"/>
      <c r="F911" s="384"/>
      <c r="G911" s="384"/>
      <c r="H911" s="384"/>
      <c r="I911" s="384"/>
      <c r="J911" s="384"/>
      <c r="K911" s="384"/>
      <c r="L911" s="384"/>
      <c r="M911" s="384"/>
      <c r="N911" s="384"/>
      <c r="O911" s="384"/>
      <c r="P911" s="384"/>
      <c r="Q911" s="384"/>
    </row>
    <row r="912">
      <c r="A912" s="396"/>
      <c r="B912" s="396"/>
      <c r="C912" s="384"/>
      <c r="D912" s="384"/>
      <c r="E912" s="384"/>
      <c r="F912" s="384"/>
      <c r="G912" s="384"/>
      <c r="H912" s="384"/>
      <c r="I912" s="384"/>
      <c r="J912" s="384"/>
      <c r="K912" s="384"/>
      <c r="L912" s="384"/>
      <c r="M912" s="384"/>
      <c r="N912" s="384"/>
      <c r="O912" s="384"/>
      <c r="P912" s="384"/>
      <c r="Q912" s="384"/>
    </row>
    <row r="913">
      <c r="A913" s="396"/>
      <c r="B913" s="396"/>
      <c r="C913" s="384"/>
      <c r="D913" s="384"/>
      <c r="E913" s="384"/>
      <c r="F913" s="384"/>
      <c r="G913" s="384"/>
      <c r="H913" s="384"/>
      <c r="I913" s="384"/>
      <c r="J913" s="384"/>
      <c r="K913" s="384"/>
      <c r="L913" s="384"/>
      <c r="M913" s="384"/>
      <c r="N913" s="384"/>
      <c r="O913" s="384"/>
      <c r="P913" s="384"/>
      <c r="Q913" s="384"/>
    </row>
    <row r="914">
      <c r="A914" s="396"/>
      <c r="B914" s="396"/>
      <c r="C914" s="384"/>
      <c r="D914" s="384"/>
      <c r="E914" s="384"/>
      <c r="F914" s="384"/>
      <c r="G914" s="384"/>
      <c r="H914" s="384"/>
      <c r="I914" s="384"/>
      <c r="J914" s="384"/>
      <c r="K914" s="384"/>
      <c r="L914" s="384"/>
      <c r="M914" s="384"/>
      <c r="N914" s="384"/>
      <c r="O914" s="384"/>
      <c r="P914" s="384"/>
      <c r="Q914" s="384"/>
    </row>
    <row r="915">
      <c r="A915" s="396"/>
      <c r="B915" s="396"/>
      <c r="C915" s="384"/>
      <c r="D915" s="384"/>
      <c r="E915" s="384"/>
      <c r="F915" s="384"/>
      <c r="G915" s="384"/>
      <c r="H915" s="384"/>
      <c r="I915" s="384"/>
      <c r="J915" s="384"/>
      <c r="K915" s="384"/>
      <c r="L915" s="384"/>
      <c r="M915" s="384"/>
      <c r="N915" s="384"/>
      <c r="O915" s="384"/>
      <c r="P915" s="384"/>
      <c r="Q915" s="384"/>
    </row>
    <row r="916">
      <c r="A916" s="396"/>
      <c r="B916" s="396"/>
      <c r="C916" s="384"/>
      <c r="D916" s="384"/>
      <c r="E916" s="384"/>
      <c r="F916" s="384"/>
      <c r="G916" s="384"/>
      <c r="H916" s="384"/>
      <c r="I916" s="384"/>
      <c r="J916" s="384"/>
      <c r="K916" s="384"/>
      <c r="L916" s="384"/>
      <c r="M916" s="384"/>
      <c r="N916" s="384"/>
      <c r="O916" s="384"/>
      <c r="P916" s="384"/>
      <c r="Q916" s="384"/>
    </row>
    <row r="917">
      <c r="A917" s="396"/>
      <c r="B917" s="396"/>
      <c r="C917" s="384"/>
      <c r="D917" s="384"/>
      <c r="E917" s="384"/>
      <c r="F917" s="384"/>
      <c r="G917" s="384"/>
      <c r="H917" s="384"/>
      <c r="I917" s="384"/>
      <c r="J917" s="384"/>
      <c r="K917" s="384"/>
      <c r="L917" s="384"/>
      <c r="M917" s="384"/>
      <c r="N917" s="384"/>
      <c r="O917" s="384"/>
      <c r="P917" s="384"/>
      <c r="Q917" s="384"/>
    </row>
    <row r="918">
      <c r="A918" s="396"/>
      <c r="B918" s="396"/>
      <c r="C918" s="384"/>
      <c r="D918" s="384"/>
      <c r="E918" s="384"/>
      <c r="F918" s="384"/>
      <c r="G918" s="384"/>
      <c r="H918" s="384"/>
      <c r="I918" s="384"/>
      <c r="J918" s="384"/>
      <c r="K918" s="384"/>
      <c r="L918" s="384"/>
      <c r="M918" s="384"/>
      <c r="N918" s="384"/>
      <c r="O918" s="384"/>
      <c r="P918" s="384"/>
      <c r="Q918" s="384"/>
    </row>
    <row r="919">
      <c r="A919" s="396"/>
      <c r="B919" s="396"/>
      <c r="C919" s="384"/>
      <c r="D919" s="384"/>
      <c r="E919" s="384"/>
      <c r="F919" s="384"/>
      <c r="G919" s="384"/>
      <c r="H919" s="384"/>
      <c r="I919" s="384"/>
      <c r="J919" s="384"/>
      <c r="K919" s="384"/>
      <c r="L919" s="384"/>
      <c r="M919" s="384"/>
      <c r="N919" s="384"/>
      <c r="O919" s="384"/>
      <c r="P919" s="384"/>
      <c r="Q919" s="384"/>
    </row>
    <row r="920">
      <c r="A920" s="396"/>
      <c r="B920" s="396"/>
      <c r="C920" s="384"/>
      <c r="D920" s="384"/>
      <c r="E920" s="384"/>
      <c r="F920" s="384"/>
      <c r="G920" s="384"/>
      <c r="H920" s="384"/>
      <c r="I920" s="384"/>
      <c r="J920" s="384"/>
      <c r="K920" s="384"/>
      <c r="L920" s="384"/>
      <c r="M920" s="384"/>
      <c r="N920" s="384"/>
      <c r="O920" s="384"/>
      <c r="P920" s="384"/>
      <c r="Q920" s="384"/>
    </row>
    <row r="921">
      <c r="A921" s="396"/>
      <c r="B921" s="396"/>
      <c r="C921" s="384"/>
      <c r="D921" s="384"/>
      <c r="E921" s="384"/>
      <c r="F921" s="384"/>
      <c r="G921" s="384"/>
      <c r="H921" s="384"/>
      <c r="I921" s="384"/>
      <c r="J921" s="384"/>
      <c r="K921" s="384"/>
      <c r="L921" s="384"/>
      <c r="M921" s="384"/>
      <c r="N921" s="384"/>
      <c r="O921" s="384"/>
      <c r="P921" s="384"/>
      <c r="Q921" s="384"/>
    </row>
    <row r="922">
      <c r="A922" s="396"/>
      <c r="B922" s="396"/>
      <c r="C922" s="384"/>
      <c r="D922" s="384"/>
      <c r="E922" s="384"/>
      <c r="F922" s="384"/>
      <c r="G922" s="384"/>
      <c r="H922" s="384"/>
      <c r="I922" s="384"/>
      <c r="J922" s="384"/>
      <c r="K922" s="384"/>
      <c r="L922" s="384"/>
      <c r="M922" s="384"/>
      <c r="N922" s="384"/>
      <c r="O922" s="384"/>
      <c r="P922" s="384"/>
      <c r="Q922" s="384"/>
    </row>
    <row r="923">
      <c r="A923" s="396"/>
      <c r="B923" s="396"/>
      <c r="C923" s="384"/>
      <c r="D923" s="384"/>
      <c r="E923" s="384"/>
      <c r="F923" s="384"/>
      <c r="G923" s="384"/>
      <c r="H923" s="384"/>
      <c r="I923" s="384"/>
      <c r="J923" s="384"/>
      <c r="K923" s="384"/>
      <c r="L923" s="384"/>
      <c r="M923" s="384"/>
      <c r="N923" s="384"/>
      <c r="O923" s="384"/>
      <c r="P923" s="384"/>
      <c r="Q923" s="384"/>
    </row>
    <row r="924">
      <c r="A924" s="396"/>
      <c r="B924" s="396"/>
      <c r="C924" s="384"/>
      <c r="D924" s="384"/>
      <c r="E924" s="384"/>
      <c r="F924" s="384"/>
      <c r="G924" s="384"/>
      <c r="H924" s="384"/>
      <c r="I924" s="384"/>
      <c r="J924" s="384"/>
      <c r="K924" s="384"/>
      <c r="L924" s="384"/>
      <c r="M924" s="384"/>
      <c r="N924" s="384"/>
      <c r="O924" s="384"/>
      <c r="P924" s="384"/>
      <c r="Q924" s="384"/>
    </row>
    <row r="925">
      <c r="A925" s="396"/>
      <c r="B925" s="396"/>
      <c r="C925" s="384"/>
      <c r="D925" s="384"/>
      <c r="E925" s="384"/>
      <c r="F925" s="384"/>
      <c r="G925" s="384"/>
      <c r="H925" s="384"/>
      <c r="I925" s="384"/>
      <c r="J925" s="384"/>
      <c r="K925" s="384"/>
      <c r="L925" s="384"/>
      <c r="M925" s="384"/>
      <c r="N925" s="384"/>
      <c r="O925" s="384"/>
      <c r="P925" s="384"/>
      <c r="Q925" s="384"/>
    </row>
    <row r="926">
      <c r="A926" s="396"/>
      <c r="B926" s="396"/>
      <c r="C926" s="384"/>
      <c r="D926" s="384"/>
      <c r="E926" s="384"/>
      <c r="F926" s="384"/>
      <c r="G926" s="384"/>
      <c r="H926" s="384"/>
      <c r="I926" s="384"/>
      <c r="J926" s="384"/>
      <c r="K926" s="384"/>
      <c r="L926" s="384"/>
      <c r="M926" s="384"/>
      <c r="N926" s="384"/>
      <c r="O926" s="384"/>
      <c r="P926" s="384"/>
      <c r="Q926" s="384"/>
    </row>
    <row r="927">
      <c r="A927" s="396"/>
      <c r="B927" s="396"/>
      <c r="C927" s="384"/>
      <c r="D927" s="384"/>
      <c r="E927" s="384"/>
      <c r="F927" s="384"/>
      <c r="G927" s="384"/>
      <c r="H927" s="384"/>
      <c r="I927" s="384"/>
      <c r="J927" s="384"/>
      <c r="K927" s="384"/>
      <c r="L927" s="384"/>
      <c r="M927" s="384"/>
      <c r="N927" s="384"/>
      <c r="O927" s="384"/>
      <c r="P927" s="384"/>
      <c r="Q927" s="384"/>
    </row>
    <row r="928">
      <c r="A928" s="396"/>
      <c r="B928" s="396"/>
      <c r="C928" s="384"/>
      <c r="D928" s="384"/>
      <c r="E928" s="384"/>
      <c r="F928" s="384"/>
      <c r="G928" s="384"/>
      <c r="H928" s="384"/>
      <c r="I928" s="384"/>
      <c r="J928" s="384"/>
      <c r="K928" s="384"/>
      <c r="L928" s="384"/>
      <c r="M928" s="384"/>
      <c r="N928" s="384"/>
      <c r="O928" s="384"/>
      <c r="P928" s="384"/>
      <c r="Q928" s="384"/>
    </row>
    <row r="929">
      <c r="A929" s="396"/>
      <c r="B929" s="396"/>
      <c r="C929" s="384"/>
      <c r="D929" s="384"/>
      <c r="E929" s="384"/>
      <c r="F929" s="384"/>
      <c r="G929" s="384"/>
      <c r="H929" s="384"/>
      <c r="I929" s="384"/>
      <c r="J929" s="384"/>
      <c r="K929" s="384"/>
      <c r="L929" s="384"/>
      <c r="M929" s="384"/>
      <c r="N929" s="384"/>
      <c r="O929" s="384"/>
      <c r="P929" s="384"/>
      <c r="Q929" s="384"/>
    </row>
    <row r="930">
      <c r="A930" s="396"/>
      <c r="B930" s="396"/>
      <c r="C930" s="384"/>
      <c r="D930" s="384"/>
      <c r="E930" s="384"/>
      <c r="F930" s="384"/>
      <c r="G930" s="384"/>
      <c r="H930" s="384"/>
      <c r="I930" s="384"/>
      <c r="J930" s="384"/>
      <c r="K930" s="384"/>
      <c r="L930" s="384"/>
      <c r="M930" s="384"/>
      <c r="N930" s="384"/>
      <c r="O930" s="384"/>
      <c r="P930" s="384"/>
      <c r="Q930" s="384"/>
    </row>
    <row r="931">
      <c r="A931" s="396"/>
      <c r="B931" s="396"/>
      <c r="C931" s="384"/>
      <c r="D931" s="384"/>
      <c r="E931" s="384"/>
      <c r="F931" s="384"/>
      <c r="G931" s="384"/>
      <c r="H931" s="384"/>
      <c r="I931" s="384"/>
      <c r="J931" s="384"/>
      <c r="K931" s="384"/>
      <c r="L931" s="384"/>
      <c r="M931" s="384"/>
      <c r="N931" s="384"/>
      <c r="O931" s="384"/>
      <c r="P931" s="384"/>
      <c r="Q931" s="384"/>
    </row>
    <row r="932">
      <c r="A932" s="396"/>
      <c r="B932" s="396"/>
      <c r="C932" s="384"/>
      <c r="D932" s="384"/>
      <c r="E932" s="384"/>
      <c r="F932" s="384"/>
      <c r="G932" s="384"/>
      <c r="H932" s="384"/>
      <c r="I932" s="384"/>
      <c r="J932" s="384"/>
      <c r="K932" s="384"/>
      <c r="L932" s="384"/>
      <c r="M932" s="384"/>
      <c r="N932" s="384"/>
      <c r="O932" s="384"/>
      <c r="P932" s="384"/>
      <c r="Q932" s="384"/>
    </row>
    <row r="933">
      <c r="A933" s="396"/>
      <c r="B933" s="396"/>
      <c r="C933" s="384"/>
      <c r="D933" s="384"/>
      <c r="E933" s="384"/>
      <c r="F933" s="384"/>
      <c r="G933" s="384"/>
      <c r="H933" s="384"/>
      <c r="I933" s="384"/>
      <c r="J933" s="384"/>
      <c r="K933" s="384"/>
      <c r="L933" s="384"/>
      <c r="M933" s="384"/>
      <c r="N933" s="384"/>
      <c r="O933" s="384"/>
      <c r="P933" s="384"/>
      <c r="Q933" s="384"/>
    </row>
    <row r="934">
      <c r="A934" s="396"/>
      <c r="B934" s="396"/>
      <c r="C934" s="384"/>
      <c r="D934" s="384"/>
      <c r="E934" s="384"/>
      <c r="F934" s="384"/>
      <c r="G934" s="384"/>
      <c r="H934" s="384"/>
      <c r="I934" s="384"/>
      <c r="J934" s="384"/>
      <c r="K934" s="384"/>
      <c r="L934" s="384"/>
      <c r="M934" s="384"/>
      <c r="N934" s="384"/>
      <c r="O934" s="384"/>
      <c r="P934" s="384"/>
      <c r="Q934" s="384"/>
    </row>
    <row r="935">
      <c r="A935" s="396"/>
      <c r="B935" s="396"/>
      <c r="C935" s="384"/>
      <c r="D935" s="384"/>
      <c r="E935" s="384"/>
      <c r="F935" s="384"/>
      <c r="G935" s="384"/>
      <c r="H935" s="384"/>
      <c r="I935" s="384"/>
      <c r="J935" s="384"/>
      <c r="K935" s="384"/>
      <c r="L935" s="384"/>
      <c r="M935" s="384"/>
      <c r="N935" s="384"/>
      <c r="O935" s="384"/>
      <c r="P935" s="384"/>
      <c r="Q935" s="384"/>
    </row>
    <row r="936">
      <c r="A936" s="396"/>
      <c r="B936" s="396"/>
      <c r="C936" s="384"/>
      <c r="D936" s="384"/>
      <c r="E936" s="384"/>
      <c r="F936" s="384"/>
      <c r="G936" s="384"/>
      <c r="H936" s="384"/>
      <c r="I936" s="384"/>
      <c r="J936" s="384"/>
      <c r="K936" s="384"/>
      <c r="L936" s="384"/>
      <c r="M936" s="384"/>
      <c r="N936" s="384"/>
      <c r="O936" s="384"/>
      <c r="P936" s="384"/>
      <c r="Q936" s="384"/>
    </row>
    <row r="937">
      <c r="A937" s="396"/>
      <c r="B937" s="396"/>
      <c r="C937" s="384"/>
      <c r="D937" s="384"/>
      <c r="E937" s="384"/>
      <c r="F937" s="384"/>
      <c r="G937" s="384"/>
      <c r="H937" s="384"/>
      <c r="I937" s="384"/>
      <c r="J937" s="384"/>
      <c r="K937" s="384"/>
      <c r="L937" s="384"/>
      <c r="M937" s="384"/>
      <c r="N937" s="384"/>
      <c r="O937" s="384"/>
      <c r="P937" s="384"/>
      <c r="Q937" s="384"/>
    </row>
    <row r="938">
      <c r="A938" s="396"/>
      <c r="B938" s="396"/>
      <c r="C938" s="384"/>
      <c r="D938" s="384"/>
      <c r="E938" s="384"/>
      <c r="F938" s="384"/>
      <c r="G938" s="384"/>
      <c r="H938" s="384"/>
      <c r="I938" s="384"/>
      <c r="J938" s="384"/>
      <c r="K938" s="384"/>
      <c r="L938" s="384"/>
      <c r="M938" s="384"/>
      <c r="N938" s="384"/>
      <c r="O938" s="384"/>
      <c r="P938" s="384"/>
      <c r="Q938" s="384"/>
    </row>
    <row r="939">
      <c r="A939" s="396"/>
      <c r="B939" s="396"/>
      <c r="C939" s="384"/>
      <c r="D939" s="384"/>
      <c r="E939" s="384"/>
      <c r="F939" s="384"/>
      <c r="G939" s="384"/>
      <c r="H939" s="384"/>
      <c r="I939" s="384"/>
      <c r="J939" s="384"/>
      <c r="K939" s="384"/>
      <c r="L939" s="384"/>
      <c r="M939" s="384"/>
      <c r="N939" s="384"/>
      <c r="O939" s="384"/>
      <c r="P939" s="384"/>
      <c r="Q939" s="384"/>
    </row>
    <row r="940">
      <c r="A940" s="396"/>
      <c r="B940" s="396"/>
      <c r="C940" s="384"/>
      <c r="D940" s="384"/>
      <c r="E940" s="384"/>
      <c r="F940" s="384"/>
      <c r="G940" s="384"/>
      <c r="H940" s="384"/>
      <c r="I940" s="384"/>
      <c r="J940" s="384"/>
      <c r="K940" s="384"/>
      <c r="L940" s="384"/>
      <c r="M940" s="384"/>
      <c r="N940" s="384"/>
      <c r="O940" s="384"/>
      <c r="P940" s="384"/>
      <c r="Q940" s="384"/>
    </row>
    <row r="941">
      <c r="A941" s="396"/>
      <c r="B941" s="396"/>
      <c r="C941" s="384"/>
      <c r="D941" s="384"/>
      <c r="E941" s="384"/>
      <c r="F941" s="384"/>
      <c r="G941" s="384"/>
      <c r="H941" s="384"/>
      <c r="I941" s="384"/>
      <c r="J941" s="384"/>
      <c r="K941" s="384"/>
      <c r="L941" s="384"/>
      <c r="M941" s="384"/>
      <c r="N941" s="384"/>
      <c r="O941" s="384"/>
      <c r="P941" s="384"/>
      <c r="Q941" s="384"/>
    </row>
    <row r="942">
      <c r="A942" s="396"/>
      <c r="B942" s="396"/>
      <c r="C942" s="384"/>
      <c r="D942" s="384"/>
      <c r="E942" s="384"/>
      <c r="F942" s="384"/>
      <c r="G942" s="384"/>
      <c r="H942" s="384"/>
      <c r="I942" s="384"/>
      <c r="J942" s="384"/>
      <c r="K942" s="384"/>
      <c r="L942" s="384"/>
      <c r="M942" s="384"/>
      <c r="N942" s="384"/>
      <c r="O942" s="384"/>
      <c r="P942" s="384"/>
      <c r="Q942" s="384"/>
    </row>
    <row r="943">
      <c r="A943" s="396"/>
      <c r="B943" s="396"/>
      <c r="C943" s="384"/>
      <c r="D943" s="384"/>
      <c r="E943" s="384"/>
      <c r="F943" s="384"/>
      <c r="G943" s="384"/>
      <c r="H943" s="384"/>
      <c r="I943" s="384"/>
      <c r="J943" s="384"/>
      <c r="K943" s="384"/>
      <c r="L943" s="384"/>
      <c r="M943" s="384"/>
      <c r="N943" s="384"/>
      <c r="O943" s="384"/>
      <c r="P943" s="384"/>
      <c r="Q943" s="384"/>
    </row>
    <row r="944">
      <c r="A944" s="396"/>
      <c r="B944" s="396"/>
      <c r="C944" s="384"/>
      <c r="D944" s="384"/>
      <c r="E944" s="384"/>
      <c r="F944" s="384"/>
      <c r="G944" s="384"/>
      <c r="H944" s="384"/>
      <c r="I944" s="384"/>
      <c r="J944" s="384"/>
      <c r="K944" s="384"/>
      <c r="L944" s="384"/>
      <c r="M944" s="384"/>
      <c r="N944" s="384"/>
      <c r="O944" s="384"/>
      <c r="P944" s="384"/>
      <c r="Q944" s="384"/>
    </row>
    <row r="945">
      <c r="A945" s="396"/>
      <c r="B945" s="396"/>
      <c r="C945" s="384"/>
      <c r="D945" s="384"/>
      <c r="E945" s="384"/>
      <c r="F945" s="384"/>
      <c r="G945" s="384"/>
      <c r="H945" s="384"/>
      <c r="I945" s="384"/>
      <c r="J945" s="384"/>
      <c r="K945" s="384"/>
      <c r="L945" s="384"/>
      <c r="M945" s="384"/>
      <c r="N945" s="384"/>
      <c r="O945" s="384"/>
      <c r="P945" s="384"/>
      <c r="Q945" s="384"/>
    </row>
    <row r="946">
      <c r="A946" s="396"/>
      <c r="B946" s="396"/>
      <c r="C946" s="384"/>
      <c r="D946" s="384"/>
      <c r="E946" s="384"/>
      <c r="F946" s="384"/>
      <c r="G946" s="384"/>
      <c r="H946" s="384"/>
      <c r="I946" s="384"/>
      <c r="J946" s="384"/>
      <c r="K946" s="384"/>
      <c r="L946" s="384"/>
      <c r="M946" s="384"/>
      <c r="N946" s="384"/>
      <c r="O946" s="384"/>
      <c r="P946" s="384"/>
      <c r="Q946" s="384"/>
    </row>
    <row r="947">
      <c r="A947" s="396"/>
      <c r="B947" s="396"/>
      <c r="C947" s="384"/>
      <c r="D947" s="384"/>
      <c r="E947" s="384"/>
      <c r="F947" s="384"/>
      <c r="G947" s="384"/>
      <c r="H947" s="384"/>
      <c r="I947" s="384"/>
      <c r="J947" s="384"/>
      <c r="K947" s="384"/>
      <c r="L947" s="384"/>
      <c r="M947" s="384"/>
      <c r="N947" s="384"/>
      <c r="O947" s="384"/>
      <c r="P947" s="384"/>
      <c r="Q947" s="384"/>
    </row>
    <row r="948">
      <c r="A948" s="396"/>
      <c r="B948" s="396"/>
      <c r="C948" s="384"/>
      <c r="D948" s="384"/>
      <c r="E948" s="384"/>
      <c r="F948" s="384"/>
      <c r="G948" s="384"/>
      <c r="H948" s="384"/>
      <c r="I948" s="384"/>
      <c r="J948" s="384"/>
      <c r="K948" s="384"/>
      <c r="L948" s="384"/>
      <c r="M948" s="384"/>
      <c r="N948" s="384"/>
      <c r="O948" s="384"/>
      <c r="P948" s="384"/>
      <c r="Q948" s="384"/>
    </row>
    <row r="949">
      <c r="A949" s="396"/>
      <c r="B949" s="396"/>
      <c r="C949" s="384"/>
      <c r="D949" s="384"/>
      <c r="E949" s="384"/>
      <c r="F949" s="384"/>
      <c r="G949" s="384"/>
      <c r="H949" s="384"/>
      <c r="I949" s="384"/>
      <c r="J949" s="384"/>
      <c r="K949" s="384"/>
      <c r="L949" s="384"/>
      <c r="M949" s="384"/>
      <c r="N949" s="384"/>
      <c r="O949" s="384"/>
      <c r="P949" s="384"/>
      <c r="Q949" s="384"/>
    </row>
    <row r="950">
      <c r="A950" s="396"/>
      <c r="B950" s="396"/>
      <c r="C950" s="384"/>
      <c r="D950" s="384"/>
      <c r="E950" s="384"/>
      <c r="F950" s="384"/>
      <c r="G950" s="384"/>
      <c r="H950" s="384"/>
      <c r="I950" s="384"/>
      <c r="J950" s="384"/>
      <c r="K950" s="384"/>
      <c r="L950" s="384"/>
      <c r="M950" s="384"/>
      <c r="N950" s="384"/>
      <c r="O950" s="384"/>
      <c r="P950" s="384"/>
      <c r="Q950" s="384"/>
    </row>
    <row r="951">
      <c r="A951" s="396"/>
      <c r="B951" s="396"/>
      <c r="C951" s="384"/>
      <c r="D951" s="384"/>
      <c r="E951" s="384"/>
      <c r="F951" s="384"/>
      <c r="G951" s="384"/>
      <c r="H951" s="384"/>
      <c r="I951" s="384"/>
      <c r="J951" s="384"/>
      <c r="K951" s="384"/>
      <c r="L951" s="384"/>
      <c r="M951" s="384"/>
      <c r="N951" s="384"/>
      <c r="O951" s="384"/>
      <c r="P951" s="384"/>
      <c r="Q951" s="384"/>
    </row>
    <row r="952">
      <c r="A952" s="396"/>
      <c r="B952" s="396"/>
      <c r="C952" s="384"/>
      <c r="D952" s="384"/>
      <c r="E952" s="384"/>
      <c r="F952" s="384"/>
      <c r="G952" s="384"/>
      <c r="H952" s="384"/>
      <c r="I952" s="384"/>
      <c r="J952" s="384"/>
      <c r="K952" s="384"/>
      <c r="L952" s="384"/>
      <c r="M952" s="384"/>
      <c r="N952" s="384"/>
      <c r="O952" s="384"/>
      <c r="P952" s="384"/>
      <c r="Q952" s="384"/>
    </row>
    <row r="953">
      <c r="A953" s="396"/>
      <c r="B953" s="396"/>
      <c r="C953" s="384"/>
      <c r="D953" s="384"/>
      <c r="E953" s="384"/>
      <c r="F953" s="384"/>
      <c r="G953" s="384"/>
      <c r="H953" s="384"/>
      <c r="I953" s="384"/>
      <c r="J953" s="384"/>
      <c r="K953" s="384"/>
      <c r="L953" s="384"/>
      <c r="M953" s="384"/>
      <c r="N953" s="384"/>
      <c r="O953" s="384"/>
      <c r="P953" s="384"/>
      <c r="Q953" s="384"/>
    </row>
    <row r="954">
      <c r="A954" s="396"/>
      <c r="B954" s="396"/>
      <c r="C954" s="384"/>
      <c r="D954" s="384"/>
      <c r="E954" s="384"/>
      <c r="F954" s="384"/>
      <c r="G954" s="384"/>
      <c r="H954" s="384"/>
      <c r="I954" s="384"/>
      <c r="J954" s="384"/>
      <c r="K954" s="384"/>
      <c r="L954" s="384"/>
      <c r="M954" s="384"/>
      <c r="N954" s="384"/>
      <c r="O954" s="384"/>
      <c r="P954" s="384"/>
      <c r="Q954" s="384"/>
    </row>
    <row r="955">
      <c r="A955" s="396"/>
      <c r="B955" s="396"/>
      <c r="C955" s="384"/>
      <c r="D955" s="384"/>
      <c r="E955" s="384"/>
      <c r="F955" s="384"/>
      <c r="G955" s="384"/>
      <c r="H955" s="384"/>
      <c r="I955" s="384"/>
      <c r="J955" s="384"/>
      <c r="K955" s="384"/>
      <c r="L955" s="384"/>
      <c r="M955" s="384"/>
      <c r="N955" s="384"/>
      <c r="O955" s="384"/>
      <c r="P955" s="384"/>
      <c r="Q955" s="384"/>
    </row>
    <row r="956">
      <c r="A956" s="396"/>
      <c r="B956" s="396"/>
      <c r="C956" s="384"/>
      <c r="D956" s="384"/>
      <c r="E956" s="384"/>
      <c r="F956" s="384"/>
      <c r="G956" s="384"/>
      <c r="H956" s="384"/>
      <c r="I956" s="384"/>
      <c r="J956" s="384"/>
      <c r="K956" s="384"/>
      <c r="L956" s="384"/>
      <c r="M956" s="384"/>
      <c r="N956" s="384"/>
      <c r="O956" s="384"/>
      <c r="P956" s="384"/>
      <c r="Q956" s="384"/>
    </row>
    <row r="957">
      <c r="A957" s="396"/>
      <c r="B957" s="396"/>
      <c r="C957" s="384"/>
      <c r="D957" s="384"/>
      <c r="E957" s="384"/>
      <c r="F957" s="384"/>
      <c r="G957" s="384"/>
      <c r="H957" s="384"/>
      <c r="I957" s="384"/>
      <c r="J957" s="384"/>
      <c r="K957" s="384"/>
      <c r="L957" s="384"/>
      <c r="M957" s="384"/>
      <c r="N957" s="384"/>
      <c r="O957" s="384"/>
      <c r="P957" s="384"/>
      <c r="Q957" s="384"/>
    </row>
    <row r="958">
      <c r="A958" s="396"/>
      <c r="B958" s="396"/>
      <c r="C958" s="384"/>
      <c r="D958" s="384"/>
      <c r="E958" s="384"/>
      <c r="F958" s="384"/>
      <c r="G958" s="384"/>
      <c r="H958" s="384"/>
      <c r="I958" s="384"/>
      <c r="J958" s="384"/>
      <c r="K958" s="384"/>
      <c r="L958" s="384"/>
      <c r="M958" s="384"/>
      <c r="N958" s="384"/>
      <c r="O958" s="384"/>
      <c r="P958" s="384"/>
      <c r="Q958" s="384"/>
    </row>
    <row r="959">
      <c r="A959" s="396"/>
      <c r="B959" s="396"/>
      <c r="C959" s="384"/>
      <c r="D959" s="384"/>
      <c r="E959" s="384"/>
      <c r="F959" s="384"/>
      <c r="G959" s="384"/>
      <c r="H959" s="384"/>
      <c r="I959" s="384"/>
      <c r="J959" s="384"/>
      <c r="K959" s="384"/>
      <c r="L959" s="384"/>
      <c r="M959" s="384"/>
      <c r="N959" s="384"/>
      <c r="O959" s="384"/>
      <c r="P959" s="384"/>
      <c r="Q959" s="384"/>
    </row>
    <row r="960">
      <c r="A960" s="396"/>
      <c r="B960" s="396"/>
      <c r="C960" s="384"/>
      <c r="D960" s="384"/>
      <c r="E960" s="384"/>
      <c r="F960" s="384"/>
      <c r="G960" s="384"/>
      <c r="H960" s="384"/>
      <c r="I960" s="384"/>
      <c r="J960" s="384"/>
      <c r="K960" s="384"/>
      <c r="L960" s="384"/>
      <c r="M960" s="384"/>
      <c r="N960" s="384"/>
      <c r="O960" s="384"/>
      <c r="P960" s="384"/>
      <c r="Q960" s="384"/>
    </row>
    <row r="961">
      <c r="A961" s="396"/>
      <c r="B961" s="396"/>
      <c r="C961" s="384"/>
      <c r="D961" s="384"/>
      <c r="E961" s="384"/>
      <c r="F961" s="384"/>
      <c r="G961" s="384"/>
      <c r="H961" s="384"/>
      <c r="I961" s="384"/>
      <c r="J961" s="384"/>
      <c r="K961" s="384"/>
      <c r="L961" s="384"/>
      <c r="M961" s="384"/>
      <c r="N961" s="384"/>
      <c r="O961" s="384"/>
      <c r="P961" s="384"/>
      <c r="Q961" s="384"/>
    </row>
    <row r="962">
      <c r="A962" s="396"/>
      <c r="B962" s="396"/>
      <c r="C962" s="384"/>
      <c r="D962" s="384"/>
      <c r="E962" s="384"/>
      <c r="F962" s="384"/>
      <c r="G962" s="384"/>
      <c r="H962" s="384"/>
      <c r="I962" s="384"/>
      <c r="J962" s="384"/>
      <c r="K962" s="384"/>
      <c r="L962" s="384"/>
      <c r="M962" s="384"/>
      <c r="N962" s="384"/>
      <c r="O962" s="384"/>
      <c r="P962" s="384"/>
      <c r="Q962" s="384"/>
    </row>
    <row r="963">
      <c r="A963" s="396"/>
      <c r="B963" s="396"/>
      <c r="C963" s="384"/>
      <c r="D963" s="384"/>
      <c r="E963" s="384"/>
      <c r="F963" s="384"/>
      <c r="G963" s="384"/>
      <c r="H963" s="384"/>
      <c r="I963" s="384"/>
      <c r="J963" s="384"/>
      <c r="K963" s="384"/>
      <c r="L963" s="384"/>
      <c r="M963" s="384"/>
      <c r="N963" s="384"/>
      <c r="O963" s="384"/>
      <c r="P963" s="384"/>
      <c r="Q963" s="384"/>
    </row>
    <row r="964">
      <c r="A964" s="396"/>
      <c r="B964" s="396"/>
      <c r="C964" s="384"/>
      <c r="D964" s="384"/>
      <c r="E964" s="384"/>
      <c r="F964" s="384"/>
      <c r="G964" s="384"/>
      <c r="H964" s="384"/>
      <c r="I964" s="384"/>
      <c r="J964" s="384"/>
      <c r="K964" s="384"/>
      <c r="L964" s="384"/>
      <c r="M964" s="384"/>
      <c r="N964" s="384"/>
      <c r="O964" s="384"/>
      <c r="P964" s="384"/>
      <c r="Q964" s="384"/>
    </row>
    <row r="965">
      <c r="A965" s="396"/>
      <c r="B965" s="396"/>
      <c r="C965" s="384"/>
      <c r="D965" s="384"/>
      <c r="E965" s="384"/>
      <c r="F965" s="384"/>
      <c r="G965" s="384"/>
      <c r="H965" s="384"/>
      <c r="I965" s="384"/>
      <c r="J965" s="384"/>
      <c r="K965" s="384"/>
      <c r="L965" s="384"/>
      <c r="M965" s="384"/>
      <c r="N965" s="384"/>
      <c r="O965" s="384"/>
      <c r="P965" s="384"/>
      <c r="Q965" s="384"/>
    </row>
    <row r="966">
      <c r="A966" s="396"/>
      <c r="B966" s="396"/>
      <c r="C966" s="384"/>
      <c r="D966" s="384"/>
      <c r="E966" s="384"/>
      <c r="F966" s="384"/>
      <c r="G966" s="384"/>
      <c r="H966" s="384"/>
      <c r="I966" s="384"/>
      <c r="J966" s="384"/>
      <c r="K966" s="384"/>
      <c r="L966" s="384"/>
      <c r="M966" s="384"/>
      <c r="N966" s="384"/>
      <c r="O966" s="384"/>
      <c r="P966" s="384"/>
      <c r="Q966" s="384"/>
    </row>
    <row r="967">
      <c r="A967" s="396"/>
      <c r="B967" s="396"/>
      <c r="C967" s="384"/>
      <c r="D967" s="384"/>
      <c r="E967" s="384"/>
      <c r="F967" s="384"/>
      <c r="G967" s="384"/>
      <c r="H967" s="384"/>
      <c r="I967" s="384"/>
      <c r="J967" s="384"/>
      <c r="K967" s="384"/>
      <c r="L967" s="384"/>
      <c r="M967" s="384"/>
      <c r="N967" s="384"/>
      <c r="O967" s="384"/>
      <c r="P967" s="384"/>
      <c r="Q967" s="384"/>
    </row>
    <row r="968">
      <c r="A968" s="396"/>
      <c r="B968" s="396"/>
      <c r="C968" s="384"/>
      <c r="D968" s="384"/>
      <c r="E968" s="384"/>
      <c r="F968" s="384"/>
      <c r="G968" s="384"/>
      <c r="H968" s="384"/>
      <c r="I968" s="384"/>
      <c r="J968" s="384"/>
      <c r="K968" s="384"/>
      <c r="L968" s="384"/>
      <c r="M968" s="384"/>
      <c r="N968" s="384"/>
      <c r="O968" s="384"/>
      <c r="P968" s="384"/>
      <c r="Q968" s="384"/>
    </row>
    <row r="969">
      <c r="A969" s="396"/>
      <c r="B969" s="396"/>
      <c r="C969" s="384"/>
      <c r="D969" s="384"/>
      <c r="E969" s="384"/>
      <c r="F969" s="384"/>
      <c r="G969" s="384"/>
      <c r="H969" s="384"/>
      <c r="I969" s="384"/>
      <c r="J969" s="384"/>
      <c r="K969" s="384"/>
      <c r="L969" s="384"/>
      <c r="M969" s="384"/>
      <c r="N969" s="384"/>
      <c r="O969" s="384"/>
      <c r="P969" s="384"/>
      <c r="Q969" s="384"/>
    </row>
    <row r="970">
      <c r="A970" s="396"/>
      <c r="B970" s="396"/>
      <c r="C970" s="384"/>
      <c r="D970" s="384"/>
      <c r="E970" s="384"/>
      <c r="F970" s="384"/>
      <c r="G970" s="384"/>
      <c r="H970" s="384"/>
      <c r="I970" s="384"/>
      <c r="J970" s="384"/>
      <c r="K970" s="384"/>
      <c r="L970" s="384"/>
      <c r="M970" s="384"/>
      <c r="N970" s="384"/>
      <c r="O970" s="384"/>
      <c r="P970" s="384"/>
      <c r="Q970" s="384"/>
    </row>
    <row r="971">
      <c r="A971" s="396"/>
      <c r="B971" s="396"/>
      <c r="C971" s="384"/>
      <c r="D971" s="384"/>
      <c r="E971" s="384"/>
      <c r="F971" s="384"/>
      <c r="G971" s="384"/>
      <c r="H971" s="384"/>
      <c r="I971" s="384"/>
      <c r="J971" s="384"/>
      <c r="K971" s="384"/>
      <c r="L971" s="384"/>
      <c r="M971" s="384"/>
      <c r="N971" s="384"/>
      <c r="O971" s="384"/>
      <c r="P971" s="384"/>
      <c r="Q971" s="384"/>
    </row>
    <row r="972">
      <c r="A972" s="396"/>
      <c r="B972" s="396"/>
      <c r="C972" s="384"/>
      <c r="D972" s="384"/>
      <c r="E972" s="384"/>
      <c r="F972" s="384"/>
      <c r="G972" s="384"/>
      <c r="H972" s="384"/>
      <c r="I972" s="384"/>
      <c r="J972" s="384"/>
      <c r="K972" s="384"/>
      <c r="L972" s="384"/>
      <c r="M972" s="384"/>
      <c r="N972" s="384"/>
      <c r="O972" s="384"/>
      <c r="P972" s="384"/>
      <c r="Q972" s="384"/>
    </row>
    <row r="973">
      <c r="A973" s="396"/>
      <c r="B973" s="396"/>
      <c r="C973" s="384"/>
      <c r="D973" s="384"/>
      <c r="E973" s="384"/>
      <c r="F973" s="384"/>
      <c r="G973" s="384"/>
      <c r="H973" s="384"/>
      <c r="I973" s="384"/>
      <c r="J973" s="384"/>
      <c r="K973" s="384"/>
      <c r="L973" s="384"/>
      <c r="M973" s="384"/>
      <c r="N973" s="384"/>
      <c r="O973" s="384"/>
      <c r="P973" s="384"/>
      <c r="Q973" s="384"/>
    </row>
    <row r="974">
      <c r="A974" s="396"/>
      <c r="B974" s="396"/>
      <c r="C974" s="384"/>
      <c r="D974" s="384"/>
      <c r="E974" s="384"/>
      <c r="F974" s="384"/>
      <c r="G974" s="384"/>
      <c r="H974" s="384"/>
      <c r="I974" s="384"/>
      <c r="J974" s="384"/>
      <c r="K974" s="384"/>
      <c r="L974" s="384"/>
      <c r="M974" s="384"/>
      <c r="N974" s="384"/>
      <c r="O974" s="384"/>
      <c r="P974" s="384"/>
      <c r="Q974" s="384"/>
    </row>
    <row r="975">
      <c r="A975" s="396"/>
      <c r="B975" s="396"/>
      <c r="C975" s="384"/>
      <c r="D975" s="384"/>
      <c r="E975" s="384"/>
      <c r="F975" s="384"/>
      <c r="G975" s="384"/>
      <c r="H975" s="384"/>
      <c r="I975" s="384"/>
      <c r="J975" s="384"/>
      <c r="K975" s="384"/>
      <c r="L975" s="384"/>
      <c r="M975" s="384"/>
      <c r="N975" s="384"/>
      <c r="O975" s="384"/>
      <c r="P975" s="384"/>
      <c r="Q975" s="384"/>
    </row>
    <row r="976">
      <c r="A976" s="396"/>
      <c r="B976" s="396"/>
      <c r="C976" s="384"/>
      <c r="D976" s="384"/>
      <c r="E976" s="384"/>
      <c r="F976" s="384"/>
      <c r="G976" s="384"/>
      <c r="H976" s="384"/>
      <c r="I976" s="384"/>
      <c r="J976" s="384"/>
      <c r="K976" s="384"/>
      <c r="L976" s="384"/>
      <c r="M976" s="384"/>
      <c r="N976" s="384"/>
      <c r="O976" s="384"/>
      <c r="P976" s="384"/>
      <c r="Q976" s="384"/>
    </row>
    <row r="977">
      <c r="A977" s="396"/>
      <c r="B977" s="396"/>
      <c r="C977" s="384"/>
      <c r="D977" s="384"/>
      <c r="E977" s="384"/>
      <c r="F977" s="384"/>
      <c r="G977" s="384"/>
      <c r="H977" s="384"/>
      <c r="I977" s="384"/>
      <c r="J977" s="384"/>
      <c r="K977" s="384"/>
      <c r="L977" s="384"/>
      <c r="M977" s="384"/>
      <c r="N977" s="384"/>
      <c r="O977" s="384"/>
      <c r="P977" s="384"/>
      <c r="Q977" s="384"/>
    </row>
    <row r="978">
      <c r="A978" s="396"/>
      <c r="B978" s="396"/>
      <c r="C978" s="384"/>
      <c r="D978" s="384"/>
      <c r="E978" s="384"/>
      <c r="F978" s="384"/>
      <c r="G978" s="384"/>
      <c r="H978" s="384"/>
      <c r="I978" s="384"/>
      <c r="J978" s="384"/>
      <c r="K978" s="384"/>
      <c r="L978" s="384"/>
      <c r="M978" s="384"/>
      <c r="N978" s="384"/>
      <c r="O978" s="384"/>
      <c r="P978" s="384"/>
      <c r="Q978" s="384"/>
    </row>
    <row r="979">
      <c r="A979" s="396"/>
      <c r="B979" s="396"/>
      <c r="C979" s="384"/>
      <c r="D979" s="384"/>
      <c r="E979" s="384"/>
      <c r="F979" s="384"/>
      <c r="G979" s="384"/>
      <c r="H979" s="384"/>
      <c r="I979" s="384"/>
      <c r="J979" s="384"/>
      <c r="K979" s="384"/>
      <c r="L979" s="384"/>
      <c r="M979" s="384"/>
      <c r="N979" s="384"/>
      <c r="O979" s="384"/>
      <c r="P979" s="384"/>
      <c r="Q979" s="384"/>
    </row>
    <row r="980">
      <c r="A980" s="396"/>
      <c r="B980" s="396"/>
      <c r="C980" s="384"/>
      <c r="D980" s="384"/>
      <c r="E980" s="384"/>
      <c r="F980" s="384"/>
      <c r="G980" s="384"/>
      <c r="H980" s="384"/>
      <c r="I980" s="384"/>
      <c r="J980" s="384"/>
      <c r="K980" s="384"/>
      <c r="L980" s="384"/>
      <c r="M980" s="384"/>
      <c r="N980" s="384"/>
      <c r="O980" s="384"/>
      <c r="P980" s="384"/>
      <c r="Q980" s="384"/>
    </row>
    <row r="981">
      <c r="A981" s="396"/>
      <c r="B981" s="396"/>
      <c r="C981" s="384"/>
      <c r="D981" s="384"/>
      <c r="E981" s="384"/>
      <c r="F981" s="384"/>
      <c r="G981" s="384"/>
      <c r="H981" s="384"/>
      <c r="I981" s="384"/>
      <c r="J981" s="384"/>
      <c r="K981" s="384"/>
      <c r="L981" s="384"/>
      <c r="M981" s="384"/>
      <c r="N981" s="384"/>
      <c r="O981" s="384"/>
      <c r="P981" s="384"/>
      <c r="Q981" s="384"/>
    </row>
    <row r="982">
      <c r="A982" s="396"/>
      <c r="B982" s="396"/>
      <c r="C982" s="384"/>
      <c r="D982" s="384"/>
      <c r="E982" s="384"/>
      <c r="F982" s="384"/>
      <c r="G982" s="384"/>
      <c r="H982" s="384"/>
      <c r="I982" s="384"/>
      <c r="J982" s="384"/>
      <c r="K982" s="384"/>
      <c r="L982" s="384"/>
      <c r="M982" s="384"/>
      <c r="N982" s="384"/>
      <c r="O982" s="384"/>
      <c r="P982" s="384"/>
      <c r="Q982" s="384"/>
    </row>
    <row r="983">
      <c r="A983" s="396"/>
      <c r="B983" s="396"/>
      <c r="C983" s="384"/>
      <c r="D983" s="384"/>
      <c r="E983" s="384"/>
      <c r="F983" s="384"/>
      <c r="G983" s="384"/>
      <c r="H983" s="384"/>
      <c r="I983" s="384"/>
      <c r="J983" s="384"/>
      <c r="K983" s="384"/>
      <c r="L983" s="384"/>
      <c r="M983" s="384"/>
      <c r="N983" s="384"/>
      <c r="O983" s="384"/>
      <c r="P983" s="384"/>
      <c r="Q983" s="384"/>
    </row>
    <row r="984">
      <c r="A984" s="396"/>
      <c r="B984" s="396"/>
      <c r="C984" s="384"/>
      <c r="D984" s="384"/>
      <c r="E984" s="384"/>
      <c r="F984" s="384"/>
      <c r="G984" s="384"/>
      <c r="H984" s="384"/>
      <c r="I984" s="384"/>
      <c r="J984" s="384"/>
      <c r="K984" s="384"/>
      <c r="L984" s="384"/>
      <c r="M984" s="384"/>
      <c r="N984" s="384"/>
      <c r="O984" s="384"/>
      <c r="P984" s="384"/>
      <c r="Q984" s="384"/>
    </row>
    <row r="985">
      <c r="A985" s="396"/>
      <c r="B985" s="396"/>
      <c r="C985" s="384"/>
      <c r="D985" s="384"/>
      <c r="E985" s="384"/>
      <c r="F985" s="384"/>
      <c r="G985" s="384"/>
      <c r="H985" s="384"/>
      <c r="I985" s="384"/>
      <c r="J985" s="384"/>
      <c r="K985" s="384"/>
      <c r="L985" s="384"/>
      <c r="M985" s="384"/>
      <c r="N985" s="384"/>
      <c r="O985" s="384"/>
      <c r="P985" s="384"/>
      <c r="Q985" s="384"/>
    </row>
    <row r="986">
      <c r="A986" s="396"/>
      <c r="B986" s="396"/>
      <c r="C986" s="384"/>
      <c r="D986" s="384"/>
      <c r="E986" s="384"/>
      <c r="F986" s="384"/>
      <c r="G986" s="384"/>
      <c r="H986" s="384"/>
      <c r="I986" s="384"/>
      <c r="J986" s="384"/>
      <c r="K986" s="384"/>
      <c r="L986" s="384"/>
      <c r="M986" s="384"/>
      <c r="N986" s="384"/>
      <c r="O986" s="384"/>
      <c r="P986" s="384"/>
      <c r="Q986" s="384"/>
    </row>
    <row r="987">
      <c r="A987" s="396"/>
      <c r="B987" s="396"/>
      <c r="C987" s="384"/>
      <c r="D987" s="384"/>
      <c r="E987" s="384"/>
      <c r="F987" s="384"/>
      <c r="G987" s="384"/>
      <c r="H987" s="384"/>
      <c r="I987" s="384"/>
      <c r="J987" s="384"/>
      <c r="K987" s="384"/>
      <c r="L987" s="384"/>
      <c r="M987" s="384"/>
      <c r="N987" s="384"/>
      <c r="O987" s="384"/>
      <c r="P987" s="384"/>
      <c r="Q987" s="384"/>
    </row>
    <row r="988">
      <c r="A988" s="396"/>
      <c r="B988" s="396"/>
      <c r="C988" s="384"/>
      <c r="D988" s="384"/>
      <c r="E988" s="384"/>
      <c r="F988" s="384"/>
      <c r="G988" s="384"/>
      <c r="H988" s="384"/>
      <c r="I988" s="384"/>
      <c r="J988" s="384"/>
      <c r="K988" s="384"/>
      <c r="L988" s="384"/>
      <c r="M988" s="384"/>
      <c r="N988" s="384"/>
      <c r="O988" s="384"/>
      <c r="P988" s="384"/>
      <c r="Q988" s="384"/>
    </row>
    <row r="989">
      <c r="A989" s="396"/>
      <c r="B989" s="396"/>
      <c r="C989" s="384"/>
      <c r="D989" s="384"/>
      <c r="E989" s="384"/>
      <c r="F989" s="384"/>
      <c r="G989" s="384"/>
      <c r="H989" s="384"/>
      <c r="I989" s="384"/>
      <c r="J989" s="384"/>
      <c r="K989" s="384"/>
      <c r="L989" s="384"/>
      <c r="M989" s="384"/>
      <c r="N989" s="384"/>
      <c r="O989" s="384"/>
      <c r="P989" s="384"/>
      <c r="Q989" s="384"/>
    </row>
    <row r="990">
      <c r="A990" s="396"/>
      <c r="B990" s="396"/>
      <c r="C990" s="384"/>
      <c r="D990" s="384"/>
      <c r="E990" s="384"/>
      <c r="F990" s="384"/>
      <c r="G990" s="384"/>
      <c r="H990" s="384"/>
      <c r="I990" s="384"/>
      <c r="J990" s="384"/>
      <c r="K990" s="384"/>
      <c r="L990" s="384"/>
      <c r="M990" s="384"/>
      <c r="N990" s="384"/>
      <c r="O990" s="384"/>
      <c r="P990" s="384"/>
      <c r="Q990" s="384"/>
    </row>
    <row r="991">
      <c r="A991" s="396"/>
      <c r="B991" s="396"/>
      <c r="C991" s="384"/>
      <c r="D991" s="384"/>
      <c r="E991" s="384"/>
      <c r="F991" s="384"/>
      <c r="G991" s="384"/>
      <c r="H991" s="384"/>
      <c r="I991" s="384"/>
      <c r="J991" s="384"/>
      <c r="K991" s="384"/>
      <c r="L991" s="384"/>
      <c r="M991" s="384"/>
      <c r="N991" s="384"/>
      <c r="O991" s="384"/>
      <c r="P991" s="384"/>
      <c r="Q991" s="384"/>
    </row>
    <row r="992">
      <c r="A992" s="396"/>
      <c r="B992" s="396"/>
      <c r="C992" s="384"/>
      <c r="D992" s="384"/>
      <c r="E992" s="384"/>
      <c r="F992" s="384"/>
      <c r="G992" s="384"/>
      <c r="H992" s="384"/>
      <c r="I992" s="384"/>
      <c r="J992" s="384"/>
      <c r="K992" s="384"/>
      <c r="L992" s="384"/>
      <c r="M992" s="384"/>
      <c r="N992" s="384"/>
      <c r="O992" s="384"/>
      <c r="P992" s="384"/>
      <c r="Q992" s="384"/>
    </row>
    <row r="993">
      <c r="A993" s="396"/>
      <c r="B993" s="396"/>
      <c r="C993" s="384"/>
      <c r="D993" s="384"/>
      <c r="E993" s="384"/>
      <c r="F993" s="384"/>
      <c r="G993" s="384"/>
      <c r="H993" s="384"/>
      <c r="I993" s="384"/>
      <c r="J993" s="384"/>
      <c r="K993" s="384"/>
      <c r="L993" s="384"/>
      <c r="M993" s="384"/>
      <c r="N993" s="384"/>
      <c r="O993" s="384"/>
      <c r="P993" s="384"/>
      <c r="Q993" s="384"/>
    </row>
    <row r="994">
      <c r="A994" s="396"/>
      <c r="B994" s="396"/>
      <c r="C994" s="384"/>
      <c r="D994" s="384"/>
      <c r="E994" s="384"/>
      <c r="F994" s="384"/>
      <c r="G994" s="384"/>
      <c r="H994" s="384"/>
      <c r="I994" s="384"/>
      <c r="J994" s="384"/>
      <c r="K994" s="384"/>
      <c r="L994" s="384"/>
      <c r="M994" s="384"/>
      <c r="N994" s="384"/>
      <c r="O994" s="384"/>
      <c r="P994" s="384"/>
      <c r="Q994" s="384"/>
    </row>
    <row r="995">
      <c r="A995" s="396"/>
      <c r="B995" s="396"/>
      <c r="C995" s="384"/>
      <c r="D995" s="384"/>
      <c r="E995" s="384"/>
      <c r="F995" s="384"/>
      <c r="G995" s="384"/>
      <c r="H995" s="384"/>
      <c r="I995" s="384"/>
      <c r="J995" s="384"/>
      <c r="K995" s="384"/>
      <c r="L995" s="384"/>
      <c r="M995" s="384"/>
      <c r="N995" s="384"/>
      <c r="O995" s="384"/>
      <c r="P995" s="384"/>
      <c r="Q995" s="384"/>
    </row>
    <row r="996">
      <c r="A996" s="396"/>
      <c r="B996" s="396"/>
      <c r="C996" s="384"/>
      <c r="D996" s="384"/>
      <c r="E996" s="384"/>
      <c r="F996" s="384"/>
      <c r="G996" s="384"/>
      <c r="H996" s="384"/>
      <c r="I996" s="384"/>
      <c r="J996" s="384"/>
      <c r="K996" s="384"/>
      <c r="L996" s="384"/>
      <c r="M996" s="384"/>
      <c r="N996" s="384"/>
      <c r="O996" s="384"/>
      <c r="P996" s="384"/>
      <c r="Q996" s="384"/>
    </row>
    <row r="997">
      <c r="A997" s="396"/>
      <c r="B997" s="396"/>
      <c r="C997" s="384"/>
      <c r="D997" s="384"/>
      <c r="E997" s="384"/>
      <c r="F997" s="384"/>
      <c r="G997" s="384"/>
      <c r="H997" s="384"/>
      <c r="I997" s="384"/>
      <c r="J997" s="384"/>
      <c r="K997" s="384"/>
      <c r="L997" s="384"/>
      <c r="M997" s="384"/>
      <c r="N997" s="384"/>
      <c r="O997" s="384"/>
      <c r="P997" s="384"/>
      <c r="Q997" s="384"/>
    </row>
    <row r="998">
      <c r="A998" s="396"/>
      <c r="B998" s="396"/>
      <c r="C998" s="384"/>
      <c r="D998" s="384"/>
      <c r="E998" s="384"/>
      <c r="F998" s="384"/>
      <c r="G998" s="384"/>
      <c r="H998" s="384"/>
      <c r="I998" s="384"/>
      <c r="J998" s="384"/>
      <c r="K998" s="384"/>
      <c r="L998" s="384"/>
      <c r="M998" s="384"/>
      <c r="N998" s="384"/>
      <c r="O998" s="384"/>
      <c r="P998" s="384"/>
      <c r="Q998" s="384"/>
    </row>
    <row r="999">
      <c r="A999" s="396"/>
      <c r="B999" s="396"/>
      <c r="C999" s="384"/>
      <c r="D999" s="384"/>
      <c r="E999" s="384"/>
      <c r="F999" s="384"/>
      <c r="G999" s="384"/>
      <c r="H999" s="384"/>
      <c r="I999" s="384"/>
      <c r="J999" s="384"/>
      <c r="K999" s="384"/>
      <c r="L999" s="384"/>
      <c r="M999" s="384"/>
      <c r="N999" s="384"/>
      <c r="O999" s="384"/>
      <c r="P999" s="384"/>
      <c r="Q999" s="384"/>
    </row>
    <row r="1000">
      <c r="A1000" s="396"/>
      <c r="B1000" s="396"/>
      <c r="C1000" s="384"/>
      <c r="D1000" s="384"/>
      <c r="E1000" s="384"/>
      <c r="F1000" s="384"/>
      <c r="G1000" s="384"/>
      <c r="H1000" s="384"/>
      <c r="I1000" s="384"/>
      <c r="J1000" s="384"/>
      <c r="K1000" s="384"/>
      <c r="L1000" s="384"/>
      <c r="M1000" s="384"/>
      <c r="N1000" s="384"/>
      <c r="O1000" s="384"/>
      <c r="P1000" s="384"/>
      <c r="Q1000" s="384"/>
    </row>
  </sheetData>
  <conditionalFormatting sqref="L1:L1000">
    <cfRule type="containsText" dxfId="0" priority="1" operator="containsText" text="Enviado">
      <formula>NOT(ISERROR(SEARCH(("Enviado"),(L1))))</formula>
    </cfRule>
  </conditionalFormatting>
  <conditionalFormatting sqref="A1:A1000">
    <cfRule type="containsText" dxfId="0" priority="2" operator="containsText" text="Enviado">
      <formula>NOT(ISERROR(SEARCH(("Enviado"),(A1))))</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51C75"/>
    <outlinePr summaryBelow="0" summaryRight="0"/>
  </sheetPr>
  <sheetViews>
    <sheetView workbookViewId="0"/>
  </sheetViews>
  <sheetFormatPr customHeight="1" defaultColWidth="12.63" defaultRowHeight="15.75"/>
  <cols>
    <col customWidth="1" min="1" max="1" width="38.25"/>
    <col customWidth="1" min="2" max="2" width="20.25"/>
    <col customWidth="1" min="3" max="3" width="26.63"/>
    <col customWidth="1" min="4" max="4" width="80.13"/>
  </cols>
  <sheetData>
    <row r="1">
      <c r="A1" s="408" t="str">
        <f>IFERROR(__xludf.DUMMYFUNCTION("IMPORTRANGE(""https://docs.google.com/spreadsheets/d/1Vcnf0QllOhT0rIe0HKTW8ObZIFa_Qo5w4R_-0US3Gcg/edit"", ""Certificação 2ª Graduação!A1:Z1000"")
"),"Orientações: Toda e Qualquer Alteração nas abas dessa planilha devem ser atualizadas nessa aba para alimentação  do sistema de análise ")</f>
        <v>Orientações: Toda e Qualquer Alteração nas abas dessa planilha devem ser atualizadas nessa aba para alimentação  do sistema de análise </v>
      </c>
      <c r="B1" s="409"/>
      <c r="C1" s="409"/>
      <c r="D1" s="409"/>
      <c r="E1" s="390"/>
      <c r="F1" s="390"/>
      <c r="G1" s="390"/>
      <c r="H1" s="390"/>
      <c r="I1" s="390"/>
      <c r="J1" s="390"/>
      <c r="K1" s="390"/>
      <c r="L1" s="390"/>
      <c r="M1" s="390"/>
      <c r="N1" s="390"/>
      <c r="O1" s="390"/>
      <c r="P1" s="390"/>
      <c r="Q1" s="390"/>
      <c r="R1" s="390"/>
      <c r="S1" s="390"/>
      <c r="T1" s="390"/>
      <c r="U1" s="390"/>
      <c r="V1" s="390"/>
      <c r="W1" s="390"/>
      <c r="X1" s="390"/>
      <c r="Y1" s="390"/>
    </row>
    <row r="2">
      <c r="A2" s="410" t="str">
        <f>IFERROR(__xludf.DUMMYFUNCTION("""COMPUTED_VALUE"""),"DADOS DE ANÁLISE")</f>
        <v>DADOS DE ANÁLISE</v>
      </c>
      <c r="B2" s="411"/>
      <c r="C2" s="411"/>
      <c r="D2" s="411"/>
      <c r="E2" s="390"/>
      <c r="F2" s="390"/>
      <c r="G2" s="390"/>
      <c r="H2" s="390"/>
      <c r="I2" s="390"/>
      <c r="J2" s="390"/>
      <c r="K2" s="390"/>
      <c r="L2" s="390"/>
      <c r="M2" s="390"/>
      <c r="N2" s="390"/>
      <c r="O2" s="390"/>
      <c r="P2" s="390"/>
      <c r="Q2" s="390"/>
      <c r="R2" s="390"/>
      <c r="S2" s="390"/>
      <c r="T2" s="390"/>
      <c r="U2" s="390"/>
      <c r="V2" s="390"/>
      <c r="W2" s="390"/>
      <c r="X2" s="390"/>
      <c r="Y2" s="390"/>
    </row>
    <row r="3">
      <c r="A3" s="412" t="str">
        <f>IFERROR(__xludf.DUMMYFUNCTION("""COMPUTED_VALUE"""),"Nome do Aluno")</f>
        <v>Nome do Aluno</v>
      </c>
      <c r="B3" s="412" t="str">
        <f>IFERROR(__xludf.DUMMYFUNCTION("""COMPUTED_VALUE"""),"Modalidade")</f>
        <v>Modalidade</v>
      </c>
      <c r="C3" s="412" t="str">
        <f>IFERROR(__xludf.DUMMYFUNCTION("""COMPUTED_VALUE"""),"Curso")</f>
        <v>Curso</v>
      </c>
      <c r="D3" s="412" t="str">
        <f>IFERROR(__xludf.DUMMYFUNCTION("""COMPUTED_VALUE"""),"Status Diploma")</f>
        <v>Status Diploma</v>
      </c>
      <c r="E3" s="390"/>
      <c r="F3" s="390"/>
      <c r="G3" s="390"/>
      <c r="H3" s="390"/>
      <c r="I3" s="390"/>
      <c r="J3" s="390"/>
      <c r="K3" s="390"/>
      <c r="L3" s="390"/>
      <c r="M3" s="390"/>
      <c r="N3" s="390"/>
      <c r="O3" s="390"/>
      <c r="P3" s="390"/>
      <c r="Q3" s="390"/>
      <c r="R3" s="390"/>
      <c r="S3" s="390"/>
      <c r="T3" s="390"/>
      <c r="U3" s="390"/>
      <c r="V3" s="390"/>
      <c r="W3" s="390"/>
      <c r="X3" s="390"/>
      <c r="Y3" s="390"/>
    </row>
    <row r="4">
      <c r="A4" s="390" t="str">
        <f>IFERROR(__xludf.DUMMYFUNCTION("""COMPUTED_VALUE"""),"Otávio Antonio Almeida da Silva")</f>
        <v>Otávio Antonio Almeida da Silva</v>
      </c>
      <c r="B4" s="390" t="str">
        <f>IFERROR(__xludf.DUMMYFUNCTION("""COMPUTED_VALUE"""),"Form. Pedagógica")</f>
        <v>Form. Pedagógica</v>
      </c>
      <c r="C4" s="390" t="str">
        <f>IFERROR(__xludf.DUMMYFUNCTION("""COMPUTED_VALUE"""),"Pedagogia")</f>
        <v>Pedagogia</v>
      </c>
      <c r="D4" s="390" t="str">
        <f>IFERROR(__xludf.DUMMYFUNCTION("""COMPUTED_VALUE"""),"Enviado email Mariana - 29/07/2024")</f>
        <v>Enviado email Mariana - 29/07/2024</v>
      </c>
      <c r="E4" s="390"/>
      <c r="F4" s="390"/>
      <c r="G4" s="390"/>
      <c r="H4" s="390"/>
      <c r="I4" s="390"/>
      <c r="J4" s="390"/>
      <c r="K4" s="390"/>
      <c r="L4" s="390"/>
      <c r="M4" s="390"/>
      <c r="N4" s="390"/>
      <c r="O4" s="390"/>
      <c r="P4" s="390"/>
      <c r="Q4" s="390"/>
      <c r="R4" s="390"/>
      <c r="S4" s="390"/>
      <c r="T4" s="390"/>
      <c r="U4" s="390"/>
      <c r="V4" s="390"/>
      <c r="W4" s="390"/>
      <c r="X4" s="390"/>
      <c r="Y4" s="390"/>
    </row>
    <row r="5">
      <c r="A5" s="390" t="str">
        <f>IFERROR(__xludf.DUMMYFUNCTION("""COMPUTED_VALUE"""),"Tamiris Campos Weigel")</f>
        <v>Tamiris Campos Weigel</v>
      </c>
      <c r="B5" s="390" t="str">
        <f>IFERROR(__xludf.DUMMYFUNCTION("""COMPUTED_VALUE"""),"2° Licenciatura")</f>
        <v>2° Licenciatura</v>
      </c>
      <c r="C5" s="390" t="str">
        <f>IFERROR(__xludf.DUMMYFUNCTION("""COMPUTED_VALUE"""),"Pedagogia")</f>
        <v>Pedagogia</v>
      </c>
      <c r="D5" s="390" t="str">
        <f>IFERROR(__xludf.DUMMYFUNCTION("""COMPUTED_VALUE"""),"Enviado email Mariana - 29/07/2024")</f>
        <v>Enviado email Mariana - 29/07/2024</v>
      </c>
      <c r="E5" s="390"/>
      <c r="F5" s="390"/>
      <c r="G5" s="390"/>
      <c r="H5" s="390"/>
      <c r="I5" s="390"/>
      <c r="J5" s="390"/>
      <c r="K5" s="390"/>
      <c r="L5" s="390"/>
      <c r="M5" s="390"/>
      <c r="N5" s="390"/>
      <c r="O5" s="390"/>
      <c r="P5" s="390"/>
      <c r="Q5" s="390"/>
      <c r="R5" s="390"/>
      <c r="S5" s="390"/>
      <c r="T5" s="390"/>
      <c r="U5" s="390"/>
      <c r="V5" s="390"/>
      <c r="W5" s="390"/>
      <c r="X5" s="390"/>
      <c r="Y5" s="390"/>
    </row>
    <row r="6">
      <c r="A6" s="390" t="str">
        <f>IFERROR(__xludf.DUMMYFUNCTION("""COMPUTED_VALUE"""),"Alana de Souza Alonso")</f>
        <v>Alana de Souza Alonso</v>
      </c>
      <c r="B6" s="390" t="str">
        <f>IFERROR(__xludf.DUMMYFUNCTION("""COMPUTED_VALUE"""),"2° Licenciatura")</f>
        <v>2° Licenciatura</v>
      </c>
      <c r="C6" s="390" t="str">
        <f>IFERROR(__xludf.DUMMYFUNCTION("""COMPUTED_VALUE"""),"Artes Visuais ")</f>
        <v>Artes Visuais </v>
      </c>
      <c r="D6" s="390" t="str">
        <f>IFERROR(__xludf.DUMMYFUNCTION("""COMPUTED_VALUE"""),"Entregue - Email - Carla - 02/05/24")</f>
        <v>Entregue - Email - Carla - 02/05/24</v>
      </c>
      <c r="E6" s="390"/>
      <c r="F6" s="390"/>
      <c r="G6" s="390"/>
      <c r="H6" s="390"/>
      <c r="I6" s="390"/>
      <c r="J6" s="390"/>
      <c r="K6" s="390"/>
      <c r="L6" s="390"/>
      <c r="M6" s="390"/>
      <c r="N6" s="390"/>
      <c r="O6" s="390"/>
      <c r="P6" s="390"/>
      <c r="Q6" s="390"/>
      <c r="R6" s="390"/>
      <c r="S6" s="390"/>
      <c r="T6" s="390"/>
      <c r="U6" s="390"/>
      <c r="V6" s="390"/>
      <c r="W6" s="390"/>
      <c r="X6" s="390"/>
      <c r="Y6" s="390"/>
    </row>
    <row r="7">
      <c r="A7" s="390" t="str">
        <f>IFERROR(__xludf.DUMMYFUNCTION("""COMPUTED_VALUE"""),"Cícero Pereira Batista")</f>
        <v>Cícero Pereira Batista</v>
      </c>
      <c r="B7" s="390" t="str">
        <f>IFERROR(__xludf.DUMMYFUNCTION("""COMPUTED_VALUE"""),"Form. Pedagógica")</f>
        <v>Form. Pedagógica</v>
      </c>
      <c r="C7" s="390" t="str">
        <f>IFERROR(__xludf.DUMMYFUNCTION("""COMPUTED_VALUE"""),"Ciências da Religião")</f>
        <v>Ciências da Religião</v>
      </c>
      <c r="D7" s="390" t="str">
        <f>IFERROR(__xludf.DUMMYFUNCTION("""COMPUTED_VALUE"""),"Entregue - Email")</f>
        <v>Entregue - Email</v>
      </c>
      <c r="E7" s="390"/>
      <c r="F7" s="390"/>
      <c r="G7" s="390"/>
      <c r="H7" s="390"/>
      <c r="I7" s="390"/>
      <c r="J7" s="390"/>
      <c r="K7" s="390"/>
      <c r="L7" s="390"/>
      <c r="M7" s="390"/>
      <c r="N7" s="390"/>
      <c r="O7" s="390"/>
      <c r="P7" s="390"/>
      <c r="Q7" s="390"/>
      <c r="R7" s="390"/>
      <c r="S7" s="390"/>
      <c r="T7" s="390"/>
      <c r="U7" s="390"/>
      <c r="V7" s="390"/>
      <c r="W7" s="390"/>
      <c r="X7" s="390"/>
      <c r="Y7" s="390"/>
    </row>
    <row r="8">
      <c r="A8" s="390" t="str">
        <f>IFERROR(__xludf.DUMMYFUNCTION("""COMPUTED_VALUE"""),"Karoline Meleiro do Nascimento")</f>
        <v>Karoline Meleiro do Nascimento</v>
      </c>
      <c r="B8" s="390" t="str">
        <f>IFERROR(__xludf.DUMMYFUNCTION("""COMPUTED_VALUE"""),"2° Licenciatura")</f>
        <v>2° Licenciatura</v>
      </c>
      <c r="C8" s="390" t="str">
        <f>IFERROR(__xludf.DUMMYFUNCTION("""COMPUTED_VALUE"""),"Letras - Português e Inglês")</f>
        <v>Letras - Português e Inglês</v>
      </c>
      <c r="D8" s="390" t="str">
        <f>IFERROR(__xludf.DUMMYFUNCTION("""COMPUTED_VALUE"""),"Entregue - Email - Mariana - 09/05/24")</f>
        <v>Entregue - Email - Mariana - 09/05/24</v>
      </c>
      <c r="E8" s="390"/>
      <c r="F8" s="390"/>
      <c r="G8" s="390"/>
      <c r="H8" s="390"/>
      <c r="I8" s="390"/>
      <c r="J8" s="390"/>
      <c r="K8" s="390"/>
      <c r="L8" s="390"/>
      <c r="M8" s="390"/>
      <c r="N8" s="390"/>
      <c r="O8" s="390"/>
      <c r="P8" s="390"/>
      <c r="Q8" s="390"/>
      <c r="R8" s="390"/>
      <c r="S8" s="390"/>
      <c r="T8" s="390"/>
      <c r="U8" s="390"/>
      <c r="V8" s="390"/>
      <c r="W8" s="390"/>
      <c r="X8" s="390"/>
      <c r="Y8" s="390"/>
    </row>
    <row r="9">
      <c r="A9" s="390" t="str">
        <f>IFERROR(__xludf.DUMMYFUNCTION("""COMPUTED_VALUE"""),"Olmiro Aparecido Marczynski")</f>
        <v>Olmiro Aparecido Marczynski</v>
      </c>
      <c r="B9" s="390" t="str">
        <f>IFERROR(__xludf.DUMMYFUNCTION("""COMPUTED_VALUE"""),"Form. Pedagógica")</f>
        <v>Form. Pedagógica</v>
      </c>
      <c r="C9" s="390" t="str">
        <f>IFERROR(__xludf.DUMMYFUNCTION("""COMPUTED_VALUE"""),"Pedagogia para bachareis")</f>
        <v>Pedagogia para bachareis</v>
      </c>
      <c r="D9" s="390" t="str">
        <f>IFERROR(__xludf.DUMMYFUNCTION("""COMPUTED_VALUE"""),"Entregue - Email - Mariana - 09/05/24")</f>
        <v>Entregue - Email - Mariana - 09/05/24</v>
      </c>
      <c r="E9" s="390"/>
      <c r="F9" s="390"/>
      <c r="G9" s="390"/>
      <c r="H9" s="390"/>
      <c r="I9" s="390"/>
      <c r="J9" s="390"/>
      <c r="K9" s="390"/>
      <c r="L9" s="390"/>
      <c r="M9" s="390"/>
      <c r="N9" s="390"/>
      <c r="O9" s="390"/>
      <c r="P9" s="390"/>
      <c r="Q9" s="390"/>
      <c r="R9" s="390"/>
      <c r="S9" s="390"/>
      <c r="T9" s="390"/>
      <c r="U9" s="390"/>
      <c r="V9" s="390"/>
      <c r="W9" s="390"/>
      <c r="X9" s="390"/>
      <c r="Y9" s="390"/>
    </row>
    <row r="10">
      <c r="A10" s="390" t="str">
        <f>IFERROR(__xludf.DUMMYFUNCTION("""COMPUTED_VALUE"""),"Valquíria Lopes de Souto")</f>
        <v>Valquíria Lopes de Souto</v>
      </c>
      <c r="B10" s="390" t="str">
        <f>IFERROR(__xludf.DUMMYFUNCTION("""COMPUTED_VALUE"""),"2° Licenciatura")</f>
        <v>2° Licenciatura</v>
      </c>
      <c r="C10" s="390" t="str">
        <f>IFERROR(__xludf.DUMMYFUNCTION("""COMPUTED_VALUE"""),"Pedagogia")</f>
        <v>Pedagogia</v>
      </c>
      <c r="D10" s="390" t="str">
        <f>IFERROR(__xludf.DUMMYFUNCTION("""COMPUTED_VALUE"""),"Entregue - Email - Mariana - 09/05/24")</f>
        <v>Entregue - Email - Mariana - 09/05/24</v>
      </c>
      <c r="E10" s="390"/>
      <c r="F10" s="390"/>
      <c r="G10" s="390"/>
      <c r="H10" s="390"/>
      <c r="I10" s="390"/>
      <c r="J10" s="390"/>
      <c r="K10" s="390"/>
      <c r="L10" s="390"/>
      <c r="M10" s="390"/>
      <c r="N10" s="390"/>
      <c r="O10" s="390"/>
      <c r="P10" s="390"/>
      <c r="Q10" s="390"/>
      <c r="R10" s="390"/>
      <c r="S10" s="390"/>
      <c r="T10" s="390"/>
      <c r="U10" s="390"/>
      <c r="V10" s="390"/>
      <c r="W10" s="390"/>
      <c r="X10" s="390"/>
      <c r="Y10" s="390"/>
    </row>
    <row r="11">
      <c r="A11" s="390" t="str">
        <f>IFERROR(__xludf.DUMMYFUNCTION("""COMPUTED_VALUE"""),"Larissa Talia da Silva")</f>
        <v>Larissa Talia da Silva</v>
      </c>
      <c r="B11" s="390" t="str">
        <f>IFERROR(__xludf.DUMMYFUNCTION("""COMPUTED_VALUE"""),"Form. Pedagógica")</f>
        <v>Form. Pedagógica</v>
      </c>
      <c r="C11" s="390" t="str">
        <f>IFERROR(__xludf.DUMMYFUNCTION("""COMPUTED_VALUE"""),"Pedagogia")</f>
        <v>Pedagogia</v>
      </c>
      <c r="D11" s="390" t="str">
        <f>IFERROR(__xludf.DUMMYFUNCTION("""COMPUTED_VALUE"""),"Entregue - Email - Mariana - 09/05/24")</f>
        <v>Entregue - Email - Mariana - 09/05/24</v>
      </c>
      <c r="E11" s="390"/>
      <c r="F11" s="390"/>
      <c r="G11" s="390"/>
      <c r="H11" s="390"/>
      <c r="I11" s="390"/>
      <c r="J11" s="390"/>
      <c r="K11" s="390"/>
      <c r="L11" s="390"/>
      <c r="M11" s="390"/>
      <c r="N11" s="390"/>
      <c r="O11" s="390"/>
      <c r="P11" s="390"/>
      <c r="Q11" s="390"/>
      <c r="R11" s="390"/>
      <c r="S11" s="390"/>
      <c r="T11" s="390"/>
      <c r="U11" s="390"/>
      <c r="V11" s="390"/>
      <c r="W11" s="390"/>
      <c r="X11" s="390"/>
      <c r="Y11" s="390"/>
    </row>
    <row r="12">
      <c r="A12" s="390" t="str">
        <f>IFERROR(__xludf.DUMMYFUNCTION("""COMPUTED_VALUE"""),"Renata Rondon da Silva dos Santos")</f>
        <v>Renata Rondon da Silva dos Santos</v>
      </c>
      <c r="B12" s="390" t="str">
        <f>IFERROR(__xludf.DUMMYFUNCTION("""COMPUTED_VALUE"""),"2° Licenciatura")</f>
        <v>2° Licenciatura</v>
      </c>
      <c r="C12" s="390" t="str">
        <f>IFERROR(__xludf.DUMMYFUNCTION("""COMPUTED_VALUE"""),"Pedagogia")</f>
        <v>Pedagogia</v>
      </c>
      <c r="D12" s="390" t="str">
        <f>IFERROR(__xludf.DUMMYFUNCTION("""COMPUTED_VALUE"""),"Entregue - Email - Vanessa - 02/05/24")</f>
        <v>Entregue - Email - Vanessa - 02/05/24</v>
      </c>
      <c r="E12" s="390"/>
      <c r="F12" s="390"/>
      <c r="G12" s="390"/>
      <c r="H12" s="390"/>
      <c r="I12" s="390"/>
      <c r="J12" s="390"/>
      <c r="K12" s="390"/>
      <c r="L12" s="390"/>
      <c r="M12" s="390"/>
      <c r="N12" s="390"/>
      <c r="O12" s="390"/>
      <c r="P12" s="390"/>
      <c r="Q12" s="390"/>
      <c r="R12" s="390"/>
      <c r="S12" s="390"/>
      <c r="T12" s="390"/>
      <c r="U12" s="390"/>
      <c r="V12" s="390"/>
      <c r="W12" s="390"/>
      <c r="X12" s="390"/>
      <c r="Y12" s="390"/>
    </row>
    <row r="13">
      <c r="A13" s="390" t="str">
        <f>IFERROR(__xludf.DUMMYFUNCTION("""COMPUTED_VALUE"""),"Verusca Camilo de Moraes ")</f>
        <v>Verusca Camilo de Moraes </v>
      </c>
      <c r="B13" s="390" t="str">
        <f>IFERROR(__xludf.DUMMYFUNCTION("""COMPUTED_VALUE"""),"2° Licenciatura")</f>
        <v>2° Licenciatura</v>
      </c>
      <c r="C13" s="390" t="str">
        <f>IFERROR(__xludf.DUMMYFUNCTION("""COMPUTED_VALUE"""),"Pedagogia")</f>
        <v>Pedagogia</v>
      </c>
      <c r="D13" s="390" t="str">
        <f>IFERROR(__xludf.DUMMYFUNCTION("""COMPUTED_VALUE"""),"Entregue - Email - Carla - 10/05/24")</f>
        <v>Entregue - Email - Carla - 10/05/24</v>
      </c>
      <c r="E13" s="390"/>
      <c r="F13" s="390"/>
      <c r="G13" s="390"/>
      <c r="H13" s="390"/>
      <c r="I13" s="390"/>
      <c r="J13" s="390"/>
      <c r="K13" s="390"/>
      <c r="L13" s="390"/>
      <c r="M13" s="390"/>
      <c r="N13" s="390"/>
      <c r="O13" s="390"/>
      <c r="P13" s="390"/>
      <c r="Q13" s="390"/>
      <c r="R13" s="390"/>
      <c r="S13" s="390"/>
      <c r="T13" s="390"/>
      <c r="U13" s="390"/>
      <c r="V13" s="390"/>
      <c r="W13" s="390"/>
      <c r="X13" s="390"/>
      <c r="Y13" s="390"/>
    </row>
    <row r="14">
      <c r="A14" s="390" t="str">
        <f>IFERROR(__xludf.DUMMYFUNCTION("""COMPUTED_VALUE"""),"Ariadny Rafaela Valejo Santana")</f>
        <v>Ariadny Rafaela Valejo Santana</v>
      </c>
      <c r="B14" s="390" t="str">
        <f>IFERROR(__xludf.DUMMYFUNCTION("""COMPUTED_VALUE"""),"2° Licenciatura")</f>
        <v>2° Licenciatura</v>
      </c>
      <c r="C14" s="390" t="str">
        <f>IFERROR(__xludf.DUMMYFUNCTION("""COMPUTED_VALUE"""),"Artes Visuais ")</f>
        <v>Artes Visuais </v>
      </c>
      <c r="D14" s="390" t="str">
        <f>IFERROR(__xludf.DUMMYFUNCTION("""COMPUTED_VALUE"""),"Entregue - Email - Vanessa - 02/05/24")</f>
        <v>Entregue - Email - Vanessa - 02/05/24</v>
      </c>
      <c r="E14" s="390"/>
      <c r="F14" s="390"/>
      <c r="G14" s="390"/>
      <c r="H14" s="390"/>
      <c r="I14" s="390"/>
      <c r="J14" s="390"/>
      <c r="K14" s="390"/>
      <c r="L14" s="390"/>
      <c r="M14" s="390"/>
      <c r="N14" s="390"/>
      <c r="O14" s="390"/>
      <c r="P14" s="390"/>
      <c r="Q14" s="390"/>
      <c r="R14" s="390"/>
      <c r="S14" s="390"/>
      <c r="T14" s="390"/>
      <c r="U14" s="390"/>
      <c r="V14" s="390"/>
      <c r="W14" s="390"/>
      <c r="X14" s="390"/>
      <c r="Y14" s="390"/>
    </row>
    <row r="15">
      <c r="A15" s="390" t="str">
        <f>IFERROR(__xludf.DUMMYFUNCTION("""COMPUTED_VALUE"""),"Claudia Teresa Romualdo da Silva")</f>
        <v>Claudia Teresa Romualdo da Silva</v>
      </c>
      <c r="B15" s="390" t="str">
        <f>IFERROR(__xludf.DUMMYFUNCTION("""COMPUTED_VALUE"""),"2° Licenciatura")</f>
        <v>2° Licenciatura</v>
      </c>
      <c r="C15" s="390" t="str">
        <f>IFERROR(__xludf.DUMMYFUNCTION("""COMPUTED_VALUE"""),"Letras - Português e Inglês")</f>
        <v>Letras - Português e Inglês</v>
      </c>
      <c r="D15" s="390" t="str">
        <f>IFERROR(__xludf.DUMMYFUNCTION("""COMPUTED_VALUE"""),"Entregue - Email - Vanessa - 02/05/24")</f>
        <v>Entregue - Email - Vanessa - 02/05/24</v>
      </c>
      <c r="E15" s="390"/>
      <c r="F15" s="390"/>
      <c r="G15" s="390"/>
      <c r="H15" s="390"/>
      <c r="I15" s="390"/>
      <c r="J15" s="390"/>
      <c r="K15" s="390"/>
      <c r="L15" s="390"/>
      <c r="M15" s="390"/>
      <c r="N15" s="390"/>
      <c r="O15" s="390"/>
      <c r="P15" s="390"/>
      <c r="Q15" s="390"/>
      <c r="R15" s="390"/>
      <c r="S15" s="390"/>
      <c r="T15" s="390"/>
      <c r="U15" s="390"/>
      <c r="V15" s="390"/>
      <c r="W15" s="390"/>
      <c r="X15" s="390"/>
      <c r="Y15" s="390"/>
    </row>
    <row r="16">
      <c r="A16" s="390" t="str">
        <f>IFERROR(__xludf.DUMMYFUNCTION("""COMPUTED_VALUE"""),"Luciene do Nascimento da Cruz")</f>
        <v>Luciene do Nascimento da Cruz</v>
      </c>
      <c r="B16" s="390" t="str">
        <f>IFERROR(__xludf.DUMMYFUNCTION("""COMPUTED_VALUE"""),"2° Licenciatura")</f>
        <v>2° Licenciatura</v>
      </c>
      <c r="C16" s="390" t="str">
        <f>IFERROR(__xludf.DUMMYFUNCTION("""COMPUTED_VALUE"""),"Pedagogia")</f>
        <v>Pedagogia</v>
      </c>
      <c r="D16" s="390" t="str">
        <f>IFERROR(__xludf.DUMMYFUNCTION("""COMPUTED_VALUE"""),"Entregue - Email - Vanessa - 02/05/24")</f>
        <v>Entregue - Email - Vanessa - 02/05/24</v>
      </c>
      <c r="E16" s="390"/>
      <c r="F16" s="390"/>
      <c r="G16" s="390"/>
      <c r="H16" s="390"/>
      <c r="I16" s="390"/>
      <c r="J16" s="390"/>
      <c r="K16" s="390"/>
      <c r="L16" s="390"/>
      <c r="M16" s="390"/>
      <c r="N16" s="390"/>
      <c r="O16" s="390"/>
      <c r="P16" s="390"/>
      <c r="Q16" s="390"/>
      <c r="R16" s="390"/>
      <c r="S16" s="390"/>
      <c r="T16" s="390"/>
      <c r="U16" s="390"/>
      <c r="V16" s="390"/>
      <c r="W16" s="390"/>
      <c r="X16" s="390"/>
      <c r="Y16" s="390"/>
    </row>
    <row r="17">
      <c r="A17" s="390" t="str">
        <f>IFERROR(__xludf.DUMMYFUNCTION("""COMPUTED_VALUE"""),"Rosiane Nascimento Ribeiro")</f>
        <v>Rosiane Nascimento Ribeiro</v>
      </c>
      <c r="B17" s="390" t="str">
        <f>IFERROR(__xludf.DUMMYFUNCTION("""COMPUTED_VALUE"""),"2° Licenciatura")</f>
        <v>2° Licenciatura</v>
      </c>
      <c r="C17" s="390" t="str">
        <f>IFERROR(__xludf.DUMMYFUNCTION("""COMPUTED_VALUE"""),"Pedagogia")</f>
        <v>Pedagogia</v>
      </c>
      <c r="D17" s="390" t="str">
        <f>IFERROR(__xludf.DUMMYFUNCTION("""COMPUTED_VALUE"""),"Entregue - Email - Mariana - 09/05/24")</f>
        <v>Entregue - Email - Mariana - 09/05/24</v>
      </c>
      <c r="E17" s="390"/>
      <c r="F17" s="390"/>
      <c r="G17" s="390"/>
      <c r="H17" s="390"/>
      <c r="I17" s="390"/>
      <c r="J17" s="390"/>
      <c r="K17" s="390"/>
      <c r="L17" s="390"/>
      <c r="M17" s="390"/>
      <c r="N17" s="390"/>
      <c r="O17" s="390"/>
      <c r="P17" s="390"/>
      <c r="Q17" s="390"/>
      <c r="R17" s="390"/>
      <c r="S17" s="390"/>
      <c r="T17" s="390"/>
      <c r="U17" s="390"/>
      <c r="V17" s="390"/>
      <c r="W17" s="390"/>
      <c r="X17" s="390"/>
      <c r="Y17" s="390"/>
    </row>
    <row r="18">
      <c r="A18" s="390" t="str">
        <f>IFERROR(__xludf.DUMMYFUNCTION("""COMPUTED_VALUE"""),"João Victor da Rocha Barros")</f>
        <v>João Victor da Rocha Barros</v>
      </c>
      <c r="B18" s="390" t="str">
        <f>IFERROR(__xludf.DUMMYFUNCTION("""COMPUTED_VALUE"""),"2° Licenciatura")</f>
        <v>2° Licenciatura</v>
      </c>
      <c r="C18" s="390" t="str">
        <f>IFERROR(__xludf.DUMMYFUNCTION("""COMPUTED_VALUE"""),"Pedagogia")</f>
        <v>Pedagogia</v>
      </c>
      <c r="D18" s="390" t="str">
        <f>IFERROR(__xludf.DUMMYFUNCTION("""COMPUTED_VALUE"""),"Entregue - Email - Vanessa - 02/05/24")</f>
        <v>Entregue - Email - Vanessa - 02/05/24</v>
      </c>
      <c r="E18" s="390"/>
      <c r="F18" s="390"/>
      <c r="G18" s="390"/>
      <c r="H18" s="390"/>
      <c r="I18" s="390"/>
      <c r="J18" s="390"/>
      <c r="K18" s="390"/>
      <c r="L18" s="390"/>
      <c r="M18" s="390"/>
      <c r="N18" s="390"/>
      <c r="O18" s="390"/>
      <c r="P18" s="390"/>
      <c r="Q18" s="390"/>
      <c r="R18" s="390"/>
      <c r="S18" s="390"/>
      <c r="T18" s="390"/>
      <c r="U18" s="390"/>
      <c r="V18" s="390"/>
      <c r="W18" s="390"/>
      <c r="X18" s="390"/>
      <c r="Y18" s="390"/>
    </row>
    <row r="19">
      <c r="A19" s="390" t="str">
        <f>IFERROR(__xludf.DUMMYFUNCTION("""COMPUTED_VALUE"""),"Poliana Maciel Capanema")</f>
        <v>Poliana Maciel Capanema</v>
      </c>
      <c r="B19" s="390" t="str">
        <f>IFERROR(__xludf.DUMMYFUNCTION("""COMPUTED_VALUE"""),"2° Licenciatura")</f>
        <v>2° Licenciatura</v>
      </c>
      <c r="C19" s="390" t="str">
        <f>IFERROR(__xludf.DUMMYFUNCTION("""COMPUTED_VALUE"""),"Educação Especial")</f>
        <v>Educação Especial</v>
      </c>
      <c r="D19" s="390" t="str">
        <f>IFERROR(__xludf.DUMMYFUNCTION("""COMPUTED_VALUE"""),"Entregue - Email - Carla - 30/04/24")</f>
        <v>Entregue - Email - Carla - 30/04/24</v>
      </c>
      <c r="E19" s="390"/>
      <c r="F19" s="390"/>
      <c r="G19" s="390"/>
      <c r="H19" s="390"/>
      <c r="I19" s="390"/>
      <c r="J19" s="390"/>
      <c r="K19" s="390"/>
      <c r="L19" s="390"/>
      <c r="M19" s="390"/>
      <c r="N19" s="390"/>
      <c r="O19" s="390"/>
      <c r="P19" s="390"/>
      <c r="Q19" s="390"/>
      <c r="R19" s="390"/>
      <c r="S19" s="390"/>
      <c r="T19" s="390"/>
      <c r="U19" s="390"/>
      <c r="V19" s="390"/>
      <c r="W19" s="390"/>
      <c r="X19" s="390"/>
      <c r="Y19" s="390"/>
    </row>
    <row r="20">
      <c r="A20" s="390" t="str">
        <f>IFERROR(__xludf.DUMMYFUNCTION("""COMPUTED_VALUE"""),"Katia Almeida da Silva ")</f>
        <v>Katia Almeida da Silva </v>
      </c>
      <c r="B20" s="390" t="str">
        <f>IFERROR(__xludf.DUMMYFUNCTION("""COMPUTED_VALUE"""),"Form. Pedagógica")</f>
        <v>Form. Pedagógica</v>
      </c>
      <c r="C20" s="390" t="str">
        <f>IFERROR(__xludf.DUMMYFUNCTION("""COMPUTED_VALUE"""),"Letras - Português e Espanhol")</f>
        <v>Letras - Português e Espanhol</v>
      </c>
      <c r="D20" s="390" t="str">
        <f>IFERROR(__xludf.DUMMYFUNCTION("""COMPUTED_VALUE"""),"Entregue - Email - Kaiury 04/05/24")</f>
        <v>Entregue - Email - Kaiury 04/05/24</v>
      </c>
      <c r="E20" s="390"/>
      <c r="F20" s="390"/>
      <c r="G20" s="390"/>
      <c r="H20" s="390"/>
      <c r="I20" s="390"/>
      <c r="J20" s="390"/>
      <c r="K20" s="390"/>
      <c r="L20" s="390"/>
      <c r="M20" s="390"/>
      <c r="N20" s="390"/>
      <c r="O20" s="390"/>
      <c r="P20" s="390"/>
      <c r="Q20" s="390"/>
      <c r="R20" s="390"/>
      <c r="S20" s="390"/>
      <c r="T20" s="390"/>
      <c r="U20" s="390"/>
      <c r="V20" s="390"/>
      <c r="W20" s="390"/>
      <c r="X20" s="390"/>
      <c r="Y20" s="390"/>
    </row>
    <row r="21">
      <c r="A21" s="390" t="str">
        <f>IFERROR(__xludf.DUMMYFUNCTION("""COMPUTED_VALUE"""),"Russian Liberato Ribeiro de Araújo Lima")</f>
        <v>Russian Liberato Ribeiro de Araújo Lima</v>
      </c>
      <c r="B21" s="390" t="str">
        <f>IFERROR(__xludf.DUMMYFUNCTION("""COMPUTED_VALUE"""),"2° Licenciatura")</f>
        <v>2° Licenciatura</v>
      </c>
      <c r="C21" s="390" t="str">
        <f>IFERROR(__xludf.DUMMYFUNCTION("""COMPUTED_VALUE"""),"História")</f>
        <v>História</v>
      </c>
      <c r="D21" s="390" t="str">
        <f>IFERROR(__xludf.DUMMYFUNCTION("""COMPUTED_VALUE"""),"Entregue - Email - Mariana - 09/05/24")</f>
        <v>Entregue - Email - Mariana - 09/05/24</v>
      </c>
      <c r="E21" s="390"/>
      <c r="F21" s="390"/>
      <c r="G21" s="390"/>
      <c r="H21" s="390"/>
      <c r="I21" s="390"/>
      <c r="J21" s="390"/>
      <c r="K21" s="390"/>
      <c r="L21" s="390"/>
      <c r="M21" s="390"/>
      <c r="N21" s="390"/>
      <c r="O21" s="390"/>
      <c r="P21" s="390"/>
      <c r="Q21" s="390"/>
      <c r="R21" s="390"/>
      <c r="S21" s="390"/>
      <c r="T21" s="390"/>
      <c r="U21" s="390"/>
      <c r="V21" s="390"/>
      <c r="W21" s="390"/>
      <c r="X21" s="390"/>
      <c r="Y21" s="390"/>
    </row>
    <row r="22">
      <c r="A22" s="390" t="str">
        <f>IFERROR(__xludf.DUMMYFUNCTION("""COMPUTED_VALUE"""),"Suzana Gomes Gabriel da Cruz")</f>
        <v>Suzana Gomes Gabriel da Cruz</v>
      </c>
      <c r="B22" s="390" t="str">
        <f>IFERROR(__xludf.DUMMYFUNCTION("""COMPUTED_VALUE"""),"2° Licenciatura")</f>
        <v>2° Licenciatura</v>
      </c>
      <c r="C22" s="390" t="str">
        <f>IFERROR(__xludf.DUMMYFUNCTION("""COMPUTED_VALUE"""),"Artes Visuais")</f>
        <v>Artes Visuais</v>
      </c>
      <c r="D22" s="390" t="str">
        <f>IFERROR(__xludf.DUMMYFUNCTION("""COMPUTED_VALUE"""),"Entregue e-mail")</f>
        <v>Entregue e-mail</v>
      </c>
      <c r="E22" s="390"/>
      <c r="F22" s="390"/>
      <c r="G22" s="390"/>
      <c r="H22" s="390"/>
      <c r="I22" s="390"/>
      <c r="J22" s="390"/>
      <c r="K22" s="390"/>
      <c r="L22" s="390"/>
      <c r="M22" s="390"/>
      <c r="N22" s="390"/>
      <c r="O22" s="390"/>
      <c r="P22" s="390"/>
      <c r="Q22" s="390"/>
      <c r="R22" s="390"/>
      <c r="S22" s="390"/>
      <c r="T22" s="390"/>
      <c r="U22" s="390"/>
      <c r="V22" s="390"/>
      <c r="W22" s="390"/>
      <c r="X22" s="390"/>
      <c r="Y22" s="390"/>
    </row>
    <row r="23">
      <c r="A23" s="390" t="str">
        <f>IFERROR(__xludf.DUMMYFUNCTION("""COMPUTED_VALUE"""),"Marcelo Ferreira Honorato")</f>
        <v>Marcelo Ferreira Honorato</v>
      </c>
      <c r="B23" s="390" t="str">
        <f>IFERROR(__xludf.DUMMYFUNCTION("""COMPUTED_VALUE"""),"Form. Pedagógica")</f>
        <v>Form. Pedagógica</v>
      </c>
      <c r="C23" s="390" t="str">
        <f>IFERROR(__xludf.DUMMYFUNCTION("""COMPUTED_VALUE"""),"Pedagogia")</f>
        <v>Pedagogia</v>
      </c>
      <c r="D23" s="390" t="str">
        <f>IFERROR(__xludf.DUMMYFUNCTION("""COMPUTED_VALUE"""),"Entregue - Email - Vanessa - 02/05/24")</f>
        <v>Entregue - Email - Vanessa - 02/05/24</v>
      </c>
      <c r="E23" s="390"/>
      <c r="F23" s="390"/>
      <c r="G23" s="390"/>
      <c r="H23" s="390"/>
      <c r="I23" s="390"/>
      <c r="J23" s="390"/>
      <c r="K23" s="390"/>
      <c r="L23" s="390"/>
      <c r="M23" s="390"/>
      <c r="N23" s="390"/>
      <c r="O23" s="390"/>
      <c r="P23" s="390"/>
      <c r="Q23" s="390"/>
      <c r="R23" s="390"/>
      <c r="S23" s="390"/>
      <c r="T23" s="390"/>
      <c r="U23" s="390"/>
      <c r="V23" s="390"/>
      <c r="W23" s="390"/>
      <c r="X23" s="390"/>
      <c r="Y23" s="390"/>
    </row>
    <row r="24">
      <c r="A24" s="390" t="str">
        <f>IFERROR(__xludf.DUMMYFUNCTION("""COMPUTED_VALUE"""),"Clarkson Henrique Santos Lemos")</f>
        <v>Clarkson Henrique Santos Lemos</v>
      </c>
      <c r="B24" s="390" t="str">
        <f>IFERROR(__xludf.DUMMYFUNCTION("""COMPUTED_VALUE"""),"Form. Pedagógica")</f>
        <v>Form. Pedagógica</v>
      </c>
      <c r="C24" s="390" t="str">
        <f>IFERROR(__xludf.DUMMYFUNCTION("""COMPUTED_VALUE"""),"Pedagogia")</f>
        <v>Pedagogia</v>
      </c>
      <c r="D24" s="390" t="str">
        <f>IFERROR(__xludf.DUMMYFUNCTION("""COMPUTED_VALUE"""),"Entregue - Email - Mariana - 25/06/24")</f>
        <v>Entregue - Email - Mariana - 25/06/24</v>
      </c>
      <c r="E24" s="390"/>
      <c r="F24" s="390"/>
      <c r="G24" s="390"/>
      <c r="H24" s="390"/>
      <c r="I24" s="390"/>
      <c r="J24" s="390"/>
      <c r="K24" s="390"/>
      <c r="L24" s="390"/>
      <c r="M24" s="390"/>
      <c r="N24" s="390"/>
      <c r="O24" s="390"/>
      <c r="P24" s="390"/>
      <c r="Q24" s="390"/>
      <c r="R24" s="390"/>
      <c r="S24" s="390"/>
      <c r="T24" s="390"/>
      <c r="U24" s="390"/>
      <c r="V24" s="390"/>
      <c r="W24" s="390"/>
      <c r="X24" s="390"/>
      <c r="Y24" s="390"/>
    </row>
    <row r="25">
      <c r="A25" s="390" t="str">
        <f>IFERROR(__xludf.DUMMYFUNCTION("""COMPUTED_VALUE"""),"Luciana Campos Araújo")</f>
        <v>Luciana Campos Araújo</v>
      </c>
      <c r="B25" s="390" t="str">
        <f>IFERROR(__xludf.DUMMYFUNCTION("""COMPUTED_VALUE"""),"2° Licenciatura")</f>
        <v>2° Licenciatura</v>
      </c>
      <c r="C25" s="390" t="str">
        <f>IFERROR(__xludf.DUMMYFUNCTION("""COMPUTED_VALUE"""),"Letras - Português e Inglês")</f>
        <v>Letras - Português e Inglês</v>
      </c>
      <c r="D25" s="390" t="str">
        <f>IFERROR(__xludf.DUMMYFUNCTION("""COMPUTED_VALUE"""),"Entregue - Email - Vanessa - 02/05/24")</f>
        <v>Entregue - Email - Vanessa - 02/05/24</v>
      </c>
      <c r="E25" s="390"/>
      <c r="F25" s="390"/>
      <c r="G25" s="390"/>
      <c r="H25" s="390"/>
      <c r="I25" s="390"/>
      <c r="J25" s="390"/>
      <c r="K25" s="390"/>
      <c r="L25" s="390"/>
      <c r="M25" s="390"/>
      <c r="N25" s="390"/>
      <c r="O25" s="390"/>
      <c r="P25" s="390"/>
      <c r="Q25" s="390"/>
      <c r="R25" s="390"/>
      <c r="S25" s="390"/>
      <c r="T25" s="390"/>
      <c r="U25" s="390"/>
      <c r="V25" s="390"/>
      <c r="W25" s="390"/>
      <c r="X25" s="390"/>
      <c r="Y25" s="390"/>
    </row>
    <row r="26">
      <c r="A26" s="390" t="str">
        <f>IFERROR(__xludf.DUMMYFUNCTION("""COMPUTED_VALUE"""),"Clayton Marcelo de Lima")</f>
        <v>Clayton Marcelo de Lima</v>
      </c>
      <c r="B26" s="390" t="str">
        <f>IFERROR(__xludf.DUMMYFUNCTION("""COMPUTED_VALUE"""),"Form. Pedagógica")</f>
        <v>Form. Pedagógica</v>
      </c>
      <c r="C26" s="390" t="str">
        <f>IFERROR(__xludf.DUMMYFUNCTION("""COMPUTED_VALUE"""),"Geografia")</f>
        <v>Geografia</v>
      </c>
      <c r="D26" s="390" t="str">
        <f>IFERROR(__xludf.DUMMYFUNCTION("""COMPUTED_VALUE"""),"Entregue - Email - Vanessa - 02/05/24")</f>
        <v>Entregue - Email - Vanessa - 02/05/24</v>
      </c>
      <c r="E26" s="390"/>
      <c r="F26" s="390"/>
      <c r="G26" s="390"/>
      <c r="H26" s="390"/>
      <c r="I26" s="390"/>
      <c r="J26" s="390"/>
      <c r="K26" s="390"/>
      <c r="L26" s="390"/>
      <c r="M26" s="390"/>
      <c r="N26" s="390"/>
      <c r="O26" s="390"/>
      <c r="P26" s="390"/>
      <c r="Q26" s="390"/>
      <c r="R26" s="390"/>
      <c r="S26" s="390"/>
      <c r="T26" s="390"/>
      <c r="U26" s="390"/>
      <c r="V26" s="390"/>
      <c r="W26" s="390"/>
      <c r="X26" s="390"/>
      <c r="Y26" s="390"/>
    </row>
    <row r="27">
      <c r="A27" s="390" t="str">
        <f>IFERROR(__xludf.DUMMYFUNCTION("""COMPUTED_VALUE"""),"Leandro de Ávila")</f>
        <v>Leandro de Ávila</v>
      </c>
      <c r="B27" s="390" t="str">
        <f>IFERROR(__xludf.DUMMYFUNCTION("""COMPUTED_VALUE"""),"2° Licenciatura")</f>
        <v>2° Licenciatura</v>
      </c>
      <c r="C27" s="390" t="str">
        <f>IFERROR(__xludf.DUMMYFUNCTION("""COMPUTED_VALUE"""),"Pedagogia")</f>
        <v>Pedagogia</v>
      </c>
      <c r="D27" s="390" t="str">
        <f>IFERROR(__xludf.DUMMYFUNCTION("""COMPUTED_VALUE"""),"Entregue - Email - Vanessa - 02/05/24")</f>
        <v>Entregue - Email - Vanessa - 02/05/24</v>
      </c>
      <c r="E27" s="390"/>
      <c r="F27" s="390"/>
      <c r="G27" s="390"/>
      <c r="H27" s="390"/>
      <c r="I27" s="390"/>
      <c r="J27" s="390"/>
      <c r="K27" s="390"/>
      <c r="L27" s="390"/>
      <c r="M27" s="390"/>
      <c r="N27" s="390"/>
      <c r="O27" s="390"/>
      <c r="P27" s="390"/>
      <c r="Q27" s="390"/>
      <c r="R27" s="390"/>
      <c r="S27" s="390"/>
      <c r="T27" s="390"/>
      <c r="U27" s="390"/>
      <c r="V27" s="390"/>
      <c r="W27" s="390"/>
      <c r="X27" s="390"/>
      <c r="Y27" s="390"/>
    </row>
    <row r="28">
      <c r="A28" s="390" t="str">
        <f>IFERROR(__xludf.DUMMYFUNCTION("""COMPUTED_VALUE"""),"Roni Rodrigues Siqueira")</f>
        <v>Roni Rodrigues Siqueira</v>
      </c>
      <c r="B28" s="390" t="str">
        <f>IFERROR(__xludf.DUMMYFUNCTION("""COMPUTED_VALUE"""),"Form. Pedagógica")</f>
        <v>Form. Pedagógica</v>
      </c>
      <c r="C28" s="390" t="str">
        <f>IFERROR(__xludf.DUMMYFUNCTION("""COMPUTED_VALUE"""),"Matemática")</f>
        <v>Matemática</v>
      </c>
      <c r="D28" s="390" t="str">
        <f>IFERROR(__xludf.DUMMYFUNCTION("""COMPUTED_VALUE"""),"Entregue - Email - Vanessa - 02/05/24")</f>
        <v>Entregue - Email - Vanessa - 02/05/24</v>
      </c>
      <c r="E28" s="390"/>
      <c r="F28" s="390"/>
      <c r="G28" s="390"/>
      <c r="H28" s="390"/>
      <c r="I28" s="390"/>
      <c r="J28" s="390"/>
      <c r="K28" s="390"/>
      <c r="L28" s="390"/>
      <c r="M28" s="390"/>
      <c r="N28" s="390"/>
      <c r="O28" s="390"/>
      <c r="P28" s="390"/>
      <c r="Q28" s="390"/>
      <c r="R28" s="390"/>
      <c r="S28" s="390"/>
      <c r="T28" s="390"/>
      <c r="U28" s="390"/>
      <c r="V28" s="390"/>
      <c r="W28" s="390"/>
      <c r="X28" s="390"/>
      <c r="Y28" s="390"/>
    </row>
    <row r="29">
      <c r="A29" s="390" t="str">
        <f>IFERROR(__xludf.DUMMYFUNCTION("""COMPUTED_VALUE"""),"Cátia Silene Oliveira Puglia")</f>
        <v>Cátia Silene Oliveira Puglia</v>
      </c>
      <c r="B29" s="390" t="str">
        <f>IFERROR(__xludf.DUMMYFUNCTION("""COMPUTED_VALUE"""),"2° Licenciatura")</f>
        <v>2° Licenciatura</v>
      </c>
      <c r="C29" s="390" t="str">
        <f>IFERROR(__xludf.DUMMYFUNCTION("""COMPUTED_VALUE"""),"Pedagogia")</f>
        <v>Pedagogia</v>
      </c>
      <c r="D29" s="390" t="str">
        <f>IFERROR(__xludf.DUMMYFUNCTION("""COMPUTED_VALUE"""),"Entregue - Email - Vanessa - 02/05/24")</f>
        <v>Entregue - Email - Vanessa - 02/05/24</v>
      </c>
      <c r="E29" s="390"/>
      <c r="F29" s="390"/>
      <c r="G29" s="390"/>
      <c r="H29" s="390"/>
      <c r="I29" s="390"/>
      <c r="J29" s="390"/>
      <c r="K29" s="390"/>
      <c r="L29" s="390"/>
      <c r="M29" s="390"/>
      <c r="N29" s="390"/>
      <c r="O29" s="390"/>
      <c r="P29" s="390"/>
      <c r="Q29" s="390"/>
      <c r="R29" s="390"/>
      <c r="S29" s="390"/>
      <c r="T29" s="390"/>
      <c r="U29" s="390"/>
      <c r="V29" s="390"/>
      <c r="W29" s="390"/>
      <c r="X29" s="390"/>
      <c r="Y29" s="390"/>
    </row>
    <row r="30">
      <c r="A30" s="390" t="str">
        <f>IFERROR(__xludf.DUMMYFUNCTION("""COMPUTED_VALUE"""),"Gabriela de Morais santos")</f>
        <v>Gabriela de Morais santos</v>
      </c>
      <c r="B30" s="390" t="str">
        <f>IFERROR(__xludf.DUMMYFUNCTION("""COMPUTED_VALUE"""),"2° Licenciatura")</f>
        <v>2° Licenciatura</v>
      </c>
      <c r="C30" s="390" t="str">
        <f>IFERROR(__xludf.DUMMYFUNCTION("""COMPUTED_VALUE"""),"Matemática")</f>
        <v>Matemática</v>
      </c>
      <c r="D30" s="390" t="str">
        <f>IFERROR(__xludf.DUMMYFUNCTION("""COMPUTED_VALUE"""),"Entregue - Email - Vanessa - 02/05/24")</f>
        <v>Entregue - Email - Vanessa - 02/05/24</v>
      </c>
      <c r="E30" s="390"/>
      <c r="F30" s="390"/>
      <c r="G30" s="390"/>
      <c r="H30" s="390"/>
      <c r="I30" s="390"/>
      <c r="J30" s="390"/>
      <c r="K30" s="390"/>
      <c r="L30" s="390"/>
      <c r="M30" s="390"/>
      <c r="N30" s="390"/>
      <c r="O30" s="390"/>
      <c r="P30" s="390"/>
      <c r="Q30" s="390"/>
      <c r="R30" s="390"/>
      <c r="S30" s="390"/>
      <c r="T30" s="390"/>
      <c r="U30" s="390"/>
      <c r="V30" s="390"/>
      <c r="W30" s="390"/>
      <c r="X30" s="390"/>
      <c r="Y30" s="390"/>
    </row>
    <row r="31">
      <c r="A31" s="390" t="str">
        <f>IFERROR(__xludf.DUMMYFUNCTION("""COMPUTED_VALUE"""),"Bruna De Jesus Brandão")</f>
        <v>Bruna De Jesus Brandão</v>
      </c>
      <c r="B31" s="390" t="str">
        <f>IFERROR(__xludf.DUMMYFUNCTION("""COMPUTED_VALUE"""),"2° Licenciatura")</f>
        <v>2° Licenciatura</v>
      </c>
      <c r="C31" s="390" t="str">
        <f>IFERROR(__xludf.DUMMYFUNCTION("""COMPUTED_VALUE"""),"Pedagogia")</f>
        <v>Pedagogia</v>
      </c>
      <c r="D31" s="390" t="str">
        <f>IFERROR(__xludf.DUMMYFUNCTION("""COMPUTED_VALUE"""),"Entregue - Email - Vanessa - 02/05/24")</f>
        <v>Entregue - Email - Vanessa - 02/05/24</v>
      </c>
      <c r="E31" s="390"/>
      <c r="F31" s="390"/>
      <c r="G31" s="390"/>
      <c r="H31" s="390"/>
      <c r="I31" s="390"/>
      <c r="J31" s="390"/>
      <c r="K31" s="390"/>
      <c r="L31" s="390"/>
      <c r="M31" s="390"/>
      <c r="N31" s="390"/>
      <c r="O31" s="390"/>
      <c r="P31" s="390"/>
      <c r="Q31" s="390"/>
      <c r="R31" s="390"/>
      <c r="S31" s="390"/>
      <c r="T31" s="390"/>
      <c r="U31" s="390"/>
      <c r="V31" s="390"/>
      <c r="W31" s="390"/>
      <c r="X31" s="390"/>
      <c r="Y31" s="390"/>
    </row>
    <row r="32">
      <c r="A32" s="390" t="str">
        <f>IFERROR(__xludf.DUMMYFUNCTION("""COMPUTED_VALUE"""),"Darianna Laura da Silva")</f>
        <v>Darianna Laura da Silva</v>
      </c>
      <c r="B32" s="390" t="str">
        <f>IFERROR(__xludf.DUMMYFUNCTION("""COMPUTED_VALUE"""),"Form. Pedagógica")</f>
        <v>Form. Pedagógica</v>
      </c>
      <c r="C32" s="390" t="str">
        <f>IFERROR(__xludf.DUMMYFUNCTION("""COMPUTED_VALUE"""),"Pedagogia")</f>
        <v>Pedagogia</v>
      </c>
      <c r="D32" s="390" t="str">
        <f>IFERROR(__xludf.DUMMYFUNCTION("""COMPUTED_VALUE"""),"Entregue - Email - Vanessa - 02/05/24")</f>
        <v>Entregue - Email - Vanessa - 02/05/24</v>
      </c>
      <c r="E32" s="390"/>
      <c r="F32" s="390"/>
      <c r="G32" s="390"/>
      <c r="H32" s="390"/>
      <c r="I32" s="390"/>
      <c r="J32" s="390"/>
      <c r="K32" s="390"/>
      <c r="L32" s="390"/>
      <c r="M32" s="390"/>
      <c r="N32" s="390"/>
      <c r="O32" s="390"/>
      <c r="P32" s="390"/>
      <c r="Q32" s="390"/>
      <c r="R32" s="390"/>
      <c r="S32" s="390"/>
      <c r="T32" s="390"/>
      <c r="U32" s="390"/>
      <c r="V32" s="390"/>
      <c r="W32" s="390"/>
      <c r="X32" s="390"/>
      <c r="Y32" s="390"/>
    </row>
    <row r="33">
      <c r="A33" s="390" t="str">
        <f>IFERROR(__xludf.DUMMYFUNCTION("""COMPUTED_VALUE"""),"Demilson Rodrigues da Mota Júnior")</f>
        <v>Demilson Rodrigues da Mota Júnior</v>
      </c>
      <c r="B33" s="390" t="str">
        <f>IFERROR(__xludf.DUMMYFUNCTION("""COMPUTED_VALUE"""),"Form. Pedagógica")</f>
        <v>Form. Pedagógica</v>
      </c>
      <c r="C33" s="390" t="str">
        <f>IFERROR(__xludf.DUMMYFUNCTION("""COMPUTED_VALUE"""),"Pedagogia")</f>
        <v>Pedagogia</v>
      </c>
      <c r="D33" s="390" t="str">
        <f>IFERROR(__xludf.DUMMYFUNCTION("""COMPUTED_VALUE"""),"Entregue - Email - Vanessa - 02/05/24")</f>
        <v>Entregue - Email - Vanessa - 02/05/24</v>
      </c>
      <c r="E33" s="390"/>
      <c r="F33" s="390"/>
      <c r="G33" s="390"/>
      <c r="H33" s="390"/>
      <c r="I33" s="390"/>
      <c r="J33" s="390"/>
      <c r="K33" s="390"/>
      <c r="L33" s="390"/>
      <c r="M33" s="390"/>
      <c r="N33" s="390"/>
      <c r="O33" s="390"/>
      <c r="P33" s="390"/>
      <c r="Q33" s="390"/>
      <c r="R33" s="390"/>
      <c r="S33" s="390"/>
      <c r="T33" s="390"/>
      <c r="U33" s="390"/>
      <c r="V33" s="390"/>
      <c r="W33" s="390"/>
      <c r="X33" s="390"/>
      <c r="Y33" s="390"/>
    </row>
    <row r="34">
      <c r="A34" s="390" t="str">
        <f>IFERROR(__xludf.DUMMYFUNCTION("""COMPUTED_VALUE"""),"Cátia Silene Oliveira Puglia")</f>
        <v>Cátia Silene Oliveira Puglia</v>
      </c>
      <c r="B34" s="390" t="str">
        <f>IFERROR(__xludf.DUMMYFUNCTION("""COMPUTED_VALUE"""),"2° Licenciatura")</f>
        <v>2° Licenciatura</v>
      </c>
      <c r="C34" s="390" t="str">
        <f>IFERROR(__xludf.DUMMYFUNCTION("""COMPUTED_VALUE"""),"Pedagogia")</f>
        <v>Pedagogia</v>
      </c>
      <c r="D34" s="390" t="str">
        <f>IFERROR(__xludf.DUMMYFUNCTION("""COMPUTED_VALUE"""),"Entregue - Email - Vanessa - 02/05/24")</f>
        <v>Entregue - Email - Vanessa - 02/05/24</v>
      </c>
      <c r="E34" s="390"/>
      <c r="F34" s="390"/>
      <c r="G34" s="390"/>
      <c r="H34" s="390"/>
      <c r="I34" s="390"/>
      <c r="J34" s="390"/>
      <c r="K34" s="390"/>
      <c r="L34" s="390"/>
      <c r="M34" s="390"/>
      <c r="N34" s="390"/>
      <c r="O34" s="390"/>
      <c r="P34" s="390"/>
      <c r="Q34" s="390"/>
      <c r="R34" s="390"/>
      <c r="S34" s="390"/>
      <c r="T34" s="390"/>
      <c r="U34" s="390"/>
      <c r="V34" s="390"/>
      <c r="W34" s="390"/>
      <c r="X34" s="390"/>
      <c r="Y34" s="390"/>
    </row>
    <row r="35">
      <c r="A35" s="390" t="str">
        <f>IFERROR(__xludf.DUMMYFUNCTION("""COMPUTED_VALUE"""),"Angélica da Silva Santana Santos")</f>
        <v>Angélica da Silva Santana Santos</v>
      </c>
      <c r="B35" s="390" t="str">
        <f>IFERROR(__xludf.DUMMYFUNCTION("""COMPUTED_VALUE"""),"2° Licenciatura")</f>
        <v>2° Licenciatura</v>
      </c>
      <c r="C35" s="390" t="str">
        <f>IFERROR(__xludf.DUMMYFUNCTION("""COMPUTED_VALUE"""),"Pedagogia")</f>
        <v>Pedagogia</v>
      </c>
      <c r="D35" s="390" t="str">
        <f>IFERROR(__xludf.DUMMYFUNCTION("""COMPUTED_VALUE"""),"Entregue - Email - Mariana - 25/06/24")</f>
        <v>Entregue - Email - Mariana - 25/06/24</v>
      </c>
      <c r="E35" s="390"/>
      <c r="F35" s="390"/>
      <c r="G35" s="390"/>
      <c r="H35" s="390"/>
      <c r="I35" s="390"/>
      <c r="J35" s="390"/>
      <c r="K35" s="390"/>
      <c r="L35" s="390"/>
      <c r="M35" s="390"/>
      <c r="N35" s="390"/>
      <c r="O35" s="390"/>
      <c r="P35" s="390"/>
      <c r="Q35" s="390"/>
      <c r="R35" s="390"/>
      <c r="S35" s="390"/>
      <c r="T35" s="390"/>
      <c r="U35" s="390"/>
      <c r="V35" s="390"/>
      <c r="W35" s="390"/>
      <c r="X35" s="390"/>
      <c r="Y35" s="390"/>
    </row>
    <row r="36">
      <c r="A36" s="390" t="str">
        <f>IFERROR(__xludf.DUMMYFUNCTION("""COMPUTED_VALUE"""),"Isabel Cristina Silva Oliveira")</f>
        <v>Isabel Cristina Silva Oliveira</v>
      </c>
      <c r="B36" s="390" t="str">
        <f>IFERROR(__xludf.DUMMYFUNCTION("""COMPUTED_VALUE"""),"2° Licenciatura")</f>
        <v>2° Licenciatura</v>
      </c>
      <c r="C36" s="390" t="str">
        <f>IFERROR(__xludf.DUMMYFUNCTION("""COMPUTED_VALUE"""),"Pedagogia")</f>
        <v>Pedagogia</v>
      </c>
      <c r="D36" s="390" t="str">
        <f>IFERROR(__xludf.DUMMYFUNCTION("""COMPUTED_VALUE"""),"Entregue - Email - Vanessa - 02/05/24")</f>
        <v>Entregue - Email - Vanessa - 02/05/24</v>
      </c>
      <c r="E36" s="390"/>
      <c r="F36" s="390"/>
      <c r="G36" s="390"/>
      <c r="H36" s="390"/>
      <c r="I36" s="390"/>
      <c r="J36" s="390"/>
      <c r="K36" s="390"/>
      <c r="L36" s="390"/>
      <c r="M36" s="390"/>
      <c r="N36" s="390"/>
      <c r="O36" s="390"/>
      <c r="P36" s="390"/>
      <c r="Q36" s="390"/>
      <c r="R36" s="390"/>
      <c r="S36" s="390"/>
      <c r="T36" s="390"/>
      <c r="U36" s="390"/>
      <c r="V36" s="390"/>
      <c r="W36" s="390"/>
      <c r="X36" s="390"/>
      <c r="Y36" s="390"/>
    </row>
    <row r="37">
      <c r="A37" s="390" t="str">
        <f>IFERROR(__xludf.DUMMYFUNCTION("""COMPUTED_VALUE"""),"José Lucas dos Santos Ferreira")</f>
        <v>José Lucas dos Santos Ferreira</v>
      </c>
      <c r="B37" s="390" t="str">
        <f>IFERROR(__xludf.DUMMYFUNCTION("""COMPUTED_VALUE"""),"2° Licenciatura")</f>
        <v>2° Licenciatura</v>
      </c>
      <c r="C37" s="390" t="str">
        <f>IFERROR(__xludf.DUMMYFUNCTION("""COMPUTED_VALUE"""),"Pedagogia")</f>
        <v>Pedagogia</v>
      </c>
      <c r="D37" s="390" t="str">
        <f>IFERROR(__xludf.DUMMYFUNCTION("""COMPUTED_VALUE"""),"Entregue - Email - Mariana - 16/07/24")</f>
        <v>Entregue - Email - Mariana - 16/07/24</v>
      </c>
      <c r="E37" s="390"/>
      <c r="F37" s="390"/>
      <c r="G37" s="390"/>
      <c r="H37" s="390"/>
      <c r="I37" s="390"/>
      <c r="J37" s="390"/>
      <c r="K37" s="390"/>
      <c r="L37" s="390"/>
      <c r="M37" s="390"/>
      <c r="N37" s="390"/>
      <c r="O37" s="390"/>
      <c r="P37" s="390"/>
      <c r="Q37" s="390"/>
      <c r="R37" s="390"/>
      <c r="S37" s="390"/>
      <c r="T37" s="390"/>
      <c r="U37" s="390"/>
      <c r="V37" s="390"/>
      <c r="W37" s="390"/>
      <c r="X37" s="390"/>
      <c r="Y37" s="390"/>
    </row>
    <row r="38">
      <c r="A38" s="390" t="str">
        <f>IFERROR(__xludf.DUMMYFUNCTION("""COMPUTED_VALUE"""),"Paula Regina Pires Lopes Vieira")</f>
        <v>Paula Regina Pires Lopes Vieira</v>
      </c>
      <c r="B38" s="390" t="str">
        <f>IFERROR(__xludf.DUMMYFUNCTION("""COMPUTED_VALUE"""),"2° Licenciatura")</f>
        <v>2° Licenciatura</v>
      </c>
      <c r="C38" s="390" t="str">
        <f>IFERROR(__xludf.DUMMYFUNCTION("""COMPUTED_VALUE"""),"Pedagogia")</f>
        <v>Pedagogia</v>
      </c>
      <c r="D38" s="390" t="str">
        <f>IFERROR(__xludf.DUMMYFUNCTION("""COMPUTED_VALUE"""),"Entregue - Email - Mariana - 17/07/24")</f>
        <v>Entregue - Email - Mariana - 17/07/24</v>
      </c>
      <c r="E38" s="390"/>
      <c r="F38" s="390"/>
      <c r="G38" s="390"/>
      <c r="H38" s="390"/>
      <c r="I38" s="390"/>
      <c r="J38" s="390"/>
      <c r="K38" s="390"/>
      <c r="L38" s="390"/>
      <c r="M38" s="390"/>
      <c r="N38" s="390"/>
      <c r="O38" s="390"/>
      <c r="P38" s="390"/>
      <c r="Q38" s="390"/>
      <c r="R38" s="390"/>
      <c r="S38" s="390"/>
      <c r="T38" s="390"/>
      <c r="U38" s="390"/>
      <c r="V38" s="390"/>
      <c r="W38" s="390"/>
      <c r="X38" s="390"/>
      <c r="Y38" s="390"/>
    </row>
    <row r="39">
      <c r="A39" s="390" t="str">
        <f>IFERROR(__xludf.DUMMYFUNCTION("""COMPUTED_VALUE"""),"Daniela Cardoso Lidorio")</f>
        <v>Daniela Cardoso Lidorio</v>
      </c>
      <c r="B39" s="390" t="str">
        <f>IFERROR(__xludf.DUMMYFUNCTION("""COMPUTED_VALUE"""),"2° Licenciatura")</f>
        <v>2° Licenciatura</v>
      </c>
      <c r="C39" s="390" t="str">
        <f>IFERROR(__xludf.DUMMYFUNCTION("""COMPUTED_VALUE"""),"Educação Especial")</f>
        <v>Educação Especial</v>
      </c>
      <c r="D39" s="390" t="str">
        <f>IFERROR(__xludf.DUMMYFUNCTION("""COMPUTED_VALUE"""),"Entregue - Email - Mariana - 17/07/24")</f>
        <v>Entregue - Email - Mariana - 17/07/24</v>
      </c>
      <c r="E39" s="390"/>
      <c r="F39" s="390"/>
      <c r="G39" s="390"/>
      <c r="H39" s="390"/>
      <c r="I39" s="390"/>
      <c r="J39" s="390"/>
      <c r="K39" s="390"/>
      <c r="L39" s="390"/>
      <c r="M39" s="390"/>
      <c r="N39" s="390"/>
      <c r="O39" s="390"/>
      <c r="P39" s="390"/>
      <c r="Q39" s="390"/>
      <c r="R39" s="390"/>
      <c r="S39" s="390"/>
      <c r="T39" s="390"/>
      <c r="U39" s="390"/>
      <c r="V39" s="390"/>
      <c r="W39" s="390"/>
      <c r="X39" s="390"/>
      <c r="Y39" s="390"/>
    </row>
    <row r="40">
      <c r="A40" s="390" t="str">
        <f>IFERROR(__xludf.DUMMYFUNCTION("""COMPUTED_VALUE"""),"Maraiza Morais Carvalho")</f>
        <v>Maraiza Morais Carvalho</v>
      </c>
      <c r="B40" s="390" t="str">
        <f>IFERROR(__xludf.DUMMYFUNCTION("""COMPUTED_VALUE"""),"Form. Pedagógica")</f>
        <v>Form. Pedagógica</v>
      </c>
      <c r="C40" s="390" t="str">
        <f>IFERROR(__xludf.DUMMYFUNCTION("""COMPUTED_VALUE"""),"Pedagogia")</f>
        <v>Pedagogia</v>
      </c>
      <c r="D40" s="390" t="str">
        <f>IFERROR(__xludf.DUMMYFUNCTION("""COMPUTED_VALUE"""),"Entregue - Email - Vanessa - 02/05/24")</f>
        <v>Entregue - Email - Vanessa - 02/05/24</v>
      </c>
      <c r="E40" s="390"/>
      <c r="F40" s="390"/>
      <c r="G40" s="390"/>
      <c r="H40" s="390"/>
      <c r="I40" s="390"/>
      <c r="J40" s="390"/>
      <c r="K40" s="390"/>
      <c r="L40" s="390"/>
      <c r="M40" s="390"/>
      <c r="N40" s="390"/>
      <c r="O40" s="390"/>
      <c r="P40" s="390"/>
      <c r="Q40" s="390"/>
      <c r="R40" s="390"/>
      <c r="S40" s="390"/>
      <c r="T40" s="390"/>
      <c r="U40" s="390"/>
      <c r="V40" s="390"/>
      <c r="W40" s="390"/>
      <c r="X40" s="390"/>
      <c r="Y40" s="390"/>
    </row>
    <row r="41">
      <c r="A41" s="390" t="str">
        <f>IFERROR(__xludf.DUMMYFUNCTION("""COMPUTED_VALUE"""),"Ivanildo Batista Correa Junior")</f>
        <v>Ivanildo Batista Correa Junior</v>
      </c>
      <c r="B41" s="390" t="str">
        <f>IFERROR(__xludf.DUMMYFUNCTION("""COMPUTED_VALUE"""),"Form. Pedagógica")</f>
        <v>Form. Pedagógica</v>
      </c>
      <c r="C41" s="390" t="str">
        <f>IFERROR(__xludf.DUMMYFUNCTION("""COMPUTED_VALUE"""),"História")</f>
        <v>História</v>
      </c>
      <c r="D41" s="390" t="str">
        <f>IFERROR(__xludf.DUMMYFUNCTION("""COMPUTED_VALUE"""),"Entregue - Email - Vanessa - 02/05/24")</f>
        <v>Entregue - Email - Vanessa - 02/05/24</v>
      </c>
      <c r="E41" s="390"/>
      <c r="F41" s="390"/>
      <c r="G41" s="390"/>
      <c r="H41" s="390"/>
      <c r="I41" s="390"/>
      <c r="J41" s="390"/>
      <c r="K41" s="390"/>
      <c r="L41" s="390"/>
      <c r="M41" s="390"/>
      <c r="N41" s="390"/>
      <c r="O41" s="390"/>
      <c r="P41" s="390"/>
      <c r="Q41" s="390"/>
      <c r="R41" s="390"/>
      <c r="S41" s="390"/>
      <c r="T41" s="390"/>
      <c r="U41" s="390"/>
      <c r="V41" s="390"/>
      <c r="W41" s="390"/>
      <c r="X41" s="390"/>
      <c r="Y41" s="390"/>
    </row>
    <row r="42">
      <c r="A42" s="390" t="str">
        <f>IFERROR(__xludf.DUMMYFUNCTION("""COMPUTED_VALUE"""),"Barbara Wotter Dutra ")</f>
        <v>Barbara Wotter Dutra </v>
      </c>
      <c r="B42" s="390" t="str">
        <f>IFERROR(__xludf.DUMMYFUNCTION("""COMPUTED_VALUE"""),"2° Licenciatura")</f>
        <v>2° Licenciatura</v>
      </c>
      <c r="C42" s="390" t="str">
        <f>IFERROR(__xludf.DUMMYFUNCTION("""COMPUTED_VALUE"""),"Pedagogia")</f>
        <v>Pedagogia</v>
      </c>
      <c r="D42" s="390" t="str">
        <f>IFERROR(__xludf.DUMMYFUNCTION("""COMPUTED_VALUE"""),"Entregue - Email - Vanessa - 02/05/24")</f>
        <v>Entregue - Email - Vanessa - 02/05/24</v>
      </c>
      <c r="E42" s="390"/>
      <c r="F42" s="390"/>
      <c r="G42" s="390"/>
      <c r="H42" s="390"/>
      <c r="I42" s="390"/>
      <c r="J42" s="390"/>
      <c r="K42" s="390"/>
      <c r="L42" s="390"/>
      <c r="M42" s="390"/>
      <c r="N42" s="390"/>
      <c r="O42" s="390"/>
      <c r="P42" s="390"/>
      <c r="Q42" s="390"/>
      <c r="R42" s="390"/>
      <c r="S42" s="390"/>
      <c r="T42" s="390"/>
      <c r="U42" s="390"/>
      <c r="V42" s="390"/>
      <c r="W42" s="390"/>
      <c r="X42" s="390"/>
      <c r="Y42" s="390"/>
    </row>
    <row r="43">
      <c r="A43" s="390" t="str">
        <f>IFERROR(__xludf.DUMMYFUNCTION("""COMPUTED_VALUE"""),"Vera Lucia Fernandes de Paula ")</f>
        <v>Vera Lucia Fernandes de Paula </v>
      </c>
      <c r="B43" s="390" t="str">
        <f>IFERROR(__xludf.DUMMYFUNCTION("""COMPUTED_VALUE"""),"2° Licenciatura")</f>
        <v>2° Licenciatura</v>
      </c>
      <c r="C43" s="390" t="str">
        <f>IFERROR(__xludf.DUMMYFUNCTION("""COMPUTED_VALUE"""),"Artes Visuais")</f>
        <v>Artes Visuais</v>
      </c>
      <c r="D43" s="390" t="str">
        <f>IFERROR(__xludf.DUMMYFUNCTION("""COMPUTED_VALUE"""),"Entregue - Email - Vanessa - 02/05/24")</f>
        <v>Entregue - Email - Vanessa - 02/05/24</v>
      </c>
      <c r="E43" s="390"/>
      <c r="F43" s="390"/>
      <c r="G43" s="390"/>
      <c r="H43" s="390"/>
      <c r="I43" s="390"/>
      <c r="J43" s="390"/>
      <c r="K43" s="390"/>
      <c r="L43" s="390"/>
      <c r="M43" s="390"/>
      <c r="N43" s="390"/>
      <c r="O43" s="390"/>
      <c r="P43" s="390"/>
      <c r="Q43" s="390"/>
      <c r="R43" s="390"/>
      <c r="S43" s="390"/>
      <c r="T43" s="390"/>
      <c r="U43" s="390"/>
      <c r="V43" s="390"/>
      <c r="W43" s="390"/>
      <c r="X43" s="390"/>
      <c r="Y43" s="390"/>
    </row>
    <row r="44">
      <c r="A44" s="390" t="str">
        <f>IFERROR(__xludf.DUMMYFUNCTION("""COMPUTED_VALUE"""),"Julio Cesar Torres Junior")</f>
        <v>Julio Cesar Torres Junior</v>
      </c>
      <c r="B44" s="390" t="str">
        <f>IFERROR(__xludf.DUMMYFUNCTION("""COMPUTED_VALUE"""),"2° Licenciatura")</f>
        <v>2° Licenciatura</v>
      </c>
      <c r="C44" s="390" t="str">
        <f>IFERROR(__xludf.DUMMYFUNCTION("""COMPUTED_VALUE"""),"Pedagogia")</f>
        <v>Pedagogia</v>
      </c>
      <c r="D44" s="390" t="str">
        <f>IFERROR(__xludf.DUMMYFUNCTION("""COMPUTED_VALUE"""),"Entregue - Email - Vanessa - 02/05/24")</f>
        <v>Entregue - Email - Vanessa - 02/05/24</v>
      </c>
      <c r="E44" s="390"/>
      <c r="F44" s="390"/>
      <c r="G44" s="390"/>
      <c r="H44" s="390"/>
      <c r="I44" s="390"/>
      <c r="J44" s="390"/>
      <c r="K44" s="390"/>
      <c r="L44" s="390"/>
      <c r="M44" s="390"/>
      <c r="N44" s="390"/>
      <c r="O44" s="390"/>
      <c r="P44" s="390"/>
      <c r="Q44" s="390"/>
      <c r="R44" s="390"/>
      <c r="S44" s="390"/>
      <c r="T44" s="390"/>
      <c r="U44" s="390"/>
      <c r="V44" s="390"/>
      <c r="W44" s="390"/>
      <c r="X44" s="390"/>
      <c r="Y44" s="390"/>
    </row>
    <row r="45">
      <c r="A45" s="390" t="str">
        <f>IFERROR(__xludf.DUMMYFUNCTION("""COMPUTED_VALUE"""),"Maria Aparecida Claudino da Silva")</f>
        <v>Maria Aparecida Claudino da Silva</v>
      </c>
      <c r="B45" s="390" t="str">
        <f>IFERROR(__xludf.DUMMYFUNCTION("""COMPUTED_VALUE"""),"2° Licenciatura")</f>
        <v>2° Licenciatura</v>
      </c>
      <c r="C45" s="390" t="str">
        <f>IFERROR(__xludf.DUMMYFUNCTION("""COMPUTED_VALUE"""),"História")</f>
        <v>História</v>
      </c>
      <c r="D45" s="390" t="str">
        <f>IFERROR(__xludf.DUMMYFUNCTION("""COMPUTED_VALUE"""),"Entregue - Email - Mariana  - 25/06/24")</f>
        <v>Entregue - Email - Mariana  - 25/06/24</v>
      </c>
      <c r="E45" s="390"/>
      <c r="F45" s="390"/>
      <c r="G45" s="390"/>
      <c r="H45" s="390"/>
      <c r="I45" s="390"/>
      <c r="J45" s="390"/>
      <c r="K45" s="390"/>
      <c r="L45" s="390"/>
      <c r="M45" s="390"/>
      <c r="N45" s="390"/>
      <c r="O45" s="390"/>
      <c r="P45" s="390"/>
      <c r="Q45" s="390"/>
      <c r="R45" s="390"/>
      <c r="S45" s="390"/>
      <c r="T45" s="390"/>
      <c r="U45" s="390"/>
      <c r="V45" s="390"/>
      <c r="W45" s="390"/>
      <c r="X45" s="390"/>
      <c r="Y45" s="390"/>
    </row>
    <row r="46">
      <c r="A46" s="390" t="str">
        <f>IFERROR(__xludf.DUMMYFUNCTION("""COMPUTED_VALUE"""),"Elisa Rossi Bueno")</f>
        <v>Elisa Rossi Bueno</v>
      </c>
      <c r="B46" s="390" t="str">
        <f>IFERROR(__xludf.DUMMYFUNCTION("""COMPUTED_VALUE"""),"2° Licenciatura")</f>
        <v>2° Licenciatura</v>
      </c>
      <c r="C46" s="390" t="str">
        <f>IFERROR(__xludf.DUMMYFUNCTION("""COMPUTED_VALUE"""),"Pedagogia")</f>
        <v>Pedagogia</v>
      </c>
      <c r="D46" s="390" t="str">
        <f>IFERROR(__xludf.DUMMYFUNCTION("""COMPUTED_VALUE"""),"Entregue - Email - Vanessa - 02/05/24")</f>
        <v>Entregue - Email - Vanessa - 02/05/24</v>
      </c>
      <c r="E46" s="390"/>
      <c r="F46" s="390"/>
      <c r="G46" s="390"/>
      <c r="H46" s="390"/>
      <c r="I46" s="390"/>
      <c r="J46" s="390"/>
      <c r="K46" s="390"/>
      <c r="L46" s="390"/>
      <c r="M46" s="390"/>
      <c r="N46" s="390"/>
      <c r="O46" s="390"/>
      <c r="P46" s="390"/>
      <c r="Q46" s="390"/>
      <c r="R46" s="390"/>
      <c r="S46" s="390"/>
      <c r="T46" s="390"/>
      <c r="U46" s="390"/>
      <c r="V46" s="390"/>
      <c r="W46" s="390"/>
      <c r="X46" s="390"/>
      <c r="Y46" s="390"/>
    </row>
    <row r="47">
      <c r="A47" s="390" t="str">
        <f>IFERROR(__xludf.DUMMYFUNCTION("""COMPUTED_VALUE"""),"Roseane De Oliveira")</f>
        <v>Roseane De Oliveira</v>
      </c>
      <c r="B47" s="390" t="str">
        <f>IFERROR(__xludf.DUMMYFUNCTION("""COMPUTED_VALUE"""),"2° Licenciatura")</f>
        <v>2° Licenciatura</v>
      </c>
      <c r="C47" s="390" t="str">
        <f>IFERROR(__xludf.DUMMYFUNCTION("""COMPUTED_VALUE"""),"Pedagogia")</f>
        <v>Pedagogia</v>
      </c>
      <c r="D47" s="390" t="str">
        <f>IFERROR(__xludf.DUMMYFUNCTION("""COMPUTED_VALUE"""),"Entregue - Email - Vanessa - 02/05/24")</f>
        <v>Entregue - Email - Vanessa - 02/05/24</v>
      </c>
      <c r="E47" s="390"/>
      <c r="F47" s="390"/>
      <c r="G47" s="390"/>
      <c r="H47" s="390"/>
      <c r="I47" s="390"/>
      <c r="J47" s="390"/>
      <c r="K47" s="390"/>
      <c r="L47" s="390"/>
      <c r="M47" s="390"/>
      <c r="N47" s="390"/>
      <c r="O47" s="390"/>
      <c r="P47" s="390"/>
      <c r="Q47" s="390"/>
      <c r="R47" s="390"/>
      <c r="S47" s="390"/>
      <c r="T47" s="390"/>
      <c r="U47" s="390"/>
      <c r="V47" s="390"/>
      <c r="W47" s="390"/>
      <c r="X47" s="390"/>
      <c r="Y47" s="390"/>
    </row>
    <row r="48">
      <c r="A48" s="390" t="str">
        <f>IFERROR(__xludf.DUMMYFUNCTION("""COMPUTED_VALUE"""),"Renato Martins Lopes")</f>
        <v>Renato Martins Lopes</v>
      </c>
      <c r="B48" s="390" t="str">
        <f>IFERROR(__xludf.DUMMYFUNCTION("""COMPUTED_VALUE"""),"2° Licenciatura")</f>
        <v>2° Licenciatura</v>
      </c>
      <c r="C48" s="390" t="str">
        <f>IFERROR(__xludf.DUMMYFUNCTION("""COMPUTED_VALUE"""),"História")</f>
        <v>História</v>
      </c>
      <c r="D48" s="390" t="str">
        <f>IFERROR(__xludf.DUMMYFUNCTION("""COMPUTED_VALUE"""),"Entregue - Email - Vanessa - 02/05/24")</f>
        <v>Entregue - Email - Vanessa - 02/05/24</v>
      </c>
      <c r="E48" s="390"/>
      <c r="F48" s="390"/>
      <c r="G48" s="390"/>
      <c r="H48" s="390"/>
      <c r="I48" s="390"/>
      <c r="J48" s="390"/>
      <c r="K48" s="390"/>
      <c r="L48" s="390"/>
      <c r="M48" s="390"/>
      <c r="N48" s="390"/>
      <c r="O48" s="390"/>
      <c r="P48" s="390"/>
      <c r="Q48" s="390"/>
      <c r="R48" s="390"/>
      <c r="S48" s="390"/>
      <c r="T48" s="390"/>
      <c r="U48" s="390"/>
      <c r="V48" s="390"/>
      <c r="W48" s="390"/>
      <c r="X48" s="390"/>
      <c r="Y48" s="390"/>
    </row>
    <row r="49">
      <c r="A49" s="390" t="str">
        <f>IFERROR(__xludf.DUMMYFUNCTION("""COMPUTED_VALUE"""),"José Fidelissimo de Lima")</f>
        <v>José Fidelissimo de Lima</v>
      </c>
      <c r="B49" s="390" t="str">
        <f>IFERROR(__xludf.DUMMYFUNCTION("""COMPUTED_VALUE"""),"2° Licenciatura")</f>
        <v>2° Licenciatura</v>
      </c>
      <c r="C49" s="390" t="str">
        <f>IFERROR(__xludf.DUMMYFUNCTION("""COMPUTED_VALUE"""),"Letras - Português e Espanhol")</f>
        <v>Letras - Português e Espanhol</v>
      </c>
      <c r="D49" s="390" t="str">
        <f>IFERROR(__xludf.DUMMYFUNCTION("""COMPUTED_VALUE"""),"Entregue - Email - Vanessa - 02/05/24")</f>
        <v>Entregue - Email - Vanessa - 02/05/24</v>
      </c>
      <c r="E49" s="390"/>
      <c r="F49" s="390"/>
      <c r="G49" s="390"/>
      <c r="H49" s="390"/>
      <c r="I49" s="390"/>
      <c r="J49" s="390"/>
      <c r="K49" s="390"/>
      <c r="L49" s="390"/>
      <c r="M49" s="390"/>
      <c r="N49" s="390"/>
      <c r="O49" s="390"/>
      <c r="P49" s="390"/>
      <c r="Q49" s="390"/>
      <c r="R49" s="390"/>
      <c r="S49" s="390"/>
      <c r="T49" s="390"/>
      <c r="U49" s="390"/>
      <c r="V49" s="390"/>
      <c r="W49" s="390"/>
      <c r="X49" s="390"/>
      <c r="Y49" s="390"/>
    </row>
    <row r="50">
      <c r="A50" s="390" t="str">
        <f>IFERROR(__xludf.DUMMYFUNCTION("""COMPUTED_VALUE"""),"Nádia Vieira Souto")</f>
        <v>Nádia Vieira Souto</v>
      </c>
      <c r="B50" s="390" t="str">
        <f>IFERROR(__xludf.DUMMYFUNCTION("""COMPUTED_VALUE"""),"2° Licenciatura")</f>
        <v>2° Licenciatura</v>
      </c>
      <c r="C50" s="390" t="str">
        <f>IFERROR(__xludf.DUMMYFUNCTION("""COMPUTED_VALUE"""),"Educação Física")</f>
        <v>Educação Física</v>
      </c>
      <c r="D50" s="390" t="str">
        <f>IFERROR(__xludf.DUMMYFUNCTION("""COMPUTED_VALUE"""),"Entregue - Email - Vanessa - 02/05/24")</f>
        <v>Entregue - Email - Vanessa - 02/05/24</v>
      </c>
      <c r="E50" s="390"/>
      <c r="F50" s="390"/>
      <c r="G50" s="390"/>
      <c r="H50" s="390"/>
      <c r="I50" s="390"/>
      <c r="J50" s="390"/>
      <c r="K50" s="390"/>
      <c r="L50" s="390"/>
      <c r="M50" s="390"/>
      <c r="N50" s="390"/>
      <c r="O50" s="390"/>
      <c r="P50" s="390"/>
      <c r="Q50" s="390"/>
      <c r="R50" s="390"/>
      <c r="S50" s="390"/>
      <c r="T50" s="390"/>
      <c r="U50" s="390"/>
      <c r="V50" s="390"/>
      <c r="W50" s="390"/>
      <c r="X50" s="390"/>
      <c r="Y50" s="390"/>
    </row>
    <row r="51">
      <c r="A51" s="390" t="str">
        <f>IFERROR(__xludf.DUMMYFUNCTION("""COMPUTED_VALUE"""),"Diogenes Eteoclites da Silva")</f>
        <v>Diogenes Eteoclites da Silva</v>
      </c>
      <c r="B51" s="390" t="str">
        <f>IFERROR(__xludf.DUMMYFUNCTION("""COMPUTED_VALUE"""),"2° Licenciatura")</f>
        <v>2° Licenciatura</v>
      </c>
      <c r="C51" s="390" t="str">
        <f>IFERROR(__xludf.DUMMYFUNCTION("""COMPUTED_VALUE"""),"Pedagogia")</f>
        <v>Pedagogia</v>
      </c>
      <c r="D51" s="390" t="str">
        <f>IFERROR(__xludf.DUMMYFUNCTION("""COMPUTED_VALUE"""),"Entregue - Email - Carla - 09/05/24")</f>
        <v>Entregue - Email - Carla - 09/05/24</v>
      </c>
      <c r="E51" s="390"/>
      <c r="F51" s="390"/>
      <c r="G51" s="390"/>
      <c r="H51" s="390"/>
      <c r="I51" s="390"/>
      <c r="J51" s="390"/>
      <c r="K51" s="390"/>
      <c r="L51" s="390"/>
      <c r="M51" s="390"/>
      <c r="N51" s="390"/>
      <c r="O51" s="390"/>
      <c r="P51" s="390"/>
      <c r="Q51" s="390"/>
      <c r="R51" s="390"/>
      <c r="S51" s="390"/>
      <c r="T51" s="390"/>
      <c r="U51" s="390"/>
      <c r="V51" s="390"/>
      <c r="W51" s="390"/>
      <c r="X51" s="390"/>
      <c r="Y51" s="390"/>
    </row>
    <row r="52">
      <c r="A52" s="390" t="str">
        <f>IFERROR(__xludf.DUMMYFUNCTION("""COMPUTED_VALUE"""),"Estevão Marcel de Almeida Condor")</f>
        <v>Estevão Marcel de Almeida Condor</v>
      </c>
      <c r="B52" s="390" t="str">
        <f>IFERROR(__xludf.DUMMYFUNCTION("""COMPUTED_VALUE"""),"Form. Pedagógica")</f>
        <v>Form. Pedagógica</v>
      </c>
      <c r="C52" s="390" t="str">
        <f>IFERROR(__xludf.DUMMYFUNCTION("""COMPUTED_VALUE"""),"Matemática")</f>
        <v>Matemática</v>
      </c>
      <c r="D52" s="390" t="str">
        <f>IFERROR(__xludf.DUMMYFUNCTION("""COMPUTED_VALUE"""),"Entregue - Email - Mariana - 09/05/24")</f>
        <v>Entregue - Email - Mariana - 09/05/24</v>
      </c>
      <c r="E52" s="390"/>
      <c r="F52" s="390"/>
      <c r="G52" s="390"/>
      <c r="H52" s="390"/>
      <c r="I52" s="390"/>
      <c r="J52" s="390"/>
      <c r="K52" s="390"/>
      <c r="L52" s="390"/>
      <c r="M52" s="390"/>
      <c r="N52" s="390"/>
      <c r="O52" s="390"/>
      <c r="P52" s="390"/>
      <c r="Q52" s="390"/>
      <c r="R52" s="390"/>
      <c r="S52" s="390"/>
      <c r="T52" s="390"/>
      <c r="U52" s="390"/>
      <c r="V52" s="390"/>
      <c r="W52" s="390"/>
      <c r="X52" s="390"/>
      <c r="Y52" s="390"/>
    </row>
    <row r="53">
      <c r="A53" s="390" t="str">
        <f>IFERROR(__xludf.DUMMYFUNCTION("""COMPUTED_VALUE"""),"Ronaldo Galdino")</f>
        <v>Ronaldo Galdino</v>
      </c>
      <c r="B53" s="390" t="str">
        <f>IFERROR(__xludf.DUMMYFUNCTION("""COMPUTED_VALUE"""),"Form. Pedagógica")</f>
        <v>Form. Pedagógica</v>
      </c>
      <c r="C53" s="390" t="str">
        <f>IFERROR(__xludf.DUMMYFUNCTION("""COMPUTED_VALUE"""),"Sociologia")</f>
        <v>Sociologia</v>
      </c>
      <c r="D53" s="390" t="str">
        <f>IFERROR(__xludf.DUMMYFUNCTION("""COMPUTED_VALUE"""),"Entregue - Email - Mariana - 09/05/24")</f>
        <v>Entregue - Email - Mariana - 09/05/24</v>
      </c>
      <c r="E53" s="390"/>
      <c r="F53" s="390"/>
      <c r="G53" s="390"/>
      <c r="H53" s="390"/>
      <c r="I53" s="390"/>
      <c r="J53" s="390"/>
      <c r="K53" s="390"/>
      <c r="L53" s="390"/>
      <c r="M53" s="390"/>
      <c r="N53" s="390"/>
      <c r="O53" s="390"/>
      <c r="P53" s="390"/>
      <c r="Q53" s="390"/>
      <c r="R53" s="390"/>
      <c r="S53" s="390"/>
      <c r="T53" s="390"/>
      <c r="U53" s="390"/>
      <c r="V53" s="390"/>
      <c r="W53" s="390"/>
      <c r="X53" s="390"/>
      <c r="Y53" s="390"/>
    </row>
    <row r="54">
      <c r="A54" s="390" t="str">
        <f>IFERROR(__xludf.DUMMYFUNCTION("""COMPUTED_VALUE"""),"Rennata de Souza Orrico de Azevedo")</f>
        <v>Rennata de Souza Orrico de Azevedo</v>
      </c>
      <c r="B54" s="390" t="str">
        <f>IFERROR(__xludf.DUMMYFUNCTION("""COMPUTED_VALUE"""),"2° Licenciatura")</f>
        <v>2° Licenciatura</v>
      </c>
      <c r="C54" s="390" t="str">
        <f>IFERROR(__xludf.DUMMYFUNCTION("""COMPUTED_VALUE"""),"Letras Português - Inglês")</f>
        <v>Letras Português - Inglês</v>
      </c>
      <c r="D54" s="390" t="str">
        <f>IFERROR(__xludf.DUMMYFUNCTION("""COMPUTED_VALUE"""),"Entregue - Email - Mariana - 09/05/24")</f>
        <v>Entregue - Email - Mariana - 09/05/24</v>
      </c>
      <c r="E54" s="390"/>
      <c r="F54" s="390"/>
      <c r="G54" s="390"/>
      <c r="H54" s="390"/>
      <c r="I54" s="390"/>
      <c r="J54" s="390"/>
      <c r="K54" s="390"/>
      <c r="L54" s="390"/>
      <c r="M54" s="390"/>
      <c r="N54" s="390"/>
      <c r="O54" s="390"/>
      <c r="P54" s="390"/>
      <c r="Q54" s="390"/>
      <c r="R54" s="390"/>
      <c r="S54" s="390"/>
      <c r="T54" s="390"/>
      <c r="U54" s="390"/>
      <c r="V54" s="390"/>
      <c r="W54" s="390"/>
      <c r="X54" s="390"/>
      <c r="Y54" s="390"/>
    </row>
    <row r="55">
      <c r="A55" s="390" t="str">
        <f>IFERROR(__xludf.DUMMYFUNCTION("""COMPUTED_VALUE"""),"Ênio Richard Goulart de Oliveira")</f>
        <v>Ênio Richard Goulart de Oliveira</v>
      </c>
      <c r="B55" s="390" t="str">
        <f>IFERROR(__xludf.DUMMYFUNCTION("""COMPUTED_VALUE"""),"Form. Pedagógica")</f>
        <v>Form. Pedagógica</v>
      </c>
      <c r="C55" s="390" t="str">
        <f>IFERROR(__xludf.DUMMYFUNCTION("""COMPUTED_VALUE"""),"Educação Fisica")</f>
        <v>Educação Fisica</v>
      </c>
      <c r="D55" s="390" t="str">
        <f>IFERROR(__xludf.DUMMYFUNCTION("""COMPUTED_VALUE"""),"Entregue - Email - Mariana - 09/05/24")</f>
        <v>Entregue - Email - Mariana - 09/05/24</v>
      </c>
      <c r="E55" s="390"/>
      <c r="F55" s="390"/>
      <c r="G55" s="390"/>
      <c r="H55" s="390"/>
      <c r="I55" s="390"/>
      <c r="J55" s="390"/>
      <c r="K55" s="390"/>
      <c r="L55" s="390"/>
      <c r="M55" s="390"/>
      <c r="N55" s="390"/>
      <c r="O55" s="390"/>
      <c r="P55" s="390"/>
      <c r="Q55" s="390"/>
      <c r="R55" s="390"/>
      <c r="S55" s="390"/>
      <c r="T55" s="390"/>
      <c r="U55" s="390"/>
      <c r="V55" s="390"/>
      <c r="W55" s="390"/>
      <c r="X55" s="390"/>
      <c r="Y55" s="390"/>
    </row>
    <row r="56">
      <c r="A56" s="390" t="str">
        <f>IFERROR(__xludf.DUMMYFUNCTION("""COMPUTED_VALUE"""),"Helton Hermes De Oliveira")</f>
        <v>Helton Hermes De Oliveira</v>
      </c>
      <c r="B56" s="390" t="str">
        <f>IFERROR(__xludf.DUMMYFUNCTION("""COMPUTED_VALUE"""),"Form. Pedagógica")</f>
        <v>Form. Pedagógica</v>
      </c>
      <c r="C56" s="390" t="str">
        <f>IFERROR(__xludf.DUMMYFUNCTION("""COMPUTED_VALUE"""),"História")</f>
        <v>História</v>
      </c>
      <c r="D56" s="390" t="str">
        <f>IFERROR(__xludf.DUMMYFUNCTION("""COMPUTED_VALUE"""),"Entregue - Email - Carla - 09/05/24")</f>
        <v>Entregue - Email - Carla - 09/05/24</v>
      </c>
      <c r="E56" s="390"/>
      <c r="F56" s="390"/>
      <c r="G56" s="390"/>
      <c r="H56" s="390"/>
      <c r="I56" s="390"/>
      <c r="J56" s="390"/>
      <c r="K56" s="390"/>
      <c r="L56" s="390"/>
      <c r="M56" s="390"/>
      <c r="N56" s="390"/>
      <c r="O56" s="390"/>
      <c r="P56" s="390"/>
      <c r="Q56" s="390"/>
      <c r="R56" s="390"/>
      <c r="S56" s="390"/>
      <c r="T56" s="390"/>
      <c r="U56" s="390"/>
      <c r="V56" s="390"/>
      <c r="W56" s="390"/>
      <c r="X56" s="390"/>
      <c r="Y56" s="390"/>
    </row>
    <row r="57">
      <c r="A57" s="390" t="str">
        <f>IFERROR(__xludf.DUMMYFUNCTION("""COMPUTED_VALUE"""),"Zilda Patricio Rudiniski")</f>
        <v>Zilda Patricio Rudiniski</v>
      </c>
      <c r="B57" s="390" t="str">
        <f>IFERROR(__xludf.DUMMYFUNCTION("""COMPUTED_VALUE"""),"Form. Pedagógica")</f>
        <v>Form. Pedagógica</v>
      </c>
      <c r="C57" s="390" t="str">
        <f>IFERROR(__xludf.DUMMYFUNCTION("""COMPUTED_VALUE"""),"Pedagogia")</f>
        <v>Pedagogia</v>
      </c>
      <c r="D57" s="390" t="str">
        <f>IFERROR(__xludf.DUMMYFUNCTION("""COMPUTED_VALUE"""),"Entregue - Email - Carla - 09/05/24")</f>
        <v>Entregue - Email - Carla - 09/05/24</v>
      </c>
      <c r="E57" s="390"/>
      <c r="F57" s="390"/>
      <c r="G57" s="390"/>
      <c r="H57" s="390"/>
      <c r="I57" s="390"/>
      <c r="J57" s="390"/>
      <c r="K57" s="390"/>
      <c r="L57" s="390"/>
      <c r="M57" s="390"/>
      <c r="N57" s="390"/>
      <c r="O57" s="390"/>
      <c r="P57" s="390"/>
      <c r="Q57" s="390"/>
      <c r="R57" s="390"/>
      <c r="S57" s="390"/>
      <c r="T57" s="390"/>
      <c r="U57" s="390"/>
      <c r="V57" s="390"/>
      <c r="W57" s="390"/>
      <c r="X57" s="390"/>
      <c r="Y57" s="390"/>
    </row>
    <row r="58">
      <c r="A58" s="390" t="str">
        <f>IFERROR(__xludf.DUMMYFUNCTION("""COMPUTED_VALUE"""),"Emerson Cerqueira de Oliveira")</f>
        <v>Emerson Cerqueira de Oliveira</v>
      </c>
      <c r="B58" s="390" t="str">
        <f>IFERROR(__xludf.DUMMYFUNCTION("""COMPUTED_VALUE"""),"Form. Pedagógica")</f>
        <v>Form. Pedagógica</v>
      </c>
      <c r="C58" s="390" t="str">
        <f>IFERROR(__xludf.DUMMYFUNCTION("""COMPUTED_VALUE"""),"Pedagogia")</f>
        <v>Pedagogia</v>
      </c>
      <c r="D58" s="390" t="str">
        <f>IFERROR(__xludf.DUMMYFUNCTION("""COMPUTED_VALUE"""),"Entregue - Email - Carla - 09/05/24")</f>
        <v>Entregue - Email - Carla - 09/05/24</v>
      </c>
      <c r="E58" s="390"/>
      <c r="F58" s="390"/>
      <c r="G58" s="390"/>
      <c r="H58" s="390"/>
      <c r="I58" s="390"/>
      <c r="J58" s="390"/>
      <c r="K58" s="390"/>
      <c r="L58" s="390"/>
      <c r="M58" s="390"/>
      <c r="N58" s="390"/>
      <c r="O58" s="390"/>
      <c r="P58" s="390"/>
      <c r="Q58" s="390"/>
      <c r="R58" s="390"/>
      <c r="S58" s="390"/>
      <c r="T58" s="390"/>
      <c r="U58" s="390"/>
      <c r="V58" s="390"/>
      <c r="W58" s="390"/>
      <c r="X58" s="390"/>
      <c r="Y58" s="390"/>
    </row>
    <row r="59">
      <c r="A59" s="390" t="str">
        <f>IFERROR(__xludf.DUMMYFUNCTION("""COMPUTED_VALUE"""),"Renilda De Oliveira Almeida")</f>
        <v>Renilda De Oliveira Almeida</v>
      </c>
      <c r="B59" s="390" t="str">
        <f>IFERROR(__xludf.DUMMYFUNCTION("""COMPUTED_VALUE"""),"Form. Pedagógica")</f>
        <v>Form. Pedagógica</v>
      </c>
      <c r="C59" s="390" t="str">
        <f>IFERROR(__xludf.DUMMYFUNCTION("""COMPUTED_VALUE"""),"Letras Português - Inglês")</f>
        <v>Letras Português - Inglês</v>
      </c>
      <c r="D59" s="390" t="str">
        <f>IFERROR(__xludf.DUMMYFUNCTION("""COMPUTED_VALUE"""),"Entregue - Email - Carla - 02/05/24")</f>
        <v>Entregue - Email - Carla - 02/05/24</v>
      </c>
      <c r="E59" s="390"/>
      <c r="F59" s="390"/>
      <c r="G59" s="390"/>
      <c r="H59" s="390"/>
      <c r="I59" s="390"/>
      <c r="J59" s="390"/>
      <c r="K59" s="390"/>
      <c r="L59" s="390"/>
      <c r="M59" s="390"/>
      <c r="N59" s="390"/>
      <c r="O59" s="390"/>
      <c r="P59" s="390"/>
      <c r="Q59" s="390"/>
      <c r="R59" s="390"/>
      <c r="S59" s="390"/>
      <c r="T59" s="390"/>
      <c r="U59" s="390"/>
      <c r="V59" s="390"/>
      <c r="W59" s="390"/>
      <c r="X59" s="390"/>
      <c r="Y59" s="390"/>
    </row>
    <row r="60">
      <c r="A60" s="390" t="str">
        <f>IFERROR(__xludf.DUMMYFUNCTION("""COMPUTED_VALUE"""),"Maria Valquelene Candido")</f>
        <v>Maria Valquelene Candido</v>
      </c>
      <c r="B60" s="390" t="str">
        <f>IFERROR(__xludf.DUMMYFUNCTION("""COMPUTED_VALUE"""),"2° Licenciatura")</f>
        <v>2° Licenciatura</v>
      </c>
      <c r="C60" s="390" t="str">
        <f>IFERROR(__xludf.DUMMYFUNCTION("""COMPUTED_VALUE"""),"Pedagogia")</f>
        <v>Pedagogia</v>
      </c>
      <c r="D60" s="390" t="str">
        <f>IFERROR(__xludf.DUMMYFUNCTION("""COMPUTED_VALUE"""),"Entregue - Email - Carla - 09/05/24")</f>
        <v>Entregue - Email - Carla - 09/05/24</v>
      </c>
      <c r="E60" s="390"/>
      <c r="F60" s="390"/>
      <c r="G60" s="390"/>
      <c r="H60" s="390"/>
      <c r="I60" s="390"/>
      <c r="J60" s="390"/>
      <c r="K60" s="390"/>
      <c r="L60" s="390"/>
      <c r="M60" s="390"/>
      <c r="N60" s="390"/>
      <c r="O60" s="390"/>
      <c r="P60" s="390"/>
      <c r="Q60" s="390"/>
      <c r="R60" s="390"/>
      <c r="S60" s="390"/>
      <c r="T60" s="390"/>
      <c r="U60" s="390"/>
      <c r="V60" s="390"/>
      <c r="W60" s="390"/>
      <c r="X60" s="390"/>
      <c r="Y60" s="390"/>
    </row>
    <row r="61">
      <c r="A61" s="390" t="str">
        <f>IFERROR(__xludf.DUMMYFUNCTION("""COMPUTED_VALUE"""),"Denise Do Rosario Moura")</f>
        <v>Denise Do Rosario Moura</v>
      </c>
      <c r="B61" s="390" t="str">
        <f>IFERROR(__xludf.DUMMYFUNCTION("""COMPUTED_VALUE"""),"2° Licenciatura")</f>
        <v>2° Licenciatura</v>
      </c>
      <c r="C61" s="390" t="str">
        <f>IFERROR(__xludf.DUMMYFUNCTION("""COMPUTED_VALUE"""),"Artes Visuais")</f>
        <v>Artes Visuais</v>
      </c>
      <c r="D61" s="390" t="str">
        <f>IFERROR(__xludf.DUMMYFUNCTION("""COMPUTED_VALUE"""),"Entregue - Email - Mariana - 17/07/24")</f>
        <v>Entregue - Email - Mariana - 17/07/24</v>
      </c>
      <c r="E61" s="390"/>
      <c r="F61" s="390"/>
      <c r="G61" s="390"/>
      <c r="H61" s="390"/>
      <c r="I61" s="390"/>
      <c r="J61" s="390"/>
      <c r="K61" s="390"/>
      <c r="L61" s="390"/>
      <c r="M61" s="390"/>
      <c r="N61" s="390"/>
      <c r="O61" s="390"/>
      <c r="P61" s="390"/>
      <c r="Q61" s="390"/>
      <c r="R61" s="390"/>
      <c r="S61" s="390"/>
      <c r="T61" s="390"/>
      <c r="U61" s="390"/>
      <c r="V61" s="390"/>
      <c r="W61" s="390"/>
      <c r="X61" s="390"/>
      <c r="Y61" s="390"/>
    </row>
    <row r="62">
      <c r="A62" s="390" t="str">
        <f>IFERROR(__xludf.DUMMYFUNCTION("""COMPUTED_VALUE"""),"Roseane de Oliveira")</f>
        <v>Roseane de Oliveira</v>
      </c>
      <c r="B62" s="390" t="str">
        <f>IFERROR(__xludf.DUMMYFUNCTION("""COMPUTED_VALUE"""),"2° Licenciatura")</f>
        <v>2° Licenciatura</v>
      </c>
      <c r="C62" s="390" t="str">
        <f>IFERROR(__xludf.DUMMYFUNCTION("""COMPUTED_VALUE"""),"Pedagogia")</f>
        <v>Pedagogia</v>
      </c>
      <c r="D62" s="390" t="str">
        <f>IFERROR(__xludf.DUMMYFUNCTION("""COMPUTED_VALUE"""),"Entregue - Email - Vanessa - 02/05/24")</f>
        <v>Entregue - Email - Vanessa - 02/05/24</v>
      </c>
      <c r="E62" s="390"/>
      <c r="F62" s="390"/>
      <c r="G62" s="390"/>
      <c r="H62" s="390"/>
      <c r="I62" s="390"/>
      <c r="J62" s="390"/>
      <c r="K62" s="390"/>
      <c r="L62" s="390"/>
      <c r="M62" s="390"/>
      <c r="N62" s="390"/>
      <c r="O62" s="390"/>
      <c r="P62" s="390"/>
      <c r="Q62" s="390"/>
      <c r="R62" s="390"/>
      <c r="S62" s="390"/>
      <c r="T62" s="390"/>
      <c r="U62" s="390"/>
      <c r="V62" s="390"/>
      <c r="W62" s="390"/>
      <c r="X62" s="390"/>
      <c r="Y62" s="390"/>
    </row>
    <row r="63">
      <c r="A63" s="390" t="str">
        <f>IFERROR(__xludf.DUMMYFUNCTION("""COMPUTED_VALUE"""),"Luciana Suzart Santana")</f>
        <v>Luciana Suzart Santana</v>
      </c>
      <c r="B63" s="390" t="str">
        <f>IFERROR(__xludf.DUMMYFUNCTION("""COMPUTED_VALUE"""),"2° Licenciatura")</f>
        <v>2° Licenciatura</v>
      </c>
      <c r="C63" s="390" t="str">
        <f>IFERROR(__xludf.DUMMYFUNCTION("""COMPUTED_VALUE"""),"Pedagogia")</f>
        <v>Pedagogia</v>
      </c>
      <c r="D63" s="390" t="str">
        <f>IFERROR(__xludf.DUMMYFUNCTION("""COMPUTED_VALUE"""),"Entregue - Email - Carla - 09/05/24")</f>
        <v>Entregue - Email - Carla - 09/05/24</v>
      </c>
      <c r="E63" s="390"/>
      <c r="F63" s="390"/>
      <c r="G63" s="390"/>
      <c r="H63" s="390"/>
      <c r="I63" s="390"/>
      <c r="J63" s="390"/>
      <c r="K63" s="390"/>
      <c r="L63" s="390"/>
      <c r="M63" s="390"/>
      <c r="N63" s="390"/>
      <c r="O63" s="390"/>
      <c r="P63" s="390"/>
      <c r="Q63" s="390"/>
      <c r="R63" s="390"/>
      <c r="S63" s="390"/>
      <c r="T63" s="390"/>
      <c r="U63" s="390"/>
      <c r="V63" s="390"/>
      <c r="W63" s="390"/>
      <c r="X63" s="390"/>
      <c r="Y63" s="390"/>
    </row>
    <row r="64">
      <c r="A64" s="390" t="str">
        <f>IFERROR(__xludf.DUMMYFUNCTION("""COMPUTED_VALUE"""),"Simone Candida da Silva Gomes ")</f>
        <v>Simone Candida da Silva Gomes </v>
      </c>
      <c r="B64" s="390" t="str">
        <f>IFERROR(__xludf.DUMMYFUNCTION("""COMPUTED_VALUE"""),"Form. Pedagógica")</f>
        <v>Form. Pedagógica</v>
      </c>
      <c r="C64" s="390" t="str">
        <f>IFERROR(__xludf.DUMMYFUNCTION("""COMPUTED_VALUE"""),"Pedagogia")</f>
        <v>Pedagogia</v>
      </c>
      <c r="D64" s="390" t="str">
        <f>IFERROR(__xludf.DUMMYFUNCTION("""COMPUTED_VALUE"""),"Entregue - Email - Carla - 09/05/24")</f>
        <v>Entregue - Email - Carla - 09/05/24</v>
      </c>
      <c r="E64" s="390"/>
      <c r="F64" s="390"/>
      <c r="G64" s="390"/>
      <c r="H64" s="390"/>
      <c r="I64" s="390"/>
      <c r="J64" s="390"/>
      <c r="K64" s="390"/>
      <c r="L64" s="390"/>
      <c r="M64" s="390"/>
      <c r="N64" s="390"/>
      <c r="O64" s="390"/>
      <c r="P64" s="390"/>
      <c r="Q64" s="390"/>
      <c r="R64" s="390"/>
      <c r="S64" s="390"/>
      <c r="T64" s="390"/>
      <c r="U64" s="390"/>
      <c r="V64" s="390"/>
      <c r="W64" s="390"/>
      <c r="X64" s="390"/>
      <c r="Y64" s="390"/>
    </row>
    <row r="65">
      <c r="A65" s="390" t="str">
        <f>IFERROR(__xludf.DUMMYFUNCTION("""COMPUTED_VALUE"""),"Edina Batista de Souza")</f>
        <v>Edina Batista de Souza</v>
      </c>
      <c r="B65" s="390" t="str">
        <f>IFERROR(__xludf.DUMMYFUNCTION("""COMPUTED_VALUE"""),"Form. Pedagógica")</f>
        <v>Form. Pedagógica</v>
      </c>
      <c r="C65" s="390" t="str">
        <f>IFERROR(__xludf.DUMMYFUNCTION("""COMPUTED_VALUE"""),"Pedagogia")</f>
        <v>Pedagogia</v>
      </c>
      <c r="D65" s="390" t="str">
        <f>IFERROR(__xludf.DUMMYFUNCTION("""COMPUTED_VALUE"""),"Entregue - Email - Carla - 09/05/24")</f>
        <v>Entregue - Email - Carla - 09/05/24</v>
      </c>
      <c r="E65" s="390"/>
      <c r="F65" s="390"/>
      <c r="G65" s="390"/>
      <c r="H65" s="390"/>
      <c r="I65" s="390"/>
      <c r="J65" s="390"/>
      <c r="K65" s="390"/>
      <c r="L65" s="390"/>
      <c r="M65" s="390"/>
      <c r="N65" s="390"/>
      <c r="O65" s="390"/>
      <c r="P65" s="390"/>
      <c r="Q65" s="390"/>
      <c r="R65" s="390"/>
      <c r="S65" s="390"/>
      <c r="T65" s="390"/>
      <c r="U65" s="390"/>
      <c r="V65" s="390"/>
      <c r="W65" s="390"/>
      <c r="X65" s="390"/>
      <c r="Y65" s="390"/>
    </row>
    <row r="66">
      <c r="A66" s="390" t="str">
        <f>IFERROR(__xludf.DUMMYFUNCTION("""COMPUTED_VALUE"""),"Artur Charczuk")</f>
        <v>Artur Charczuk</v>
      </c>
      <c r="B66" s="390" t="str">
        <f>IFERROR(__xludf.DUMMYFUNCTION("""COMPUTED_VALUE"""),"2° Licenciatura")</f>
        <v>2° Licenciatura</v>
      </c>
      <c r="C66" s="390" t="str">
        <f>IFERROR(__xludf.DUMMYFUNCTION("""COMPUTED_VALUE"""),"Letras - Português e Inglês")</f>
        <v>Letras - Português e Inglês</v>
      </c>
      <c r="D66" s="390" t="str">
        <f>IFERROR(__xludf.DUMMYFUNCTION("""COMPUTED_VALUE"""),"Entregue - Email - Carla - 09/05/24")</f>
        <v>Entregue - Email - Carla - 09/05/24</v>
      </c>
      <c r="E66" s="390"/>
      <c r="F66" s="390"/>
      <c r="G66" s="390"/>
      <c r="H66" s="390"/>
      <c r="I66" s="390"/>
      <c r="J66" s="390"/>
      <c r="K66" s="390"/>
      <c r="L66" s="390"/>
      <c r="M66" s="390"/>
      <c r="N66" s="390"/>
      <c r="O66" s="390"/>
      <c r="P66" s="390"/>
      <c r="Q66" s="390"/>
      <c r="R66" s="390"/>
      <c r="S66" s="390"/>
      <c r="T66" s="390"/>
      <c r="U66" s="390"/>
      <c r="V66" s="390"/>
      <c r="W66" s="390"/>
      <c r="X66" s="390"/>
      <c r="Y66" s="390"/>
    </row>
    <row r="67">
      <c r="A67" s="390" t="str">
        <f>IFERROR(__xludf.DUMMYFUNCTION("""COMPUTED_VALUE"""),"Alexandre Felizardo Da Cruz ")</f>
        <v>Alexandre Felizardo Da Cruz </v>
      </c>
      <c r="B67" s="390" t="str">
        <f>IFERROR(__xludf.DUMMYFUNCTION("""COMPUTED_VALUE"""),"2° Licenciatura")</f>
        <v>2° Licenciatura</v>
      </c>
      <c r="C67" s="390" t="str">
        <f>IFERROR(__xludf.DUMMYFUNCTION("""COMPUTED_VALUE"""),"Pedagogia")</f>
        <v>Pedagogia</v>
      </c>
      <c r="D67" s="390" t="str">
        <f>IFERROR(__xludf.DUMMYFUNCTION("""COMPUTED_VALUE"""),"Entregue - Email - Mariana - 17/07/24")</f>
        <v>Entregue - Email - Mariana - 17/07/24</v>
      </c>
      <c r="E67" s="390"/>
      <c r="F67" s="390"/>
      <c r="G67" s="390"/>
      <c r="H67" s="390"/>
      <c r="I67" s="390"/>
      <c r="J67" s="390"/>
      <c r="K67" s="390"/>
      <c r="L67" s="390"/>
      <c r="M67" s="390"/>
      <c r="N67" s="390"/>
      <c r="O67" s="390"/>
      <c r="P67" s="390"/>
      <c r="Q67" s="390"/>
      <c r="R67" s="390"/>
      <c r="S67" s="390"/>
      <c r="T67" s="390"/>
      <c r="U67" s="390"/>
      <c r="V67" s="390"/>
      <c r="W67" s="390"/>
      <c r="X67" s="390"/>
      <c r="Y67" s="390"/>
    </row>
    <row r="68">
      <c r="A68" s="390" t="str">
        <f>IFERROR(__xludf.DUMMYFUNCTION("""COMPUTED_VALUE"""),"Fernando Leite Miranda ")</f>
        <v>Fernando Leite Miranda </v>
      </c>
      <c r="B68" s="390" t="str">
        <f>IFERROR(__xludf.DUMMYFUNCTION("""COMPUTED_VALUE"""),"2° Licenciatura")</f>
        <v>2° Licenciatura</v>
      </c>
      <c r="C68" s="390" t="str">
        <f>IFERROR(__xludf.DUMMYFUNCTION("""COMPUTED_VALUE"""),"Pedagogia")</f>
        <v>Pedagogia</v>
      </c>
      <c r="D68" s="390" t="str">
        <f>IFERROR(__xludf.DUMMYFUNCTION("""COMPUTED_VALUE"""),"Entregue - Email - Mariana - 17/07/24")</f>
        <v>Entregue - Email - Mariana - 17/07/24</v>
      </c>
      <c r="E68" s="390"/>
      <c r="F68" s="390"/>
      <c r="G68" s="390"/>
      <c r="H68" s="390"/>
      <c r="I68" s="390"/>
      <c r="J68" s="390"/>
      <c r="K68" s="390"/>
      <c r="L68" s="390"/>
      <c r="M68" s="390"/>
      <c r="N68" s="390"/>
      <c r="O68" s="390"/>
      <c r="P68" s="390"/>
      <c r="Q68" s="390"/>
      <c r="R68" s="390"/>
      <c r="S68" s="390"/>
      <c r="T68" s="390"/>
      <c r="U68" s="390"/>
      <c r="V68" s="390"/>
      <c r="W68" s="390"/>
      <c r="X68" s="390"/>
      <c r="Y68" s="390"/>
    </row>
    <row r="69">
      <c r="A69" s="390" t="str">
        <f>IFERROR(__xludf.DUMMYFUNCTION("""COMPUTED_VALUE"""),"Igor Costa Jaconi")</f>
        <v>Igor Costa Jaconi</v>
      </c>
      <c r="B69" s="390" t="str">
        <f>IFERROR(__xludf.DUMMYFUNCTION("""COMPUTED_VALUE"""),"2° Licenciatura")</f>
        <v>2° Licenciatura</v>
      </c>
      <c r="C69" s="390" t="str">
        <f>IFERROR(__xludf.DUMMYFUNCTION("""COMPUTED_VALUE"""),"Matemática")</f>
        <v>Matemática</v>
      </c>
      <c r="D69" s="390" t="str">
        <f>IFERROR(__xludf.DUMMYFUNCTION("""COMPUTED_VALUE"""),"Entregue - Email - Carla - 10/05/2024")</f>
        <v>Entregue - Email - Carla - 10/05/2024</v>
      </c>
      <c r="E69" s="390"/>
      <c r="F69" s="390"/>
      <c r="G69" s="390"/>
      <c r="H69" s="390"/>
      <c r="I69" s="390"/>
      <c r="J69" s="390"/>
      <c r="K69" s="390"/>
      <c r="L69" s="390"/>
      <c r="M69" s="390"/>
      <c r="N69" s="390"/>
      <c r="O69" s="390"/>
      <c r="P69" s="390"/>
      <c r="Q69" s="390"/>
      <c r="R69" s="390"/>
      <c r="S69" s="390"/>
      <c r="T69" s="390"/>
      <c r="U69" s="390"/>
      <c r="V69" s="390"/>
      <c r="W69" s="390"/>
      <c r="X69" s="390"/>
      <c r="Y69" s="390"/>
    </row>
    <row r="70">
      <c r="A70" s="390" t="str">
        <f>IFERROR(__xludf.DUMMYFUNCTION("""COMPUTED_VALUE"""),"Juliano de Moraes")</f>
        <v>Juliano de Moraes</v>
      </c>
      <c r="B70" s="390" t="str">
        <f>IFERROR(__xludf.DUMMYFUNCTION("""COMPUTED_VALUE"""),"2° Licenciatura")</f>
        <v>2° Licenciatura</v>
      </c>
      <c r="C70" s="390" t="str">
        <f>IFERROR(__xludf.DUMMYFUNCTION("""COMPUTED_VALUE"""),"Pedagogia")</f>
        <v>Pedagogia</v>
      </c>
      <c r="D70" s="390" t="str">
        <f>IFERROR(__xludf.DUMMYFUNCTION("""COMPUTED_VALUE"""),"Entregue - Email - Carla - 10/05/2024")</f>
        <v>Entregue - Email - Carla - 10/05/2024</v>
      </c>
      <c r="E70" s="390"/>
      <c r="F70" s="390"/>
      <c r="G70" s="390"/>
      <c r="H70" s="390"/>
      <c r="I70" s="390"/>
      <c r="J70" s="390"/>
      <c r="K70" s="390"/>
      <c r="L70" s="390"/>
      <c r="M70" s="390"/>
      <c r="N70" s="390"/>
      <c r="O70" s="390"/>
      <c r="P70" s="390"/>
      <c r="Q70" s="390"/>
      <c r="R70" s="390"/>
      <c r="S70" s="390"/>
      <c r="T70" s="390"/>
      <c r="U70" s="390"/>
      <c r="V70" s="390"/>
      <c r="W70" s="390"/>
      <c r="X70" s="390"/>
      <c r="Y70" s="390"/>
    </row>
    <row r="71">
      <c r="A71" s="390" t="str">
        <f>IFERROR(__xludf.DUMMYFUNCTION("""COMPUTED_VALUE"""),"Adão do Carmo Muniz ")</f>
        <v>Adão do Carmo Muniz </v>
      </c>
      <c r="B71" s="390" t="str">
        <f>IFERROR(__xludf.DUMMYFUNCTION("""COMPUTED_VALUE"""),"2° Licenciatura")</f>
        <v>2° Licenciatura</v>
      </c>
      <c r="C71" s="390" t="str">
        <f>IFERROR(__xludf.DUMMYFUNCTION("""COMPUTED_VALUE"""),"Letras - Português e Inglês")</f>
        <v>Letras - Português e Inglês</v>
      </c>
      <c r="D71" s="390" t="str">
        <f>IFERROR(__xludf.DUMMYFUNCTION("""COMPUTED_VALUE"""),"Entregue - Email - Mariana - 18/0/624")</f>
        <v>Entregue - Email - Mariana - 18/0/624</v>
      </c>
      <c r="E71" s="390"/>
      <c r="F71" s="390"/>
      <c r="G71" s="390"/>
      <c r="H71" s="390"/>
      <c r="I71" s="390"/>
      <c r="J71" s="390"/>
      <c r="K71" s="390"/>
      <c r="L71" s="390"/>
      <c r="M71" s="390"/>
      <c r="N71" s="390"/>
      <c r="O71" s="390"/>
      <c r="P71" s="390"/>
      <c r="Q71" s="390"/>
      <c r="R71" s="390"/>
      <c r="S71" s="390"/>
      <c r="T71" s="390"/>
      <c r="U71" s="390"/>
      <c r="V71" s="390"/>
      <c r="W71" s="390"/>
      <c r="X71" s="390"/>
      <c r="Y71" s="390"/>
    </row>
    <row r="72">
      <c r="A72" s="390" t="str">
        <f>IFERROR(__xludf.DUMMYFUNCTION("""COMPUTED_VALUE"""),"Claudia Cristina Vieira ")</f>
        <v>Claudia Cristina Vieira </v>
      </c>
      <c r="B72" s="390" t="str">
        <f>IFERROR(__xludf.DUMMYFUNCTION("""COMPUTED_VALUE"""),"2° Licenciatura")</f>
        <v>2° Licenciatura</v>
      </c>
      <c r="C72" s="390" t="str">
        <f>IFERROR(__xludf.DUMMYFUNCTION("""COMPUTED_VALUE"""),"Pedagogia")</f>
        <v>Pedagogia</v>
      </c>
      <c r="D72" s="390" t="str">
        <f>IFERROR(__xludf.DUMMYFUNCTION("""COMPUTED_VALUE"""),"Entregue - Email - Carla - 10/05/2024")</f>
        <v>Entregue - Email - Carla - 10/05/2024</v>
      </c>
      <c r="E72" s="390"/>
      <c r="F72" s="390"/>
      <c r="G72" s="390"/>
      <c r="H72" s="390"/>
      <c r="I72" s="390"/>
      <c r="J72" s="390"/>
      <c r="K72" s="390"/>
      <c r="L72" s="390"/>
      <c r="M72" s="390"/>
      <c r="N72" s="390"/>
      <c r="O72" s="390"/>
      <c r="P72" s="390"/>
      <c r="Q72" s="390"/>
      <c r="R72" s="390"/>
      <c r="S72" s="390"/>
      <c r="T72" s="390"/>
      <c r="U72" s="390"/>
      <c r="V72" s="390"/>
      <c r="W72" s="390"/>
      <c r="X72" s="390"/>
      <c r="Y72" s="390"/>
    </row>
    <row r="73">
      <c r="A73" s="390" t="str">
        <f>IFERROR(__xludf.DUMMYFUNCTION("""COMPUTED_VALUE"""),"Sônia Aparecida da Silva")</f>
        <v>Sônia Aparecida da Silva</v>
      </c>
      <c r="B73" s="390" t="str">
        <f>IFERROR(__xludf.DUMMYFUNCTION("""COMPUTED_VALUE"""),"2° Licenciatura")</f>
        <v>2° Licenciatura</v>
      </c>
      <c r="C73" s="390" t="str">
        <f>IFERROR(__xludf.DUMMYFUNCTION("""COMPUTED_VALUE"""),"Artes Visuais")</f>
        <v>Artes Visuais</v>
      </c>
      <c r="D73" s="390" t="str">
        <f>IFERROR(__xludf.DUMMYFUNCTION("""COMPUTED_VALUE"""),"Entregue - Email - Carla - 10/05/2024")</f>
        <v>Entregue - Email - Carla - 10/05/2024</v>
      </c>
      <c r="E73" s="390"/>
      <c r="F73" s="390"/>
      <c r="G73" s="390"/>
      <c r="H73" s="390"/>
      <c r="I73" s="390"/>
      <c r="J73" s="390"/>
      <c r="K73" s="390"/>
      <c r="L73" s="390"/>
      <c r="M73" s="390"/>
      <c r="N73" s="390"/>
      <c r="O73" s="390"/>
      <c r="P73" s="390"/>
      <c r="Q73" s="390"/>
      <c r="R73" s="390"/>
      <c r="S73" s="390"/>
      <c r="T73" s="390"/>
      <c r="U73" s="390"/>
      <c r="V73" s="390"/>
      <c r="W73" s="390"/>
      <c r="X73" s="390"/>
      <c r="Y73" s="390"/>
    </row>
    <row r="74">
      <c r="A74" s="390" t="str">
        <f>IFERROR(__xludf.DUMMYFUNCTION("""COMPUTED_VALUE"""),"José Ricardo Cariry dos Santos")</f>
        <v>José Ricardo Cariry dos Santos</v>
      </c>
      <c r="B74" s="390" t="str">
        <f>IFERROR(__xludf.DUMMYFUNCTION("""COMPUTED_VALUE"""),"2° Licenciatura")</f>
        <v>2° Licenciatura</v>
      </c>
      <c r="C74" s="390" t="str">
        <f>IFERROR(__xludf.DUMMYFUNCTION("""COMPUTED_VALUE"""),"Pedagogia")</f>
        <v>Pedagogia</v>
      </c>
      <c r="D74" s="390" t="str">
        <f>IFERROR(__xludf.DUMMYFUNCTION("""COMPUTED_VALUE"""),"Entregue - Email - Carla - 09/05/24")</f>
        <v>Entregue - Email - Carla - 09/05/24</v>
      </c>
      <c r="E74" s="390"/>
      <c r="F74" s="390"/>
      <c r="G74" s="390"/>
      <c r="H74" s="390"/>
      <c r="I74" s="390"/>
      <c r="J74" s="390"/>
      <c r="K74" s="390"/>
      <c r="L74" s="390"/>
      <c r="M74" s="390"/>
      <c r="N74" s="390"/>
      <c r="O74" s="390"/>
      <c r="P74" s="390"/>
      <c r="Q74" s="390"/>
      <c r="R74" s="390"/>
      <c r="S74" s="390"/>
      <c r="T74" s="390"/>
      <c r="U74" s="390"/>
      <c r="V74" s="390"/>
      <c r="W74" s="390"/>
      <c r="X74" s="390"/>
      <c r="Y74" s="390"/>
    </row>
    <row r="75">
      <c r="A75" s="390" t="str">
        <f>IFERROR(__xludf.DUMMYFUNCTION("""COMPUTED_VALUE"""),"Wesley Souza de Oliveira")</f>
        <v>Wesley Souza de Oliveira</v>
      </c>
      <c r="B75" s="390" t="str">
        <f>IFERROR(__xludf.DUMMYFUNCTION("""COMPUTED_VALUE"""),"Form. Pedagógica")</f>
        <v>Form. Pedagógica</v>
      </c>
      <c r="C75" s="390" t="str">
        <f>IFERROR(__xludf.DUMMYFUNCTION("""COMPUTED_VALUE"""),"Português - Letras e Libras")</f>
        <v>Português - Letras e Libras</v>
      </c>
      <c r="D75" s="390" t="str">
        <f>IFERROR(__xludf.DUMMYFUNCTION("""COMPUTED_VALUE"""),"Entregue - Email - Carla - 10/05/2024")</f>
        <v>Entregue - Email - Carla - 10/05/2024</v>
      </c>
      <c r="E75" s="390"/>
      <c r="F75" s="390"/>
      <c r="G75" s="390"/>
      <c r="H75" s="390"/>
      <c r="I75" s="390"/>
      <c r="J75" s="390"/>
      <c r="K75" s="390"/>
      <c r="L75" s="390"/>
      <c r="M75" s="390"/>
      <c r="N75" s="390"/>
      <c r="O75" s="390"/>
      <c r="P75" s="390"/>
      <c r="Q75" s="390"/>
      <c r="R75" s="390"/>
      <c r="S75" s="390"/>
      <c r="T75" s="390"/>
      <c r="U75" s="390"/>
      <c r="V75" s="390"/>
      <c r="W75" s="390"/>
      <c r="X75" s="390"/>
      <c r="Y75" s="390"/>
    </row>
    <row r="76">
      <c r="A76" s="390" t="str">
        <f>IFERROR(__xludf.DUMMYFUNCTION("""COMPUTED_VALUE"""),"Maria Aparecida Borges Leal da Silva")</f>
        <v>Maria Aparecida Borges Leal da Silva</v>
      </c>
      <c r="B76" s="390" t="str">
        <f>IFERROR(__xludf.DUMMYFUNCTION("""COMPUTED_VALUE"""),"Form. Pedagógica")</f>
        <v>Form. Pedagógica</v>
      </c>
      <c r="C76" s="390" t="str">
        <f>IFERROR(__xludf.DUMMYFUNCTION("""COMPUTED_VALUE"""),"Pedagogia")</f>
        <v>Pedagogia</v>
      </c>
      <c r="D76" s="390" t="str">
        <f>IFERROR(__xludf.DUMMYFUNCTION("""COMPUTED_VALUE"""),"Entregue - Email - Mariana - 21/06/24")</f>
        <v>Entregue - Email - Mariana - 21/06/24</v>
      </c>
      <c r="E76" s="390"/>
      <c r="F76" s="390"/>
      <c r="G76" s="390"/>
      <c r="H76" s="390"/>
      <c r="I76" s="390"/>
      <c r="J76" s="390"/>
      <c r="K76" s="390"/>
      <c r="L76" s="390"/>
      <c r="M76" s="390"/>
      <c r="N76" s="390"/>
      <c r="O76" s="390"/>
      <c r="P76" s="390"/>
      <c r="Q76" s="390"/>
      <c r="R76" s="390"/>
      <c r="S76" s="390"/>
      <c r="T76" s="390"/>
      <c r="U76" s="390"/>
      <c r="V76" s="390"/>
      <c r="W76" s="390"/>
      <c r="X76" s="390"/>
      <c r="Y76" s="390"/>
    </row>
    <row r="77">
      <c r="A77" s="390" t="str">
        <f>IFERROR(__xludf.DUMMYFUNCTION("""COMPUTED_VALUE"""),"Simoni de Fátima de Oliveira Godoi")</f>
        <v>Simoni de Fátima de Oliveira Godoi</v>
      </c>
      <c r="B77" s="390" t="str">
        <f>IFERROR(__xludf.DUMMYFUNCTION("""COMPUTED_VALUE"""),"2° Licenciatura")</f>
        <v>2° Licenciatura</v>
      </c>
      <c r="C77" s="390" t="str">
        <f>IFERROR(__xludf.DUMMYFUNCTION("""COMPUTED_VALUE"""),"Pedagogia")</f>
        <v>Pedagogia</v>
      </c>
      <c r="D77" s="390" t="str">
        <f>IFERROR(__xludf.DUMMYFUNCTION("""COMPUTED_VALUE"""),"Entregue - Email - Mariana - 21/06/24")</f>
        <v>Entregue - Email - Mariana - 21/06/24</v>
      </c>
      <c r="E77" s="390"/>
      <c r="F77" s="390"/>
      <c r="G77" s="390"/>
      <c r="H77" s="390"/>
      <c r="I77" s="390"/>
      <c r="J77" s="390"/>
      <c r="K77" s="390"/>
      <c r="L77" s="390"/>
      <c r="M77" s="390"/>
      <c r="N77" s="390"/>
      <c r="O77" s="390"/>
      <c r="P77" s="390"/>
      <c r="Q77" s="390"/>
      <c r="R77" s="390"/>
      <c r="S77" s="390"/>
      <c r="T77" s="390"/>
      <c r="U77" s="390"/>
      <c r="V77" s="390"/>
      <c r="W77" s="390"/>
      <c r="X77" s="390"/>
      <c r="Y77" s="390"/>
    </row>
    <row r="78">
      <c r="A78" s="390" t="str">
        <f>IFERROR(__xludf.DUMMYFUNCTION("""COMPUTED_VALUE"""),"Osni Santos Ribeiro")</f>
        <v>Osni Santos Ribeiro</v>
      </c>
      <c r="B78" s="390" t="str">
        <f>IFERROR(__xludf.DUMMYFUNCTION("""COMPUTED_VALUE"""),"2° Licenciatura")</f>
        <v>2° Licenciatura</v>
      </c>
      <c r="C78" s="390" t="str">
        <f>IFERROR(__xludf.DUMMYFUNCTION("""COMPUTED_VALUE"""),"Pedagogia")</f>
        <v>Pedagogia</v>
      </c>
      <c r="D78" s="390" t="str">
        <f>IFERROR(__xludf.DUMMYFUNCTION("""COMPUTED_VALUE"""),"Entregue - Email - Mariana - 21/06/24")</f>
        <v>Entregue - Email - Mariana - 21/06/24</v>
      </c>
      <c r="E78" s="390"/>
      <c r="F78" s="390"/>
      <c r="G78" s="390"/>
      <c r="H78" s="390"/>
      <c r="I78" s="390"/>
      <c r="J78" s="390"/>
      <c r="K78" s="390"/>
      <c r="L78" s="390"/>
      <c r="M78" s="390"/>
      <c r="N78" s="390"/>
      <c r="O78" s="390"/>
      <c r="P78" s="390"/>
      <c r="Q78" s="390"/>
      <c r="R78" s="390"/>
      <c r="S78" s="390"/>
      <c r="T78" s="390"/>
      <c r="U78" s="390"/>
      <c r="V78" s="390"/>
      <c r="W78" s="390"/>
      <c r="X78" s="390"/>
      <c r="Y78" s="390"/>
    </row>
    <row r="79">
      <c r="A79" s="390" t="str">
        <f>IFERROR(__xludf.DUMMYFUNCTION("""COMPUTED_VALUE"""),"Silvia Esther Azambuja Pereira")</f>
        <v>Silvia Esther Azambuja Pereira</v>
      </c>
      <c r="B79" s="390" t="str">
        <f>IFERROR(__xludf.DUMMYFUNCTION("""COMPUTED_VALUE"""),"2° Licenciatura")</f>
        <v>2° Licenciatura</v>
      </c>
      <c r="C79" s="390" t="str">
        <f>IFERROR(__xludf.DUMMYFUNCTION("""COMPUTED_VALUE"""),"Pedagogia")</f>
        <v>Pedagogia</v>
      </c>
      <c r="D79" s="390" t="str">
        <f>IFERROR(__xludf.DUMMYFUNCTION("""COMPUTED_VALUE"""),"Entregue - Email - Mariana - 21/06/24")</f>
        <v>Entregue - Email - Mariana - 21/06/24</v>
      </c>
      <c r="E79" s="390"/>
      <c r="F79" s="390"/>
      <c r="G79" s="390"/>
      <c r="H79" s="390"/>
      <c r="I79" s="390"/>
      <c r="J79" s="390"/>
      <c r="K79" s="390"/>
      <c r="L79" s="390"/>
      <c r="M79" s="390"/>
      <c r="N79" s="390"/>
      <c r="O79" s="390"/>
      <c r="P79" s="390"/>
      <c r="Q79" s="390"/>
      <c r="R79" s="390"/>
      <c r="S79" s="390"/>
      <c r="T79" s="390"/>
      <c r="U79" s="390"/>
      <c r="V79" s="390"/>
      <c r="W79" s="390"/>
      <c r="X79" s="390"/>
      <c r="Y79" s="390"/>
    </row>
    <row r="80">
      <c r="A80" s="390" t="str">
        <f>IFERROR(__xludf.DUMMYFUNCTION("""COMPUTED_VALUE"""),"Leonardo da Silva Oliveira dos Santos")</f>
        <v>Leonardo da Silva Oliveira dos Santos</v>
      </c>
      <c r="B80" s="390" t="str">
        <f>IFERROR(__xludf.DUMMYFUNCTION("""COMPUTED_VALUE"""),"Form. Pedagógica")</f>
        <v>Form. Pedagógica</v>
      </c>
      <c r="C80" s="390" t="str">
        <f>IFERROR(__xludf.DUMMYFUNCTION("""COMPUTED_VALUE"""),"Educação Fisica")</f>
        <v>Educação Fisica</v>
      </c>
      <c r="D80" s="390" t="str">
        <f>IFERROR(__xludf.DUMMYFUNCTION("""COMPUTED_VALUE"""),"Entregue - Email - Matheus - 21/05/24")</f>
        <v>Entregue - Email - Matheus - 21/05/24</v>
      </c>
      <c r="E80" s="390"/>
      <c r="F80" s="390"/>
      <c r="G80" s="390"/>
      <c r="H80" s="390"/>
      <c r="I80" s="390"/>
      <c r="J80" s="390"/>
      <c r="K80" s="390"/>
      <c r="L80" s="390"/>
      <c r="M80" s="390"/>
      <c r="N80" s="390"/>
      <c r="O80" s="390"/>
      <c r="P80" s="390"/>
      <c r="Q80" s="390"/>
      <c r="R80" s="390"/>
      <c r="S80" s="390"/>
      <c r="T80" s="390"/>
      <c r="U80" s="390"/>
      <c r="V80" s="390"/>
      <c r="W80" s="390"/>
      <c r="X80" s="390"/>
      <c r="Y80" s="390"/>
    </row>
    <row r="81">
      <c r="A81" s="390" t="str">
        <f>IFERROR(__xludf.DUMMYFUNCTION("""COMPUTED_VALUE"""),"Jaqueline Regina De Melo Silva")</f>
        <v>Jaqueline Regina De Melo Silva</v>
      </c>
      <c r="B81" s="390" t="str">
        <f>IFERROR(__xludf.DUMMYFUNCTION("""COMPUTED_VALUE"""),"Form. Pedagógica")</f>
        <v>Form. Pedagógica</v>
      </c>
      <c r="C81" s="390" t="str">
        <f>IFERROR(__xludf.DUMMYFUNCTION("""COMPUTED_VALUE"""),"Educação Fisica")</f>
        <v>Educação Fisica</v>
      </c>
      <c r="D81" s="390" t="str">
        <f>IFERROR(__xludf.DUMMYFUNCTION("""COMPUTED_VALUE"""),"Entregue - Email - Mariana - 02/05/24")</f>
        <v>Entregue - Email - Mariana - 02/05/24</v>
      </c>
      <c r="E81" s="390"/>
      <c r="F81" s="390"/>
      <c r="G81" s="390"/>
      <c r="H81" s="390"/>
      <c r="I81" s="390"/>
      <c r="J81" s="390"/>
      <c r="K81" s="390"/>
      <c r="L81" s="390"/>
      <c r="M81" s="390"/>
      <c r="N81" s="390"/>
      <c r="O81" s="390"/>
      <c r="P81" s="390"/>
      <c r="Q81" s="390"/>
      <c r="R81" s="390"/>
      <c r="S81" s="390"/>
      <c r="T81" s="390"/>
      <c r="U81" s="390"/>
      <c r="V81" s="390"/>
      <c r="W81" s="390"/>
      <c r="X81" s="390"/>
      <c r="Y81" s="390"/>
    </row>
    <row r="82">
      <c r="A82" s="390" t="str">
        <f>IFERROR(__xludf.DUMMYFUNCTION("""COMPUTED_VALUE"""),"Edson Ferreira Costa")</f>
        <v>Edson Ferreira Costa</v>
      </c>
      <c r="B82" s="390" t="str">
        <f>IFERROR(__xludf.DUMMYFUNCTION("""COMPUTED_VALUE"""),"Form. Pedagógica")</f>
        <v>Form. Pedagógica</v>
      </c>
      <c r="C82" s="390" t="str">
        <f>IFERROR(__xludf.DUMMYFUNCTION("""COMPUTED_VALUE"""),"Pedagogia")</f>
        <v>Pedagogia</v>
      </c>
      <c r="D82" s="390" t="str">
        <f>IFERROR(__xludf.DUMMYFUNCTION("""COMPUTED_VALUE"""),"Entregue - Email - Mariana - 02/05/24")</f>
        <v>Entregue - Email - Mariana - 02/05/24</v>
      </c>
      <c r="E82" s="390"/>
      <c r="F82" s="390"/>
      <c r="G82" s="390"/>
      <c r="H82" s="390"/>
      <c r="I82" s="390"/>
      <c r="J82" s="390"/>
      <c r="K82" s="390"/>
      <c r="L82" s="390"/>
      <c r="M82" s="390"/>
      <c r="N82" s="390"/>
      <c r="O82" s="390"/>
      <c r="P82" s="390"/>
      <c r="Q82" s="390"/>
      <c r="R82" s="390"/>
      <c r="S82" s="390"/>
      <c r="T82" s="390"/>
      <c r="U82" s="390"/>
      <c r="V82" s="390"/>
      <c r="W82" s="390"/>
      <c r="X82" s="390"/>
      <c r="Y82" s="390"/>
    </row>
    <row r="83">
      <c r="A83" s="390" t="str">
        <f>IFERROR(__xludf.DUMMYFUNCTION("""COMPUTED_VALUE"""),"Renata Rondon da Silva dos Santos")</f>
        <v>Renata Rondon da Silva dos Santos</v>
      </c>
      <c r="B83" s="390" t="str">
        <f>IFERROR(__xludf.DUMMYFUNCTION("""COMPUTED_VALUE"""),"2° Licenciatura")</f>
        <v>2° Licenciatura</v>
      </c>
      <c r="C83" s="390" t="str">
        <f>IFERROR(__xludf.DUMMYFUNCTION("""COMPUTED_VALUE"""),"Pedagogia")</f>
        <v>Pedagogia</v>
      </c>
      <c r="D83" s="390" t="str">
        <f>IFERROR(__xludf.DUMMYFUNCTION("""COMPUTED_VALUE"""),"Entregue - Email - Vanessa - 02/05/24")</f>
        <v>Entregue - Email - Vanessa - 02/05/24</v>
      </c>
      <c r="E83" s="390"/>
      <c r="F83" s="390"/>
      <c r="G83" s="390"/>
      <c r="H83" s="390"/>
      <c r="I83" s="390"/>
      <c r="J83" s="390"/>
      <c r="K83" s="390"/>
      <c r="L83" s="390"/>
      <c r="M83" s="390"/>
      <c r="N83" s="390"/>
      <c r="O83" s="390"/>
      <c r="P83" s="390"/>
      <c r="Q83" s="390"/>
      <c r="R83" s="390"/>
      <c r="S83" s="390"/>
      <c r="T83" s="390"/>
      <c r="U83" s="390"/>
      <c r="V83" s="390"/>
      <c r="W83" s="390"/>
      <c r="X83" s="390"/>
      <c r="Y83" s="390"/>
    </row>
    <row r="84">
      <c r="A84" s="390" t="str">
        <f>IFERROR(__xludf.DUMMYFUNCTION("""COMPUTED_VALUE"""),"Verusca Camilo de Moraes")</f>
        <v>Verusca Camilo de Moraes</v>
      </c>
      <c r="B84" s="390" t="str">
        <f>IFERROR(__xludf.DUMMYFUNCTION("""COMPUTED_VALUE"""),"2° Licenciatura")</f>
        <v>2° Licenciatura</v>
      </c>
      <c r="C84" s="390" t="str">
        <f>IFERROR(__xludf.DUMMYFUNCTION("""COMPUTED_VALUE"""),"Pedagogia")</f>
        <v>Pedagogia</v>
      </c>
      <c r="D84" s="390" t="str">
        <f>IFERROR(__xludf.DUMMYFUNCTION("""COMPUTED_VALUE"""),"Entregue - Email - Carla - 10/05/2024")</f>
        <v>Entregue - Email - Carla - 10/05/2024</v>
      </c>
      <c r="E84" s="390"/>
      <c r="F84" s="390"/>
      <c r="G84" s="390"/>
      <c r="H84" s="390"/>
      <c r="I84" s="390"/>
      <c r="J84" s="390"/>
      <c r="K84" s="390"/>
      <c r="L84" s="390"/>
      <c r="M84" s="390"/>
      <c r="N84" s="390"/>
      <c r="O84" s="390"/>
      <c r="P84" s="390"/>
      <c r="Q84" s="390"/>
      <c r="R84" s="390"/>
      <c r="S84" s="390"/>
      <c r="T84" s="390"/>
      <c r="U84" s="390"/>
      <c r="V84" s="390"/>
      <c r="W84" s="390"/>
      <c r="X84" s="390"/>
      <c r="Y84" s="390"/>
    </row>
    <row r="85">
      <c r="A85" s="390" t="str">
        <f>IFERROR(__xludf.DUMMYFUNCTION("""COMPUTED_VALUE"""),"Aline de Oliveira Silva Beirigo")</f>
        <v>Aline de Oliveira Silva Beirigo</v>
      </c>
      <c r="B85" s="390" t="str">
        <f>IFERROR(__xludf.DUMMYFUNCTION("""COMPUTED_VALUE"""),"2° Licenciatura")</f>
        <v>2° Licenciatura</v>
      </c>
      <c r="C85" s="390" t="str">
        <f>IFERROR(__xludf.DUMMYFUNCTION("""COMPUTED_VALUE"""),"Educação Especial")</f>
        <v>Educação Especial</v>
      </c>
      <c r="D85" s="390" t="str">
        <f>IFERROR(__xludf.DUMMYFUNCTION("""COMPUTED_VALUE"""),"Entregue - Email - Mariana 21/05/2024")</f>
        <v>Entregue - Email - Mariana 21/05/2024</v>
      </c>
      <c r="E85" s="390"/>
      <c r="F85" s="390"/>
      <c r="G85" s="390"/>
      <c r="H85" s="390"/>
      <c r="I85" s="390"/>
      <c r="J85" s="390"/>
      <c r="K85" s="390"/>
      <c r="L85" s="390"/>
      <c r="M85" s="390"/>
      <c r="N85" s="390"/>
      <c r="O85" s="390"/>
      <c r="P85" s="390"/>
      <c r="Q85" s="390"/>
      <c r="R85" s="390"/>
      <c r="S85" s="390"/>
      <c r="T85" s="390"/>
      <c r="U85" s="390"/>
      <c r="V85" s="390"/>
      <c r="W85" s="390"/>
      <c r="X85" s="390"/>
      <c r="Y85" s="390"/>
    </row>
    <row r="86">
      <c r="A86" s="390" t="str">
        <f>IFERROR(__xludf.DUMMYFUNCTION("""COMPUTED_VALUE"""),"Jovana Abrahão Moreira")</f>
        <v>Jovana Abrahão Moreira</v>
      </c>
      <c r="B86" s="390" t="str">
        <f>IFERROR(__xludf.DUMMYFUNCTION("""COMPUTED_VALUE"""),".....")</f>
        <v>.....</v>
      </c>
      <c r="C86" s="390" t="str">
        <f>IFERROR(__xludf.DUMMYFUNCTION("""COMPUTED_VALUE"""),"Pedagogia para bachareis")</f>
        <v>Pedagogia para bachareis</v>
      </c>
      <c r="D86" s="390" t="str">
        <f>IFERROR(__xludf.DUMMYFUNCTION("""COMPUTED_VALUE"""),"Entregue - Email - Mariana - 10/05/24")</f>
        <v>Entregue - Email - Mariana - 10/05/24</v>
      </c>
      <c r="E86" s="390"/>
      <c r="F86" s="390"/>
      <c r="G86" s="390"/>
      <c r="H86" s="390"/>
      <c r="I86" s="390"/>
      <c r="J86" s="390"/>
      <c r="K86" s="390"/>
      <c r="L86" s="390"/>
      <c r="M86" s="390"/>
      <c r="N86" s="390"/>
      <c r="O86" s="390"/>
      <c r="P86" s="390"/>
      <c r="Q86" s="390"/>
      <c r="R86" s="390"/>
      <c r="S86" s="390"/>
      <c r="T86" s="390"/>
      <c r="U86" s="390"/>
      <c r="V86" s="390"/>
      <c r="W86" s="390"/>
      <c r="X86" s="390"/>
      <c r="Y86" s="390"/>
    </row>
    <row r="87">
      <c r="A87" s="390" t="str">
        <f>IFERROR(__xludf.DUMMYFUNCTION("""COMPUTED_VALUE"""),"Cleidian Merian de Andrade")</f>
        <v>Cleidian Merian de Andrade</v>
      </c>
      <c r="B87" s="390" t="str">
        <f>IFERROR(__xludf.DUMMYFUNCTION("""COMPUTED_VALUE"""),"2° Licenciatura")</f>
        <v>2° Licenciatura</v>
      </c>
      <c r="C87" s="390" t="str">
        <f>IFERROR(__xludf.DUMMYFUNCTION("""COMPUTED_VALUE"""),"Matemática")</f>
        <v>Matemática</v>
      </c>
      <c r="D87" s="390" t="str">
        <f>IFERROR(__xludf.DUMMYFUNCTION("""COMPUTED_VALUE"""),"Entregue - Email - Mariana - 25/06/24")</f>
        <v>Entregue - Email - Mariana - 25/06/24</v>
      </c>
      <c r="E87" s="390"/>
      <c r="F87" s="390"/>
      <c r="G87" s="390"/>
      <c r="H87" s="390"/>
      <c r="I87" s="390"/>
      <c r="J87" s="390"/>
      <c r="K87" s="390"/>
      <c r="L87" s="390"/>
      <c r="M87" s="390"/>
      <c r="N87" s="390"/>
      <c r="O87" s="390"/>
      <c r="P87" s="390"/>
      <c r="Q87" s="390"/>
      <c r="R87" s="390"/>
      <c r="S87" s="390"/>
      <c r="T87" s="390"/>
      <c r="U87" s="390"/>
      <c r="V87" s="390"/>
      <c r="W87" s="390"/>
      <c r="X87" s="390"/>
      <c r="Y87" s="390"/>
    </row>
    <row r="88">
      <c r="A88" s="390" t="str">
        <f>IFERROR(__xludf.DUMMYFUNCTION("""COMPUTED_VALUE"""),"Weslei Pasqualino")</f>
        <v>Weslei Pasqualino</v>
      </c>
      <c r="B88" s="390" t="str">
        <f>IFERROR(__xludf.DUMMYFUNCTION("""COMPUTED_VALUE"""),"Form. Pedagógica")</f>
        <v>Form. Pedagógica</v>
      </c>
      <c r="C88" s="390" t="str">
        <f>IFERROR(__xludf.DUMMYFUNCTION("""COMPUTED_VALUE"""),"História")</f>
        <v>História</v>
      </c>
      <c r="D88" s="390" t="str">
        <f>IFERROR(__xludf.DUMMYFUNCTION("""COMPUTED_VALUE"""),"Entregue - Email - Mariana - 27/06/24")</f>
        <v>Entregue - Email - Mariana - 27/06/24</v>
      </c>
      <c r="E88" s="390"/>
      <c r="F88" s="390"/>
      <c r="G88" s="390"/>
      <c r="H88" s="390"/>
      <c r="I88" s="390"/>
      <c r="J88" s="390"/>
      <c r="K88" s="390"/>
      <c r="L88" s="390"/>
      <c r="M88" s="390"/>
      <c r="N88" s="390"/>
      <c r="O88" s="390"/>
      <c r="P88" s="390"/>
      <c r="Q88" s="390"/>
      <c r="R88" s="390"/>
      <c r="S88" s="390"/>
      <c r="T88" s="390"/>
      <c r="U88" s="390"/>
      <c r="V88" s="390"/>
      <c r="W88" s="390"/>
      <c r="X88" s="390"/>
      <c r="Y88" s="390"/>
    </row>
    <row r="89">
      <c r="A89" s="390" t="str">
        <f>IFERROR(__xludf.DUMMYFUNCTION("""COMPUTED_VALUE"""),"Adriano dos Santos Raimundo")</f>
        <v>Adriano dos Santos Raimundo</v>
      </c>
      <c r="B89" s="390" t="str">
        <f>IFERROR(__xludf.DUMMYFUNCTION("""COMPUTED_VALUE"""),"Form. Pedagógica")</f>
        <v>Form. Pedagógica</v>
      </c>
      <c r="C89" s="390" t="str">
        <f>IFERROR(__xludf.DUMMYFUNCTION("""COMPUTED_VALUE"""),"Pedagogia")</f>
        <v>Pedagogia</v>
      </c>
      <c r="D89" s="390" t="str">
        <f>IFERROR(__xludf.DUMMYFUNCTION("""COMPUTED_VALUE"""),"Entregue - Email - Mariana - 03/06/24")</f>
        <v>Entregue - Email - Mariana - 03/06/24</v>
      </c>
      <c r="E89" s="390"/>
      <c r="F89" s="390"/>
      <c r="G89" s="390"/>
      <c r="H89" s="390"/>
      <c r="I89" s="390"/>
      <c r="J89" s="390"/>
      <c r="K89" s="390"/>
      <c r="L89" s="390"/>
      <c r="M89" s="390"/>
      <c r="N89" s="390"/>
      <c r="O89" s="390"/>
      <c r="P89" s="390"/>
      <c r="Q89" s="390"/>
      <c r="R89" s="390"/>
      <c r="S89" s="390"/>
      <c r="T89" s="390"/>
      <c r="U89" s="390"/>
      <c r="V89" s="390"/>
      <c r="W89" s="390"/>
      <c r="X89" s="390"/>
      <c r="Y89" s="390"/>
    </row>
    <row r="90">
      <c r="A90" s="390" t="str">
        <f>IFERROR(__xludf.DUMMYFUNCTION("""COMPUTED_VALUE"""),"Alfredo Vaz Neto")</f>
        <v>Alfredo Vaz Neto</v>
      </c>
      <c r="B90" s="390" t="str">
        <f>IFERROR(__xludf.DUMMYFUNCTION("""COMPUTED_VALUE"""),"2° Licenciatura")</f>
        <v>2° Licenciatura</v>
      </c>
      <c r="C90" s="390" t="str">
        <f>IFERROR(__xludf.DUMMYFUNCTION("""COMPUTED_VALUE"""),"Pedagogia")</f>
        <v>Pedagogia</v>
      </c>
      <c r="D90" s="390" t="str">
        <f>IFERROR(__xludf.DUMMYFUNCTION("""COMPUTED_VALUE"""),"Entregue - Email - Mariana - 22/06/24")</f>
        <v>Entregue - Email - Mariana - 22/06/24</v>
      </c>
      <c r="E90" s="390"/>
      <c r="F90" s="390"/>
      <c r="G90" s="390"/>
      <c r="H90" s="390"/>
      <c r="I90" s="390"/>
      <c r="J90" s="390"/>
      <c r="K90" s="390"/>
      <c r="L90" s="390"/>
      <c r="M90" s="390"/>
      <c r="N90" s="390"/>
      <c r="O90" s="390"/>
      <c r="P90" s="390"/>
      <c r="Q90" s="390"/>
      <c r="R90" s="390"/>
      <c r="S90" s="390"/>
      <c r="T90" s="390"/>
      <c r="U90" s="390"/>
      <c r="V90" s="390"/>
      <c r="W90" s="390"/>
      <c r="X90" s="390"/>
      <c r="Y90" s="390"/>
    </row>
    <row r="91">
      <c r="A91" s="390" t="str">
        <f>IFERROR(__xludf.DUMMYFUNCTION("""COMPUTED_VALUE"""),"Maria do Socorro Lopes de Macedo Lima")</f>
        <v>Maria do Socorro Lopes de Macedo Lima</v>
      </c>
      <c r="B91" s="390" t="str">
        <f>IFERROR(__xludf.DUMMYFUNCTION("""COMPUTED_VALUE"""),"2° Licenciatura")</f>
        <v>2° Licenciatura</v>
      </c>
      <c r="C91" s="390" t="str">
        <f>IFERROR(__xludf.DUMMYFUNCTION("""COMPUTED_VALUE"""),"História")</f>
        <v>História</v>
      </c>
      <c r="D91" s="390" t="str">
        <f>IFERROR(__xludf.DUMMYFUNCTION("""COMPUTED_VALUE"""),"Entregue - Email - Mariana - 22/06/24")</f>
        <v>Entregue - Email - Mariana - 22/06/24</v>
      </c>
      <c r="E91" s="390"/>
      <c r="F91" s="390"/>
      <c r="G91" s="390"/>
      <c r="H91" s="390"/>
      <c r="I91" s="390"/>
      <c r="J91" s="390"/>
      <c r="K91" s="390"/>
      <c r="L91" s="390"/>
      <c r="M91" s="390"/>
      <c r="N91" s="390"/>
      <c r="O91" s="390"/>
      <c r="P91" s="390"/>
      <c r="Q91" s="390"/>
      <c r="R91" s="390"/>
      <c r="S91" s="390"/>
      <c r="T91" s="390"/>
      <c r="U91" s="390"/>
      <c r="V91" s="390"/>
      <c r="W91" s="390"/>
      <c r="X91" s="390"/>
      <c r="Y91" s="390"/>
    </row>
    <row r="92">
      <c r="A92" s="390" t="str">
        <f>IFERROR(__xludf.DUMMYFUNCTION("""COMPUTED_VALUE"""),"Marcelo Alves Novais")</f>
        <v>Marcelo Alves Novais</v>
      </c>
      <c r="B92" s="390" t="str">
        <f>IFERROR(__xludf.DUMMYFUNCTION("""COMPUTED_VALUE"""),"2° Licenciatura")</f>
        <v>2° Licenciatura</v>
      </c>
      <c r="C92" s="390" t="str">
        <f>IFERROR(__xludf.DUMMYFUNCTION("""COMPUTED_VALUE"""),"Pedagogia")</f>
        <v>Pedagogia</v>
      </c>
      <c r="D92" s="390" t="str">
        <f>IFERROR(__xludf.DUMMYFUNCTION("""COMPUTED_VALUE"""),"Entregue - Email - Mariana - 22/06/25")</f>
        <v>Entregue - Email - Mariana - 22/06/25</v>
      </c>
      <c r="E92" s="390"/>
      <c r="F92" s="390"/>
      <c r="G92" s="390"/>
      <c r="H92" s="390"/>
      <c r="I92" s="390"/>
      <c r="J92" s="390"/>
      <c r="K92" s="390"/>
      <c r="L92" s="390"/>
      <c r="M92" s="390"/>
      <c r="N92" s="390"/>
      <c r="O92" s="390"/>
      <c r="P92" s="390"/>
      <c r="Q92" s="390"/>
      <c r="R92" s="390"/>
      <c r="S92" s="390"/>
      <c r="T92" s="390"/>
      <c r="U92" s="390"/>
      <c r="V92" s="390"/>
      <c r="W92" s="390"/>
      <c r="X92" s="390"/>
      <c r="Y92" s="390"/>
    </row>
    <row r="93">
      <c r="A93" s="390" t="str">
        <f>IFERROR(__xludf.DUMMYFUNCTION("""COMPUTED_VALUE"""),"Raniere Andrade da Silva")</f>
        <v>Raniere Andrade da Silva</v>
      </c>
      <c r="B93" s="390" t="str">
        <f>IFERROR(__xludf.DUMMYFUNCTION("""COMPUTED_VALUE"""),"Form. Pedagógica")</f>
        <v>Form. Pedagógica</v>
      </c>
      <c r="C93" s="390" t="str">
        <f>IFERROR(__xludf.DUMMYFUNCTION("""COMPUTED_VALUE"""),"Educação Física")</f>
        <v>Educação Física</v>
      </c>
      <c r="D93" s="390" t="str">
        <f>IFERROR(__xludf.DUMMYFUNCTION("""COMPUTED_VALUE"""),"Entregue - Email - Mariana 17/05/2024")</f>
        <v>Entregue - Email - Mariana 17/05/2024</v>
      </c>
      <c r="E93" s="390"/>
      <c r="F93" s="390"/>
      <c r="G93" s="390"/>
      <c r="H93" s="390"/>
      <c r="I93" s="390"/>
      <c r="J93" s="390"/>
      <c r="K93" s="390"/>
      <c r="L93" s="390"/>
      <c r="M93" s="390"/>
      <c r="N93" s="390"/>
      <c r="O93" s="390"/>
      <c r="P93" s="390"/>
      <c r="Q93" s="390"/>
      <c r="R93" s="390"/>
      <c r="S93" s="390"/>
      <c r="T93" s="390"/>
      <c r="U93" s="390"/>
      <c r="V93" s="390"/>
      <c r="W93" s="390"/>
      <c r="X93" s="390"/>
      <c r="Y93" s="390"/>
    </row>
    <row r="94">
      <c r="A94" s="390" t="str">
        <f>IFERROR(__xludf.DUMMYFUNCTION("""COMPUTED_VALUE"""),"Janildes de Oliveira Souza")</f>
        <v>Janildes de Oliveira Souza</v>
      </c>
      <c r="B94" s="390" t="str">
        <f>IFERROR(__xludf.DUMMYFUNCTION("""COMPUTED_VALUE"""),"2° Licenciatura")</f>
        <v>2° Licenciatura</v>
      </c>
      <c r="C94" s="390" t="str">
        <f>IFERROR(__xludf.DUMMYFUNCTION("""COMPUTED_VALUE"""),"Português - Letras e Libras")</f>
        <v>Português - Letras e Libras</v>
      </c>
      <c r="D94" s="390" t="str">
        <f>IFERROR(__xludf.DUMMYFUNCTION("""COMPUTED_VALUE"""),"Entregue - Email - Mariana 21/05/2024")</f>
        <v>Entregue - Email - Mariana 21/05/2024</v>
      </c>
      <c r="E94" s="390"/>
      <c r="F94" s="390"/>
      <c r="G94" s="390"/>
      <c r="H94" s="390"/>
      <c r="I94" s="390"/>
      <c r="J94" s="390"/>
      <c r="K94" s="390"/>
      <c r="L94" s="390"/>
      <c r="M94" s="390"/>
      <c r="N94" s="390"/>
      <c r="O94" s="390"/>
      <c r="P94" s="390"/>
      <c r="Q94" s="390"/>
      <c r="R94" s="390"/>
      <c r="S94" s="390"/>
      <c r="T94" s="390"/>
      <c r="U94" s="390"/>
      <c r="V94" s="390"/>
      <c r="W94" s="390"/>
      <c r="X94" s="390"/>
      <c r="Y94" s="390"/>
    </row>
    <row r="95">
      <c r="A95" s="390" t="str">
        <f>IFERROR(__xludf.DUMMYFUNCTION("""COMPUTED_VALUE"""),"Jônatas Silva")</f>
        <v>Jônatas Silva</v>
      </c>
      <c r="B95" s="390" t="str">
        <f>IFERROR(__xludf.DUMMYFUNCTION("""COMPUTED_VALUE"""),"Form. Pedagógica")</f>
        <v>Form. Pedagógica</v>
      </c>
      <c r="C95" s="390" t="str">
        <f>IFERROR(__xludf.DUMMYFUNCTION("""COMPUTED_VALUE"""),"História")</f>
        <v>História</v>
      </c>
      <c r="D95" s="390" t="str">
        <f>IFERROR(__xludf.DUMMYFUNCTION("""COMPUTED_VALUE"""),"Entregue - Email - Mariana 17/05/2024")</f>
        <v>Entregue - Email - Mariana 17/05/2024</v>
      </c>
      <c r="E95" s="390"/>
      <c r="F95" s="390"/>
      <c r="G95" s="390"/>
      <c r="H95" s="390"/>
      <c r="I95" s="390"/>
      <c r="J95" s="390"/>
      <c r="K95" s="390"/>
      <c r="L95" s="390"/>
      <c r="M95" s="390"/>
      <c r="N95" s="390"/>
      <c r="O95" s="390"/>
      <c r="P95" s="390"/>
      <c r="Q95" s="390"/>
      <c r="R95" s="390"/>
      <c r="S95" s="390"/>
      <c r="T95" s="390"/>
      <c r="U95" s="390"/>
      <c r="V95" s="390"/>
      <c r="W95" s="390"/>
      <c r="X95" s="390"/>
      <c r="Y95" s="390"/>
    </row>
    <row r="96">
      <c r="A96" s="390" t="str">
        <f>IFERROR(__xludf.DUMMYFUNCTION("""COMPUTED_VALUE"""),"Roberto Honorato Oliveira dos Remédios")</f>
        <v>Roberto Honorato Oliveira dos Remédios</v>
      </c>
      <c r="B96" s="390" t="str">
        <f>IFERROR(__xludf.DUMMYFUNCTION("""COMPUTED_VALUE"""),"2° Licenciatura")</f>
        <v>2° Licenciatura</v>
      </c>
      <c r="C96" s="390" t="str">
        <f>IFERROR(__xludf.DUMMYFUNCTION("""COMPUTED_VALUE"""),"Pedagogia")</f>
        <v>Pedagogia</v>
      </c>
      <c r="D96" s="390" t="str">
        <f>IFERROR(__xludf.DUMMYFUNCTION("""COMPUTED_VALUE"""),"Entregue - Email - Mariana 05/06/2024")</f>
        <v>Entregue - Email - Mariana 05/06/2024</v>
      </c>
      <c r="E96" s="390"/>
      <c r="F96" s="390"/>
      <c r="G96" s="390"/>
      <c r="H96" s="390"/>
      <c r="I96" s="390"/>
      <c r="J96" s="390"/>
      <c r="K96" s="390"/>
      <c r="L96" s="390"/>
      <c r="M96" s="390"/>
      <c r="N96" s="390"/>
      <c r="O96" s="390"/>
      <c r="P96" s="390"/>
      <c r="Q96" s="390"/>
      <c r="R96" s="390"/>
      <c r="S96" s="390"/>
      <c r="T96" s="390"/>
      <c r="U96" s="390"/>
      <c r="V96" s="390"/>
      <c r="W96" s="390"/>
      <c r="X96" s="390"/>
      <c r="Y96" s="390"/>
    </row>
    <row r="97">
      <c r="A97" s="390" t="str">
        <f>IFERROR(__xludf.DUMMYFUNCTION("""COMPUTED_VALUE"""),"Larissa Aparecida de Lima")</f>
        <v>Larissa Aparecida de Lima</v>
      </c>
      <c r="B97" s="390" t="str">
        <f>IFERROR(__xludf.DUMMYFUNCTION("""COMPUTED_VALUE"""),"2° Licenciatura")</f>
        <v>2° Licenciatura</v>
      </c>
      <c r="C97" s="390" t="str">
        <f>IFERROR(__xludf.DUMMYFUNCTION("""COMPUTED_VALUE"""),"Pedagogia")</f>
        <v>Pedagogia</v>
      </c>
      <c r="D97" s="390" t="str">
        <f>IFERROR(__xludf.DUMMYFUNCTION("""COMPUTED_VALUE"""),"Entregue - Email - Mariana 10/06/2024")</f>
        <v>Entregue - Email - Mariana 10/06/2024</v>
      </c>
      <c r="E97" s="390"/>
      <c r="F97" s="390"/>
      <c r="G97" s="390"/>
      <c r="H97" s="390"/>
      <c r="I97" s="390"/>
      <c r="J97" s="390"/>
      <c r="K97" s="390"/>
      <c r="L97" s="390"/>
      <c r="M97" s="390"/>
      <c r="N97" s="390"/>
      <c r="O97" s="390"/>
      <c r="P97" s="390"/>
      <c r="Q97" s="390"/>
      <c r="R97" s="390"/>
      <c r="S97" s="390"/>
      <c r="T97" s="390"/>
      <c r="U97" s="390"/>
      <c r="V97" s="390"/>
      <c r="W97" s="390"/>
      <c r="X97" s="390"/>
      <c r="Y97" s="390"/>
    </row>
    <row r="98">
      <c r="A98" s="390" t="str">
        <f>IFERROR(__xludf.DUMMYFUNCTION("""COMPUTED_VALUE"""),"Maria Vanessa dos Santos ")</f>
        <v>Maria Vanessa dos Santos </v>
      </c>
      <c r="B98" s="390" t="str">
        <f>IFERROR(__xludf.DUMMYFUNCTION("""COMPUTED_VALUE"""),"Form. Pedagógica")</f>
        <v>Form. Pedagógica</v>
      </c>
      <c r="C98" s="390" t="str">
        <f>IFERROR(__xludf.DUMMYFUNCTION("""COMPUTED_VALUE"""),"Matemática")</f>
        <v>Matemática</v>
      </c>
      <c r="D98" s="390" t="str">
        <f>IFERROR(__xludf.DUMMYFUNCTION("""COMPUTED_VALUE"""),"Entregue - Email - Mariana 05/06/2024")</f>
        <v>Entregue - Email - Mariana 05/06/2024</v>
      </c>
      <c r="E98" s="390"/>
      <c r="F98" s="390"/>
      <c r="G98" s="390"/>
      <c r="H98" s="390"/>
      <c r="I98" s="390"/>
      <c r="J98" s="390"/>
      <c r="K98" s="390"/>
      <c r="L98" s="390"/>
      <c r="M98" s="390"/>
      <c r="N98" s="390"/>
      <c r="O98" s="390"/>
      <c r="P98" s="390"/>
      <c r="Q98" s="390"/>
      <c r="R98" s="390"/>
      <c r="S98" s="390"/>
      <c r="T98" s="390"/>
      <c r="U98" s="390"/>
      <c r="V98" s="390"/>
      <c r="W98" s="390"/>
      <c r="X98" s="390"/>
      <c r="Y98" s="390"/>
    </row>
    <row r="99">
      <c r="A99" s="390" t="str">
        <f>IFERROR(__xludf.DUMMYFUNCTION("""COMPUTED_VALUE"""),"Arnaldo Rogério Vieira")</f>
        <v>Arnaldo Rogério Vieira</v>
      </c>
      <c r="B99" s="390" t="str">
        <f>IFERROR(__xludf.DUMMYFUNCTION("""COMPUTED_VALUE"""),"2° Licenciatura")</f>
        <v>2° Licenciatura</v>
      </c>
      <c r="C99" s="390" t="str">
        <f>IFERROR(__xludf.DUMMYFUNCTION("""COMPUTED_VALUE"""),"Pedagogia")</f>
        <v>Pedagogia</v>
      </c>
      <c r="D99" s="390" t="str">
        <f>IFERROR(__xludf.DUMMYFUNCTION("""COMPUTED_VALUE"""),"Entregue - Email - Mariana13/06/2024")</f>
        <v>Entregue - Email - Mariana13/06/2024</v>
      </c>
      <c r="E99" s="390"/>
      <c r="F99" s="390"/>
      <c r="G99" s="390"/>
      <c r="H99" s="390"/>
      <c r="I99" s="390"/>
      <c r="J99" s="390"/>
      <c r="K99" s="390"/>
      <c r="L99" s="390"/>
      <c r="M99" s="390"/>
      <c r="N99" s="390"/>
      <c r="O99" s="390"/>
      <c r="P99" s="390"/>
      <c r="Q99" s="390"/>
      <c r="R99" s="390"/>
      <c r="S99" s="390"/>
      <c r="T99" s="390"/>
      <c r="U99" s="390"/>
      <c r="V99" s="390"/>
      <c r="W99" s="390"/>
      <c r="X99" s="390"/>
      <c r="Y99" s="390"/>
    </row>
    <row r="100">
      <c r="A100" s="390" t="str">
        <f>IFERROR(__xludf.DUMMYFUNCTION("""COMPUTED_VALUE"""),"Marina de Almeida Furtado Rodrigues")</f>
        <v>Marina de Almeida Furtado Rodrigues</v>
      </c>
      <c r="B100" s="390" t="str">
        <f>IFERROR(__xludf.DUMMYFUNCTION("""COMPUTED_VALUE"""),"2° Licenciatura")</f>
        <v>2° Licenciatura</v>
      </c>
      <c r="C100" s="390" t="str">
        <f>IFERROR(__xludf.DUMMYFUNCTION("""COMPUTED_VALUE"""),"Filosofia")</f>
        <v>Filosofia</v>
      </c>
      <c r="D100" s="390" t="str">
        <f>IFERROR(__xludf.DUMMYFUNCTION("""COMPUTED_VALUE"""),"Entregue - Email - Mariana 27/06/2024")</f>
        <v>Entregue - Email - Mariana 27/06/2024</v>
      </c>
      <c r="E100" s="390"/>
      <c r="F100" s="390"/>
      <c r="G100" s="390"/>
      <c r="H100" s="390"/>
      <c r="I100" s="390"/>
      <c r="J100" s="390"/>
      <c r="K100" s="390"/>
      <c r="L100" s="390"/>
      <c r="M100" s="390"/>
      <c r="N100" s="390"/>
      <c r="O100" s="390"/>
      <c r="P100" s="390"/>
      <c r="Q100" s="390"/>
      <c r="R100" s="390"/>
      <c r="S100" s="390"/>
      <c r="T100" s="390"/>
      <c r="U100" s="390"/>
      <c r="V100" s="390"/>
      <c r="W100" s="390"/>
      <c r="X100" s="390"/>
      <c r="Y100" s="390"/>
    </row>
    <row r="101">
      <c r="A101" s="390" t="str">
        <f>IFERROR(__xludf.DUMMYFUNCTION("""COMPUTED_VALUE"""),"Daniela Machado Assef")</f>
        <v>Daniela Machado Assef</v>
      </c>
      <c r="B101" s="390" t="str">
        <f>IFERROR(__xludf.DUMMYFUNCTION("""COMPUTED_VALUE"""),"Form. Pedagógica")</f>
        <v>Form. Pedagógica</v>
      </c>
      <c r="C101" s="390" t="str">
        <f>IFERROR(__xludf.DUMMYFUNCTION("""COMPUTED_VALUE"""),"Pedagogia")</f>
        <v>Pedagogia</v>
      </c>
      <c r="D101" s="390" t="str">
        <f>IFERROR(__xludf.DUMMYFUNCTION("""COMPUTED_VALUE"""),"Entregue - Email - Mariana 07/06/2024")</f>
        <v>Entregue - Email - Mariana 07/06/2024</v>
      </c>
      <c r="E101" s="390"/>
      <c r="F101" s="390"/>
      <c r="G101" s="390"/>
      <c r="H101" s="390"/>
      <c r="I101" s="390"/>
      <c r="J101" s="390"/>
      <c r="K101" s="390"/>
      <c r="L101" s="390"/>
      <c r="M101" s="390"/>
      <c r="N101" s="390"/>
      <c r="O101" s="390"/>
      <c r="P101" s="390"/>
      <c r="Q101" s="390"/>
      <c r="R101" s="390"/>
      <c r="S101" s="390"/>
      <c r="T101" s="390"/>
      <c r="U101" s="390"/>
      <c r="V101" s="390"/>
      <c r="W101" s="390"/>
      <c r="X101" s="390"/>
      <c r="Y101" s="390"/>
    </row>
    <row r="102">
      <c r="A102" s="390" t="str">
        <f>IFERROR(__xludf.DUMMYFUNCTION("""COMPUTED_VALUE"""),"Rania Pereira Ribeiro")</f>
        <v>Rania Pereira Ribeiro</v>
      </c>
      <c r="B102" s="390" t="str">
        <f>IFERROR(__xludf.DUMMYFUNCTION("""COMPUTED_VALUE"""),"2° Licenciatura")</f>
        <v>2° Licenciatura</v>
      </c>
      <c r="C102" s="390" t="str">
        <f>IFERROR(__xludf.DUMMYFUNCTION("""COMPUTED_VALUE"""),"Pedagogia")</f>
        <v>Pedagogia</v>
      </c>
      <c r="D102" s="390" t="str">
        <f>IFERROR(__xludf.DUMMYFUNCTION("""COMPUTED_VALUE"""),"Entregue - Email - Mariana 18/06/2024")</f>
        <v>Entregue - Email - Mariana 18/06/2024</v>
      </c>
      <c r="E102" s="390"/>
      <c r="F102" s="390"/>
      <c r="G102" s="390"/>
      <c r="H102" s="390"/>
      <c r="I102" s="390"/>
      <c r="J102" s="390"/>
      <c r="K102" s="390"/>
      <c r="L102" s="390"/>
      <c r="M102" s="390"/>
      <c r="N102" s="390"/>
      <c r="O102" s="390"/>
      <c r="P102" s="390"/>
      <c r="Q102" s="390"/>
      <c r="R102" s="390"/>
      <c r="S102" s="390"/>
      <c r="T102" s="390"/>
      <c r="U102" s="390"/>
      <c r="V102" s="390"/>
      <c r="W102" s="390"/>
      <c r="X102" s="390"/>
      <c r="Y102" s="390"/>
    </row>
    <row r="103">
      <c r="A103" s="390" t="str">
        <f>IFERROR(__xludf.DUMMYFUNCTION("""COMPUTED_VALUE"""),"Izabel Maria Magalhaes da Costa")</f>
        <v>Izabel Maria Magalhaes da Costa</v>
      </c>
      <c r="B103" s="390" t="str">
        <f>IFERROR(__xludf.DUMMYFUNCTION("""COMPUTED_VALUE"""),"Form. Pedagógica")</f>
        <v>Form. Pedagógica</v>
      </c>
      <c r="C103" s="390" t="str">
        <f>IFERROR(__xludf.DUMMYFUNCTION("""COMPUTED_VALUE"""),"Pedagogia para bachareis")</f>
        <v>Pedagogia para bachareis</v>
      </c>
      <c r="D103" s="390" t="str">
        <f>IFERROR(__xludf.DUMMYFUNCTION("""COMPUTED_VALUE"""),"Enviado e-mail 15/05/2024 - Mariana")</f>
        <v>Enviado e-mail 15/05/2024 - Mariana</v>
      </c>
      <c r="E103" s="390"/>
      <c r="F103" s="390"/>
      <c r="G103" s="390"/>
      <c r="H103" s="390"/>
      <c r="I103" s="390"/>
      <c r="J103" s="390"/>
      <c r="K103" s="390"/>
      <c r="L103" s="390"/>
      <c r="M103" s="390"/>
      <c r="N103" s="390"/>
      <c r="O103" s="390"/>
      <c r="P103" s="390"/>
      <c r="Q103" s="390"/>
      <c r="R103" s="390"/>
      <c r="S103" s="390"/>
      <c r="T103" s="390"/>
      <c r="U103" s="390"/>
      <c r="V103" s="390"/>
      <c r="W103" s="390"/>
      <c r="X103" s="390"/>
      <c r="Y103" s="390"/>
    </row>
    <row r="104">
      <c r="A104" s="390" t="str">
        <f>IFERROR(__xludf.DUMMYFUNCTION("""COMPUTED_VALUE"""),"Rita de Cássia Benevides Demasi")</f>
        <v>Rita de Cássia Benevides Demasi</v>
      </c>
      <c r="B104" s="390" t="str">
        <f>IFERROR(__xludf.DUMMYFUNCTION("""COMPUTED_VALUE"""),"Form. Pedagógica")</f>
        <v>Form. Pedagógica</v>
      </c>
      <c r="C104" s="390" t="str">
        <f>IFERROR(__xludf.DUMMYFUNCTION("""COMPUTED_VALUE"""),"Letras Português - Inglês")</f>
        <v>Letras Português - Inglês</v>
      </c>
      <c r="D104" s="390" t="str">
        <f>IFERROR(__xludf.DUMMYFUNCTION("""COMPUTED_VALUE"""),"Entregue - Email - Mariana 16/07/2024")</f>
        <v>Entregue - Email - Mariana 16/07/2024</v>
      </c>
      <c r="E104" s="390"/>
      <c r="F104" s="390"/>
      <c r="G104" s="390"/>
      <c r="H104" s="390"/>
      <c r="I104" s="390"/>
      <c r="J104" s="390"/>
      <c r="K104" s="390"/>
      <c r="L104" s="390"/>
      <c r="M104" s="390"/>
      <c r="N104" s="390"/>
      <c r="O104" s="390"/>
      <c r="P104" s="390"/>
      <c r="Q104" s="390"/>
      <c r="R104" s="390"/>
      <c r="S104" s="390"/>
      <c r="T104" s="390"/>
      <c r="U104" s="390"/>
      <c r="V104" s="390"/>
      <c r="W104" s="390"/>
      <c r="X104" s="390"/>
      <c r="Y104" s="390"/>
    </row>
    <row r="105">
      <c r="A105" s="390" t="str">
        <f>IFERROR(__xludf.DUMMYFUNCTION("""COMPUTED_VALUE"""),"Roberta Alves de Sousa")</f>
        <v>Roberta Alves de Sousa</v>
      </c>
      <c r="B105" s="390" t="str">
        <f>IFERROR(__xludf.DUMMYFUNCTION("""COMPUTED_VALUE"""),"2° Licenciatura")</f>
        <v>2° Licenciatura</v>
      </c>
      <c r="C105" s="390" t="str">
        <f>IFERROR(__xludf.DUMMYFUNCTION("""COMPUTED_VALUE"""),"Artes Visuais")</f>
        <v>Artes Visuais</v>
      </c>
      <c r="D105" s="390" t="str">
        <f>IFERROR(__xludf.DUMMYFUNCTION("""COMPUTED_VALUE"""),"Entregue - Email - Mariana 27/06/2024")</f>
        <v>Entregue - Email - Mariana 27/06/2024</v>
      </c>
      <c r="E105" s="390"/>
      <c r="F105" s="390"/>
      <c r="G105" s="390"/>
      <c r="H105" s="390"/>
      <c r="I105" s="390"/>
      <c r="J105" s="390"/>
      <c r="K105" s="390"/>
      <c r="L105" s="390"/>
      <c r="M105" s="390"/>
      <c r="N105" s="390"/>
      <c r="O105" s="390"/>
      <c r="P105" s="390"/>
      <c r="Q105" s="390"/>
      <c r="R105" s="390"/>
      <c r="S105" s="390"/>
      <c r="T105" s="390"/>
      <c r="U105" s="390"/>
      <c r="V105" s="390"/>
      <c r="W105" s="390"/>
      <c r="X105" s="390"/>
      <c r="Y105" s="390"/>
    </row>
    <row r="106">
      <c r="A106" s="390" t="str">
        <f>IFERROR(__xludf.DUMMYFUNCTION("""COMPUTED_VALUE"""),"Evandro Dos Santos Carlos Nolasco")</f>
        <v>Evandro Dos Santos Carlos Nolasco</v>
      </c>
      <c r="B106" s="390" t="str">
        <f>IFERROR(__xludf.DUMMYFUNCTION("""COMPUTED_VALUE"""),"2° Licenciatura")</f>
        <v>2° Licenciatura</v>
      </c>
      <c r="C106" s="390" t="str">
        <f>IFERROR(__xludf.DUMMYFUNCTION("""COMPUTED_VALUE"""),"Educação Especial")</f>
        <v>Educação Especial</v>
      </c>
      <c r="D106" s="390" t="str">
        <f>IFERROR(__xludf.DUMMYFUNCTION("""COMPUTED_VALUE"""),"Entregue - Email - Mariana 04/06/2024")</f>
        <v>Entregue - Email - Mariana 04/06/2024</v>
      </c>
      <c r="E106" s="390"/>
      <c r="F106" s="390"/>
      <c r="G106" s="390"/>
      <c r="H106" s="390"/>
      <c r="I106" s="390"/>
      <c r="J106" s="390"/>
      <c r="K106" s="390"/>
      <c r="L106" s="390"/>
      <c r="M106" s="390"/>
      <c r="N106" s="390"/>
      <c r="O106" s="390"/>
      <c r="P106" s="390"/>
      <c r="Q106" s="390"/>
      <c r="R106" s="390"/>
      <c r="S106" s="390"/>
      <c r="T106" s="390"/>
      <c r="U106" s="390"/>
      <c r="V106" s="390"/>
      <c r="W106" s="390"/>
      <c r="X106" s="390"/>
      <c r="Y106" s="390"/>
    </row>
    <row r="107">
      <c r="A107" s="390" t="str">
        <f>IFERROR(__xludf.DUMMYFUNCTION("""COMPUTED_VALUE"""),"Grisiele Silverio Costa")</f>
        <v>Grisiele Silverio Costa</v>
      </c>
      <c r="B107" s="390" t="str">
        <f>IFERROR(__xludf.DUMMYFUNCTION("""COMPUTED_VALUE"""),"Form. Pedagógica")</f>
        <v>Form. Pedagógica</v>
      </c>
      <c r="C107" s="390" t="str">
        <f>IFERROR(__xludf.DUMMYFUNCTION("""COMPUTED_VALUE"""),"Artes Visuais")</f>
        <v>Artes Visuais</v>
      </c>
      <c r="D107" s="390" t="str">
        <f>IFERROR(__xludf.DUMMYFUNCTION("""COMPUTED_VALUE"""),"Entregue - Email - Mariana 17/07/2024")</f>
        <v>Entregue - Email - Mariana 17/07/2024</v>
      </c>
      <c r="E107" s="390"/>
      <c r="F107" s="390"/>
      <c r="G107" s="390"/>
      <c r="H107" s="390"/>
      <c r="I107" s="390"/>
      <c r="J107" s="390"/>
      <c r="K107" s="390"/>
      <c r="L107" s="390"/>
      <c r="M107" s="390"/>
      <c r="N107" s="390"/>
      <c r="O107" s="390"/>
      <c r="P107" s="390"/>
      <c r="Q107" s="390"/>
      <c r="R107" s="390"/>
      <c r="S107" s="390"/>
      <c r="T107" s="390"/>
      <c r="U107" s="390"/>
      <c r="V107" s="390"/>
      <c r="W107" s="390"/>
      <c r="X107" s="390"/>
      <c r="Y107" s="390"/>
    </row>
    <row r="108">
      <c r="A108" s="390" t="str">
        <f>IFERROR(__xludf.DUMMYFUNCTION("""COMPUTED_VALUE"""),"Monica Cristina Almeida Fusco de Souza Ferreira ")</f>
        <v>Monica Cristina Almeida Fusco de Souza Ferreira </v>
      </c>
      <c r="B108" s="390" t="str">
        <f>IFERROR(__xludf.DUMMYFUNCTION("""COMPUTED_VALUE"""),"Form. Pedagógica")</f>
        <v>Form. Pedagógica</v>
      </c>
      <c r="C108" s="390" t="str">
        <f>IFERROR(__xludf.DUMMYFUNCTION("""COMPUTED_VALUE"""),"Geografia")</f>
        <v>Geografia</v>
      </c>
      <c r="D108" s="390" t="str">
        <f>IFERROR(__xludf.DUMMYFUNCTION("""COMPUTED_VALUE"""),"Entregue - Email - Mariana 11/07/2024")</f>
        <v>Entregue - Email - Mariana 11/07/2024</v>
      </c>
      <c r="E108" s="390"/>
      <c r="F108" s="390"/>
      <c r="G108" s="390"/>
      <c r="H108" s="390"/>
      <c r="I108" s="390"/>
      <c r="J108" s="390"/>
      <c r="K108" s="390"/>
      <c r="L108" s="390"/>
      <c r="M108" s="390"/>
      <c r="N108" s="390"/>
      <c r="O108" s="390"/>
      <c r="P108" s="390"/>
      <c r="Q108" s="390"/>
      <c r="R108" s="390"/>
      <c r="S108" s="390"/>
      <c r="T108" s="390"/>
      <c r="U108" s="390"/>
      <c r="V108" s="390"/>
      <c r="W108" s="390"/>
      <c r="X108" s="390"/>
      <c r="Y108" s="390"/>
    </row>
    <row r="109">
      <c r="A109" s="390" t="str">
        <f>IFERROR(__xludf.DUMMYFUNCTION("""COMPUTED_VALUE"""),"Wagner Wanderley do Nascimento ")</f>
        <v>Wagner Wanderley do Nascimento </v>
      </c>
      <c r="B109" s="390" t="str">
        <f>IFERROR(__xludf.DUMMYFUNCTION("""COMPUTED_VALUE"""),"2° Licenciatura")</f>
        <v>2° Licenciatura</v>
      </c>
      <c r="C109" s="390" t="str">
        <f>IFERROR(__xludf.DUMMYFUNCTION("""COMPUTED_VALUE"""),"Educação Especial")</f>
        <v>Educação Especial</v>
      </c>
      <c r="D109" s="390" t="str">
        <f>IFERROR(__xludf.DUMMYFUNCTION("""COMPUTED_VALUE"""),"Entregue - Email - Mariana 16/07/2024")</f>
        <v>Entregue - Email - Mariana 16/07/2024</v>
      </c>
      <c r="E109" s="390"/>
      <c r="F109" s="390"/>
      <c r="G109" s="390"/>
      <c r="H109" s="390"/>
      <c r="I109" s="390"/>
      <c r="J109" s="390"/>
      <c r="K109" s="390"/>
      <c r="L109" s="390"/>
      <c r="M109" s="390"/>
      <c r="N109" s="390"/>
      <c r="O109" s="390"/>
      <c r="P109" s="390"/>
      <c r="Q109" s="390"/>
      <c r="R109" s="390"/>
      <c r="S109" s="390"/>
      <c r="T109" s="390"/>
      <c r="U109" s="390"/>
      <c r="V109" s="390"/>
      <c r="W109" s="390"/>
      <c r="X109" s="390"/>
      <c r="Y109" s="390"/>
    </row>
    <row r="110">
      <c r="A110" s="390" t="str">
        <f>IFERROR(__xludf.DUMMYFUNCTION("""COMPUTED_VALUE"""),"Thamires De Almeida")</f>
        <v>Thamires De Almeida</v>
      </c>
      <c r="B110" s="390" t="str">
        <f>IFERROR(__xludf.DUMMYFUNCTION("""COMPUTED_VALUE"""),"2° Licenciatura")</f>
        <v>2° Licenciatura</v>
      </c>
      <c r="C110" s="390" t="str">
        <f>IFERROR(__xludf.DUMMYFUNCTION("""COMPUTED_VALUE"""),"Pedagogia")</f>
        <v>Pedagogia</v>
      </c>
      <c r="D110" s="390" t="str">
        <f>IFERROR(__xludf.DUMMYFUNCTION("""COMPUTED_VALUE"""),"Entregue - Email - Mariana 16/06/2024")</f>
        <v>Entregue - Email - Mariana 16/06/2024</v>
      </c>
      <c r="E110" s="390"/>
      <c r="F110" s="390"/>
      <c r="G110" s="390"/>
      <c r="H110" s="390"/>
      <c r="I110" s="390"/>
      <c r="J110" s="390"/>
      <c r="K110" s="390"/>
      <c r="L110" s="390"/>
      <c r="M110" s="390"/>
      <c r="N110" s="390"/>
      <c r="O110" s="390"/>
      <c r="P110" s="390"/>
      <c r="Q110" s="390"/>
      <c r="R110" s="390"/>
      <c r="S110" s="390"/>
      <c r="T110" s="390"/>
      <c r="U110" s="390"/>
      <c r="V110" s="390"/>
      <c r="W110" s="390"/>
      <c r="X110" s="390"/>
      <c r="Y110" s="390"/>
    </row>
    <row r="111">
      <c r="A111" s="390" t="str">
        <f>IFERROR(__xludf.DUMMYFUNCTION("""COMPUTED_VALUE"""),"Elessandra Cabral de Freitas")</f>
        <v>Elessandra Cabral de Freitas</v>
      </c>
      <c r="B111" s="390" t="str">
        <f>IFERROR(__xludf.DUMMYFUNCTION("""COMPUTED_VALUE"""),"2° Licenciatura")</f>
        <v>2° Licenciatura</v>
      </c>
      <c r="C111" s="390" t="str">
        <f>IFERROR(__xludf.DUMMYFUNCTION("""COMPUTED_VALUE"""),"Letras - Português e Espanhol")</f>
        <v>Letras - Português e Espanhol</v>
      </c>
      <c r="D111" s="390" t="str">
        <f>IFERROR(__xludf.DUMMYFUNCTION("""COMPUTED_VALUE"""),"Entregue - Email - Mariana 17/07/2024")</f>
        <v>Entregue - Email - Mariana 17/07/2024</v>
      </c>
      <c r="E111" s="390"/>
      <c r="F111" s="390"/>
      <c r="G111" s="390"/>
      <c r="H111" s="390"/>
      <c r="I111" s="390"/>
      <c r="J111" s="390"/>
      <c r="K111" s="390"/>
      <c r="L111" s="390"/>
      <c r="M111" s="390"/>
      <c r="N111" s="390"/>
      <c r="O111" s="390"/>
      <c r="P111" s="390"/>
      <c r="Q111" s="390"/>
      <c r="R111" s="390"/>
      <c r="S111" s="390"/>
      <c r="T111" s="390"/>
      <c r="U111" s="390"/>
      <c r="V111" s="390"/>
      <c r="W111" s="390"/>
      <c r="X111" s="390"/>
      <c r="Y111" s="390"/>
    </row>
    <row r="112">
      <c r="A112" s="390" t="str">
        <f>IFERROR(__xludf.DUMMYFUNCTION("""COMPUTED_VALUE"""),"Graziele de Souza Carvalho")</f>
        <v>Graziele de Souza Carvalho</v>
      </c>
      <c r="B112" s="390" t="str">
        <f>IFERROR(__xludf.DUMMYFUNCTION("""COMPUTED_VALUE"""),"2° Licenciatura")</f>
        <v>2° Licenciatura</v>
      </c>
      <c r="C112" s="390" t="str">
        <f>IFERROR(__xludf.DUMMYFUNCTION("""COMPUTED_VALUE"""),"Pedagogia")</f>
        <v>Pedagogia</v>
      </c>
      <c r="D112" s="390" t="str">
        <f>IFERROR(__xludf.DUMMYFUNCTION("""COMPUTED_VALUE"""),"Entregue - Email - Mariana 17/07/2024")</f>
        <v>Entregue - Email - Mariana 17/07/2024</v>
      </c>
      <c r="E112" s="390"/>
      <c r="F112" s="390"/>
      <c r="G112" s="390"/>
      <c r="H112" s="390"/>
      <c r="I112" s="390"/>
      <c r="J112" s="390"/>
      <c r="K112" s="390"/>
      <c r="L112" s="390"/>
      <c r="M112" s="390"/>
      <c r="N112" s="390"/>
      <c r="O112" s="390"/>
      <c r="P112" s="390"/>
      <c r="Q112" s="390"/>
      <c r="R112" s="390"/>
      <c r="S112" s="390"/>
      <c r="T112" s="390"/>
      <c r="U112" s="390"/>
      <c r="V112" s="390"/>
      <c r="W112" s="390"/>
      <c r="X112" s="390"/>
      <c r="Y112" s="390"/>
    </row>
    <row r="113">
      <c r="A113" s="390" t="str">
        <f>IFERROR(__xludf.DUMMYFUNCTION("""COMPUTED_VALUE"""),"Zilda Patricio Rudiniski")</f>
        <v>Zilda Patricio Rudiniski</v>
      </c>
      <c r="B113" s="390" t="str">
        <f>IFERROR(__xludf.DUMMYFUNCTION("""COMPUTED_VALUE"""),"Form. Pedagógica")</f>
        <v>Form. Pedagógica</v>
      </c>
      <c r="C113" s="390" t="str">
        <f>IFERROR(__xludf.DUMMYFUNCTION("""COMPUTED_VALUE"""),"Pedagogia")</f>
        <v>Pedagogia</v>
      </c>
      <c r="D113" s="390" t="str">
        <f>IFERROR(__xludf.DUMMYFUNCTION("""COMPUTED_VALUE"""),"Entregue - Email - Carla 09/05/2024")</f>
        <v>Entregue - Email - Carla 09/05/2024</v>
      </c>
      <c r="E113" s="390"/>
      <c r="F113" s="390"/>
      <c r="G113" s="390"/>
      <c r="H113" s="390"/>
      <c r="I113" s="390"/>
      <c r="J113" s="390"/>
      <c r="K113" s="390"/>
      <c r="L113" s="390"/>
      <c r="M113" s="390"/>
      <c r="N113" s="390"/>
      <c r="O113" s="390"/>
      <c r="P113" s="390"/>
      <c r="Q113" s="390"/>
      <c r="R113" s="390"/>
      <c r="S113" s="390"/>
      <c r="T113" s="390"/>
      <c r="U113" s="390"/>
      <c r="V113" s="390"/>
      <c r="W113" s="390"/>
      <c r="X113" s="390"/>
      <c r="Y113" s="390"/>
    </row>
    <row r="114">
      <c r="A114" s="390" t="str">
        <f>IFERROR(__xludf.DUMMYFUNCTION("""COMPUTED_VALUE"""),"Tamires Mariano Vialonga ")</f>
        <v>Tamires Mariano Vialonga </v>
      </c>
      <c r="B114" s="390" t="str">
        <f>IFERROR(__xludf.DUMMYFUNCTION("""COMPUTED_VALUE"""),"Form. Pedagógica")</f>
        <v>Form. Pedagógica</v>
      </c>
      <c r="C114" s="390" t="str">
        <f>IFERROR(__xludf.DUMMYFUNCTION("""COMPUTED_VALUE"""),"Letras Português - Inglês")</f>
        <v>Letras Português - Inglês</v>
      </c>
      <c r="D114" s="390" t="str">
        <f>IFERROR(__xludf.DUMMYFUNCTION("""COMPUTED_VALUE"""),"Entregue - Email - Mariana 17/07/2024")</f>
        <v>Entregue - Email - Mariana 17/07/2024</v>
      </c>
      <c r="E114" s="390"/>
      <c r="F114" s="390"/>
      <c r="G114" s="390"/>
      <c r="H114" s="390"/>
      <c r="I114" s="390"/>
      <c r="J114" s="390"/>
      <c r="K114" s="390"/>
      <c r="L114" s="390"/>
      <c r="M114" s="390"/>
      <c r="N114" s="390"/>
      <c r="O114" s="390"/>
      <c r="P114" s="390"/>
      <c r="Q114" s="390"/>
      <c r="R114" s="390"/>
      <c r="S114" s="390"/>
      <c r="T114" s="390"/>
      <c r="U114" s="390"/>
      <c r="V114" s="390"/>
      <c r="W114" s="390"/>
      <c r="X114" s="390"/>
      <c r="Y114" s="390"/>
    </row>
    <row r="115">
      <c r="A115" s="390" t="str">
        <f>IFERROR(__xludf.DUMMYFUNCTION("""COMPUTED_VALUE"""),"Michele de Araújo Lima Cruz")</f>
        <v>Michele de Araújo Lima Cruz</v>
      </c>
      <c r="B115" s="390" t="str">
        <f>IFERROR(__xludf.DUMMYFUNCTION("""COMPUTED_VALUE"""),"Form. Pedagógica")</f>
        <v>Form. Pedagógica</v>
      </c>
      <c r="C115" s="390" t="str">
        <f>IFERROR(__xludf.DUMMYFUNCTION("""COMPUTED_VALUE"""),"Pedagogia")</f>
        <v>Pedagogia</v>
      </c>
      <c r="D115" s="390" t="str">
        <f>IFERROR(__xludf.DUMMYFUNCTION("""COMPUTED_VALUE"""),"Entregue - Email - Mariana 17/07/2024")</f>
        <v>Entregue - Email - Mariana 17/07/2024</v>
      </c>
      <c r="E115" s="390"/>
      <c r="F115" s="390"/>
      <c r="G115" s="390"/>
      <c r="H115" s="390"/>
      <c r="I115" s="390"/>
      <c r="J115" s="390"/>
      <c r="K115" s="390"/>
      <c r="L115" s="390"/>
      <c r="M115" s="390"/>
      <c r="N115" s="390"/>
      <c r="O115" s="390"/>
      <c r="P115" s="390"/>
      <c r="Q115" s="390"/>
      <c r="R115" s="390"/>
      <c r="S115" s="390"/>
      <c r="T115" s="390"/>
      <c r="U115" s="390"/>
      <c r="V115" s="390"/>
      <c r="W115" s="390"/>
      <c r="X115" s="390"/>
      <c r="Y115" s="390"/>
    </row>
    <row r="116">
      <c r="A116" s="390" t="str">
        <f>IFERROR(__xludf.DUMMYFUNCTION("""COMPUTED_VALUE"""),"Paulo Rodinei Paixão")</f>
        <v>Paulo Rodinei Paixão</v>
      </c>
      <c r="B116" s="390" t="str">
        <f>IFERROR(__xludf.DUMMYFUNCTION("""COMPUTED_VALUE"""),"2° Licenciatura")</f>
        <v>2° Licenciatura</v>
      </c>
      <c r="C116" s="390" t="str">
        <f>IFERROR(__xludf.DUMMYFUNCTION("""COMPUTED_VALUE"""),"Sociologia")</f>
        <v>Sociologia</v>
      </c>
      <c r="D116" s="390" t="str">
        <f>IFERROR(__xludf.DUMMYFUNCTION("""COMPUTED_VALUE"""),"Entregue - Email - Mariana 17/07/2024")</f>
        <v>Entregue - Email - Mariana 17/07/2024</v>
      </c>
      <c r="E116" s="390"/>
      <c r="F116" s="390"/>
      <c r="G116" s="390"/>
      <c r="H116" s="390"/>
      <c r="I116" s="390"/>
      <c r="J116" s="390"/>
      <c r="K116" s="390"/>
      <c r="L116" s="390"/>
      <c r="M116" s="390"/>
      <c r="N116" s="390"/>
      <c r="O116" s="390"/>
      <c r="P116" s="390"/>
      <c r="Q116" s="390"/>
      <c r="R116" s="390"/>
      <c r="S116" s="390"/>
      <c r="T116" s="390"/>
      <c r="U116" s="390"/>
      <c r="V116" s="390"/>
      <c r="W116" s="390"/>
      <c r="X116" s="390"/>
      <c r="Y116" s="390"/>
    </row>
    <row r="117">
      <c r="A117" s="390" t="str">
        <f>IFERROR(__xludf.DUMMYFUNCTION("""COMPUTED_VALUE"""),"Marcos Emmanuel Viana Lima")</f>
        <v>Marcos Emmanuel Viana Lima</v>
      </c>
      <c r="B117" s="390" t="str">
        <f>IFERROR(__xludf.DUMMYFUNCTION("""COMPUTED_VALUE"""),"2° Licenciatura")</f>
        <v>2° Licenciatura</v>
      </c>
      <c r="C117" s="390" t="str">
        <f>IFERROR(__xludf.DUMMYFUNCTION("""COMPUTED_VALUE"""),"Pedagogia")</f>
        <v>Pedagogia</v>
      </c>
      <c r="D117" s="390" t="str">
        <f>IFERROR(__xludf.DUMMYFUNCTION("""COMPUTED_VALUE"""),"Entregue - Email - Mariana 18/07/2024")</f>
        <v>Entregue - Email - Mariana 18/07/2024</v>
      </c>
      <c r="E117" s="390"/>
      <c r="F117" s="390"/>
      <c r="G117" s="390"/>
      <c r="H117" s="390"/>
      <c r="I117" s="390"/>
      <c r="J117" s="390"/>
      <c r="K117" s="390"/>
      <c r="L117" s="390"/>
      <c r="M117" s="390"/>
      <c r="N117" s="390"/>
      <c r="O117" s="390"/>
      <c r="P117" s="390"/>
      <c r="Q117" s="390"/>
      <c r="R117" s="390"/>
      <c r="S117" s="390"/>
      <c r="T117" s="390"/>
      <c r="U117" s="390"/>
      <c r="V117" s="390"/>
      <c r="W117" s="390"/>
      <c r="X117" s="390"/>
      <c r="Y117" s="390"/>
    </row>
    <row r="118">
      <c r="A118" s="390" t="str">
        <f>IFERROR(__xludf.DUMMYFUNCTION("""COMPUTED_VALUE"""),"Silvia Esther Azambuja Pereira ")</f>
        <v>Silvia Esther Azambuja Pereira </v>
      </c>
      <c r="B118" s="390" t="str">
        <f>IFERROR(__xludf.DUMMYFUNCTION("""COMPUTED_VALUE"""),"2° Licenciatura")</f>
        <v>2° Licenciatura</v>
      </c>
      <c r="C118" s="390" t="str">
        <f>IFERROR(__xludf.DUMMYFUNCTION("""COMPUTED_VALUE"""),"Pedagogia")</f>
        <v>Pedagogia</v>
      </c>
      <c r="D118" s="390" t="str">
        <f>IFERROR(__xludf.DUMMYFUNCTION("""COMPUTED_VALUE"""),"Entregue - Email - Mariana 16/07/2024")</f>
        <v>Entregue - Email - Mariana 16/07/2024</v>
      </c>
      <c r="E118" s="390"/>
      <c r="F118" s="390"/>
      <c r="G118" s="390"/>
      <c r="H118" s="390"/>
      <c r="I118" s="390"/>
      <c r="J118" s="390"/>
      <c r="K118" s="390"/>
      <c r="L118" s="390"/>
      <c r="M118" s="390"/>
      <c r="N118" s="390"/>
      <c r="O118" s="390"/>
      <c r="P118" s="390"/>
      <c r="Q118" s="390"/>
      <c r="R118" s="390"/>
      <c r="S118" s="390"/>
      <c r="T118" s="390"/>
      <c r="U118" s="390"/>
      <c r="V118" s="390"/>
      <c r="W118" s="390"/>
      <c r="X118" s="390"/>
      <c r="Y118" s="390"/>
    </row>
    <row r="119">
      <c r="A119" s="390" t="str">
        <f>IFERROR(__xludf.DUMMYFUNCTION("""COMPUTED_VALUE"""),"Marliro Fernandes Souza Brito")</f>
        <v>Marliro Fernandes Souza Brito</v>
      </c>
      <c r="B119" s="390" t="str">
        <f>IFERROR(__xludf.DUMMYFUNCTION("""COMPUTED_VALUE"""),"2° Licenciatura")</f>
        <v>2° Licenciatura</v>
      </c>
      <c r="C119" s="390" t="str">
        <f>IFERROR(__xludf.DUMMYFUNCTION("""COMPUTED_VALUE"""),"Matemática")</f>
        <v>Matemática</v>
      </c>
      <c r="D119" s="390" t="str">
        <f>IFERROR(__xludf.DUMMYFUNCTION("""COMPUTED_VALUE"""),"Entregue - Email - Mariana 16/07/2024")</f>
        <v>Entregue - Email - Mariana 16/07/2024</v>
      </c>
      <c r="E119" s="390"/>
      <c r="F119" s="390"/>
      <c r="G119" s="390"/>
      <c r="H119" s="390"/>
      <c r="I119" s="390"/>
      <c r="J119" s="390"/>
      <c r="K119" s="390"/>
      <c r="L119" s="390"/>
      <c r="M119" s="390"/>
      <c r="N119" s="390"/>
      <c r="O119" s="390"/>
      <c r="P119" s="390"/>
      <c r="Q119" s="390"/>
      <c r="R119" s="390"/>
      <c r="S119" s="390"/>
      <c r="T119" s="390"/>
      <c r="U119" s="390"/>
      <c r="V119" s="390"/>
      <c r="W119" s="390"/>
      <c r="X119" s="390"/>
      <c r="Y119" s="390"/>
    </row>
    <row r="120">
      <c r="A120" s="390" t="str">
        <f>IFERROR(__xludf.DUMMYFUNCTION("""COMPUTED_VALUE"""),"Tanice Pereira")</f>
        <v>Tanice Pereira</v>
      </c>
      <c r="B120" s="390" t="str">
        <f>IFERROR(__xludf.DUMMYFUNCTION("""COMPUTED_VALUE"""),"2° Licenciatura")</f>
        <v>2° Licenciatura</v>
      </c>
      <c r="C120" s="390" t="str">
        <f>IFERROR(__xludf.DUMMYFUNCTION("""COMPUTED_VALUE"""),"Educação Fisica")</f>
        <v>Educação Fisica</v>
      </c>
      <c r="D120" s="390" t="str">
        <f>IFERROR(__xludf.DUMMYFUNCTION("""COMPUTED_VALUE"""),"Entregue - Email - Mariana 16/07/2024")</f>
        <v>Entregue - Email - Mariana 16/07/2024</v>
      </c>
      <c r="E120" s="390"/>
      <c r="F120" s="390"/>
      <c r="G120" s="390"/>
      <c r="H120" s="390"/>
      <c r="I120" s="390"/>
      <c r="J120" s="390"/>
      <c r="K120" s="390"/>
      <c r="L120" s="390"/>
      <c r="M120" s="390"/>
      <c r="N120" s="390"/>
      <c r="O120" s="390"/>
      <c r="P120" s="390"/>
      <c r="Q120" s="390"/>
      <c r="R120" s="390"/>
      <c r="S120" s="390"/>
      <c r="T120" s="390"/>
      <c r="U120" s="390"/>
      <c r="V120" s="390"/>
      <c r="W120" s="390"/>
      <c r="X120" s="390"/>
      <c r="Y120" s="390"/>
    </row>
    <row r="121">
      <c r="A121" s="390" t="str">
        <f>IFERROR(__xludf.DUMMYFUNCTION("""COMPUTED_VALUE"""),"Emelly Aparecida Rocha Borges")</f>
        <v>Emelly Aparecida Rocha Borges</v>
      </c>
      <c r="B121" s="390" t="str">
        <f>IFERROR(__xludf.DUMMYFUNCTION("""COMPUTED_VALUE"""),"2° Licenciatura")</f>
        <v>2° Licenciatura</v>
      </c>
      <c r="C121" s="390" t="str">
        <f>IFERROR(__xludf.DUMMYFUNCTION("""COMPUTED_VALUE"""),"Pedagogia")</f>
        <v>Pedagogia</v>
      </c>
      <c r="D121" s="390" t="str">
        <f>IFERROR(__xludf.DUMMYFUNCTION("""COMPUTED_VALUE"""),"Entregue - Email - Mariana 16/07/2024")</f>
        <v>Entregue - Email - Mariana 16/07/2024</v>
      </c>
      <c r="E121" s="390"/>
      <c r="F121" s="390"/>
      <c r="G121" s="390"/>
      <c r="H121" s="390"/>
      <c r="I121" s="390"/>
      <c r="J121" s="390"/>
      <c r="K121" s="390"/>
      <c r="L121" s="390"/>
      <c r="M121" s="390"/>
      <c r="N121" s="390"/>
      <c r="O121" s="390"/>
      <c r="P121" s="390"/>
      <c r="Q121" s="390"/>
      <c r="R121" s="390"/>
      <c r="S121" s="390"/>
      <c r="T121" s="390"/>
      <c r="U121" s="390"/>
      <c r="V121" s="390"/>
      <c r="W121" s="390"/>
      <c r="X121" s="390"/>
      <c r="Y121" s="390"/>
    </row>
    <row r="122">
      <c r="A122" s="390" t="str">
        <f>IFERROR(__xludf.DUMMYFUNCTION("""COMPUTED_VALUE"""),"Marcelo Lemos Costa (apressamento)")</f>
        <v>Marcelo Lemos Costa (apressamento)</v>
      </c>
      <c r="B122" s="390" t="str">
        <f>IFERROR(__xludf.DUMMYFUNCTION("""COMPUTED_VALUE"""),"2° Licenciatura")</f>
        <v>2° Licenciatura</v>
      </c>
      <c r="C122" s="390" t="str">
        <f>IFERROR(__xludf.DUMMYFUNCTION("""COMPUTED_VALUE"""),"Pedagogia")</f>
        <v>Pedagogia</v>
      </c>
      <c r="D122" s="390" t="str">
        <f>IFERROR(__xludf.DUMMYFUNCTION("""COMPUTED_VALUE"""),"Entregue - Email - Mariana 18/07/2024")</f>
        <v>Entregue - Email - Mariana 18/07/2024</v>
      </c>
      <c r="E122" s="390"/>
      <c r="F122" s="390"/>
      <c r="G122" s="390"/>
      <c r="H122" s="390"/>
      <c r="I122" s="390"/>
      <c r="J122" s="390"/>
      <c r="K122" s="390"/>
      <c r="L122" s="390"/>
      <c r="M122" s="390"/>
      <c r="N122" s="390"/>
      <c r="O122" s="390"/>
      <c r="P122" s="390"/>
      <c r="Q122" s="390"/>
      <c r="R122" s="390"/>
      <c r="S122" s="390"/>
      <c r="T122" s="390"/>
      <c r="U122" s="390"/>
      <c r="V122" s="390"/>
      <c r="W122" s="390"/>
      <c r="X122" s="390"/>
      <c r="Y122" s="390"/>
    </row>
    <row r="123">
      <c r="A123" s="390" t="str">
        <f>IFERROR(__xludf.DUMMYFUNCTION("""COMPUTED_VALUE"""),"Rogério Belmiro Tampellini")</f>
        <v>Rogério Belmiro Tampellini</v>
      </c>
      <c r="B123" s="390" t="str">
        <f>IFERROR(__xludf.DUMMYFUNCTION("""COMPUTED_VALUE"""),"Form. Pedagógica")</f>
        <v>Form. Pedagógica</v>
      </c>
      <c r="C123" s="390" t="str">
        <f>IFERROR(__xludf.DUMMYFUNCTION("""COMPUTED_VALUE"""),"Sociologia")</f>
        <v>Sociologia</v>
      </c>
      <c r="D123" s="390" t="str">
        <f>IFERROR(__xludf.DUMMYFUNCTION("""COMPUTED_VALUE"""),"Entregue - Email - Mariana 18/07/2024")</f>
        <v>Entregue - Email - Mariana 18/07/2024</v>
      </c>
      <c r="E123" s="390"/>
      <c r="F123" s="390"/>
      <c r="G123" s="390"/>
      <c r="H123" s="390"/>
      <c r="I123" s="390"/>
      <c r="J123" s="390"/>
      <c r="K123" s="390"/>
      <c r="L123" s="390"/>
      <c r="M123" s="390"/>
      <c r="N123" s="390"/>
      <c r="O123" s="390"/>
      <c r="P123" s="390"/>
      <c r="Q123" s="390"/>
      <c r="R123" s="390"/>
      <c r="S123" s="390"/>
      <c r="T123" s="390"/>
      <c r="U123" s="390"/>
      <c r="V123" s="390"/>
      <c r="W123" s="390"/>
      <c r="X123" s="390"/>
      <c r="Y123" s="390"/>
    </row>
    <row r="124">
      <c r="A124" s="390" t="str">
        <f>IFERROR(__xludf.DUMMYFUNCTION("""COMPUTED_VALUE"""),"Milka Araújo Nina")</f>
        <v>Milka Araújo Nina</v>
      </c>
      <c r="B124" s="390" t="str">
        <f>IFERROR(__xludf.DUMMYFUNCTION("""COMPUTED_VALUE"""),"2° Licenciatura")</f>
        <v>2° Licenciatura</v>
      </c>
      <c r="C124" s="390" t="str">
        <f>IFERROR(__xludf.DUMMYFUNCTION("""COMPUTED_VALUE"""),"Pedagogia")</f>
        <v>Pedagogia</v>
      </c>
      <c r="D124" s="390" t="str">
        <f>IFERROR(__xludf.DUMMYFUNCTION("""COMPUTED_VALUE"""),"Entregue - Email - Mariana 18/07/2024")</f>
        <v>Entregue - Email - Mariana 18/07/2024</v>
      </c>
      <c r="E124" s="390"/>
      <c r="F124" s="390"/>
      <c r="G124" s="390"/>
      <c r="H124" s="390"/>
      <c r="I124" s="390"/>
      <c r="J124" s="390"/>
      <c r="K124" s="390"/>
      <c r="L124" s="390"/>
      <c r="M124" s="390"/>
      <c r="N124" s="390"/>
      <c r="O124" s="390"/>
      <c r="P124" s="390"/>
      <c r="Q124" s="390"/>
      <c r="R124" s="390"/>
      <c r="S124" s="390"/>
      <c r="T124" s="390"/>
      <c r="U124" s="390"/>
      <c r="V124" s="390"/>
      <c r="W124" s="390"/>
      <c r="X124" s="390"/>
      <c r="Y124" s="390"/>
    </row>
    <row r="125">
      <c r="A125" s="390" t="str">
        <f>IFERROR(__xludf.DUMMYFUNCTION("""COMPUTED_VALUE"""),"Pedro Henrique da Silva")</f>
        <v>Pedro Henrique da Silva</v>
      </c>
      <c r="B125" s="390" t="str">
        <f>IFERROR(__xludf.DUMMYFUNCTION("""COMPUTED_VALUE"""),"2° Licenciatura")</f>
        <v>2° Licenciatura</v>
      </c>
      <c r="C125" s="390" t="str">
        <f>IFERROR(__xludf.DUMMYFUNCTION("""COMPUTED_VALUE"""),"Pedagogia")</f>
        <v>Pedagogia</v>
      </c>
      <c r="D125" s="390" t="str">
        <f>IFERROR(__xludf.DUMMYFUNCTION("""COMPUTED_VALUE"""),"Entregue - Email - Mariana 16/07/2024")</f>
        <v>Entregue - Email - Mariana 16/07/2024</v>
      </c>
      <c r="E125" s="390"/>
      <c r="F125" s="390"/>
      <c r="G125" s="390"/>
      <c r="H125" s="390"/>
      <c r="I125" s="390"/>
      <c r="J125" s="390"/>
      <c r="K125" s="390"/>
      <c r="L125" s="390"/>
      <c r="M125" s="390"/>
      <c r="N125" s="390"/>
      <c r="O125" s="390"/>
      <c r="P125" s="390"/>
      <c r="Q125" s="390"/>
      <c r="R125" s="390"/>
      <c r="S125" s="390"/>
      <c r="T125" s="390"/>
      <c r="U125" s="390"/>
      <c r="V125" s="390"/>
      <c r="W125" s="390"/>
      <c r="X125" s="390"/>
      <c r="Y125" s="390"/>
    </row>
    <row r="126">
      <c r="A126" s="390" t="str">
        <f>IFERROR(__xludf.DUMMYFUNCTION("""COMPUTED_VALUE"""),"Tanice Pereira")</f>
        <v>Tanice Pereira</v>
      </c>
      <c r="B126" s="390" t="str">
        <f>IFERROR(__xludf.DUMMYFUNCTION("""COMPUTED_VALUE"""),"2° Licenciatura")</f>
        <v>2° Licenciatura</v>
      </c>
      <c r="C126" s="390" t="str">
        <f>IFERROR(__xludf.DUMMYFUNCTION("""COMPUTED_VALUE"""),"Educação Fisica")</f>
        <v>Educação Fisica</v>
      </c>
      <c r="D126" s="390" t="str">
        <f>IFERROR(__xludf.DUMMYFUNCTION("""COMPUTED_VALUE"""),"Entregue - Chat - Carla 16/07/2024")</f>
        <v>Entregue - Chat - Carla 16/07/2024</v>
      </c>
      <c r="E126" s="390"/>
      <c r="F126" s="390"/>
      <c r="G126" s="390"/>
      <c r="H126" s="390"/>
      <c r="I126" s="390"/>
      <c r="J126" s="390"/>
      <c r="K126" s="390"/>
      <c r="L126" s="390"/>
      <c r="M126" s="390"/>
      <c r="N126" s="390"/>
      <c r="O126" s="390"/>
      <c r="P126" s="390"/>
      <c r="Q126" s="390"/>
      <c r="R126" s="390"/>
      <c r="S126" s="390"/>
      <c r="T126" s="390"/>
      <c r="U126" s="390"/>
      <c r="V126" s="390"/>
      <c r="W126" s="390"/>
      <c r="X126" s="390"/>
      <c r="Y126" s="390"/>
    </row>
    <row r="127">
      <c r="A127" s="390" t="str">
        <f>IFERROR(__xludf.DUMMYFUNCTION("""COMPUTED_VALUE"""),"Alexandre Felizardo Da Cruz")</f>
        <v>Alexandre Felizardo Da Cruz</v>
      </c>
      <c r="B127" s="390" t="str">
        <f>IFERROR(__xludf.DUMMYFUNCTION("""COMPUTED_VALUE"""),"2° Licenciatura")</f>
        <v>2° Licenciatura</v>
      </c>
      <c r="C127" s="390" t="str">
        <f>IFERROR(__xludf.DUMMYFUNCTION("""COMPUTED_VALUE"""),"Pedagogia")</f>
        <v>Pedagogia</v>
      </c>
      <c r="D127" s="390" t="str">
        <f>IFERROR(__xludf.DUMMYFUNCTION("""COMPUTED_VALUE"""),"Entregue - Email - Mariana 16/07/2024")</f>
        <v>Entregue - Email - Mariana 16/07/2024</v>
      </c>
      <c r="E127" s="390"/>
      <c r="F127" s="390"/>
      <c r="G127" s="390"/>
      <c r="H127" s="390"/>
      <c r="I127" s="390"/>
      <c r="J127" s="390"/>
      <c r="K127" s="390"/>
      <c r="L127" s="390"/>
      <c r="M127" s="390"/>
      <c r="N127" s="390"/>
      <c r="O127" s="390"/>
      <c r="P127" s="390"/>
      <c r="Q127" s="390"/>
      <c r="R127" s="390"/>
      <c r="S127" s="390"/>
      <c r="T127" s="390"/>
      <c r="U127" s="390"/>
      <c r="V127" s="390"/>
      <c r="W127" s="390"/>
      <c r="X127" s="390"/>
      <c r="Y127" s="390"/>
    </row>
    <row r="128">
      <c r="A128" s="390" t="str">
        <f>IFERROR(__xludf.DUMMYFUNCTION("""COMPUTED_VALUE"""),"Raquel Poppi Montagneri")</f>
        <v>Raquel Poppi Montagneri</v>
      </c>
      <c r="B128" s="390" t="str">
        <f>IFERROR(__xludf.DUMMYFUNCTION("""COMPUTED_VALUE"""),"2° Licenciatura")</f>
        <v>2° Licenciatura</v>
      </c>
      <c r="C128" s="390" t="str">
        <f>IFERROR(__xludf.DUMMYFUNCTION("""COMPUTED_VALUE"""),"Pedagogia")</f>
        <v>Pedagogia</v>
      </c>
      <c r="D128" s="390" t="str">
        <f>IFERROR(__xludf.DUMMYFUNCTION("""COMPUTED_VALUE"""),"Entregue - Email - Mariana 18/07/2024")</f>
        <v>Entregue - Email - Mariana 18/07/2024</v>
      </c>
      <c r="E128" s="390"/>
      <c r="F128" s="390"/>
      <c r="G128" s="390"/>
      <c r="H128" s="390"/>
      <c r="I128" s="390"/>
      <c r="J128" s="390"/>
      <c r="K128" s="390"/>
      <c r="L128" s="390"/>
      <c r="M128" s="390"/>
      <c r="N128" s="390"/>
      <c r="O128" s="390"/>
      <c r="P128" s="390"/>
      <c r="Q128" s="390"/>
      <c r="R128" s="390"/>
      <c r="S128" s="390"/>
      <c r="T128" s="390"/>
      <c r="U128" s="390"/>
      <c r="V128" s="390"/>
      <c r="W128" s="390"/>
      <c r="X128" s="390"/>
      <c r="Y128" s="390"/>
    </row>
    <row r="129">
      <c r="A129" s="390" t="str">
        <f>IFERROR(__xludf.DUMMYFUNCTION("""COMPUTED_VALUE"""),"Juliana de Oliveira Cremasco")</f>
        <v>Juliana de Oliveira Cremasco</v>
      </c>
      <c r="B129" s="390" t="str">
        <f>IFERROR(__xludf.DUMMYFUNCTION("""COMPUTED_VALUE"""),"2° Licenciatura")</f>
        <v>2° Licenciatura</v>
      </c>
      <c r="C129" s="390" t="str">
        <f>IFERROR(__xludf.DUMMYFUNCTION("""COMPUTED_VALUE"""),"História")</f>
        <v>História</v>
      </c>
      <c r="D129" s="390" t="str">
        <f>IFERROR(__xludf.DUMMYFUNCTION("""COMPUTED_VALUE"""),"Entregue - Email - Mariana 18/07/2024")</f>
        <v>Entregue - Email - Mariana 18/07/2024</v>
      </c>
      <c r="E129" s="390"/>
      <c r="F129" s="390"/>
      <c r="G129" s="390"/>
      <c r="H129" s="390"/>
      <c r="I129" s="390"/>
      <c r="J129" s="390"/>
      <c r="K129" s="390"/>
      <c r="L129" s="390"/>
      <c r="M129" s="390"/>
      <c r="N129" s="390"/>
      <c r="O129" s="390"/>
      <c r="P129" s="390"/>
      <c r="Q129" s="390"/>
      <c r="R129" s="390"/>
      <c r="S129" s="390"/>
      <c r="T129" s="390"/>
      <c r="U129" s="390"/>
      <c r="V129" s="390"/>
      <c r="W129" s="390"/>
      <c r="X129" s="390"/>
      <c r="Y129" s="390"/>
    </row>
    <row r="130">
      <c r="A130" s="390" t="str">
        <f>IFERROR(__xludf.DUMMYFUNCTION("""COMPUTED_VALUE"""),"Luiz Fernando Razzotto")</f>
        <v>Luiz Fernando Razzotto</v>
      </c>
      <c r="B130" s="390" t="str">
        <f>IFERROR(__xludf.DUMMYFUNCTION("""COMPUTED_VALUE"""),"2° Licenciatura")</f>
        <v>2° Licenciatura</v>
      </c>
      <c r="C130" s="390" t="str">
        <f>IFERROR(__xludf.DUMMYFUNCTION("""COMPUTED_VALUE"""),"Pedagogia")</f>
        <v>Pedagogia</v>
      </c>
      <c r="D130" s="390" t="str">
        <f>IFERROR(__xludf.DUMMYFUNCTION("""COMPUTED_VALUE"""),"Entregue - Email - Mariana 18/07/2024")</f>
        <v>Entregue - Email - Mariana 18/07/2024</v>
      </c>
      <c r="E130" s="390"/>
      <c r="F130" s="390"/>
      <c r="G130" s="390"/>
      <c r="H130" s="390"/>
      <c r="I130" s="390"/>
      <c r="J130" s="390"/>
      <c r="K130" s="390"/>
      <c r="L130" s="390"/>
      <c r="M130" s="390"/>
      <c r="N130" s="390"/>
      <c r="O130" s="390"/>
      <c r="P130" s="390"/>
      <c r="Q130" s="390"/>
      <c r="R130" s="390"/>
      <c r="S130" s="390"/>
      <c r="T130" s="390"/>
      <c r="U130" s="390"/>
      <c r="V130" s="390"/>
      <c r="W130" s="390"/>
      <c r="X130" s="390"/>
      <c r="Y130" s="390"/>
    </row>
    <row r="131">
      <c r="A131" s="390" t="str">
        <f>IFERROR(__xludf.DUMMYFUNCTION("""COMPUTED_VALUE"""),"Thays Alves Rodrigues Menezes")</f>
        <v>Thays Alves Rodrigues Menezes</v>
      </c>
      <c r="B131" s="390" t="str">
        <f>IFERROR(__xludf.DUMMYFUNCTION("""COMPUTED_VALUE"""),"Form. Pedagógica")</f>
        <v>Form. Pedagógica</v>
      </c>
      <c r="C131" s="390" t="str">
        <f>IFERROR(__xludf.DUMMYFUNCTION("""COMPUTED_VALUE"""),"Pedagogia")</f>
        <v>Pedagogia</v>
      </c>
      <c r="D131" s="390" t="str">
        <f>IFERROR(__xludf.DUMMYFUNCTION("""COMPUTED_VALUE"""),"Entregue - Email - Mariana 16/07/2024")</f>
        <v>Entregue - Email - Mariana 16/07/2024</v>
      </c>
      <c r="E131" s="390"/>
      <c r="F131" s="390"/>
      <c r="G131" s="390"/>
      <c r="H131" s="390"/>
      <c r="I131" s="390"/>
      <c r="J131" s="390"/>
      <c r="K131" s="390"/>
      <c r="L131" s="390"/>
      <c r="M131" s="390"/>
      <c r="N131" s="390"/>
      <c r="O131" s="390"/>
      <c r="P131" s="390"/>
      <c r="Q131" s="390"/>
      <c r="R131" s="390"/>
      <c r="S131" s="390"/>
      <c r="T131" s="390"/>
      <c r="U131" s="390"/>
      <c r="V131" s="390"/>
      <c r="W131" s="390"/>
      <c r="X131" s="390"/>
      <c r="Y131" s="390"/>
    </row>
    <row r="132">
      <c r="A132" s="390" t="str">
        <f>IFERROR(__xludf.DUMMYFUNCTION("""COMPUTED_VALUE"""),"Andréa dos Santos Costa")</f>
        <v>Andréa dos Santos Costa</v>
      </c>
      <c r="B132" s="390" t="str">
        <f>IFERROR(__xludf.DUMMYFUNCTION("""COMPUTED_VALUE"""),"2° Licenciatura")</f>
        <v>2° Licenciatura</v>
      </c>
      <c r="C132" s="390" t="str">
        <f>IFERROR(__xludf.DUMMYFUNCTION("""COMPUTED_VALUE"""),"Pedagogia")</f>
        <v>Pedagogia</v>
      </c>
      <c r="D132" s="390" t="str">
        <f>IFERROR(__xludf.DUMMYFUNCTION("""COMPUTED_VALUE"""),"Entregue - Email - Mariana 16/07/2024")</f>
        <v>Entregue - Email - Mariana 16/07/2024</v>
      </c>
      <c r="E132" s="390"/>
      <c r="F132" s="390"/>
      <c r="G132" s="390"/>
      <c r="H132" s="390"/>
      <c r="I132" s="390"/>
      <c r="J132" s="390"/>
      <c r="K132" s="390"/>
      <c r="L132" s="390"/>
      <c r="M132" s="390"/>
      <c r="N132" s="390"/>
      <c r="O132" s="390"/>
      <c r="P132" s="390"/>
      <c r="Q132" s="390"/>
      <c r="R132" s="390"/>
      <c r="S132" s="390"/>
      <c r="T132" s="390"/>
      <c r="U132" s="390"/>
      <c r="V132" s="390"/>
      <c r="W132" s="390"/>
      <c r="X132" s="390"/>
      <c r="Y132" s="390"/>
    </row>
    <row r="133">
      <c r="A133" s="390" t="str">
        <f>IFERROR(__xludf.DUMMYFUNCTION("""COMPUTED_VALUE"""),"Cristiane Fernandes de Almeida")</f>
        <v>Cristiane Fernandes de Almeida</v>
      </c>
      <c r="B133" s="390" t="str">
        <f>IFERROR(__xludf.DUMMYFUNCTION("""COMPUTED_VALUE"""),"2° Licenciatura")</f>
        <v>2° Licenciatura</v>
      </c>
      <c r="C133" s="390" t="str">
        <f>IFERROR(__xludf.DUMMYFUNCTION("""COMPUTED_VALUE"""),"Pedagogia")</f>
        <v>Pedagogia</v>
      </c>
      <c r="D133" s="390" t="str">
        <f>IFERROR(__xludf.DUMMYFUNCTION("""COMPUTED_VALUE"""),"Entregue email - Mariana - 19/07/2024")</f>
        <v>Entregue email - Mariana - 19/07/2024</v>
      </c>
      <c r="E133" s="390"/>
      <c r="F133" s="390"/>
      <c r="G133" s="390"/>
      <c r="H133" s="390"/>
      <c r="I133" s="390"/>
      <c r="J133" s="390"/>
      <c r="K133" s="390"/>
      <c r="L133" s="390"/>
      <c r="M133" s="390"/>
      <c r="N133" s="390"/>
      <c r="O133" s="390"/>
      <c r="P133" s="390"/>
      <c r="Q133" s="390"/>
      <c r="R133" s="390"/>
      <c r="S133" s="390"/>
      <c r="T133" s="390"/>
      <c r="U133" s="390"/>
      <c r="V133" s="390"/>
      <c r="W133" s="390"/>
      <c r="X133" s="390"/>
      <c r="Y133" s="390"/>
    </row>
    <row r="134">
      <c r="A134" s="390" t="str">
        <f>IFERROR(__xludf.DUMMYFUNCTION("""COMPUTED_VALUE"""),"Luís Antonio D'Agosto")</f>
        <v>Luís Antonio D'Agosto</v>
      </c>
      <c r="B134" s="390" t="str">
        <f>IFERROR(__xludf.DUMMYFUNCTION("""COMPUTED_VALUE"""),"Form. Pedagógica")</f>
        <v>Form. Pedagógica</v>
      </c>
      <c r="C134" s="390" t="str">
        <f>IFERROR(__xludf.DUMMYFUNCTION("""COMPUTED_VALUE"""),"Pedagogia")</f>
        <v>Pedagogia</v>
      </c>
      <c r="D134" s="390" t="str">
        <f>IFERROR(__xludf.DUMMYFUNCTION("""COMPUTED_VALUE"""),"Entregue email - Mariana - 23/07/2024")</f>
        <v>Entregue email - Mariana - 23/07/2024</v>
      </c>
      <c r="E134" s="390"/>
      <c r="F134" s="390"/>
      <c r="G134" s="390"/>
      <c r="H134" s="390"/>
      <c r="I134" s="390"/>
      <c r="J134" s="390"/>
      <c r="K134" s="390"/>
      <c r="L134" s="390"/>
      <c r="M134" s="390"/>
      <c r="N134" s="390"/>
      <c r="O134" s="390"/>
      <c r="P134" s="390"/>
      <c r="Q134" s="390"/>
      <c r="R134" s="390"/>
      <c r="S134" s="390"/>
      <c r="T134" s="390"/>
      <c r="U134" s="390"/>
      <c r="V134" s="390"/>
      <c r="W134" s="390"/>
      <c r="X134" s="390"/>
      <c r="Y134" s="390"/>
    </row>
    <row r="135">
      <c r="A135" s="390" t="str">
        <f>IFERROR(__xludf.DUMMYFUNCTION("""COMPUTED_VALUE"""),"Rita Moreira Costa")</f>
        <v>Rita Moreira Costa</v>
      </c>
      <c r="B135" s="390" t="str">
        <f>IFERROR(__xludf.DUMMYFUNCTION("""COMPUTED_VALUE"""),"Form. Pedagógica")</f>
        <v>Form. Pedagógica</v>
      </c>
      <c r="C135" s="390" t="str">
        <f>IFERROR(__xludf.DUMMYFUNCTION("""COMPUTED_VALUE"""),"Letras - Português e Inglês")</f>
        <v>Letras - Português e Inglês</v>
      </c>
      <c r="D135" s="390" t="str">
        <f>IFERROR(__xludf.DUMMYFUNCTION("""COMPUTED_VALUE"""),"Entregue email - Mariana - 23/07/2024")</f>
        <v>Entregue email - Mariana - 23/07/2024</v>
      </c>
      <c r="E135" s="390"/>
      <c r="F135" s="390"/>
      <c r="G135" s="390"/>
      <c r="H135" s="390"/>
      <c r="I135" s="390"/>
      <c r="J135" s="390"/>
      <c r="K135" s="390"/>
      <c r="L135" s="390"/>
      <c r="M135" s="390"/>
      <c r="N135" s="390"/>
      <c r="O135" s="390"/>
      <c r="P135" s="390"/>
      <c r="Q135" s="390"/>
      <c r="R135" s="390"/>
      <c r="S135" s="390"/>
      <c r="T135" s="390"/>
      <c r="U135" s="390"/>
      <c r="V135" s="390"/>
      <c r="W135" s="390"/>
      <c r="X135" s="390"/>
      <c r="Y135" s="390"/>
    </row>
    <row r="136">
      <c r="A136" s="390" t="str">
        <f>IFERROR(__xludf.DUMMYFUNCTION("""COMPUTED_VALUE"""),"Maria Domingas Alves")</f>
        <v>Maria Domingas Alves</v>
      </c>
      <c r="B136" s="390" t="str">
        <f>IFERROR(__xludf.DUMMYFUNCTION("""COMPUTED_VALUE"""),"2° Licenciatura")</f>
        <v>2° Licenciatura</v>
      </c>
      <c r="C136" s="390" t="str">
        <f>IFERROR(__xludf.DUMMYFUNCTION("""COMPUTED_VALUE"""),"História")</f>
        <v>História</v>
      </c>
      <c r="D136" s="390" t="str">
        <f>IFERROR(__xludf.DUMMYFUNCTION("""COMPUTED_VALUE"""),"Entregue email - Mariana - 23/07/2024")</f>
        <v>Entregue email - Mariana - 23/07/2024</v>
      </c>
      <c r="E136" s="390"/>
      <c r="F136" s="390"/>
      <c r="G136" s="390"/>
      <c r="H136" s="390"/>
      <c r="I136" s="390"/>
      <c r="J136" s="390"/>
      <c r="K136" s="390"/>
      <c r="L136" s="390"/>
      <c r="M136" s="390"/>
      <c r="N136" s="390"/>
      <c r="O136" s="390"/>
      <c r="P136" s="390"/>
      <c r="Q136" s="390"/>
      <c r="R136" s="390"/>
      <c r="S136" s="390"/>
      <c r="T136" s="390"/>
      <c r="U136" s="390"/>
      <c r="V136" s="390"/>
      <c r="W136" s="390"/>
      <c r="X136" s="390"/>
      <c r="Y136" s="390"/>
    </row>
    <row r="137">
      <c r="A137" s="390" t="str">
        <f>IFERROR(__xludf.DUMMYFUNCTION("""COMPUTED_VALUE"""),"Karla Daniele Leite Matos Ribeiro")</f>
        <v>Karla Daniele Leite Matos Ribeiro</v>
      </c>
      <c r="B137" s="390" t="str">
        <f>IFERROR(__xludf.DUMMYFUNCTION("""COMPUTED_VALUE"""),"2° Licenciatura")</f>
        <v>2° Licenciatura</v>
      </c>
      <c r="C137" s="390" t="str">
        <f>IFERROR(__xludf.DUMMYFUNCTION("""COMPUTED_VALUE"""),"Artes Visuais")</f>
        <v>Artes Visuais</v>
      </c>
      <c r="D137" s="390" t="str">
        <f>IFERROR(__xludf.DUMMYFUNCTION("""COMPUTED_VALUE"""),"Entregue email - Mariana - 23/07/2024")</f>
        <v>Entregue email - Mariana - 23/07/2024</v>
      </c>
      <c r="E137" s="390"/>
      <c r="F137" s="390"/>
      <c r="G137" s="390"/>
      <c r="H137" s="390"/>
      <c r="I137" s="390"/>
      <c r="J137" s="390"/>
      <c r="K137" s="390"/>
      <c r="L137" s="390"/>
      <c r="M137" s="390"/>
      <c r="N137" s="390"/>
      <c r="O137" s="390"/>
      <c r="P137" s="390"/>
      <c r="Q137" s="390"/>
      <c r="R137" s="390"/>
      <c r="S137" s="390"/>
      <c r="T137" s="390"/>
      <c r="U137" s="390"/>
      <c r="V137" s="390"/>
      <c r="W137" s="390"/>
      <c r="X137" s="390"/>
      <c r="Y137" s="390"/>
    </row>
    <row r="138">
      <c r="A138" s="390" t="str">
        <f>IFERROR(__xludf.DUMMYFUNCTION("""COMPUTED_VALUE"""),"João Eduardo Marques Salles")</f>
        <v>João Eduardo Marques Salles</v>
      </c>
      <c r="B138" s="390" t="str">
        <f>IFERROR(__xludf.DUMMYFUNCTION("""COMPUTED_VALUE"""),"2° Licenciatura")</f>
        <v>2° Licenciatura</v>
      </c>
      <c r="C138" s="390" t="str">
        <f>IFERROR(__xludf.DUMMYFUNCTION("""COMPUTED_VALUE"""),"Educação Fisica")</f>
        <v>Educação Fisica</v>
      </c>
      <c r="D138" s="390" t="str">
        <f>IFERROR(__xludf.DUMMYFUNCTION("""COMPUTED_VALUE"""),"Entregue email 0 Mariana - 23/07/2024")</f>
        <v>Entregue email 0 Mariana - 23/07/2024</v>
      </c>
      <c r="E138" s="390"/>
      <c r="F138" s="390"/>
      <c r="G138" s="390"/>
      <c r="H138" s="390"/>
      <c r="I138" s="390"/>
      <c r="J138" s="390"/>
      <c r="K138" s="390"/>
      <c r="L138" s="390"/>
      <c r="M138" s="390"/>
      <c r="N138" s="390"/>
      <c r="O138" s="390"/>
      <c r="P138" s="390"/>
      <c r="Q138" s="390"/>
      <c r="R138" s="390"/>
      <c r="S138" s="390"/>
      <c r="T138" s="390"/>
      <c r="U138" s="390"/>
      <c r="V138" s="390"/>
      <c r="W138" s="390"/>
      <c r="X138" s="390"/>
      <c r="Y138" s="390"/>
    </row>
    <row r="139">
      <c r="A139" s="390" t="str">
        <f>IFERROR(__xludf.DUMMYFUNCTION("""COMPUTED_VALUE"""),"Andressa Leviski Guedes")</f>
        <v>Andressa Leviski Guedes</v>
      </c>
      <c r="B139" s="390" t="str">
        <f>IFERROR(__xludf.DUMMYFUNCTION("""COMPUTED_VALUE"""),"2° Licenciatura")</f>
        <v>2° Licenciatura</v>
      </c>
      <c r="C139" s="390" t="str">
        <f>IFERROR(__xludf.DUMMYFUNCTION("""COMPUTED_VALUE"""),"Pedagogia")</f>
        <v>Pedagogia</v>
      </c>
      <c r="D139" s="390" t="str">
        <f>IFERROR(__xludf.DUMMYFUNCTION("""COMPUTED_VALUE"""),"Entregue email - Mariana - 23/07/2024")</f>
        <v>Entregue email - Mariana - 23/07/2024</v>
      </c>
      <c r="E139" s="390"/>
      <c r="F139" s="390"/>
      <c r="G139" s="390"/>
      <c r="H139" s="390"/>
      <c r="I139" s="390"/>
      <c r="J139" s="390"/>
      <c r="K139" s="390"/>
      <c r="L139" s="390"/>
      <c r="M139" s="390"/>
      <c r="N139" s="390"/>
      <c r="O139" s="390"/>
      <c r="P139" s="390"/>
      <c r="Q139" s="390"/>
      <c r="R139" s="390"/>
      <c r="S139" s="390"/>
      <c r="T139" s="390"/>
      <c r="U139" s="390"/>
      <c r="V139" s="390"/>
      <c r="W139" s="390"/>
      <c r="X139" s="390"/>
      <c r="Y139" s="390"/>
    </row>
    <row r="140">
      <c r="A140" s="390" t="str">
        <f>IFERROR(__xludf.DUMMYFUNCTION("""COMPUTED_VALUE"""),"Larissa Shimizo Marchi Braga ")</f>
        <v>Larissa Shimizo Marchi Braga </v>
      </c>
      <c r="B140" s="390" t="str">
        <f>IFERROR(__xludf.DUMMYFUNCTION("""COMPUTED_VALUE"""),"2° Licenciatura")</f>
        <v>2° Licenciatura</v>
      </c>
      <c r="C140" s="390" t="str">
        <f>IFERROR(__xludf.DUMMYFUNCTION("""COMPUTED_VALUE"""),"Pedagogia")</f>
        <v>Pedagogia</v>
      </c>
      <c r="D140" s="390" t="str">
        <f>IFERROR(__xludf.DUMMYFUNCTION("""COMPUTED_VALUE"""),"Enviado e-mail 26/07/2024 - Mariana")</f>
        <v>Enviado e-mail 26/07/2024 - Mariana</v>
      </c>
      <c r="E140" s="390"/>
      <c r="F140" s="390"/>
      <c r="G140" s="390"/>
      <c r="H140" s="390"/>
      <c r="I140" s="390"/>
      <c r="J140" s="390"/>
      <c r="K140" s="390"/>
      <c r="L140" s="390"/>
      <c r="M140" s="390"/>
      <c r="N140" s="390"/>
      <c r="O140" s="390"/>
      <c r="P140" s="390"/>
      <c r="Q140" s="390"/>
      <c r="R140" s="390"/>
      <c r="S140" s="390"/>
      <c r="T140" s="390"/>
      <c r="U140" s="390"/>
      <c r="V140" s="390"/>
      <c r="W140" s="390"/>
      <c r="X140" s="390"/>
      <c r="Y140" s="390"/>
    </row>
    <row r="141">
      <c r="A141" s="390" t="str">
        <f>IFERROR(__xludf.DUMMYFUNCTION("""COMPUTED_VALUE"""),"Mesiuda Lima de Carvalho Costa")</f>
        <v>Mesiuda Lima de Carvalho Costa</v>
      </c>
      <c r="B141" s="390" t="str">
        <f>IFERROR(__xludf.DUMMYFUNCTION("""COMPUTED_VALUE"""),"2° Licenciatura")</f>
        <v>2° Licenciatura</v>
      </c>
      <c r="C141" s="390" t="str">
        <f>IFERROR(__xludf.DUMMYFUNCTION("""COMPUTED_VALUE"""),"Pedagogia")</f>
        <v>Pedagogia</v>
      </c>
      <c r="D141" s="390" t="str">
        <f>IFERROR(__xludf.DUMMYFUNCTION("""COMPUTED_VALUE"""),"Enviado email Mariana - 29/07/2024")</f>
        <v>Enviado email Mariana - 29/07/2024</v>
      </c>
      <c r="E141" s="390"/>
      <c r="F141" s="390"/>
      <c r="G141" s="390"/>
      <c r="H141" s="390"/>
      <c r="I141" s="390"/>
      <c r="J141" s="390"/>
      <c r="K141" s="390"/>
      <c r="L141" s="390"/>
      <c r="M141" s="390"/>
      <c r="N141" s="390"/>
      <c r="O141" s="390"/>
      <c r="P141" s="390"/>
      <c r="Q141" s="390"/>
      <c r="R141" s="390"/>
      <c r="S141" s="390"/>
      <c r="T141" s="390"/>
      <c r="U141" s="390"/>
      <c r="V141" s="390"/>
      <c r="W141" s="390"/>
      <c r="X141" s="390"/>
      <c r="Y141" s="390"/>
    </row>
    <row r="142">
      <c r="A142" s="390" t="str">
        <f>IFERROR(__xludf.DUMMYFUNCTION("""COMPUTED_VALUE"""),"Lúcio Marcelino Ribeiro")</f>
        <v>Lúcio Marcelino Ribeiro</v>
      </c>
      <c r="B142" s="390" t="str">
        <f>IFERROR(__xludf.DUMMYFUNCTION("""COMPUTED_VALUE"""),"2° Licenciatura")</f>
        <v>2° Licenciatura</v>
      </c>
      <c r="C142" s="390" t="str">
        <f>IFERROR(__xludf.DUMMYFUNCTION("""COMPUTED_VALUE"""),"História")</f>
        <v>História</v>
      </c>
      <c r="D142" s="390" t="str">
        <f>IFERROR(__xludf.DUMMYFUNCTION("""COMPUTED_VALUE"""),"Entregue - Email - Mariana 20/08/2024")</f>
        <v>Entregue - Email - Mariana 20/08/2024</v>
      </c>
      <c r="E142" s="390"/>
      <c r="F142" s="390"/>
      <c r="G142" s="390"/>
      <c r="H142" s="390"/>
      <c r="I142" s="390"/>
      <c r="J142" s="390"/>
      <c r="K142" s="390"/>
      <c r="L142" s="390"/>
      <c r="M142" s="390"/>
      <c r="N142" s="390"/>
      <c r="O142" s="390"/>
      <c r="P142" s="390"/>
      <c r="Q142" s="390"/>
      <c r="R142" s="390"/>
      <c r="S142" s="390"/>
      <c r="T142" s="390"/>
      <c r="U142" s="390"/>
      <c r="V142" s="390"/>
      <c r="W142" s="390"/>
      <c r="X142" s="390"/>
      <c r="Y142" s="390"/>
    </row>
    <row r="143">
      <c r="A143" s="390" t="str">
        <f>IFERROR(__xludf.DUMMYFUNCTION("""COMPUTED_VALUE"""),"Tacylla Lima Silva")</f>
        <v>Tacylla Lima Silva</v>
      </c>
      <c r="B143" s="390" t="str">
        <f>IFERROR(__xludf.DUMMYFUNCTION("""COMPUTED_VALUE"""),"2° Licenciatura")</f>
        <v>2° Licenciatura</v>
      </c>
      <c r="C143" s="390" t="str">
        <f>IFERROR(__xludf.DUMMYFUNCTION("""COMPUTED_VALUE"""),"Educação Especial")</f>
        <v>Educação Especial</v>
      </c>
      <c r="D143" s="390" t="str">
        <f>IFERROR(__xludf.DUMMYFUNCTION("""COMPUTED_VALUE"""),"Entregue - Email - Mariana 19/08/2024")</f>
        <v>Entregue - Email - Mariana 19/08/2024</v>
      </c>
      <c r="E143" s="390"/>
      <c r="F143" s="390"/>
      <c r="G143" s="390"/>
      <c r="H143" s="390"/>
      <c r="I143" s="390"/>
      <c r="J143" s="390"/>
      <c r="K143" s="390"/>
      <c r="L143" s="390"/>
      <c r="M143" s="390"/>
      <c r="N143" s="390"/>
      <c r="O143" s="390"/>
      <c r="P143" s="390"/>
      <c r="Q143" s="390"/>
      <c r="R143" s="390"/>
      <c r="S143" s="390"/>
      <c r="T143" s="390"/>
      <c r="U143" s="390"/>
      <c r="V143" s="390"/>
      <c r="W143" s="390"/>
      <c r="X143" s="390"/>
      <c r="Y143" s="390"/>
    </row>
    <row r="144">
      <c r="A144" s="390" t="str">
        <f>IFERROR(__xludf.DUMMYFUNCTION("""COMPUTED_VALUE"""),"José Silva Ribeiro")</f>
        <v>José Silva Ribeiro</v>
      </c>
      <c r="B144" s="390" t="str">
        <f>IFERROR(__xludf.DUMMYFUNCTION("""COMPUTED_VALUE"""),"2° Licenciatura")</f>
        <v>2° Licenciatura</v>
      </c>
      <c r="C144" s="390" t="str">
        <f>IFERROR(__xludf.DUMMYFUNCTION("""COMPUTED_VALUE"""),"Artes Visuais")</f>
        <v>Artes Visuais</v>
      </c>
      <c r="D144" s="390" t="str">
        <f>IFERROR(__xludf.DUMMYFUNCTION("""COMPUTED_VALUE"""),"Entregue - Email - Mariana 20/08/2024")</f>
        <v>Entregue - Email - Mariana 20/08/2024</v>
      </c>
      <c r="E144" s="390"/>
      <c r="F144" s="390"/>
      <c r="G144" s="390"/>
      <c r="H144" s="390"/>
      <c r="I144" s="390"/>
      <c r="J144" s="390"/>
      <c r="K144" s="390"/>
      <c r="L144" s="390"/>
      <c r="M144" s="390"/>
      <c r="N144" s="390"/>
      <c r="O144" s="390"/>
      <c r="P144" s="390"/>
      <c r="Q144" s="390"/>
      <c r="R144" s="390"/>
      <c r="S144" s="390"/>
      <c r="T144" s="390"/>
      <c r="U144" s="390"/>
      <c r="V144" s="390"/>
      <c r="W144" s="390"/>
      <c r="X144" s="390"/>
      <c r="Y144" s="390"/>
    </row>
    <row r="145">
      <c r="A145" s="390" t="str">
        <f>IFERROR(__xludf.DUMMYFUNCTION("""COMPUTED_VALUE"""),"Paulo Cesar Lopes Garcia")</f>
        <v>Paulo Cesar Lopes Garcia</v>
      </c>
      <c r="B145" s="390" t="str">
        <f>IFERROR(__xludf.DUMMYFUNCTION("""COMPUTED_VALUE"""),"2° Licenciatura")</f>
        <v>2° Licenciatura</v>
      </c>
      <c r="C145" s="390" t="str">
        <f>IFERROR(__xludf.DUMMYFUNCTION("""COMPUTED_VALUE"""),"Educação Física")</f>
        <v>Educação Física</v>
      </c>
      <c r="D145" s="390" t="str">
        <f>IFERROR(__xludf.DUMMYFUNCTION("""COMPUTED_VALUE"""),"Entregue - Email - Mariana 20/08/2024")</f>
        <v>Entregue - Email - Mariana 20/08/2024</v>
      </c>
      <c r="E145" s="390"/>
      <c r="F145" s="390"/>
      <c r="G145" s="390"/>
      <c r="H145" s="390"/>
      <c r="I145" s="390"/>
      <c r="J145" s="390"/>
      <c r="K145" s="390"/>
      <c r="L145" s="390"/>
      <c r="M145" s="390"/>
      <c r="N145" s="390"/>
      <c r="O145" s="390"/>
      <c r="P145" s="390"/>
      <c r="Q145" s="390"/>
      <c r="R145" s="390"/>
      <c r="S145" s="390"/>
      <c r="T145" s="390"/>
      <c r="U145" s="390"/>
      <c r="V145" s="390"/>
      <c r="W145" s="390"/>
      <c r="X145" s="390"/>
      <c r="Y145" s="390"/>
    </row>
    <row r="146">
      <c r="A146" s="390" t="str">
        <f>IFERROR(__xludf.DUMMYFUNCTION("""COMPUTED_VALUE"""),"Roberta Ferreira")</f>
        <v>Roberta Ferreira</v>
      </c>
      <c r="B146" s="390" t="str">
        <f>IFERROR(__xludf.DUMMYFUNCTION("""COMPUTED_VALUE"""),"2° Licenciatura")</f>
        <v>2° Licenciatura</v>
      </c>
      <c r="C146" s="390" t="str">
        <f>IFERROR(__xludf.DUMMYFUNCTION("""COMPUTED_VALUE"""),"Pedagogia")</f>
        <v>Pedagogia</v>
      </c>
      <c r="D146" s="390" t="str">
        <f>IFERROR(__xludf.DUMMYFUNCTION("""COMPUTED_VALUE"""),"Entregue - Email - Mariana 19/08/2024")</f>
        <v>Entregue - Email - Mariana 19/08/2024</v>
      </c>
      <c r="E146" s="390"/>
      <c r="F146" s="390"/>
      <c r="G146" s="390"/>
      <c r="H146" s="390"/>
      <c r="I146" s="390"/>
      <c r="J146" s="390"/>
      <c r="K146" s="390"/>
      <c r="L146" s="390"/>
      <c r="M146" s="390"/>
      <c r="N146" s="390"/>
      <c r="O146" s="390"/>
      <c r="P146" s="390"/>
      <c r="Q146" s="390"/>
      <c r="R146" s="390"/>
      <c r="S146" s="390"/>
      <c r="T146" s="390"/>
      <c r="U146" s="390"/>
      <c r="V146" s="390"/>
      <c r="W146" s="390"/>
      <c r="X146" s="390"/>
      <c r="Y146" s="390"/>
    </row>
    <row r="147">
      <c r="A147" s="390" t="str">
        <f>IFERROR(__xludf.DUMMYFUNCTION("""COMPUTED_VALUE"""),"Claudia Massuia Leal de Souza")</f>
        <v>Claudia Massuia Leal de Souza</v>
      </c>
      <c r="B147" s="390" t="str">
        <f>IFERROR(__xludf.DUMMYFUNCTION("""COMPUTED_VALUE"""),"2° Licenciatura")</f>
        <v>2° Licenciatura</v>
      </c>
      <c r="C147" s="390" t="str">
        <f>IFERROR(__xludf.DUMMYFUNCTION("""COMPUTED_VALUE"""),"Pedagogia")</f>
        <v>Pedagogia</v>
      </c>
      <c r="D147" s="390" t="str">
        <f>IFERROR(__xludf.DUMMYFUNCTION("""COMPUTED_VALUE"""),"Entregue - Email - Mariana 19/08/2024")</f>
        <v>Entregue - Email - Mariana 19/08/2024</v>
      </c>
      <c r="E147" s="390"/>
      <c r="F147" s="390"/>
      <c r="G147" s="390"/>
      <c r="H147" s="390"/>
      <c r="I147" s="390"/>
      <c r="J147" s="390"/>
      <c r="K147" s="390"/>
      <c r="L147" s="390"/>
      <c r="M147" s="390"/>
      <c r="N147" s="390"/>
      <c r="O147" s="390"/>
      <c r="P147" s="390"/>
      <c r="Q147" s="390"/>
      <c r="R147" s="390"/>
      <c r="S147" s="390"/>
      <c r="T147" s="390"/>
      <c r="U147" s="390"/>
      <c r="V147" s="390"/>
      <c r="W147" s="390"/>
      <c r="X147" s="390"/>
      <c r="Y147" s="390"/>
    </row>
    <row r="148">
      <c r="A148" s="390" t="str">
        <f>IFERROR(__xludf.DUMMYFUNCTION("""COMPUTED_VALUE"""),"Ítalo Cardoso de Lima")</f>
        <v>Ítalo Cardoso de Lima</v>
      </c>
      <c r="B148" s="390" t="str">
        <f>IFERROR(__xludf.DUMMYFUNCTION("""COMPUTED_VALUE"""),"Form. Pedagógica")</f>
        <v>Form. Pedagógica</v>
      </c>
      <c r="C148" s="390" t="str">
        <f>IFERROR(__xludf.DUMMYFUNCTION("""COMPUTED_VALUE"""),"Artes Visuais")</f>
        <v>Artes Visuais</v>
      </c>
      <c r="D148" s="390" t="str">
        <f>IFERROR(__xludf.DUMMYFUNCTION("""COMPUTED_VALUE"""),"Entregue - Email - Mariana 16/08/2024")</f>
        <v>Entregue - Email - Mariana 16/08/2024</v>
      </c>
      <c r="E148" s="390"/>
      <c r="F148" s="390"/>
      <c r="G148" s="390"/>
      <c r="H148" s="390"/>
      <c r="I148" s="390"/>
      <c r="J148" s="390"/>
      <c r="K148" s="390"/>
      <c r="L148" s="390"/>
      <c r="M148" s="390"/>
      <c r="N148" s="390"/>
      <c r="O148" s="390"/>
      <c r="P148" s="390"/>
      <c r="Q148" s="390"/>
      <c r="R148" s="390"/>
      <c r="S148" s="390"/>
      <c r="T148" s="390"/>
      <c r="U148" s="390"/>
      <c r="V148" s="390"/>
      <c r="W148" s="390"/>
      <c r="X148" s="390"/>
      <c r="Y148" s="390"/>
    </row>
    <row r="149">
      <c r="A149" s="390" t="str">
        <f>IFERROR(__xludf.DUMMYFUNCTION("""COMPUTED_VALUE"""),"Marcileia Ana Dos Santos")</f>
        <v>Marcileia Ana Dos Santos</v>
      </c>
      <c r="B149" s="390" t="str">
        <f>IFERROR(__xludf.DUMMYFUNCTION("""COMPUTED_VALUE"""),"2° Licenciatura")</f>
        <v>2° Licenciatura</v>
      </c>
      <c r="C149" s="390" t="str">
        <f>IFERROR(__xludf.DUMMYFUNCTION("""COMPUTED_VALUE"""),"Pedagogia")</f>
        <v>Pedagogia</v>
      </c>
      <c r="D149" s="390" t="str">
        <f>IFERROR(__xludf.DUMMYFUNCTION("""COMPUTED_VALUE"""),"Entregue - Email - Mariana 19/08/2024")</f>
        <v>Entregue - Email - Mariana 19/08/2024</v>
      </c>
      <c r="E149" s="390"/>
      <c r="F149" s="390"/>
      <c r="G149" s="390"/>
      <c r="H149" s="390"/>
      <c r="I149" s="390"/>
      <c r="J149" s="390"/>
      <c r="K149" s="390"/>
      <c r="L149" s="390"/>
      <c r="M149" s="390"/>
      <c r="N149" s="390"/>
      <c r="O149" s="390"/>
      <c r="P149" s="390"/>
      <c r="Q149" s="390"/>
      <c r="R149" s="390"/>
      <c r="S149" s="390"/>
      <c r="T149" s="390"/>
      <c r="U149" s="390"/>
      <c r="V149" s="390"/>
      <c r="W149" s="390"/>
      <c r="X149" s="390"/>
      <c r="Y149" s="390"/>
    </row>
    <row r="150">
      <c r="A150" s="390" t="str">
        <f>IFERROR(__xludf.DUMMYFUNCTION("""COMPUTED_VALUE"""),"Eliana de Lima Pereira")</f>
        <v>Eliana de Lima Pereira</v>
      </c>
      <c r="B150" s="390" t="str">
        <f>IFERROR(__xludf.DUMMYFUNCTION("""COMPUTED_VALUE"""),"Form. Pedagógica")</f>
        <v>Form. Pedagógica</v>
      </c>
      <c r="C150" s="390" t="str">
        <f>IFERROR(__xludf.DUMMYFUNCTION("""COMPUTED_VALUE"""),"Educação Fisica")</f>
        <v>Educação Fisica</v>
      </c>
      <c r="D150" s="390" t="str">
        <f>IFERROR(__xludf.DUMMYFUNCTION("""COMPUTED_VALUE"""),"Entregue - Email - Mariana 19/08/2024")</f>
        <v>Entregue - Email - Mariana 19/08/2024</v>
      </c>
      <c r="E150" s="390"/>
      <c r="F150" s="390"/>
      <c r="G150" s="390"/>
      <c r="H150" s="390"/>
      <c r="I150" s="390"/>
      <c r="J150" s="390"/>
      <c r="K150" s="390"/>
      <c r="L150" s="390"/>
      <c r="M150" s="390"/>
      <c r="N150" s="390"/>
      <c r="O150" s="390"/>
      <c r="P150" s="390"/>
      <c r="Q150" s="390"/>
      <c r="R150" s="390"/>
      <c r="S150" s="390"/>
      <c r="T150" s="390"/>
      <c r="U150" s="390"/>
      <c r="V150" s="390"/>
      <c r="W150" s="390"/>
      <c r="X150" s="390"/>
      <c r="Y150" s="390"/>
    </row>
    <row r="151">
      <c r="A151" s="390" t="str">
        <f>IFERROR(__xludf.DUMMYFUNCTION("""COMPUTED_VALUE"""),"Rosane de Souza Pereira")</f>
        <v>Rosane de Souza Pereira</v>
      </c>
      <c r="B151" s="390" t="str">
        <f>IFERROR(__xludf.DUMMYFUNCTION("""COMPUTED_VALUE"""),"2° Licenciatura")</f>
        <v>2° Licenciatura</v>
      </c>
      <c r="C151" s="390" t="str">
        <f>IFERROR(__xludf.DUMMYFUNCTION("""COMPUTED_VALUE"""),"Pedagogia")</f>
        <v>Pedagogia</v>
      </c>
      <c r="D151" s="390" t="str">
        <f>IFERROR(__xludf.DUMMYFUNCTION("""COMPUTED_VALUE"""),"Entregue - Email - Mariana 21/08/2024")</f>
        <v>Entregue - Email - Mariana 21/08/2024</v>
      </c>
      <c r="E151" s="390"/>
      <c r="F151" s="390"/>
      <c r="G151" s="390"/>
      <c r="H151" s="390"/>
      <c r="I151" s="390"/>
      <c r="J151" s="390"/>
      <c r="K151" s="390"/>
      <c r="L151" s="390"/>
      <c r="M151" s="390"/>
      <c r="N151" s="390"/>
      <c r="O151" s="390"/>
      <c r="P151" s="390"/>
      <c r="Q151" s="390"/>
      <c r="R151" s="390"/>
      <c r="S151" s="390"/>
      <c r="T151" s="390"/>
      <c r="U151" s="390"/>
      <c r="V151" s="390"/>
      <c r="W151" s="390"/>
      <c r="X151" s="390"/>
      <c r="Y151" s="390"/>
    </row>
    <row r="152">
      <c r="A152" s="390" t="str">
        <f>IFERROR(__xludf.DUMMYFUNCTION("""COMPUTED_VALUE"""),"Ariana Guimarães Silva")</f>
        <v>Ariana Guimarães Silva</v>
      </c>
      <c r="B152" s="390" t="str">
        <f>IFERROR(__xludf.DUMMYFUNCTION("""COMPUTED_VALUE"""),"2° Licenciatura")</f>
        <v>2° Licenciatura</v>
      </c>
      <c r="C152" s="390" t="str">
        <f>IFERROR(__xludf.DUMMYFUNCTION("""COMPUTED_VALUE"""),"Pedagogia")</f>
        <v>Pedagogia</v>
      </c>
      <c r="D152" s="390" t="str">
        <f>IFERROR(__xludf.DUMMYFUNCTION("""COMPUTED_VALUE"""),"Entregue - Email - Mariana 19/08/2024")</f>
        <v>Entregue - Email - Mariana 19/08/2024</v>
      </c>
      <c r="E152" s="390"/>
      <c r="F152" s="390"/>
      <c r="G152" s="390"/>
      <c r="H152" s="390"/>
      <c r="I152" s="390"/>
      <c r="J152" s="390"/>
      <c r="K152" s="390"/>
      <c r="L152" s="390"/>
      <c r="M152" s="390"/>
      <c r="N152" s="390"/>
      <c r="O152" s="390"/>
      <c r="P152" s="390"/>
      <c r="Q152" s="390"/>
      <c r="R152" s="390"/>
      <c r="S152" s="390"/>
      <c r="T152" s="390"/>
      <c r="U152" s="390"/>
      <c r="V152" s="390"/>
      <c r="W152" s="390"/>
      <c r="X152" s="390"/>
      <c r="Y152" s="390"/>
    </row>
    <row r="153">
      <c r="A153" s="390" t="str">
        <f>IFERROR(__xludf.DUMMYFUNCTION("""COMPUTED_VALUE"""),"Keli Paim Correa")</f>
        <v>Keli Paim Correa</v>
      </c>
      <c r="B153" s="390" t="str">
        <f>IFERROR(__xludf.DUMMYFUNCTION("""COMPUTED_VALUE"""),"2° Licenciatura")</f>
        <v>2° Licenciatura</v>
      </c>
      <c r="C153" s="390" t="str">
        <f>IFERROR(__xludf.DUMMYFUNCTION("""COMPUTED_VALUE"""),"Artes Visuais")</f>
        <v>Artes Visuais</v>
      </c>
      <c r="D153" s="390" t="str">
        <f>IFERROR(__xludf.DUMMYFUNCTION("""COMPUTED_VALUE"""),"Entregue - Email - Mariana 20/08/2024")</f>
        <v>Entregue - Email - Mariana 20/08/2024</v>
      </c>
      <c r="E153" s="390"/>
      <c r="F153" s="390"/>
      <c r="G153" s="390"/>
      <c r="H153" s="390"/>
      <c r="I153" s="390"/>
      <c r="J153" s="390"/>
      <c r="K153" s="390"/>
      <c r="L153" s="390"/>
      <c r="M153" s="390"/>
      <c r="N153" s="390"/>
      <c r="O153" s="390"/>
      <c r="P153" s="390"/>
      <c r="Q153" s="390"/>
      <c r="R153" s="390"/>
      <c r="S153" s="390"/>
      <c r="T153" s="390"/>
      <c r="U153" s="390"/>
      <c r="V153" s="390"/>
      <c r="W153" s="390"/>
      <c r="X153" s="390"/>
      <c r="Y153" s="390"/>
    </row>
    <row r="154">
      <c r="A154" s="390" t="str">
        <f>IFERROR(__xludf.DUMMYFUNCTION("""COMPUTED_VALUE"""),"Rodrigo de Paula Rodrigues (apressamento)")</f>
        <v>Rodrigo de Paula Rodrigues (apressamento)</v>
      </c>
      <c r="B154" s="390" t="str">
        <f>IFERROR(__xludf.DUMMYFUNCTION("""COMPUTED_VALUE"""),"2° Licenciatura")</f>
        <v>2° Licenciatura</v>
      </c>
      <c r="C154" s="390" t="str">
        <f>IFERROR(__xludf.DUMMYFUNCTION("""COMPUTED_VALUE"""),"Pedagogia")</f>
        <v>Pedagogia</v>
      </c>
      <c r="D154" s="390" t="str">
        <f>IFERROR(__xludf.DUMMYFUNCTION("""COMPUTED_VALUE"""),"Entregue - Email - Mariana 20/08/2024")</f>
        <v>Entregue - Email - Mariana 20/08/2024</v>
      </c>
      <c r="E154" s="390"/>
      <c r="F154" s="390"/>
      <c r="G154" s="390"/>
      <c r="H154" s="390"/>
      <c r="I154" s="390"/>
      <c r="J154" s="390"/>
      <c r="K154" s="390"/>
      <c r="L154" s="390"/>
      <c r="M154" s="390"/>
      <c r="N154" s="390"/>
      <c r="O154" s="390"/>
      <c r="P154" s="390"/>
      <c r="Q154" s="390"/>
      <c r="R154" s="390"/>
      <c r="S154" s="390"/>
      <c r="T154" s="390"/>
      <c r="U154" s="390"/>
      <c r="V154" s="390"/>
      <c r="W154" s="390"/>
      <c r="X154" s="390"/>
      <c r="Y154" s="390"/>
    </row>
    <row r="155">
      <c r="A155" s="390" t="str">
        <f>IFERROR(__xludf.DUMMYFUNCTION("""COMPUTED_VALUE"""),"Rafael Moreira Lima")</f>
        <v>Rafael Moreira Lima</v>
      </c>
      <c r="B155" s="390" t="str">
        <f>IFERROR(__xludf.DUMMYFUNCTION("""COMPUTED_VALUE"""),"2° Licenciatura")</f>
        <v>2° Licenciatura</v>
      </c>
      <c r="C155" s="390" t="str">
        <f>IFERROR(__xludf.DUMMYFUNCTION("""COMPUTED_VALUE"""),"Artes Visuais ")</f>
        <v>Artes Visuais </v>
      </c>
      <c r="D155" s="390" t="str">
        <f>IFERROR(__xludf.DUMMYFUNCTION("""COMPUTED_VALUE"""),"Entregue - Email - Mariana 22/08/2024")</f>
        <v>Entregue - Email - Mariana 22/08/2024</v>
      </c>
      <c r="E155" s="390"/>
      <c r="F155" s="390"/>
      <c r="G155" s="390"/>
      <c r="H155" s="390"/>
      <c r="I155" s="390"/>
      <c r="J155" s="390"/>
      <c r="K155" s="390"/>
      <c r="L155" s="390"/>
      <c r="M155" s="390"/>
      <c r="N155" s="390"/>
      <c r="O155" s="390"/>
      <c r="P155" s="390"/>
      <c r="Q155" s="390"/>
      <c r="R155" s="390"/>
      <c r="S155" s="390"/>
      <c r="T155" s="390"/>
      <c r="U155" s="390"/>
      <c r="V155" s="390"/>
      <c r="W155" s="390"/>
      <c r="X155" s="390"/>
      <c r="Y155" s="390"/>
    </row>
    <row r="156">
      <c r="A156" s="390" t="str">
        <f>IFERROR(__xludf.DUMMYFUNCTION("""COMPUTED_VALUE"""),"Karla Silva Saldanha")</f>
        <v>Karla Silva Saldanha</v>
      </c>
      <c r="B156" s="390" t="str">
        <f>IFERROR(__xludf.DUMMYFUNCTION("""COMPUTED_VALUE"""),"2° Licenciatura")</f>
        <v>2° Licenciatura</v>
      </c>
      <c r="C156" s="390" t="str">
        <f>IFERROR(__xludf.DUMMYFUNCTION("""COMPUTED_VALUE"""),"Letras - Português e Espanhol")</f>
        <v>Letras - Português e Espanhol</v>
      </c>
      <c r="D156" s="390" t="str">
        <f>IFERROR(__xludf.DUMMYFUNCTION("""COMPUTED_VALUE"""),"Entregue - Email - Mariana 20/08/2024")</f>
        <v>Entregue - Email - Mariana 20/08/2024</v>
      </c>
      <c r="E156" s="390"/>
      <c r="F156" s="390"/>
      <c r="G156" s="390"/>
      <c r="H156" s="390"/>
      <c r="I156" s="390"/>
      <c r="J156" s="390"/>
      <c r="K156" s="390"/>
      <c r="L156" s="390"/>
      <c r="M156" s="390"/>
      <c r="N156" s="390"/>
      <c r="O156" s="390"/>
      <c r="P156" s="390"/>
      <c r="Q156" s="390"/>
      <c r="R156" s="390"/>
      <c r="S156" s="390"/>
      <c r="T156" s="390"/>
      <c r="U156" s="390"/>
      <c r="V156" s="390"/>
      <c r="W156" s="390"/>
      <c r="X156" s="390"/>
      <c r="Y156" s="390"/>
    </row>
    <row r="157">
      <c r="A157" s="390" t="str">
        <f>IFERROR(__xludf.DUMMYFUNCTION("""COMPUTED_VALUE"""),"Bárbara da Fonseca Theobald")</f>
        <v>Bárbara da Fonseca Theobald</v>
      </c>
      <c r="B157" s="390" t="str">
        <f>IFERROR(__xludf.DUMMYFUNCTION("""COMPUTED_VALUE"""),"2° Licenciatura")</f>
        <v>2° Licenciatura</v>
      </c>
      <c r="C157" s="390" t="str">
        <f>IFERROR(__xludf.DUMMYFUNCTION("""COMPUTED_VALUE"""),"Artes Visuais ")</f>
        <v>Artes Visuais </v>
      </c>
      <c r="D157" s="390" t="str">
        <f>IFERROR(__xludf.DUMMYFUNCTION("""COMPUTED_VALUE"""),"Entregue - Email - Mariana 19/08/2024")</f>
        <v>Entregue - Email - Mariana 19/08/2024</v>
      </c>
      <c r="E157" s="390"/>
      <c r="F157" s="390"/>
      <c r="G157" s="390"/>
      <c r="H157" s="390"/>
      <c r="I157" s="390"/>
      <c r="J157" s="390"/>
      <c r="K157" s="390"/>
      <c r="L157" s="390"/>
      <c r="M157" s="390"/>
      <c r="N157" s="390"/>
      <c r="O157" s="390"/>
      <c r="P157" s="390"/>
      <c r="Q157" s="390"/>
      <c r="R157" s="390"/>
      <c r="S157" s="390"/>
      <c r="T157" s="390"/>
      <c r="U157" s="390"/>
      <c r="V157" s="390"/>
      <c r="W157" s="390"/>
      <c r="X157" s="390"/>
      <c r="Y157" s="390"/>
    </row>
    <row r="158">
      <c r="A158" s="390" t="str">
        <f>IFERROR(__xludf.DUMMYFUNCTION("""COMPUTED_VALUE"""),"Márcio Douglas de Carvalho e Silva")</f>
        <v>Márcio Douglas de Carvalho e Silva</v>
      </c>
      <c r="B158" s="390" t="str">
        <f>IFERROR(__xludf.DUMMYFUNCTION("""COMPUTED_VALUE"""),"2° Licenciatura")</f>
        <v>2° Licenciatura</v>
      </c>
      <c r="C158" s="390" t="str">
        <f>IFERROR(__xludf.DUMMYFUNCTION("""COMPUTED_VALUE"""),"Pedagogia")</f>
        <v>Pedagogia</v>
      </c>
      <c r="D158" s="390" t="str">
        <f>IFERROR(__xludf.DUMMYFUNCTION("""COMPUTED_VALUE"""),"Entregue - Email - Mariana 20/08/2024")</f>
        <v>Entregue - Email - Mariana 20/08/2024</v>
      </c>
      <c r="E158" s="390"/>
      <c r="F158" s="390"/>
      <c r="G158" s="390"/>
      <c r="H158" s="390"/>
      <c r="I158" s="390"/>
      <c r="J158" s="390"/>
      <c r="K158" s="390"/>
      <c r="L158" s="390"/>
      <c r="M158" s="390"/>
      <c r="N158" s="390"/>
      <c r="O158" s="390"/>
      <c r="P158" s="390"/>
      <c r="Q158" s="390"/>
      <c r="R158" s="390"/>
      <c r="S158" s="390"/>
      <c r="T158" s="390"/>
      <c r="U158" s="390"/>
      <c r="V158" s="390"/>
      <c r="W158" s="390"/>
      <c r="X158" s="390"/>
      <c r="Y158" s="390"/>
    </row>
    <row r="159">
      <c r="A159" s="390" t="str">
        <f>IFERROR(__xludf.DUMMYFUNCTION("""COMPUTED_VALUE"""),"Márcio Douglas de Carvalho e Silva")</f>
        <v>Márcio Douglas de Carvalho e Silva</v>
      </c>
      <c r="B159" s="390" t="str">
        <f>IFERROR(__xludf.DUMMYFUNCTION("""COMPUTED_VALUE"""),"2° Licenciatura")</f>
        <v>2° Licenciatura</v>
      </c>
      <c r="C159" s="390" t="str">
        <f>IFERROR(__xludf.DUMMYFUNCTION("""COMPUTED_VALUE"""),"Sociologia")</f>
        <v>Sociologia</v>
      </c>
      <c r="D159" s="390" t="str">
        <f>IFERROR(__xludf.DUMMYFUNCTION("""COMPUTED_VALUE"""),"Entregue - Email - Mariana 20/08/2024")</f>
        <v>Entregue - Email - Mariana 20/08/2024</v>
      </c>
      <c r="E159" s="390"/>
      <c r="F159" s="390"/>
      <c r="G159" s="390"/>
      <c r="H159" s="390"/>
      <c r="I159" s="390"/>
      <c r="J159" s="390"/>
      <c r="K159" s="390"/>
      <c r="L159" s="390"/>
      <c r="M159" s="390"/>
      <c r="N159" s="390"/>
      <c r="O159" s="390"/>
      <c r="P159" s="390"/>
      <c r="Q159" s="390"/>
      <c r="R159" s="390"/>
      <c r="S159" s="390"/>
      <c r="T159" s="390"/>
      <c r="U159" s="390"/>
      <c r="V159" s="390"/>
      <c r="W159" s="390"/>
      <c r="X159" s="390"/>
      <c r="Y159" s="390"/>
    </row>
    <row r="160">
      <c r="A160" s="390" t="str">
        <f>IFERROR(__xludf.DUMMYFUNCTION("""COMPUTED_VALUE"""),"Juliana De Oliveira Ozores")</f>
        <v>Juliana De Oliveira Ozores</v>
      </c>
      <c r="B160" s="390" t="str">
        <f>IFERROR(__xludf.DUMMYFUNCTION("""COMPUTED_VALUE"""),"2° Licenciatura")</f>
        <v>2° Licenciatura</v>
      </c>
      <c r="C160" s="390" t="str">
        <f>IFERROR(__xludf.DUMMYFUNCTION("""COMPUTED_VALUE"""),"História")</f>
        <v>História</v>
      </c>
      <c r="D160" s="390" t="str">
        <f>IFERROR(__xludf.DUMMYFUNCTION("""COMPUTED_VALUE"""),"Entregue - Email - Mariana 20/08/2024")</f>
        <v>Entregue - Email - Mariana 20/08/2024</v>
      </c>
      <c r="E160" s="390"/>
      <c r="F160" s="390"/>
      <c r="G160" s="390"/>
      <c r="H160" s="390"/>
      <c r="I160" s="390"/>
      <c r="J160" s="390"/>
      <c r="K160" s="390"/>
      <c r="L160" s="390"/>
      <c r="M160" s="390"/>
      <c r="N160" s="390"/>
      <c r="O160" s="390"/>
      <c r="P160" s="390"/>
      <c r="Q160" s="390"/>
      <c r="R160" s="390"/>
      <c r="S160" s="390"/>
      <c r="T160" s="390"/>
      <c r="U160" s="390"/>
      <c r="V160" s="390"/>
      <c r="W160" s="390"/>
      <c r="X160" s="390"/>
      <c r="Y160" s="390"/>
    </row>
    <row r="161">
      <c r="A161" s="390" t="str">
        <f>IFERROR(__xludf.DUMMYFUNCTION("""COMPUTED_VALUE"""),"Igor Gonzaga Lelis")</f>
        <v>Igor Gonzaga Lelis</v>
      </c>
      <c r="B161" s="390" t="str">
        <f>IFERROR(__xludf.DUMMYFUNCTION("""COMPUTED_VALUE"""),"2° Licenciatura")</f>
        <v>2° Licenciatura</v>
      </c>
      <c r="C161" s="390" t="str">
        <f>IFERROR(__xludf.DUMMYFUNCTION("""COMPUTED_VALUE"""),"Pedagogia")</f>
        <v>Pedagogia</v>
      </c>
      <c r="D161" s="390" t="str">
        <f>IFERROR(__xludf.DUMMYFUNCTION("""COMPUTED_VALUE"""),"Entregue - Email - Mariana 20/08/2024")</f>
        <v>Entregue - Email - Mariana 20/08/2024</v>
      </c>
      <c r="E161" s="390"/>
      <c r="F161" s="390"/>
      <c r="G161" s="390"/>
      <c r="H161" s="390"/>
      <c r="I161" s="390"/>
      <c r="J161" s="390"/>
      <c r="K161" s="390"/>
      <c r="L161" s="390"/>
      <c r="M161" s="390"/>
      <c r="N161" s="390"/>
      <c r="O161" s="390"/>
      <c r="P161" s="390"/>
      <c r="Q161" s="390"/>
      <c r="R161" s="390"/>
      <c r="S161" s="390"/>
      <c r="T161" s="390"/>
      <c r="U161" s="390"/>
      <c r="V161" s="390"/>
      <c r="W161" s="390"/>
      <c r="X161" s="390"/>
      <c r="Y161" s="390"/>
    </row>
    <row r="162">
      <c r="A162" s="390" t="str">
        <f>IFERROR(__xludf.DUMMYFUNCTION("""COMPUTED_VALUE"""),"Fabiani da Costa Cruz")</f>
        <v>Fabiani da Costa Cruz</v>
      </c>
      <c r="B162" s="390" t="str">
        <f>IFERROR(__xludf.DUMMYFUNCTION("""COMPUTED_VALUE"""),"2° Licenciatura")</f>
        <v>2° Licenciatura</v>
      </c>
      <c r="C162" s="390" t="str">
        <f>IFERROR(__xludf.DUMMYFUNCTION("""COMPUTED_VALUE"""),"Pedagogia")</f>
        <v>Pedagogia</v>
      </c>
      <c r="D162" s="390" t="str">
        <f>IFERROR(__xludf.DUMMYFUNCTION("""COMPUTED_VALUE"""),"Entregue - Email - Mariana 19/08/2024")</f>
        <v>Entregue - Email - Mariana 19/08/2024</v>
      </c>
      <c r="E162" s="390"/>
      <c r="F162" s="390"/>
      <c r="G162" s="390"/>
      <c r="H162" s="390"/>
      <c r="I162" s="390"/>
      <c r="J162" s="390"/>
      <c r="K162" s="390"/>
      <c r="L162" s="390"/>
      <c r="M162" s="390"/>
      <c r="N162" s="390"/>
      <c r="O162" s="390"/>
      <c r="P162" s="390"/>
      <c r="Q162" s="390"/>
      <c r="R162" s="390"/>
      <c r="S162" s="390"/>
      <c r="T162" s="390"/>
      <c r="U162" s="390"/>
      <c r="V162" s="390"/>
      <c r="W162" s="390"/>
      <c r="X162" s="390"/>
      <c r="Y162" s="390"/>
    </row>
    <row r="163">
      <c r="A163" s="390" t="str">
        <f>IFERROR(__xludf.DUMMYFUNCTION("""COMPUTED_VALUE"""),"Ana Carolina Darif da Silva Jeremias")</f>
        <v>Ana Carolina Darif da Silva Jeremias</v>
      </c>
      <c r="B163" s="390" t="str">
        <f>IFERROR(__xludf.DUMMYFUNCTION("""COMPUTED_VALUE"""),"2° Licenciatura")</f>
        <v>2° Licenciatura</v>
      </c>
      <c r="C163" s="390" t="str">
        <f>IFERROR(__xludf.DUMMYFUNCTION("""COMPUTED_VALUE"""),"Pedagogia")</f>
        <v>Pedagogia</v>
      </c>
      <c r="D163" s="390" t="str">
        <f>IFERROR(__xludf.DUMMYFUNCTION("""COMPUTED_VALUE"""),"Entregue - Email - Mariana 19/08/2024")</f>
        <v>Entregue - Email - Mariana 19/08/2024</v>
      </c>
      <c r="E163" s="390"/>
      <c r="F163" s="390"/>
      <c r="G163" s="390"/>
      <c r="H163" s="390"/>
      <c r="I163" s="390"/>
      <c r="J163" s="390"/>
      <c r="K163" s="390"/>
      <c r="L163" s="390"/>
      <c r="M163" s="390"/>
      <c r="N163" s="390"/>
      <c r="O163" s="390"/>
      <c r="P163" s="390"/>
      <c r="Q163" s="390"/>
      <c r="R163" s="390"/>
      <c r="S163" s="390"/>
      <c r="T163" s="390"/>
      <c r="U163" s="390"/>
      <c r="V163" s="390"/>
      <c r="W163" s="390"/>
      <c r="X163" s="390"/>
      <c r="Y163" s="390"/>
    </row>
    <row r="164">
      <c r="A164" s="390" t="str">
        <f>IFERROR(__xludf.DUMMYFUNCTION("""COMPUTED_VALUE"""),"Ozéias Prata Bento")</f>
        <v>Ozéias Prata Bento</v>
      </c>
      <c r="B164" s="390" t="str">
        <f>IFERROR(__xludf.DUMMYFUNCTION("""COMPUTED_VALUE"""),"2° Licenciatura")</f>
        <v>2° Licenciatura</v>
      </c>
      <c r="C164" s="390" t="str">
        <f>IFERROR(__xludf.DUMMYFUNCTION("""COMPUTED_VALUE"""),"Pedagogia")</f>
        <v>Pedagogia</v>
      </c>
      <c r="D164" s="390" t="str">
        <f>IFERROR(__xludf.DUMMYFUNCTION("""COMPUTED_VALUE"""),"Entregue - Email - Mariana 20/08/2024")</f>
        <v>Entregue - Email - Mariana 20/08/2024</v>
      </c>
      <c r="E164" s="390"/>
      <c r="F164" s="390"/>
      <c r="G164" s="390"/>
      <c r="H164" s="390"/>
      <c r="I164" s="390"/>
      <c r="J164" s="390"/>
      <c r="K164" s="390"/>
      <c r="L164" s="390"/>
      <c r="M164" s="390"/>
      <c r="N164" s="390"/>
      <c r="O164" s="390"/>
      <c r="P164" s="390"/>
      <c r="Q164" s="390"/>
      <c r="R164" s="390"/>
      <c r="S164" s="390"/>
      <c r="T164" s="390"/>
      <c r="U164" s="390"/>
      <c r="V164" s="390"/>
      <c r="W164" s="390"/>
      <c r="X164" s="390"/>
      <c r="Y164" s="390"/>
    </row>
    <row r="165">
      <c r="A165" s="390" t="str">
        <f>IFERROR(__xludf.DUMMYFUNCTION("""COMPUTED_VALUE"""),"Amanda Aparecida Maciel")</f>
        <v>Amanda Aparecida Maciel</v>
      </c>
      <c r="B165" s="390" t="str">
        <f>IFERROR(__xludf.DUMMYFUNCTION("""COMPUTED_VALUE"""),"2° Licenciatura")</f>
        <v>2° Licenciatura</v>
      </c>
      <c r="C165" s="390" t="str">
        <f>IFERROR(__xludf.DUMMYFUNCTION("""COMPUTED_VALUE"""),"Português - Letras e Libras")</f>
        <v>Português - Letras e Libras</v>
      </c>
      <c r="D165" s="390" t="str">
        <f>IFERROR(__xludf.DUMMYFUNCTION("""COMPUTED_VALUE"""),"Entregue - Email - Mariana 19/08/2024")</f>
        <v>Entregue - Email - Mariana 19/08/2024</v>
      </c>
      <c r="E165" s="390"/>
      <c r="F165" s="390"/>
      <c r="G165" s="390"/>
      <c r="H165" s="390"/>
      <c r="I165" s="390"/>
      <c r="J165" s="390"/>
      <c r="K165" s="390"/>
      <c r="L165" s="390"/>
      <c r="M165" s="390"/>
      <c r="N165" s="390"/>
      <c r="O165" s="390"/>
      <c r="P165" s="390"/>
      <c r="Q165" s="390"/>
      <c r="R165" s="390"/>
      <c r="S165" s="390"/>
      <c r="T165" s="390"/>
      <c r="U165" s="390"/>
      <c r="V165" s="390"/>
      <c r="W165" s="390"/>
      <c r="X165" s="390"/>
      <c r="Y165" s="390"/>
    </row>
    <row r="166">
      <c r="A166" s="390" t="str">
        <f>IFERROR(__xludf.DUMMYFUNCTION("""COMPUTED_VALUE"""),"Janete Tavares Nascimento")</f>
        <v>Janete Tavares Nascimento</v>
      </c>
      <c r="B166" s="390" t="str">
        <f>IFERROR(__xludf.DUMMYFUNCTION("""COMPUTED_VALUE"""),"2° Licenciatura")</f>
        <v>2° Licenciatura</v>
      </c>
      <c r="C166" s="390" t="str">
        <f>IFERROR(__xludf.DUMMYFUNCTION("""COMPUTED_VALUE"""),"Pedagogia")</f>
        <v>Pedagogia</v>
      </c>
      <c r="D166" s="390" t="str">
        <f>IFERROR(__xludf.DUMMYFUNCTION("""COMPUTED_VALUE"""),"Entregue - Email - Mariana 28/08/2024")</f>
        <v>Entregue - Email - Mariana 28/08/2024</v>
      </c>
      <c r="E166" s="390"/>
      <c r="F166" s="390"/>
      <c r="G166" s="390"/>
      <c r="H166" s="390"/>
      <c r="I166" s="390"/>
      <c r="J166" s="390"/>
      <c r="K166" s="390"/>
      <c r="L166" s="390"/>
      <c r="M166" s="390"/>
      <c r="N166" s="390"/>
      <c r="O166" s="390"/>
      <c r="P166" s="390"/>
      <c r="Q166" s="390"/>
      <c r="R166" s="390"/>
      <c r="S166" s="390"/>
      <c r="T166" s="390"/>
      <c r="U166" s="390"/>
      <c r="V166" s="390"/>
      <c r="W166" s="390"/>
      <c r="X166" s="390"/>
      <c r="Y166" s="390"/>
    </row>
    <row r="167">
      <c r="A167" s="390" t="str">
        <f>IFERROR(__xludf.DUMMYFUNCTION("""COMPUTED_VALUE"""),"Silvia Aparecida Amorim Lopes Dias ")</f>
        <v>Silvia Aparecida Amorim Lopes Dias </v>
      </c>
      <c r="B167" s="390" t="str">
        <f>IFERROR(__xludf.DUMMYFUNCTION("""COMPUTED_VALUE"""),"2° Licenciatura")</f>
        <v>2° Licenciatura</v>
      </c>
      <c r="C167" s="390" t="str">
        <f>IFERROR(__xludf.DUMMYFUNCTION("""COMPUTED_VALUE"""),"Pedagogia")</f>
        <v>Pedagogia</v>
      </c>
      <c r="D167" s="390" t="str">
        <f>IFERROR(__xludf.DUMMYFUNCTION("""COMPUTED_VALUE"""),"Entregue - Email - Mariana 16/08/2024")</f>
        <v>Entregue - Email - Mariana 16/08/2024</v>
      </c>
      <c r="E167" s="390"/>
      <c r="F167" s="390"/>
      <c r="G167" s="390"/>
      <c r="H167" s="390"/>
      <c r="I167" s="390"/>
      <c r="J167" s="390"/>
      <c r="K167" s="390"/>
      <c r="L167" s="390"/>
      <c r="M167" s="390"/>
      <c r="N167" s="390"/>
      <c r="O167" s="390"/>
      <c r="P167" s="390"/>
      <c r="Q167" s="390"/>
      <c r="R167" s="390"/>
      <c r="S167" s="390"/>
      <c r="T167" s="390"/>
      <c r="U167" s="390"/>
      <c r="V167" s="390"/>
      <c r="W167" s="390"/>
      <c r="X167" s="390"/>
      <c r="Y167" s="390"/>
    </row>
    <row r="168">
      <c r="A168" s="390" t="str">
        <f>IFERROR(__xludf.DUMMYFUNCTION("""COMPUTED_VALUE"""),"Rosângela Cristina de Souza Silva")</f>
        <v>Rosângela Cristina de Souza Silva</v>
      </c>
      <c r="B168" s="390" t="str">
        <f>IFERROR(__xludf.DUMMYFUNCTION("""COMPUTED_VALUE"""),"Form. Pedagógica")</f>
        <v>Form. Pedagógica</v>
      </c>
      <c r="C168" s="390" t="str">
        <f>IFERROR(__xludf.DUMMYFUNCTION("""COMPUTED_VALUE"""),"Pedagogia")</f>
        <v>Pedagogia</v>
      </c>
      <c r="D168" s="390" t="str">
        <f>IFERROR(__xludf.DUMMYFUNCTION("""COMPUTED_VALUE"""),"Entregue - Email - Mariana 19/08/2024")</f>
        <v>Entregue - Email - Mariana 19/08/2024</v>
      </c>
      <c r="E168" s="390"/>
      <c r="F168" s="390"/>
      <c r="G168" s="390"/>
      <c r="H168" s="390"/>
      <c r="I168" s="390"/>
      <c r="J168" s="390"/>
      <c r="K168" s="390"/>
      <c r="L168" s="390"/>
      <c r="M168" s="390"/>
      <c r="N168" s="390"/>
      <c r="O168" s="390"/>
      <c r="P168" s="390"/>
      <c r="Q168" s="390"/>
      <c r="R168" s="390"/>
      <c r="S168" s="390"/>
      <c r="T168" s="390"/>
      <c r="U168" s="390"/>
      <c r="V168" s="390"/>
      <c r="W168" s="390"/>
      <c r="X168" s="390"/>
      <c r="Y168" s="390"/>
    </row>
    <row r="169">
      <c r="A169" s="390" t="str">
        <f>IFERROR(__xludf.DUMMYFUNCTION("""COMPUTED_VALUE"""),"Bianca Costa Ferreira ")</f>
        <v>Bianca Costa Ferreira </v>
      </c>
      <c r="B169" s="390" t="str">
        <f>IFERROR(__xludf.DUMMYFUNCTION("""COMPUTED_VALUE"""),"Form. Pedagógica")</f>
        <v>Form. Pedagógica</v>
      </c>
      <c r="C169" s="390" t="str">
        <f>IFERROR(__xludf.DUMMYFUNCTION("""COMPUTED_VALUE"""),"Pedagogia")</f>
        <v>Pedagogia</v>
      </c>
      <c r="D169" s="390" t="str">
        <f>IFERROR(__xludf.DUMMYFUNCTION("""COMPUTED_VALUE"""),"Entregue - Email - Mariana 16/08/2024")</f>
        <v>Entregue - Email - Mariana 16/08/2024</v>
      </c>
      <c r="E169" s="390"/>
      <c r="F169" s="390"/>
      <c r="G169" s="390"/>
      <c r="H169" s="390"/>
      <c r="I169" s="390"/>
      <c r="J169" s="390"/>
      <c r="K169" s="390"/>
      <c r="L169" s="390"/>
      <c r="M169" s="390"/>
      <c r="N169" s="390"/>
      <c r="O169" s="390"/>
      <c r="P169" s="390"/>
      <c r="Q169" s="390"/>
      <c r="R169" s="390"/>
      <c r="S169" s="390"/>
      <c r="T169" s="390"/>
      <c r="U169" s="390"/>
      <c r="V169" s="390"/>
      <c r="W169" s="390"/>
      <c r="X169" s="390"/>
      <c r="Y169" s="390"/>
    </row>
    <row r="170">
      <c r="A170" s="390" t="str">
        <f>IFERROR(__xludf.DUMMYFUNCTION("""COMPUTED_VALUE"""),"Janaina Ribeiro dos Santos")</f>
        <v>Janaina Ribeiro dos Santos</v>
      </c>
      <c r="B170" s="390" t="str">
        <f>IFERROR(__xludf.DUMMYFUNCTION("""COMPUTED_VALUE"""),"2° Licenciatura")</f>
        <v>2° Licenciatura</v>
      </c>
      <c r="C170" s="390" t="str">
        <f>IFERROR(__xludf.DUMMYFUNCTION("""COMPUTED_VALUE"""),"Pedagogia")</f>
        <v>Pedagogia</v>
      </c>
      <c r="D170" s="390" t="str">
        <f>IFERROR(__xludf.DUMMYFUNCTION("""COMPUTED_VALUE"""),"Entregue - Email - Mariana 16/08/2024")</f>
        <v>Entregue - Email - Mariana 16/08/2024</v>
      </c>
      <c r="E170" s="390"/>
      <c r="F170" s="390"/>
      <c r="G170" s="390"/>
      <c r="H170" s="390"/>
      <c r="I170" s="390"/>
      <c r="J170" s="390"/>
      <c r="K170" s="390"/>
      <c r="L170" s="390"/>
      <c r="M170" s="390"/>
      <c r="N170" s="390"/>
      <c r="O170" s="390"/>
      <c r="P170" s="390"/>
      <c r="Q170" s="390"/>
      <c r="R170" s="390"/>
      <c r="S170" s="390"/>
      <c r="T170" s="390"/>
      <c r="U170" s="390"/>
      <c r="V170" s="390"/>
      <c r="W170" s="390"/>
      <c r="X170" s="390"/>
      <c r="Y170" s="390"/>
    </row>
    <row r="171">
      <c r="A171" s="390" t="str">
        <f>IFERROR(__xludf.DUMMYFUNCTION("""COMPUTED_VALUE"""),"Ismenia Rodrigues Silverio Mota")</f>
        <v>Ismenia Rodrigues Silverio Mota</v>
      </c>
      <c r="B171" s="390" t="str">
        <f>IFERROR(__xludf.DUMMYFUNCTION("""COMPUTED_VALUE"""),"Form. Pedagógica")</f>
        <v>Form. Pedagógica</v>
      </c>
      <c r="C171" s="390" t="str">
        <f>IFERROR(__xludf.DUMMYFUNCTION("""COMPUTED_VALUE"""),"Letras - Português e Inglês")</f>
        <v>Letras - Português e Inglês</v>
      </c>
      <c r="D171" s="390" t="str">
        <f>IFERROR(__xludf.DUMMYFUNCTION("""COMPUTED_VALUE"""),"Entregue - Email - Mariana 16/08/2024")</f>
        <v>Entregue - Email - Mariana 16/08/2024</v>
      </c>
      <c r="E171" s="390"/>
      <c r="F171" s="390"/>
      <c r="G171" s="390"/>
      <c r="H171" s="390"/>
      <c r="I171" s="390"/>
      <c r="J171" s="390"/>
      <c r="K171" s="390"/>
      <c r="L171" s="390"/>
      <c r="M171" s="390"/>
      <c r="N171" s="390"/>
      <c r="O171" s="390"/>
      <c r="P171" s="390"/>
      <c r="Q171" s="390"/>
      <c r="R171" s="390"/>
      <c r="S171" s="390"/>
      <c r="T171" s="390"/>
      <c r="U171" s="390"/>
      <c r="V171" s="390"/>
      <c r="W171" s="390"/>
      <c r="X171" s="390"/>
      <c r="Y171" s="390"/>
    </row>
    <row r="172">
      <c r="A172" s="390" t="str">
        <f>IFERROR(__xludf.DUMMYFUNCTION("""COMPUTED_VALUE"""),"Viviane Kellen Rocha do Vale")</f>
        <v>Viviane Kellen Rocha do Vale</v>
      </c>
      <c r="B172" s="390" t="str">
        <f>IFERROR(__xludf.DUMMYFUNCTION("""COMPUTED_VALUE"""),"2° Licenciatura")</f>
        <v>2° Licenciatura</v>
      </c>
      <c r="C172" s="390" t="str">
        <f>IFERROR(__xludf.DUMMYFUNCTION("""COMPUTED_VALUE"""),"Pedagogia")</f>
        <v>Pedagogia</v>
      </c>
      <c r="D172" s="390" t="str">
        <f>IFERROR(__xludf.DUMMYFUNCTION("""COMPUTED_VALUE"""),"Entregue - Email - Mariana 19/08/2024")</f>
        <v>Entregue - Email - Mariana 19/08/2024</v>
      </c>
      <c r="E172" s="390"/>
      <c r="F172" s="390"/>
      <c r="G172" s="390"/>
      <c r="H172" s="390"/>
      <c r="I172" s="390"/>
      <c r="J172" s="390"/>
      <c r="K172" s="390"/>
      <c r="L172" s="390"/>
      <c r="M172" s="390"/>
      <c r="N172" s="390"/>
      <c r="O172" s="390"/>
      <c r="P172" s="390"/>
      <c r="Q172" s="390"/>
      <c r="R172" s="390"/>
      <c r="S172" s="390"/>
      <c r="T172" s="390"/>
      <c r="U172" s="390"/>
      <c r="V172" s="390"/>
      <c r="W172" s="390"/>
      <c r="X172" s="390"/>
      <c r="Y172" s="390"/>
    </row>
    <row r="173">
      <c r="A173" s="390" t="str">
        <f>IFERROR(__xludf.DUMMYFUNCTION("""COMPUTED_VALUE"""),"Kariny Silva")</f>
        <v>Kariny Silva</v>
      </c>
      <c r="B173" s="390" t="str">
        <f>IFERROR(__xludf.DUMMYFUNCTION("""COMPUTED_VALUE"""),"2° Licenciatura")</f>
        <v>2° Licenciatura</v>
      </c>
      <c r="C173" s="390" t="str">
        <f>IFERROR(__xludf.DUMMYFUNCTION("""COMPUTED_VALUE"""),"Pedagogia")</f>
        <v>Pedagogia</v>
      </c>
      <c r="D173" s="390" t="str">
        <f>IFERROR(__xludf.DUMMYFUNCTION("""COMPUTED_VALUE"""),"Entregue - Email - Mariana 16/08/2024")</f>
        <v>Entregue - Email - Mariana 16/08/2024</v>
      </c>
      <c r="E173" s="390"/>
      <c r="F173" s="390"/>
      <c r="G173" s="390"/>
      <c r="H173" s="390"/>
      <c r="I173" s="390"/>
      <c r="J173" s="390"/>
      <c r="K173" s="390"/>
      <c r="L173" s="390"/>
      <c r="M173" s="390"/>
      <c r="N173" s="390"/>
      <c r="O173" s="390"/>
      <c r="P173" s="390"/>
      <c r="Q173" s="390"/>
      <c r="R173" s="390"/>
      <c r="S173" s="390"/>
      <c r="T173" s="390"/>
      <c r="U173" s="390"/>
      <c r="V173" s="390"/>
      <c r="W173" s="390"/>
      <c r="X173" s="390"/>
      <c r="Y173" s="390"/>
    </row>
    <row r="174">
      <c r="A174" s="390" t="str">
        <f>IFERROR(__xludf.DUMMYFUNCTION("""COMPUTED_VALUE"""),"Izailda Cândida Alves Pereira")</f>
        <v>Izailda Cândida Alves Pereira</v>
      </c>
      <c r="B174" s="390" t="str">
        <f>IFERROR(__xludf.DUMMYFUNCTION("""COMPUTED_VALUE"""),"Form. Pedagógica")</f>
        <v>Form. Pedagógica</v>
      </c>
      <c r="C174" s="390" t="str">
        <f>IFERROR(__xludf.DUMMYFUNCTION("""COMPUTED_VALUE"""),"Pedagogia")</f>
        <v>Pedagogia</v>
      </c>
      <c r="D174" s="390" t="str">
        <f>IFERROR(__xludf.DUMMYFUNCTION("""COMPUTED_VALUE"""),"Entregue - Email - Mariana 16/08/2024")</f>
        <v>Entregue - Email - Mariana 16/08/2024</v>
      </c>
      <c r="E174" s="390"/>
      <c r="F174" s="390"/>
      <c r="G174" s="390"/>
      <c r="H174" s="390"/>
      <c r="I174" s="390"/>
      <c r="J174" s="390"/>
      <c r="K174" s="390"/>
      <c r="L174" s="390"/>
      <c r="M174" s="390"/>
      <c r="N174" s="390"/>
      <c r="O174" s="390"/>
      <c r="P174" s="390"/>
      <c r="Q174" s="390"/>
      <c r="R174" s="390"/>
      <c r="S174" s="390"/>
      <c r="T174" s="390"/>
      <c r="U174" s="390"/>
      <c r="V174" s="390"/>
      <c r="W174" s="390"/>
      <c r="X174" s="390"/>
      <c r="Y174" s="390"/>
    </row>
    <row r="175">
      <c r="A175" s="390" t="str">
        <f>IFERROR(__xludf.DUMMYFUNCTION("""COMPUTED_VALUE"""),"Gilvana Coelho Penedo")</f>
        <v>Gilvana Coelho Penedo</v>
      </c>
      <c r="B175" s="390" t="str">
        <f>IFERROR(__xludf.DUMMYFUNCTION("""COMPUTED_VALUE"""),"2° Licenciatura")</f>
        <v>2° Licenciatura</v>
      </c>
      <c r="C175" s="390" t="str">
        <f>IFERROR(__xludf.DUMMYFUNCTION("""COMPUTED_VALUE"""),"Pedagogia")</f>
        <v>Pedagogia</v>
      </c>
      <c r="D175" s="390" t="str">
        <f>IFERROR(__xludf.DUMMYFUNCTION("""COMPUTED_VALUE"""),"Entregue - Email - Mariana 16/08/2024")</f>
        <v>Entregue - Email - Mariana 16/08/2024</v>
      </c>
      <c r="E175" s="390"/>
      <c r="F175" s="390"/>
      <c r="G175" s="390"/>
      <c r="H175" s="390"/>
      <c r="I175" s="390"/>
      <c r="J175" s="390"/>
      <c r="K175" s="390"/>
      <c r="L175" s="390"/>
      <c r="M175" s="390"/>
      <c r="N175" s="390"/>
      <c r="O175" s="390"/>
      <c r="P175" s="390"/>
      <c r="Q175" s="390"/>
      <c r="R175" s="390"/>
      <c r="S175" s="390"/>
      <c r="T175" s="390"/>
      <c r="U175" s="390"/>
      <c r="V175" s="390"/>
      <c r="W175" s="390"/>
      <c r="X175" s="390"/>
      <c r="Y175" s="390"/>
    </row>
    <row r="176">
      <c r="A176" s="390" t="str">
        <f>IFERROR(__xludf.DUMMYFUNCTION("""COMPUTED_VALUE"""),"Camila de Paiva Leal")</f>
        <v>Camila de Paiva Leal</v>
      </c>
      <c r="B176" s="390" t="str">
        <f>IFERROR(__xludf.DUMMYFUNCTION("""COMPUTED_VALUE"""),"Form. Pedagógica")</f>
        <v>Form. Pedagógica</v>
      </c>
      <c r="C176" s="390" t="str">
        <f>IFERROR(__xludf.DUMMYFUNCTION("""COMPUTED_VALUE"""),"História")</f>
        <v>História</v>
      </c>
      <c r="D176" s="390" t="str">
        <f>IFERROR(__xludf.DUMMYFUNCTION("""COMPUTED_VALUE"""),"Entregue - Email - Mariana 16/08/2024")</f>
        <v>Entregue - Email - Mariana 16/08/2024</v>
      </c>
      <c r="E176" s="390"/>
      <c r="F176" s="390"/>
      <c r="G176" s="390"/>
      <c r="H176" s="390"/>
      <c r="I176" s="390"/>
      <c r="J176" s="390"/>
      <c r="K176" s="390"/>
      <c r="L176" s="390"/>
      <c r="M176" s="390"/>
      <c r="N176" s="390"/>
      <c r="O176" s="390"/>
      <c r="P176" s="390"/>
      <c r="Q176" s="390"/>
      <c r="R176" s="390"/>
      <c r="S176" s="390"/>
      <c r="T176" s="390"/>
      <c r="U176" s="390"/>
      <c r="V176" s="390"/>
      <c r="W176" s="390"/>
      <c r="X176" s="390"/>
      <c r="Y176" s="390"/>
    </row>
    <row r="177">
      <c r="A177" s="390" t="str">
        <f>IFERROR(__xludf.DUMMYFUNCTION("""COMPUTED_VALUE"""),"Maiara Romanosk de Freitas")</f>
        <v>Maiara Romanosk de Freitas</v>
      </c>
      <c r="B177" s="390" t="str">
        <f>IFERROR(__xludf.DUMMYFUNCTION("""COMPUTED_VALUE"""),"2° Licenciatura")</f>
        <v>2° Licenciatura</v>
      </c>
      <c r="C177" s="390" t="str">
        <f>IFERROR(__xludf.DUMMYFUNCTION("""COMPUTED_VALUE"""),"Pedagogia")</f>
        <v>Pedagogia</v>
      </c>
      <c r="D177" s="390" t="str">
        <f>IFERROR(__xludf.DUMMYFUNCTION("""COMPUTED_VALUE"""),"Entregue - Email - Mariana 16/08/2024")</f>
        <v>Entregue - Email - Mariana 16/08/2024</v>
      </c>
      <c r="E177" s="390"/>
      <c r="F177" s="390"/>
      <c r="G177" s="390"/>
      <c r="H177" s="390"/>
      <c r="I177" s="390"/>
      <c r="J177" s="390"/>
      <c r="K177" s="390"/>
      <c r="L177" s="390"/>
      <c r="M177" s="390"/>
      <c r="N177" s="390"/>
      <c r="O177" s="390"/>
      <c r="P177" s="390"/>
      <c r="Q177" s="390"/>
      <c r="R177" s="390"/>
      <c r="S177" s="390"/>
      <c r="T177" s="390"/>
      <c r="U177" s="390"/>
      <c r="V177" s="390"/>
      <c r="W177" s="390"/>
      <c r="X177" s="390"/>
      <c r="Y177" s="390"/>
    </row>
    <row r="178">
      <c r="A178" s="390" t="str">
        <f>IFERROR(__xludf.DUMMYFUNCTION("""COMPUTED_VALUE"""),"Anaci Pantoja Coelho")</f>
        <v>Anaci Pantoja Coelho</v>
      </c>
      <c r="B178" s="390" t="str">
        <f>IFERROR(__xludf.DUMMYFUNCTION("""COMPUTED_VALUE"""),"2° Licenciatura")</f>
        <v>2° Licenciatura</v>
      </c>
      <c r="C178" s="390" t="str">
        <f>IFERROR(__xludf.DUMMYFUNCTION("""COMPUTED_VALUE"""),"Pedagogia")</f>
        <v>Pedagogia</v>
      </c>
      <c r="D178" s="390" t="str">
        <f>IFERROR(__xludf.DUMMYFUNCTION("""COMPUTED_VALUE"""),"Entregue - Email - Mariana 16/08/2024")</f>
        <v>Entregue - Email - Mariana 16/08/2024</v>
      </c>
      <c r="E178" s="390"/>
      <c r="F178" s="390"/>
      <c r="G178" s="390"/>
      <c r="H178" s="390"/>
      <c r="I178" s="390"/>
      <c r="J178" s="390"/>
      <c r="K178" s="390"/>
      <c r="L178" s="390"/>
      <c r="M178" s="390"/>
      <c r="N178" s="390"/>
      <c r="O178" s="390"/>
      <c r="P178" s="390"/>
      <c r="Q178" s="390"/>
      <c r="R178" s="390"/>
      <c r="S178" s="390"/>
      <c r="T178" s="390"/>
      <c r="U178" s="390"/>
      <c r="V178" s="390"/>
      <c r="W178" s="390"/>
      <c r="X178" s="390"/>
      <c r="Y178" s="390"/>
    </row>
    <row r="179">
      <c r="A179" s="390" t="str">
        <f>IFERROR(__xludf.DUMMYFUNCTION("""COMPUTED_VALUE"""),"Antonio Marcos Schiavo")</f>
        <v>Antonio Marcos Schiavo</v>
      </c>
      <c r="B179" s="390" t="str">
        <f>IFERROR(__xludf.DUMMYFUNCTION("""COMPUTED_VALUE"""),"2° Licenciatura")</f>
        <v>2° Licenciatura</v>
      </c>
      <c r="C179" s="390" t="str">
        <f>IFERROR(__xludf.DUMMYFUNCTION("""COMPUTED_VALUE"""),"Educação Fisica")</f>
        <v>Educação Fisica</v>
      </c>
      <c r="D179" s="390" t="str">
        <f>IFERROR(__xludf.DUMMYFUNCTION("""COMPUTED_VALUE"""),"Entregue - Email - Mariana 16/08/2024")</f>
        <v>Entregue - Email - Mariana 16/08/2024</v>
      </c>
      <c r="E179" s="390"/>
      <c r="F179" s="390"/>
      <c r="G179" s="390"/>
      <c r="H179" s="390"/>
      <c r="I179" s="390"/>
      <c r="J179" s="390"/>
      <c r="K179" s="390"/>
      <c r="L179" s="390"/>
      <c r="M179" s="390"/>
      <c r="N179" s="390"/>
      <c r="O179" s="390"/>
      <c r="P179" s="390"/>
      <c r="Q179" s="390"/>
      <c r="R179" s="390"/>
      <c r="S179" s="390"/>
      <c r="T179" s="390"/>
      <c r="U179" s="390"/>
      <c r="V179" s="390"/>
      <c r="W179" s="390"/>
      <c r="X179" s="390"/>
      <c r="Y179" s="390"/>
    </row>
    <row r="180">
      <c r="A180" s="390" t="str">
        <f>IFERROR(__xludf.DUMMYFUNCTION("""COMPUTED_VALUE"""),"Andrezza da Silva Machado Neto")</f>
        <v>Andrezza da Silva Machado Neto</v>
      </c>
      <c r="B180" s="390" t="str">
        <f>IFERROR(__xludf.DUMMYFUNCTION("""COMPUTED_VALUE"""),"Form. Pedagógica")</f>
        <v>Form. Pedagógica</v>
      </c>
      <c r="C180" s="390" t="str">
        <f>IFERROR(__xludf.DUMMYFUNCTION("""COMPUTED_VALUE"""),"Matemática")</f>
        <v>Matemática</v>
      </c>
      <c r="D180" s="390" t="str">
        <f>IFERROR(__xludf.DUMMYFUNCTION("""COMPUTED_VALUE"""),"Entregue - Email - Mariana 16/08/2024")</f>
        <v>Entregue - Email - Mariana 16/08/2024</v>
      </c>
      <c r="E180" s="390"/>
      <c r="F180" s="390"/>
      <c r="G180" s="390"/>
      <c r="H180" s="390"/>
      <c r="I180" s="390"/>
      <c r="J180" s="390"/>
      <c r="K180" s="390"/>
      <c r="L180" s="390"/>
      <c r="M180" s="390"/>
      <c r="N180" s="390"/>
      <c r="O180" s="390"/>
      <c r="P180" s="390"/>
      <c r="Q180" s="390"/>
      <c r="R180" s="390"/>
      <c r="S180" s="390"/>
      <c r="T180" s="390"/>
      <c r="U180" s="390"/>
      <c r="V180" s="390"/>
      <c r="W180" s="390"/>
      <c r="X180" s="390"/>
      <c r="Y180" s="390"/>
    </row>
    <row r="181">
      <c r="A181" s="390" t="str">
        <f>IFERROR(__xludf.DUMMYFUNCTION("""COMPUTED_VALUE"""),"Maria Regina Azarias")</f>
        <v>Maria Regina Azarias</v>
      </c>
      <c r="B181" s="390" t="str">
        <f>IFERROR(__xludf.DUMMYFUNCTION("""COMPUTED_VALUE"""),"2° Licenciatura")</f>
        <v>2° Licenciatura</v>
      </c>
      <c r="C181" s="390" t="str">
        <f>IFERROR(__xludf.DUMMYFUNCTION("""COMPUTED_VALUE"""),"Pedagogia")</f>
        <v>Pedagogia</v>
      </c>
      <c r="D181" s="390" t="str">
        <f>IFERROR(__xludf.DUMMYFUNCTION("""COMPUTED_VALUE"""),"Entregue - Email - Mariana 16/08/2024")</f>
        <v>Entregue - Email - Mariana 16/08/2024</v>
      </c>
      <c r="E181" s="390"/>
      <c r="F181" s="390"/>
      <c r="G181" s="390"/>
      <c r="H181" s="390"/>
      <c r="I181" s="390"/>
      <c r="J181" s="390"/>
      <c r="K181" s="390"/>
      <c r="L181" s="390"/>
      <c r="M181" s="390"/>
      <c r="N181" s="390"/>
      <c r="O181" s="390"/>
      <c r="P181" s="390"/>
      <c r="Q181" s="390"/>
      <c r="R181" s="390"/>
      <c r="S181" s="390"/>
      <c r="T181" s="390"/>
      <c r="U181" s="390"/>
      <c r="V181" s="390"/>
      <c r="W181" s="390"/>
      <c r="X181" s="390"/>
      <c r="Y181" s="390"/>
    </row>
    <row r="182">
      <c r="A182" s="390" t="str">
        <f>IFERROR(__xludf.DUMMYFUNCTION("""COMPUTED_VALUE"""),"Pricila Mello Moreira Barros")</f>
        <v>Pricila Mello Moreira Barros</v>
      </c>
      <c r="B182" s="390" t="str">
        <f>IFERROR(__xludf.DUMMYFUNCTION("""COMPUTED_VALUE"""),"2° Licenciatura")</f>
        <v>2° Licenciatura</v>
      </c>
      <c r="C182" s="390" t="str">
        <f>IFERROR(__xludf.DUMMYFUNCTION("""COMPUTED_VALUE"""),"Matemática")</f>
        <v>Matemática</v>
      </c>
      <c r="D182" s="390" t="str">
        <f>IFERROR(__xludf.DUMMYFUNCTION("""COMPUTED_VALUE"""),"Entregue - Email - Mariana 19/08/2024")</f>
        <v>Entregue - Email - Mariana 19/08/2024</v>
      </c>
      <c r="E182" s="390"/>
      <c r="F182" s="390"/>
      <c r="G182" s="390"/>
      <c r="H182" s="390"/>
      <c r="I182" s="390"/>
      <c r="J182" s="390"/>
      <c r="K182" s="390"/>
      <c r="L182" s="390"/>
      <c r="M182" s="390"/>
      <c r="N182" s="390"/>
      <c r="O182" s="390"/>
      <c r="P182" s="390"/>
      <c r="Q182" s="390"/>
      <c r="R182" s="390"/>
      <c r="S182" s="390"/>
      <c r="T182" s="390"/>
      <c r="U182" s="390"/>
      <c r="V182" s="390"/>
      <c r="W182" s="390"/>
      <c r="X182" s="390"/>
      <c r="Y182" s="390"/>
    </row>
    <row r="183">
      <c r="A183" s="390" t="str">
        <f>IFERROR(__xludf.DUMMYFUNCTION("""COMPUTED_VALUE"""),"Elenice Alves da Luz Bosi")</f>
        <v>Elenice Alves da Luz Bosi</v>
      </c>
      <c r="B183" s="390" t="str">
        <f>IFERROR(__xludf.DUMMYFUNCTION("""COMPUTED_VALUE"""),"2° Licenciatura")</f>
        <v>2° Licenciatura</v>
      </c>
      <c r="C183" s="390" t="str">
        <f>IFERROR(__xludf.DUMMYFUNCTION("""COMPUTED_VALUE"""),"Português - Letras e Libras")</f>
        <v>Português - Letras e Libras</v>
      </c>
      <c r="D183" s="390" t="str">
        <f>IFERROR(__xludf.DUMMYFUNCTION("""COMPUTED_VALUE"""),"Entregue - Email - Mariana 19/08/2024")</f>
        <v>Entregue - Email - Mariana 19/08/2024</v>
      </c>
      <c r="E183" s="390"/>
      <c r="F183" s="390"/>
      <c r="G183" s="390"/>
      <c r="H183" s="390"/>
      <c r="I183" s="390"/>
      <c r="J183" s="390"/>
      <c r="K183" s="390"/>
      <c r="L183" s="390"/>
      <c r="M183" s="390"/>
      <c r="N183" s="390"/>
      <c r="O183" s="390"/>
      <c r="P183" s="390"/>
      <c r="Q183" s="390"/>
      <c r="R183" s="390"/>
      <c r="S183" s="390"/>
      <c r="T183" s="390"/>
      <c r="U183" s="390"/>
      <c r="V183" s="390"/>
      <c r="W183" s="390"/>
      <c r="X183" s="390"/>
      <c r="Y183" s="390"/>
    </row>
    <row r="184">
      <c r="A184" s="390" t="str">
        <f>IFERROR(__xludf.DUMMYFUNCTION("""COMPUTED_VALUE"""),"Daiane Aparecida Henrique")</f>
        <v>Daiane Aparecida Henrique</v>
      </c>
      <c r="B184" s="390" t="str">
        <f>IFERROR(__xludf.DUMMYFUNCTION("""COMPUTED_VALUE"""),"2° Licenciatura")</f>
        <v>2° Licenciatura</v>
      </c>
      <c r="C184" s="390" t="str">
        <f>IFERROR(__xludf.DUMMYFUNCTION("""COMPUTED_VALUE"""),"Pedagogia")</f>
        <v>Pedagogia</v>
      </c>
      <c r="D184" s="390" t="str">
        <f>IFERROR(__xludf.DUMMYFUNCTION("""COMPUTED_VALUE"""),"Entregue - Email - Mariana 19/08/2024")</f>
        <v>Entregue - Email - Mariana 19/08/2024</v>
      </c>
      <c r="E184" s="390"/>
      <c r="F184" s="390"/>
      <c r="G184" s="390"/>
      <c r="H184" s="390"/>
      <c r="I184" s="390"/>
      <c r="J184" s="390"/>
      <c r="K184" s="390"/>
      <c r="L184" s="390"/>
      <c r="M184" s="390"/>
      <c r="N184" s="390"/>
      <c r="O184" s="390"/>
      <c r="P184" s="390"/>
      <c r="Q184" s="390"/>
      <c r="R184" s="390"/>
      <c r="S184" s="390"/>
      <c r="T184" s="390"/>
      <c r="U184" s="390"/>
      <c r="V184" s="390"/>
      <c r="W184" s="390"/>
      <c r="X184" s="390"/>
      <c r="Y184" s="390"/>
    </row>
    <row r="185">
      <c r="A185" s="390" t="str">
        <f>IFERROR(__xludf.DUMMYFUNCTION("""COMPUTED_VALUE"""),"Douglas Correia da Silva")</f>
        <v>Douglas Correia da Silva</v>
      </c>
      <c r="B185" s="390" t="str">
        <f>IFERROR(__xludf.DUMMYFUNCTION("""COMPUTED_VALUE"""),"2° Licenciatura")</f>
        <v>2° Licenciatura</v>
      </c>
      <c r="C185" s="390" t="str">
        <f>IFERROR(__xludf.DUMMYFUNCTION("""COMPUTED_VALUE"""),"Pedagogia")</f>
        <v>Pedagogia</v>
      </c>
      <c r="D185" s="390" t="str">
        <f>IFERROR(__xludf.DUMMYFUNCTION("""COMPUTED_VALUE"""),"Entregue - Email - Mariana 19/08/2024")</f>
        <v>Entregue - Email - Mariana 19/08/2024</v>
      </c>
      <c r="E185" s="390"/>
      <c r="F185" s="390"/>
      <c r="G185" s="390"/>
      <c r="H185" s="390"/>
      <c r="I185" s="390"/>
      <c r="J185" s="390"/>
      <c r="K185" s="390"/>
      <c r="L185" s="390"/>
      <c r="M185" s="390"/>
      <c r="N185" s="390"/>
      <c r="O185" s="390"/>
      <c r="P185" s="390"/>
      <c r="Q185" s="390"/>
      <c r="R185" s="390"/>
      <c r="S185" s="390"/>
      <c r="T185" s="390"/>
      <c r="U185" s="390"/>
      <c r="V185" s="390"/>
      <c r="W185" s="390"/>
      <c r="X185" s="390"/>
      <c r="Y185" s="390"/>
    </row>
    <row r="186">
      <c r="A186" s="390" t="str">
        <f>IFERROR(__xludf.DUMMYFUNCTION("""COMPUTED_VALUE"""),"Rosangela Menezes de Souza")</f>
        <v>Rosangela Menezes de Souza</v>
      </c>
      <c r="B186" s="390" t="str">
        <f>IFERROR(__xludf.DUMMYFUNCTION("""COMPUTED_VALUE"""),"2° Licenciatura")</f>
        <v>2° Licenciatura</v>
      </c>
      <c r="C186" s="390" t="str">
        <f>IFERROR(__xludf.DUMMYFUNCTION("""COMPUTED_VALUE"""),"Artes Visuais")</f>
        <v>Artes Visuais</v>
      </c>
      <c r="D186" s="390" t="str">
        <f>IFERROR(__xludf.DUMMYFUNCTION("""COMPUTED_VALUE"""),"Entregue - Email - Mariana 20/08/2024")</f>
        <v>Entregue - Email - Mariana 20/08/2024</v>
      </c>
      <c r="E186" s="390"/>
      <c r="F186" s="390"/>
      <c r="G186" s="390"/>
      <c r="H186" s="390"/>
      <c r="I186" s="390"/>
      <c r="J186" s="390"/>
      <c r="K186" s="390"/>
      <c r="L186" s="390"/>
      <c r="M186" s="390"/>
      <c r="N186" s="390"/>
      <c r="O186" s="390"/>
      <c r="P186" s="390"/>
      <c r="Q186" s="390"/>
      <c r="R186" s="390"/>
      <c r="S186" s="390"/>
      <c r="T186" s="390"/>
      <c r="U186" s="390"/>
      <c r="V186" s="390"/>
      <c r="W186" s="390"/>
      <c r="X186" s="390"/>
      <c r="Y186" s="390"/>
    </row>
    <row r="187">
      <c r="A187" s="390" t="str">
        <f>IFERROR(__xludf.DUMMYFUNCTION("""COMPUTED_VALUE"""),"Eduarda Roberta Outeiro Rodrigues")</f>
        <v>Eduarda Roberta Outeiro Rodrigues</v>
      </c>
      <c r="B187" s="390" t="str">
        <f>IFERROR(__xludf.DUMMYFUNCTION("""COMPUTED_VALUE"""),"Form. Pedagógica")</f>
        <v>Form. Pedagógica</v>
      </c>
      <c r="C187" s="390" t="str">
        <f>IFERROR(__xludf.DUMMYFUNCTION("""COMPUTED_VALUE"""),"Pedagogia")</f>
        <v>Pedagogia</v>
      </c>
      <c r="D187" s="390" t="str">
        <f>IFERROR(__xludf.DUMMYFUNCTION("""COMPUTED_VALUE"""),"Entregue - Email - Mariana 19/08/2024")</f>
        <v>Entregue - Email - Mariana 19/08/2024</v>
      </c>
      <c r="E187" s="390"/>
      <c r="F187" s="390"/>
      <c r="G187" s="390"/>
      <c r="H187" s="390"/>
      <c r="I187" s="390"/>
      <c r="J187" s="390"/>
      <c r="K187" s="390"/>
      <c r="L187" s="390"/>
      <c r="M187" s="390"/>
      <c r="N187" s="390"/>
      <c r="O187" s="390"/>
      <c r="P187" s="390"/>
      <c r="Q187" s="390"/>
      <c r="R187" s="390"/>
      <c r="S187" s="390"/>
      <c r="T187" s="390"/>
      <c r="U187" s="390"/>
      <c r="V187" s="390"/>
      <c r="W187" s="390"/>
      <c r="X187" s="390"/>
      <c r="Y187" s="390"/>
    </row>
    <row r="188">
      <c r="A188" s="390" t="str">
        <f>IFERROR(__xludf.DUMMYFUNCTION("""COMPUTED_VALUE"""),"Fernanda Rabelo Foro")</f>
        <v>Fernanda Rabelo Foro</v>
      </c>
      <c r="B188" s="390" t="str">
        <f>IFERROR(__xludf.DUMMYFUNCTION("""COMPUTED_VALUE"""),"Form. Pedagógica")</f>
        <v>Form. Pedagógica</v>
      </c>
      <c r="C188" s="390" t="str">
        <f>IFERROR(__xludf.DUMMYFUNCTION("""COMPUTED_VALUE"""),"Pedagogia")</f>
        <v>Pedagogia</v>
      </c>
      <c r="D188" s="390" t="str">
        <f>IFERROR(__xludf.DUMMYFUNCTION("""COMPUTED_VALUE"""),"Entregue - Email - Mariana 19/08/2024")</f>
        <v>Entregue - Email - Mariana 19/08/2024</v>
      </c>
      <c r="E188" s="390"/>
      <c r="F188" s="390"/>
      <c r="G188" s="390"/>
      <c r="H188" s="390"/>
      <c r="I188" s="390"/>
      <c r="J188" s="390"/>
      <c r="K188" s="390"/>
      <c r="L188" s="390"/>
      <c r="M188" s="390"/>
      <c r="N188" s="390"/>
      <c r="O188" s="390"/>
      <c r="P188" s="390"/>
      <c r="Q188" s="390"/>
      <c r="R188" s="390"/>
      <c r="S188" s="390"/>
      <c r="T188" s="390"/>
      <c r="U188" s="390"/>
      <c r="V188" s="390"/>
      <c r="W188" s="390"/>
      <c r="X188" s="390"/>
      <c r="Y188" s="390"/>
    </row>
    <row r="189">
      <c r="A189" s="390" t="str">
        <f>IFERROR(__xludf.DUMMYFUNCTION("""COMPUTED_VALUE"""),"Claudiany de Souza Coelho Boechat")</f>
        <v>Claudiany de Souza Coelho Boechat</v>
      </c>
      <c r="B189" s="390" t="str">
        <f>IFERROR(__xludf.DUMMYFUNCTION("""COMPUTED_VALUE"""),"2° Licenciatura")</f>
        <v>2° Licenciatura</v>
      </c>
      <c r="C189" s="390" t="str">
        <f>IFERROR(__xludf.DUMMYFUNCTION("""COMPUTED_VALUE"""),"Artes Visuais")</f>
        <v>Artes Visuais</v>
      </c>
      <c r="D189" s="390" t="str">
        <f>IFERROR(__xludf.DUMMYFUNCTION("""COMPUTED_VALUE"""),"Entregue - Email - Mariana 19/08/2024")</f>
        <v>Entregue - Email - Mariana 19/08/2024</v>
      </c>
      <c r="E189" s="390"/>
      <c r="F189" s="390"/>
      <c r="G189" s="390"/>
      <c r="H189" s="390"/>
      <c r="I189" s="390"/>
      <c r="J189" s="390"/>
      <c r="K189" s="390"/>
      <c r="L189" s="390"/>
      <c r="M189" s="390"/>
      <c r="N189" s="390"/>
      <c r="O189" s="390"/>
      <c r="P189" s="390"/>
      <c r="Q189" s="390"/>
      <c r="R189" s="390"/>
      <c r="S189" s="390"/>
      <c r="T189" s="390"/>
      <c r="U189" s="390"/>
      <c r="V189" s="390"/>
      <c r="W189" s="390"/>
      <c r="X189" s="390"/>
      <c r="Y189" s="390"/>
    </row>
    <row r="190">
      <c r="A190" s="390" t="str">
        <f>IFERROR(__xludf.DUMMYFUNCTION("""COMPUTED_VALUE"""),"Geovana Marchom Marques da Silva")</f>
        <v>Geovana Marchom Marques da Silva</v>
      </c>
      <c r="B190" s="390" t="str">
        <f>IFERROR(__xludf.DUMMYFUNCTION("""COMPUTED_VALUE"""),"Form. Pedagógica")</f>
        <v>Form. Pedagógica</v>
      </c>
      <c r="C190" s="390" t="str">
        <f>IFERROR(__xludf.DUMMYFUNCTION("""COMPUTED_VALUE"""),"Letras - Português e Inglês")</f>
        <v>Letras - Português e Inglês</v>
      </c>
      <c r="D190" s="390" t="str">
        <f>IFERROR(__xludf.DUMMYFUNCTION("""COMPUTED_VALUE"""),"Email não localizado - Mariana 10/05/24")</f>
        <v>Email não localizado - Mariana 10/05/24</v>
      </c>
      <c r="E190" s="390"/>
      <c r="F190" s="390"/>
      <c r="G190" s="390"/>
      <c r="H190" s="390"/>
      <c r="I190" s="390"/>
      <c r="J190" s="390"/>
      <c r="K190" s="390"/>
      <c r="L190" s="390"/>
      <c r="M190" s="390"/>
      <c r="N190" s="390"/>
      <c r="O190" s="390"/>
      <c r="P190" s="390"/>
      <c r="Q190" s="390"/>
      <c r="R190" s="390"/>
      <c r="S190" s="390"/>
      <c r="T190" s="390"/>
      <c r="U190" s="390"/>
      <c r="V190" s="390"/>
      <c r="W190" s="390"/>
      <c r="X190" s="390"/>
      <c r="Y190" s="390"/>
    </row>
    <row r="191">
      <c r="A191" s="390" t="str">
        <f>IFERROR(__xludf.DUMMYFUNCTION("""COMPUTED_VALUE"""),"Luciana Schmidt")</f>
        <v>Luciana Schmidt</v>
      </c>
      <c r="B191" s="390" t="str">
        <f>IFERROR(__xludf.DUMMYFUNCTION("""COMPUTED_VALUE"""),"Form. Pedagógica")</f>
        <v>Form. Pedagógica</v>
      </c>
      <c r="C191" s="390" t="str">
        <f>IFERROR(__xludf.DUMMYFUNCTION("""COMPUTED_VALUE"""),"Pedagogia")</f>
        <v>Pedagogia</v>
      </c>
      <c r="D191" s="390" t="str">
        <f>IFERROR(__xludf.DUMMYFUNCTION("""COMPUTED_VALUE"""),"Entregue - Email - Mariana 16/08/2024")</f>
        <v>Entregue - Email - Mariana 16/08/2024</v>
      </c>
      <c r="E191" s="390"/>
      <c r="F191" s="390"/>
      <c r="G191" s="390"/>
      <c r="H191" s="390"/>
      <c r="I191" s="390"/>
      <c r="J191" s="390"/>
      <c r="K191" s="390"/>
      <c r="L191" s="390"/>
      <c r="M191" s="390"/>
      <c r="N191" s="390"/>
      <c r="O191" s="390"/>
      <c r="P191" s="390"/>
      <c r="Q191" s="390"/>
      <c r="R191" s="390"/>
      <c r="S191" s="390"/>
      <c r="T191" s="390"/>
      <c r="U191" s="390"/>
      <c r="V191" s="390"/>
      <c r="W191" s="390"/>
      <c r="X191" s="390"/>
      <c r="Y191" s="390"/>
    </row>
    <row r="192">
      <c r="A192" s="390" t="str">
        <f>IFERROR(__xludf.DUMMYFUNCTION("""COMPUTED_VALUE"""),"Michele Tiemi Takano Aoki")</f>
        <v>Michele Tiemi Takano Aoki</v>
      </c>
      <c r="B192" s="390" t="str">
        <f>IFERROR(__xludf.DUMMYFUNCTION("""COMPUTED_VALUE"""),"Form. Pedagógica")</f>
        <v>Form. Pedagógica</v>
      </c>
      <c r="C192" s="390" t="str">
        <f>IFERROR(__xludf.DUMMYFUNCTION("""COMPUTED_VALUE"""),"Pedagogia")</f>
        <v>Pedagogia</v>
      </c>
      <c r="D192" s="390" t="str">
        <f>IFERROR(__xludf.DUMMYFUNCTION("""COMPUTED_VALUE"""),"Entregue - Email - Mariana 16/08/2024")</f>
        <v>Entregue - Email - Mariana 16/08/2024</v>
      </c>
      <c r="E192" s="390"/>
      <c r="F192" s="390"/>
      <c r="G192" s="390"/>
      <c r="H192" s="390"/>
      <c r="I192" s="390"/>
      <c r="J192" s="390"/>
      <c r="K192" s="390"/>
      <c r="L192" s="390"/>
      <c r="M192" s="390"/>
      <c r="N192" s="390"/>
      <c r="O192" s="390"/>
      <c r="P192" s="390"/>
      <c r="Q192" s="390"/>
      <c r="R192" s="390"/>
      <c r="S192" s="390"/>
      <c r="T192" s="390"/>
      <c r="U192" s="390"/>
      <c r="V192" s="390"/>
      <c r="W192" s="390"/>
      <c r="X192" s="390"/>
      <c r="Y192" s="390"/>
    </row>
    <row r="193">
      <c r="A193" s="390" t="str">
        <f>IFERROR(__xludf.DUMMYFUNCTION("""COMPUTED_VALUE"""),"Rafaella Moreira de Lima")</f>
        <v>Rafaella Moreira de Lima</v>
      </c>
      <c r="B193" s="390" t="str">
        <f>IFERROR(__xludf.DUMMYFUNCTION("""COMPUTED_VALUE"""),"2° Licenciatura")</f>
        <v>2° Licenciatura</v>
      </c>
      <c r="C193" s="390" t="str">
        <f>IFERROR(__xludf.DUMMYFUNCTION("""COMPUTED_VALUE"""),"Educação Especial")</f>
        <v>Educação Especial</v>
      </c>
      <c r="D193" s="390" t="str">
        <f>IFERROR(__xludf.DUMMYFUNCTION("""COMPUTED_VALUE"""),"Entregue - Email - Mariana 26/08/2024")</f>
        <v>Entregue - Email - Mariana 26/08/2024</v>
      </c>
      <c r="E193" s="390"/>
      <c r="F193" s="390"/>
      <c r="G193" s="390"/>
      <c r="H193" s="390"/>
      <c r="I193" s="390"/>
      <c r="J193" s="390"/>
      <c r="K193" s="390"/>
      <c r="L193" s="390"/>
      <c r="M193" s="390"/>
      <c r="N193" s="390"/>
      <c r="O193" s="390"/>
      <c r="P193" s="390"/>
      <c r="Q193" s="390"/>
      <c r="R193" s="390"/>
      <c r="S193" s="390"/>
      <c r="T193" s="390"/>
      <c r="U193" s="390"/>
      <c r="V193" s="390"/>
      <c r="W193" s="390"/>
      <c r="X193" s="390"/>
      <c r="Y193" s="390"/>
    </row>
    <row r="194">
      <c r="A194" s="390" t="str">
        <f>IFERROR(__xludf.DUMMYFUNCTION("""COMPUTED_VALUE"""),"Ivanete de Souza Santos")</f>
        <v>Ivanete de Souza Santos</v>
      </c>
      <c r="B194" s="390" t="str">
        <f>IFERROR(__xludf.DUMMYFUNCTION("""COMPUTED_VALUE"""),"2° Licenciatura")</f>
        <v>2° Licenciatura</v>
      </c>
      <c r="C194" s="390" t="str">
        <f>IFERROR(__xludf.DUMMYFUNCTION("""COMPUTED_VALUE"""),"Letras - Português e Inglês")</f>
        <v>Letras - Português e Inglês</v>
      </c>
      <c r="D194" s="390" t="str">
        <f>IFERROR(__xludf.DUMMYFUNCTION("""COMPUTED_VALUE"""),"Entregue - Email - Mariana 04/09/2024")</f>
        <v>Entregue - Email - Mariana 04/09/2024</v>
      </c>
      <c r="E194" s="390"/>
      <c r="F194" s="390"/>
      <c r="G194" s="390"/>
      <c r="H194" s="390"/>
      <c r="I194" s="390"/>
      <c r="J194" s="390"/>
      <c r="K194" s="390"/>
      <c r="L194" s="390"/>
      <c r="M194" s="390"/>
      <c r="N194" s="390"/>
      <c r="O194" s="390"/>
      <c r="P194" s="390"/>
      <c r="Q194" s="390"/>
      <c r="R194" s="390"/>
      <c r="S194" s="390"/>
      <c r="T194" s="390"/>
      <c r="U194" s="390"/>
      <c r="V194" s="390"/>
      <c r="W194" s="390"/>
      <c r="X194" s="390"/>
      <c r="Y194" s="390"/>
    </row>
    <row r="195">
      <c r="A195" s="390" t="str">
        <f>IFERROR(__xludf.DUMMYFUNCTION("""COMPUTED_VALUE"""),"Thaís Mespaque Pinto")</f>
        <v>Thaís Mespaque Pinto</v>
      </c>
      <c r="B195" s="390" t="str">
        <f>IFERROR(__xludf.DUMMYFUNCTION("""COMPUTED_VALUE"""),"2° Licenciatura")</f>
        <v>2° Licenciatura</v>
      </c>
      <c r="C195" s="390" t="str">
        <f>IFERROR(__xludf.DUMMYFUNCTION("""COMPUTED_VALUE"""),"História")</f>
        <v>História</v>
      </c>
      <c r="D195" s="390" t="str">
        <f>IFERROR(__xludf.DUMMYFUNCTION("""COMPUTED_VALUE"""),"Entregue - Email - Mariana 04/09/2024")</f>
        <v>Entregue - Email - Mariana 04/09/2024</v>
      </c>
      <c r="E195" s="390"/>
      <c r="F195" s="390"/>
      <c r="G195" s="390"/>
      <c r="H195" s="390"/>
      <c r="I195" s="390"/>
      <c r="J195" s="390"/>
      <c r="K195" s="390"/>
      <c r="L195" s="390"/>
      <c r="M195" s="390"/>
      <c r="N195" s="390"/>
      <c r="O195" s="390"/>
      <c r="P195" s="390"/>
      <c r="Q195" s="390"/>
      <c r="R195" s="390"/>
      <c r="S195" s="390"/>
      <c r="T195" s="390"/>
      <c r="U195" s="390"/>
      <c r="V195" s="390"/>
      <c r="W195" s="390"/>
      <c r="X195" s="390"/>
      <c r="Y195" s="390"/>
    </row>
    <row r="196">
      <c r="A196" s="390" t="str">
        <f>IFERROR(__xludf.DUMMYFUNCTION("""COMPUTED_VALUE"""),"Déborah Cardoso Meireles Marques")</f>
        <v>Déborah Cardoso Meireles Marques</v>
      </c>
      <c r="B196" s="390" t="str">
        <f>IFERROR(__xludf.DUMMYFUNCTION("""COMPUTED_VALUE"""),"2° Licenciatura")</f>
        <v>2° Licenciatura</v>
      </c>
      <c r="C196" s="390" t="str">
        <f>IFERROR(__xludf.DUMMYFUNCTION("""COMPUTED_VALUE"""),"História")</f>
        <v>História</v>
      </c>
      <c r="D196" s="390" t="str">
        <f>IFERROR(__xludf.DUMMYFUNCTION("""COMPUTED_VALUE"""),"Entregue - Email - Mariana 04/09/2024")</f>
        <v>Entregue - Email - Mariana 04/09/2024</v>
      </c>
      <c r="E196" s="390"/>
      <c r="F196" s="390"/>
      <c r="G196" s="390"/>
      <c r="H196" s="390"/>
      <c r="I196" s="390"/>
      <c r="J196" s="390"/>
      <c r="K196" s="390"/>
      <c r="L196" s="390"/>
      <c r="M196" s="390"/>
      <c r="N196" s="390"/>
      <c r="O196" s="390"/>
      <c r="P196" s="390"/>
      <c r="Q196" s="390"/>
      <c r="R196" s="390"/>
      <c r="S196" s="390"/>
      <c r="T196" s="390"/>
      <c r="U196" s="390"/>
      <c r="V196" s="390"/>
      <c r="W196" s="390"/>
      <c r="X196" s="390"/>
      <c r="Y196" s="390"/>
    </row>
    <row r="197">
      <c r="A197" s="390" t="str">
        <f>IFERROR(__xludf.DUMMYFUNCTION("""COMPUTED_VALUE"""),"Tiago da Silva Borges")</f>
        <v>Tiago da Silva Borges</v>
      </c>
      <c r="B197" s="390" t="str">
        <f>IFERROR(__xludf.DUMMYFUNCTION("""COMPUTED_VALUE"""),"2° Licenciatura")</f>
        <v>2° Licenciatura</v>
      </c>
      <c r="C197" s="390" t="str">
        <f>IFERROR(__xludf.DUMMYFUNCTION("""COMPUTED_VALUE"""),"Pedagogia")</f>
        <v>Pedagogia</v>
      </c>
      <c r="D197" s="390" t="str">
        <f>IFERROR(__xludf.DUMMYFUNCTION("""COMPUTED_VALUE"""),"Entregue - Email - Mariana 04/09/2024")</f>
        <v>Entregue - Email - Mariana 04/09/2024</v>
      </c>
      <c r="E197" s="390"/>
      <c r="F197" s="390"/>
      <c r="G197" s="390"/>
      <c r="H197" s="390"/>
      <c r="I197" s="390"/>
      <c r="J197" s="390"/>
      <c r="K197" s="390"/>
      <c r="L197" s="390"/>
      <c r="M197" s="390"/>
      <c r="N197" s="390"/>
      <c r="O197" s="390"/>
      <c r="P197" s="390"/>
      <c r="Q197" s="390"/>
      <c r="R197" s="390"/>
      <c r="S197" s="390"/>
      <c r="T197" s="390"/>
      <c r="U197" s="390"/>
      <c r="V197" s="390"/>
      <c r="W197" s="390"/>
      <c r="X197" s="390"/>
      <c r="Y197" s="390"/>
    </row>
    <row r="198">
      <c r="A198" s="390" t="str">
        <f>IFERROR(__xludf.DUMMYFUNCTION("""COMPUTED_VALUE"""),"Bianca de Almeida Oliveira")</f>
        <v>Bianca de Almeida Oliveira</v>
      </c>
      <c r="B198" s="390" t="str">
        <f>IFERROR(__xludf.DUMMYFUNCTION("""COMPUTED_VALUE"""),"Form. Pedagógica")</f>
        <v>Form. Pedagógica</v>
      </c>
      <c r="C198" s="390" t="str">
        <f>IFERROR(__xludf.DUMMYFUNCTION("""COMPUTED_VALUE"""),"Pedagogia")</f>
        <v>Pedagogia</v>
      </c>
      <c r="D198" s="390" t="str">
        <f>IFERROR(__xludf.DUMMYFUNCTION("""COMPUTED_VALUE"""),"Entregue - Email - Mariana 04/09/2024")</f>
        <v>Entregue - Email - Mariana 04/09/2024</v>
      </c>
      <c r="E198" s="390"/>
      <c r="F198" s="390"/>
      <c r="G198" s="390"/>
      <c r="H198" s="390"/>
      <c r="I198" s="390"/>
      <c r="J198" s="390"/>
      <c r="K198" s="390"/>
      <c r="L198" s="390"/>
      <c r="M198" s="390"/>
      <c r="N198" s="390"/>
      <c r="O198" s="390"/>
      <c r="P198" s="390"/>
      <c r="Q198" s="390"/>
      <c r="R198" s="390"/>
      <c r="S198" s="390"/>
      <c r="T198" s="390"/>
      <c r="U198" s="390"/>
      <c r="V198" s="390"/>
      <c r="W198" s="390"/>
      <c r="X198" s="390"/>
      <c r="Y198" s="390"/>
    </row>
    <row r="199">
      <c r="A199" s="390" t="str">
        <f>IFERROR(__xludf.DUMMYFUNCTION("""COMPUTED_VALUE"""),"Israel Quiroga Botelho")</f>
        <v>Israel Quiroga Botelho</v>
      </c>
      <c r="B199" s="390" t="str">
        <f>IFERROR(__xludf.DUMMYFUNCTION("""COMPUTED_VALUE"""),"2° Licenciatura")</f>
        <v>2° Licenciatura</v>
      </c>
      <c r="C199" s="390" t="str">
        <f>IFERROR(__xludf.DUMMYFUNCTION("""COMPUTED_VALUE"""),"Geografia")</f>
        <v>Geografia</v>
      </c>
      <c r="D199" s="390" t="str">
        <f>IFERROR(__xludf.DUMMYFUNCTION("""COMPUTED_VALUE"""),"Entregue - Email - Mariana 04/09/2024")</f>
        <v>Entregue - Email - Mariana 04/09/2024</v>
      </c>
      <c r="E199" s="390"/>
      <c r="F199" s="390"/>
      <c r="G199" s="390"/>
      <c r="H199" s="390"/>
      <c r="I199" s="390"/>
      <c r="J199" s="390"/>
      <c r="K199" s="390"/>
      <c r="L199" s="390"/>
      <c r="M199" s="390"/>
      <c r="N199" s="390"/>
      <c r="O199" s="390"/>
      <c r="P199" s="390"/>
      <c r="Q199" s="390"/>
      <c r="R199" s="390"/>
      <c r="S199" s="390"/>
      <c r="T199" s="390"/>
      <c r="U199" s="390"/>
      <c r="V199" s="390"/>
      <c r="W199" s="390"/>
      <c r="X199" s="390"/>
      <c r="Y199" s="390"/>
    </row>
    <row r="200">
      <c r="A200" s="390" t="str">
        <f>IFERROR(__xludf.DUMMYFUNCTION("""COMPUTED_VALUE"""),"Jefferson Aristiano Vargas")</f>
        <v>Jefferson Aristiano Vargas</v>
      </c>
      <c r="B200" s="390" t="str">
        <f>IFERROR(__xludf.DUMMYFUNCTION("""COMPUTED_VALUE"""),"Form. Pedagógica")</f>
        <v>Form. Pedagógica</v>
      </c>
      <c r="C200" s="390" t="str">
        <f>IFERROR(__xludf.DUMMYFUNCTION("""COMPUTED_VALUE"""),"Educação Física")</f>
        <v>Educação Física</v>
      </c>
      <c r="D200" s="390" t="str">
        <f>IFERROR(__xludf.DUMMYFUNCTION("""COMPUTED_VALUE"""),"Entregue - Email - Mariana 04/09/2024")</f>
        <v>Entregue - Email - Mariana 04/09/2024</v>
      </c>
      <c r="E200" s="390"/>
      <c r="F200" s="390"/>
      <c r="G200" s="390"/>
      <c r="H200" s="390"/>
      <c r="I200" s="390"/>
      <c r="J200" s="390"/>
      <c r="K200" s="390"/>
      <c r="L200" s="390"/>
      <c r="M200" s="390"/>
      <c r="N200" s="390"/>
      <c r="O200" s="390"/>
      <c r="P200" s="390"/>
      <c r="Q200" s="390"/>
      <c r="R200" s="390"/>
      <c r="S200" s="390"/>
      <c r="T200" s="390"/>
      <c r="U200" s="390"/>
      <c r="V200" s="390"/>
      <c r="W200" s="390"/>
      <c r="X200" s="390"/>
      <c r="Y200" s="390"/>
    </row>
    <row r="201">
      <c r="A201" s="390" t="str">
        <f>IFERROR(__xludf.DUMMYFUNCTION("""COMPUTED_VALUE"""),"Roger Henrique Frioli Faccioli Pozza")</f>
        <v>Roger Henrique Frioli Faccioli Pozza</v>
      </c>
      <c r="B201" s="390" t="str">
        <f>IFERROR(__xludf.DUMMYFUNCTION("""COMPUTED_VALUE"""),"2° Licenciatura")</f>
        <v>2° Licenciatura</v>
      </c>
      <c r="C201" s="390" t="str">
        <f>IFERROR(__xludf.DUMMYFUNCTION("""COMPUTED_VALUE"""),"Letras - Português e Inglês")</f>
        <v>Letras - Português e Inglês</v>
      </c>
      <c r="D201" s="390" t="str">
        <f>IFERROR(__xludf.DUMMYFUNCTION("""COMPUTED_VALUE"""),"Entregue - Email - Mariana 04/09/2024")</f>
        <v>Entregue - Email - Mariana 04/09/2024</v>
      </c>
      <c r="E201" s="390"/>
      <c r="F201" s="390"/>
      <c r="G201" s="390"/>
      <c r="H201" s="390"/>
      <c r="I201" s="390"/>
      <c r="J201" s="390"/>
      <c r="K201" s="390"/>
      <c r="L201" s="390"/>
      <c r="M201" s="390"/>
      <c r="N201" s="390"/>
      <c r="O201" s="390"/>
      <c r="P201" s="390"/>
      <c r="Q201" s="390"/>
      <c r="R201" s="390"/>
      <c r="S201" s="390"/>
      <c r="T201" s="390"/>
      <c r="U201" s="390"/>
      <c r="V201" s="390"/>
      <c r="W201" s="390"/>
      <c r="X201" s="390"/>
      <c r="Y201" s="390"/>
    </row>
    <row r="202">
      <c r="A202" s="390" t="str">
        <f>IFERROR(__xludf.DUMMYFUNCTION("""COMPUTED_VALUE"""),"Ely Clayton Fernandes da Silva")</f>
        <v>Ely Clayton Fernandes da Silva</v>
      </c>
      <c r="B202" s="390" t="str">
        <f>IFERROR(__xludf.DUMMYFUNCTION("""COMPUTED_VALUE"""),"Form. Pedagógica")</f>
        <v>Form. Pedagógica</v>
      </c>
      <c r="C202" s="390" t="str">
        <f>IFERROR(__xludf.DUMMYFUNCTION("""COMPUTED_VALUE"""),"Geografia")</f>
        <v>Geografia</v>
      </c>
      <c r="D202" s="390" t="str">
        <f>IFERROR(__xludf.DUMMYFUNCTION("""COMPUTED_VALUE"""),"Entregue - Email - Mariana 04/09/2024")</f>
        <v>Entregue - Email - Mariana 04/09/2024</v>
      </c>
      <c r="E202" s="390"/>
      <c r="F202" s="390"/>
      <c r="G202" s="390"/>
      <c r="H202" s="390"/>
      <c r="I202" s="390"/>
      <c r="J202" s="390"/>
      <c r="K202" s="390"/>
      <c r="L202" s="390"/>
      <c r="M202" s="390"/>
      <c r="N202" s="390"/>
      <c r="O202" s="390"/>
      <c r="P202" s="390"/>
      <c r="Q202" s="390"/>
      <c r="R202" s="390"/>
      <c r="S202" s="390"/>
      <c r="T202" s="390"/>
      <c r="U202" s="390"/>
      <c r="V202" s="390"/>
      <c r="W202" s="390"/>
      <c r="X202" s="390"/>
      <c r="Y202" s="390"/>
    </row>
    <row r="203">
      <c r="A203" s="390" t="str">
        <f>IFERROR(__xludf.DUMMYFUNCTION("""COMPUTED_VALUE"""),"Ronilda Benedita de Almeida")</f>
        <v>Ronilda Benedita de Almeida</v>
      </c>
      <c r="B203" s="390" t="str">
        <f>IFERROR(__xludf.DUMMYFUNCTION("""COMPUTED_VALUE"""),"2° Licenciatura")</f>
        <v>2° Licenciatura</v>
      </c>
      <c r="C203" s="390" t="str">
        <f>IFERROR(__xludf.DUMMYFUNCTION("""COMPUTED_VALUE"""),"Artes Visuais")</f>
        <v>Artes Visuais</v>
      </c>
      <c r="D203" s="390" t="str">
        <f>IFERROR(__xludf.DUMMYFUNCTION("""COMPUTED_VALUE"""),"Entregue - Email - Mariana 04/09/2024")</f>
        <v>Entregue - Email - Mariana 04/09/2024</v>
      </c>
      <c r="E203" s="390"/>
      <c r="F203" s="390"/>
      <c r="G203" s="390"/>
      <c r="H203" s="390"/>
      <c r="I203" s="390"/>
      <c r="J203" s="390"/>
      <c r="K203" s="390"/>
      <c r="L203" s="390"/>
      <c r="M203" s="390"/>
      <c r="N203" s="390"/>
      <c r="O203" s="390"/>
      <c r="P203" s="390"/>
      <c r="Q203" s="390"/>
      <c r="R203" s="390"/>
      <c r="S203" s="390"/>
      <c r="T203" s="390"/>
      <c r="U203" s="390"/>
      <c r="V203" s="390"/>
      <c r="W203" s="390"/>
      <c r="X203" s="390"/>
      <c r="Y203" s="390"/>
    </row>
    <row r="204">
      <c r="A204" s="390" t="str">
        <f>IFERROR(__xludf.DUMMYFUNCTION("""COMPUTED_VALUE"""),"Carem Simone Sampaio Christofoletti")</f>
        <v>Carem Simone Sampaio Christofoletti</v>
      </c>
      <c r="B204" s="390" t="str">
        <f>IFERROR(__xludf.DUMMYFUNCTION("""COMPUTED_VALUE"""),"2° Licenciatura")</f>
        <v>2° Licenciatura</v>
      </c>
      <c r="C204" s="390" t="str">
        <f>IFERROR(__xludf.DUMMYFUNCTION("""COMPUTED_VALUE"""),"Pedagogia")</f>
        <v>Pedagogia</v>
      </c>
      <c r="D204" s="390" t="str">
        <f>IFERROR(__xludf.DUMMYFUNCTION("""COMPUTED_VALUE"""),"Entregue - Email - Mariana 04/09/2024")</f>
        <v>Entregue - Email - Mariana 04/09/2024</v>
      </c>
      <c r="E204" s="390"/>
      <c r="F204" s="390"/>
      <c r="G204" s="390"/>
      <c r="H204" s="390"/>
      <c r="I204" s="390"/>
      <c r="J204" s="390"/>
      <c r="K204" s="390"/>
      <c r="L204" s="390"/>
      <c r="M204" s="390"/>
      <c r="N204" s="390"/>
      <c r="O204" s="390"/>
      <c r="P204" s="390"/>
      <c r="Q204" s="390"/>
      <c r="R204" s="390"/>
      <c r="S204" s="390"/>
      <c r="T204" s="390"/>
      <c r="U204" s="390"/>
      <c r="V204" s="390"/>
      <c r="W204" s="390"/>
      <c r="X204" s="390"/>
      <c r="Y204" s="390"/>
    </row>
    <row r="205">
      <c r="A205" s="390" t="str">
        <f>IFERROR(__xludf.DUMMYFUNCTION("""COMPUTED_VALUE"""),"Jéssica Saldanha Batistela")</f>
        <v>Jéssica Saldanha Batistela</v>
      </c>
      <c r="B205" s="390" t="str">
        <f>IFERROR(__xludf.DUMMYFUNCTION("""COMPUTED_VALUE"""),"2° Licenciatura")</f>
        <v>2° Licenciatura</v>
      </c>
      <c r="C205" s="390" t="str">
        <f>IFERROR(__xludf.DUMMYFUNCTION("""COMPUTED_VALUE"""),"Educação Física")</f>
        <v>Educação Física</v>
      </c>
      <c r="D205" s="390" t="str">
        <f>IFERROR(__xludf.DUMMYFUNCTION("""COMPUTED_VALUE"""),"Entregue - Email - Mariana 04/09/2024")</f>
        <v>Entregue - Email - Mariana 04/09/2024</v>
      </c>
      <c r="E205" s="390"/>
      <c r="F205" s="390"/>
      <c r="G205" s="390"/>
      <c r="H205" s="390"/>
      <c r="I205" s="390"/>
      <c r="J205" s="390"/>
      <c r="K205" s="390"/>
      <c r="L205" s="390"/>
      <c r="M205" s="390"/>
      <c r="N205" s="390"/>
      <c r="O205" s="390"/>
      <c r="P205" s="390"/>
      <c r="Q205" s="390"/>
      <c r="R205" s="390"/>
      <c r="S205" s="390"/>
      <c r="T205" s="390"/>
      <c r="U205" s="390"/>
      <c r="V205" s="390"/>
      <c r="W205" s="390"/>
      <c r="X205" s="390"/>
      <c r="Y205" s="390"/>
    </row>
    <row r="206">
      <c r="A206" s="390" t="str">
        <f>IFERROR(__xludf.DUMMYFUNCTION("""COMPUTED_VALUE"""),"Lourdes Cristina Santoro Fernandez")</f>
        <v>Lourdes Cristina Santoro Fernandez</v>
      </c>
      <c r="B206" s="390" t="str">
        <f>IFERROR(__xludf.DUMMYFUNCTION("""COMPUTED_VALUE"""),"Form. Pedagógica")</f>
        <v>Form. Pedagógica</v>
      </c>
      <c r="C206" s="390" t="str">
        <f>IFERROR(__xludf.DUMMYFUNCTION("""COMPUTED_VALUE"""),"Matemática")</f>
        <v>Matemática</v>
      </c>
      <c r="D206" s="390" t="str">
        <f>IFERROR(__xludf.DUMMYFUNCTION("""COMPUTED_VALUE"""),"Entregue - Email - Mariana 04/09/2024")</f>
        <v>Entregue - Email - Mariana 04/09/2024</v>
      </c>
      <c r="E206" s="390"/>
      <c r="F206" s="390"/>
      <c r="G206" s="390"/>
      <c r="H206" s="390"/>
      <c r="I206" s="390"/>
      <c r="J206" s="390"/>
      <c r="K206" s="390"/>
      <c r="L206" s="390"/>
      <c r="M206" s="390"/>
      <c r="N206" s="390"/>
      <c r="O206" s="390"/>
      <c r="P206" s="390"/>
      <c r="Q206" s="390"/>
      <c r="R206" s="390"/>
      <c r="S206" s="390"/>
      <c r="T206" s="390"/>
      <c r="U206" s="390"/>
      <c r="V206" s="390"/>
      <c r="W206" s="390"/>
      <c r="X206" s="390"/>
      <c r="Y206" s="390"/>
    </row>
    <row r="207">
      <c r="A207" s="390" t="str">
        <f>IFERROR(__xludf.DUMMYFUNCTION("""COMPUTED_VALUE"""),"Irene Veloso Costa")</f>
        <v>Irene Veloso Costa</v>
      </c>
      <c r="B207" s="390" t="str">
        <f>IFERROR(__xludf.DUMMYFUNCTION("""COMPUTED_VALUE"""),"Form. Pedagógica")</f>
        <v>Form. Pedagógica</v>
      </c>
      <c r="C207" s="390" t="str">
        <f>IFERROR(__xludf.DUMMYFUNCTION("""COMPUTED_VALUE"""),"Pedagogia")</f>
        <v>Pedagogia</v>
      </c>
      <c r="D207" s="390" t="str">
        <f>IFERROR(__xludf.DUMMYFUNCTION("""COMPUTED_VALUE"""),"Entregue - Email - Mariana 04/09/2024")</f>
        <v>Entregue - Email - Mariana 04/09/2024</v>
      </c>
      <c r="E207" s="390"/>
      <c r="F207" s="390"/>
      <c r="G207" s="390"/>
      <c r="H207" s="390"/>
      <c r="I207" s="390"/>
      <c r="J207" s="390"/>
      <c r="K207" s="390"/>
      <c r="L207" s="390"/>
      <c r="M207" s="390"/>
      <c r="N207" s="390"/>
      <c r="O207" s="390"/>
      <c r="P207" s="390"/>
      <c r="Q207" s="390"/>
      <c r="R207" s="390"/>
      <c r="S207" s="390"/>
      <c r="T207" s="390"/>
      <c r="U207" s="390"/>
      <c r="V207" s="390"/>
      <c r="W207" s="390"/>
      <c r="X207" s="390"/>
      <c r="Y207" s="390"/>
    </row>
    <row r="208">
      <c r="A208" s="390" t="str">
        <f>IFERROR(__xludf.DUMMYFUNCTION("""COMPUTED_VALUE"""),"Paulo Alves da Silva")</f>
        <v>Paulo Alves da Silva</v>
      </c>
      <c r="B208" s="390" t="str">
        <f>IFERROR(__xludf.DUMMYFUNCTION("""COMPUTED_VALUE"""),"2° Licenciatura")</f>
        <v>2° Licenciatura</v>
      </c>
      <c r="C208" s="390" t="str">
        <f>IFERROR(__xludf.DUMMYFUNCTION("""COMPUTED_VALUE"""),"História")</f>
        <v>História</v>
      </c>
      <c r="D208" s="390" t="str">
        <f>IFERROR(__xludf.DUMMYFUNCTION("""COMPUTED_VALUE"""),"Entregue - Email - Mariana 04/09/2024")</f>
        <v>Entregue - Email - Mariana 04/09/2024</v>
      </c>
      <c r="E208" s="390"/>
      <c r="F208" s="390"/>
      <c r="G208" s="390"/>
      <c r="H208" s="390"/>
      <c r="I208" s="390"/>
      <c r="J208" s="390"/>
      <c r="K208" s="390"/>
      <c r="L208" s="390"/>
      <c r="M208" s="390"/>
      <c r="N208" s="390"/>
      <c r="O208" s="390"/>
      <c r="P208" s="390"/>
      <c r="Q208" s="390"/>
      <c r="R208" s="390"/>
      <c r="S208" s="390"/>
      <c r="T208" s="390"/>
      <c r="U208" s="390"/>
      <c r="V208" s="390"/>
      <c r="W208" s="390"/>
      <c r="X208" s="390"/>
      <c r="Y208" s="390"/>
    </row>
    <row r="209">
      <c r="A209" s="390" t="str">
        <f>IFERROR(__xludf.DUMMYFUNCTION("""COMPUTED_VALUE"""),"Cristiane Mesquita Pereira Ferreira (apressamento)")</f>
        <v>Cristiane Mesquita Pereira Ferreira (apressamento)</v>
      </c>
      <c r="B209" s="390" t="str">
        <f>IFERROR(__xludf.DUMMYFUNCTION("""COMPUTED_VALUE"""),"2° Licenciatura")</f>
        <v>2° Licenciatura</v>
      </c>
      <c r="C209" s="390" t="str">
        <f>IFERROR(__xludf.DUMMYFUNCTION("""COMPUTED_VALUE"""),"Pedagogia")</f>
        <v>Pedagogia</v>
      </c>
      <c r="D209" s="390" t="str">
        <f>IFERROR(__xludf.DUMMYFUNCTION("""COMPUTED_VALUE"""),"Entregue - Email - Mariana 04/09/2024")</f>
        <v>Entregue - Email - Mariana 04/09/2024</v>
      </c>
      <c r="E209" s="390"/>
      <c r="F209" s="390"/>
      <c r="G209" s="390"/>
      <c r="H209" s="390"/>
      <c r="I209" s="390"/>
      <c r="J209" s="390"/>
      <c r="K209" s="390"/>
      <c r="L209" s="390"/>
      <c r="M209" s="390"/>
      <c r="N209" s="390"/>
      <c r="O209" s="390"/>
      <c r="P209" s="390"/>
      <c r="Q209" s="390"/>
      <c r="R209" s="390"/>
      <c r="S209" s="390"/>
      <c r="T209" s="390"/>
      <c r="U209" s="390"/>
      <c r="V209" s="390"/>
      <c r="W209" s="390"/>
      <c r="X209" s="390"/>
      <c r="Y209" s="390"/>
    </row>
    <row r="210">
      <c r="A210" s="390" t="str">
        <f>IFERROR(__xludf.DUMMYFUNCTION("""COMPUTED_VALUE"""),"Anderson Montenegro dos Santos")</f>
        <v>Anderson Montenegro dos Santos</v>
      </c>
      <c r="B210" s="390" t="str">
        <f>IFERROR(__xludf.DUMMYFUNCTION("""COMPUTED_VALUE"""),"2° Licenciatura")</f>
        <v>2° Licenciatura</v>
      </c>
      <c r="C210" s="390" t="str">
        <f>IFERROR(__xludf.DUMMYFUNCTION("""COMPUTED_VALUE"""),"Pedagogia")</f>
        <v>Pedagogia</v>
      </c>
      <c r="D210" s="390" t="str">
        <f>IFERROR(__xludf.DUMMYFUNCTION("""COMPUTED_VALUE"""),"Entregue - Email - Mariana 04/09/2024")</f>
        <v>Entregue - Email - Mariana 04/09/2024</v>
      </c>
      <c r="E210" s="390"/>
      <c r="F210" s="390"/>
      <c r="G210" s="390"/>
      <c r="H210" s="390"/>
      <c r="I210" s="390"/>
      <c r="J210" s="390"/>
      <c r="K210" s="390"/>
      <c r="L210" s="390"/>
      <c r="M210" s="390"/>
      <c r="N210" s="390"/>
      <c r="O210" s="390"/>
      <c r="P210" s="390"/>
      <c r="Q210" s="390"/>
      <c r="R210" s="390"/>
      <c r="S210" s="390"/>
      <c r="T210" s="390"/>
      <c r="U210" s="390"/>
      <c r="V210" s="390"/>
      <c r="W210" s="390"/>
      <c r="X210" s="390"/>
      <c r="Y210" s="390"/>
    </row>
    <row r="211">
      <c r="A211" s="390" t="str">
        <f>IFERROR(__xludf.DUMMYFUNCTION("""COMPUTED_VALUE"""),"Fagner Amorim dos Santos")</f>
        <v>Fagner Amorim dos Santos</v>
      </c>
      <c r="B211" s="390" t="str">
        <f>IFERROR(__xludf.DUMMYFUNCTION("""COMPUTED_VALUE"""),"Form. Pedagógica")</f>
        <v>Form. Pedagógica</v>
      </c>
      <c r="C211" s="390" t="str">
        <f>IFERROR(__xludf.DUMMYFUNCTION("""COMPUTED_VALUE"""),"História")</f>
        <v>História</v>
      </c>
      <c r="D211" s="390" t="str">
        <f>IFERROR(__xludf.DUMMYFUNCTION("""COMPUTED_VALUE"""),"Entregue - Email - Mariana 04/09/2024")</f>
        <v>Entregue - Email - Mariana 04/09/2024</v>
      </c>
      <c r="E211" s="390"/>
      <c r="F211" s="390"/>
      <c r="G211" s="390"/>
      <c r="H211" s="390"/>
      <c r="I211" s="390"/>
      <c r="J211" s="390"/>
      <c r="K211" s="390"/>
      <c r="L211" s="390"/>
      <c r="M211" s="390"/>
      <c r="N211" s="390"/>
      <c r="O211" s="390"/>
      <c r="P211" s="390"/>
      <c r="Q211" s="390"/>
      <c r="R211" s="390"/>
      <c r="S211" s="390"/>
      <c r="T211" s="390"/>
      <c r="U211" s="390"/>
      <c r="V211" s="390"/>
      <c r="W211" s="390"/>
      <c r="X211" s="390"/>
      <c r="Y211" s="390"/>
    </row>
    <row r="212">
      <c r="A212" s="390" t="str">
        <f>IFERROR(__xludf.DUMMYFUNCTION("""COMPUTED_VALUE"""),"Camila Coelho de Almeida")</f>
        <v>Camila Coelho de Almeida</v>
      </c>
      <c r="B212" s="390" t="str">
        <f>IFERROR(__xludf.DUMMYFUNCTION("""COMPUTED_VALUE"""),"Form. Pedagógica")</f>
        <v>Form. Pedagógica</v>
      </c>
      <c r="C212" s="390" t="str">
        <f>IFERROR(__xludf.DUMMYFUNCTION("""COMPUTED_VALUE"""),"Pedagogia")</f>
        <v>Pedagogia</v>
      </c>
      <c r="D212" s="390" t="str">
        <f>IFERROR(__xludf.DUMMYFUNCTION("""COMPUTED_VALUE"""),"Entregue - Email - Mariana")</f>
        <v>Entregue - Email - Mariana</v>
      </c>
      <c r="E212" s="390"/>
      <c r="F212" s="390"/>
      <c r="G212" s="390"/>
      <c r="H212" s="390"/>
      <c r="I212" s="390"/>
      <c r="J212" s="390"/>
      <c r="K212" s="390"/>
      <c r="L212" s="390"/>
      <c r="M212" s="390"/>
      <c r="N212" s="390"/>
      <c r="O212" s="390"/>
      <c r="P212" s="390"/>
      <c r="Q212" s="390"/>
      <c r="R212" s="390"/>
      <c r="S212" s="390"/>
      <c r="T212" s="390"/>
      <c r="U212" s="390"/>
      <c r="V212" s="390"/>
      <c r="W212" s="390"/>
      <c r="X212" s="390"/>
      <c r="Y212" s="390"/>
    </row>
    <row r="213">
      <c r="A213" s="390" t="str">
        <f>IFERROR(__xludf.DUMMYFUNCTION("""COMPUTED_VALUE"""),"Cíntia de Castro")</f>
        <v>Cíntia de Castro</v>
      </c>
      <c r="B213" s="390" t="str">
        <f>IFERROR(__xludf.DUMMYFUNCTION("""COMPUTED_VALUE"""),"2° Licenciatura")</f>
        <v>2° Licenciatura</v>
      </c>
      <c r="C213" s="390" t="str">
        <f>IFERROR(__xludf.DUMMYFUNCTION("""COMPUTED_VALUE"""),"Artes Visuais")</f>
        <v>Artes Visuais</v>
      </c>
      <c r="D213" s="390" t="str">
        <f>IFERROR(__xludf.DUMMYFUNCTION("""COMPUTED_VALUE"""),"Entregue - Email - Mariana")</f>
        <v>Entregue - Email - Mariana</v>
      </c>
      <c r="E213" s="390"/>
      <c r="F213" s="390"/>
      <c r="G213" s="390"/>
      <c r="H213" s="390"/>
      <c r="I213" s="390"/>
      <c r="J213" s="390"/>
      <c r="K213" s="390"/>
      <c r="L213" s="390"/>
      <c r="M213" s="390"/>
      <c r="N213" s="390"/>
      <c r="O213" s="390"/>
      <c r="P213" s="390"/>
      <c r="Q213" s="390"/>
      <c r="R213" s="390"/>
      <c r="S213" s="390"/>
      <c r="T213" s="390"/>
      <c r="U213" s="390"/>
      <c r="V213" s="390"/>
      <c r="W213" s="390"/>
      <c r="X213" s="390"/>
      <c r="Y213" s="390"/>
    </row>
    <row r="214">
      <c r="A214" s="390" t="str">
        <f>IFERROR(__xludf.DUMMYFUNCTION("""COMPUTED_VALUE"""),"Maria Elizânia do Nascimento Oliveira")</f>
        <v>Maria Elizânia do Nascimento Oliveira</v>
      </c>
      <c r="B214" s="390" t="str">
        <f>IFERROR(__xludf.DUMMYFUNCTION("""COMPUTED_VALUE"""),"2° Licenciatura")</f>
        <v>2° Licenciatura</v>
      </c>
      <c r="C214" s="390" t="str">
        <f>IFERROR(__xludf.DUMMYFUNCTION("""COMPUTED_VALUE"""),"História")</f>
        <v>História</v>
      </c>
      <c r="D214" s="390" t="str">
        <f>IFERROR(__xludf.DUMMYFUNCTION("""COMPUTED_VALUE"""),"Entregue - Email - Mariana")</f>
        <v>Entregue - Email - Mariana</v>
      </c>
      <c r="E214" s="390"/>
      <c r="F214" s="390"/>
      <c r="G214" s="390"/>
      <c r="H214" s="390"/>
      <c r="I214" s="390"/>
      <c r="J214" s="390"/>
      <c r="K214" s="390"/>
      <c r="L214" s="390"/>
      <c r="M214" s="390"/>
      <c r="N214" s="390"/>
      <c r="O214" s="390"/>
      <c r="P214" s="390"/>
      <c r="Q214" s="390"/>
      <c r="R214" s="390"/>
      <c r="S214" s="390"/>
      <c r="T214" s="390"/>
      <c r="U214" s="390"/>
      <c r="V214" s="390"/>
      <c r="W214" s="390"/>
      <c r="X214" s="390"/>
      <c r="Y214" s="390"/>
    </row>
    <row r="215">
      <c r="A215" s="390" t="str">
        <f>IFERROR(__xludf.DUMMYFUNCTION("""COMPUTED_VALUE"""),"Adriane Ferreira Carvalho Costa")</f>
        <v>Adriane Ferreira Carvalho Costa</v>
      </c>
      <c r="B215" s="390" t="str">
        <f>IFERROR(__xludf.DUMMYFUNCTION("""COMPUTED_VALUE"""),"Form. Pedagógica")</f>
        <v>Form. Pedagógica</v>
      </c>
      <c r="C215" s="390" t="str">
        <f>IFERROR(__xludf.DUMMYFUNCTION("""COMPUTED_VALUE"""),"Artes Visuais")</f>
        <v>Artes Visuais</v>
      </c>
      <c r="D215" s="390" t="str">
        <f>IFERROR(__xludf.DUMMYFUNCTION("""COMPUTED_VALUE"""),"Entregue - Email - Mariana")</f>
        <v>Entregue - Email - Mariana</v>
      </c>
      <c r="E215" s="390"/>
      <c r="F215" s="390"/>
      <c r="G215" s="390"/>
      <c r="H215" s="390"/>
      <c r="I215" s="390"/>
      <c r="J215" s="390"/>
      <c r="K215" s="390"/>
      <c r="L215" s="390"/>
      <c r="M215" s="390"/>
      <c r="N215" s="390"/>
      <c r="O215" s="390"/>
      <c r="P215" s="390"/>
      <c r="Q215" s="390"/>
      <c r="R215" s="390"/>
      <c r="S215" s="390"/>
      <c r="T215" s="390"/>
      <c r="U215" s="390"/>
      <c r="V215" s="390"/>
      <c r="W215" s="390"/>
      <c r="X215" s="390"/>
      <c r="Y215" s="390"/>
    </row>
    <row r="216">
      <c r="A216" s="390" t="str">
        <f>IFERROR(__xludf.DUMMYFUNCTION("""COMPUTED_VALUE"""),"Leila Cristine Rambo")</f>
        <v>Leila Cristine Rambo</v>
      </c>
      <c r="B216" s="390" t="str">
        <f>IFERROR(__xludf.DUMMYFUNCTION("""COMPUTED_VALUE"""),"2° Licenciatura")</f>
        <v>2° Licenciatura</v>
      </c>
      <c r="C216" s="390" t="str">
        <f>IFERROR(__xludf.DUMMYFUNCTION("""COMPUTED_VALUE"""),"Pedagogia")</f>
        <v>Pedagogia</v>
      </c>
      <c r="D216" s="390" t="str">
        <f>IFERROR(__xludf.DUMMYFUNCTION("""COMPUTED_VALUE"""),"Entregue - Email - Mariana")</f>
        <v>Entregue - Email - Mariana</v>
      </c>
      <c r="E216" s="390"/>
      <c r="F216" s="390"/>
      <c r="G216" s="390"/>
      <c r="H216" s="390"/>
      <c r="I216" s="390"/>
      <c r="J216" s="390"/>
      <c r="K216" s="390"/>
      <c r="L216" s="390"/>
      <c r="M216" s="390"/>
      <c r="N216" s="390"/>
      <c r="O216" s="390"/>
      <c r="P216" s="390"/>
      <c r="Q216" s="390"/>
      <c r="R216" s="390"/>
      <c r="S216" s="390"/>
      <c r="T216" s="390"/>
      <c r="U216" s="390"/>
      <c r="V216" s="390"/>
      <c r="W216" s="390"/>
      <c r="X216" s="390"/>
      <c r="Y216" s="390"/>
    </row>
    <row r="217">
      <c r="A217" s="390" t="str">
        <f>IFERROR(__xludf.DUMMYFUNCTION("""COMPUTED_VALUE"""),"Marcelo Ferreira")</f>
        <v>Marcelo Ferreira</v>
      </c>
      <c r="B217" s="390" t="str">
        <f>IFERROR(__xludf.DUMMYFUNCTION("""COMPUTED_VALUE"""),"2° Licenciatura")</f>
        <v>2° Licenciatura</v>
      </c>
      <c r="C217" s="390" t="str">
        <f>IFERROR(__xludf.DUMMYFUNCTION("""COMPUTED_VALUE"""),"Letras - Português e Espanhol")</f>
        <v>Letras - Português e Espanhol</v>
      </c>
      <c r="D217" s="390" t="str">
        <f>IFERROR(__xludf.DUMMYFUNCTION("""COMPUTED_VALUE"""),"Entregue - Email - Mariana")</f>
        <v>Entregue - Email - Mariana</v>
      </c>
      <c r="E217" s="390"/>
      <c r="F217" s="390"/>
      <c r="G217" s="390"/>
      <c r="H217" s="390"/>
      <c r="I217" s="390"/>
      <c r="J217" s="390"/>
      <c r="K217" s="390"/>
      <c r="L217" s="390"/>
      <c r="M217" s="390"/>
      <c r="N217" s="390"/>
      <c r="O217" s="390"/>
      <c r="P217" s="390"/>
      <c r="Q217" s="390"/>
      <c r="R217" s="390"/>
      <c r="S217" s="390"/>
      <c r="T217" s="390"/>
      <c r="U217" s="390"/>
      <c r="V217" s="390"/>
      <c r="W217" s="390"/>
      <c r="X217" s="390"/>
      <c r="Y217" s="390"/>
    </row>
    <row r="218">
      <c r="A218" s="390" t="str">
        <f>IFERROR(__xludf.DUMMYFUNCTION("""COMPUTED_VALUE"""),"Adriana Pinto Ribeiro")</f>
        <v>Adriana Pinto Ribeiro</v>
      </c>
      <c r="B218" s="390" t="str">
        <f>IFERROR(__xludf.DUMMYFUNCTION("""COMPUTED_VALUE"""),"Form. Pedagógica")</f>
        <v>Form. Pedagógica</v>
      </c>
      <c r="C218" s="390" t="str">
        <f>IFERROR(__xludf.DUMMYFUNCTION("""COMPUTED_VALUE"""),"Artes Visuais")</f>
        <v>Artes Visuais</v>
      </c>
      <c r="D218" s="390" t="str">
        <f>IFERROR(__xludf.DUMMYFUNCTION("""COMPUTED_VALUE"""),"Entregue - Email - Mariana")</f>
        <v>Entregue - Email - Mariana</v>
      </c>
      <c r="E218" s="390"/>
      <c r="F218" s="390"/>
      <c r="G218" s="390"/>
      <c r="H218" s="390"/>
      <c r="I218" s="390"/>
      <c r="J218" s="390"/>
      <c r="K218" s="390"/>
      <c r="L218" s="390"/>
      <c r="M218" s="390"/>
      <c r="N218" s="390"/>
      <c r="O218" s="390"/>
      <c r="P218" s="390"/>
      <c r="Q218" s="390"/>
      <c r="R218" s="390"/>
      <c r="S218" s="390"/>
      <c r="T218" s="390"/>
      <c r="U218" s="390"/>
      <c r="V218" s="390"/>
      <c r="W218" s="390"/>
      <c r="X218" s="390"/>
      <c r="Y218" s="390"/>
    </row>
    <row r="219">
      <c r="A219" s="390" t="str">
        <f>IFERROR(__xludf.DUMMYFUNCTION("""COMPUTED_VALUE"""),"Silma Gonçalves de Melo")</f>
        <v>Silma Gonçalves de Melo</v>
      </c>
      <c r="B219" s="390" t="str">
        <f>IFERROR(__xludf.DUMMYFUNCTION("""COMPUTED_VALUE"""),"2° Licenciatura")</f>
        <v>2° Licenciatura</v>
      </c>
      <c r="C219" s="390" t="str">
        <f>IFERROR(__xludf.DUMMYFUNCTION("""COMPUTED_VALUE"""),"Pedagogia")</f>
        <v>Pedagogia</v>
      </c>
      <c r="D219" s="390" t="str">
        <f>IFERROR(__xludf.DUMMYFUNCTION("""COMPUTED_VALUE"""),"Entregue - Email - Mariana")</f>
        <v>Entregue - Email - Mariana</v>
      </c>
      <c r="E219" s="390"/>
      <c r="F219" s="390"/>
      <c r="G219" s="390"/>
      <c r="H219" s="390"/>
      <c r="I219" s="390"/>
      <c r="J219" s="390"/>
      <c r="K219" s="390"/>
      <c r="L219" s="390"/>
      <c r="M219" s="390"/>
      <c r="N219" s="390"/>
      <c r="O219" s="390"/>
      <c r="P219" s="390"/>
      <c r="Q219" s="390"/>
      <c r="R219" s="390"/>
      <c r="S219" s="390"/>
      <c r="T219" s="390"/>
      <c r="U219" s="390"/>
      <c r="V219" s="390"/>
      <c r="W219" s="390"/>
      <c r="X219" s="390"/>
      <c r="Y219" s="390"/>
    </row>
    <row r="220">
      <c r="A220" s="390" t="str">
        <f>IFERROR(__xludf.DUMMYFUNCTION("""COMPUTED_VALUE"""),"Thaisa Cristina Ferreira")</f>
        <v>Thaisa Cristina Ferreira</v>
      </c>
      <c r="B220" s="390" t="str">
        <f>IFERROR(__xludf.DUMMYFUNCTION("""COMPUTED_VALUE"""),"2° Licenciatura")</f>
        <v>2° Licenciatura</v>
      </c>
      <c r="C220" s="390" t="str">
        <f>IFERROR(__xludf.DUMMYFUNCTION("""COMPUTED_VALUE"""),"Artes Visuais")</f>
        <v>Artes Visuais</v>
      </c>
      <c r="D220" s="390" t="str">
        <f>IFERROR(__xludf.DUMMYFUNCTION("""COMPUTED_VALUE"""),"Entregue - Email - Mariana")</f>
        <v>Entregue - Email - Mariana</v>
      </c>
      <c r="E220" s="390"/>
      <c r="F220" s="390"/>
      <c r="G220" s="390"/>
      <c r="H220" s="390"/>
      <c r="I220" s="390"/>
      <c r="J220" s="390"/>
      <c r="K220" s="390"/>
      <c r="L220" s="390"/>
      <c r="M220" s="390"/>
      <c r="N220" s="390"/>
      <c r="O220" s="390"/>
      <c r="P220" s="390"/>
      <c r="Q220" s="390"/>
      <c r="R220" s="390"/>
      <c r="S220" s="390"/>
      <c r="T220" s="390"/>
      <c r="U220" s="390"/>
      <c r="V220" s="390"/>
      <c r="W220" s="390"/>
      <c r="X220" s="390"/>
      <c r="Y220" s="390"/>
    </row>
    <row r="221">
      <c r="A221" s="390" t="str">
        <f>IFERROR(__xludf.DUMMYFUNCTION("""COMPUTED_VALUE"""),"Viviane Espírito Santo dos Santos (apressamento)")</f>
        <v>Viviane Espírito Santo dos Santos (apressamento)</v>
      </c>
      <c r="B221" s="390" t="str">
        <f>IFERROR(__xludf.DUMMYFUNCTION("""COMPUTED_VALUE"""),"Form. Pedagógica")</f>
        <v>Form. Pedagógica</v>
      </c>
      <c r="C221" s="390" t="str">
        <f>IFERROR(__xludf.DUMMYFUNCTION("""COMPUTED_VALUE"""),"Português - Letras e Libras")</f>
        <v>Português - Letras e Libras</v>
      </c>
      <c r="D221" s="390" t="str">
        <f>IFERROR(__xludf.DUMMYFUNCTION("""COMPUTED_VALUE"""),"Entregue - Email - Mariana")</f>
        <v>Entregue - Email - Mariana</v>
      </c>
      <c r="E221" s="390"/>
      <c r="F221" s="390"/>
      <c r="G221" s="390"/>
      <c r="H221" s="390"/>
      <c r="I221" s="390"/>
      <c r="J221" s="390"/>
      <c r="K221" s="390"/>
      <c r="L221" s="390"/>
      <c r="M221" s="390"/>
      <c r="N221" s="390"/>
      <c r="O221" s="390"/>
      <c r="P221" s="390"/>
      <c r="Q221" s="390"/>
      <c r="R221" s="390"/>
      <c r="S221" s="390"/>
      <c r="T221" s="390"/>
      <c r="U221" s="390"/>
      <c r="V221" s="390"/>
      <c r="W221" s="390"/>
      <c r="X221" s="390"/>
      <c r="Y221" s="390"/>
    </row>
    <row r="222">
      <c r="A222" s="390" t="str">
        <f>IFERROR(__xludf.DUMMYFUNCTION("""COMPUTED_VALUE"""),"Ysabely Franco Escossia")</f>
        <v>Ysabely Franco Escossia</v>
      </c>
      <c r="B222" s="390" t="str">
        <f>IFERROR(__xludf.DUMMYFUNCTION("""COMPUTED_VALUE"""),"2° Licenciatura")</f>
        <v>2° Licenciatura</v>
      </c>
      <c r="C222" s="390" t="str">
        <f>IFERROR(__xludf.DUMMYFUNCTION("""COMPUTED_VALUE"""),"Artes Visuais")</f>
        <v>Artes Visuais</v>
      </c>
      <c r="D222" s="390" t="str">
        <f>IFERROR(__xludf.DUMMYFUNCTION("""COMPUTED_VALUE"""),"Entregue - Email - Mariana")</f>
        <v>Entregue - Email - Mariana</v>
      </c>
      <c r="E222" s="390"/>
      <c r="F222" s="390"/>
      <c r="G222" s="390"/>
      <c r="H222" s="390"/>
      <c r="I222" s="390"/>
      <c r="J222" s="390"/>
      <c r="K222" s="390"/>
      <c r="L222" s="390"/>
      <c r="M222" s="390"/>
      <c r="N222" s="390"/>
      <c r="O222" s="390"/>
      <c r="P222" s="390"/>
      <c r="Q222" s="390"/>
      <c r="R222" s="390"/>
      <c r="S222" s="390"/>
      <c r="T222" s="390"/>
      <c r="U222" s="390"/>
      <c r="V222" s="390"/>
      <c r="W222" s="390"/>
      <c r="X222" s="390"/>
      <c r="Y222" s="390"/>
    </row>
    <row r="223">
      <c r="A223" s="390" t="str">
        <f>IFERROR(__xludf.DUMMYFUNCTION("""COMPUTED_VALUE"""),"Ronnie Soares da Silva")</f>
        <v>Ronnie Soares da Silva</v>
      </c>
      <c r="B223" s="390" t="str">
        <f>IFERROR(__xludf.DUMMYFUNCTION("""COMPUTED_VALUE"""),"Form. Pedagógica")</f>
        <v>Form. Pedagógica</v>
      </c>
      <c r="C223" s="390" t="str">
        <f>IFERROR(__xludf.DUMMYFUNCTION("""COMPUTED_VALUE"""),"Pedagogia")</f>
        <v>Pedagogia</v>
      </c>
      <c r="D223" s="390" t="str">
        <f>IFERROR(__xludf.DUMMYFUNCTION("""COMPUTED_VALUE"""),"Entregue - Email - Mariana")</f>
        <v>Entregue - Email - Mariana</v>
      </c>
      <c r="E223" s="390"/>
      <c r="F223" s="390"/>
      <c r="G223" s="390"/>
      <c r="H223" s="390"/>
      <c r="I223" s="390"/>
      <c r="J223" s="390"/>
      <c r="K223" s="390"/>
      <c r="L223" s="390"/>
      <c r="M223" s="390"/>
      <c r="N223" s="390"/>
      <c r="O223" s="390"/>
      <c r="P223" s="390"/>
      <c r="Q223" s="390"/>
      <c r="R223" s="390"/>
      <c r="S223" s="390"/>
      <c r="T223" s="390"/>
      <c r="U223" s="390"/>
      <c r="V223" s="390"/>
      <c r="W223" s="390"/>
      <c r="X223" s="390"/>
      <c r="Y223" s="390"/>
    </row>
    <row r="224">
      <c r="A224" s="390" t="str">
        <f>IFERROR(__xludf.DUMMYFUNCTION("""COMPUTED_VALUE"""),"Eliana Oliveira Vieira da Silva")</f>
        <v>Eliana Oliveira Vieira da Silva</v>
      </c>
      <c r="B224" s="390" t="str">
        <f>IFERROR(__xludf.DUMMYFUNCTION("""COMPUTED_VALUE"""),"2° Licenciatura")</f>
        <v>2° Licenciatura</v>
      </c>
      <c r="C224" s="390" t="str">
        <f>IFERROR(__xludf.DUMMYFUNCTION("""COMPUTED_VALUE"""),"Educação Especial")</f>
        <v>Educação Especial</v>
      </c>
      <c r="D224" s="390" t="str">
        <f>IFERROR(__xludf.DUMMYFUNCTION("""COMPUTED_VALUE"""),"Entregue - Email - Mariana")</f>
        <v>Entregue - Email - Mariana</v>
      </c>
      <c r="E224" s="390"/>
      <c r="F224" s="390"/>
      <c r="G224" s="390"/>
      <c r="H224" s="390"/>
      <c r="I224" s="390"/>
      <c r="J224" s="390"/>
      <c r="K224" s="390"/>
      <c r="L224" s="390"/>
      <c r="M224" s="390"/>
      <c r="N224" s="390"/>
      <c r="O224" s="390"/>
      <c r="P224" s="390"/>
      <c r="Q224" s="390"/>
      <c r="R224" s="390"/>
      <c r="S224" s="390"/>
      <c r="T224" s="390"/>
      <c r="U224" s="390"/>
      <c r="V224" s="390"/>
      <c r="W224" s="390"/>
      <c r="X224" s="390"/>
      <c r="Y224" s="390"/>
    </row>
    <row r="225">
      <c r="A225" s="390" t="str">
        <f>IFERROR(__xludf.DUMMYFUNCTION("""COMPUTED_VALUE"""),"Fabricio Da Silva Miccichelli")</f>
        <v>Fabricio Da Silva Miccichelli</v>
      </c>
      <c r="B225" s="390" t="str">
        <f>IFERROR(__xludf.DUMMYFUNCTION("""COMPUTED_VALUE"""),"2° Licenciatura")</f>
        <v>2° Licenciatura</v>
      </c>
      <c r="C225" s="390" t="str">
        <f>IFERROR(__xludf.DUMMYFUNCTION("""COMPUTED_VALUE"""),"Artes Visuais ")</f>
        <v>Artes Visuais </v>
      </c>
      <c r="D225" s="390" t="str">
        <f>IFERROR(__xludf.DUMMYFUNCTION("""COMPUTED_VALUE"""),"Entregue - Email - Mariana")</f>
        <v>Entregue - Email - Mariana</v>
      </c>
      <c r="E225" s="390"/>
      <c r="F225" s="390"/>
      <c r="G225" s="390"/>
      <c r="H225" s="390"/>
      <c r="I225" s="390"/>
      <c r="J225" s="390"/>
      <c r="K225" s="390"/>
      <c r="L225" s="390"/>
      <c r="M225" s="390"/>
      <c r="N225" s="390"/>
      <c r="O225" s="390"/>
      <c r="P225" s="390"/>
      <c r="Q225" s="390"/>
      <c r="R225" s="390"/>
      <c r="S225" s="390"/>
      <c r="T225" s="390"/>
      <c r="U225" s="390"/>
      <c r="V225" s="390"/>
      <c r="W225" s="390"/>
      <c r="X225" s="390"/>
      <c r="Y225" s="390"/>
    </row>
    <row r="226">
      <c r="A226" s="390" t="str">
        <f>IFERROR(__xludf.DUMMYFUNCTION("""COMPUTED_VALUE"""),"Fabricio Da Silva Miccichelli")</f>
        <v>Fabricio Da Silva Miccichelli</v>
      </c>
      <c r="B226" s="390" t="str">
        <f>IFERROR(__xludf.DUMMYFUNCTION("""COMPUTED_VALUE"""),"2° Licenciatura")</f>
        <v>2° Licenciatura</v>
      </c>
      <c r="C226" s="390" t="str">
        <f>IFERROR(__xludf.DUMMYFUNCTION("""COMPUTED_VALUE"""),"Pedagogia")</f>
        <v>Pedagogia</v>
      </c>
      <c r="D226" s="390" t="str">
        <f>IFERROR(__xludf.DUMMYFUNCTION("""COMPUTED_VALUE"""),"Entregue - Email - Mariana")</f>
        <v>Entregue - Email - Mariana</v>
      </c>
      <c r="E226" s="390"/>
      <c r="F226" s="390"/>
      <c r="G226" s="390"/>
      <c r="H226" s="390"/>
      <c r="I226" s="390"/>
      <c r="J226" s="390"/>
      <c r="K226" s="390"/>
      <c r="L226" s="390"/>
      <c r="M226" s="390"/>
      <c r="N226" s="390"/>
      <c r="O226" s="390"/>
      <c r="P226" s="390"/>
      <c r="Q226" s="390"/>
      <c r="R226" s="390"/>
      <c r="S226" s="390"/>
      <c r="T226" s="390"/>
      <c r="U226" s="390"/>
      <c r="V226" s="390"/>
      <c r="W226" s="390"/>
      <c r="X226" s="390"/>
      <c r="Y226" s="390"/>
    </row>
    <row r="227">
      <c r="A227" s="390" t="str">
        <f>IFERROR(__xludf.DUMMYFUNCTION("""COMPUTED_VALUE"""),"Inaiara Calderaro Foresto")</f>
        <v>Inaiara Calderaro Foresto</v>
      </c>
      <c r="B227" s="390" t="str">
        <f>IFERROR(__xludf.DUMMYFUNCTION("""COMPUTED_VALUE"""),"2° Licenciatura")</f>
        <v>2° Licenciatura</v>
      </c>
      <c r="C227" s="390" t="str">
        <f>IFERROR(__xludf.DUMMYFUNCTION("""COMPUTED_VALUE"""),"Artes Visuais ")</f>
        <v>Artes Visuais </v>
      </c>
      <c r="D227" s="390" t="str">
        <f>IFERROR(__xludf.DUMMYFUNCTION("""COMPUTED_VALUE"""),"Entregue - Email - Mariana")</f>
        <v>Entregue - Email - Mariana</v>
      </c>
      <c r="E227" s="390"/>
      <c r="F227" s="390"/>
      <c r="G227" s="390"/>
      <c r="H227" s="390"/>
      <c r="I227" s="390"/>
      <c r="J227" s="390"/>
      <c r="K227" s="390"/>
      <c r="L227" s="390"/>
      <c r="M227" s="390"/>
      <c r="N227" s="390"/>
      <c r="O227" s="390"/>
      <c r="P227" s="390"/>
      <c r="Q227" s="390"/>
      <c r="R227" s="390"/>
      <c r="S227" s="390"/>
      <c r="T227" s="390"/>
      <c r="U227" s="390"/>
      <c r="V227" s="390"/>
      <c r="W227" s="390"/>
      <c r="X227" s="390"/>
      <c r="Y227" s="390"/>
    </row>
    <row r="228">
      <c r="A228" s="390" t="str">
        <f>IFERROR(__xludf.DUMMYFUNCTION("""COMPUTED_VALUE"""),"Denise Costa Marques Hoffman")</f>
        <v>Denise Costa Marques Hoffman</v>
      </c>
      <c r="B228" s="390" t="str">
        <f>IFERROR(__xludf.DUMMYFUNCTION("""COMPUTED_VALUE"""),"Form. Pedagógica")</f>
        <v>Form. Pedagógica</v>
      </c>
      <c r="C228" s="390" t="str">
        <f>IFERROR(__xludf.DUMMYFUNCTION("""COMPUTED_VALUE"""),"Pedagogia")</f>
        <v>Pedagogia</v>
      </c>
      <c r="D228" s="390" t="str">
        <f>IFERROR(__xludf.DUMMYFUNCTION("""COMPUTED_VALUE"""),"Entregue - Email - Mariana")</f>
        <v>Entregue - Email - Mariana</v>
      </c>
      <c r="E228" s="390"/>
      <c r="F228" s="390"/>
      <c r="G228" s="390"/>
      <c r="H228" s="390"/>
      <c r="I228" s="390"/>
      <c r="J228" s="390"/>
      <c r="K228" s="390"/>
      <c r="L228" s="390"/>
      <c r="M228" s="390"/>
      <c r="N228" s="390"/>
      <c r="O228" s="390"/>
      <c r="P228" s="390"/>
      <c r="Q228" s="390"/>
      <c r="R228" s="390"/>
      <c r="S228" s="390"/>
      <c r="T228" s="390"/>
      <c r="U228" s="390"/>
      <c r="V228" s="390"/>
      <c r="W228" s="390"/>
      <c r="X228" s="390"/>
      <c r="Y228" s="390"/>
    </row>
    <row r="229">
      <c r="A229" s="390" t="str">
        <f>IFERROR(__xludf.DUMMYFUNCTION("""COMPUTED_VALUE"""),"Alex Bonfim Siqueira (apressamento)")</f>
        <v>Alex Bonfim Siqueira (apressamento)</v>
      </c>
      <c r="B229" s="390" t="str">
        <f>IFERROR(__xludf.DUMMYFUNCTION("""COMPUTED_VALUE"""),"2° Licenciatura")</f>
        <v>2° Licenciatura</v>
      </c>
      <c r="C229" s="390" t="str">
        <f>IFERROR(__xludf.DUMMYFUNCTION("""COMPUTED_VALUE"""),"Pedagogia")</f>
        <v>Pedagogia</v>
      </c>
      <c r="D229" s="390" t="str">
        <f>IFERROR(__xludf.DUMMYFUNCTION("""COMPUTED_VALUE"""),"Entregue - Email - Mariana")</f>
        <v>Entregue - Email - Mariana</v>
      </c>
      <c r="E229" s="390"/>
      <c r="F229" s="390"/>
      <c r="G229" s="390"/>
      <c r="H229" s="390"/>
      <c r="I229" s="390"/>
      <c r="J229" s="390"/>
      <c r="K229" s="390"/>
      <c r="L229" s="390"/>
      <c r="M229" s="390"/>
      <c r="N229" s="390"/>
      <c r="O229" s="390"/>
      <c r="P229" s="390"/>
      <c r="Q229" s="390"/>
      <c r="R229" s="390"/>
      <c r="S229" s="390"/>
      <c r="T229" s="390"/>
      <c r="U229" s="390"/>
      <c r="V229" s="390"/>
      <c r="W229" s="390"/>
      <c r="X229" s="390"/>
      <c r="Y229" s="390"/>
    </row>
    <row r="230">
      <c r="A230" s="390" t="str">
        <f>IFERROR(__xludf.DUMMYFUNCTION("""COMPUTED_VALUE"""),"Adriana Aparecida de Fátima Ricci")</f>
        <v>Adriana Aparecida de Fátima Ricci</v>
      </c>
      <c r="B230" s="390" t="str">
        <f>IFERROR(__xludf.DUMMYFUNCTION("""COMPUTED_VALUE"""),"Form. Pedagógica")</f>
        <v>Form. Pedagógica</v>
      </c>
      <c r="C230" s="390" t="str">
        <f>IFERROR(__xludf.DUMMYFUNCTION("""COMPUTED_VALUE"""),"Letras Português - Inglês")</f>
        <v>Letras Português - Inglês</v>
      </c>
      <c r="D230" s="390" t="str">
        <f>IFERROR(__xludf.DUMMYFUNCTION("""COMPUTED_VALUE"""),"Entregue - Email - Mariana")</f>
        <v>Entregue - Email - Mariana</v>
      </c>
      <c r="E230" s="390"/>
      <c r="F230" s="390"/>
      <c r="G230" s="390"/>
      <c r="H230" s="390"/>
      <c r="I230" s="390"/>
      <c r="J230" s="390"/>
      <c r="K230" s="390"/>
      <c r="L230" s="390"/>
      <c r="M230" s="390"/>
      <c r="N230" s="390"/>
      <c r="O230" s="390"/>
      <c r="P230" s="390"/>
      <c r="Q230" s="390"/>
      <c r="R230" s="390"/>
      <c r="S230" s="390"/>
      <c r="T230" s="390"/>
      <c r="U230" s="390"/>
      <c r="V230" s="390"/>
      <c r="W230" s="390"/>
      <c r="X230" s="390"/>
      <c r="Y230" s="390"/>
    </row>
    <row r="231">
      <c r="A231" s="390" t="str">
        <f>IFERROR(__xludf.DUMMYFUNCTION("""COMPUTED_VALUE"""),"Matilde Soares da Silva")</f>
        <v>Matilde Soares da Silva</v>
      </c>
      <c r="B231" s="390" t="str">
        <f>IFERROR(__xludf.DUMMYFUNCTION("""COMPUTED_VALUE"""),"2° Licenciatura")</f>
        <v>2° Licenciatura</v>
      </c>
      <c r="C231" s="390" t="str">
        <f>IFERROR(__xludf.DUMMYFUNCTION("""COMPUTED_VALUE"""),"Pedagogia")</f>
        <v>Pedagogia</v>
      </c>
      <c r="D231" s="390" t="str">
        <f>IFERROR(__xludf.DUMMYFUNCTION("""COMPUTED_VALUE"""),"Entregue - Email - Mariana")</f>
        <v>Entregue - Email - Mariana</v>
      </c>
      <c r="E231" s="390"/>
      <c r="F231" s="390"/>
      <c r="G231" s="390"/>
      <c r="H231" s="390"/>
      <c r="I231" s="390"/>
      <c r="J231" s="390"/>
      <c r="K231" s="390"/>
      <c r="L231" s="390"/>
      <c r="M231" s="390"/>
      <c r="N231" s="390"/>
      <c r="O231" s="390"/>
      <c r="P231" s="390"/>
      <c r="Q231" s="390"/>
      <c r="R231" s="390"/>
      <c r="S231" s="390"/>
      <c r="T231" s="390"/>
      <c r="U231" s="390"/>
      <c r="V231" s="390"/>
      <c r="W231" s="390"/>
      <c r="X231" s="390"/>
      <c r="Y231" s="390"/>
    </row>
    <row r="232">
      <c r="A232" s="390" t="str">
        <f>IFERROR(__xludf.DUMMYFUNCTION("""COMPUTED_VALUE"""),"Maria Augusta Silva de Moura (apressamento)")</f>
        <v>Maria Augusta Silva de Moura (apressamento)</v>
      </c>
      <c r="B232" s="390" t="str">
        <f>IFERROR(__xludf.DUMMYFUNCTION("""COMPUTED_VALUE"""),"Form. Pedagógica")</f>
        <v>Form. Pedagógica</v>
      </c>
      <c r="C232" s="390" t="str">
        <f>IFERROR(__xludf.DUMMYFUNCTION("""COMPUTED_VALUE"""),"Artes Visuais")</f>
        <v>Artes Visuais</v>
      </c>
      <c r="D232" s="390" t="str">
        <f>IFERROR(__xludf.DUMMYFUNCTION("""COMPUTED_VALUE"""),"Entregue - Email - Mariana")</f>
        <v>Entregue - Email - Mariana</v>
      </c>
      <c r="E232" s="390"/>
      <c r="F232" s="390"/>
      <c r="G232" s="390"/>
      <c r="H232" s="390"/>
      <c r="I232" s="390"/>
      <c r="J232" s="390"/>
      <c r="K232" s="390"/>
      <c r="L232" s="390"/>
      <c r="M232" s="390"/>
      <c r="N232" s="390"/>
      <c r="O232" s="390"/>
      <c r="P232" s="390"/>
      <c r="Q232" s="390"/>
      <c r="R232" s="390"/>
      <c r="S232" s="390"/>
      <c r="T232" s="390"/>
      <c r="U232" s="390"/>
      <c r="V232" s="390"/>
      <c r="W232" s="390"/>
      <c r="X232" s="390"/>
      <c r="Y232" s="390"/>
    </row>
    <row r="233">
      <c r="A233" s="390" t="str">
        <f>IFERROR(__xludf.DUMMYFUNCTION("""COMPUTED_VALUE"""),"Alvecy Souza Lima de Oliveira")</f>
        <v>Alvecy Souza Lima de Oliveira</v>
      </c>
      <c r="B233" s="390" t="str">
        <f>IFERROR(__xludf.DUMMYFUNCTION("""COMPUTED_VALUE"""),"Form. Pedagógica")</f>
        <v>Form. Pedagógica</v>
      </c>
      <c r="C233" s="390" t="str">
        <f>IFERROR(__xludf.DUMMYFUNCTION("""COMPUTED_VALUE"""),"Pedagogia")</f>
        <v>Pedagogia</v>
      </c>
      <c r="D233" s="390" t="str">
        <f>IFERROR(__xludf.DUMMYFUNCTION("""COMPUTED_VALUE"""),"Entregue - Email - Mariana")</f>
        <v>Entregue - Email - Mariana</v>
      </c>
      <c r="E233" s="390"/>
      <c r="F233" s="390"/>
      <c r="G233" s="390"/>
      <c r="H233" s="390"/>
      <c r="I233" s="390"/>
      <c r="J233" s="390"/>
      <c r="K233" s="390"/>
      <c r="L233" s="390"/>
      <c r="M233" s="390"/>
      <c r="N233" s="390"/>
      <c r="O233" s="390"/>
      <c r="P233" s="390"/>
      <c r="Q233" s="390"/>
      <c r="R233" s="390"/>
      <c r="S233" s="390"/>
      <c r="T233" s="390"/>
      <c r="U233" s="390"/>
      <c r="V233" s="390"/>
      <c r="W233" s="390"/>
      <c r="X233" s="390"/>
      <c r="Y233" s="390"/>
    </row>
    <row r="234">
      <c r="A234" s="390" t="str">
        <f>IFERROR(__xludf.DUMMYFUNCTION("""COMPUTED_VALUE"""),"Ronny Menezes Marques")</f>
        <v>Ronny Menezes Marques</v>
      </c>
      <c r="B234" s="390" t="str">
        <f>IFERROR(__xludf.DUMMYFUNCTION("""COMPUTED_VALUE"""),"Form. Pedagógica")</f>
        <v>Form. Pedagógica</v>
      </c>
      <c r="C234" s="390" t="str">
        <f>IFERROR(__xludf.DUMMYFUNCTION("""COMPUTED_VALUE"""),"Matemática")</f>
        <v>Matemática</v>
      </c>
      <c r="D234" s="390" t="str">
        <f>IFERROR(__xludf.DUMMYFUNCTION("""COMPUTED_VALUE"""),"Entregue - Email - Mariana")</f>
        <v>Entregue - Email - Mariana</v>
      </c>
      <c r="E234" s="390"/>
      <c r="F234" s="390"/>
      <c r="G234" s="390"/>
      <c r="H234" s="390"/>
      <c r="I234" s="390"/>
      <c r="J234" s="390"/>
      <c r="K234" s="390"/>
      <c r="L234" s="390"/>
      <c r="M234" s="390"/>
      <c r="N234" s="390"/>
      <c r="O234" s="390"/>
      <c r="P234" s="390"/>
      <c r="Q234" s="390"/>
      <c r="R234" s="390"/>
      <c r="S234" s="390"/>
      <c r="T234" s="390"/>
      <c r="U234" s="390"/>
      <c r="V234" s="390"/>
      <c r="W234" s="390"/>
      <c r="X234" s="390"/>
      <c r="Y234" s="390"/>
    </row>
    <row r="235">
      <c r="A235" s="390" t="str">
        <f>IFERROR(__xludf.DUMMYFUNCTION("""COMPUTED_VALUE"""),"Maristela Simões Carvalheira Hirosaki")</f>
        <v>Maristela Simões Carvalheira Hirosaki</v>
      </c>
      <c r="B235" s="390" t="str">
        <f>IFERROR(__xludf.DUMMYFUNCTION("""COMPUTED_VALUE"""),"Form. Pedagógica")</f>
        <v>Form. Pedagógica</v>
      </c>
      <c r="C235" s="390" t="str">
        <f>IFERROR(__xludf.DUMMYFUNCTION("""COMPUTED_VALUE"""),"Pedagogia")</f>
        <v>Pedagogia</v>
      </c>
      <c r="D235" s="390" t="str">
        <f>IFERROR(__xludf.DUMMYFUNCTION("""COMPUTED_VALUE"""),"Entregue - Email - Mariana")</f>
        <v>Entregue - Email - Mariana</v>
      </c>
      <c r="E235" s="390"/>
      <c r="F235" s="390"/>
      <c r="G235" s="390"/>
      <c r="H235" s="390"/>
      <c r="I235" s="390"/>
      <c r="J235" s="390"/>
      <c r="K235" s="390"/>
      <c r="L235" s="390"/>
      <c r="M235" s="390"/>
      <c r="N235" s="390"/>
      <c r="O235" s="390"/>
      <c r="P235" s="390"/>
      <c r="Q235" s="390"/>
      <c r="R235" s="390"/>
      <c r="S235" s="390"/>
      <c r="T235" s="390"/>
      <c r="U235" s="390"/>
      <c r="V235" s="390"/>
      <c r="W235" s="390"/>
      <c r="X235" s="390"/>
      <c r="Y235" s="390"/>
    </row>
    <row r="236">
      <c r="A236" s="390" t="str">
        <f>IFERROR(__xludf.DUMMYFUNCTION("""COMPUTED_VALUE"""),"Christiani Oliveira Faria")</f>
        <v>Christiani Oliveira Faria</v>
      </c>
      <c r="B236" s="390" t="str">
        <f>IFERROR(__xludf.DUMMYFUNCTION("""COMPUTED_VALUE"""),"Form. Pedagógica")</f>
        <v>Form. Pedagógica</v>
      </c>
      <c r="C236" s="390" t="str">
        <f>IFERROR(__xludf.DUMMYFUNCTION("""COMPUTED_VALUE"""),"Matemática")</f>
        <v>Matemática</v>
      </c>
      <c r="D236" s="390" t="str">
        <f>IFERROR(__xludf.DUMMYFUNCTION("""COMPUTED_VALUE"""),"Entregue - Email - Mariana")</f>
        <v>Entregue - Email - Mariana</v>
      </c>
      <c r="E236" s="390"/>
      <c r="F236" s="390"/>
      <c r="G236" s="390"/>
      <c r="H236" s="390"/>
      <c r="I236" s="390"/>
      <c r="J236" s="390"/>
      <c r="K236" s="390"/>
      <c r="L236" s="390"/>
      <c r="M236" s="390"/>
      <c r="N236" s="390"/>
      <c r="O236" s="390"/>
      <c r="P236" s="390"/>
      <c r="Q236" s="390"/>
      <c r="R236" s="390"/>
      <c r="S236" s="390"/>
      <c r="T236" s="390"/>
      <c r="U236" s="390"/>
      <c r="V236" s="390"/>
      <c r="W236" s="390"/>
      <c r="X236" s="390"/>
      <c r="Y236" s="390"/>
    </row>
    <row r="237">
      <c r="A237" s="390" t="str">
        <f>IFERROR(__xludf.DUMMYFUNCTION("""COMPUTED_VALUE"""),"Renate Baron")</f>
        <v>Renate Baron</v>
      </c>
      <c r="B237" s="390" t="str">
        <f>IFERROR(__xludf.DUMMYFUNCTION("""COMPUTED_VALUE"""),"2° Licenciatura")</f>
        <v>2° Licenciatura</v>
      </c>
      <c r="C237" s="390" t="str">
        <f>IFERROR(__xludf.DUMMYFUNCTION("""COMPUTED_VALUE"""),"Letras - Português e Inglês")</f>
        <v>Letras - Português e Inglês</v>
      </c>
      <c r="D237" s="390" t="str">
        <f>IFERROR(__xludf.DUMMYFUNCTION("""COMPUTED_VALUE"""),"Entregue - Email - Mariana")</f>
        <v>Entregue - Email - Mariana</v>
      </c>
      <c r="E237" s="390"/>
      <c r="F237" s="390"/>
      <c r="G237" s="390"/>
      <c r="H237" s="390"/>
      <c r="I237" s="390"/>
      <c r="J237" s="390"/>
      <c r="K237" s="390"/>
      <c r="L237" s="390"/>
      <c r="M237" s="390"/>
      <c r="N237" s="390"/>
      <c r="O237" s="390"/>
      <c r="P237" s="390"/>
      <c r="Q237" s="390"/>
      <c r="R237" s="390"/>
      <c r="S237" s="390"/>
      <c r="T237" s="390"/>
      <c r="U237" s="390"/>
      <c r="V237" s="390"/>
      <c r="W237" s="390"/>
      <c r="X237" s="390"/>
      <c r="Y237" s="390"/>
    </row>
    <row r="238">
      <c r="A238" s="390" t="str">
        <f>IFERROR(__xludf.DUMMYFUNCTION("""COMPUTED_VALUE"""),"Rodrigo Quintino Pereira")</f>
        <v>Rodrigo Quintino Pereira</v>
      </c>
      <c r="B238" s="390" t="str">
        <f>IFERROR(__xludf.DUMMYFUNCTION("""COMPUTED_VALUE"""),"2° Licenciatura")</f>
        <v>2° Licenciatura</v>
      </c>
      <c r="C238" s="390" t="str">
        <f>IFERROR(__xludf.DUMMYFUNCTION("""COMPUTED_VALUE"""),"Pedagogia")</f>
        <v>Pedagogia</v>
      </c>
      <c r="D238" s="390" t="str">
        <f>IFERROR(__xludf.DUMMYFUNCTION("""COMPUTED_VALUE"""),"Entregue - Email - Mariana")</f>
        <v>Entregue - Email - Mariana</v>
      </c>
      <c r="E238" s="390"/>
      <c r="F238" s="390"/>
      <c r="G238" s="390"/>
      <c r="H238" s="390"/>
      <c r="I238" s="390"/>
      <c r="J238" s="390"/>
      <c r="K238" s="390"/>
      <c r="L238" s="390"/>
      <c r="M238" s="390"/>
      <c r="N238" s="390"/>
      <c r="O238" s="390"/>
      <c r="P238" s="390"/>
      <c r="Q238" s="390"/>
      <c r="R238" s="390"/>
      <c r="S238" s="390"/>
      <c r="T238" s="390"/>
      <c r="U238" s="390"/>
      <c r="V238" s="390"/>
      <c r="W238" s="390"/>
      <c r="X238" s="390"/>
      <c r="Y238" s="390"/>
    </row>
    <row r="239">
      <c r="A239" s="390" t="str">
        <f>IFERROR(__xludf.DUMMYFUNCTION("""COMPUTED_VALUE"""),"Gabriel Pigosso ribeiro")</f>
        <v>Gabriel Pigosso ribeiro</v>
      </c>
      <c r="B239" s="390" t="str">
        <f>IFERROR(__xludf.DUMMYFUNCTION("""COMPUTED_VALUE"""),"2° Licenciatura")</f>
        <v>2° Licenciatura</v>
      </c>
      <c r="C239" s="390" t="str">
        <f>IFERROR(__xludf.DUMMYFUNCTION("""COMPUTED_VALUE"""),"Português - Letras e Libras")</f>
        <v>Português - Letras e Libras</v>
      </c>
      <c r="D239" s="390" t="str">
        <f>IFERROR(__xludf.DUMMYFUNCTION("""COMPUTED_VALUE"""),"Entregue email - Mariana - 19/07/2024")</f>
        <v>Entregue email - Mariana - 19/07/2024</v>
      </c>
      <c r="E239" s="390"/>
      <c r="F239" s="390"/>
      <c r="G239" s="390"/>
      <c r="H239" s="390"/>
      <c r="I239" s="390"/>
      <c r="J239" s="390"/>
      <c r="K239" s="390"/>
      <c r="L239" s="390"/>
      <c r="M239" s="390"/>
      <c r="N239" s="390"/>
      <c r="O239" s="390"/>
      <c r="P239" s="390"/>
      <c r="Q239" s="390"/>
      <c r="R239" s="390"/>
      <c r="S239" s="390"/>
      <c r="T239" s="390"/>
      <c r="U239" s="390"/>
      <c r="V239" s="390"/>
      <c r="W239" s="390"/>
      <c r="X239" s="390"/>
      <c r="Y239" s="390"/>
    </row>
    <row r="240">
      <c r="A240" s="390" t="str">
        <f>IFERROR(__xludf.DUMMYFUNCTION("""COMPUTED_VALUE"""),"Paula Fernanda Kreling Domingues")</f>
        <v>Paula Fernanda Kreling Domingues</v>
      </c>
      <c r="B240" s="390" t="str">
        <f>IFERROR(__xludf.DUMMYFUNCTION("""COMPUTED_VALUE"""),"Form. Pedagógica")</f>
        <v>Form. Pedagógica</v>
      </c>
      <c r="C240" s="390" t="str">
        <f>IFERROR(__xludf.DUMMYFUNCTION("""COMPUTED_VALUE"""),"Pedagogia")</f>
        <v>Pedagogia</v>
      </c>
      <c r="D240" s="390" t="str">
        <f>IFERROR(__xludf.DUMMYFUNCTION("""COMPUTED_VALUE"""),"Entregue e-mail Mariana 29/11")</f>
        <v>Entregue e-mail Mariana 29/11</v>
      </c>
      <c r="E240" s="390"/>
      <c r="F240" s="390"/>
      <c r="G240" s="390"/>
      <c r="H240" s="390"/>
      <c r="I240" s="390"/>
      <c r="J240" s="390"/>
      <c r="K240" s="390"/>
      <c r="L240" s="390"/>
      <c r="M240" s="390"/>
      <c r="N240" s="390"/>
      <c r="O240" s="390"/>
      <c r="P240" s="390"/>
      <c r="Q240" s="390"/>
      <c r="R240" s="390"/>
      <c r="S240" s="390"/>
      <c r="T240" s="390"/>
      <c r="U240" s="390"/>
      <c r="V240" s="390"/>
      <c r="W240" s="390"/>
      <c r="X240" s="390"/>
      <c r="Y240" s="390"/>
    </row>
    <row r="241">
      <c r="A241" s="390" t="str">
        <f>IFERROR(__xludf.DUMMYFUNCTION("""COMPUTED_VALUE"""),"Munick Amabilia Alves Vance")</f>
        <v>Munick Amabilia Alves Vance</v>
      </c>
      <c r="B241" s="390" t="str">
        <f>IFERROR(__xludf.DUMMYFUNCTION("""COMPUTED_VALUE"""),"Form. Pedagógica")</f>
        <v>Form. Pedagógica</v>
      </c>
      <c r="C241" s="390" t="str">
        <f>IFERROR(__xludf.DUMMYFUNCTION("""COMPUTED_VALUE"""),"Pedagogia")</f>
        <v>Pedagogia</v>
      </c>
      <c r="D241" s="390" t="str">
        <f>IFERROR(__xludf.DUMMYFUNCTION("""COMPUTED_VALUE"""),"Entregue e-mail Mariana 29/11")</f>
        <v>Entregue e-mail Mariana 29/11</v>
      </c>
      <c r="E241" s="390"/>
      <c r="F241" s="390"/>
      <c r="G241" s="390"/>
      <c r="H241" s="390"/>
      <c r="I241" s="390"/>
      <c r="J241" s="390"/>
      <c r="K241" s="390"/>
      <c r="L241" s="390"/>
      <c r="M241" s="390"/>
      <c r="N241" s="390"/>
      <c r="O241" s="390"/>
      <c r="P241" s="390"/>
      <c r="Q241" s="390"/>
      <c r="R241" s="390"/>
      <c r="S241" s="390"/>
      <c r="T241" s="390"/>
      <c r="U241" s="390"/>
      <c r="V241" s="390"/>
      <c r="W241" s="390"/>
      <c r="X241" s="390"/>
      <c r="Y241" s="390"/>
    </row>
    <row r="242">
      <c r="A242" s="390" t="str">
        <f>IFERROR(__xludf.DUMMYFUNCTION("""COMPUTED_VALUE"""),"Platini Ramos da Silva")</f>
        <v>Platini Ramos da Silva</v>
      </c>
      <c r="B242" s="390" t="str">
        <f>IFERROR(__xludf.DUMMYFUNCTION("""COMPUTED_VALUE"""),"2° Licenciatura")</f>
        <v>2° Licenciatura</v>
      </c>
      <c r="C242" s="390" t="str">
        <f>IFERROR(__xludf.DUMMYFUNCTION("""COMPUTED_VALUE"""),"Pedagogia")</f>
        <v>Pedagogia</v>
      </c>
      <c r="D242" s="390" t="str">
        <f>IFERROR(__xludf.DUMMYFUNCTION("""COMPUTED_VALUE"""),"Entregue e-mail Mariana 29/11")</f>
        <v>Entregue e-mail Mariana 29/11</v>
      </c>
      <c r="E242" s="390"/>
      <c r="F242" s="390"/>
      <c r="G242" s="390"/>
      <c r="H242" s="390"/>
      <c r="I242" s="390"/>
      <c r="J242" s="390"/>
      <c r="K242" s="390"/>
      <c r="L242" s="390"/>
      <c r="M242" s="390"/>
      <c r="N242" s="390"/>
      <c r="O242" s="390"/>
      <c r="P242" s="390"/>
      <c r="Q242" s="390"/>
      <c r="R242" s="390"/>
      <c r="S242" s="390"/>
      <c r="T242" s="390"/>
      <c r="U242" s="390"/>
      <c r="V242" s="390"/>
      <c r="W242" s="390"/>
      <c r="X242" s="390"/>
      <c r="Y242" s="390"/>
    </row>
    <row r="243">
      <c r="A243" s="390" t="str">
        <f>IFERROR(__xludf.DUMMYFUNCTION("""COMPUTED_VALUE"""),"Kátia Aparecida Cardoso da Rocha")</f>
        <v>Kátia Aparecida Cardoso da Rocha</v>
      </c>
      <c r="B243" s="390" t="str">
        <f>IFERROR(__xludf.DUMMYFUNCTION("""COMPUTED_VALUE"""),"Form. Pedagógica")</f>
        <v>Form. Pedagógica</v>
      </c>
      <c r="C243" s="390" t="str">
        <f>IFERROR(__xludf.DUMMYFUNCTION("""COMPUTED_VALUE"""),"Filosofia")</f>
        <v>Filosofia</v>
      </c>
      <c r="D243" s="390" t="str">
        <f>IFERROR(__xludf.DUMMYFUNCTION("""COMPUTED_VALUE"""),"Entregue e-mail Mariana 29/11")</f>
        <v>Entregue e-mail Mariana 29/11</v>
      </c>
      <c r="E243" s="390"/>
      <c r="F243" s="390"/>
      <c r="G243" s="390"/>
      <c r="H243" s="390"/>
      <c r="I243" s="390"/>
      <c r="J243" s="390"/>
      <c r="K243" s="390"/>
      <c r="L243" s="390"/>
      <c r="M243" s="390"/>
      <c r="N243" s="390"/>
      <c r="O243" s="390"/>
      <c r="P243" s="390"/>
      <c r="Q243" s="390"/>
      <c r="R243" s="390"/>
      <c r="S243" s="390"/>
      <c r="T243" s="390"/>
      <c r="U243" s="390"/>
      <c r="V243" s="390"/>
      <c r="W243" s="390"/>
      <c r="X243" s="390"/>
      <c r="Y243" s="390"/>
    </row>
    <row r="244">
      <c r="A244" s="390" t="str">
        <f>IFERROR(__xludf.DUMMYFUNCTION("""COMPUTED_VALUE"""),"Marli de Freitas Silva")</f>
        <v>Marli de Freitas Silva</v>
      </c>
      <c r="B244" s="390" t="str">
        <f>IFERROR(__xludf.DUMMYFUNCTION("""COMPUTED_VALUE"""),"2° Licenciatura")</f>
        <v>2° Licenciatura</v>
      </c>
      <c r="C244" s="390" t="str">
        <f>IFERROR(__xludf.DUMMYFUNCTION("""COMPUTED_VALUE"""),"Português - Letras e Libras")</f>
        <v>Português - Letras e Libras</v>
      </c>
      <c r="D244" s="390" t="str">
        <f>IFERROR(__xludf.DUMMYFUNCTION("""COMPUTED_VALUE"""),"Entregue e-mail Mariana 29/11")</f>
        <v>Entregue e-mail Mariana 29/11</v>
      </c>
      <c r="E244" s="390"/>
      <c r="F244" s="390"/>
      <c r="G244" s="390"/>
      <c r="H244" s="390"/>
      <c r="I244" s="390"/>
      <c r="J244" s="390"/>
      <c r="K244" s="390"/>
      <c r="L244" s="390"/>
      <c r="M244" s="390"/>
      <c r="N244" s="390"/>
      <c r="O244" s="390"/>
      <c r="P244" s="390"/>
      <c r="Q244" s="390"/>
      <c r="R244" s="390"/>
      <c r="S244" s="390"/>
      <c r="T244" s="390"/>
      <c r="U244" s="390"/>
      <c r="V244" s="390"/>
      <c r="W244" s="390"/>
      <c r="X244" s="390"/>
      <c r="Y244" s="390"/>
    </row>
    <row r="245">
      <c r="A245" s="390" t="str">
        <f>IFERROR(__xludf.DUMMYFUNCTION("""COMPUTED_VALUE"""),"Gianina Santos Gomes")</f>
        <v>Gianina Santos Gomes</v>
      </c>
      <c r="B245" s="390" t="str">
        <f>IFERROR(__xludf.DUMMYFUNCTION("""COMPUTED_VALUE"""),"2° Licenciatura")</f>
        <v>2° Licenciatura</v>
      </c>
      <c r="C245" s="390" t="str">
        <f>IFERROR(__xludf.DUMMYFUNCTION("""COMPUTED_VALUE"""),"Pedagogia")</f>
        <v>Pedagogia</v>
      </c>
      <c r="D245" s="390" t="str">
        <f>IFERROR(__xludf.DUMMYFUNCTION("""COMPUTED_VALUE"""),"Entregue e-mail Mariana 29/11")</f>
        <v>Entregue e-mail Mariana 29/11</v>
      </c>
      <c r="E245" s="390"/>
      <c r="F245" s="390"/>
      <c r="G245" s="390"/>
      <c r="H245" s="390"/>
      <c r="I245" s="390"/>
      <c r="J245" s="390"/>
      <c r="K245" s="390"/>
      <c r="L245" s="390"/>
      <c r="M245" s="390"/>
      <c r="N245" s="390"/>
      <c r="O245" s="390"/>
      <c r="P245" s="390"/>
      <c r="Q245" s="390"/>
      <c r="R245" s="390"/>
      <c r="S245" s="390"/>
      <c r="T245" s="390"/>
      <c r="U245" s="390"/>
      <c r="V245" s="390"/>
      <c r="W245" s="390"/>
      <c r="X245" s="390"/>
      <c r="Y245" s="390"/>
    </row>
    <row r="246">
      <c r="A246" s="390" t="str">
        <f>IFERROR(__xludf.DUMMYFUNCTION("""COMPUTED_VALUE"""),"Juliano dos Santos Ferreira")</f>
        <v>Juliano dos Santos Ferreira</v>
      </c>
      <c r="B246" s="390" t="str">
        <f>IFERROR(__xludf.DUMMYFUNCTION("""COMPUTED_VALUE"""),"2° Licenciatura")</f>
        <v>2° Licenciatura</v>
      </c>
      <c r="C246" s="390" t="str">
        <f>IFERROR(__xludf.DUMMYFUNCTION("""COMPUTED_VALUE"""),"Letras Português - Inglês")</f>
        <v>Letras Português - Inglês</v>
      </c>
      <c r="D246" s="390" t="str">
        <f>IFERROR(__xludf.DUMMYFUNCTION("""COMPUTED_VALUE"""),"Entregue e-mail Mariana 29/11")</f>
        <v>Entregue e-mail Mariana 29/11</v>
      </c>
      <c r="E246" s="390"/>
      <c r="F246" s="390"/>
      <c r="G246" s="390"/>
      <c r="H246" s="390"/>
      <c r="I246" s="390"/>
      <c r="J246" s="390"/>
      <c r="K246" s="390"/>
      <c r="L246" s="390"/>
      <c r="M246" s="390"/>
      <c r="N246" s="390"/>
      <c r="O246" s="390"/>
      <c r="P246" s="390"/>
      <c r="Q246" s="390"/>
      <c r="R246" s="390"/>
      <c r="S246" s="390"/>
      <c r="T246" s="390"/>
      <c r="U246" s="390"/>
      <c r="V246" s="390"/>
      <c r="W246" s="390"/>
      <c r="X246" s="390"/>
      <c r="Y246" s="390"/>
    </row>
    <row r="247">
      <c r="A247" s="390" t="str">
        <f>IFERROR(__xludf.DUMMYFUNCTION("""COMPUTED_VALUE"""),"Sidjane Andrade da Silva")</f>
        <v>Sidjane Andrade da Silva</v>
      </c>
      <c r="B247" s="390" t="str">
        <f>IFERROR(__xludf.DUMMYFUNCTION("""COMPUTED_VALUE"""),"2° Licenciatura")</f>
        <v>2° Licenciatura</v>
      </c>
      <c r="C247" s="390" t="str">
        <f>IFERROR(__xludf.DUMMYFUNCTION("""COMPUTED_VALUE"""),"Artes Visuais")</f>
        <v>Artes Visuais</v>
      </c>
      <c r="D247" s="390" t="str">
        <f>IFERROR(__xludf.DUMMYFUNCTION("""COMPUTED_VALUE"""),"Entregue e-mail Mariana 29/11")</f>
        <v>Entregue e-mail Mariana 29/11</v>
      </c>
      <c r="E247" s="390"/>
      <c r="F247" s="390"/>
      <c r="G247" s="390"/>
      <c r="H247" s="390"/>
      <c r="I247" s="390"/>
      <c r="J247" s="390"/>
      <c r="K247" s="390"/>
      <c r="L247" s="390"/>
      <c r="M247" s="390"/>
      <c r="N247" s="390"/>
      <c r="O247" s="390"/>
      <c r="P247" s="390"/>
      <c r="Q247" s="390"/>
      <c r="R247" s="390"/>
      <c r="S247" s="390"/>
      <c r="T247" s="390"/>
      <c r="U247" s="390"/>
      <c r="V247" s="390"/>
      <c r="W247" s="390"/>
      <c r="X247" s="390"/>
      <c r="Y247" s="390"/>
    </row>
    <row r="248">
      <c r="A248" s="390" t="str">
        <f>IFERROR(__xludf.DUMMYFUNCTION("""COMPUTED_VALUE"""),"Paulo Ricardo Lopes")</f>
        <v>Paulo Ricardo Lopes</v>
      </c>
      <c r="B248" s="390" t="str">
        <f>IFERROR(__xludf.DUMMYFUNCTION("""COMPUTED_VALUE"""),"2° Licenciatura")</f>
        <v>2° Licenciatura</v>
      </c>
      <c r="C248" s="390" t="str">
        <f>IFERROR(__xludf.DUMMYFUNCTION("""COMPUTED_VALUE"""),"Pedagogia")</f>
        <v>Pedagogia</v>
      </c>
      <c r="D248" s="390" t="str">
        <f>IFERROR(__xludf.DUMMYFUNCTION("""COMPUTED_VALUE"""),"Entregue e-mail Mariana 29/11")</f>
        <v>Entregue e-mail Mariana 29/11</v>
      </c>
      <c r="E248" s="390"/>
      <c r="F248" s="390"/>
      <c r="G248" s="390"/>
      <c r="H248" s="390"/>
      <c r="I248" s="390"/>
      <c r="J248" s="390"/>
      <c r="K248" s="390"/>
      <c r="L248" s="390"/>
      <c r="M248" s="390"/>
      <c r="N248" s="390"/>
      <c r="O248" s="390"/>
      <c r="P248" s="390"/>
      <c r="Q248" s="390"/>
      <c r="R248" s="390"/>
      <c r="S248" s="390"/>
      <c r="T248" s="390"/>
      <c r="U248" s="390"/>
      <c r="V248" s="390"/>
      <c r="W248" s="390"/>
      <c r="X248" s="390"/>
      <c r="Y248" s="390"/>
    </row>
    <row r="249">
      <c r="A249" s="390" t="str">
        <f>IFERROR(__xludf.DUMMYFUNCTION("""COMPUTED_VALUE"""),"Adriana Aparecida Carlos da Silva (apressamento)")</f>
        <v>Adriana Aparecida Carlos da Silva (apressamento)</v>
      </c>
      <c r="B249" s="390" t="str">
        <f>IFERROR(__xludf.DUMMYFUNCTION("""COMPUTED_VALUE"""),"2° Licenciatura")</f>
        <v>2° Licenciatura</v>
      </c>
      <c r="C249" s="390" t="str">
        <f>IFERROR(__xludf.DUMMYFUNCTION("""COMPUTED_VALUE"""),"Ciências da Religião")</f>
        <v>Ciências da Religião</v>
      </c>
      <c r="D249" s="390" t="str">
        <f>IFERROR(__xludf.DUMMYFUNCTION("""COMPUTED_VALUE"""),"Enviado e-mail Mariana em 29/11/2024")</f>
        <v>Enviado e-mail Mariana em 29/11/2024</v>
      </c>
      <c r="E249" s="390"/>
      <c r="F249" s="390"/>
      <c r="G249" s="390"/>
      <c r="H249" s="390"/>
      <c r="I249" s="390"/>
      <c r="J249" s="390"/>
      <c r="K249" s="390"/>
      <c r="L249" s="390"/>
      <c r="M249" s="390"/>
      <c r="N249" s="390"/>
      <c r="O249" s="390"/>
      <c r="P249" s="390"/>
      <c r="Q249" s="390"/>
      <c r="R249" s="390"/>
      <c r="S249" s="390"/>
      <c r="T249" s="390"/>
      <c r="U249" s="390"/>
      <c r="V249" s="390"/>
      <c r="W249" s="390"/>
      <c r="X249" s="390"/>
      <c r="Y249" s="390"/>
    </row>
    <row r="250">
      <c r="A250" s="390" t="str">
        <f>IFERROR(__xludf.DUMMYFUNCTION("""COMPUTED_VALUE"""),"Paulo Guilherme Palitot Ramalho")</f>
        <v>Paulo Guilherme Palitot Ramalho</v>
      </c>
      <c r="B250" s="390" t="str">
        <f>IFERROR(__xludf.DUMMYFUNCTION("""COMPUTED_VALUE"""),"Form. Pedagógica")</f>
        <v>Form. Pedagógica</v>
      </c>
      <c r="C250" s="390" t="str">
        <f>IFERROR(__xludf.DUMMYFUNCTION("""COMPUTED_VALUE"""),"Artes Visuais")</f>
        <v>Artes Visuais</v>
      </c>
      <c r="D250" s="390" t="str">
        <f>IFERROR(__xludf.DUMMYFUNCTION("""COMPUTED_VALUE"""),"Entregue e-mail Mariana 29/11")</f>
        <v>Entregue e-mail Mariana 29/11</v>
      </c>
      <c r="E250" s="390"/>
      <c r="F250" s="390"/>
      <c r="G250" s="390"/>
      <c r="H250" s="390"/>
      <c r="I250" s="390"/>
      <c r="J250" s="390"/>
      <c r="K250" s="390"/>
      <c r="L250" s="390"/>
      <c r="M250" s="390"/>
      <c r="N250" s="390"/>
      <c r="O250" s="390"/>
      <c r="P250" s="390"/>
      <c r="Q250" s="390"/>
      <c r="R250" s="390"/>
      <c r="S250" s="390"/>
      <c r="T250" s="390"/>
      <c r="U250" s="390"/>
      <c r="V250" s="390"/>
      <c r="W250" s="390"/>
      <c r="X250" s="390"/>
      <c r="Y250" s="390"/>
    </row>
    <row r="251">
      <c r="A251" s="390" t="str">
        <f>IFERROR(__xludf.DUMMYFUNCTION("""COMPUTED_VALUE"""),"Marilize Santos da Silva de Mello")</f>
        <v>Marilize Santos da Silva de Mello</v>
      </c>
      <c r="B251" s="390" t="str">
        <f>IFERROR(__xludf.DUMMYFUNCTION("""COMPUTED_VALUE"""),"2° Licenciatura")</f>
        <v>2° Licenciatura</v>
      </c>
      <c r="C251" s="390" t="str">
        <f>IFERROR(__xludf.DUMMYFUNCTION("""COMPUTED_VALUE"""),"Pedagogia")</f>
        <v>Pedagogia</v>
      </c>
      <c r="D251" s="390" t="str">
        <f>IFERROR(__xludf.DUMMYFUNCTION("""COMPUTED_VALUE"""),"Entregue e-mail Mariana 29/11")</f>
        <v>Entregue e-mail Mariana 29/11</v>
      </c>
      <c r="E251" s="390"/>
      <c r="F251" s="390"/>
      <c r="G251" s="390"/>
      <c r="H251" s="390"/>
      <c r="I251" s="390"/>
      <c r="J251" s="390"/>
      <c r="K251" s="390"/>
      <c r="L251" s="390"/>
      <c r="M251" s="390"/>
      <c r="N251" s="390"/>
      <c r="O251" s="390"/>
      <c r="P251" s="390"/>
      <c r="Q251" s="390"/>
      <c r="R251" s="390"/>
      <c r="S251" s="390"/>
      <c r="T251" s="390"/>
      <c r="U251" s="390"/>
      <c r="V251" s="390"/>
      <c r="W251" s="390"/>
      <c r="X251" s="390"/>
      <c r="Y251" s="390"/>
    </row>
    <row r="252">
      <c r="A252" s="390" t="str">
        <f>IFERROR(__xludf.DUMMYFUNCTION("""COMPUTED_VALUE"""),"Marcio Goulart Coutinho")</f>
        <v>Marcio Goulart Coutinho</v>
      </c>
      <c r="B252" s="390" t="str">
        <f>IFERROR(__xludf.DUMMYFUNCTION("""COMPUTED_VALUE"""),"2° Licenciatura")</f>
        <v>2° Licenciatura</v>
      </c>
      <c r="C252" s="390" t="str">
        <f>IFERROR(__xludf.DUMMYFUNCTION("""COMPUTED_VALUE"""),"Artes Visuais")</f>
        <v>Artes Visuais</v>
      </c>
      <c r="D252" s="390" t="str">
        <f>IFERROR(__xludf.DUMMYFUNCTION("""COMPUTED_VALUE"""),"Entregue e-mail Mariana 29/11")</f>
        <v>Entregue e-mail Mariana 29/11</v>
      </c>
      <c r="E252" s="390"/>
      <c r="F252" s="390"/>
      <c r="G252" s="390"/>
      <c r="H252" s="390"/>
      <c r="I252" s="390"/>
      <c r="J252" s="390"/>
      <c r="K252" s="390"/>
      <c r="L252" s="390"/>
      <c r="M252" s="390"/>
      <c r="N252" s="390"/>
      <c r="O252" s="390"/>
      <c r="P252" s="390"/>
      <c r="Q252" s="390"/>
      <c r="R252" s="390"/>
      <c r="S252" s="390"/>
      <c r="T252" s="390"/>
      <c r="U252" s="390"/>
      <c r="V252" s="390"/>
      <c r="W252" s="390"/>
      <c r="X252" s="390"/>
      <c r="Y252" s="390"/>
    </row>
    <row r="253">
      <c r="A253" s="390" t="str">
        <f>IFERROR(__xludf.DUMMYFUNCTION("""COMPUTED_VALUE"""),"Maria Francilene da Silva Sousa Couto")</f>
        <v>Maria Francilene da Silva Sousa Couto</v>
      </c>
      <c r="B253" s="390" t="str">
        <f>IFERROR(__xludf.DUMMYFUNCTION("""COMPUTED_VALUE"""),"2° Licenciatura")</f>
        <v>2° Licenciatura</v>
      </c>
      <c r="C253" s="390" t="str">
        <f>IFERROR(__xludf.DUMMYFUNCTION("""COMPUTED_VALUE"""),"Pedagogia")</f>
        <v>Pedagogia</v>
      </c>
      <c r="D253" s="390" t="str">
        <f>IFERROR(__xludf.DUMMYFUNCTION("""COMPUTED_VALUE"""),"Entregue e-mail Mariana 29/11")</f>
        <v>Entregue e-mail Mariana 29/11</v>
      </c>
      <c r="E253" s="390"/>
      <c r="F253" s="390"/>
      <c r="G253" s="390"/>
      <c r="H253" s="390"/>
      <c r="I253" s="390"/>
      <c r="J253" s="390"/>
      <c r="K253" s="390"/>
      <c r="L253" s="390"/>
      <c r="M253" s="390"/>
      <c r="N253" s="390"/>
      <c r="O253" s="390"/>
      <c r="P253" s="390"/>
      <c r="Q253" s="390"/>
      <c r="R253" s="390"/>
      <c r="S253" s="390"/>
      <c r="T253" s="390"/>
      <c r="U253" s="390"/>
      <c r="V253" s="390"/>
      <c r="W253" s="390"/>
      <c r="X253" s="390"/>
      <c r="Y253" s="390"/>
    </row>
    <row r="254">
      <c r="A254" s="390" t="str">
        <f>IFERROR(__xludf.DUMMYFUNCTION("""COMPUTED_VALUE"""),"Vanessa de Medeiros Figueiredo Tavares")</f>
        <v>Vanessa de Medeiros Figueiredo Tavares</v>
      </c>
      <c r="B254" s="390" t="str">
        <f>IFERROR(__xludf.DUMMYFUNCTION("""COMPUTED_VALUE"""),"2° Licenciatura")</f>
        <v>2° Licenciatura</v>
      </c>
      <c r="C254" s="390" t="str">
        <f>IFERROR(__xludf.DUMMYFUNCTION("""COMPUTED_VALUE"""),"Letras - Português e Espanhol")</f>
        <v>Letras - Português e Espanhol</v>
      </c>
      <c r="D254" s="390" t="str">
        <f>IFERROR(__xludf.DUMMYFUNCTION("""COMPUTED_VALUE"""),"Entregue e-mail Mariana 29/11")</f>
        <v>Entregue e-mail Mariana 29/11</v>
      </c>
      <c r="E254" s="390"/>
      <c r="F254" s="390"/>
      <c r="G254" s="390"/>
      <c r="H254" s="390"/>
      <c r="I254" s="390"/>
      <c r="J254" s="390"/>
      <c r="K254" s="390"/>
      <c r="L254" s="390"/>
      <c r="M254" s="390"/>
      <c r="N254" s="390"/>
      <c r="O254" s="390"/>
      <c r="P254" s="390"/>
      <c r="Q254" s="390"/>
      <c r="R254" s="390"/>
      <c r="S254" s="390"/>
      <c r="T254" s="390"/>
      <c r="U254" s="390"/>
      <c r="V254" s="390"/>
      <c r="W254" s="390"/>
      <c r="X254" s="390"/>
      <c r="Y254" s="390"/>
    </row>
    <row r="255">
      <c r="A255" s="390" t="str">
        <f>IFERROR(__xludf.DUMMYFUNCTION("""COMPUTED_VALUE"""),"Ligia dos Santos Rezende")</f>
        <v>Ligia dos Santos Rezende</v>
      </c>
      <c r="B255" s="390" t="str">
        <f>IFERROR(__xludf.DUMMYFUNCTION("""COMPUTED_VALUE"""),"2° Licenciatura")</f>
        <v>2° Licenciatura</v>
      </c>
      <c r="C255" s="390" t="str">
        <f>IFERROR(__xludf.DUMMYFUNCTION("""COMPUTED_VALUE"""),"Pedagogia")</f>
        <v>Pedagogia</v>
      </c>
      <c r="D255" s="390" t="str">
        <f>IFERROR(__xludf.DUMMYFUNCTION("""COMPUTED_VALUE"""),"Entregue e-mail Mariana 29/11")</f>
        <v>Entregue e-mail Mariana 29/11</v>
      </c>
      <c r="E255" s="390"/>
      <c r="F255" s="390"/>
      <c r="G255" s="390"/>
      <c r="H255" s="390"/>
      <c r="I255" s="390"/>
      <c r="J255" s="390"/>
      <c r="K255" s="390"/>
      <c r="L255" s="390"/>
      <c r="M255" s="390"/>
      <c r="N255" s="390"/>
      <c r="O255" s="390"/>
      <c r="P255" s="390"/>
      <c r="Q255" s="390"/>
      <c r="R255" s="390"/>
      <c r="S255" s="390"/>
      <c r="T255" s="390"/>
      <c r="U255" s="390"/>
      <c r="V255" s="390"/>
      <c r="W255" s="390"/>
      <c r="X255" s="390"/>
      <c r="Y255" s="390"/>
    </row>
    <row r="256">
      <c r="A256" s="390" t="str">
        <f>IFERROR(__xludf.DUMMYFUNCTION("""COMPUTED_VALUE"""),"Fernando Freitas da Silva")</f>
        <v>Fernando Freitas da Silva</v>
      </c>
      <c r="B256" s="390" t="str">
        <f>IFERROR(__xludf.DUMMYFUNCTION("""COMPUTED_VALUE"""),"Form. Pedagógica")</f>
        <v>Form. Pedagógica</v>
      </c>
      <c r="C256" s="390" t="str">
        <f>IFERROR(__xludf.DUMMYFUNCTION("""COMPUTED_VALUE"""),"Artes Visuais")</f>
        <v>Artes Visuais</v>
      </c>
      <c r="D256" s="390" t="str">
        <f>IFERROR(__xludf.DUMMYFUNCTION("""COMPUTED_VALUE"""),"Entregue e-mail Mariana 29/11")</f>
        <v>Entregue e-mail Mariana 29/11</v>
      </c>
      <c r="E256" s="390"/>
      <c r="F256" s="390"/>
      <c r="G256" s="390"/>
      <c r="H256" s="390"/>
      <c r="I256" s="390"/>
      <c r="J256" s="390"/>
      <c r="K256" s="390"/>
      <c r="L256" s="390"/>
      <c r="M256" s="390"/>
      <c r="N256" s="390"/>
      <c r="O256" s="390"/>
      <c r="P256" s="390"/>
      <c r="Q256" s="390"/>
      <c r="R256" s="390"/>
      <c r="S256" s="390"/>
      <c r="T256" s="390"/>
      <c r="U256" s="390"/>
      <c r="V256" s="390"/>
      <c r="W256" s="390"/>
      <c r="X256" s="390"/>
      <c r="Y256" s="390"/>
    </row>
    <row r="257">
      <c r="A257" s="390" t="str">
        <f>IFERROR(__xludf.DUMMYFUNCTION("""COMPUTED_VALUE"""),"Roseli Aparecida de Assis")</f>
        <v>Roseli Aparecida de Assis</v>
      </c>
      <c r="B257" s="390" t="str">
        <f>IFERROR(__xludf.DUMMYFUNCTION("""COMPUTED_VALUE"""),"2° Licenciatura")</f>
        <v>2° Licenciatura</v>
      </c>
      <c r="C257" s="390" t="str">
        <f>IFERROR(__xludf.DUMMYFUNCTION("""COMPUTED_VALUE"""),"Pedagogia")</f>
        <v>Pedagogia</v>
      </c>
      <c r="D257" s="390" t="str">
        <f>IFERROR(__xludf.DUMMYFUNCTION("""COMPUTED_VALUE"""),"Entregue e-mail Mariana 29/11")</f>
        <v>Entregue e-mail Mariana 29/11</v>
      </c>
      <c r="E257" s="390"/>
      <c r="F257" s="390"/>
      <c r="G257" s="390"/>
      <c r="H257" s="390"/>
      <c r="I257" s="390"/>
      <c r="J257" s="390"/>
      <c r="K257" s="390"/>
      <c r="L257" s="390"/>
      <c r="M257" s="390"/>
      <c r="N257" s="390"/>
      <c r="O257" s="390"/>
      <c r="P257" s="390"/>
      <c r="Q257" s="390"/>
      <c r="R257" s="390"/>
      <c r="S257" s="390"/>
      <c r="T257" s="390"/>
      <c r="U257" s="390"/>
      <c r="V257" s="390"/>
      <c r="W257" s="390"/>
      <c r="X257" s="390"/>
      <c r="Y257" s="390"/>
    </row>
    <row r="258">
      <c r="A258" s="390" t="str">
        <f>IFERROR(__xludf.DUMMYFUNCTION("""COMPUTED_VALUE"""),"Marcel Ribeiro Risso")</f>
        <v>Marcel Ribeiro Risso</v>
      </c>
      <c r="B258" s="390" t="str">
        <f>IFERROR(__xludf.DUMMYFUNCTION("""COMPUTED_VALUE"""),"Form. Pedagógica")</f>
        <v>Form. Pedagógica</v>
      </c>
      <c r="C258" s="390" t="str">
        <f>IFERROR(__xludf.DUMMYFUNCTION("""COMPUTED_VALUE"""),"Matemática")</f>
        <v>Matemática</v>
      </c>
      <c r="D258" s="390" t="str">
        <f>IFERROR(__xludf.DUMMYFUNCTION("""COMPUTED_VALUE"""),"Entregue e-mail Mariana 29/11")</f>
        <v>Entregue e-mail Mariana 29/11</v>
      </c>
      <c r="E258" s="390"/>
      <c r="F258" s="390"/>
      <c r="G258" s="390"/>
      <c r="H258" s="390"/>
      <c r="I258" s="390"/>
      <c r="J258" s="390"/>
      <c r="K258" s="390"/>
      <c r="L258" s="390"/>
      <c r="M258" s="390"/>
      <c r="N258" s="390"/>
      <c r="O258" s="390"/>
      <c r="P258" s="390"/>
      <c r="Q258" s="390"/>
      <c r="R258" s="390"/>
      <c r="S258" s="390"/>
      <c r="T258" s="390"/>
      <c r="U258" s="390"/>
      <c r="V258" s="390"/>
      <c r="W258" s="390"/>
      <c r="X258" s="390"/>
      <c r="Y258" s="390"/>
    </row>
    <row r="259">
      <c r="A259" s="390" t="str">
        <f>IFERROR(__xludf.DUMMYFUNCTION("""COMPUTED_VALUE"""),"Carolina Santos de Souza")</f>
        <v>Carolina Santos de Souza</v>
      </c>
      <c r="B259" s="390" t="str">
        <f>IFERROR(__xludf.DUMMYFUNCTION("""COMPUTED_VALUE"""),"Form. Pedagógica")</f>
        <v>Form. Pedagógica</v>
      </c>
      <c r="C259" s="390" t="str">
        <f>IFERROR(__xludf.DUMMYFUNCTION("""COMPUTED_VALUE"""),"História")</f>
        <v>História</v>
      </c>
      <c r="D259" s="390" t="str">
        <f>IFERROR(__xludf.DUMMYFUNCTION("""COMPUTED_VALUE"""),"Entregue e-mail Mariana 29/11")</f>
        <v>Entregue e-mail Mariana 29/11</v>
      </c>
      <c r="E259" s="390"/>
      <c r="F259" s="390"/>
      <c r="G259" s="390"/>
      <c r="H259" s="390"/>
      <c r="I259" s="390"/>
      <c r="J259" s="390"/>
      <c r="K259" s="390"/>
      <c r="L259" s="390"/>
      <c r="M259" s="390"/>
      <c r="N259" s="390"/>
      <c r="O259" s="390"/>
      <c r="P259" s="390"/>
      <c r="Q259" s="390"/>
      <c r="R259" s="390"/>
      <c r="S259" s="390"/>
      <c r="T259" s="390"/>
      <c r="U259" s="390"/>
      <c r="V259" s="390"/>
      <c r="W259" s="390"/>
      <c r="X259" s="390"/>
      <c r="Y259" s="390"/>
    </row>
    <row r="260">
      <c r="A260" s="390" t="str">
        <f>IFERROR(__xludf.DUMMYFUNCTION("""COMPUTED_VALUE"""),"Rafaella Moreira de Lima")</f>
        <v>Rafaella Moreira de Lima</v>
      </c>
      <c r="B260" s="390" t="str">
        <f>IFERROR(__xludf.DUMMYFUNCTION("""COMPUTED_VALUE"""),"Form. Pedagógica")</f>
        <v>Form. Pedagógica</v>
      </c>
      <c r="C260" s="390" t="str">
        <f>IFERROR(__xludf.DUMMYFUNCTION("""COMPUTED_VALUE"""),"Pedagogia")</f>
        <v>Pedagogia</v>
      </c>
      <c r="D260" s="390" t="str">
        <f>IFERROR(__xludf.DUMMYFUNCTION("""COMPUTED_VALUE"""),"Entregue e-mail Mariana 29/11")</f>
        <v>Entregue e-mail Mariana 29/11</v>
      </c>
      <c r="E260" s="390"/>
      <c r="F260" s="390"/>
      <c r="G260" s="390"/>
      <c r="H260" s="390"/>
      <c r="I260" s="390"/>
      <c r="J260" s="390"/>
      <c r="K260" s="390"/>
      <c r="L260" s="390"/>
      <c r="M260" s="390"/>
      <c r="N260" s="390"/>
      <c r="O260" s="390"/>
      <c r="P260" s="390"/>
      <c r="Q260" s="390"/>
      <c r="R260" s="390"/>
      <c r="S260" s="390"/>
      <c r="T260" s="390"/>
      <c r="U260" s="390"/>
      <c r="V260" s="390"/>
      <c r="W260" s="390"/>
      <c r="X260" s="390"/>
      <c r="Y260" s="390"/>
    </row>
    <row r="261">
      <c r="A261" s="390" t="str">
        <f>IFERROR(__xludf.DUMMYFUNCTION("""COMPUTED_VALUE"""),"Jaqueline Eloise Gonçalves")</f>
        <v>Jaqueline Eloise Gonçalves</v>
      </c>
      <c r="B261" s="390" t="str">
        <f>IFERROR(__xludf.DUMMYFUNCTION("""COMPUTED_VALUE"""),"Form. Pedagógica")</f>
        <v>Form. Pedagógica</v>
      </c>
      <c r="C261" s="390" t="str">
        <f>IFERROR(__xludf.DUMMYFUNCTION("""COMPUTED_VALUE"""),"Pedagogia")</f>
        <v>Pedagogia</v>
      </c>
      <c r="D261" s="390" t="str">
        <f>IFERROR(__xludf.DUMMYFUNCTION("""COMPUTED_VALUE"""),"Entregue e-mail Mariana 29/11")</f>
        <v>Entregue e-mail Mariana 29/11</v>
      </c>
      <c r="E261" s="390"/>
      <c r="F261" s="390"/>
      <c r="G261" s="390"/>
      <c r="H261" s="390"/>
      <c r="I261" s="390"/>
      <c r="J261" s="390"/>
      <c r="K261" s="390"/>
      <c r="L261" s="390"/>
      <c r="M261" s="390"/>
      <c r="N261" s="390"/>
      <c r="O261" s="390"/>
      <c r="P261" s="390"/>
      <c r="Q261" s="390"/>
      <c r="R261" s="390"/>
      <c r="S261" s="390"/>
      <c r="T261" s="390"/>
      <c r="U261" s="390"/>
      <c r="V261" s="390"/>
      <c r="W261" s="390"/>
      <c r="X261" s="390"/>
      <c r="Y261" s="390"/>
    </row>
    <row r="262">
      <c r="A262" s="390" t="str">
        <f>IFERROR(__xludf.DUMMYFUNCTION("""COMPUTED_VALUE"""),"Josenira Paula da Silva")</f>
        <v>Josenira Paula da Silva</v>
      </c>
      <c r="B262" s="390" t="str">
        <f>IFERROR(__xludf.DUMMYFUNCTION("""COMPUTED_VALUE"""),"2° Licenciatura")</f>
        <v>2° Licenciatura</v>
      </c>
      <c r="C262" s="390" t="str">
        <f>IFERROR(__xludf.DUMMYFUNCTION("""COMPUTED_VALUE"""),"Pedagogia")</f>
        <v>Pedagogia</v>
      </c>
      <c r="D262" s="390" t="str">
        <f>IFERROR(__xludf.DUMMYFUNCTION("""COMPUTED_VALUE"""),"Entregue e-mail Mariana 29/11")</f>
        <v>Entregue e-mail Mariana 29/11</v>
      </c>
      <c r="E262" s="390"/>
      <c r="F262" s="390"/>
      <c r="G262" s="390"/>
      <c r="H262" s="390"/>
      <c r="I262" s="390"/>
      <c r="J262" s="390"/>
      <c r="K262" s="390"/>
      <c r="L262" s="390"/>
      <c r="M262" s="390"/>
      <c r="N262" s="390"/>
      <c r="O262" s="390"/>
      <c r="P262" s="390"/>
      <c r="Q262" s="390"/>
      <c r="R262" s="390"/>
      <c r="S262" s="390"/>
      <c r="T262" s="390"/>
      <c r="U262" s="390"/>
      <c r="V262" s="390"/>
      <c r="W262" s="390"/>
      <c r="X262" s="390"/>
      <c r="Y262" s="390"/>
    </row>
    <row r="263">
      <c r="A263" s="390" t="str">
        <f>IFERROR(__xludf.DUMMYFUNCTION("""COMPUTED_VALUE"""),"Denise Andrea Nobre Lopes")</f>
        <v>Denise Andrea Nobre Lopes</v>
      </c>
      <c r="B263" s="390" t="str">
        <f>IFERROR(__xludf.DUMMYFUNCTION("""COMPUTED_VALUE"""),"2° Licenciatura")</f>
        <v>2° Licenciatura</v>
      </c>
      <c r="C263" s="390" t="str">
        <f>IFERROR(__xludf.DUMMYFUNCTION("""COMPUTED_VALUE"""),"Letras - Português e Espanhol")</f>
        <v>Letras - Português e Espanhol</v>
      </c>
      <c r="D263" s="390" t="str">
        <f>IFERROR(__xludf.DUMMYFUNCTION("""COMPUTED_VALUE"""),"Entregue e-mail Mariana 29/11")</f>
        <v>Entregue e-mail Mariana 29/11</v>
      </c>
      <c r="E263" s="390"/>
      <c r="F263" s="390"/>
      <c r="G263" s="390"/>
      <c r="H263" s="390"/>
      <c r="I263" s="390"/>
      <c r="J263" s="390"/>
      <c r="K263" s="390"/>
      <c r="L263" s="390"/>
      <c r="M263" s="390"/>
      <c r="N263" s="390"/>
      <c r="O263" s="390"/>
      <c r="P263" s="390"/>
      <c r="Q263" s="390"/>
      <c r="R263" s="390"/>
      <c r="S263" s="390"/>
      <c r="T263" s="390"/>
      <c r="U263" s="390"/>
      <c r="V263" s="390"/>
      <c r="W263" s="390"/>
      <c r="X263" s="390"/>
      <c r="Y263" s="390"/>
    </row>
    <row r="264">
      <c r="A264" s="390" t="str">
        <f>IFERROR(__xludf.DUMMYFUNCTION("""COMPUTED_VALUE"""),"Flávia Rita dos Santos Lopes")</f>
        <v>Flávia Rita dos Santos Lopes</v>
      </c>
      <c r="B264" s="390" t="str">
        <f>IFERROR(__xludf.DUMMYFUNCTION("""COMPUTED_VALUE"""),"Form. Pedagógica")</f>
        <v>Form. Pedagógica</v>
      </c>
      <c r="C264" s="390" t="str">
        <f>IFERROR(__xludf.DUMMYFUNCTION("""COMPUTED_VALUE"""),"Filosofia")</f>
        <v>Filosofia</v>
      </c>
      <c r="D264" s="390" t="str">
        <f>IFERROR(__xludf.DUMMYFUNCTION("""COMPUTED_VALUE"""),"Entregue e-mail Mariana 29/11")</f>
        <v>Entregue e-mail Mariana 29/11</v>
      </c>
      <c r="E264" s="390"/>
      <c r="F264" s="390"/>
      <c r="G264" s="390"/>
      <c r="H264" s="390"/>
      <c r="I264" s="390"/>
      <c r="J264" s="390"/>
      <c r="K264" s="390"/>
      <c r="L264" s="390"/>
      <c r="M264" s="390"/>
      <c r="N264" s="390"/>
      <c r="O264" s="390"/>
      <c r="P264" s="390"/>
      <c r="Q264" s="390"/>
      <c r="R264" s="390"/>
      <c r="S264" s="390"/>
      <c r="T264" s="390"/>
      <c r="U264" s="390"/>
      <c r="V264" s="390"/>
      <c r="W264" s="390"/>
      <c r="X264" s="390"/>
      <c r="Y264" s="390"/>
    </row>
    <row r="265">
      <c r="A265" s="390" t="str">
        <f>IFERROR(__xludf.DUMMYFUNCTION("""COMPUTED_VALUE"""),"Natalia Cristina Silva")</f>
        <v>Natalia Cristina Silva</v>
      </c>
      <c r="B265" s="390" t="str">
        <f>IFERROR(__xludf.DUMMYFUNCTION("""COMPUTED_VALUE"""),"2° Licenciatura")</f>
        <v>2° Licenciatura</v>
      </c>
      <c r="C265" s="390" t="str">
        <f>IFERROR(__xludf.DUMMYFUNCTION("""COMPUTED_VALUE"""),"Artes Visuais")</f>
        <v>Artes Visuais</v>
      </c>
      <c r="D265" s="390" t="str">
        <f>IFERROR(__xludf.DUMMYFUNCTION("""COMPUTED_VALUE"""),"Entregue e-mail Mariana 29/11")</f>
        <v>Entregue e-mail Mariana 29/11</v>
      </c>
      <c r="E265" s="390"/>
      <c r="F265" s="390"/>
      <c r="G265" s="390"/>
      <c r="H265" s="390"/>
      <c r="I265" s="390"/>
      <c r="J265" s="390"/>
      <c r="K265" s="390"/>
      <c r="L265" s="390"/>
      <c r="M265" s="390"/>
      <c r="N265" s="390"/>
      <c r="O265" s="390"/>
      <c r="P265" s="390"/>
      <c r="Q265" s="390"/>
      <c r="R265" s="390"/>
      <c r="S265" s="390"/>
      <c r="T265" s="390"/>
      <c r="U265" s="390"/>
      <c r="V265" s="390"/>
      <c r="W265" s="390"/>
      <c r="X265" s="390"/>
      <c r="Y265" s="390"/>
    </row>
    <row r="266">
      <c r="A266" s="390" t="str">
        <f>IFERROR(__xludf.DUMMYFUNCTION("""COMPUTED_VALUE"""),"Audelina de Jesus Macieira dos Santos")</f>
        <v>Audelina de Jesus Macieira dos Santos</v>
      </c>
      <c r="B266" s="390" t="str">
        <f>IFERROR(__xludf.DUMMYFUNCTION("""COMPUTED_VALUE"""),"2° Licenciatura")</f>
        <v>2° Licenciatura</v>
      </c>
      <c r="C266" s="390" t="str">
        <f>IFERROR(__xludf.DUMMYFUNCTION("""COMPUTED_VALUE"""),"História")</f>
        <v>História</v>
      </c>
      <c r="D266" s="390" t="str">
        <f>IFERROR(__xludf.DUMMYFUNCTION("""COMPUTED_VALUE"""),"Entregue e-mail Mariana 29/11")</f>
        <v>Entregue e-mail Mariana 29/11</v>
      </c>
      <c r="E266" s="390"/>
      <c r="F266" s="390"/>
      <c r="G266" s="390"/>
      <c r="H266" s="390"/>
      <c r="I266" s="390"/>
      <c r="J266" s="390"/>
      <c r="K266" s="390"/>
      <c r="L266" s="390"/>
      <c r="M266" s="390"/>
      <c r="N266" s="390"/>
      <c r="O266" s="390"/>
      <c r="P266" s="390"/>
      <c r="Q266" s="390"/>
      <c r="R266" s="390"/>
      <c r="S266" s="390"/>
      <c r="T266" s="390"/>
      <c r="U266" s="390"/>
      <c r="V266" s="390"/>
      <c r="W266" s="390"/>
      <c r="X266" s="390"/>
      <c r="Y266" s="390"/>
    </row>
    <row r="267">
      <c r="A267" s="390" t="str">
        <f>IFERROR(__xludf.DUMMYFUNCTION("""COMPUTED_VALUE"""),"Artunho De Araújo Farias (apressamento)")</f>
        <v>Artunho De Araújo Farias (apressamento)</v>
      </c>
      <c r="B267" s="390" t="str">
        <f>IFERROR(__xludf.DUMMYFUNCTION("""COMPUTED_VALUE"""),"2° Licenciatura")</f>
        <v>2° Licenciatura</v>
      </c>
      <c r="C267" s="390" t="str">
        <f>IFERROR(__xludf.DUMMYFUNCTION("""COMPUTED_VALUE"""),"Letras - Português e Inglês")</f>
        <v>Letras - Português e Inglês</v>
      </c>
      <c r="D267" s="390" t="str">
        <f>IFERROR(__xludf.DUMMYFUNCTION("""COMPUTED_VALUE"""),"Entregue e-mail Mariana 29/11")</f>
        <v>Entregue e-mail Mariana 29/11</v>
      </c>
      <c r="E267" s="390"/>
      <c r="F267" s="390"/>
      <c r="G267" s="390"/>
      <c r="H267" s="390"/>
      <c r="I267" s="390"/>
      <c r="J267" s="390"/>
      <c r="K267" s="390"/>
      <c r="L267" s="390"/>
      <c r="M267" s="390"/>
      <c r="N267" s="390"/>
      <c r="O267" s="390"/>
      <c r="P267" s="390"/>
      <c r="Q267" s="390"/>
      <c r="R267" s="390"/>
      <c r="S267" s="390"/>
      <c r="T267" s="390"/>
      <c r="U267" s="390"/>
      <c r="V267" s="390"/>
      <c r="W267" s="390"/>
      <c r="X267" s="390"/>
      <c r="Y267" s="390"/>
    </row>
    <row r="268">
      <c r="A268" s="390" t="str">
        <f>IFERROR(__xludf.DUMMYFUNCTION("""COMPUTED_VALUE"""),"Andréia Camilla Oliveira (apressamento)")</f>
        <v>Andréia Camilla Oliveira (apressamento)</v>
      </c>
      <c r="B268" s="390" t="str">
        <f>IFERROR(__xludf.DUMMYFUNCTION("""COMPUTED_VALUE"""),"Form. Pedagógica")</f>
        <v>Form. Pedagógica</v>
      </c>
      <c r="C268" s="390" t="str">
        <f>IFERROR(__xludf.DUMMYFUNCTION("""COMPUTED_VALUE"""),"Educação Fisica")</f>
        <v>Educação Fisica</v>
      </c>
      <c r="D268" s="390" t="str">
        <f>IFERROR(__xludf.DUMMYFUNCTION("""COMPUTED_VALUE"""),"Entregue e-mail Mariana 29/11")</f>
        <v>Entregue e-mail Mariana 29/11</v>
      </c>
      <c r="E268" s="390"/>
      <c r="F268" s="390"/>
      <c r="G268" s="390"/>
      <c r="H268" s="390"/>
      <c r="I268" s="390"/>
      <c r="J268" s="390"/>
      <c r="K268" s="390"/>
      <c r="L268" s="390"/>
      <c r="M268" s="390"/>
      <c r="N268" s="390"/>
      <c r="O268" s="390"/>
      <c r="P268" s="390"/>
      <c r="Q268" s="390"/>
      <c r="R268" s="390"/>
      <c r="S268" s="390"/>
      <c r="T268" s="390"/>
      <c r="U268" s="390"/>
      <c r="V268" s="390"/>
      <c r="W268" s="390"/>
      <c r="X268" s="390"/>
      <c r="Y268" s="390"/>
    </row>
    <row r="269">
      <c r="A269" s="390" t="str">
        <f>IFERROR(__xludf.DUMMYFUNCTION("""COMPUTED_VALUE"""),"Janaína da Silva de São Pedro")</f>
        <v>Janaína da Silva de São Pedro</v>
      </c>
      <c r="B269" s="390" t="str">
        <f>IFERROR(__xludf.DUMMYFUNCTION("""COMPUTED_VALUE"""),"2° Licenciatura")</f>
        <v>2° Licenciatura</v>
      </c>
      <c r="C269" s="390" t="str">
        <f>IFERROR(__xludf.DUMMYFUNCTION("""COMPUTED_VALUE"""),"Letras Português - Inglês")</f>
        <v>Letras Português - Inglês</v>
      </c>
      <c r="D269" s="390" t="str">
        <f>IFERROR(__xludf.DUMMYFUNCTION("""COMPUTED_VALUE"""),"Entregue e-mail Mariana 29/11")</f>
        <v>Entregue e-mail Mariana 29/11</v>
      </c>
      <c r="E269" s="390"/>
      <c r="F269" s="390"/>
      <c r="G269" s="390"/>
      <c r="H269" s="390"/>
      <c r="I269" s="390"/>
      <c r="J269" s="390"/>
      <c r="K269" s="390"/>
      <c r="L269" s="390"/>
      <c r="M269" s="390"/>
      <c r="N269" s="390"/>
      <c r="O269" s="390"/>
      <c r="P269" s="390"/>
      <c r="Q269" s="390"/>
      <c r="R269" s="390"/>
      <c r="S269" s="390"/>
      <c r="T269" s="390"/>
      <c r="U269" s="390"/>
      <c r="V269" s="390"/>
      <c r="W269" s="390"/>
      <c r="X269" s="390"/>
      <c r="Y269" s="390"/>
    </row>
    <row r="270">
      <c r="A270" s="390" t="str">
        <f>IFERROR(__xludf.DUMMYFUNCTION("""COMPUTED_VALUE"""),"Gabriel do Bomfim Tarantino (apressamento)")</f>
        <v>Gabriel do Bomfim Tarantino (apressamento)</v>
      </c>
      <c r="B270" s="390" t="str">
        <f>IFERROR(__xludf.DUMMYFUNCTION("""COMPUTED_VALUE"""),"Form. Pedagógica")</f>
        <v>Form. Pedagógica</v>
      </c>
      <c r="C270" s="390" t="str">
        <f>IFERROR(__xludf.DUMMYFUNCTION("""COMPUTED_VALUE"""),"Matemática")</f>
        <v>Matemática</v>
      </c>
      <c r="D270" s="390" t="str">
        <f>IFERROR(__xludf.DUMMYFUNCTION("""COMPUTED_VALUE"""),"Entregue em 14/12/2024 - Kinbox e E-mail - Jade")</f>
        <v>Entregue em 14/12/2024 - Kinbox e E-mail - Jade</v>
      </c>
      <c r="E270" s="390"/>
      <c r="F270" s="390"/>
      <c r="G270" s="390"/>
      <c r="H270" s="390"/>
      <c r="I270" s="390"/>
      <c r="J270" s="390"/>
      <c r="K270" s="390"/>
      <c r="L270" s="390"/>
      <c r="M270" s="390"/>
      <c r="N270" s="390"/>
      <c r="O270" s="390"/>
      <c r="P270" s="390"/>
      <c r="Q270" s="390"/>
      <c r="R270" s="390"/>
      <c r="S270" s="390"/>
      <c r="T270" s="390"/>
      <c r="U270" s="390"/>
      <c r="V270" s="390"/>
      <c r="W270" s="390"/>
      <c r="X270" s="390"/>
      <c r="Y270" s="390"/>
    </row>
    <row r="271">
      <c r="A271" s="390" t="str">
        <f>IFERROR(__xludf.DUMMYFUNCTION("""COMPUTED_VALUE"""),"Karen Fernanda Sana Deny")</f>
        <v>Karen Fernanda Sana Deny</v>
      </c>
      <c r="B271" s="390" t="str">
        <f>IFERROR(__xludf.DUMMYFUNCTION("""COMPUTED_VALUE"""),"Form. Pedagógica")</f>
        <v>Form. Pedagógica</v>
      </c>
      <c r="C271" s="390" t="str">
        <f>IFERROR(__xludf.DUMMYFUNCTION("""COMPUTED_VALUE"""),"Matemática")</f>
        <v>Matemática</v>
      </c>
      <c r="D271" s="390" t="str">
        <f>IFERROR(__xludf.DUMMYFUNCTION("""COMPUTED_VALUE"""),"Entregue em 14/10/2024 - Kinbox e E-mail - Jade")</f>
        <v>Entregue em 14/10/2024 - Kinbox e E-mail - Jade</v>
      </c>
      <c r="E271" s="390"/>
      <c r="F271" s="390"/>
      <c r="G271" s="390"/>
      <c r="H271" s="390"/>
      <c r="I271" s="390"/>
      <c r="J271" s="390"/>
      <c r="K271" s="390"/>
      <c r="L271" s="390"/>
      <c r="M271" s="390"/>
      <c r="N271" s="390"/>
      <c r="O271" s="390"/>
      <c r="P271" s="390"/>
      <c r="Q271" s="390"/>
      <c r="R271" s="390"/>
      <c r="S271" s="390"/>
      <c r="T271" s="390"/>
      <c r="U271" s="390"/>
      <c r="V271" s="390"/>
      <c r="W271" s="390"/>
      <c r="X271" s="390"/>
      <c r="Y271" s="390"/>
    </row>
    <row r="272">
      <c r="A272" s="390" t="str">
        <f>IFERROR(__xludf.DUMMYFUNCTION("""COMPUTED_VALUE"""),"Elisangela dos Santos Teixeira")</f>
        <v>Elisangela dos Santos Teixeira</v>
      </c>
      <c r="B272" s="390" t="str">
        <f>IFERROR(__xludf.DUMMYFUNCTION("""COMPUTED_VALUE"""),"2° Licenciatura")</f>
        <v>2° Licenciatura</v>
      </c>
      <c r="C272" s="390" t="str">
        <f>IFERROR(__xludf.DUMMYFUNCTION("""COMPUTED_VALUE"""),"Educação Especial")</f>
        <v>Educação Especial</v>
      </c>
      <c r="D272" s="390" t="str">
        <f>IFERROR(__xludf.DUMMYFUNCTION("""COMPUTED_VALUE"""),"Entregue em 14/12/2024 - Kinbox e E-mail - Jade")</f>
        <v>Entregue em 14/12/2024 - Kinbox e E-mail - Jade</v>
      </c>
      <c r="E272" s="390"/>
      <c r="F272" s="390"/>
      <c r="G272" s="390"/>
      <c r="H272" s="390"/>
      <c r="I272" s="390"/>
      <c r="J272" s="390"/>
      <c r="K272" s="390"/>
      <c r="L272" s="390"/>
      <c r="M272" s="390"/>
      <c r="N272" s="390"/>
      <c r="O272" s="390"/>
      <c r="P272" s="390"/>
      <c r="Q272" s="390"/>
      <c r="R272" s="390"/>
      <c r="S272" s="390"/>
      <c r="T272" s="390"/>
      <c r="U272" s="390"/>
      <c r="V272" s="390"/>
      <c r="W272" s="390"/>
      <c r="X272" s="390"/>
      <c r="Y272" s="390"/>
    </row>
    <row r="273">
      <c r="A273" s="390" t="str">
        <f>IFERROR(__xludf.DUMMYFUNCTION("""COMPUTED_VALUE"""),"Elisa Schoenhals Sehnem")</f>
        <v>Elisa Schoenhals Sehnem</v>
      </c>
      <c r="B273" s="390" t="str">
        <f>IFERROR(__xludf.DUMMYFUNCTION("""COMPUTED_VALUE"""),"2° Licenciatura")</f>
        <v>2° Licenciatura</v>
      </c>
      <c r="C273" s="390" t="str">
        <f>IFERROR(__xludf.DUMMYFUNCTION("""COMPUTED_VALUE"""),"Letras - Português e Espanhol")</f>
        <v>Letras - Português e Espanhol</v>
      </c>
      <c r="D273" s="390" t="str">
        <f>IFERROR(__xludf.DUMMYFUNCTION("""COMPUTED_VALUE"""),"Entregue em 14/12/2024 - Kinbox e E-mail - Jade")</f>
        <v>Entregue em 14/12/2024 - Kinbox e E-mail - Jade</v>
      </c>
      <c r="E273" s="390"/>
      <c r="F273" s="390"/>
      <c r="G273" s="390"/>
      <c r="H273" s="390"/>
      <c r="I273" s="390"/>
      <c r="J273" s="390"/>
      <c r="K273" s="390"/>
      <c r="L273" s="390"/>
      <c r="M273" s="390"/>
      <c r="N273" s="390"/>
      <c r="O273" s="390"/>
      <c r="P273" s="390"/>
      <c r="Q273" s="390"/>
      <c r="R273" s="390"/>
      <c r="S273" s="390"/>
      <c r="T273" s="390"/>
      <c r="U273" s="390"/>
      <c r="V273" s="390"/>
      <c r="W273" s="390"/>
      <c r="X273" s="390"/>
      <c r="Y273" s="390"/>
    </row>
    <row r="274">
      <c r="A274" s="390" t="str">
        <f>IFERROR(__xludf.DUMMYFUNCTION("""COMPUTED_VALUE"""),"Eliane Maria Ferreira")</f>
        <v>Eliane Maria Ferreira</v>
      </c>
      <c r="B274" s="390" t="str">
        <f>IFERROR(__xludf.DUMMYFUNCTION("""COMPUTED_VALUE"""),"2° Licenciatura")</f>
        <v>2° Licenciatura</v>
      </c>
      <c r="C274" s="390" t="str">
        <f>IFERROR(__xludf.DUMMYFUNCTION("""COMPUTED_VALUE"""),"Pedagogia")</f>
        <v>Pedagogia</v>
      </c>
      <c r="D274" s="390" t="str">
        <f>IFERROR(__xludf.DUMMYFUNCTION("""COMPUTED_VALUE"""),"Entregue em 14/12/2024 - Kinbox e E-mail - Jade")</f>
        <v>Entregue em 14/12/2024 - Kinbox e E-mail - Jade</v>
      </c>
      <c r="E274" s="390"/>
      <c r="F274" s="390"/>
      <c r="G274" s="390"/>
      <c r="H274" s="390"/>
      <c r="I274" s="390"/>
      <c r="J274" s="390"/>
      <c r="K274" s="390"/>
      <c r="L274" s="390"/>
      <c r="M274" s="390"/>
      <c r="N274" s="390"/>
      <c r="O274" s="390"/>
      <c r="P274" s="390"/>
      <c r="Q274" s="390"/>
      <c r="R274" s="390"/>
      <c r="S274" s="390"/>
      <c r="T274" s="390"/>
      <c r="U274" s="390"/>
      <c r="V274" s="390"/>
      <c r="W274" s="390"/>
      <c r="X274" s="390"/>
      <c r="Y274" s="390"/>
    </row>
    <row r="275">
      <c r="A275" s="390" t="str">
        <f>IFERROR(__xludf.DUMMYFUNCTION("""COMPUTED_VALUE"""),"Vilmar Carvalho ")</f>
        <v>Vilmar Carvalho </v>
      </c>
      <c r="B275" s="390" t="str">
        <f>IFERROR(__xludf.DUMMYFUNCTION("""COMPUTED_VALUE"""),"2° Licenciatura")</f>
        <v>2° Licenciatura</v>
      </c>
      <c r="C275" s="390" t="str">
        <f>IFERROR(__xludf.DUMMYFUNCTION("""COMPUTED_VALUE"""),"Pedagogia")</f>
        <v>Pedagogia</v>
      </c>
      <c r="D275" s="390" t="str">
        <f>IFERROR(__xludf.DUMMYFUNCTION("""COMPUTED_VALUE"""),"Entregue em 13/12/2024 - E-mail - Jade")</f>
        <v>Entregue em 13/12/2024 - E-mail - Jade</v>
      </c>
      <c r="E275" s="390"/>
      <c r="F275" s="390"/>
      <c r="G275" s="390"/>
      <c r="H275" s="390"/>
      <c r="I275" s="390"/>
      <c r="J275" s="390"/>
      <c r="K275" s="390"/>
      <c r="L275" s="390"/>
      <c r="M275" s="390"/>
      <c r="N275" s="390"/>
      <c r="O275" s="390"/>
      <c r="P275" s="390"/>
      <c r="Q275" s="390"/>
      <c r="R275" s="390"/>
      <c r="S275" s="390"/>
      <c r="T275" s="390"/>
      <c r="U275" s="390"/>
      <c r="V275" s="390"/>
      <c r="W275" s="390"/>
      <c r="X275" s="390"/>
      <c r="Y275" s="390"/>
    </row>
    <row r="276">
      <c r="A276" s="390" t="str">
        <f>IFERROR(__xludf.DUMMYFUNCTION("""COMPUTED_VALUE"""),"Vitor Grigoleto Oliveira")</f>
        <v>Vitor Grigoleto Oliveira</v>
      </c>
      <c r="B276" s="390" t="str">
        <f>IFERROR(__xludf.DUMMYFUNCTION("""COMPUTED_VALUE"""),"2° Licenciatura")</f>
        <v>2° Licenciatura</v>
      </c>
      <c r="C276" s="390" t="str">
        <f>IFERROR(__xludf.DUMMYFUNCTION("""COMPUTED_VALUE"""),"Pedagogia")</f>
        <v>Pedagogia</v>
      </c>
      <c r="D276" s="390" t="str">
        <f>IFERROR(__xludf.DUMMYFUNCTION("""COMPUTED_VALUE"""),"Entregue em 13/12/2024 - Kinbox e E-mail - Jade")</f>
        <v>Entregue em 13/12/2024 - Kinbox e E-mail - Jade</v>
      </c>
      <c r="E276" s="390"/>
      <c r="F276" s="390"/>
      <c r="G276" s="390"/>
      <c r="H276" s="390"/>
      <c r="I276" s="390"/>
      <c r="J276" s="390"/>
      <c r="K276" s="390"/>
      <c r="L276" s="390"/>
      <c r="M276" s="390"/>
      <c r="N276" s="390"/>
      <c r="O276" s="390"/>
      <c r="P276" s="390"/>
      <c r="Q276" s="390"/>
      <c r="R276" s="390"/>
      <c r="S276" s="390"/>
      <c r="T276" s="390"/>
      <c r="U276" s="390"/>
      <c r="V276" s="390"/>
      <c r="W276" s="390"/>
      <c r="X276" s="390"/>
      <c r="Y276" s="390"/>
    </row>
    <row r="277">
      <c r="A277" s="390" t="str">
        <f>IFERROR(__xludf.DUMMYFUNCTION("""COMPUTED_VALUE"""),"Tatiane Aparecida Maria dos Santos Marques")</f>
        <v>Tatiane Aparecida Maria dos Santos Marques</v>
      </c>
      <c r="B277" s="390" t="str">
        <f>IFERROR(__xludf.DUMMYFUNCTION("""COMPUTED_VALUE"""),"2° Licenciatura")</f>
        <v>2° Licenciatura</v>
      </c>
      <c r="C277" s="390" t="str">
        <f>IFERROR(__xludf.DUMMYFUNCTION("""COMPUTED_VALUE"""),"Artes Visuais")</f>
        <v>Artes Visuais</v>
      </c>
      <c r="D277" s="390" t="str">
        <f>IFERROR(__xludf.DUMMYFUNCTION("""COMPUTED_VALUE"""),"Entregue em 14/12/2024 - Kinbox e E-mail - Jade")</f>
        <v>Entregue em 14/12/2024 - Kinbox e E-mail - Jade</v>
      </c>
      <c r="E277" s="390"/>
      <c r="F277" s="390"/>
      <c r="G277" s="390"/>
      <c r="H277" s="390"/>
      <c r="I277" s="390"/>
      <c r="J277" s="390"/>
      <c r="K277" s="390"/>
      <c r="L277" s="390"/>
      <c r="M277" s="390"/>
      <c r="N277" s="390"/>
      <c r="O277" s="390"/>
      <c r="P277" s="390"/>
      <c r="Q277" s="390"/>
      <c r="R277" s="390"/>
      <c r="S277" s="390"/>
      <c r="T277" s="390"/>
      <c r="U277" s="390"/>
      <c r="V277" s="390"/>
      <c r="W277" s="390"/>
      <c r="X277" s="390"/>
      <c r="Y277" s="390"/>
    </row>
    <row r="278">
      <c r="A278" s="390" t="str">
        <f>IFERROR(__xludf.DUMMYFUNCTION("""COMPUTED_VALUE"""),"Wander Mariano Evangelista ")</f>
        <v>Wander Mariano Evangelista </v>
      </c>
      <c r="B278" s="390" t="str">
        <f>IFERROR(__xludf.DUMMYFUNCTION("""COMPUTED_VALUE"""),"2° Licenciatura")</f>
        <v>2° Licenciatura</v>
      </c>
      <c r="C278" s="390" t="str">
        <f>IFERROR(__xludf.DUMMYFUNCTION("""COMPUTED_VALUE"""),"Geografia")</f>
        <v>Geografia</v>
      </c>
      <c r="D278" s="390" t="str">
        <f>IFERROR(__xludf.DUMMYFUNCTION("""COMPUTED_VALUE"""),"Entregue em 18/12/2024 - Kinbox e E-mail - Jade")</f>
        <v>Entregue em 18/12/2024 - Kinbox e E-mail - Jade</v>
      </c>
      <c r="E278" s="390"/>
      <c r="F278" s="390"/>
      <c r="G278" s="390"/>
      <c r="H278" s="390"/>
      <c r="I278" s="390"/>
      <c r="J278" s="390"/>
      <c r="K278" s="390"/>
      <c r="L278" s="390"/>
      <c r="M278" s="390"/>
      <c r="N278" s="390"/>
      <c r="O278" s="390"/>
      <c r="P278" s="390"/>
      <c r="Q278" s="390"/>
      <c r="R278" s="390"/>
      <c r="S278" s="390"/>
      <c r="T278" s="390"/>
      <c r="U278" s="390"/>
      <c r="V278" s="390"/>
      <c r="W278" s="390"/>
      <c r="X278" s="390"/>
      <c r="Y278" s="390"/>
    </row>
    <row r="279">
      <c r="A279" s="390" t="str">
        <f>IFERROR(__xludf.DUMMYFUNCTION("""COMPUTED_VALUE"""),"Amauri José do Nascimento")</f>
        <v>Amauri José do Nascimento</v>
      </c>
      <c r="B279" s="390" t="str">
        <f>IFERROR(__xludf.DUMMYFUNCTION("""COMPUTED_VALUE"""),"Form. Pedagógica")</f>
        <v>Form. Pedagógica</v>
      </c>
      <c r="C279" s="390" t="str">
        <f>IFERROR(__xludf.DUMMYFUNCTION("""COMPUTED_VALUE"""),"Educação Fisica")</f>
        <v>Educação Fisica</v>
      </c>
      <c r="D279" s="390" t="str">
        <f>IFERROR(__xludf.DUMMYFUNCTION("""COMPUTED_VALUE"""),"Entregue 11/12/2024 - Kinbox e E-mail Carla")</f>
        <v>Entregue 11/12/2024 - Kinbox e E-mail Carla</v>
      </c>
      <c r="E279" s="390"/>
      <c r="F279" s="390"/>
      <c r="G279" s="390"/>
      <c r="H279" s="390"/>
      <c r="I279" s="390"/>
      <c r="J279" s="390"/>
      <c r="K279" s="390"/>
      <c r="L279" s="390"/>
      <c r="M279" s="390"/>
      <c r="N279" s="390"/>
      <c r="O279" s="390"/>
      <c r="P279" s="390"/>
      <c r="Q279" s="390"/>
      <c r="R279" s="390"/>
      <c r="S279" s="390"/>
      <c r="T279" s="390"/>
      <c r="U279" s="390"/>
      <c r="V279" s="390"/>
      <c r="W279" s="390"/>
      <c r="X279" s="390"/>
      <c r="Y279" s="390"/>
    </row>
    <row r="280">
      <c r="A280" s="390" t="str">
        <f>IFERROR(__xludf.DUMMYFUNCTION("""COMPUTED_VALUE"""),"Sidneia Alves Dantas")</f>
        <v>Sidneia Alves Dantas</v>
      </c>
      <c r="B280" s="390" t="str">
        <f>IFERROR(__xludf.DUMMYFUNCTION("""COMPUTED_VALUE"""),"2° Licenciatura")</f>
        <v>2° Licenciatura</v>
      </c>
      <c r="C280" s="390" t="str">
        <f>IFERROR(__xludf.DUMMYFUNCTION("""COMPUTED_VALUE"""),"Pedagogia")</f>
        <v>Pedagogia</v>
      </c>
      <c r="D280" s="390" t="str">
        <f>IFERROR(__xludf.DUMMYFUNCTION("""COMPUTED_VALUE"""),"Entregue em 12/12/2024 - Kinbox e E-mail - Jade")</f>
        <v>Entregue em 12/12/2024 - Kinbox e E-mail - Jade</v>
      </c>
      <c r="E280" s="390"/>
      <c r="F280" s="390"/>
      <c r="G280" s="390"/>
      <c r="H280" s="390"/>
      <c r="I280" s="390"/>
      <c r="J280" s="390"/>
      <c r="K280" s="390"/>
      <c r="L280" s="390"/>
      <c r="M280" s="390"/>
      <c r="N280" s="390"/>
      <c r="O280" s="390"/>
      <c r="P280" s="390"/>
      <c r="Q280" s="390"/>
      <c r="R280" s="390"/>
      <c r="S280" s="390"/>
      <c r="T280" s="390"/>
      <c r="U280" s="390"/>
      <c r="V280" s="390"/>
      <c r="W280" s="390"/>
      <c r="X280" s="390"/>
      <c r="Y280" s="390"/>
    </row>
    <row r="281">
      <c r="A281" s="390" t="str">
        <f>IFERROR(__xludf.DUMMYFUNCTION("""COMPUTED_VALUE"""),"Renata Sorah de Sousa e Silva ")</f>
        <v>Renata Sorah de Sousa e Silva </v>
      </c>
      <c r="B281" s="390" t="str">
        <f>IFERROR(__xludf.DUMMYFUNCTION("""COMPUTED_VALUE"""),"2° Licenciatura")</f>
        <v>2° Licenciatura</v>
      </c>
      <c r="C281" s="390" t="str">
        <f>IFERROR(__xludf.DUMMYFUNCTION("""COMPUTED_VALUE"""),"Pedagogia")</f>
        <v>Pedagogia</v>
      </c>
      <c r="D281" s="390" t="str">
        <f>IFERROR(__xludf.DUMMYFUNCTION("""COMPUTED_VALUE"""),"Entregue em 14/12/2024 - Kinbox e E-mail - Jade")</f>
        <v>Entregue em 14/12/2024 - Kinbox e E-mail - Jade</v>
      </c>
      <c r="E281" s="390"/>
      <c r="F281" s="390"/>
      <c r="G281" s="390"/>
      <c r="H281" s="390"/>
      <c r="I281" s="390"/>
      <c r="J281" s="390"/>
      <c r="K281" s="390"/>
      <c r="L281" s="390"/>
      <c r="M281" s="390"/>
      <c r="N281" s="390"/>
      <c r="O281" s="390"/>
      <c r="P281" s="390"/>
      <c r="Q281" s="390"/>
      <c r="R281" s="390"/>
      <c r="S281" s="390"/>
      <c r="T281" s="390"/>
      <c r="U281" s="390"/>
      <c r="V281" s="390"/>
      <c r="W281" s="390"/>
      <c r="X281" s="390"/>
      <c r="Y281" s="390"/>
    </row>
    <row r="282">
      <c r="A282" s="390" t="str">
        <f>IFERROR(__xludf.DUMMYFUNCTION("""COMPUTED_VALUE"""),"Mauricio de Arimathea Dias")</f>
        <v>Mauricio de Arimathea Dias</v>
      </c>
      <c r="B282" s="390" t="str">
        <f>IFERROR(__xludf.DUMMYFUNCTION("""COMPUTED_VALUE"""),"2° Licenciatura")</f>
        <v>2° Licenciatura</v>
      </c>
      <c r="C282" s="390" t="str">
        <f>IFERROR(__xludf.DUMMYFUNCTION("""COMPUTED_VALUE"""),"Pedagogia")</f>
        <v>Pedagogia</v>
      </c>
      <c r="D282" s="390" t="str">
        <f>IFERROR(__xludf.DUMMYFUNCTION("""COMPUTED_VALUE"""),"Entregue em 12/12/2024 - Kinbox e E-mail - Jade")</f>
        <v>Entregue em 12/12/2024 - Kinbox e E-mail - Jade</v>
      </c>
      <c r="E282" s="390"/>
      <c r="F282" s="390"/>
      <c r="G282" s="390"/>
      <c r="H282" s="390"/>
      <c r="I282" s="390"/>
      <c r="J282" s="390"/>
      <c r="K282" s="390"/>
      <c r="L282" s="390"/>
      <c r="M282" s="390"/>
      <c r="N282" s="390"/>
      <c r="O282" s="390"/>
      <c r="P282" s="390"/>
      <c r="Q282" s="390"/>
      <c r="R282" s="390"/>
      <c r="S282" s="390"/>
      <c r="T282" s="390"/>
      <c r="U282" s="390"/>
      <c r="V282" s="390"/>
      <c r="W282" s="390"/>
      <c r="X282" s="390"/>
      <c r="Y282" s="390"/>
    </row>
    <row r="283">
      <c r="A283" s="390" t="str">
        <f>IFERROR(__xludf.DUMMYFUNCTION("""COMPUTED_VALUE"""),"Priscila Lima da Silva")</f>
        <v>Priscila Lima da Silva</v>
      </c>
      <c r="B283" s="390" t="str">
        <f>IFERROR(__xludf.DUMMYFUNCTION("""COMPUTED_VALUE"""),"Form. Pedagógica")</f>
        <v>Form. Pedagógica</v>
      </c>
      <c r="C283" s="390" t="str">
        <f>IFERROR(__xludf.DUMMYFUNCTION("""COMPUTED_VALUE"""),"Pedagogia")</f>
        <v>Pedagogia</v>
      </c>
      <c r="D283" s="390" t="str">
        <f>IFERROR(__xludf.DUMMYFUNCTION("""COMPUTED_VALUE"""),"Entregue em 12/12/2024 - Kinbox e E-mail - Jade")</f>
        <v>Entregue em 12/12/2024 - Kinbox e E-mail - Jade</v>
      </c>
      <c r="E283" s="390"/>
      <c r="F283" s="390"/>
      <c r="G283" s="390"/>
      <c r="H283" s="390"/>
      <c r="I283" s="390"/>
      <c r="J283" s="390"/>
      <c r="K283" s="390"/>
      <c r="L283" s="390"/>
      <c r="M283" s="390"/>
      <c r="N283" s="390"/>
      <c r="O283" s="390"/>
      <c r="P283" s="390"/>
      <c r="Q283" s="390"/>
      <c r="R283" s="390"/>
      <c r="S283" s="390"/>
      <c r="T283" s="390"/>
      <c r="U283" s="390"/>
      <c r="V283" s="390"/>
      <c r="W283" s="390"/>
      <c r="X283" s="390"/>
      <c r="Y283" s="390"/>
    </row>
    <row r="284">
      <c r="A284" s="390" t="str">
        <f>IFERROR(__xludf.DUMMYFUNCTION("""COMPUTED_VALUE"""),"Camila de Paiva Leal")</f>
        <v>Camila de Paiva Leal</v>
      </c>
      <c r="B284" s="390" t="str">
        <f>IFERROR(__xludf.DUMMYFUNCTION("""COMPUTED_VALUE"""),"Form. Pedagógica")</f>
        <v>Form. Pedagógica</v>
      </c>
      <c r="C284" s="390" t="str">
        <f>IFERROR(__xludf.DUMMYFUNCTION("""COMPUTED_VALUE"""),"Pedagogia")</f>
        <v>Pedagogia</v>
      </c>
      <c r="D284" s="390" t="str">
        <f>IFERROR(__xludf.DUMMYFUNCTION("""COMPUTED_VALUE"""),"Entregue em 14/12/2024 - Kinbox e E-mail - Jade")</f>
        <v>Entregue em 14/12/2024 - Kinbox e E-mail - Jade</v>
      </c>
      <c r="E284" s="390"/>
      <c r="F284" s="390"/>
      <c r="G284" s="390"/>
      <c r="H284" s="390"/>
      <c r="I284" s="390"/>
      <c r="J284" s="390"/>
      <c r="K284" s="390"/>
      <c r="L284" s="390"/>
      <c r="M284" s="390"/>
      <c r="N284" s="390"/>
      <c r="O284" s="390"/>
      <c r="P284" s="390"/>
      <c r="Q284" s="390"/>
      <c r="R284" s="390"/>
      <c r="S284" s="390"/>
      <c r="T284" s="390"/>
      <c r="U284" s="390"/>
      <c r="V284" s="390"/>
      <c r="W284" s="390"/>
      <c r="X284" s="390"/>
      <c r="Y284" s="390"/>
    </row>
    <row r="285">
      <c r="A285" s="390" t="str">
        <f>IFERROR(__xludf.DUMMYFUNCTION("""COMPUTED_VALUE"""),"Paulo Henrique Martins da Silva")</f>
        <v>Paulo Henrique Martins da Silva</v>
      </c>
      <c r="B285" s="390" t="str">
        <f>IFERROR(__xludf.DUMMYFUNCTION("""COMPUTED_VALUE"""),"2° Licenciatura")</f>
        <v>2° Licenciatura</v>
      </c>
      <c r="C285" s="390" t="str">
        <f>IFERROR(__xludf.DUMMYFUNCTION("""COMPUTED_VALUE"""),"Letras - Português e Inglês")</f>
        <v>Letras - Português e Inglês</v>
      </c>
      <c r="D285" s="390" t="str">
        <f>IFERROR(__xludf.DUMMYFUNCTION("""COMPUTED_VALUE"""),"Entregue em 11/12/2024 - Kinbox e E-mail - Jade")</f>
        <v>Entregue em 11/12/2024 - Kinbox e E-mail - Jade</v>
      </c>
      <c r="E285" s="390"/>
      <c r="F285" s="390"/>
      <c r="G285" s="390"/>
      <c r="H285" s="390"/>
      <c r="I285" s="390"/>
      <c r="J285" s="390"/>
      <c r="K285" s="390"/>
      <c r="L285" s="390"/>
      <c r="M285" s="390"/>
      <c r="N285" s="390"/>
      <c r="O285" s="390"/>
      <c r="P285" s="390"/>
      <c r="Q285" s="390"/>
      <c r="R285" s="390"/>
      <c r="S285" s="390"/>
      <c r="T285" s="390"/>
      <c r="U285" s="390"/>
      <c r="V285" s="390"/>
      <c r="W285" s="390"/>
      <c r="X285" s="390"/>
      <c r="Y285" s="390"/>
    </row>
    <row r="286">
      <c r="A286" s="390" t="str">
        <f>IFERROR(__xludf.DUMMYFUNCTION("""COMPUTED_VALUE"""),"Elizabeth Cristina Sales Ferraz")</f>
        <v>Elizabeth Cristina Sales Ferraz</v>
      </c>
      <c r="B286" s="390" t="str">
        <f>IFERROR(__xludf.DUMMYFUNCTION("""COMPUTED_VALUE"""),"2° Licenciatura")</f>
        <v>2° Licenciatura</v>
      </c>
      <c r="C286" s="390" t="str">
        <f>IFERROR(__xludf.DUMMYFUNCTION("""COMPUTED_VALUE"""),"Letras Português - Inglês")</f>
        <v>Letras Português - Inglês</v>
      </c>
      <c r="D286" s="390" t="str">
        <f>IFERROR(__xludf.DUMMYFUNCTION("""COMPUTED_VALUE"""),"Entregue em 10/09/2024 - E-mail - Mariana")</f>
        <v>Entregue em 10/09/2024 - E-mail - Mariana</v>
      </c>
      <c r="E286" s="390"/>
      <c r="F286" s="390"/>
      <c r="G286" s="390"/>
      <c r="H286" s="390"/>
      <c r="I286" s="390"/>
      <c r="J286" s="390"/>
      <c r="K286" s="390"/>
      <c r="L286" s="390"/>
      <c r="M286" s="390"/>
      <c r="N286" s="390"/>
      <c r="O286" s="390"/>
      <c r="P286" s="390"/>
      <c r="Q286" s="390"/>
      <c r="R286" s="390"/>
      <c r="S286" s="390"/>
      <c r="T286" s="390"/>
      <c r="U286" s="390"/>
      <c r="V286" s="390"/>
      <c r="W286" s="390"/>
      <c r="X286" s="390"/>
      <c r="Y286" s="390"/>
    </row>
    <row r="287">
      <c r="A287" s="390" t="str">
        <f>IFERROR(__xludf.DUMMYFUNCTION("""COMPUTED_VALUE"""),"Carlos Eduardo Pires Batista")</f>
        <v>Carlos Eduardo Pires Batista</v>
      </c>
      <c r="B287" s="390" t="str">
        <f>IFERROR(__xludf.DUMMYFUNCTION("""COMPUTED_VALUE"""),"2° Licenciatura")</f>
        <v>2° Licenciatura</v>
      </c>
      <c r="C287" s="390" t="str">
        <f>IFERROR(__xludf.DUMMYFUNCTION("""COMPUTED_VALUE"""),"História")</f>
        <v>História</v>
      </c>
      <c r="D287" s="390" t="str">
        <f>IFERROR(__xludf.DUMMYFUNCTION("""COMPUTED_VALUE"""),"Entregue em 11/12/2024 - Kinbox e E-mail - Jade")</f>
        <v>Entregue em 11/12/2024 - Kinbox e E-mail - Jade</v>
      </c>
      <c r="E287" s="390"/>
      <c r="F287" s="390"/>
      <c r="G287" s="390"/>
      <c r="H287" s="390"/>
      <c r="I287" s="390"/>
      <c r="J287" s="390"/>
      <c r="K287" s="390"/>
      <c r="L287" s="390"/>
      <c r="M287" s="390"/>
      <c r="N287" s="390"/>
      <c r="O287" s="390"/>
      <c r="P287" s="390"/>
      <c r="Q287" s="390"/>
      <c r="R287" s="390"/>
      <c r="S287" s="390"/>
      <c r="T287" s="390"/>
      <c r="U287" s="390"/>
      <c r="V287" s="390"/>
      <c r="W287" s="390"/>
      <c r="X287" s="390"/>
      <c r="Y287" s="390"/>
    </row>
    <row r="288">
      <c r="A288" s="390" t="str">
        <f>IFERROR(__xludf.DUMMYFUNCTION("""COMPUTED_VALUE"""),"Cassiane Sepp")</f>
        <v>Cassiane Sepp</v>
      </c>
      <c r="B288" s="390" t="str">
        <f>IFERROR(__xludf.DUMMYFUNCTION("""COMPUTED_VALUE"""),"2° Licenciatura")</f>
        <v>2° Licenciatura</v>
      </c>
      <c r="C288" s="390" t="str">
        <f>IFERROR(__xludf.DUMMYFUNCTION("""COMPUTED_VALUE"""),"Geografia")</f>
        <v>Geografia</v>
      </c>
      <c r="D288" s="390" t="str">
        <f>IFERROR(__xludf.DUMMYFUNCTION("""COMPUTED_VALUE"""),"Entregue em 14/12/2024 - Kinbox e E-mail - Jade")</f>
        <v>Entregue em 14/12/2024 - Kinbox e E-mail - Jade</v>
      </c>
      <c r="E288" s="390"/>
      <c r="F288" s="390"/>
      <c r="G288" s="390"/>
      <c r="H288" s="390"/>
      <c r="I288" s="390"/>
      <c r="J288" s="390"/>
      <c r="K288" s="390"/>
      <c r="L288" s="390"/>
      <c r="M288" s="390"/>
      <c r="N288" s="390"/>
      <c r="O288" s="390"/>
      <c r="P288" s="390"/>
      <c r="Q288" s="390"/>
      <c r="R288" s="390"/>
      <c r="S288" s="390"/>
      <c r="T288" s="390"/>
      <c r="U288" s="390"/>
      <c r="V288" s="390"/>
      <c r="W288" s="390"/>
      <c r="X288" s="390"/>
      <c r="Y288" s="390"/>
    </row>
    <row r="289">
      <c r="A289" s="390" t="str">
        <f>IFERROR(__xludf.DUMMYFUNCTION("""COMPUTED_VALUE"""),"Douglas Damião Silva dos Santos (apressamento)")</f>
        <v>Douglas Damião Silva dos Santos (apressamento)</v>
      </c>
      <c r="B289" s="390" t="str">
        <f>IFERROR(__xludf.DUMMYFUNCTION("""COMPUTED_VALUE"""),"2° Licenciatura")</f>
        <v>2° Licenciatura</v>
      </c>
      <c r="C289" s="390" t="str">
        <f>IFERROR(__xludf.DUMMYFUNCTION("""COMPUTED_VALUE"""),"Pedagogia")</f>
        <v>Pedagogia</v>
      </c>
      <c r="D289" s="390" t="str">
        <f>IFERROR(__xludf.DUMMYFUNCTION("""COMPUTED_VALUE"""),"Entregue em 12/12/2024 - Kinbox e E-mail - Jade")</f>
        <v>Entregue em 12/12/2024 - Kinbox e E-mail - Jade</v>
      </c>
      <c r="E289" s="390"/>
      <c r="F289" s="390"/>
      <c r="G289" s="390"/>
      <c r="H289" s="390"/>
      <c r="I289" s="390"/>
      <c r="J289" s="390"/>
      <c r="K289" s="390"/>
      <c r="L289" s="390"/>
      <c r="M289" s="390"/>
      <c r="N289" s="390"/>
      <c r="O289" s="390"/>
      <c r="P289" s="390"/>
      <c r="Q289" s="390"/>
      <c r="R289" s="390"/>
      <c r="S289" s="390"/>
      <c r="T289" s="390"/>
      <c r="U289" s="390"/>
      <c r="V289" s="390"/>
      <c r="W289" s="390"/>
      <c r="X289" s="390"/>
      <c r="Y289" s="390"/>
    </row>
    <row r="290">
      <c r="A290" s="390" t="str">
        <f>IFERROR(__xludf.DUMMYFUNCTION("""COMPUTED_VALUE"""),"Rebeka Cavalcanti Silva Bezerra")</f>
        <v>Rebeka Cavalcanti Silva Bezerra</v>
      </c>
      <c r="B290" s="390" t="str">
        <f>IFERROR(__xludf.DUMMYFUNCTION("""COMPUTED_VALUE"""),"Form. Pedagógica")</f>
        <v>Form. Pedagógica</v>
      </c>
      <c r="C290" s="390" t="str">
        <f>IFERROR(__xludf.DUMMYFUNCTION("""COMPUTED_VALUE"""),"Pedagogia")</f>
        <v>Pedagogia</v>
      </c>
      <c r="D290" s="390" t="str">
        <f>IFERROR(__xludf.DUMMYFUNCTION("""COMPUTED_VALUE"""),"Entregue em 12/12/2024 - Kinbox e E-mail - Jade")</f>
        <v>Entregue em 12/12/2024 - Kinbox e E-mail - Jade</v>
      </c>
      <c r="E290" s="390"/>
      <c r="F290" s="390"/>
      <c r="G290" s="390"/>
      <c r="H290" s="390"/>
      <c r="I290" s="390"/>
      <c r="J290" s="390"/>
      <c r="K290" s="390"/>
      <c r="L290" s="390"/>
      <c r="M290" s="390"/>
      <c r="N290" s="390"/>
      <c r="O290" s="390"/>
      <c r="P290" s="390"/>
      <c r="Q290" s="390"/>
      <c r="R290" s="390"/>
      <c r="S290" s="390"/>
      <c r="T290" s="390"/>
      <c r="U290" s="390"/>
      <c r="V290" s="390"/>
      <c r="W290" s="390"/>
      <c r="X290" s="390"/>
      <c r="Y290" s="390"/>
    </row>
    <row r="291">
      <c r="A291" s="390" t="str">
        <f>IFERROR(__xludf.DUMMYFUNCTION("""COMPUTED_VALUE"""),"Marcly Colares Coelho de Sousa")</f>
        <v>Marcly Colares Coelho de Sousa</v>
      </c>
      <c r="B291" s="390" t="str">
        <f>IFERROR(__xludf.DUMMYFUNCTION("""COMPUTED_VALUE"""),"2° Licenciatura")</f>
        <v>2° Licenciatura</v>
      </c>
      <c r="C291" s="390" t="str">
        <f>IFERROR(__xludf.DUMMYFUNCTION("""COMPUTED_VALUE"""),"Artes Visuais")</f>
        <v>Artes Visuais</v>
      </c>
      <c r="D291" s="390" t="str">
        <f>IFERROR(__xludf.DUMMYFUNCTION("""COMPUTED_VALUE"""),"Entregue em 14/12/2024 - E-mail - Jade")</f>
        <v>Entregue em 14/12/2024 - E-mail - Jade</v>
      </c>
      <c r="E291" s="390"/>
      <c r="F291" s="390"/>
      <c r="G291" s="390"/>
      <c r="H291" s="390"/>
      <c r="I291" s="390"/>
      <c r="J291" s="390"/>
      <c r="K291" s="390"/>
      <c r="L291" s="390"/>
      <c r="M291" s="390"/>
      <c r="N291" s="390"/>
      <c r="O291" s="390"/>
      <c r="P291" s="390"/>
      <c r="Q291" s="390"/>
      <c r="R291" s="390"/>
      <c r="S291" s="390"/>
      <c r="T291" s="390"/>
      <c r="U291" s="390"/>
      <c r="V291" s="390"/>
      <c r="W291" s="390"/>
      <c r="X291" s="390"/>
      <c r="Y291" s="390"/>
    </row>
    <row r="292">
      <c r="A292" s="390" t="str">
        <f>IFERROR(__xludf.DUMMYFUNCTION("""COMPUTED_VALUE"""),"Olga Lopes")</f>
        <v>Olga Lopes</v>
      </c>
      <c r="B292" s="390" t="str">
        <f>IFERROR(__xludf.DUMMYFUNCTION("""COMPUTED_VALUE"""),"Form. Pedagógica")</f>
        <v>Form. Pedagógica</v>
      </c>
      <c r="C292" s="390" t="str">
        <f>IFERROR(__xludf.DUMMYFUNCTION("""COMPUTED_VALUE"""),"Pedagogia")</f>
        <v>Pedagogia</v>
      </c>
      <c r="D292" s="390" t="str">
        <f>IFERROR(__xludf.DUMMYFUNCTION("""COMPUTED_VALUE"""),"Entregue em 12/12/2024 - Kinbox e E-mail - Jade")</f>
        <v>Entregue em 12/12/2024 - Kinbox e E-mail - Jade</v>
      </c>
      <c r="E292" s="390"/>
      <c r="F292" s="390"/>
      <c r="G292" s="390"/>
      <c r="H292" s="390"/>
      <c r="I292" s="390"/>
      <c r="J292" s="390"/>
      <c r="K292" s="390"/>
      <c r="L292" s="390"/>
      <c r="M292" s="390"/>
      <c r="N292" s="390"/>
      <c r="O292" s="390"/>
      <c r="P292" s="390"/>
      <c r="Q292" s="390"/>
      <c r="R292" s="390"/>
      <c r="S292" s="390"/>
      <c r="T292" s="390"/>
      <c r="U292" s="390"/>
      <c r="V292" s="390"/>
      <c r="W292" s="390"/>
      <c r="X292" s="390"/>
      <c r="Y292" s="390"/>
    </row>
    <row r="293">
      <c r="A293" s="390" t="str">
        <f>IFERROR(__xludf.DUMMYFUNCTION("""COMPUTED_VALUE"""),"Fernanda Gonçalves Crispim Dinis")</f>
        <v>Fernanda Gonçalves Crispim Dinis</v>
      </c>
      <c r="B293" s="390" t="str">
        <f>IFERROR(__xludf.DUMMYFUNCTION("""COMPUTED_VALUE"""),"Form. Pedagógica")</f>
        <v>Form. Pedagógica</v>
      </c>
      <c r="C293" s="390" t="str">
        <f>IFERROR(__xludf.DUMMYFUNCTION("""COMPUTED_VALUE"""),"Pedagogia")</f>
        <v>Pedagogia</v>
      </c>
      <c r="D293" s="390" t="str">
        <f>IFERROR(__xludf.DUMMYFUNCTION("""COMPUTED_VALUE"""),"Entregue em 12/12/2024 - Kinbox e E-mail - Jade")</f>
        <v>Entregue em 12/12/2024 - Kinbox e E-mail - Jade</v>
      </c>
      <c r="E293" s="390"/>
      <c r="F293" s="390"/>
      <c r="G293" s="390"/>
      <c r="H293" s="390"/>
      <c r="I293" s="390"/>
      <c r="J293" s="390"/>
      <c r="K293" s="390"/>
      <c r="L293" s="390"/>
      <c r="M293" s="390"/>
      <c r="N293" s="390"/>
      <c r="O293" s="390"/>
      <c r="P293" s="390"/>
      <c r="Q293" s="390"/>
      <c r="R293" s="390"/>
      <c r="S293" s="390"/>
      <c r="T293" s="390"/>
      <c r="U293" s="390"/>
      <c r="V293" s="390"/>
      <c r="W293" s="390"/>
      <c r="X293" s="390"/>
      <c r="Y293" s="390"/>
    </row>
    <row r="294">
      <c r="A294" s="390" t="str">
        <f>IFERROR(__xludf.DUMMYFUNCTION("""COMPUTED_VALUE"""),"Juliana da Gama Gilio")</f>
        <v>Juliana da Gama Gilio</v>
      </c>
      <c r="B294" s="390" t="str">
        <f>IFERROR(__xludf.DUMMYFUNCTION("""COMPUTED_VALUE"""),"Form. Pedagógica")</f>
        <v>Form. Pedagógica</v>
      </c>
      <c r="C294" s="390" t="str">
        <f>IFERROR(__xludf.DUMMYFUNCTION("""COMPUTED_VALUE"""),"Artes Visuais")</f>
        <v>Artes Visuais</v>
      </c>
      <c r="D294" s="390" t="str">
        <f>IFERROR(__xludf.DUMMYFUNCTION("""COMPUTED_VALUE"""),"Entregue em 12/12/2024 - Kinbox e E-mail - Jade")</f>
        <v>Entregue em 12/12/2024 - Kinbox e E-mail - Jade</v>
      </c>
      <c r="E294" s="390"/>
      <c r="F294" s="390"/>
      <c r="G294" s="390"/>
      <c r="H294" s="390"/>
      <c r="I294" s="390"/>
      <c r="J294" s="390"/>
      <c r="K294" s="390"/>
      <c r="L294" s="390"/>
      <c r="M294" s="390"/>
      <c r="N294" s="390"/>
      <c r="O294" s="390"/>
      <c r="P294" s="390"/>
      <c r="Q294" s="390"/>
      <c r="R294" s="390"/>
      <c r="S294" s="390"/>
      <c r="T294" s="390"/>
      <c r="U294" s="390"/>
      <c r="V294" s="390"/>
      <c r="W294" s="390"/>
      <c r="X294" s="390"/>
      <c r="Y294" s="390"/>
    </row>
    <row r="295">
      <c r="A295" s="390" t="str">
        <f>IFERROR(__xludf.DUMMYFUNCTION("""COMPUTED_VALUE"""),"Maria das Vitórias Rodrigues da Silva")</f>
        <v>Maria das Vitórias Rodrigues da Silva</v>
      </c>
      <c r="B295" s="390" t="str">
        <f>IFERROR(__xludf.DUMMYFUNCTION("""COMPUTED_VALUE"""),"2° Licenciatura")</f>
        <v>2° Licenciatura</v>
      </c>
      <c r="C295" s="390" t="str">
        <f>IFERROR(__xludf.DUMMYFUNCTION("""COMPUTED_VALUE"""),"Pedagogia")</f>
        <v>Pedagogia</v>
      </c>
      <c r="D295" s="390" t="str">
        <f>IFERROR(__xludf.DUMMYFUNCTION("""COMPUTED_VALUE"""),"Entregue em 12/12/2024 - Kinbox e E-mail - Jade")</f>
        <v>Entregue em 12/12/2024 - Kinbox e E-mail - Jade</v>
      </c>
      <c r="E295" s="390"/>
      <c r="F295" s="390"/>
      <c r="G295" s="390"/>
      <c r="H295" s="390"/>
      <c r="I295" s="390"/>
      <c r="J295" s="390"/>
      <c r="K295" s="390"/>
      <c r="L295" s="390"/>
      <c r="M295" s="390"/>
      <c r="N295" s="390"/>
      <c r="O295" s="390"/>
      <c r="P295" s="390"/>
      <c r="Q295" s="390"/>
      <c r="R295" s="390"/>
      <c r="S295" s="390"/>
      <c r="T295" s="390"/>
      <c r="U295" s="390"/>
      <c r="V295" s="390"/>
      <c r="W295" s="390"/>
      <c r="X295" s="390"/>
      <c r="Y295" s="390"/>
    </row>
    <row r="296">
      <c r="A296" s="390" t="str">
        <f>IFERROR(__xludf.DUMMYFUNCTION("""COMPUTED_VALUE"""),"Luciana Aparecida Cassiano Reimberg de Siqueira")</f>
        <v>Luciana Aparecida Cassiano Reimberg de Siqueira</v>
      </c>
      <c r="B296" s="390" t="str">
        <f>IFERROR(__xludf.DUMMYFUNCTION("""COMPUTED_VALUE"""),"2° Licenciatura")</f>
        <v>2° Licenciatura</v>
      </c>
      <c r="C296" s="390" t="str">
        <f>IFERROR(__xludf.DUMMYFUNCTION("""COMPUTED_VALUE"""),"Letras Português - Inglês")</f>
        <v>Letras Português - Inglês</v>
      </c>
      <c r="D296" s="390" t="str">
        <f>IFERROR(__xludf.DUMMYFUNCTION("""COMPUTED_VALUE"""),"Entregue em 10/10/2024 - E-mail - Mariana")</f>
        <v>Entregue em 10/10/2024 - E-mail - Mariana</v>
      </c>
      <c r="E296" s="390"/>
      <c r="F296" s="390"/>
      <c r="G296" s="390"/>
      <c r="H296" s="390"/>
      <c r="I296" s="390"/>
      <c r="J296" s="390"/>
      <c r="K296" s="390"/>
      <c r="L296" s="390"/>
      <c r="M296" s="390"/>
      <c r="N296" s="390"/>
      <c r="O296" s="390"/>
      <c r="P296" s="390"/>
      <c r="Q296" s="390"/>
      <c r="R296" s="390"/>
      <c r="S296" s="390"/>
      <c r="T296" s="390"/>
      <c r="U296" s="390"/>
      <c r="V296" s="390"/>
      <c r="W296" s="390"/>
      <c r="X296" s="390"/>
      <c r="Y296" s="390"/>
    </row>
    <row r="297">
      <c r="A297" s="390" t="str">
        <f>IFERROR(__xludf.DUMMYFUNCTION("""COMPUTED_VALUE"""),"Ana Lúcia de Araújo Portes")</f>
        <v>Ana Lúcia de Araújo Portes</v>
      </c>
      <c r="B297" s="390" t="str">
        <f>IFERROR(__xludf.DUMMYFUNCTION("""COMPUTED_VALUE"""),"2° Licenciatura")</f>
        <v>2° Licenciatura</v>
      </c>
      <c r="C297" s="390" t="str">
        <f>IFERROR(__xludf.DUMMYFUNCTION("""COMPUTED_VALUE"""),"Pedagogia")</f>
        <v>Pedagogia</v>
      </c>
      <c r="D297" s="390" t="str">
        <f>IFERROR(__xludf.DUMMYFUNCTION("""COMPUTED_VALUE"""),"Entregue em 11/12/2024 - Kinbox e E-mail - Jade")</f>
        <v>Entregue em 11/12/2024 - Kinbox e E-mail - Jade</v>
      </c>
      <c r="E297" s="390"/>
      <c r="F297" s="390"/>
      <c r="G297" s="390"/>
      <c r="H297" s="390"/>
      <c r="I297" s="390"/>
      <c r="J297" s="390"/>
      <c r="K297" s="390"/>
      <c r="L297" s="390"/>
      <c r="M297" s="390"/>
      <c r="N297" s="390"/>
      <c r="O297" s="390"/>
      <c r="P297" s="390"/>
      <c r="Q297" s="390"/>
      <c r="R297" s="390"/>
      <c r="S297" s="390"/>
      <c r="T297" s="390"/>
      <c r="U297" s="390"/>
      <c r="V297" s="390"/>
      <c r="W297" s="390"/>
      <c r="X297" s="390"/>
      <c r="Y297" s="390"/>
    </row>
    <row r="298">
      <c r="A298" s="390" t="str">
        <f>IFERROR(__xludf.DUMMYFUNCTION("""COMPUTED_VALUE"""),"José Eduardo Silvério (apressamento)")</f>
        <v>José Eduardo Silvério (apressamento)</v>
      </c>
      <c r="B298" s="390" t="str">
        <f>IFERROR(__xludf.DUMMYFUNCTION("""COMPUTED_VALUE"""),"2° Licenciatura")</f>
        <v>2° Licenciatura</v>
      </c>
      <c r="C298" s="390" t="str">
        <f>IFERROR(__xludf.DUMMYFUNCTION("""COMPUTED_VALUE"""),"Português - Letras e Libras")</f>
        <v>Português - Letras e Libras</v>
      </c>
      <c r="D298" s="390" t="str">
        <f>IFERROR(__xludf.DUMMYFUNCTION("""COMPUTED_VALUE"""),"Entregue em 12/12/2024 - Kinbox e E-mail - Jade")</f>
        <v>Entregue em 12/12/2024 - Kinbox e E-mail - Jade</v>
      </c>
      <c r="E298" s="390"/>
      <c r="F298" s="390"/>
      <c r="G298" s="390"/>
      <c r="H298" s="390"/>
      <c r="I298" s="390"/>
      <c r="J298" s="390"/>
      <c r="K298" s="390"/>
      <c r="L298" s="390"/>
      <c r="M298" s="390"/>
      <c r="N298" s="390"/>
      <c r="O298" s="390"/>
      <c r="P298" s="390"/>
      <c r="Q298" s="390"/>
      <c r="R298" s="390"/>
      <c r="S298" s="390"/>
      <c r="T298" s="390"/>
      <c r="U298" s="390"/>
      <c r="V298" s="390"/>
      <c r="W298" s="390"/>
      <c r="X298" s="390"/>
      <c r="Y298" s="390"/>
    </row>
    <row r="299">
      <c r="A299" s="390" t="str">
        <f>IFERROR(__xludf.DUMMYFUNCTION("""COMPUTED_VALUE"""),"Carlos Roberto Santos Oliveira")</f>
        <v>Carlos Roberto Santos Oliveira</v>
      </c>
      <c r="B299" s="390" t="str">
        <f>IFERROR(__xludf.DUMMYFUNCTION("""COMPUTED_VALUE"""),"2° Licenciatura")</f>
        <v>2° Licenciatura</v>
      </c>
      <c r="C299" s="390" t="str">
        <f>IFERROR(__xludf.DUMMYFUNCTION("""COMPUTED_VALUE"""),"Ciências da Religião")</f>
        <v>Ciências da Religião</v>
      </c>
      <c r="D299" s="390" t="str">
        <f>IFERROR(__xludf.DUMMYFUNCTION("""COMPUTED_VALUE"""),"Entregue em 11/12/2024 - Kinbox e E-mail - Jade")</f>
        <v>Entregue em 11/12/2024 - Kinbox e E-mail - Jade</v>
      </c>
      <c r="E299" s="390"/>
      <c r="F299" s="390"/>
      <c r="G299" s="390"/>
      <c r="H299" s="390"/>
      <c r="I299" s="390"/>
      <c r="J299" s="390"/>
      <c r="K299" s="390"/>
      <c r="L299" s="390"/>
      <c r="M299" s="390"/>
      <c r="N299" s="390"/>
      <c r="O299" s="390"/>
      <c r="P299" s="390"/>
      <c r="Q299" s="390"/>
      <c r="R299" s="390"/>
      <c r="S299" s="390"/>
      <c r="T299" s="390"/>
      <c r="U299" s="390"/>
      <c r="V299" s="390"/>
      <c r="W299" s="390"/>
      <c r="X299" s="390"/>
      <c r="Y299" s="390"/>
    </row>
    <row r="300">
      <c r="A300" s="390" t="str">
        <f>IFERROR(__xludf.DUMMYFUNCTION("""COMPUTED_VALUE"""),"Roberto Mendes Teixeira")</f>
        <v>Roberto Mendes Teixeira</v>
      </c>
      <c r="B300" s="390" t="str">
        <f>IFERROR(__xludf.DUMMYFUNCTION("""COMPUTED_VALUE"""),"Form. Pedagógica")</f>
        <v>Form. Pedagógica</v>
      </c>
      <c r="C300" s="390" t="str">
        <f>IFERROR(__xludf.DUMMYFUNCTION("""COMPUTED_VALUE"""),"Educação Especial")</f>
        <v>Educação Especial</v>
      </c>
      <c r="D300" s="390" t="str">
        <f>IFERROR(__xludf.DUMMYFUNCTION("""COMPUTED_VALUE"""),"Entregue em 13/01/2025 - E-mail - Mariana")</f>
        <v>Entregue em 13/01/2025 - E-mail - Mariana</v>
      </c>
      <c r="E300" s="390"/>
      <c r="F300" s="390"/>
      <c r="G300" s="390"/>
      <c r="H300" s="390"/>
      <c r="I300" s="390"/>
      <c r="J300" s="390"/>
      <c r="K300" s="390"/>
      <c r="L300" s="390"/>
      <c r="M300" s="390"/>
      <c r="N300" s="390"/>
      <c r="O300" s="390"/>
      <c r="P300" s="390"/>
      <c r="Q300" s="390"/>
      <c r="R300" s="390"/>
      <c r="S300" s="390"/>
      <c r="T300" s="390"/>
      <c r="U300" s="390"/>
      <c r="V300" s="390"/>
      <c r="W300" s="390"/>
      <c r="X300" s="390"/>
      <c r="Y300" s="390"/>
    </row>
    <row r="301">
      <c r="A301" s="390" t="str">
        <f>IFERROR(__xludf.DUMMYFUNCTION("""COMPUTED_VALUE"""),"Roberta de Carvalho")</f>
        <v>Roberta de Carvalho</v>
      </c>
      <c r="B301" s="390" t="str">
        <f>IFERROR(__xludf.DUMMYFUNCTION("""COMPUTED_VALUE"""),"Form. Pedagógica")</f>
        <v>Form. Pedagógica</v>
      </c>
      <c r="C301" s="390" t="str">
        <f>IFERROR(__xludf.DUMMYFUNCTION("""COMPUTED_VALUE"""),"Pedagogia")</f>
        <v>Pedagogia</v>
      </c>
      <c r="D301" s="390" t="str">
        <f>IFERROR(__xludf.DUMMYFUNCTION("""COMPUTED_VALUE"""),"Entregue em 14/12/2024 - Kinbox e E-mail - Jade")</f>
        <v>Entregue em 14/12/2024 - Kinbox e E-mail - Jade</v>
      </c>
      <c r="E301" s="390"/>
      <c r="F301" s="390"/>
      <c r="G301" s="390"/>
      <c r="H301" s="390"/>
      <c r="I301" s="390"/>
      <c r="J301" s="390"/>
      <c r="K301" s="390"/>
      <c r="L301" s="390"/>
      <c r="M301" s="390"/>
      <c r="N301" s="390"/>
      <c r="O301" s="390"/>
      <c r="P301" s="390"/>
      <c r="Q301" s="390"/>
      <c r="R301" s="390"/>
      <c r="S301" s="390"/>
      <c r="T301" s="390"/>
      <c r="U301" s="390"/>
      <c r="V301" s="390"/>
      <c r="W301" s="390"/>
      <c r="X301" s="390"/>
      <c r="Y301" s="390"/>
    </row>
    <row r="302">
      <c r="A302" s="390" t="str">
        <f>IFERROR(__xludf.DUMMYFUNCTION("""COMPUTED_VALUE"""),"Clėcia Silva Neves")</f>
        <v>Clėcia Silva Neves</v>
      </c>
      <c r="B302" s="390" t="str">
        <f>IFERROR(__xludf.DUMMYFUNCTION("""COMPUTED_VALUE"""),"Form. Pedagógica")</f>
        <v>Form. Pedagógica</v>
      </c>
      <c r="C302" s="390" t="str">
        <f>IFERROR(__xludf.DUMMYFUNCTION("""COMPUTED_VALUE"""),"Pedagogia")</f>
        <v>Pedagogia</v>
      </c>
      <c r="D302" s="390" t="str">
        <f>IFERROR(__xludf.DUMMYFUNCTION("""COMPUTED_VALUE"""),"Entregue em 14/12/2024 - Kinbox e E-mail - Jade")</f>
        <v>Entregue em 14/12/2024 - Kinbox e E-mail - Jade</v>
      </c>
      <c r="E302" s="390"/>
      <c r="F302" s="390"/>
      <c r="G302" s="390"/>
      <c r="H302" s="390"/>
      <c r="I302" s="390"/>
      <c r="J302" s="390"/>
      <c r="K302" s="390"/>
      <c r="L302" s="390"/>
      <c r="M302" s="390"/>
      <c r="N302" s="390"/>
      <c r="O302" s="390"/>
      <c r="P302" s="390"/>
      <c r="Q302" s="390"/>
      <c r="R302" s="390"/>
      <c r="S302" s="390"/>
      <c r="T302" s="390"/>
      <c r="U302" s="390"/>
      <c r="V302" s="390"/>
      <c r="W302" s="390"/>
      <c r="X302" s="390"/>
      <c r="Y302" s="390"/>
    </row>
    <row r="303">
      <c r="A303" s="390" t="str">
        <f>IFERROR(__xludf.DUMMYFUNCTION("""COMPUTED_VALUE"""),"Cláudia Cristina Barrozo da Silva")</f>
        <v>Cláudia Cristina Barrozo da Silva</v>
      </c>
      <c r="B303" s="390" t="str">
        <f>IFERROR(__xludf.DUMMYFUNCTION("""COMPUTED_VALUE"""),"2° Licenciatura")</f>
        <v>2° Licenciatura</v>
      </c>
      <c r="C303" s="390" t="str">
        <f>IFERROR(__xludf.DUMMYFUNCTION("""COMPUTED_VALUE"""),"Pedagogia")</f>
        <v>Pedagogia</v>
      </c>
      <c r="D303" s="390" t="str">
        <f>IFERROR(__xludf.DUMMYFUNCTION("""COMPUTED_VALUE"""),"Entregue em 14/12/2024 - Kinbox e E-mail - Jade")</f>
        <v>Entregue em 14/12/2024 - Kinbox e E-mail - Jade</v>
      </c>
      <c r="E303" s="390"/>
      <c r="F303" s="390"/>
      <c r="G303" s="390"/>
      <c r="H303" s="390"/>
      <c r="I303" s="390"/>
      <c r="J303" s="390"/>
      <c r="K303" s="390"/>
      <c r="L303" s="390"/>
      <c r="M303" s="390"/>
      <c r="N303" s="390"/>
      <c r="O303" s="390"/>
      <c r="P303" s="390"/>
      <c r="Q303" s="390"/>
      <c r="R303" s="390"/>
      <c r="S303" s="390"/>
      <c r="T303" s="390"/>
      <c r="U303" s="390"/>
      <c r="V303" s="390"/>
      <c r="W303" s="390"/>
      <c r="X303" s="390"/>
      <c r="Y303" s="390"/>
    </row>
    <row r="304">
      <c r="A304" s="390" t="str">
        <f>IFERROR(__xludf.DUMMYFUNCTION("""COMPUTED_VALUE"""),"Mayara da Costa Campos")</f>
        <v>Mayara da Costa Campos</v>
      </c>
      <c r="B304" s="390" t="str">
        <f>IFERROR(__xludf.DUMMYFUNCTION("""COMPUTED_VALUE"""),"2° Licenciatura")</f>
        <v>2° Licenciatura</v>
      </c>
      <c r="C304" s="390" t="str">
        <f>IFERROR(__xludf.DUMMYFUNCTION("""COMPUTED_VALUE"""),"Matemática")</f>
        <v>Matemática</v>
      </c>
      <c r="D304" s="390" t="str">
        <f>IFERROR(__xludf.DUMMYFUNCTION("""COMPUTED_VALUE"""),"Entregue em 14/12/2024 - Kinbox e E-mail - Jade")</f>
        <v>Entregue em 14/12/2024 - Kinbox e E-mail - Jade</v>
      </c>
      <c r="E304" s="390"/>
      <c r="F304" s="390"/>
      <c r="G304" s="390"/>
      <c r="H304" s="390"/>
      <c r="I304" s="390"/>
      <c r="J304" s="390"/>
      <c r="K304" s="390"/>
      <c r="L304" s="390"/>
      <c r="M304" s="390"/>
      <c r="N304" s="390"/>
      <c r="O304" s="390"/>
      <c r="P304" s="390"/>
      <c r="Q304" s="390"/>
      <c r="R304" s="390"/>
      <c r="S304" s="390"/>
      <c r="T304" s="390"/>
      <c r="U304" s="390"/>
      <c r="V304" s="390"/>
      <c r="W304" s="390"/>
      <c r="X304" s="390"/>
      <c r="Y304" s="390"/>
    </row>
    <row r="305">
      <c r="A305" s="390" t="str">
        <f>IFERROR(__xludf.DUMMYFUNCTION("""COMPUTED_VALUE"""),"Jessica Kaelinne Maia de Melo Gusmão")</f>
        <v>Jessica Kaelinne Maia de Melo Gusmão</v>
      </c>
      <c r="B305" s="390" t="str">
        <f>IFERROR(__xludf.DUMMYFUNCTION("""COMPUTED_VALUE"""),"Form. Pedagógica")</f>
        <v>Form. Pedagógica</v>
      </c>
      <c r="C305" s="390" t="str">
        <f>IFERROR(__xludf.DUMMYFUNCTION("""COMPUTED_VALUE"""),"Geografia")</f>
        <v>Geografia</v>
      </c>
      <c r="D305" s="390" t="str">
        <f>IFERROR(__xludf.DUMMYFUNCTION("""COMPUTED_VALUE"""),"Entregue em 14/12/2024 - Kinbox e E-mail - Jade")</f>
        <v>Entregue em 14/12/2024 - Kinbox e E-mail - Jade</v>
      </c>
      <c r="E305" s="390"/>
      <c r="F305" s="390"/>
      <c r="G305" s="390"/>
      <c r="H305" s="390"/>
      <c r="I305" s="390"/>
      <c r="J305" s="390"/>
      <c r="K305" s="390"/>
      <c r="L305" s="390"/>
      <c r="M305" s="390"/>
      <c r="N305" s="390"/>
      <c r="O305" s="390"/>
      <c r="P305" s="390"/>
      <c r="Q305" s="390"/>
      <c r="R305" s="390"/>
      <c r="S305" s="390"/>
      <c r="T305" s="390"/>
      <c r="U305" s="390"/>
      <c r="V305" s="390"/>
      <c r="W305" s="390"/>
      <c r="X305" s="390"/>
      <c r="Y305" s="390"/>
    </row>
    <row r="306">
      <c r="A306" s="390" t="str">
        <f>IFERROR(__xludf.DUMMYFUNCTION("""COMPUTED_VALUE"""),"Claudete da Silva Moitinho")</f>
        <v>Claudete da Silva Moitinho</v>
      </c>
      <c r="B306" s="390" t="str">
        <f>IFERROR(__xludf.DUMMYFUNCTION("""COMPUTED_VALUE"""),"2° Licenciatura")</f>
        <v>2° Licenciatura</v>
      </c>
      <c r="C306" s="390" t="str">
        <f>IFERROR(__xludf.DUMMYFUNCTION("""COMPUTED_VALUE"""),"Letras - Português e Inglês")</f>
        <v>Letras - Português e Inglês</v>
      </c>
      <c r="D306" s="390" t="str">
        <f>IFERROR(__xludf.DUMMYFUNCTION("""COMPUTED_VALUE"""),"Entregue em 14/12/2024 - Kinbox e E-mail - Jade")</f>
        <v>Entregue em 14/12/2024 - Kinbox e E-mail - Jade</v>
      </c>
      <c r="E306" s="390"/>
      <c r="F306" s="390"/>
      <c r="G306" s="390"/>
      <c r="H306" s="390"/>
      <c r="I306" s="390"/>
      <c r="J306" s="390"/>
      <c r="K306" s="390"/>
      <c r="L306" s="390"/>
      <c r="M306" s="390"/>
      <c r="N306" s="390"/>
      <c r="O306" s="390"/>
      <c r="P306" s="390"/>
      <c r="Q306" s="390"/>
      <c r="R306" s="390"/>
      <c r="S306" s="390"/>
      <c r="T306" s="390"/>
      <c r="U306" s="390"/>
      <c r="V306" s="390"/>
      <c r="W306" s="390"/>
      <c r="X306" s="390"/>
      <c r="Y306" s="390"/>
    </row>
    <row r="307">
      <c r="A307" s="390" t="str">
        <f>IFERROR(__xludf.DUMMYFUNCTION("""COMPUTED_VALUE"""),"Glavanilson Soares da Silva")</f>
        <v>Glavanilson Soares da Silva</v>
      </c>
      <c r="B307" s="390" t="str">
        <f>IFERROR(__xludf.DUMMYFUNCTION("""COMPUTED_VALUE"""),"2° Licenciatura")</f>
        <v>2° Licenciatura</v>
      </c>
      <c r="C307" s="390" t="str">
        <f>IFERROR(__xludf.DUMMYFUNCTION("""COMPUTED_VALUE"""),"Pedagogia")</f>
        <v>Pedagogia</v>
      </c>
      <c r="D307" s="390" t="str">
        <f>IFERROR(__xludf.DUMMYFUNCTION("""COMPUTED_VALUE"""),"Entregue em 14/12/2024 - Kinbox e E-mail - Jade")</f>
        <v>Entregue em 14/12/2024 - Kinbox e E-mail - Jade</v>
      </c>
      <c r="E307" s="390"/>
      <c r="F307" s="390"/>
      <c r="G307" s="390"/>
      <c r="H307" s="390"/>
      <c r="I307" s="390"/>
      <c r="J307" s="390"/>
      <c r="K307" s="390"/>
      <c r="L307" s="390"/>
      <c r="M307" s="390"/>
      <c r="N307" s="390"/>
      <c r="O307" s="390"/>
      <c r="P307" s="390"/>
      <c r="Q307" s="390"/>
      <c r="R307" s="390"/>
      <c r="S307" s="390"/>
      <c r="T307" s="390"/>
      <c r="U307" s="390"/>
      <c r="V307" s="390"/>
      <c r="W307" s="390"/>
      <c r="X307" s="390"/>
      <c r="Y307" s="390"/>
    </row>
    <row r="308">
      <c r="A308" s="390" t="str">
        <f>IFERROR(__xludf.DUMMYFUNCTION("""COMPUTED_VALUE"""),"Gracielli Martins de Oliveira")</f>
        <v>Gracielli Martins de Oliveira</v>
      </c>
      <c r="B308" s="390" t="str">
        <f>IFERROR(__xludf.DUMMYFUNCTION("""COMPUTED_VALUE"""),"2° Licenciatura")</f>
        <v>2° Licenciatura</v>
      </c>
      <c r="C308" s="390" t="str">
        <f>IFERROR(__xludf.DUMMYFUNCTION("""COMPUTED_VALUE"""),"Artes Visuais")</f>
        <v>Artes Visuais</v>
      </c>
      <c r="D308" s="390" t="str">
        <f>IFERROR(__xludf.DUMMYFUNCTION("""COMPUTED_VALUE"""),"Entregue em 14/12/2024 - Kinbox e E-mail - Jade")</f>
        <v>Entregue em 14/12/2024 - Kinbox e E-mail - Jade</v>
      </c>
      <c r="E308" s="390"/>
      <c r="F308" s="390"/>
      <c r="G308" s="390"/>
      <c r="H308" s="390"/>
      <c r="I308" s="390"/>
      <c r="J308" s="390"/>
      <c r="K308" s="390"/>
      <c r="L308" s="390"/>
      <c r="M308" s="390"/>
      <c r="N308" s="390"/>
      <c r="O308" s="390"/>
      <c r="P308" s="390"/>
      <c r="Q308" s="390"/>
      <c r="R308" s="390"/>
      <c r="S308" s="390"/>
      <c r="T308" s="390"/>
      <c r="U308" s="390"/>
      <c r="V308" s="390"/>
      <c r="W308" s="390"/>
      <c r="X308" s="390"/>
      <c r="Y308" s="390"/>
    </row>
    <row r="309">
      <c r="A309" s="390" t="str">
        <f>IFERROR(__xludf.DUMMYFUNCTION("""COMPUTED_VALUE"""),"Rodrigo Maciel Capanema")</f>
        <v>Rodrigo Maciel Capanema</v>
      </c>
      <c r="B309" s="390" t="str">
        <f>IFERROR(__xludf.DUMMYFUNCTION("""COMPUTED_VALUE"""),"2° Licenciatura")</f>
        <v>2° Licenciatura</v>
      </c>
      <c r="C309" s="390" t="str">
        <f>IFERROR(__xludf.DUMMYFUNCTION("""COMPUTED_VALUE"""),"Pedagogia")</f>
        <v>Pedagogia</v>
      </c>
      <c r="D309" s="390" t="str">
        <f>IFERROR(__xludf.DUMMYFUNCTION("""COMPUTED_VALUE"""),"Entregue em 14/12/2024 - Kinbox e E-mail - Jade")</f>
        <v>Entregue em 14/12/2024 - Kinbox e E-mail - Jade</v>
      </c>
      <c r="E309" s="390"/>
      <c r="F309" s="390"/>
      <c r="G309" s="390"/>
      <c r="H309" s="390"/>
      <c r="I309" s="390"/>
      <c r="J309" s="390"/>
      <c r="K309" s="390"/>
      <c r="L309" s="390"/>
      <c r="M309" s="390"/>
      <c r="N309" s="390"/>
      <c r="O309" s="390"/>
      <c r="P309" s="390"/>
      <c r="Q309" s="390"/>
      <c r="R309" s="390"/>
      <c r="S309" s="390"/>
      <c r="T309" s="390"/>
      <c r="U309" s="390"/>
      <c r="V309" s="390"/>
      <c r="W309" s="390"/>
      <c r="X309" s="390"/>
      <c r="Y309" s="390"/>
    </row>
    <row r="310">
      <c r="A310" s="390" t="str">
        <f>IFERROR(__xludf.DUMMYFUNCTION("""COMPUTED_VALUE"""),"Armando Gomes Silva")</f>
        <v>Armando Gomes Silva</v>
      </c>
      <c r="B310" s="390" t="str">
        <f>IFERROR(__xludf.DUMMYFUNCTION("""COMPUTED_VALUE"""),"2° Licenciatura")</f>
        <v>2° Licenciatura</v>
      </c>
      <c r="C310" s="390" t="str">
        <f>IFERROR(__xludf.DUMMYFUNCTION("""COMPUTED_VALUE"""),"Letras - Português e Inglês")</f>
        <v>Letras - Português e Inglês</v>
      </c>
      <c r="D310" s="390" t="str">
        <f>IFERROR(__xludf.DUMMYFUNCTION("""COMPUTED_VALUE"""),"Entregue em 14/12/2024 - Kinbox e E-mail - Jade")</f>
        <v>Entregue em 14/12/2024 - Kinbox e E-mail - Jade</v>
      </c>
      <c r="E310" s="390"/>
      <c r="F310" s="390"/>
      <c r="G310" s="390"/>
      <c r="H310" s="390"/>
      <c r="I310" s="390"/>
      <c r="J310" s="390"/>
      <c r="K310" s="390"/>
      <c r="L310" s="390"/>
      <c r="M310" s="390"/>
      <c r="N310" s="390"/>
      <c r="O310" s="390"/>
      <c r="P310" s="390"/>
      <c r="Q310" s="390"/>
      <c r="R310" s="390"/>
      <c r="S310" s="390"/>
      <c r="T310" s="390"/>
      <c r="U310" s="390"/>
      <c r="V310" s="390"/>
      <c r="W310" s="390"/>
      <c r="X310" s="390"/>
      <c r="Y310" s="390"/>
    </row>
    <row r="311">
      <c r="A311" s="390" t="str">
        <f>IFERROR(__xludf.DUMMYFUNCTION("""COMPUTED_VALUE"""),"Anne Caroline Alves Ferreira")</f>
        <v>Anne Caroline Alves Ferreira</v>
      </c>
      <c r="B311" s="390" t="str">
        <f>IFERROR(__xludf.DUMMYFUNCTION("""COMPUTED_VALUE"""),"Form. Pedagógica")</f>
        <v>Form. Pedagógica</v>
      </c>
      <c r="C311" s="390" t="str">
        <f>IFERROR(__xludf.DUMMYFUNCTION("""COMPUTED_VALUE"""),"Pedagogia")</f>
        <v>Pedagogia</v>
      </c>
      <c r="D311" s="390" t="str">
        <f>IFERROR(__xludf.DUMMYFUNCTION("""COMPUTED_VALUE"""),"Entregue em 14/12/2024 - Kinbox e E-mail - Jade")</f>
        <v>Entregue em 14/12/2024 - Kinbox e E-mail - Jade</v>
      </c>
      <c r="E311" s="390"/>
      <c r="F311" s="390"/>
      <c r="G311" s="390"/>
      <c r="H311" s="390"/>
      <c r="I311" s="390"/>
      <c r="J311" s="390"/>
      <c r="K311" s="390"/>
      <c r="L311" s="390"/>
      <c r="M311" s="390"/>
      <c r="N311" s="390"/>
      <c r="O311" s="390"/>
      <c r="P311" s="390"/>
      <c r="Q311" s="390"/>
      <c r="R311" s="390"/>
      <c r="S311" s="390"/>
      <c r="T311" s="390"/>
      <c r="U311" s="390"/>
      <c r="V311" s="390"/>
      <c r="W311" s="390"/>
      <c r="X311" s="390"/>
      <c r="Y311" s="390"/>
    </row>
    <row r="312">
      <c r="A312" s="390" t="str">
        <f>IFERROR(__xludf.DUMMYFUNCTION("""COMPUTED_VALUE"""),"Carlos Soares da Costal")</f>
        <v>Carlos Soares da Costal</v>
      </c>
      <c r="B312" s="390" t="str">
        <f>IFERROR(__xludf.DUMMYFUNCTION("""COMPUTED_VALUE"""),"2° Licenciatura")</f>
        <v>2° Licenciatura</v>
      </c>
      <c r="C312" s="390" t="str">
        <f>IFERROR(__xludf.DUMMYFUNCTION("""COMPUTED_VALUE"""),"Geografia")</f>
        <v>Geografia</v>
      </c>
      <c r="D312" s="390" t="str">
        <f>IFERROR(__xludf.DUMMYFUNCTION("""COMPUTED_VALUE"""),"Entregue em 14/12/2024 - Kinbox e E-mail - Jade")</f>
        <v>Entregue em 14/12/2024 - Kinbox e E-mail - Jade</v>
      </c>
      <c r="E312" s="390"/>
      <c r="F312" s="390"/>
      <c r="G312" s="390"/>
      <c r="H312" s="390"/>
      <c r="I312" s="390"/>
      <c r="J312" s="390"/>
      <c r="K312" s="390"/>
      <c r="L312" s="390"/>
      <c r="M312" s="390"/>
      <c r="N312" s="390"/>
      <c r="O312" s="390"/>
      <c r="P312" s="390"/>
      <c r="Q312" s="390"/>
      <c r="R312" s="390"/>
      <c r="S312" s="390"/>
      <c r="T312" s="390"/>
      <c r="U312" s="390"/>
      <c r="V312" s="390"/>
      <c r="W312" s="390"/>
      <c r="X312" s="390"/>
      <c r="Y312" s="390"/>
    </row>
    <row r="313">
      <c r="A313" s="390" t="str">
        <f>IFERROR(__xludf.DUMMYFUNCTION("""COMPUTED_VALUE"""),"Manoel Gioncarlo e Silva")</f>
        <v>Manoel Gioncarlo e Silva</v>
      </c>
      <c r="B313" s="390" t="str">
        <f>IFERROR(__xludf.DUMMYFUNCTION("""COMPUTED_VALUE"""),"2° Licenciatura")</f>
        <v>2° Licenciatura</v>
      </c>
      <c r="C313" s="390" t="str">
        <f>IFERROR(__xludf.DUMMYFUNCTION("""COMPUTED_VALUE"""),"Pedagogia")</f>
        <v>Pedagogia</v>
      </c>
      <c r="D313" s="390" t="str">
        <f>IFERROR(__xludf.DUMMYFUNCTION("""COMPUTED_VALUE"""),"Entregue em 14/12/2024 - Kinbox e E-mail - Jade")</f>
        <v>Entregue em 14/12/2024 - Kinbox e E-mail - Jade</v>
      </c>
      <c r="E313" s="390"/>
      <c r="F313" s="390"/>
      <c r="G313" s="390"/>
      <c r="H313" s="390"/>
      <c r="I313" s="390"/>
      <c r="J313" s="390"/>
      <c r="K313" s="390"/>
      <c r="L313" s="390"/>
      <c r="M313" s="390"/>
      <c r="N313" s="390"/>
      <c r="O313" s="390"/>
      <c r="P313" s="390"/>
      <c r="Q313" s="390"/>
      <c r="R313" s="390"/>
      <c r="S313" s="390"/>
      <c r="T313" s="390"/>
      <c r="U313" s="390"/>
      <c r="V313" s="390"/>
      <c r="W313" s="390"/>
      <c r="X313" s="390"/>
      <c r="Y313" s="390"/>
    </row>
    <row r="314">
      <c r="A314" s="390" t="str">
        <f>IFERROR(__xludf.DUMMYFUNCTION("""COMPUTED_VALUE"""),"Alcione Maria Terra")</f>
        <v>Alcione Maria Terra</v>
      </c>
      <c r="B314" s="390" t="str">
        <f>IFERROR(__xludf.DUMMYFUNCTION("""COMPUTED_VALUE"""),"2° Licenciatura")</f>
        <v>2° Licenciatura</v>
      </c>
      <c r="C314" s="390" t="str">
        <f>IFERROR(__xludf.DUMMYFUNCTION("""COMPUTED_VALUE"""),"Educação Especial")</f>
        <v>Educação Especial</v>
      </c>
      <c r="D314" s="390" t="str">
        <f>IFERROR(__xludf.DUMMYFUNCTION("""COMPUTED_VALUE"""),"Entregue em 14/12/2024 - Kinbox e E-mail - Jade")</f>
        <v>Entregue em 14/12/2024 - Kinbox e E-mail - Jade</v>
      </c>
      <c r="E314" s="390"/>
      <c r="F314" s="390"/>
      <c r="G314" s="390"/>
      <c r="H314" s="390"/>
      <c r="I314" s="390"/>
      <c r="J314" s="390"/>
      <c r="K314" s="390"/>
      <c r="L314" s="390"/>
      <c r="M314" s="390"/>
      <c r="N314" s="390"/>
      <c r="O314" s="390"/>
      <c r="P314" s="390"/>
      <c r="Q314" s="390"/>
      <c r="R314" s="390"/>
      <c r="S314" s="390"/>
      <c r="T314" s="390"/>
      <c r="U314" s="390"/>
      <c r="V314" s="390"/>
      <c r="W314" s="390"/>
      <c r="X314" s="390"/>
      <c r="Y314" s="390"/>
    </row>
    <row r="315">
      <c r="A315" s="390" t="str">
        <f>IFERROR(__xludf.DUMMYFUNCTION("""COMPUTED_VALUE"""),"Wilson Alves Pacheco")</f>
        <v>Wilson Alves Pacheco</v>
      </c>
      <c r="B315" s="390" t="str">
        <f>IFERROR(__xludf.DUMMYFUNCTION("""COMPUTED_VALUE"""),"2° Licenciatura")</f>
        <v>2° Licenciatura</v>
      </c>
      <c r="C315" s="390" t="str">
        <f>IFERROR(__xludf.DUMMYFUNCTION("""COMPUTED_VALUE"""),"Artes Visuais")</f>
        <v>Artes Visuais</v>
      </c>
      <c r="D315" s="390" t="str">
        <f>IFERROR(__xludf.DUMMYFUNCTION("""COMPUTED_VALUE"""),"Entregue em 18/12/2024 - Kinbox e E-mail - Jade")</f>
        <v>Entregue em 18/12/2024 - Kinbox e E-mail - Jade</v>
      </c>
      <c r="E315" s="390"/>
      <c r="F315" s="390"/>
      <c r="G315" s="390"/>
      <c r="H315" s="390"/>
      <c r="I315" s="390"/>
      <c r="J315" s="390"/>
      <c r="K315" s="390"/>
      <c r="L315" s="390"/>
      <c r="M315" s="390"/>
      <c r="N315" s="390"/>
      <c r="O315" s="390"/>
      <c r="P315" s="390"/>
      <c r="Q315" s="390"/>
      <c r="R315" s="390"/>
      <c r="S315" s="390"/>
      <c r="T315" s="390"/>
      <c r="U315" s="390"/>
      <c r="V315" s="390"/>
      <c r="W315" s="390"/>
      <c r="X315" s="390"/>
      <c r="Y315" s="390"/>
    </row>
    <row r="316">
      <c r="A316" s="390" t="str">
        <f>IFERROR(__xludf.DUMMYFUNCTION("""COMPUTED_VALUE"""),"Márcio Antônio de Paula")</f>
        <v>Márcio Antônio de Paula</v>
      </c>
      <c r="B316" s="390" t="str">
        <f>IFERROR(__xludf.DUMMYFUNCTION("""COMPUTED_VALUE"""),"Form. Pedagógica")</f>
        <v>Form. Pedagógica</v>
      </c>
      <c r="C316" s="390" t="str">
        <f>IFERROR(__xludf.DUMMYFUNCTION("""COMPUTED_VALUE"""),"História")</f>
        <v>História</v>
      </c>
      <c r="D316" s="390" t="str">
        <f>IFERROR(__xludf.DUMMYFUNCTION("""COMPUTED_VALUE"""),"Entregue em 14/12/2024 - Kinbox e E-mail - Jade")</f>
        <v>Entregue em 14/12/2024 - Kinbox e E-mail - Jade</v>
      </c>
      <c r="E316" s="390"/>
      <c r="F316" s="390"/>
      <c r="G316" s="390"/>
      <c r="H316" s="390"/>
      <c r="I316" s="390"/>
      <c r="J316" s="390"/>
      <c r="K316" s="390"/>
      <c r="L316" s="390"/>
      <c r="M316" s="390"/>
      <c r="N316" s="390"/>
      <c r="O316" s="390"/>
      <c r="P316" s="390"/>
      <c r="Q316" s="390"/>
      <c r="R316" s="390"/>
      <c r="S316" s="390"/>
      <c r="T316" s="390"/>
      <c r="U316" s="390"/>
      <c r="V316" s="390"/>
      <c r="W316" s="390"/>
      <c r="X316" s="390"/>
      <c r="Y316" s="390"/>
    </row>
    <row r="317">
      <c r="A317" s="390" t="str">
        <f>IFERROR(__xludf.DUMMYFUNCTION("""COMPUTED_VALUE"""),"Letícia Rodrigues de Souza")</f>
        <v>Letícia Rodrigues de Souza</v>
      </c>
      <c r="B317" s="390" t="str">
        <f>IFERROR(__xludf.DUMMYFUNCTION("""COMPUTED_VALUE"""),"2° Licenciatura")</f>
        <v>2° Licenciatura</v>
      </c>
      <c r="C317" s="390" t="str">
        <f>IFERROR(__xludf.DUMMYFUNCTION("""COMPUTED_VALUE"""),"Letras - Português e Espanhol")</f>
        <v>Letras - Português e Espanhol</v>
      </c>
      <c r="D317" s="390" t="str">
        <f>IFERROR(__xludf.DUMMYFUNCTION("""COMPUTED_VALUE"""),"Entregue em 14/12/2024 - Kinbox e E-mail - Jade")</f>
        <v>Entregue em 14/12/2024 - Kinbox e E-mail - Jade</v>
      </c>
      <c r="E317" s="390"/>
      <c r="F317" s="390"/>
      <c r="G317" s="390"/>
      <c r="H317" s="390"/>
      <c r="I317" s="390"/>
      <c r="J317" s="390"/>
      <c r="K317" s="390"/>
      <c r="L317" s="390"/>
      <c r="M317" s="390"/>
      <c r="N317" s="390"/>
      <c r="O317" s="390"/>
      <c r="P317" s="390"/>
      <c r="Q317" s="390"/>
      <c r="R317" s="390"/>
      <c r="S317" s="390"/>
      <c r="T317" s="390"/>
      <c r="U317" s="390"/>
      <c r="V317" s="390"/>
      <c r="W317" s="390"/>
      <c r="X317" s="390"/>
      <c r="Y317" s="390"/>
    </row>
    <row r="318">
      <c r="A318" s="390" t="str">
        <f>IFERROR(__xludf.DUMMYFUNCTION("""COMPUTED_VALUE"""),"Ana Paula Massarelli Ianello")</f>
        <v>Ana Paula Massarelli Ianello</v>
      </c>
      <c r="B318" s="390" t="str">
        <f>IFERROR(__xludf.DUMMYFUNCTION("""COMPUTED_VALUE"""),"Form. Pedagógica")</f>
        <v>Form. Pedagógica</v>
      </c>
      <c r="C318" s="390" t="str">
        <f>IFERROR(__xludf.DUMMYFUNCTION("""COMPUTED_VALUE"""),"Pedagogia")</f>
        <v>Pedagogia</v>
      </c>
      <c r="D318" s="390" t="str">
        <f>IFERROR(__xludf.DUMMYFUNCTION("""COMPUTED_VALUE"""),"Entregue em 13/01/2025 - E-mail - Mariana")</f>
        <v>Entregue em 13/01/2025 - E-mail - Mariana</v>
      </c>
      <c r="E318" s="390"/>
      <c r="F318" s="390"/>
      <c r="G318" s="390"/>
      <c r="H318" s="390"/>
      <c r="I318" s="390"/>
      <c r="J318" s="390"/>
      <c r="K318" s="390"/>
      <c r="L318" s="390"/>
      <c r="M318" s="390"/>
      <c r="N318" s="390"/>
      <c r="O318" s="390"/>
      <c r="P318" s="390"/>
      <c r="Q318" s="390"/>
      <c r="R318" s="390"/>
      <c r="S318" s="390"/>
      <c r="T318" s="390"/>
      <c r="U318" s="390"/>
      <c r="V318" s="390"/>
      <c r="W318" s="390"/>
      <c r="X318" s="390"/>
      <c r="Y318" s="390"/>
    </row>
    <row r="319">
      <c r="A319" s="390" t="str">
        <f>IFERROR(__xludf.DUMMYFUNCTION("""COMPUTED_VALUE"""),"Renata Cavalcante Lima")</f>
        <v>Renata Cavalcante Lima</v>
      </c>
      <c r="B319" s="390" t="str">
        <f>IFERROR(__xludf.DUMMYFUNCTION("""COMPUTED_VALUE"""),"Form. Pedagógica")</f>
        <v>Form. Pedagógica</v>
      </c>
      <c r="C319" s="390" t="str">
        <f>IFERROR(__xludf.DUMMYFUNCTION("""COMPUTED_VALUE"""),"Pedagogia")</f>
        <v>Pedagogia</v>
      </c>
      <c r="D319" s="390" t="str">
        <f>IFERROR(__xludf.DUMMYFUNCTION("""COMPUTED_VALUE"""),"Entregue em 13/01/2025 - E-mail - Mariana")</f>
        <v>Entregue em 13/01/2025 - E-mail - Mariana</v>
      </c>
      <c r="E319" s="390"/>
      <c r="F319" s="390"/>
      <c r="G319" s="390"/>
      <c r="H319" s="390"/>
      <c r="I319" s="390"/>
      <c r="J319" s="390"/>
      <c r="K319" s="390"/>
      <c r="L319" s="390"/>
      <c r="M319" s="390"/>
      <c r="N319" s="390"/>
      <c r="O319" s="390"/>
      <c r="P319" s="390"/>
      <c r="Q319" s="390"/>
      <c r="R319" s="390"/>
      <c r="S319" s="390"/>
      <c r="T319" s="390"/>
      <c r="U319" s="390"/>
      <c r="V319" s="390"/>
      <c r="W319" s="390"/>
      <c r="X319" s="390"/>
      <c r="Y319" s="390"/>
    </row>
    <row r="320">
      <c r="A320" s="390" t="str">
        <f>IFERROR(__xludf.DUMMYFUNCTION("""COMPUTED_VALUE"""),"Luciana Schmidt")</f>
        <v>Luciana Schmidt</v>
      </c>
      <c r="B320" s="390" t="str">
        <f>IFERROR(__xludf.DUMMYFUNCTION("""COMPUTED_VALUE"""),"Form. Pedagógica")</f>
        <v>Form. Pedagógica</v>
      </c>
      <c r="C320" s="390" t="str">
        <f>IFERROR(__xludf.DUMMYFUNCTION("""COMPUTED_VALUE"""),"Letras - Português e Inglês")</f>
        <v>Letras - Português e Inglês</v>
      </c>
      <c r="D320" s="390" t="str">
        <f>IFERROR(__xludf.DUMMYFUNCTION("""COMPUTED_VALUE"""),"Entregue em 117/12/2025 - E-mail - Mariana")</f>
        <v>Entregue em 117/12/2025 - E-mail - Mariana</v>
      </c>
      <c r="E320" s="390"/>
      <c r="F320" s="390"/>
      <c r="G320" s="390"/>
      <c r="H320" s="390"/>
      <c r="I320" s="390"/>
      <c r="J320" s="390"/>
      <c r="K320" s="390"/>
      <c r="L320" s="390"/>
      <c r="M320" s="390"/>
      <c r="N320" s="390"/>
      <c r="O320" s="390"/>
      <c r="P320" s="390"/>
      <c r="Q320" s="390"/>
      <c r="R320" s="390"/>
      <c r="S320" s="390"/>
      <c r="T320" s="390"/>
      <c r="U320" s="390"/>
      <c r="V320" s="390"/>
      <c r="W320" s="390"/>
      <c r="X320" s="390"/>
      <c r="Y320" s="390"/>
    </row>
    <row r="321">
      <c r="A321" s="390" t="str">
        <f>IFERROR(__xludf.DUMMYFUNCTION("""COMPUTED_VALUE"""),"Andrevna Faiad Vaz de Oliveira")</f>
        <v>Andrevna Faiad Vaz de Oliveira</v>
      </c>
      <c r="B321" s="390" t="str">
        <f>IFERROR(__xludf.DUMMYFUNCTION("""COMPUTED_VALUE"""),"2° Licenciatura")</f>
        <v>2° Licenciatura</v>
      </c>
      <c r="C321" s="390" t="str">
        <f>IFERROR(__xludf.DUMMYFUNCTION("""COMPUTED_VALUE"""),"Pedagogia")</f>
        <v>Pedagogia</v>
      </c>
      <c r="D321" s="390" t="str">
        <f>IFERROR(__xludf.DUMMYFUNCTION("""COMPUTED_VALUE"""),"Entregue em 13/01/2025 - E-mail - Mariana")</f>
        <v>Entregue em 13/01/2025 - E-mail - Mariana</v>
      </c>
      <c r="E321" s="390"/>
      <c r="F321" s="390"/>
      <c r="G321" s="390"/>
      <c r="H321" s="390"/>
      <c r="I321" s="390"/>
      <c r="J321" s="390"/>
      <c r="K321" s="390"/>
      <c r="L321" s="390"/>
      <c r="M321" s="390"/>
      <c r="N321" s="390"/>
      <c r="O321" s="390"/>
      <c r="P321" s="390"/>
      <c r="Q321" s="390"/>
      <c r="R321" s="390"/>
      <c r="S321" s="390"/>
      <c r="T321" s="390"/>
      <c r="U321" s="390"/>
      <c r="V321" s="390"/>
      <c r="W321" s="390"/>
      <c r="X321" s="390"/>
      <c r="Y321" s="390"/>
    </row>
    <row r="322">
      <c r="A322" s="390" t="str">
        <f>IFERROR(__xludf.DUMMYFUNCTION("""COMPUTED_VALUE"""),"Danyela Dreissig")</f>
        <v>Danyela Dreissig</v>
      </c>
      <c r="B322" s="390" t="str">
        <f>IFERROR(__xludf.DUMMYFUNCTION("""COMPUTED_VALUE"""),"2° Licenciatura")</f>
        <v>2° Licenciatura</v>
      </c>
      <c r="C322" s="390" t="str">
        <f>IFERROR(__xludf.DUMMYFUNCTION("""COMPUTED_VALUE"""),"Pedagogia")</f>
        <v>Pedagogia</v>
      </c>
      <c r="D322" s="390" t="str">
        <f>IFERROR(__xludf.DUMMYFUNCTION("""COMPUTED_VALUE"""),"Entregue em 13/01/2025 - E-mail - Mariana")</f>
        <v>Entregue em 13/01/2025 - E-mail - Mariana</v>
      </c>
      <c r="E322" s="390"/>
      <c r="F322" s="390"/>
      <c r="G322" s="390"/>
      <c r="H322" s="390"/>
      <c r="I322" s="390"/>
      <c r="J322" s="390"/>
      <c r="K322" s="390"/>
      <c r="L322" s="390"/>
      <c r="M322" s="390"/>
      <c r="N322" s="390"/>
      <c r="O322" s="390"/>
      <c r="P322" s="390"/>
      <c r="Q322" s="390"/>
      <c r="R322" s="390"/>
      <c r="S322" s="390"/>
      <c r="T322" s="390"/>
      <c r="U322" s="390"/>
      <c r="V322" s="390"/>
      <c r="W322" s="390"/>
      <c r="X322" s="390"/>
      <c r="Y322" s="390"/>
    </row>
    <row r="323">
      <c r="A323" s="390" t="str">
        <f>IFERROR(__xludf.DUMMYFUNCTION("""COMPUTED_VALUE"""),"Adriane Fagundes Silveira Alves")</f>
        <v>Adriane Fagundes Silveira Alves</v>
      </c>
      <c r="B323" s="390" t="str">
        <f>IFERROR(__xludf.DUMMYFUNCTION("""COMPUTED_VALUE"""),"2° Licenciatura")</f>
        <v>2° Licenciatura</v>
      </c>
      <c r="C323" s="390" t="str">
        <f>IFERROR(__xludf.DUMMYFUNCTION("""COMPUTED_VALUE"""),"Educação Especial")</f>
        <v>Educação Especial</v>
      </c>
      <c r="D323" s="390" t="str">
        <f>IFERROR(__xludf.DUMMYFUNCTION("""COMPUTED_VALUE"""),"Entregue em 13/01/2025 - E-mail - Mariana")</f>
        <v>Entregue em 13/01/2025 - E-mail - Mariana</v>
      </c>
      <c r="E323" s="390"/>
      <c r="F323" s="390"/>
      <c r="G323" s="390"/>
      <c r="H323" s="390"/>
      <c r="I323" s="390"/>
      <c r="J323" s="390"/>
      <c r="K323" s="390"/>
      <c r="L323" s="390"/>
      <c r="M323" s="390"/>
      <c r="N323" s="390"/>
      <c r="O323" s="390"/>
      <c r="P323" s="390"/>
      <c r="Q323" s="390"/>
      <c r="R323" s="390"/>
      <c r="S323" s="390"/>
      <c r="T323" s="390"/>
      <c r="U323" s="390"/>
      <c r="V323" s="390"/>
      <c r="W323" s="390"/>
      <c r="X323" s="390"/>
      <c r="Y323" s="390"/>
    </row>
    <row r="324">
      <c r="A324" s="390" t="str">
        <f>IFERROR(__xludf.DUMMYFUNCTION("""COMPUTED_VALUE"""),"Adriani Beatris Rohleder Szinwelski")</f>
        <v>Adriani Beatris Rohleder Szinwelski</v>
      </c>
      <c r="B324" s="390" t="str">
        <f>IFERROR(__xludf.DUMMYFUNCTION("""COMPUTED_VALUE"""),"2° Licenciatura")</f>
        <v>2° Licenciatura</v>
      </c>
      <c r="C324" s="390" t="str">
        <f>IFERROR(__xludf.DUMMYFUNCTION("""COMPUTED_VALUE"""),"Letras - Português e Inglês")</f>
        <v>Letras - Português e Inglês</v>
      </c>
      <c r="D324" s="390" t="str">
        <f>IFERROR(__xludf.DUMMYFUNCTION("""COMPUTED_VALUE"""),"Entregue em 05/02/2025 - E-mail e Kinbox - Mariana")</f>
        <v>Entregue em 05/02/2025 - E-mail e Kinbox - Mariana</v>
      </c>
      <c r="E324" s="390"/>
      <c r="F324" s="390"/>
      <c r="G324" s="390"/>
      <c r="H324" s="390"/>
      <c r="I324" s="390"/>
      <c r="J324" s="390"/>
      <c r="K324" s="390"/>
      <c r="L324" s="390"/>
      <c r="M324" s="390"/>
      <c r="N324" s="390"/>
      <c r="O324" s="390"/>
      <c r="P324" s="390"/>
      <c r="Q324" s="390"/>
      <c r="R324" s="390"/>
      <c r="S324" s="390"/>
      <c r="T324" s="390"/>
      <c r="U324" s="390"/>
      <c r="V324" s="390"/>
      <c r="W324" s="390"/>
      <c r="X324" s="390"/>
      <c r="Y324" s="390"/>
    </row>
    <row r="325">
      <c r="A325" s="390" t="str">
        <f>IFERROR(__xludf.DUMMYFUNCTION("""COMPUTED_VALUE"""),"Helena de Oliveira Andrade")</f>
        <v>Helena de Oliveira Andrade</v>
      </c>
      <c r="B325" s="390" t="str">
        <f>IFERROR(__xludf.DUMMYFUNCTION("""COMPUTED_VALUE"""),"2° Licenciatura")</f>
        <v>2° Licenciatura</v>
      </c>
      <c r="C325" s="390" t="str">
        <f>IFERROR(__xludf.DUMMYFUNCTION("""COMPUTED_VALUE"""),"Pedagogia")</f>
        <v>Pedagogia</v>
      </c>
      <c r="D325" s="390" t="str">
        <f>IFERROR(__xludf.DUMMYFUNCTION("""COMPUTED_VALUE"""),"Entregue em 05/02/2025 - E-mail e Kinbox - Mariana")</f>
        <v>Entregue em 05/02/2025 - E-mail e Kinbox - Mariana</v>
      </c>
      <c r="E325" s="390"/>
      <c r="F325" s="390"/>
      <c r="G325" s="390"/>
      <c r="H325" s="390"/>
      <c r="I325" s="390"/>
      <c r="J325" s="390"/>
      <c r="K325" s="390"/>
      <c r="L325" s="390"/>
      <c r="M325" s="390"/>
      <c r="N325" s="390"/>
      <c r="O325" s="390"/>
      <c r="P325" s="390"/>
      <c r="Q325" s="390"/>
      <c r="R325" s="390"/>
      <c r="S325" s="390"/>
      <c r="T325" s="390"/>
      <c r="U325" s="390"/>
      <c r="V325" s="390"/>
      <c r="W325" s="390"/>
      <c r="X325" s="390"/>
      <c r="Y325" s="390"/>
    </row>
    <row r="326">
      <c r="A326" s="390" t="str">
        <f>IFERROR(__xludf.DUMMYFUNCTION("""COMPUTED_VALUE"""),"José Paulo Lopes")</f>
        <v>José Paulo Lopes</v>
      </c>
      <c r="B326" s="390" t="str">
        <f>IFERROR(__xludf.DUMMYFUNCTION("""COMPUTED_VALUE"""),"2° Licenciatura")</f>
        <v>2° Licenciatura</v>
      </c>
      <c r="C326" s="390" t="str">
        <f>IFERROR(__xludf.DUMMYFUNCTION("""COMPUTED_VALUE"""),"Pedagogia")</f>
        <v>Pedagogia</v>
      </c>
      <c r="D326" s="390" t="str">
        <f>IFERROR(__xludf.DUMMYFUNCTION("""COMPUTED_VALUE"""),"Entregue em 05/02/2025 - E-mail e Kinbox - Mariana")</f>
        <v>Entregue em 05/02/2025 - E-mail e Kinbox - Mariana</v>
      </c>
      <c r="E326" s="390"/>
      <c r="F326" s="390"/>
      <c r="G326" s="390"/>
      <c r="H326" s="390"/>
      <c r="I326" s="390"/>
      <c r="J326" s="390"/>
      <c r="K326" s="390"/>
      <c r="L326" s="390"/>
      <c r="M326" s="390"/>
      <c r="N326" s="390"/>
      <c r="O326" s="390"/>
      <c r="P326" s="390"/>
      <c r="Q326" s="390"/>
      <c r="R326" s="390"/>
      <c r="S326" s="390"/>
      <c r="T326" s="390"/>
      <c r="U326" s="390"/>
      <c r="V326" s="390"/>
      <c r="W326" s="390"/>
      <c r="X326" s="390"/>
      <c r="Y326" s="390"/>
    </row>
    <row r="327">
      <c r="A327" s="390" t="str">
        <f>IFERROR(__xludf.DUMMYFUNCTION("""COMPUTED_VALUE"""),"Paulo Cesar Pereira Gomes")</f>
        <v>Paulo Cesar Pereira Gomes</v>
      </c>
      <c r="B327" s="390" t="str">
        <f>IFERROR(__xludf.DUMMYFUNCTION("""COMPUTED_VALUE"""),"2° Licenciatura")</f>
        <v>2° Licenciatura</v>
      </c>
      <c r="C327" s="390" t="str">
        <f>IFERROR(__xludf.DUMMYFUNCTION("""COMPUTED_VALUE"""),"Educação Fisica")</f>
        <v>Educação Fisica</v>
      </c>
      <c r="D327" s="390" t="str">
        <f>IFERROR(__xludf.DUMMYFUNCTION("""COMPUTED_VALUE"""),"Entregue em 13/01/2025 - E-mail - Mariana")</f>
        <v>Entregue em 13/01/2025 - E-mail - Mariana</v>
      </c>
      <c r="E327" s="390"/>
      <c r="F327" s="390"/>
      <c r="G327" s="390"/>
      <c r="H327" s="390"/>
      <c r="I327" s="390"/>
      <c r="J327" s="390"/>
      <c r="K327" s="390"/>
      <c r="L327" s="390"/>
      <c r="M327" s="390"/>
      <c r="N327" s="390"/>
      <c r="O327" s="390"/>
      <c r="P327" s="390"/>
      <c r="Q327" s="390"/>
      <c r="R327" s="390"/>
      <c r="S327" s="390"/>
      <c r="T327" s="390"/>
      <c r="U327" s="390"/>
      <c r="V327" s="390"/>
      <c r="W327" s="390"/>
      <c r="X327" s="390"/>
      <c r="Y327" s="390"/>
    </row>
    <row r="328">
      <c r="A328" s="390" t="str">
        <f>IFERROR(__xludf.DUMMYFUNCTION("""COMPUTED_VALUE"""),"Isabel Cristina Ferreira")</f>
        <v>Isabel Cristina Ferreira</v>
      </c>
      <c r="B328" s="390" t="str">
        <f>IFERROR(__xludf.DUMMYFUNCTION("""COMPUTED_VALUE"""),"2° Licenciatura")</f>
        <v>2° Licenciatura</v>
      </c>
      <c r="C328" s="390" t="str">
        <f>IFERROR(__xludf.DUMMYFUNCTION("""COMPUTED_VALUE"""),"Artes Visuais ")</f>
        <v>Artes Visuais </v>
      </c>
      <c r="D328" s="390" t="str">
        <f>IFERROR(__xludf.DUMMYFUNCTION("""COMPUTED_VALUE"""),"Entregue em 05/02/2025 - E-mail e Kinbox - Mariana")</f>
        <v>Entregue em 05/02/2025 - E-mail e Kinbox - Mariana</v>
      </c>
      <c r="E328" s="390"/>
      <c r="F328" s="390"/>
      <c r="G328" s="390"/>
      <c r="H328" s="390"/>
      <c r="I328" s="390"/>
      <c r="J328" s="390"/>
      <c r="K328" s="390"/>
      <c r="L328" s="390"/>
      <c r="M328" s="390"/>
      <c r="N328" s="390"/>
      <c r="O328" s="390"/>
      <c r="P328" s="390"/>
      <c r="Q328" s="390"/>
      <c r="R328" s="390"/>
      <c r="S328" s="390"/>
      <c r="T328" s="390"/>
      <c r="U328" s="390"/>
      <c r="V328" s="390"/>
      <c r="W328" s="390"/>
      <c r="X328" s="390"/>
      <c r="Y328" s="390"/>
    </row>
    <row r="329">
      <c r="A329" s="390" t="str">
        <f>IFERROR(__xludf.DUMMYFUNCTION("""COMPUTED_VALUE"""),"Adeonis Alves Cavalcante")</f>
        <v>Adeonis Alves Cavalcante</v>
      </c>
      <c r="B329" s="390" t="str">
        <f>IFERROR(__xludf.DUMMYFUNCTION("""COMPUTED_VALUE"""),"Form. Pedagógica")</f>
        <v>Form. Pedagógica</v>
      </c>
      <c r="C329" s="390" t="str">
        <f>IFERROR(__xludf.DUMMYFUNCTION("""COMPUTED_VALUE"""),"Pedagogia")</f>
        <v>Pedagogia</v>
      </c>
      <c r="D329" s="390" t="str">
        <f>IFERROR(__xludf.DUMMYFUNCTION("""COMPUTED_VALUE"""),"Entregue em 05/02/2025 - E-mail e Kinbox - Mariana")</f>
        <v>Entregue em 05/02/2025 - E-mail e Kinbox - Mariana</v>
      </c>
      <c r="E329" s="390"/>
      <c r="F329" s="390"/>
      <c r="G329" s="390"/>
      <c r="H329" s="390"/>
      <c r="I329" s="390"/>
      <c r="J329" s="390"/>
      <c r="K329" s="390"/>
      <c r="L329" s="390"/>
      <c r="M329" s="390"/>
      <c r="N329" s="390"/>
      <c r="O329" s="390"/>
      <c r="P329" s="390"/>
      <c r="Q329" s="390"/>
      <c r="R329" s="390"/>
      <c r="S329" s="390"/>
      <c r="T329" s="390"/>
      <c r="U329" s="390"/>
      <c r="V329" s="390"/>
      <c r="W329" s="390"/>
      <c r="X329" s="390"/>
      <c r="Y329" s="390"/>
    </row>
    <row r="330">
      <c r="A330" s="390" t="str">
        <f>IFERROR(__xludf.DUMMYFUNCTION("""COMPUTED_VALUE"""),"Fabio Messias Motta da Silva")</f>
        <v>Fabio Messias Motta da Silva</v>
      </c>
      <c r="B330" s="390" t="str">
        <f>IFERROR(__xludf.DUMMYFUNCTION("""COMPUTED_VALUE"""),"Form. Pedagógica")</f>
        <v>Form. Pedagógica</v>
      </c>
      <c r="C330" s="390" t="str">
        <f>IFERROR(__xludf.DUMMYFUNCTION("""COMPUTED_VALUE"""),"Artes Visuais ")</f>
        <v>Artes Visuais </v>
      </c>
      <c r="D330" s="390" t="str">
        <f>IFERROR(__xludf.DUMMYFUNCTION("""COMPUTED_VALUE"""),"Entregue em 07/02/2025 - E-mail e Kinbox - Mariana")</f>
        <v>Entregue em 07/02/2025 - E-mail e Kinbox - Mariana</v>
      </c>
      <c r="E330" s="390"/>
      <c r="F330" s="390"/>
      <c r="G330" s="390"/>
      <c r="H330" s="390"/>
      <c r="I330" s="390"/>
      <c r="J330" s="390"/>
      <c r="K330" s="390"/>
      <c r="L330" s="390"/>
      <c r="M330" s="390"/>
      <c r="N330" s="390"/>
      <c r="O330" s="390"/>
      <c r="P330" s="390"/>
      <c r="Q330" s="390"/>
      <c r="R330" s="390"/>
      <c r="S330" s="390"/>
      <c r="T330" s="390"/>
      <c r="U330" s="390"/>
      <c r="V330" s="390"/>
      <c r="W330" s="390"/>
      <c r="X330" s="390"/>
      <c r="Y330" s="390"/>
    </row>
    <row r="331">
      <c r="A331" s="390" t="str">
        <f>IFERROR(__xludf.DUMMYFUNCTION("""COMPUTED_VALUE"""),"Regiane Alves Rodrigues")</f>
        <v>Regiane Alves Rodrigues</v>
      </c>
      <c r="B331" s="390" t="str">
        <f>IFERROR(__xludf.DUMMYFUNCTION("""COMPUTED_VALUE"""),"2° Licenciatura")</f>
        <v>2° Licenciatura</v>
      </c>
      <c r="C331" s="390" t="str">
        <f>IFERROR(__xludf.DUMMYFUNCTION("""COMPUTED_VALUE"""),"Pedagogia")</f>
        <v>Pedagogia</v>
      </c>
      <c r="D331" s="390" t="str">
        <f>IFERROR(__xludf.DUMMYFUNCTION("""COMPUTED_VALUE"""),"Entregue em 27/12/2024 - Kinbox e E-mail - Jade")</f>
        <v>Entregue em 27/12/2024 - Kinbox e E-mail - Jade</v>
      </c>
      <c r="E331" s="390"/>
      <c r="F331" s="390"/>
      <c r="G331" s="390"/>
      <c r="H331" s="390"/>
      <c r="I331" s="390"/>
      <c r="J331" s="390"/>
      <c r="K331" s="390"/>
      <c r="L331" s="390"/>
      <c r="M331" s="390"/>
      <c r="N331" s="390"/>
      <c r="O331" s="390"/>
      <c r="P331" s="390"/>
      <c r="Q331" s="390"/>
      <c r="R331" s="390"/>
      <c r="S331" s="390"/>
      <c r="T331" s="390"/>
      <c r="U331" s="390"/>
      <c r="V331" s="390"/>
      <c r="W331" s="390"/>
      <c r="X331" s="390"/>
      <c r="Y331" s="390"/>
    </row>
    <row r="332">
      <c r="A332" s="390" t="str">
        <f>IFERROR(__xludf.DUMMYFUNCTION("""COMPUTED_VALUE"""),"Yasmim Figueira Ferreira")</f>
        <v>Yasmim Figueira Ferreira</v>
      </c>
      <c r="B332" s="390" t="str">
        <f>IFERROR(__xludf.DUMMYFUNCTION("""COMPUTED_VALUE"""),"Form. Pedagógica")</f>
        <v>Form. Pedagógica</v>
      </c>
      <c r="C332" s="390" t="str">
        <f>IFERROR(__xludf.DUMMYFUNCTION("""COMPUTED_VALUE"""),"Pedagogia")</f>
        <v>Pedagogia</v>
      </c>
      <c r="D332" s="390" t="str">
        <f>IFERROR(__xludf.DUMMYFUNCTION("""COMPUTED_VALUE"""),"Entregue em 27/12/2024 - Kinbox e E-mail - Jade")</f>
        <v>Entregue em 27/12/2024 - Kinbox e E-mail - Jade</v>
      </c>
      <c r="E332" s="390"/>
      <c r="F332" s="390"/>
      <c r="G332" s="390"/>
      <c r="H332" s="390"/>
      <c r="I332" s="390"/>
      <c r="J332" s="390"/>
      <c r="K332" s="390"/>
      <c r="L332" s="390"/>
      <c r="M332" s="390"/>
      <c r="N332" s="390"/>
      <c r="O332" s="390"/>
      <c r="P332" s="390"/>
      <c r="Q332" s="390"/>
      <c r="R332" s="390"/>
      <c r="S332" s="390"/>
      <c r="T332" s="390"/>
      <c r="U332" s="390"/>
      <c r="V332" s="390"/>
      <c r="W332" s="390"/>
      <c r="X332" s="390"/>
      <c r="Y332" s="390"/>
    </row>
    <row r="333">
      <c r="A333" s="390" t="str">
        <f>IFERROR(__xludf.DUMMYFUNCTION("""COMPUTED_VALUE"""),"Hálesi de Carvalho Gomes")</f>
        <v>Hálesi de Carvalho Gomes</v>
      </c>
      <c r="B333" s="390" t="str">
        <f>IFERROR(__xludf.DUMMYFUNCTION("""COMPUTED_VALUE"""),"2° Licenciatura")</f>
        <v>2° Licenciatura</v>
      </c>
      <c r="C333" s="390" t="str">
        <f>IFERROR(__xludf.DUMMYFUNCTION("""COMPUTED_VALUE"""),"Pedagogia")</f>
        <v>Pedagogia</v>
      </c>
      <c r="D333" s="390" t="str">
        <f>IFERROR(__xludf.DUMMYFUNCTION("""COMPUTED_VALUE"""),"Entregue em 27/12/2024 - Kinbox e E-mail - Jade")</f>
        <v>Entregue em 27/12/2024 - Kinbox e E-mail - Jade</v>
      </c>
      <c r="E333" s="390"/>
      <c r="F333" s="390"/>
      <c r="G333" s="390"/>
      <c r="H333" s="390"/>
      <c r="I333" s="390"/>
      <c r="J333" s="390"/>
      <c r="K333" s="390"/>
      <c r="L333" s="390"/>
      <c r="M333" s="390"/>
      <c r="N333" s="390"/>
      <c r="O333" s="390"/>
      <c r="P333" s="390"/>
      <c r="Q333" s="390"/>
      <c r="R333" s="390"/>
      <c r="S333" s="390"/>
      <c r="T333" s="390"/>
      <c r="U333" s="390"/>
      <c r="V333" s="390"/>
      <c r="W333" s="390"/>
      <c r="X333" s="390"/>
      <c r="Y333" s="390"/>
    </row>
    <row r="334">
      <c r="A334" s="390" t="str">
        <f>IFERROR(__xludf.DUMMYFUNCTION("""COMPUTED_VALUE"""),"Alexandre Nogueira Souza")</f>
        <v>Alexandre Nogueira Souza</v>
      </c>
      <c r="B334" s="390" t="str">
        <f>IFERROR(__xludf.DUMMYFUNCTION("""COMPUTED_VALUE"""),"Form. Pedagógica")</f>
        <v>Form. Pedagógica</v>
      </c>
      <c r="C334" s="390" t="str">
        <f>IFERROR(__xludf.DUMMYFUNCTION("""COMPUTED_VALUE"""),"História")</f>
        <v>História</v>
      </c>
      <c r="D334" s="390" t="str">
        <f>IFERROR(__xludf.DUMMYFUNCTION("""COMPUTED_VALUE"""),"Entregue em 27/12/2024 - Kinbox e E-mail - Jade")</f>
        <v>Entregue em 27/12/2024 - Kinbox e E-mail - Jade</v>
      </c>
      <c r="E334" s="390"/>
      <c r="F334" s="390"/>
      <c r="G334" s="390"/>
      <c r="H334" s="390"/>
      <c r="I334" s="390"/>
      <c r="J334" s="390"/>
      <c r="K334" s="390"/>
      <c r="L334" s="390"/>
      <c r="M334" s="390"/>
      <c r="N334" s="390"/>
      <c r="O334" s="390"/>
      <c r="P334" s="390"/>
      <c r="Q334" s="390"/>
      <c r="R334" s="390"/>
      <c r="S334" s="390"/>
      <c r="T334" s="390"/>
      <c r="U334" s="390"/>
      <c r="V334" s="390"/>
      <c r="W334" s="390"/>
      <c r="X334" s="390"/>
      <c r="Y334" s="390"/>
    </row>
    <row r="335">
      <c r="A335" s="390" t="str">
        <f>IFERROR(__xludf.DUMMYFUNCTION("""COMPUTED_VALUE"""),"Carlos Germano do Nascimento Rodrigues")</f>
        <v>Carlos Germano do Nascimento Rodrigues</v>
      </c>
      <c r="B335" s="390" t="str">
        <f>IFERROR(__xludf.DUMMYFUNCTION("""COMPUTED_VALUE"""),"2° Licenciatura")</f>
        <v>2° Licenciatura</v>
      </c>
      <c r="C335" s="390" t="str">
        <f>IFERROR(__xludf.DUMMYFUNCTION("""COMPUTED_VALUE"""),"Geografia")</f>
        <v>Geografia</v>
      </c>
      <c r="D335" s="390" t="str">
        <f>IFERROR(__xludf.DUMMYFUNCTION("""COMPUTED_VALUE"""),"Entregue em 27/12/2024 - Kinbox e E-mail - Jade")</f>
        <v>Entregue em 27/12/2024 - Kinbox e E-mail - Jade</v>
      </c>
      <c r="E335" s="390"/>
      <c r="F335" s="390"/>
      <c r="G335" s="390"/>
      <c r="H335" s="390"/>
      <c r="I335" s="390"/>
      <c r="J335" s="390"/>
      <c r="K335" s="390"/>
      <c r="L335" s="390"/>
      <c r="M335" s="390"/>
      <c r="N335" s="390"/>
      <c r="O335" s="390"/>
      <c r="P335" s="390"/>
      <c r="Q335" s="390"/>
      <c r="R335" s="390"/>
      <c r="S335" s="390"/>
      <c r="T335" s="390"/>
      <c r="U335" s="390"/>
      <c r="V335" s="390"/>
      <c r="W335" s="390"/>
      <c r="X335" s="390"/>
      <c r="Y335" s="390"/>
    </row>
    <row r="336">
      <c r="A336" s="390" t="str">
        <f>IFERROR(__xludf.DUMMYFUNCTION("""COMPUTED_VALUE"""),"Bruno César Borges da Penha")</f>
        <v>Bruno César Borges da Penha</v>
      </c>
      <c r="B336" s="390" t="str">
        <f>IFERROR(__xludf.DUMMYFUNCTION("""COMPUTED_VALUE"""),"Form. Pedagógica")</f>
        <v>Form. Pedagógica</v>
      </c>
      <c r="C336" s="390" t="str">
        <f>IFERROR(__xludf.DUMMYFUNCTION("""COMPUTED_VALUE"""),"Pedagogia")</f>
        <v>Pedagogia</v>
      </c>
      <c r="D336" s="390" t="str">
        <f>IFERROR(__xludf.DUMMYFUNCTION("""COMPUTED_VALUE"""),"Entregue em 27/12/2024 - E-mail - Jade")</f>
        <v>Entregue em 27/12/2024 - E-mail - Jade</v>
      </c>
      <c r="E336" s="390"/>
      <c r="F336" s="390"/>
      <c r="G336" s="390"/>
      <c r="H336" s="390"/>
      <c r="I336" s="390"/>
      <c r="J336" s="390"/>
      <c r="K336" s="390"/>
      <c r="L336" s="390"/>
      <c r="M336" s="390"/>
      <c r="N336" s="390"/>
      <c r="O336" s="390"/>
      <c r="P336" s="390"/>
      <c r="Q336" s="390"/>
      <c r="R336" s="390"/>
      <c r="S336" s="390"/>
      <c r="T336" s="390"/>
      <c r="U336" s="390"/>
      <c r="V336" s="390"/>
      <c r="W336" s="390"/>
      <c r="X336" s="390"/>
      <c r="Y336" s="390"/>
    </row>
    <row r="337">
      <c r="A337" s="390" t="str">
        <f>IFERROR(__xludf.DUMMYFUNCTION("""COMPUTED_VALUE"""),"Manoel Olegario de Siqueira Neto")</f>
        <v>Manoel Olegario de Siqueira Neto</v>
      </c>
      <c r="B337" s="390" t="str">
        <f>IFERROR(__xludf.DUMMYFUNCTION("""COMPUTED_VALUE"""),"2° Licenciatura")</f>
        <v>2° Licenciatura</v>
      </c>
      <c r="C337" s="390" t="str">
        <f>IFERROR(__xludf.DUMMYFUNCTION("""COMPUTED_VALUE"""),"Educação Fisica")</f>
        <v>Educação Fisica</v>
      </c>
      <c r="D337" s="390" t="str">
        <f>IFERROR(__xludf.DUMMYFUNCTION("""COMPUTED_VALUE"""),"Entregue em 13/01/2025 - E-mail - Mariana")</f>
        <v>Entregue em 13/01/2025 - E-mail - Mariana</v>
      </c>
      <c r="E337" s="390"/>
      <c r="F337" s="390"/>
      <c r="G337" s="390"/>
      <c r="H337" s="390"/>
      <c r="I337" s="390"/>
      <c r="J337" s="390"/>
      <c r="K337" s="390"/>
      <c r="L337" s="390"/>
      <c r="M337" s="390"/>
      <c r="N337" s="390"/>
      <c r="O337" s="390"/>
      <c r="P337" s="390"/>
      <c r="Q337" s="390"/>
      <c r="R337" s="390"/>
      <c r="S337" s="390"/>
      <c r="T337" s="390"/>
      <c r="U337" s="390"/>
      <c r="V337" s="390"/>
      <c r="W337" s="390"/>
      <c r="X337" s="390"/>
      <c r="Y337" s="390"/>
    </row>
    <row r="338">
      <c r="A338" s="390" t="str">
        <f>IFERROR(__xludf.DUMMYFUNCTION("""COMPUTED_VALUE"""),"Benedito Aparecido de Lima")</f>
        <v>Benedito Aparecido de Lima</v>
      </c>
      <c r="B338" s="390" t="str">
        <f>IFERROR(__xludf.DUMMYFUNCTION("""COMPUTED_VALUE"""),"2° Licenciatura")</f>
        <v>2° Licenciatura</v>
      </c>
      <c r="C338" s="390" t="str">
        <f>IFERROR(__xludf.DUMMYFUNCTION("""COMPUTED_VALUE"""),"Letras - Português e Espanhol")</f>
        <v>Letras - Português e Espanhol</v>
      </c>
      <c r="D338" s="390" t="str">
        <f>IFERROR(__xludf.DUMMYFUNCTION("""COMPUTED_VALUE"""),"Entregue em 27/12/2024 - Kinbox e E-mail - Jade")</f>
        <v>Entregue em 27/12/2024 - Kinbox e E-mail - Jade</v>
      </c>
      <c r="E338" s="390"/>
      <c r="F338" s="390"/>
      <c r="G338" s="390"/>
      <c r="H338" s="390"/>
      <c r="I338" s="390"/>
      <c r="J338" s="390"/>
      <c r="K338" s="390"/>
      <c r="L338" s="390"/>
      <c r="M338" s="390"/>
      <c r="N338" s="390"/>
      <c r="O338" s="390"/>
      <c r="P338" s="390"/>
      <c r="Q338" s="390"/>
      <c r="R338" s="390"/>
      <c r="S338" s="390"/>
      <c r="T338" s="390"/>
      <c r="U338" s="390"/>
      <c r="V338" s="390"/>
      <c r="W338" s="390"/>
      <c r="X338" s="390"/>
      <c r="Y338" s="390"/>
    </row>
    <row r="339">
      <c r="A339" s="390" t="str">
        <f>IFERROR(__xludf.DUMMYFUNCTION("""COMPUTED_VALUE"""),"Suélen Vieira Carrara")</f>
        <v>Suélen Vieira Carrara</v>
      </c>
      <c r="B339" s="390" t="str">
        <f>IFERROR(__xludf.DUMMYFUNCTION("""COMPUTED_VALUE"""),"2° Licenciatura")</f>
        <v>2° Licenciatura</v>
      </c>
      <c r="C339" s="390" t="str">
        <f>IFERROR(__xludf.DUMMYFUNCTION("""COMPUTED_VALUE"""),"Educação Fisica")</f>
        <v>Educação Fisica</v>
      </c>
      <c r="D339" s="390" t="str">
        <f>IFERROR(__xludf.DUMMYFUNCTION("""COMPUTED_VALUE"""),"Entregue em 27/12/2024 - Kinbox e E-mail - Jade")</f>
        <v>Entregue em 27/12/2024 - Kinbox e E-mail - Jade</v>
      </c>
      <c r="E339" s="390"/>
      <c r="F339" s="390"/>
      <c r="G339" s="390"/>
      <c r="H339" s="390"/>
      <c r="I339" s="390"/>
      <c r="J339" s="390"/>
      <c r="K339" s="390"/>
      <c r="L339" s="390"/>
      <c r="M339" s="390"/>
      <c r="N339" s="390"/>
      <c r="O339" s="390"/>
      <c r="P339" s="390"/>
      <c r="Q339" s="390"/>
      <c r="R339" s="390"/>
      <c r="S339" s="390"/>
      <c r="T339" s="390"/>
      <c r="U339" s="390"/>
      <c r="V339" s="390"/>
      <c r="W339" s="390"/>
      <c r="X339" s="390"/>
      <c r="Y339" s="390"/>
    </row>
    <row r="340">
      <c r="A340" s="390" t="str">
        <f>IFERROR(__xludf.DUMMYFUNCTION("""COMPUTED_VALUE"""),"Valéssia Rodrigues Nascimento da Silva")</f>
        <v>Valéssia Rodrigues Nascimento da Silva</v>
      </c>
      <c r="B340" s="390" t="str">
        <f>IFERROR(__xludf.DUMMYFUNCTION("""COMPUTED_VALUE"""),"2° Licenciatura")</f>
        <v>2° Licenciatura</v>
      </c>
      <c r="C340" s="390" t="str">
        <f>IFERROR(__xludf.DUMMYFUNCTION("""COMPUTED_VALUE"""),"História")</f>
        <v>História</v>
      </c>
      <c r="D340" s="390" t="str">
        <f>IFERROR(__xludf.DUMMYFUNCTION("""COMPUTED_VALUE"""),"Entregue em 16/12/2024 - Kinbox e E-mail - Jade")</f>
        <v>Entregue em 16/12/2024 - Kinbox e E-mail - Jade</v>
      </c>
      <c r="E340" s="390"/>
      <c r="F340" s="390"/>
      <c r="G340" s="390"/>
      <c r="H340" s="390"/>
      <c r="I340" s="390"/>
      <c r="J340" s="390"/>
      <c r="K340" s="390"/>
      <c r="L340" s="390"/>
      <c r="M340" s="390"/>
      <c r="N340" s="390"/>
      <c r="O340" s="390"/>
      <c r="P340" s="390"/>
      <c r="Q340" s="390"/>
      <c r="R340" s="390"/>
      <c r="S340" s="390"/>
      <c r="T340" s="390"/>
      <c r="U340" s="390"/>
      <c r="V340" s="390"/>
      <c r="W340" s="390"/>
      <c r="X340" s="390"/>
      <c r="Y340" s="390"/>
    </row>
    <row r="341">
      <c r="A341" s="390" t="str">
        <f>IFERROR(__xludf.DUMMYFUNCTION("""COMPUTED_VALUE"""),"Mariane Soares Lage")</f>
        <v>Mariane Soares Lage</v>
      </c>
      <c r="B341" s="390" t="str">
        <f>IFERROR(__xludf.DUMMYFUNCTION("""COMPUTED_VALUE"""),"Form. Pedagógica")</f>
        <v>Form. Pedagógica</v>
      </c>
      <c r="C341" s="390" t="str">
        <f>IFERROR(__xludf.DUMMYFUNCTION("""COMPUTED_VALUE"""),"Sociologia")</f>
        <v>Sociologia</v>
      </c>
      <c r="D341" s="390" t="str">
        <f>IFERROR(__xludf.DUMMYFUNCTION("""COMPUTED_VALUE"""),"Entregue 29/01/2025 - E-mail e Kinbox - Mariana")</f>
        <v>Entregue 29/01/2025 - E-mail e Kinbox - Mariana</v>
      </c>
      <c r="E341" s="390"/>
      <c r="F341" s="390"/>
      <c r="G341" s="390"/>
      <c r="H341" s="390"/>
      <c r="I341" s="390"/>
      <c r="J341" s="390"/>
      <c r="K341" s="390"/>
      <c r="L341" s="390"/>
      <c r="M341" s="390"/>
      <c r="N341" s="390"/>
      <c r="O341" s="390"/>
      <c r="P341" s="390"/>
      <c r="Q341" s="390"/>
      <c r="R341" s="390"/>
      <c r="S341" s="390"/>
      <c r="T341" s="390"/>
      <c r="U341" s="390"/>
      <c r="V341" s="390"/>
      <c r="W341" s="390"/>
      <c r="X341" s="390"/>
      <c r="Y341" s="390"/>
    </row>
    <row r="342">
      <c r="A342" s="390" t="str">
        <f>IFERROR(__xludf.DUMMYFUNCTION("""COMPUTED_VALUE"""),"Elaine Aparecida Rodrigues")</f>
        <v>Elaine Aparecida Rodrigues</v>
      </c>
      <c r="B342" s="390" t="str">
        <f>IFERROR(__xludf.DUMMYFUNCTION("""COMPUTED_VALUE"""),"2° Licenciatura")</f>
        <v>2° Licenciatura</v>
      </c>
      <c r="C342" s="390" t="str">
        <f>IFERROR(__xludf.DUMMYFUNCTION("""COMPUTED_VALUE"""),"Geografia")</f>
        <v>Geografia</v>
      </c>
      <c r="D342" s="390" t="str">
        <f>IFERROR(__xludf.DUMMYFUNCTION("""COMPUTED_VALUE"""),"Entregue 29/01/2025 - E-mail e Kinbox - Mariana")</f>
        <v>Entregue 29/01/2025 - E-mail e Kinbox - Mariana</v>
      </c>
      <c r="E342" s="390"/>
      <c r="F342" s="390"/>
      <c r="G342" s="390"/>
      <c r="H342" s="390"/>
      <c r="I342" s="390"/>
      <c r="J342" s="390"/>
      <c r="K342" s="390"/>
      <c r="L342" s="390"/>
      <c r="M342" s="390"/>
      <c r="N342" s="390"/>
      <c r="O342" s="390"/>
      <c r="P342" s="390"/>
      <c r="Q342" s="390"/>
      <c r="R342" s="390"/>
      <c r="S342" s="390"/>
      <c r="T342" s="390"/>
      <c r="U342" s="390"/>
      <c r="V342" s="390"/>
      <c r="W342" s="390"/>
      <c r="X342" s="390"/>
      <c r="Y342" s="390"/>
    </row>
    <row r="343">
      <c r="A343" s="390" t="str">
        <f>IFERROR(__xludf.DUMMYFUNCTION("""COMPUTED_VALUE"""),"Andréa Iolanda da Silva")</f>
        <v>Andréa Iolanda da Silva</v>
      </c>
      <c r="B343" s="390" t="str">
        <f>IFERROR(__xludf.DUMMYFUNCTION("""COMPUTED_VALUE"""),"Form. Pedagógica")</f>
        <v>Form. Pedagógica</v>
      </c>
      <c r="C343" s="390" t="str">
        <f>IFERROR(__xludf.DUMMYFUNCTION("""COMPUTED_VALUE"""),"História")</f>
        <v>História</v>
      </c>
      <c r="D343" s="390" t="str">
        <f>IFERROR(__xludf.DUMMYFUNCTION("""COMPUTED_VALUE"""),"Entregue 29/01/2025 - E-mail e Kinbox - Mariana")</f>
        <v>Entregue 29/01/2025 - E-mail e Kinbox - Mariana</v>
      </c>
      <c r="E343" s="390"/>
      <c r="F343" s="390"/>
      <c r="G343" s="390"/>
      <c r="H343" s="390"/>
      <c r="I343" s="390"/>
      <c r="J343" s="390"/>
      <c r="K343" s="390"/>
      <c r="L343" s="390"/>
      <c r="M343" s="390"/>
      <c r="N343" s="390"/>
      <c r="O343" s="390"/>
      <c r="P343" s="390"/>
      <c r="Q343" s="390"/>
      <c r="R343" s="390"/>
      <c r="S343" s="390"/>
      <c r="T343" s="390"/>
      <c r="U343" s="390"/>
      <c r="V343" s="390"/>
      <c r="W343" s="390"/>
      <c r="X343" s="390"/>
      <c r="Y343" s="390"/>
    </row>
    <row r="344">
      <c r="A344" s="390" t="str">
        <f>IFERROR(__xludf.DUMMYFUNCTION("""COMPUTED_VALUE"""),"Caroline Menescal Braga Itabaiana Nicolau")</f>
        <v>Caroline Menescal Braga Itabaiana Nicolau</v>
      </c>
      <c r="B344" s="390" t="str">
        <f>IFERROR(__xludf.DUMMYFUNCTION("""COMPUTED_VALUE"""),"Form. Pedagógica")</f>
        <v>Form. Pedagógica</v>
      </c>
      <c r="C344" s="390" t="str">
        <f>IFERROR(__xludf.DUMMYFUNCTION("""COMPUTED_VALUE"""),"Letras - Português e Espanhol")</f>
        <v>Letras - Português e Espanhol</v>
      </c>
      <c r="D344" s="390" t="str">
        <f>IFERROR(__xludf.DUMMYFUNCTION("""COMPUTED_VALUE"""),"Entregue 29/01/2025 - E-mail e Kinbox - Mariana")</f>
        <v>Entregue 29/01/2025 - E-mail e Kinbox - Mariana</v>
      </c>
      <c r="E344" s="390"/>
      <c r="F344" s="390"/>
      <c r="G344" s="390"/>
      <c r="H344" s="390"/>
      <c r="I344" s="390"/>
      <c r="J344" s="390"/>
      <c r="K344" s="390"/>
      <c r="L344" s="390"/>
      <c r="M344" s="390"/>
      <c r="N344" s="390"/>
      <c r="O344" s="390"/>
      <c r="P344" s="390"/>
      <c r="Q344" s="390"/>
      <c r="R344" s="390"/>
      <c r="S344" s="390"/>
      <c r="T344" s="390"/>
      <c r="U344" s="390"/>
      <c r="V344" s="390"/>
      <c r="W344" s="390"/>
      <c r="X344" s="390"/>
      <c r="Y344" s="390"/>
    </row>
    <row r="345">
      <c r="A345" s="390" t="str">
        <f>IFERROR(__xludf.DUMMYFUNCTION("""COMPUTED_VALUE"""),"Marina Viana dos Santos Sousa")</f>
        <v>Marina Viana dos Santos Sousa</v>
      </c>
      <c r="B345" s="390" t="str">
        <f>IFERROR(__xludf.DUMMYFUNCTION("""COMPUTED_VALUE"""),"2° Licenciatura")</f>
        <v>2° Licenciatura</v>
      </c>
      <c r="C345" s="390" t="str">
        <f>IFERROR(__xludf.DUMMYFUNCTION("""COMPUTED_VALUE"""),"Pedagogia")</f>
        <v>Pedagogia</v>
      </c>
      <c r="D345" s="390" t="str">
        <f>IFERROR(__xludf.DUMMYFUNCTION("""COMPUTED_VALUE"""),"Entregue em 29/01/2025 - E-mail e Kinbox - Mariana")</f>
        <v>Entregue em 29/01/2025 - E-mail e Kinbox - Mariana</v>
      </c>
      <c r="E345" s="390"/>
      <c r="F345" s="390"/>
      <c r="G345" s="390"/>
      <c r="H345" s="390"/>
      <c r="I345" s="390"/>
      <c r="J345" s="390"/>
      <c r="K345" s="390"/>
      <c r="L345" s="390"/>
      <c r="M345" s="390"/>
      <c r="N345" s="390"/>
      <c r="O345" s="390"/>
      <c r="P345" s="390"/>
      <c r="Q345" s="390"/>
      <c r="R345" s="390"/>
      <c r="S345" s="390"/>
      <c r="T345" s="390"/>
      <c r="U345" s="390"/>
      <c r="V345" s="390"/>
      <c r="W345" s="390"/>
      <c r="X345" s="390"/>
      <c r="Y345" s="390"/>
    </row>
    <row r="346">
      <c r="A346" s="390" t="str">
        <f>IFERROR(__xludf.DUMMYFUNCTION("""COMPUTED_VALUE"""),"Eliana Silva da Silva ")</f>
        <v>Eliana Silva da Silva </v>
      </c>
      <c r="B346" s="390" t="str">
        <f>IFERROR(__xludf.DUMMYFUNCTION("""COMPUTED_VALUE"""),"Form. Pedagógica")</f>
        <v>Form. Pedagógica</v>
      </c>
      <c r="C346" s="390" t="str">
        <f>IFERROR(__xludf.DUMMYFUNCTION("""COMPUTED_VALUE"""),"Educação Especial")</f>
        <v>Educação Especial</v>
      </c>
      <c r="D346" s="390" t="str">
        <f>IFERROR(__xludf.DUMMYFUNCTION("""COMPUTED_VALUE"""),"Entregue em 29/01/2025 - E-mail e Kinbox - Mariana")</f>
        <v>Entregue em 29/01/2025 - E-mail e Kinbox - Mariana</v>
      </c>
      <c r="E346" s="390"/>
      <c r="F346" s="390"/>
      <c r="G346" s="390"/>
      <c r="H346" s="390"/>
      <c r="I346" s="390"/>
      <c r="J346" s="390"/>
      <c r="K346" s="390"/>
      <c r="L346" s="390"/>
      <c r="M346" s="390"/>
      <c r="N346" s="390"/>
      <c r="O346" s="390"/>
      <c r="P346" s="390"/>
      <c r="Q346" s="390"/>
      <c r="R346" s="390"/>
      <c r="S346" s="390"/>
      <c r="T346" s="390"/>
      <c r="U346" s="390"/>
      <c r="V346" s="390"/>
      <c r="W346" s="390"/>
      <c r="X346" s="390"/>
      <c r="Y346" s="390"/>
    </row>
    <row r="347">
      <c r="A347" s="390" t="str">
        <f>IFERROR(__xludf.DUMMYFUNCTION("""COMPUTED_VALUE"""),"Arnaldo da Silva Lino ")</f>
        <v>Arnaldo da Silva Lino </v>
      </c>
      <c r="B347" s="390" t="str">
        <f>IFERROR(__xludf.DUMMYFUNCTION("""COMPUTED_VALUE"""),"2° Licenciatura")</f>
        <v>2° Licenciatura</v>
      </c>
      <c r="C347" s="390" t="str">
        <f>IFERROR(__xludf.DUMMYFUNCTION("""COMPUTED_VALUE"""),"Pedagogia")</f>
        <v>Pedagogia</v>
      </c>
      <c r="D347" s="390" t="str">
        <f>IFERROR(__xludf.DUMMYFUNCTION("""COMPUTED_VALUE"""),"Entregue em 29/01/2025 - E-mail e Kinbox - Mariana")</f>
        <v>Entregue em 29/01/2025 - E-mail e Kinbox - Mariana</v>
      </c>
      <c r="E347" s="390"/>
      <c r="F347" s="390"/>
      <c r="G347" s="390"/>
      <c r="H347" s="390"/>
      <c r="I347" s="390"/>
      <c r="J347" s="390"/>
      <c r="K347" s="390"/>
      <c r="L347" s="390"/>
      <c r="M347" s="390"/>
      <c r="N347" s="390"/>
      <c r="O347" s="390"/>
      <c r="P347" s="390"/>
      <c r="Q347" s="390"/>
      <c r="R347" s="390"/>
      <c r="S347" s="390"/>
      <c r="T347" s="390"/>
      <c r="U347" s="390"/>
      <c r="V347" s="390"/>
      <c r="W347" s="390"/>
      <c r="X347" s="390"/>
      <c r="Y347" s="390"/>
    </row>
    <row r="348">
      <c r="A348" s="390" t="str">
        <f>IFERROR(__xludf.DUMMYFUNCTION("""COMPUTED_VALUE"""),"Paulo Henrique Fernandes Ferreira ")</f>
        <v>Paulo Henrique Fernandes Ferreira </v>
      </c>
      <c r="B348" s="390" t="str">
        <f>IFERROR(__xludf.DUMMYFUNCTION("""COMPUTED_VALUE"""),"2° Licenciatura")</f>
        <v>2° Licenciatura</v>
      </c>
      <c r="C348" s="390" t="str">
        <f>IFERROR(__xludf.DUMMYFUNCTION("""COMPUTED_VALUE"""),"Letras - Português e Espanhol")</f>
        <v>Letras - Português e Espanhol</v>
      </c>
      <c r="D348" s="390" t="str">
        <f>IFERROR(__xludf.DUMMYFUNCTION("""COMPUTED_VALUE"""),"Em Andamento")</f>
        <v>Em Andamento</v>
      </c>
      <c r="E348" s="390"/>
      <c r="F348" s="390"/>
      <c r="G348" s="390"/>
      <c r="H348" s="390"/>
      <c r="I348" s="390"/>
      <c r="J348" s="390"/>
      <c r="K348" s="390"/>
      <c r="L348" s="390"/>
      <c r="M348" s="390"/>
      <c r="N348" s="390"/>
      <c r="O348" s="390"/>
      <c r="P348" s="390"/>
      <c r="Q348" s="390"/>
      <c r="R348" s="390"/>
      <c r="S348" s="390"/>
      <c r="T348" s="390"/>
      <c r="U348" s="390"/>
      <c r="V348" s="390"/>
      <c r="W348" s="390"/>
      <c r="X348" s="390"/>
      <c r="Y348" s="390"/>
    </row>
    <row r="349">
      <c r="A349" s="390" t="str">
        <f>IFERROR(__xludf.DUMMYFUNCTION("""COMPUTED_VALUE"""),"Leonardo Moreira da Silva")</f>
        <v>Leonardo Moreira da Silva</v>
      </c>
      <c r="B349" s="390" t="str">
        <f>IFERROR(__xludf.DUMMYFUNCTION("""COMPUTED_VALUE"""),"2° Licenciatura")</f>
        <v>2° Licenciatura</v>
      </c>
      <c r="C349" s="390" t="str">
        <f>IFERROR(__xludf.DUMMYFUNCTION("""COMPUTED_VALUE"""),"Educação Fisica")</f>
        <v>Educação Fisica</v>
      </c>
      <c r="D349" s="390" t="str">
        <f>IFERROR(__xludf.DUMMYFUNCTION("""COMPUTED_VALUE"""),"Entregue em 05/02/2025 - E-mail e Kinbox - Mariana")</f>
        <v>Entregue em 05/02/2025 - E-mail e Kinbox - Mariana</v>
      </c>
      <c r="E349" s="390"/>
      <c r="F349" s="390"/>
      <c r="G349" s="390"/>
      <c r="H349" s="390"/>
      <c r="I349" s="390"/>
      <c r="J349" s="390"/>
      <c r="K349" s="390"/>
      <c r="L349" s="390"/>
      <c r="M349" s="390"/>
      <c r="N349" s="390"/>
      <c r="O349" s="390"/>
      <c r="P349" s="390"/>
      <c r="Q349" s="390"/>
      <c r="R349" s="390"/>
      <c r="S349" s="390"/>
      <c r="T349" s="390"/>
      <c r="U349" s="390"/>
      <c r="V349" s="390"/>
      <c r="W349" s="390"/>
      <c r="X349" s="390"/>
      <c r="Y349" s="390"/>
    </row>
    <row r="350">
      <c r="A350" s="390" t="str">
        <f>IFERROR(__xludf.DUMMYFUNCTION("""COMPUTED_VALUE"""),"Frederick Joseph Foureaux Arzberger")</f>
        <v>Frederick Joseph Foureaux Arzberger</v>
      </c>
      <c r="B350" s="390" t="str">
        <f>IFERROR(__xludf.DUMMYFUNCTION("""COMPUTED_VALUE"""),"2° Licenciatura")</f>
        <v>2° Licenciatura</v>
      </c>
      <c r="C350" s="390" t="str">
        <f>IFERROR(__xludf.DUMMYFUNCTION("""COMPUTED_VALUE"""),"Letras Português - Inglês")</f>
        <v>Letras Português - Inglês</v>
      </c>
      <c r="D350" s="390" t="str">
        <f>IFERROR(__xludf.DUMMYFUNCTION("""COMPUTED_VALUE"""),"Entregue em 05/02/2025 - E-mail e Kinbox - Mariana")</f>
        <v>Entregue em 05/02/2025 - E-mail e Kinbox - Mariana</v>
      </c>
      <c r="E350" s="390"/>
      <c r="F350" s="390"/>
      <c r="G350" s="390"/>
      <c r="H350" s="390"/>
      <c r="I350" s="390"/>
      <c r="J350" s="390"/>
      <c r="K350" s="390"/>
      <c r="L350" s="390"/>
      <c r="M350" s="390"/>
      <c r="N350" s="390"/>
      <c r="O350" s="390"/>
      <c r="P350" s="390"/>
      <c r="Q350" s="390"/>
      <c r="R350" s="390"/>
      <c r="S350" s="390"/>
      <c r="T350" s="390"/>
      <c r="U350" s="390"/>
      <c r="V350" s="390"/>
      <c r="W350" s="390"/>
      <c r="X350" s="390"/>
      <c r="Y350" s="390"/>
    </row>
    <row r="351">
      <c r="A351" s="390" t="str">
        <f>IFERROR(__xludf.DUMMYFUNCTION("""COMPUTED_VALUE"""),"Elen Marcia Ferreira Américo")</f>
        <v>Elen Marcia Ferreira Américo</v>
      </c>
      <c r="B351" s="390" t="str">
        <f>IFERROR(__xludf.DUMMYFUNCTION("""COMPUTED_VALUE"""),"2° Licenciatura")</f>
        <v>2° Licenciatura</v>
      </c>
      <c r="C351" s="390" t="str">
        <f>IFERROR(__xludf.DUMMYFUNCTION("""COMPUTED_VALUE"""),"Matemática")</f>
        <v>Matemática</v>
      </c>
      <c r="D351" s="390" t="str">
        <f>IFERROR(__xludf.DUMMYFUNCTION("""COMPUTED_VALUE"""),"Entregue em 29/01/2025 - E-mail e Kinbox - Mariana")</f>
        <v>Entregue em 29/01/2025 - E-mail e Kinbox - Mariana</v>
      </c>
      <c r="E351" s="390"/>
      <c r="F351" s="390"/>
      <c r="G351" s="390"/>
      <c r="H351" s="390"/>
      <c r="I351" s="390"/>
      <c r="J351" s="390"/>
      <c r="K351" s="390"/>
      <c r="L351" s="390"/>
      <c r="M351" s="390"/>
      <c r="N351" s="390"/>
      <c r="O351" s="390"/>
      <c r="P351" s="390"/>
      <c r="Q351" s="390"/>
      <c r="R351" s="390"/>
      <c r="S351" s="390"/>
      <c r="T351" s="390"/>
      <c r="U351" s="390"/>
      <c r="V351" s="390"/>
      <c r="W351" s="390"/>
      <c r="X351" s="390"/>
      <c r="Y351" s="390"/>
    </row>
    <row r="352">
      <c r="A352" s="390" t="str">
        <f>IFERROR(__xludf.DUMMYFUNCTION("""COMPUTED_VALUE"""),"Ana Maria Pessoa Coelho")</f>
        <v>Ana Maria Pessoa Coelho</v>
      </c>
      <c r="B352" s="390" t="str">
        <f>IFERROR(__xludf.DUMMYFUNCTION("""COMPUTED_VALUE"""),"2° Licenciatura")</f>
        <v>2° Licenciatura</v>
      </c>
      <c r="C352" s="390" t="str">
        <f>IFERROR(__xludf.DUMMYFUNCTION("""COMPUTED_VALUE"""),"Artes Visuais")</f>
        <v>Artes Visuais</v>
      </c>
      <c r="D352" s="390" t="str">
        <f>IFERROR(__xludf.DUMMYFUNCTION("""COMPUTED_VALUE"""),"Entregue em 29/01/2025 - E-mail e Kinbox - Mariana")</f>
        <v>Entregue em 29/01/2025 - E-mail e Kinbox - Mariana</v>
      </c>
      <c r="E352" s="390"/>
      <c r="F352" s="390"/>
      <c r="G352" s="390"/>
      <c r="H352" s="390"/>
      <c r="I352" s="390"/>
      <c r="J352" s="390"/>
      <c r="K352" s="390"/>
      <c r="L352" s="390"/>
      <c r="M352" s="390"/>
      <c r="N352" s="390"/>
      <c r="O352" s="390"/>
      <c r="P352" s="390"/>
      <c r="Q352" s="390"/>
      <c r="R352" s="390"/>
      <c r="S352" s="390"/>
      <c r="T352" s="390"/>
      <c r="U352" s="390"/>
      <c r="V352" s="390"/>
      <c r="W352" s="390"/>
      <c r="X352" s="390"/>
      <c r="Y352" s="390"/>
    </row>
    <row r="353">
      <c r="A353" s="390" t="str">
        <f>IFERROR(__xludf.DUMMYFUNCTION("""COMPUTED_VALUE"""),"Greiccy Kelly Gomes da Silva")</f>
        <v>Greiccy Kelly Gomes da Silva</v>
      </c>
      <c r="B353" s="390" t="str">
        <f>IFERROR(__xludf.DUMMYFUNCTION("""COMPUTED_VALUE"""),"2° Licenciatura")</f>
        <v>2° Licenciatura</v>
      </c>
      <c r="C353" s="390" t="str">
        <f>IFERROR(__xludf.DUMMYFUNCTION("""COMPUTED_VALUE"""),"Pedagogia")</f>
        <v>Pedagogia</v>
      </c>
      <c r="D353" s="390" t="str">
        <f>IFERROR(__xludf.DUMMYFUNCTION("""COMPUTED_VALUE"""),"Entregue em 29/01/2025 - E-mail e Kinbox - Mariana")</f>
        <v>Entregue em 29/01/2025 - E-mail e Kinbox - Mariana</v>
      </c>
      <c r="E353" s="390"/>
      <c r="F353" s="390"/>
      <c r="G353" s="390"/>
      <c r="H353" s="390"/>
      <c r="I353" s="390"/>
      <c r="J353" s="390"/>
      <c r="K353" s="390"/>
      <c r="L353" s="390"/>
      <c r="M353" s="390"/>
      <c r="N353" s="390"/>
      <c r="O353" s="390"/>
      <c r="P353" s="390"/>
      <c r="Q353" s="390"/>
      <c r="R353" s="390"/>
      <c r="S353" s="390"/>
      <c r="T353" s="390"/>
      <c r="U353" s="390"/>
      <c r="V353" s="390"/>
      <c r="W353" s="390"/>
      <c r="X353" s="390"/>
      <c r="Y353" s="390"/>
    </row>
    <row r="354">
      <c r="A354" s="390" t="str">
        <f>IFERROR(__xludf.DUMMYFUNCTION("""COMPUTED_VALUE"""),"Frederick Joseph Foureaux Arzberger")</f>
        <v>Frederick Joseph Foureaux Arzberger</v>
      </c>
      <c r="B354" s="390" t="str">
        <f>IFERROR(__xludf.DUMMYFUNCTION("""COMPUTED_VALUE"""),"2° Licenciatura")</f>
        <v>2° Licenciatura</v>
      </c>
      <c r="C354" s="390" t="str">
        <f>IFERROR(__xludf.DUMMYFUNCTION("""COMPUTED_VALUE"""),"Letras - Português e Inglês")</f>
        <v>Letras - Português e Inglês</v>
      </c>
      <c r="D354" s="390" t="str">
        <f>IFERROR(__xludf.DUMMYFUNCTION("""COMPUTED_VALUE"""),"Concluído - Não localizad na Simple")</f>
        <v>Concluído - Não localizad na Simple</v>
      </c>
      <c r="E354" s="390"/>
      <c r="F354" s="390"/>
      <c r="G354" s="390"/>
      <c r="H354" s="390"/>
      <c r="I354" s="390"/>
      <c r="J354" s="390"/>
      <c r="K354" s="390"/>
      <c r="L354" s="390"/>
      <c r="M354" s="390"/>
      <c r="N354" s="390"/>
      <c r="O354" s="390"/>
      <c r="P354" s="390"/>
      <c r="Q354" s="390"/>
      <c r="R354" s="390"/>
      <c r="S354" s="390"/>
      <c r="T354" s="390"/>
      <c r="U354" s="390"/>
      <c r="V354" s="390"/>
      <c r="W354" s="390"/>
      <c r="X354" s="390"/>
      <c r="Y354" s="390"/>
    </row>
    <row r="355">
      <c r="A355" s="390" t="str">
        <f>IFERROR(__xludf.DUMMYFUNCTION("""COMPUTED_VALUE"""),"Kamila Santos de Araujo")</f>
        <v>Kamila Santos de Araujo</v>
      </c>
      <c r="B355" s="390" t="str">
        <f>IFERROR(__xludf.DUMMYFUNCTION("""COMPUTED_VALUE"""),"Form. Pedagógica")</f>
        <v>Form. Pedagógica</v>
      </c>
      <c r="C355" s="390" t="str">
        <f>IFERROR(__xludf.DUMMYFUNCTION("""COMPUTED_VALUE"""),"Sociologia")</f>
        <v>Sociologia</v>
      </c>
      <c r="D355" s="390" t="str">
        <f>IFERROR(__xludf.DUMMYFUNCTION("""COMPUTED_VALUE"""),"Em Andamento")</f>
        <v>Em Andamento</v>
      </c>
      <c r="E355" s="390"/>
      <c r="F355" s="390"/>
      <c r="G355" s="390"/>
      <c r="H355" s="390"/>
      <c r="I355" s="390"/>
      <c r="J355" s="390"/>
      <c r="K355" s="390"/>
      <c r="L355" s="390"/>
      <c r="M355" s="390"/>
      <c r="N355" s="390"/>
      <c r="O355" s="390"/>
      <c r="P355" s="390"/>
      <c r="Q355" s="390"/>
      <c r="R355" s="390"/>
      <c r="S355" s="390"/>
      <c r="T355" s="390"/>
      <c r="U355" s="390"/>
      <c r="V355" s="390"/>
      <c r="W355" s="390"/>
      <c r="X355" s="390"/>
      <c r="Y355" s="390"/>
    </row>
    <row r="356">
      <c r="A356" s="390" t="str">
        <f>IFERROR(__xludf.DUMMYFUNCTION("""COMPUTED_VALUE"""),"Sarah Estevão da Costa Teixeira ")</f>
        <v>Sarah Estevão da Costa Teixeira </v>
      </c>
      <c r="B356" s="390" t="str">
        <f>IFERROR(__xludf.DUMMYFUNCTION("""COMPUTED_VALUE"""),"2° Licenciatura")</f>
        <v>2° Licenciatura</v>
      </c>
      <c r="C356" s="390" t="str">
        <f>IFERROR(__xludf.DUMMYFUNCTION("""COMPUTED_VALUE"""),"Pedagogia")</f>
        <v>Pedagogia</v>
      </c>
      <c r="D356" s="390"/>
      <c r="E356" s="390"/>
      <c r="F356" s="390"/>
      <c r="G356" s="390"/>
      <c r="H356" s="390"/>
      <c r="I356" s="390"/>
      <c r="J356" s="390"/>
      <c r="K356" s="390"/>
      <c r="L356" s="390"/>
      <c r="M356" s="390"/>
      <c r="N356" s="390"/>
      <c r="O356" s="390"/>
      <c r="P356" s="390"/>
      <c r="Q356" s="390"/>
      <c r="R356" s="390"/>
      <c r="S356" s="390"/>
      <c r="T356" s="390"/>
      <c r="U356" s="390"/>
      <c r="V356" s="390"/>
      <c r="W356" s="390"/>
      <c r="X356" s="390"/>
      <c r="Y356" s="390"/>
    </row>
    <row r="357">
      <c r="A357" s="390" t="str">
        <f>IFERROR(__xludf.DUMMYFUNCTION("""COMPUTED_VALUE"""),"Norma Giulia Pereira dos Santos")</f>
        <v>Norma Giulia Pereira dos Santos</v>
      </c>
      <c r="B357" s="390" t="str">
        <f>IFERROR(__xludf.DUMMYFUNCTION("""COMPUTED_VALUE"""),"Form. Pedagógica")</f>
        <v>Form. Pedagógica</v>
      </c>
      <c r="C357" s="390" t="str">
        <f>IFERROR(__xludf.DUMMYFUNCTION("""COMPUTED_VALUE"""),"Letras Português - Inglês")</f>
        <v>Letras Português - Inglês</v>
      </c>
      <c r="D357" s="390" t="str">
        <f>IFERROR(__xludf.DUMMYFUNCTION("""COMPUTED_VALUE"""),"Entregue em 05/02/2025 - E-mail e Kinbox - Mariana")</f>
        <v>Entregue em 05/02/2025 - E-mail e Kinbox - Mariana</v>
      </c>
      <c r="E357" s="390"/>
      <c r="F357" s="390"/>
      <c r="G357" s="390"/>
      <c r="H357" s="390"/>
      <c r="I357" s="390"/>
      <c r="J357" s="390"/>
      <c r="K357" s="390"/>
      <c r="L357" s="390"/>
      <c r="M357" s="390"/>
      <c r="N357" s="390"/>
      <c r="O357" s="390"/>
      <c r="P357" s="390"/>
      <c r="Q357" s="390"/>
      <c r="R357" s="390"/>
      <c r="S357" s="390"/>
      <c r="T357" s="390"/>
      <c r="U357" s="390"/>
      <c r="V357" s="390"/>
      <c r="W357" s="390"/>
      <c r="X357" s="390"/>
      <c r="Y357" s="390"/>
    </row>
    <row r="358">
      <c r="A358" s="390" t="str">
        <f>IFERROR(__xludf.DUMMYFUNCTION("""COMPUTED_VALUE"""),"Nercia Sganderla")</f>
        <v>Nercia Sganderla</v>
      </c>
      <c r="B358" s="390" t="str">
        <f>IFERROR(__xludf.DUMMYFUNCTION("""COMPUTED_VALUE"""),"2° Licenciatura")</f>
        <v>2° Licenciatura</v>
      </c>
      <c r="C358" s="390" t="str">
        <f>IFERROR(__xludf.DUMMYFUNCTION("""COMPUTED_VALUE"""),"Artes Visuais")</f>
        <v>Artes Visuais</v>
      </c>
      <c r="D358" s="390" t="str">
        <f>IFERROR(__xludf.DUMMYFUNCTION("""COMPUTED_VALUE"""),"Concluido")</f>
        <v>Concluido</v>
      </c>
      <c r="E358" s="390"/>
      <c r="F358" s="390"/>
      <c r="G358" s="390"/>
      <c r="H358" s="390"/>
      <c r="I358" s="390"/>
      <c r="J358" s="390"/>
      <c r="K358" s="390"/>
      <c r="L358" s="390"/>
      <c r="M358" s="390"/>
      <c r="N358" s="390"/>
      <c r="O358" s="390"/>
      <c r="P358" s="390"/>
      <c r="Q358" s="390"/>
      <c r="R358" s="390"/>
      <c r="S358" s="390"/>
      <c r="T358" s="390"/>
      <c r="U358" s="390"/>
      <c r="V358" s="390"/>
      <c r="W358" s="390"/>
      <c r="X358" s="390"/>
      <c r="Y358" s="390"/>
    </row>
    <row r="359">
      <c r="A359" s="390" t="str">
        <f>IFERROR(__xludf.DUMMYFUNCTION("""COMPUTED_VALUE"""),"Tamires Dellajustina")</f>
        <v>Tamires Dellajustina</v>
      </c>
      <c r="B359" s="390" t="str">
        <f>IFERROR(__xludf.DUMMYFUNCTION("""COMPUTED_VALUE"""),"2° Licenciatura")</f>
        <v>2° Licenciatura</v>
      </c>
      <c r="C359" s="390" t="str">
        <f>IFERROR(__xludf.DUMMYFUNCTION("""COMPUTED_VALUE"""),"Educação Especial")</f>
        <v>Educação Especial</v>
      </c>
      <c r="D359" s="390" t="str">
        <f>IFERROR(__xludf.DUMMYFUNCTION("""COMPUTED_VALUE"""),"Concluído - Indeferido")</f>
        <v>Concluído - Indeferido</v>
      </c>
      <c r="E359" s="390"/>
      <c r="F359" s="390"/>
      <c r="G359" s="390"/>
      <c r="H359" s="390"/>
      <c r="I359" s="390"/>
      <c r="J359" s="390"/>
      <c r="K359" s="390"/>
      <c r="L359" s="390"/>
      <c r="M359" s="390"/>
      <c r="N359" s="390"/>
      <c r="O359" s="390"/>
      <c r="P359" s="390"/>
      <c r="Q359" s="390"/>
      <c r="R359" s="390"/>
      <c r="S359" s="390"/>
      <c r="T359" s="390"/>
      <c r="U359" s="390"/>
      <c r="V359" s="390"/>
      <c r="W359" s="390"/>
      <c r="X359" s="390"/>
      <c r="Y359" s="390"/>
    </row>
    <row r="360">
      <c r="A360" s="390" t="str">
        <f>IFERROR(__xludf.DUMMYFUNCTION("""COMPUTED_VALUE"""),"Cheila Camargos Capanema")</f>
        <v>Cheila Camargos Capanema</v>
      </c>
      <c r="B360" s="390" t="str">
        <f>IFERROR(__xludf.DUMMYFUNCTION("""COMPUTED_VALUE"""),"2° Licenciatura")</f>
        <v>2° Licenciatura</v>
      </c>
      <c r="C360" s="390" t="str">
        <f>IFERROR(__xludf.DUMMYFUNCTION("""COMPUTED_VALUE"""),"Educação Especial")</f>
        <v>Educação Especial</v>
      </c>
      <c r="D360" s="390" t="str">
        <f>IFERROR(__xludf.DUMMYFUNCTION("""COMPUTED_VALUE"""),"Concluído - Inativada")</f>
        <v>Concluído - Inativada</v>
      </c>
      <c r="E360" s="390"/>
      <c r="F360" s="390"/>
      <c r="G360" s="390"/>
      <c r="H360" s="390"/>
      <c r="I360" s="390"/>
      <c r="J360" s="390"/>
      <c r="K360" s="390"/>
      <c r="L360" s="390"/>
      <c r="M360" s="390"/>
      <c r="N360" s="390"/>
      <c r="O360" s="390"/>
      <c r="P360" s="390"/>
      <c r="Q360" s="390"/>
      <c r="R360" s="390"/>
      <c r="S360" s="390"/>
      <c r="T360" s="390"/>
      <c r="U360" s="390"/>
      <c r="V360" s="390"/>
      <c r="W360" s="390"/>
      <c r="X360" s="390"/>
      <c r="Y360" s="390"/>
    </row>
    <row r="361">
      <c r="A361" s="390" t="str">
        <f>IFERROR(__xludf.DUMMYFUNCTION("""COMPUTED_VALUE"""),"Márcia Iara Brito de Andrade")</f>
        <v>Márcia Iara Brito de Andrade</v>
      </c>
      <c r="B361" s="390" t="str">
        <f>IFERROR(__xludf.DUMMYFUNCTION("""COMPUTED_VALUE"""),"2° Licenciatura")</f>
        <v>2° Licenciatura</v>
      </c>
      <c r="C361" s="390" t="str">
        <f>IFERROR(__xludf.DUMMYFUNCTION("""COMPUTED_VALUE"""),"Geografia")</f>
        <v>Geografia</v>
      </c>
      <c r="D361" s="390" t="str">
        <f>IFERROR(__xludf.DUMMYFUNCTION("""COMPUTED_VALUE"""),"Entregue 29/01/2025 - E-mail e Kinbox - Mariana")</f>
        <v>Entregue 29/01/2025 - E-mail e Kinbox - Mariana</v>
      </c>
      <c r="E361" s="390"/>
      <c r="F361" s="390"/>
      <c r="G361" s="390"/>
      <c r="H361" s="390"/>
      <c r="I361" s="390"/>
      <c r="J361" s="390"/>
      <c r="K361" s="390"/>
      <c r="L361" s="390"/>
      <c r="M361" s="390"/>
      <c r="N361" s="390"/>
      <c r="O361" s="390"/>
      <c r="P361" s="390"/>
      <c r="Q361" s="390"/>
      <c r="R361" s="390"/>
      <c r="S361" s="390"/>
      <c r="T361" s="390"/>
      <c r="U361" s="390"/>
      <c r="V361" s="390"/>
      <c r="W361" s="390"/>
      <c r="X361" s="390"/>
      <c r="Y361" s="390"/>
    </row>
    <row r="362">
      <c r="A362" s="390" t="str">
        <f>IFERROR(__xludf.DUMMYFUNCTION("""COMPUTED_VALUE"""),"Jakson Silva Santos")</f>
        <v>Jakson Silva Santos</v>
      </c>
      <c r="B362" s="390" t="str">
        <f>IFERROR(__xludf.DUMMYFUNCTION("""COMPUTED_VALUE"""),"Form. Pedagógica")</f>
        <v>Form. Pedagógica</v>
      </c>
      <c r="C362" s="390" t="str">
        <f>IFERROR(__xludf.DUMMYFUNCTION("""COMPUTED_VALUE"""),"Letras - Português e Inglês")</f>
        <v>Letras - Português e Inglês</v>
      </c>
      <c r="D362" s="390" t="str">
        <f>IFERROR(__xludf.DUMMYFUNCTION("""COMPUTED_VALUE"""),"Entregue 29/01/2025 - E-mail e Kinbox - Mariana")</f>
        <v>Entregue 29/01/2025 - E-mail e Kinbox - Mariana</v>
      </c>
      <c r="E362" s="390"/>
      <c r="F362" s="390"/>
      <c r="G362" s="390"/>
      <c r="H362" s="390"/>
      <c r="I362" s="390"/>
      <c r="J362" s="390"/>
      <c r="K362" s="390"/>
      <c r="L362" s="390"/>
      <c r="M362" s="390"/>
      <c r="N362" s="390"/>
      <c r="O362" s="390"/>
      <c r="P362" s="390"/>
      <c r="Q362" s="390"/>
      <c r="R362" s="390"/>
      <c r="S362" s="390"/>
      <c r="T362" s="390"/>
      <c r="U362" s="390"/>
      <c r="V362" s="390"/>
      <c r="W362" s="390"/>
      <c r="X362" s="390"/>
      <c r="Y362" s="390"/>
    </row>
    <row r="363">
      <c r="A363" s="390" t="str">
        <f>IFERROR(__xludf.DUMMYFUNCTION("""COMPUTED_VALUE"""),"Valdemir Marcelino Cabral")</f>
        <v>Valdemir Marcelino Cabral</v>
      </c>
      <c r="B363" s="390" t="str">
        <f>IFERROR(__xludf.DUMMYFUNCTION("""COMPUTED_VALUE"""),"2° Licenciatura")</f>
        <v>2° Licenciatura</v>
      </c>
      <c r="C363" s="390" t="str">
        <f>IFERROR(__xludf.DUMMYFUNCTION("""COMPUTED_VALUE"""),"Artes Visuais")</f>
        <v>Artes Visuais</v>
      </c>
      <c r="D363" s="390" t="str">
        <f>IFERROR(__xludf.DUMMYFUNCTION("""COMPUTED_VALUE"""),"Entregue 29/01/2025 - E-mail e Kinbox - Mariana")</f>
        <v>Entregue 29/01/2025 - E-mail e Kinbox - Mariana</v>
      </c>
      <c r="E363" s="390"/>
      <c r="F363" s="390"/>
      <c r="G363" s="390"/>
      <c r="H363" s="390"/>
      <c r="I363" s="390"/>
      <c r="J363" s="390"/>
      <c r="K363" s="390"/>
      <c r="L363" s="390"/>
      <c r="M363" s="390"/>
      <c r="N363" s="390"/>
      <c r="O363" s="390"/>
      <c r="P363" s="390"/>
      <c r="Q363" s="390"/>
      <c r="R363" s="390"/>
      <c r="S363" s="390"/>
      <c r="T363" s="390"/>
      <c r="U363" s="390"/>
      <c r="V363" s="390"/>
      <c r="W363" s="390"/>
      <c r="X363" s="390"/>
      <c r="Y363" s="390"/>
    </row>
    <row r="364">
      <c r="A364" s="390" t="str">
        <f>IFERROR(__xludf.DUMMYFUNCTION("""COMPUTED_VALUE"""),"Joel Júlio Salomé da Costa")</f>
        <v>Joel Júlio Salomé da Costa</v>
      </c>
      <c r="B364" s="390" t="str">
        <f>IFERROR(__xludf.DUMMYFUNCTION("""COMPUTED_VALUE"""),"2° Licenciatura")</f>
        <v>2° Licenciatura</v>
      </c>
      <c r="C364" s="390" t="str">
        <f>IFERROR(__xludf.DUMMYFUNCTION("""COMPUTED_VALUE"""),"Sociologia")</f>
        <v>Sociologia</v>
      </c>
      <c r="D364" s="390" t="str">
        <f>IFERROR(__xludf.DUMMYFUNCTION("""COMPUTED_VALUE"""),"Em Andamento")</f>
        <v>Em Andamento</v>
      </c>
      <c r="E364" s="390"/>
      <c r="F364" s="390"/>
      <c r="G364" s="390"/>
      <c r="H364" s="390"/>
      <c r="I364" s="390"/>
      <c r="J364" s="390"/>
      <c r="K364" s="390"/>
      <c r="L364" s="390"/>
      <c r="M364" s="390"/>
      <c r="N364" s="390"/>
      <c r="O364" s="390"/>
      <c r="P364" s="390"/>
      <c r="Q364" s="390"/>
      <c r="R364" s="390"/>
      <c r="S364" s="390"/>
      <c r="T364" s="390"/>
      <c r="U364" s="390"/>
      <c r="V364" s="390"/>
      <c r="W364" s="390"/>
      <c r="X364" s="390"/>
      <c r="Y364" s="390"/>
    </row>
    <row r="365">
      <c r="A365" s="390" t="str">
        <f>IFERROR(__xludf.DUMMYFUNCTION("""COMPUTED_VALUE"""),"Ivete Alves da Silva")</f>
        <v>Ivete Alves da Silva</v>
      </c>
      <c r="B365" s="390" t="str">
        <f>IFERROR(__xludf.DUMMYFUNCTION("""COMPUTED_VALUE"""),"2° Licenciatura")</f>
        <v>2° Licenciatura</v>
      </c>
      <c r="C365" s="390" t="str">
        <f>IFERROR(__xludf.DUMMYFUNCTION("""COMPUTED_VALUE"""),"Geografia")</f>
        <v>Geografia</v>
      </c>
      <c r="D365" s="390"/>
      <c r="E365" s="390"/>
      <c r="F365" s="390"/>
      <c r="G365" s="390"/>
      <c r="H365" s="390"/>
      <c r="I365" s="390"/>
      <c r="J365" s="390"/>
      <c r="K365" s="390"/>
      <c r="L365" s="390"/>
      <c r="M365" s="390"/>
      <c r="N365" s="390"/>
      <c r="O365" s="390"/>
      <c r="P365" s="390"/>
      <c r="Q365" s="390"/>
      <c r="R365" s="390"/>
      <c r="S365" s="390"/>
      <c r="T365" s="390"/>
      <c r="U365" s="390"/>
      <c r="V365" s="390"/>
      <c r="W365" s="390"/>
      <c r="X365" s="390"/>
      <c r="Y365" s="390"/>
    </row>
    <row r="366">
      <c r="A366" s="390" t="str">
        <f>IFERROR(__xludf.DUMMYFUNCTION("""COMPUTED_VALUE"""),"Regina Célia De Araújo Jacob")</f>
        <v>Regina Célia De Araújo Jacob</v>
      </c>
      <c r="B366" s="390" t="str">
        <f>IFERROR(__xludf.DUMMYFUNCTION("""COMPUTED_VALUE"""),"2° Licenciatura")</f>
        <v>2° Licenciatura</v>
      </c>
      <c r="C366" s="390" t="str">
        <f>IFERROR(__xludf.DUMMYFUNCTION("""COMPUTED_VALUE"""),"Filosofia")</f>
        <v>Filosofia</v>
      </c>
      <c r="D366" s="390" t="str">
        <f>IFERROR(__xludf.DUMMYFUNCTION("""COMPUTED_VALUE"""),"Em andamento")</f>
        <v>Em andamento</v>
      </c>
      <c r="E366" s="390"/>
      <c r="F366" s="390"/>
      <c r="G366" s="390"/>
      <c r="H366" s="390"/>
      <c r="I366" s="390"/>
      <c r="J366" s="390"/>
      <c r="K366" s="390"/>
      <c r="L366" s="390"/>
      <c r="M366" s="390"/>
      <c r="N366" s="390"/>
      <c r="O366" s="390"/>
      <c r="P366" s="390"/>
      <c r="Q366" s="390"/>
      <c r="R366" s="390"/>
      <c r="S366" s="390"/>
      <c r="T366" s="390"/>
      <c r="U366" s="390"/>
      <c r="V366" s="390"/>
      <c r="W366" s="390"/>
      <c r="X366" s="390"/>
      <c r="Y366" s="390"/>
    </row>
    <row r="367">
      <c r="A367" s="390" t="str">
        <f>IFERROR(__xludf.DUMMYFUNCTION("""COMPUTED_VALUE"""),"Vinicius Figueiredo Santos")</f>
        <v>Vinicius Figueiredo Santos</v>
      </c>
      <c r="B367" s="390" t="str">
        <f>IFERROR(__xludf.DUMMYFUNCTION("""COMPUTED_VALUE"""),"Form. Pedagógica")</f>
        <v>Form. Pedagógica</v>
      </c>
      <c r="C367" s="390" t="str">
        <f>IFERROR(__xludf.DUMMYFUNCTION("""COMPUTED_VALUE"""),"Educação Física")</f>
        <v>Educação Física</v>
      </c>
      <c r="D367" s="390"/>
      <c r="E367" s="390"/>
      <c r="F367" s="390"/>
      <c r="G367" s="390"/>
      <c r="H367" s="390"/>
      <c r="I367" s="390"/>
      <c r="J367" s="390"/>
      <c r="K367" s="390"/>
      <c r="L367" s="390"/>
      <c r="M367" s="390"/>
      <c r="N367" s="390"/>
      <c r="O367" s="390"/>
      <c r="P367" s="390"/>
      <c r="Q367" s="390"/>
      <c r="R367" s="390"/>
      <c r="S367" s="390"/>
      <c r="T367" s="390"/>
      <c r="U367" s="390"/>
      <c r="V367" s="390"/>
      <c r="W367" s="390"/>
      <c r="X367" s="390"/>
      <c r="Y367" s="390"/>
    </row>
    <row r="368">
      <c r="A368" s="390" t="str">
        <f>IFERROR(__xludf.DUMMYFUNCTION("""COMPUTED_VALUE"""),"Cláudio César Diniz")</f>
        <v>Cláudio César Diniz</v>
      </c>
      <c r="B368" s="390" t="str">
        <f>IFERROR(__xludf.DUMMYFUNCTION("""COMPUTED_VALUE"""),"Form. Pedagógica")</f>
        <v>Form. Pedagógica</v>
      </c>
      <c r="C368" s="390" t="str">
        <f>IFERROR(__xludf.DUMMYFUNCTION("""COMPUTED_VALUE"""),"Filosofia")</f>
        <v>Filosofia</v>
      </c>
      <c r="D368" s="390" t="str">
        <f>IFERROR(__xludf.DUMMYFUNCTION("""COMPUTED_VALUE"""),"Entrgue dia 28/02/2025")</f>
        <v>Entrgue dia 28/02/2025</v>
      </c>
      <c r="E368" s="390"/>
      <c r="F368" s="390"/>
      <c r="G368" s="390"/>
      <c r="H368" s="390"/>
      <c r="I368" s="390"/>
      <c r="J368" s="390"/>
      <c r="K368" s="390"/>
      <c r="L368" s="390"/>
      <c r="M368" s="390"/>
      <c r="N368" s="390"/>
      <c r="O368" s="390"/>
      <c r="P368" s="390"/>
      <c r="Q368" s="390"/>
      <c r="R368" s="390"/>
      <c r="S368" s="390"/>
      <c r="T368" s="390"/>
      <c r="U368" s="390"/>
      <c r="V368" s="390"/>
      <c r="W368" s="390"/>
      <c r="X368" s="390"/>
      <c r="Y368" s="390"/>
    </row>
    <row r="369">
      <c r="A369" s="390" t="str">
        <f>IFERROR(__xludf.DUMMYFUNCTION("""COMPUTED_VALUE"""),"Jassonia Costa de Oliveira")</f>
        <v>Jassonia Costa de Oliveira</v>
      </c>
      <c r="B369" s="390" t="str">
        <f>IFERROR(__xludf.DUMMYFUNCTION("""COMPUTED_VALUE"""),"2° Licenciatura")</f>
        <v>2° Licenciatura</v>
      </c>
      <c r="C369" s="390" t="str">
        <f>IFERROR(__xludf.DUMMYFUNCTION("""COMPUTED_VALUE"""),"História")</f>
        <v>História</v>
      </c>
      <c r="D369" s="390" t="str">
        <f>IFERROR(__xludf.DUMMYFUNCTION("""COMPUTED_VALUE"""),"Entrgue dia 28/02/2025")</f>
        <v>Entrgue dia 28/02/2025</v>
      </c>
      <c r="E369" s="390"/>
      <c r="F369" s="390"/>
      <c r="G369" s="390"/>
      <c r="H369" s="390"/>
      <c r="I369" s="390"/>
      <c r="J369" s="390"/>
      <c r="K369" s="390"/>
      <c r="L369" s="390"/>
      <c r="M369" s="390"/>
      <c r="N369" s="390"/>
      <c r="O369" s="390"/>
      <c r="P369" s="390"/>
      <c r="Q369" s="390"/>
      <c r="R369" s="390"/>
      <c r="S369" s="390"/>
      <c r="T369" s="390"/>
      <c r="U369" s="390"/>
      <c r="V369" s="390"/>
      <c r="W369" s="390"/>
      <c r="X369" s="390"/>
      <c r="Y369" s="390"/>
    </row>
    <row r="370">
      <c r="A370" s="390" t="str">
        <f>IFERROR(__xludf.DUMMYFUNCTION("""COMPUTED_VALUE"""),"André Victor Brito de Andrade")</f>
        <v>André Victor Brito de Andrade</v>
      </c>
      <c r="B370" s="390" t="str">
        <f>IFERROR(__xludf.DUMMYFUNCTION("""COMPUTED_VALUE"""),"2° Licenciatura")</f>
        <v>2° Licenciatura</v>
      </c>
      <c r="C370" s="390" t="str">
        <f>IFERROR(__xludf.DUMMYFUNCTION("""COMPUTED_VALUE"""),"Geografia")</f>
        <v>Geografia</v>
      </c>
      <c r="D370" s="390" t="str">
        <f>IFERROR(__xludf.DUMMYFUNCTION("""COMPUTED_VALUE"""),"Entrgue dia 28/02/2025")</f>
        <v>Entrgue dia 28/02/2025</v>
      </c>
      <c r="E370" s="390"/>
      <c r="F370" s="390"/>
      <c r="G370" s="390"/>
      <c r="H370" s="390"/>
      <c r="I370" s="390"/>
      <c r="J370" s="390"/>
      <c r="K370" s="390"/>
      <c r="L370" s="390"/>
      <c r="M370" s="390"/>
      <c r="N370" s="390"/>
      <c r="O370" s="390"/>
      <c r="P370" s="390"/>
      <c r="Q370" s="390"/>
      <c r="R370" s="390"/>
      <c r="S370" s="390"/>
      <c r="T370" s="390"/>
      <c r="U370" s="390"/>
      <c r="V370" s="390"/>
      <c r="W370" s="390"/>
      <c r="X370" s="390"/>
      <c r="Y370" s="390"/>
    </row>
    <row r="371">
      <c r="A371" s="390" t="str">
        <f>IFERROR(__xludf.DUMMYFUNCTION("""COMPUTED_VALUE"""),"Guilherme Martinez Freire")</f>
        <v>Guilherme Martinez Freire</v>
      </c>
      <c r="B371" s="390" t="str">
        <f>IFERROR(__xludf.DUMMYFUNCTION("""COMPUTED_VALUE"""),"Form. Pedagógica")</f>
        <v>Form. Pedagógica</v>
      </c>
      <c r="C371" s="390" t="str">
        <f>IFERROR(__xludf.DUMMYFUNCTION("""COMPUTED_VALUE"""),"Educação Física")</f>
        <v>Educação Física</v>
      </c>
      <c r="D371" s="390" t="str">
        <f>IFERROR(__xludf.DUMMYFUNCTION("""COMPUTED_VALUE"""),"Entregue dia 28/02/2025")</f>
        <v>Entregue dia 28/02/2025</v>
      </c>
      <c r="E371" s="390"/>
      <c r="F371" s="390"/>
      <c r="G371" s="390"/>
      <c r="H371" s="390"/>
      <c r="I371" s="390"/>
      <c r="J371" s="390"/>
      <c r="K371" s="390"/>
      <c r="L371" s="390"/>
      <c r="M371" s="390"/>
      <c r="N371" s="390"/>
      <c r="O371" s="390"/>
      <c r="P371" s="390"/>
      <c r="Q371" s="390"/>
      <c r="R371" s="390"/>
      <c r="S371" s="390"/>
      <c r="T371" s="390"/>
      <c r="U371" s="390"/>
      <c r="V371" s="390"/>
      <c r="W371" s="390"/>
      <c r="X371" s="390"/>
      <c r="Y371" s="390"/>
    </row>
    <row r="372">
      <c r="A372" s="390" t="str">
        <f>IFERROR(__xludf.DUMMYFUNCTION("""COMPUTED_VALUE"""),"Anderson José Francisco Silva")</f>
        <v>Anderson José Francisco Silva</v>
      </c>
      <c r="B372" s="390" t="str">
        <f>IFERROR(__xludf.DUMMYFUNCTION("""COMPUTED_VALUE"""),"2° Licenciatura")</f>
        <v>2° Licenciatura</v>
      </c>
      <c r="C372" s="390" t="str">
        <f>IFERROR(__xludf.DUMMYFUNCTION("""COMPUTED_VALUE"""),"Filosofia")</f>
        <v>Filosofia</v>
      </c>
      <c r="D372" s="390" t="str">
        <f>IFERROR(__xludf.DUMMYFUNCTION("""COMPUTED_VALUE"""),"Entregue dia 28/02/2025")</f>
        <v>Entregue dia 28/02/2025</v>
      </c>
      <c r="E372" s="390"/>
      <c r="F372" s="390"/>
      <c r="G372" s="390"/>
      <c r="H372" s="390"/>
      <c r="I372" s="390"/>
      <c r="J372" s="390"/>
      <c r="K372" s="390"/>
      <c r="L372" s="390"/>
      <c r="M372" s="390"/>
      <c r="N372" s="390"/>
      <c r="O372" s="390"/>
      <c r="P372" s="390"/>
      <c r="Q372" s="390"/>
      <c r="R372" s="390"/>
      <c r="S372" s="390"/>
      <c r="T372" s="390"/>
      <c r="U372" s="390"/>
      <c r="V372" s="390"/>
      <c r="W372" s="390"/>
      <c r="X372" s="390"/>
      <c r="Y372" s="390"/>
    </row>
    <row r="373">
      <c r="A373" s="390" t="str">
        <f>IFERROR(__xludf.DUMMYFUNCTION("""COMPUTED_VALUE"""),"Maria Rosete da Silva Santos")</f>
        <v>Maria Rosete da Silva Santos</v>
      </c>
      <c r="B373" s="390" t="str">
        <f>IFERROR(__xludf.DUMMYFUNCTION("""COMPUTED_VALUE"""),"2° Licenciatura")</f>
        <v>2° Licenciatura</v>
      </c>
      <c r="C373" s="390" t="str">
        <f>IFERROR(__xludf.DUMMYFUNCTION("""COMPUTED_VALUE"""),"Letras - Português e Inglês")</f>
        <v>Letras - Português e Inglês</v>
      </c>
      <c r="D373" s="390" t="str">
        <f>IFERROR(__xludf.DUMMYFUNCTION("""COMPUTED_VALUE"""),"Entregue 07/03/2025")</f>
        <v>Entregue 07/03/2025</v>
      </c>
      <c r="E373" s="390"/>
      <c r="F373" s="390"/>
      <c r="G373" s="390"/>
      <c r="H373" s="390"/>
      <c r="I373" s="390"/>
      <c r="J373" s="390"/>
      <c r="K373" s="390"/>
      <c r="L373" s="390"/>
      <c r="M373" s="390"/>
      <c r="N373" s="390"/>
      <c r="O373" s="390"/>
      <c r="P373" s="390"/>
      <c r="Q373" s="390"/>
      <c r="R373" s="390"/>
      <c r="S373" s="390"/>
      <c r="T373" s="390"/>
      <c r="U373" s="390"/>
      <c r="V373" s="390"/>
      <c r="W373" s="390"/>
      <c r="X373" s="390"/>
      <c r="Y373" s="390"/>
    </row>
    <row r="374">
      <c r="A374" s="390" t="str">
        <f>IFERROR(__xludf.DUMMYFUNCTION("""COMPUTED_VALUE"""),"Renata Santos de Jesus")</f>
        <v>Renata Santos de Jesus</v>
      </c>
      <c r="B374" s="390" t="str">
        <f>IFERROR(__xludf.DUMMYFUNCTION("""COMPUTED_VALUE"""),"2° Licenciatura")</f>
        <v>2° Licenciatura</v>
      </c>
      <c r="C374" s="390" t="str">
        <f>IFERROR(__xludf.DUMMYFUNCTION("""COMPUTED_VALUE"""),"Pedagogia")</f>
        <v>Pedagogia</v>
      </c>
      <c r="D374" s="390" t="str">
        <f>IFERROR(__xludf.DUMMYFUNCTION("""COMPUTED_VALUE"""),"Entregue em 11/03/2025 - Kinbox e e-mail - Miguel")</f>
        <v>Entregue em 11/03/2025 - Kinbox e e-mail - Miguel</v>
      </c>
      <c r="E374" s="390"/>
      <c r="F374" s="390"/>
      <c r="G374" s="390"/>
      <c r="H374" s="390"/>
      <c r="I374" s="390"/>
      <c r="J374" s="390"/>
      <c r="K374" s="390"/>
      <c r="L374" s="390"/>
      <c r="M374" s="390"/>
      <c r="N374" s="390"/>
      <c r="O374" s="390"/>
      <c r="P374" s="390"/>
      <c r="Q374" s="390"/>
      <c r="R374" s="390"/>
      <c r="S374" s="390"/>
      <c r="T374" s="390"/>
      <c r="U374" s="390"/>
      <c r="V374" s="390"/>
      <c r="W374" s="390"/>
      <c r="X374" s="390"/>
      <c r="Y374" s="390"/>
    </row>
    <row r="375">
      <c r="A375" s="390" t="str">
        <f>IFERROR(__xludf.DUMMYFUNCTION("""COMPUTED_VALUE"""),"Thainara Ribeiro dos Santos")</f>
        <v>Thainara Ribeiro dos Santos</v>
      </c>
      <c r="B375" s="390" t="str">
        <f>IFERROR(__xludf.DUMMYFUNCTION("""COMPUTED_VALUE"""),"2° Licenciatura")</f>
        <v>2° Licenciatura</v>
      </c>
      <c r="C375" s="390" t="str">
        <f>IFERROR(__xludf.DUMMYFUNCTION("""COMPUTED_VALUE"""),"Matemática")</f>
        <v>Matemática</v>
      </c>
      <c r="D375" s="390" t="str">
        <f>IFERROR(__xludf.DUMMYFUNCTION("""COMPUTED_VALUE"""),"Entregue em 11/03/2025 - Kinbox e e-mail - Miguel")</f>
        <v>Entregue em 11/03/2025 - Kinbox e e-mail - Miguel</v>
      </c>
      <c r="E375" s="390"/>
      <c r="F375" s="390"/>
      <c r="G375" s="390"/>
      <c r="H375" s="390"/>
      <c r="I375" s="390"/>
      <c r="J375" s="390"/>
      <c r="K375" s="390"/>
      <c r="L375" s="390"/>
      <c r="M375" s="390"/>
      <c r="N375" s="390"/>
      <c r="O375" s="390"/>
      <c r="P375" s="390"/>
      <c r="Q375" s="390"/>
      <c r="R375" s="390"/>
      <c r="S375" s="390"/>
      <c r="T375" s="390"/>
      <c r="U375" s="390"/>
      <c r="V375" s="390"/>
      <c r="W375" s="390"/>
      <c r="X375" s="390"/>
      <c r="Y375" s="390"/>
    </row>
    <row r="376">
      <c r="A376" s="390" t="str">
        <f>IFERROR(__xludf.DUMMYFUNCTION("""COMPUTED_VALUE"""),"Ana Alice de Rezende Fonseca Theobald")</f>
        <v>Ana Alice de Rezende Fonseca Theobald</v>
      </c>
      <c r="B376" s="390" t="str">
        <f>IFERROR(__xludf.DUMMYFUNCTION("""COMPUTED_VALUE"""),"2° Licenciatura")</f>
        <v>2° Licenciatura</v>
      </c>
      <c r="C376" s="390" t="str">
        <f>IFERROR(__xludf.DUMMYFUNCTION("""COMPUTED_VALUE"""),"Artes Visuais ")</f>
        <v>Artes Visuais </v>
      </c>
      <c r="D376" s="390" t="str">
        <f>IFERROR(__xludf.DUMMYFUNCTION("""COMPUTED_VALUE"""),"Entregue em 11/03/2025 - Kinbox e e-mail - Miguel")</f>
        <v>Entregue em 11/03/2025 - Kinbox e e-mail - Miguel</v>
      </c>
      <c r="E376" s="390"/>
      <c r="F376" s="390"/>
      <c r="G376" s="390"/>
      <c r="H376" s="390"/>
      <c r="I376" s="390"/>
      <c r="J376" s="390"/>
      <c r="K376" s="390"/>
      <c r="L376" s="390"/>
      <c r="M376" s="390"/>
      <c r="N376" s="390"/>
      <c r="O376" s="390"/>
      <c r="P376" s="390"/>
      <c r="Q376" s="390"/>
      <c r="R376" s="390"/>
      <c r="S376" s="390"/>
      <c r="T376" s="390"/>
      <c r="U376" s="390"/>
      <c r="V376" s="390"/>
      <c r="W376" s="390"/>
      <c r="X376" s="390"/>
      <c r="Y376" s="390"/>
    </row>
    <row r="377">
      <c r="A377" s="390" t="str">
        <f>IFERROR(__xludf.DUMMYFUNCTION("""COMPUTED_VALUE"""),"Walquiria Catarina de Souza Gabriel")</f>
        <v>Walquiria Catarina de Souza Gabriel</v>
      </c>
      <c r="B377" s="390" t="str">
        <f>IFERROR(__xludf.DUMMYFUNCTION("""COMPUTED_VALUE"""),"2° Licenciatura")</f>
        <v>2° Licenciatura</v>
      </c>
      <c r="C377" s="390" t="str">
        <f>IFERROR(__xludf.DUMMYFUNCTION("""COMPUTED_VALUE"""),"Artes Visuais")</f>
        <v>Artes Visuais</v>
      </c>
      <c r="D377" s="390" t="str">
        <f>IFERROR(__xludf.DUMMYFUNCTION("""COMPUTED_VALUE"""),"Entregue em 11/03/2025 - Kinbox e e-mail - Miguel")</f>
        <v>Entregue em 11/03/2025 - Kinbox e e-mail - Miguel</v>
      </c>
      <c r="E377" s="390"/>
      <c r="F377" s="390"/>
      <c r="G377" s="390"/>
      <c r="H377" s="390"/>
      <c r="I377" s="390"/>
      <c r="J377" s="390"/>
      <c r="K377" s="390"/>
      <c r="L377" s="390"/>
      <c r="M377" s="390"/>
      <c r="N377" s="390"/>
      <c r="O377" s="390"/>
      <c r="P377" s="390"/>
      <c r="Q377" s="390"/>
      <c r="R377" s="390"/>
      <c r="S377" s="390"/>
      <c r="T377" s="390"/>
      <c r="U377" s="390"/>
      <c r="V377" s="390"/>
      <c r="W377" s="390"/>
      <c r="X377" s="390"/>
      <c r="Y377" s="390"/>
    </row>
    <row r="378">
      <c r="A378" s="390" t="str">
        <f>IFERROR(__xludf.DUMMYFUNCTION("""COMPUTED_VALUE"""),"Gabriel Maçalai")</f>
        <v>Gabriel Maçalai</v>
      </c>
      <c r="B378" s="390" t="str">
        <f>IFERROR(__xludf.DUMMYFUNCTION("""COMPUTED_VALUE"""),"2° Licenciatura")</f>
        <v>2° Licenciatura</v>
      </c>
      <c r="C378" s="390" t="str">
        <f>IFERROR(__xludf.DUMMYFUNCTION("""COMPUTED_VALUE"""),"Ciências da Religião")</f>
        <v>Ciências da Religião</v>
      </c>
      <c r="D378" s="390" t="str">
        <f>IFERROR(__xludf.DUMMYFUNCTION("""COMPUTED_VALUE"""),"Entregue em 12/03/2025 - Kinbox e e-mail - Miguel")</f>
        <v>Entregue em 12/03/2025 - Kinbox e e-mail - Miguel</v>
      </c>
      <c r="E378" s="390"/>
      <c r="F378" s="390"/>
      <c r="G378" s="390"/>
      <c r="H378" s="390"/>
      <c r="I378" s="390"/>
      <c r="J378" s="390"/>
      <c r="K378" s="390"/>
      <c r="L378" s="390"/>
      <c r="M378" s="390"/>
      <c r="N378" s="390"/>
      <c r="O378" s="390"/>
      <c r="P378" s="390"/>
      <c r="Q378" s="390"/>
      <c r="R378" s="390"/>
      <c r="S378" s="390"/>
      <c r="T378" s="390"/>
      <c r="U378" s="390"/>
      <c r="V378" s="390"/>
      <c r="W378" s="390"/>
      <c r="X378" s="390"/>
      <c r="Y378" s="390"/>
    </row>
    <row r="379">
      <c r="A379" s="390" t="str">
        <f>IFERROR(__xludf.DUMMYFUNCTION("""COMPUTED_VALUE"""),"Jucileia Paula Coelho")</f>
        <v>Jucileia Paula Coelho</v>
      </c>
      <c r="B379" s="390" t="str">
        <f>IFERROR(__xludf.DUMMYFUNCTION("""COMPUTED_VALUE"""),"Form. Pedagógica")</f>
        <v>Form. Pedagógica</v>
      </c>
      <c r="C379" s="390" t="str">
        <f>IFERROR(__xludf.DUMMYFUNCTION("""COMPUTED_VALUE"""),"Educação Especial")</f>
        <v>Educação Especial</v>
      </c>
      <c r="D379" s="390" t="str">
        <f>IFERROR(__xludf.DUMMYFUNCTION("""COMPUTED_VALUE"""),"Entregue em 18/03/2025 - Kinbox e e-mail - Miguel")</f>
        <v>Entregue em 18/03/2025 - Kinbox e e-mail - Miguel</v>
      </c>
      <c r="E379" s="390"/>
      <c r="F379" s="390"/>
      <c r="G379" s="390"/>
      <c r="H379" s="390"/>
      <c r="I379" s="390"/>
      <c r="J379" s="390"/>
      <c r="K379" s="390"/>
      <c r="L379" s="390"/>
      <c r="M379" s="390"/>
      <c r="N379" s="390"/>
      <c r="O379" s="390"/>
      <c r="P379" s="390"/>
      <c r="Q379" s="390"/>
      <c r="R379" s="390"/>
      <c r="S379" s="390"/>
      <c r="T379" s="390"/>
      <c r="U379" s="390"/>
      <c r="V379" s="390"/>
      <c r="W379" s="390"/>
      <c r="X379" s="390"/>
      <c r="Y379" s="390"/>
    </row>
    <row r="380">
      <c r="A380" s="390" t="str">
        <f>IFERROR(__xludf.DUMMYFUNCTION("""COMPUTED_VALUE"""),"Rafaela Mateus de Paula Ferreira")</f>
        <v>Rafaela Mateus de Paula Ferreira</v>
      </c>
      <c r="B380" s="390" t="str">
        <f>IFERROR(__xludf.DUMMYFUNCTION("""COMPUTED_VALUE"""),"Form. Pedagógica")</f>
        <v>Form. Pedagógica</v>
      </c>
      <c r="C380" s="390" t="str">
        <f>IFERROR(__xludf.DUMMYFUNCTION("""COMPUTED_VALUE"""),"Pedagogia")</f>
        <v>Pedagogia</v>
      </c>
      <c r="D380" s="390" t="str">
        <f>IFERROR(__xludf.DUMMYFUNCTION("""COMPUTED_VALUE"""),"Entregue em 18/03/2025 - Kinbox e e-mail - Miguel")</f>
        <v>Entregue em 18/03/2025 - Kinbox e e-mail - Miguel</v>
      </c>
      <c r="E380" s="390"/>
      <c r="F380" s="390"/>
      <c r="G380" s="390"/>
      <c r="H380" s="390"/>
      <c r="I380" s="390"/>
      <c r="J380" s="390"/>
      <c r="K380" s="390"/>
      <c r="L380" s="390"/>
      <c r="M380" s="390"/>
      <c r="N380" s="390"/>
      <c r="O380" s="390"/>
      <c r="P380" s="390"/>
      <c r="Q380" s="390"/>
      <c r="R380" s="390"/>
      <c r="S380" s="390"/>
      <c r="T380" s="390"/>
      <c r="U380" s="390"/>
      <c r="V380" s="390"/>
      <c r="W380" s="390"/>
      <c r="X380" s="390"/>
      <c r="Y380" s="390"/>
    </row>
    <row r="381">
      <c r="A381" s="390" t="str">
        <f>IFERROR(__xludf.DUMMYFUNCTION("""COMPUTED_VALUE"""),"Gabriela Ortiz da Rosa Barboza Jacoby")</f>
        <v>Gabriela Ortiz da Rosa Barboza Jacoby</v>
      </c>
      <c r="B381" s="390" t="str">
        <f>IFERROR(__xludf.DUMMYFUNCTION("""COMPUTED_VALUE"""),"Form. Pedagógica")</f>
        <v>Form. Pedagógica</v>
      </c>
      <c r="C381" s="390" t="str">
        <f>IFERROR(__xludf.DUMMYFUNCTION("""COMPUTED_VALUE"""),"Letras - Português e Inglês")</f>
        <v>Letras - Português e Inglês</v>
      </c>
      <c r="D381" s="390" t="str">
        <f>IFERROR(__xludf.DUMMYFUNCTION("""COMPUTED_VALUE"""),"Entregue em 18/03/2025 - Kinbox e e-mail - Miguel")</f>
        <v>Entregue em 18/03/2025 - Kinbox e e-mail - Miguel</v>
      </c>
      <c r="E381" s="390"/>
      <c r="F381" s="390"/>
      <c r="G381" s="390"/>
      <c r="H381" s="390"/>
      <c r="I381" s="390"/>
      <c r="J381" s="390"/>
      <c r="K381" s="390"/>
      <c r="L381" s="390"/>
      <c r="M381" s="390"/>
      <c r="N381" s="390"/>
      <c r="O381" s="390"/>
      <c r="P381" s="390"/>
      <c r="Q381" s="390"/>
      <c r="R381" s="390"/>
      <c r="S381" s="390"/>
      <c r="T381" s="390"/>
      <c r="U381" s="390"/>
      <c r="V381" s="390"/>
      <c r="W381" s="390"/>
      <c r="X381" s="390"/>
      <c r="Y381" s="390"/>
    </row>
    <row r="382">
      <c r="A382" s="390" t="str">
        <f>IFERROR(__xludf.DUMMYFUNCTION("""COMPUTED_VALUE"""),"Marina Pires Neder")</f>
        <v>Marina Pires Neder</v>
      </c>
      <c r="B382" s="390" t="str">
        <f>IFERROR(__xludf.DUMMYFUNCTION("""COMPUTED_VALUE"""),"2° Licenciatura")</f>
        <v>2° Licenciatura</v>
      </c>
      <c r="C382" s="390" t="str">
        <f>IFERROR(__xludf.DUMMYFUNCTION("""COMPUTED_VALUE"""),"Pedagogia")</f>
        <v>Pedagogia</v>
      </c>
      <c r="D382" s="390" t="str">
        <f>IFERROR(__xludf.DUMMYFUNCTION("""COMPUTED_VALUE"""),"Entregue kinbox e e-mail 17/03/2025 - Carla")</f>
        <v>Entregue kinbox e e-mail 17/03/2025 - Carla</v>
      </c>
      <c r="E382" s="390"/>
      <c r="F382" s="390"/>
      <c r="G382" s="390"/>
      <c r="H382" s="390"/>
      <c r="I382" s="390"/>
      <c r="J382" s="390"/>
      <c r="K382" s="390"/>
      <c r="L382" s="390"/>
      <c r="M382" s="390"/>
      <c r="N382" s="390"/>
      <c r="O382" s="390"/>
      <c r="P382" s="390"/>
      <c r="Q382" s="390"/>
      <c r="R382" s="390"/>
      <c r="S382" s="390"/>
      <c r="T382" s="390"/>
      <c r="U382" s="390"/>
      <c r="V382" s="390"/>
      <c r="W382" s="390"/>
      <c r="X382" s="390"/>
      <c r="Y382" s="390"/>
    </row>
    <row r="383">
      <c r="A383" s="390" t="str">
        <f>IFERROR(__xludf.DUMMYFUNCTION("""COMPUTED_VALUE"""),"Elen Marcia Ferreira Américo")</f>
        <v>Elen Marcia Ferreira Américo</v>
      </c>
      <c r="B383" s="390" t="str">
        <f>IFERROR(__xludf.DUMMYFUNCTION("""COMPUTED_VALUE"""),"2° Licenciatura")</f>
        <v>2° Licenciatura</v>
      </c>
      <c r="C383" s="390" t="str">
        <f>IFERROR(__xludf.DUMMYFUNCTION("""COMPUTED_VALUE"""),"Educação Especial")</f>
        <v>Educação Especial</v>
      </c>
      <c r="D383" s="390" t="str">
        <f>IFERROR(__xludf.DUMMYFUNCTION("""COMPUTED_VALUE"""),"Entregue Kinbox e e-mail 14/05/2025 - Carla")</f>
        <v>Entregue Kinbox e e-mail 14/05/2025 - Carla</v>
      </c>
      <c r="E383" s="390"/>
      <c r="F383" s="390"/>
      <c r="G383" s="390"/>
      <c r="H383" s="390"/>
      <c r="I383" s="390"/>
      <c r="J383" s="390"/>
      <c r="K383" s="390"/>
      <c r="L383" s="390"/>
      <c r="M383" s="390"/>
      <c r="N383" s="390"/>
      <c r="O383" s="390"/>
      <c r="P383" s="390"/>
      <c r="Q383" s="390"/>
      <c r="R383" s="390"/>
      <c r="S383" s="390"/>
      <c r="T383" s="390"/>
      <c r="U383" s="390"/>
      <c r="V383" s="390"/>
      <c r="W383" s="390"/>
      <c r="X383" s="390"/>
      <c r="Y383" s="390"/>
    </row>
    <row r="384">
      <c r="A384" s="390" t="str">
        <f>IFERROR(__xludf.DUMMYFUNCTION("""COMPUTED_VALUE"""),"Débora Vanessa Rocha Alves Amancio")</f>
        <v>Débora Vanessa Rocha Alves Amancio</v>
      </c>
      <c r="B384" s="390" t="str">
        <f>IFERROR(__xludf.DUMMYFUNCTION("""COMPUTED_VALUE"""),"2° Licenciatura")</f>
        <v>2° Licenciatura</v>
      </c>
      <c r="C384" s="390" t="str">
        <f>IFERROR(__xludf.DUMMYFUNCTION("""COMPUTED_VALUE"""),"Educação Fisica")</f>
        <v>Educação Fisica</v>
      </c>
      <c r="D384" s="390" t="str">
        <f>IFERROR(__xludf.DUMMYFUNCTION("""COMPUTED_VALUE"""),"Entregue pela Unicv")</f>
        <v>Entregue pela Unicv</v>
      </c>
      <c r="E384" s="390"/>
      <c r="F384" s="390"/>
      <c r="G384" s="390"/>
      <c r="H384" s="390"/>
      <c r="I384" s="390"/>
      <c r="J384" s="390"/>
      <c r="K384" s="390"/>
      <c r="L384" s="390"/>
      <c r="M384" s="390"/>
      <c r="N384" s="390"/>
      <c r="O384" s="390"/>
      <c r="P384" s="390"/>
      <c r="Q384" s="390"/>
      <c r="R384" s="390"/>
      <c r="S384" s="390"/>
      <c r="T384" s="390"/>
      <c r="U384" s="390"/>
      <c r="V384" s="390"/>
      <c r="W384" s="390"/>
      <c r="X384" s="390"/>
      <c r="Y384" s="390"/>
    </row>
    <row r="385">
      <c r="A385" s="390" t="str">
        <f>IFERROR(__xludf.DUMMYFUNCTION("""COMPUTED_VALUE"""),"Ana Laura dos Santos Ferreira Janes")</f>
        <v>Ana Laura dos Santos Ferreira Janes</v>
      </c>
      <c r="B385" s="390" t="str">
        <f>IFERROR(__xludf.DUMMYFUNCTION("""COMPUTED_VALUE"""),"2° Licenciatura")</f>
        <v>2° Licenciatura</v>
      </c>
      <c r="C385" s="390" t="str">
        <f>IFERROR(__xludf.DUMMYFUNCTION("""COMPUTED_VALUE"""),"Pedagogia")</f>
        <v>Pedagogia</v>
      </c>
      <c r="D385" s="390" t="str">
        <f>IFERROR(__xludf.DUMMYFUNCTION("""COMPUTED_VALUE"""),"Entregue em 05/02/2025 - E-mail e Kinbox - Mariana")</f>
        <v>Entregue em 05/02/2025 - E-mail e Kinbox - Mariana</v>
      </c>
      <c r="E385" s="390"/>
      <c r="F385" s="390"/>
      <c r="G385" s="390"/>
      <c r="H385" s="390"/>
      <c r="I385" s="390"/>
      <c r="J385" s="390"/>
      <c r="K385" s="390"/>
      <c r="L385" s="390"/>
      <c r="M385" s="390"/>
      <c r="N385" s="390"/>
      <c r="O385" s="390"/>
      <c r="P385" s="390"/>
      <c r="Q385" s="390"/>
      <c r="R385" s="390"/>
      <c r="S385" s="390"/>
      <c r="T385" s="390"/>
      <c r="U385" s="390"/>
      <c r="V385" s="390"/>
      <c r="W385" s="390"/>
      <c r="X385" s="390"/>
      <c r="Y385" s="390"/>
    </row>
    <row r="386">
      <c r="A386" s="390" t="str">
        <f>IFERROR(__xludf.DUMMYFUNCTION("""COMPUTED_VALUE"""),"Eder Monteiro Salgado")</f>
        <v>Eder Monteiro Salgado</v>
      </c>
      <c r="B386" s="390" t="str">
        <f>IFERROR(__xludf.DUMMYFUNCTION("""COMPUTED_VALUE"""),"Form. Pedagógica")</f>
        <v>Form. Pedagógica</v>
      </c>
      <c r="C386" s="390" t="str">
        <f>IFERROR(__xludf.DUMMYFUNCTION("""COMPUTED_VALUE"""),"História")</f>
        <v>História</v>
      </c>
      <c r="D386" s="390" t="str">
        <f>IFERROR(__xludf.DUMMYFUNCTION("""COMPUTED_VALUE"""),"Concluido")</f>
        <v>Concluido</v>
      </c>
      <c r="E386" s="390"/>
      <c r="F386" s="390"/>
      <c r="G386" s="390"/>
      <c r="H386" s="390"/>
      <c r="I386" s="390"/>
      <c r="J386" s="390"/>
      <c r="K386" s="390"/>
      <c r="L386" s="390"/>
      <c r="M386" s="390"/>
      <c r="N386" s="390"/>
      <c r="O386" s="390"/>
      <c r="P386" s="390"/>
      <c r="Q386" s="390"/>
      <c r="R386" s="390"/>
      <c r="S386" s="390"/>
      <c r="T386" s="390"/>
      <c r="U386" s="390"/>
      <c r="V386" s="390"/>
      <c r="W386" s="390"/>
      <c r="X386" s="390"/>
      <c r="Y386" s="390"/>
    </row>
    <row r="387">
      <c r="A387" s="390" t="str">
        <f>IFERROR(__xludf.DUMMYFUNCTION("""COMPUTED_VALUE"""),"Keila Ribeiro da Silva ")</f>
        <v>Keila Ribeiro da Silva </v>
      </c>
      <c r="B387" s="390" t="str">
        <f>IFERROR(__xludf.DUMMYFUNCTION("""COMPUTED_VALUE"""),"2° Licenciatura")</f>
        <v>2° Licenciatura</v>
      </c>
      <c r="C387" s="390" t="str">
        <f>IFERROR(__xludf.DUMMYFUNCTION("""COMPUTED_VALUE"""),"Letras - Português e Inglês")</f>
        <v>Letras - Português e Inglês</v>
      </c>
      <c r="D387" s="390" t="str">
        <f>IFERROR(__xludf.DUMMYFUNCTION("""COMPUTED_VALUE"""),"Concluído")</f>
        <v>Concluído</v>
      </c>
      <c r="E387" s="390"/>
      <c r="F387" s="390"/>
      <c r="G387" s="390"/>
      <c r="H387" s="390"/>
      <c r="I387" s="390"/>
      <c r="J387" s="390"/>
      <c r="K387" s="390"/>
      <c r="L387" s="390"/>
      <c r="M387" s="390"/>
      <c r="N387" s="390"/>
      <c r="O387" s="390"/>
      <c r="P387" s="390"/>
      <c r="Q387" s="390"/>
      <c r="R387" s="390"/>
      <c r="S387" s="390"/>
      <c r="T387" s="390"/>
      <c r="U387" s="390"/>
      <c r="V387" s="390"/>
      <c r="W387" s="390"/>
      <c r="X387" s="390"/>
      <c r="Y387" s="390"/>
    </row>
    <row r="388">
      <c r="A388" s="390" t="str">
        <f>IFERROR(__xludf.DUMMYFUNCTION("""COMPUTED_VALUE"""),"Keila Ribeiro da Silva  ")</f>
        <v>Keila Ribeiro da Silva  </v>
      </c>
      <c r="B388" s="390" t="str">
        <f>IFERROR(__xludf.DUMMYFUNCTION("""COMPUTED_VALUE"""),"2° Licenciatura")</f>
        <v>2° Licenciatura</v>
      </c>
      <c r="C388" s="390" t="str">
        <f>IFERROR(__xludf.DUMMYFUNCTION("""COMPUTED_VALUE"""),"Matemática")</f>
        <v>Matemática</v>
      </c>
      <c r="D388" s="390" t="str">
        <f>IFERROR(__xludf.DUMMYFUNCTION("""COMPUTED_VALUE"""),"Concluído")</f>
        <v>Concluído</v>
      </c>
      <c r="E388" s="390"/>
      <c r="F388" s="390"/>
      <c r="G388" s="390"/>
      <c r="H388" s="390"/>
      <c r="I388" s="390"/>
      <c r="J388" s="390"/>
      <c r="K388" s="390"/>
      <c r="L388" s="390"/>
      <c r="M388" s="390"/>
      <c r="N388" s="390"/>
      <c r="O388" s="390"/>
      <c r="P388" s="390"/>
      <c r="Q388" s="390"/>
      <c r="R388" s="390"/>
      <c r="S388" s="390"/>
      <c r="T388" s="390"/>
      <c r="U388" s="390"/>
      <c r="V388" s="390"/>
      <c r="W388" s="390"/>
      <c r="X388" s="390"/>
      <c r="Y388" s="390"/>
    </row>
    <row r="389">
      <c r="A389" s="390" t="str">
        <f>IFERROR(__xludf.DUMMYFUNCTION("""COMPUTED_VALUE"""),"Ana Karoline Citadin Fernandes")</f>
        <v>Ana Karoline Citadin Fernandes</v>
      </c>
      <c r="B389" s="390" t="str">
        <f>IFERROR(__xludf.DUMMYFUNCTION("""COMPUTED_VALUE"""),"2° Licenciatura")</f>
        <v>2° Licenciatura</v>
      </c>
      <c r="C389" s="390" t="str">
        <f>IFERROR(__xludf.DUMMYFUNCTION("""COMPUTED_VALUE"""),"Pedagogia")</f>
        <v>Pedagogia</v>
      </c>
      <c r="D389" s="390" t="str">
        <f>IFERROR(__xludf.DUMMYFUNCTION("""COMPUTED_VALUE"""),"Entregue pela Unicv")</f>
        <v>Entregue pela Unicv</v>
      </c>
      <c r="E389" s="390"/>
      <c r="F389" s="390"/>
      <c r="G389" s="390"/>
      <c r="H389" s="390"/>
      <c r="I389" s="390"/>
      <c r="J389" s="390"/>
      <c r="K389" s="390"/>
      <c r="L389" s="390"/>
      <c r="M389" s="390"/>
      <c r="N389" s="390"/>
      <c r="O389" s="390"/>
      <c r="P389" s="390"/>
      <c r="Q389" s="390"/>
      <c r="R389" s="390"/>
      <c r="S389" s="390"/>
      <c r="T389" s="390"/>
      <c r="U389" s="390"/>
      <c r="V389" s="390"/>
      <c r="W389" s="390"/>
      <c r="X389" s="390"/>
      <c r="Y389" s="390"/>
    </row>
    <row r="390">
      <c r="A390" s="390" t="str">
        <f>IFERROR(__xludf.DUMMYFUNCTION("""COMPUTED_VALUE"""),"Beatriz Pereira da Costa Assis")</f>
        <v>Beatriz Pereira da Costa Assis</v>
      </c>
      <c r="B390" s="390" t="str">
        <f>IFERROR(__xludf.DUMMYFUNCTION("""COMPUTED_VALUE"""),"2° Licenciatura")</f>
        <v>2° Licenciatura</v>
      </c>
      <c r="C390" s="390" t="str">
        <f>IFERROR(__xludf.DUMMYFUNCTION("""COMPUTED_VALUE"""),"Pedagogia")</f>
        <v>Pedagogia</v>
      </c>
      <c r="D390" s="390" t="str">
        <f>IFERROR(__xludf.DUMMYFUNCTION("""COMPUTED_VALUE"""),"Entregue pela Unicv")</f>
        <v>Entregue pela Unicv</v>
      </c>
      <c r="E390" s="390"/>
      <c r="F390" s="390"/>
      <c r="G390" s="390"/>
      <c r="H390" s="390"/>
      <c r="I390" s="390"/>
      <c r="J390" s="390"/>
      <c r="K390" s="390"/>
      <c r="L390" s="390"/>
      <c r="M390" s="390"/>
      <c r="N390" s="390"/>
      <c r="O390" s="390"/>
      <c r="P390" s="390"/>
      <c r="Q390" s="390"/>
      <c r="R390" s="390"/>
      <c r="S390" s="390"/>
      <c r="T390" s="390"/>
      <c r="U390" s="390"/>
      <c r="V390" s="390"/>
      <c r="W390" s="390"/>
      <c r="X390" s="390"/>
      <c r="Y390" s="390"/>
    </row>
    <row r="391">
      <c r="A391" s="390" t="str">
        <f>IFERROR(__xludf.DUMMYFUNCTION("""COMPUTED_VALUE"""),"Dejane Mascarenhas Araujo")</f>
        <v>Dejane Mascarenhas Araujo</v>
      </c>
      <c r="B391" s="390" t="str">
        <f>IFERROR(__xludf.DUMMYFUNCTION("""COMPUTED_VALUE"""),"2° Licenciatura")</f>
        <v>2° Licenciatura</v>
      </c>
      <c r="C391" s="390" t="str">
        <f>IFERROR(__xludf.DUMMYFUNCTION("""COMPUTED_VALUE"""),"Pedagogia")</f>
        <v>Pedagogia</v>
      </c>
      <c r="D391" s="390" t="str">
        <f>IFERROR(__xludf.DUMMYFUNCTION("""COMPUTED_VALUE"""),"Em Andamento")</f>
        <v>Em Andamento</v>
      </c>
      <c r="E391" s="390"/>
      <c r="F391" s="390"/>
      <c r="G391" s="390"/>
      <c r="H391" s="390"/>
      <c r="I391" s="390"/>
      <c r="J391" s="390"/>
      <c r="K391" s="390"/>
      <c r="L391" s="390"/>
      <c r="M391" s="390"/>
      <c r="N391" s="390"/>
      <c r="O391" s="390"/>
      <c r="P391" s="390"/>
      <c r="Q391" s="390"/>
      <c r="R391" s="390"/>
      <c r="S391" s="390"/>
      <c r="T391" s="390"/>
      <c r="U391" s="390"/>
      <c r="V391" s="390"/>
      <c r="W391" s="390"/>
      <c r="X391" s="390"/>
      <c r="Y391" s="390"/>
    </row>
    <row r="392">
      <c r="A392" s="390" t="str">
        <f>IFERROR(__xludf.DUMMYFUNCTION("""COMPUTED_VALUE"""),"Josianne Oliveira Miranda")</f>
        <v>Josianne Oliveira Miranda</v>
      </c>
      <c r="B392" s="390" t="str">
        <f>IFERROR(__xludf.DUMMYFUNCTION("""COMPUTED_VALUE"""),"2° Licenciatura")</f>
        <v>2° Licenciatura</v>
      </c>
      <c r="C392" s="390" t="str">
        <f>IFERROR(__xludf.DUMMYFUNCTION("""COMPUTED_VALUE"""),"Pedagogia")</f>
        <v>Pedagogia</v>
      </c>
      <c r="D392" s="390" t="str">
        <f>IFERROR(__xludf.DUMMYFUNCTION("""COMPUTED_VALUE"""),"Em Andamento")</f>
        <v>Em Andamento</v>
      </c>
      <c r="E392" s="390"/>
      <c r="F392" s="390"/>
      <c r="G392" s="390"/>
      <c r="H392" s="390"/>
      <c r="I392" s="390"/>
      <c r="J392" s="390"/>
      <c r="K392" s="390"/>
      <c r="L392" s="390"/>
      <c r="M392" s="390"/>
      <c r="N392" s="390"/>
      <c r="O392" s="390"/>
      <c r="P392" s="390"/>
      <c r="Q392" s="390"/>
      <c r="R392" s="390"/>
      <c r="S392" s="390"/>
      <c r="T392" s="390"/>
      <c r="U392" s="390"/>
      <c r="V392" s="390"/>
      <c r="W392" s="390"/>
      <c r="X392" s="390"/>
      <c r="Y392" s="390"/>
    </row>
    <row r="393">
      <c r="A393" s="390" t="str">
        <f>IFERROR(__xludf.DUMMYFUNCTION("""COMPUTED_VALUE"""),"Cecília Micaela de Carvalho Silva")</f>
        <v>Cecília Micaela de Carvalho Silva</v>
      </c>
      <c r="B393" s="390" t="str">
        <f>IFERROR(__xludf.DUMMYFUNCTION("""COMPUTED_VALUE"""),"Form. Pedagógica")</f>
        <v>Form. Pedagógica</v>
      </c>
      <c r="C393" s="390" t="str">
        <f>IFERROR(__xludf.DUMMYFUNCTION("""COMPUTED_VALUE"""),"Letras - Português e Inglês")</f>
        <v>Letras - Português e Inglês</v>
      </c>
      <c r="D393" s="390" t="str">
        <f>IFERROR(__xludf.DUMMYFUNCTION("""COMPUTED_VALUE"""),"Em Andamento")</f>
        <v>Em Andamento</v>
      </c>
      <c r="E393" s="390"/>
      <c r="F393" s="390"/>
      <c r="G393" s="390"/>
      <c r="H393" s="390"/>
      <c r="I393" s="390"/>
      <c r="J393" s="390"/>
      <c r="K393" s="390"/>
      <c r="L393" s="390"/>
      <c r="M393" s="390"/>
      <c r="N393" s="390"/>
      <c r="O393" s="390"/>
      <c r="P393" s="390"/>
      <c r="Q393" s="390"/>
      <c r="R393" s="390"/>
      <c r="S393" s="390"/>
      <c r="T393" s="390"/>
      <c r="U393" s="390"/>
      <c r="V393" s="390"/>
      <c r="W393" s="390"/>
      <c r="X393" s="390"/>
      <c r="Y393" s="390"/>
    </row>
    <row r="394">
      <c r="A394" s="390" t="str">
        <f>IFERROR(__xludf.DUMMYFUNCTION("""COMPUTED_VALUE"""),"Ricardo Alexandre Ferraz Jacob")</f>
        <v>Ricardo Alexandre Ferraz Jacob</v>
      </c>
      <c r="B394" s="390" t="str">
        <f>IFERROR(__xludf.DUMMYFUNCTION("""COMPUTED_VALUE"""),"Form. Pedagógica")</f>
        <v>Form. Pedagógica</v>
      </c>
      <c r="C394" s="390" t="str">
        <f>IFERROR(__xludf.DUMMYFUNCTION("""COMPUTED_VALUE"""),"Educação Física")</f>
        <v>Educação Física</v>
      </c>
      <c r="D394" s="390" t="str">
        <f>IFERROR(__xludf.DUMMYFUNCTION("""COMPUTED_VALUE"""),"Em Andamento")</f>
        <v>Em Andamento</v>
      </c>
      <c r="E394" s="390"/>
      <c r="F394" s="390"/>
      <c r="G394" s="390"/>
      <c r="H394" s="390"/>
      <c r="I394" s="390"/>
      <c r="J394" s="390"/>
      <c r="K394" s="390"/>
      <c r="L394" s="390"/>
      <c r="M394" s="390"/>
      <c r="N394" s="390"/>
      <c r="O394" s="390"/>
      <c r="P394" s="390"/>
      <c r="Q394" s="390"/>
      <c r="R394" s="390"/>
      <c r="S394" s="390"/>
      <c r="T394" s="390"/>
      <c r="U394" s="390"/>
      <c r="V394" s="390"/>
      <c r="W394" s="390"/>
      <c r="X394" s="390"/>
      <c r="Y394" s="390"/>
    </row>
    <row r="395">
      <c r="A395" s="390" t="str">
        <f>IFERROR(__xludf.DUMMYFUNCTION("""COMPUTED_VALUE"""),"Ademir Balbinot")</f>
        <v>Ademir Balbinot</v>
      </c>
      <c r="B395" s="390" t="str">
        <f>IFERROR(__xludf.DUMMYFUNCTION("""COMPUTED_VALUE"""),"2° Licenciatura")</f>
        <v>2° Licenciatura</v>
      </c>
      <c r="C395" s="390" t="str">
        <f>IFERROR(__xludf.DUMMYFUNCTION("""COMPUTED_VALUE"""),"Matemática")</f>
        <v>Matemática</v>
      </c>
      <c r="D395" s="390" t="str">
        <f>IFERROR(__xludf.DUMMYFUNCTION("""COMPUTED_VALUE"""),"Entregue pela Unicv")</f>
        <v>Entregue pela Unicv</v>
      </c>
      <c r="E395" s="390"/>
      <c r="F395" s="390"/>
      <c r="G395" s="390"/>
      <c r="H395" s="390"/>
      <c r="I395" s="390"/>
      <c r="J395" s="390"/>
      <c r="K395" s="390"/>
      <c r="L395" s="390"/>
      <c r="M395" s="390"/>
      <c r="N395" s="390"/>
      <c r="O395" s="390"/>
      <c r="P395" s="390"/>
      <c r="Q395" s="390"/>
      <c r="R395" s="390"/>
      <c r="S395" s="390"/>
      <c r="T395" s="390"/>
      <c r="U395" s="390"/>
      <c r="V395" s="390"/>
      <c r="W395" s="390"/>
      <c r="X395" s="390"/>
      <c r="Y395" s="390"/>
    </row>
    <row r="396">
      <c r="A396" s="390" t="str">
        <f>IFERROR(__xludf.DUMMYFUNCTION("""COMPUTED_VALUE"""),"Cintia Marques Caldeira Aoki")</f>
        <v>Cintia Marques Caldeira Aoki</v>
      </c>
      <c r="B396" s="390" t="str">
        <f>IFERROR(__xludf.DUMMYFUNCTION("""COMPUTED_VALUE"""),"Form. Pedagógica")</f>
        <v>Form. Pedagógica</v>
      </c>
      <c r="C396" s="390" t="str">
        <f>IFERROR(__xludf.DUMMYFUNCTION("""COMPUTED_VALUE"""),"Pedagogia")</f>
        <v>Pedagogia</v>
      </c>
      <c r="D396" s="390" t="str">
        <f>IFERROR(__xludf.DUMMYFUNCTION("""COMPUTED_VALUE"""),"Recebeu o diploma pela UNICV no e-mail - 07/05/2025")</f>
        <v>Recebeu o diploma pela UNICV no e-mail - 07/05/2025</v>
      </c>
      <c r="E396" s="390"/>
      <c r="F396" s="390"/>
      <c r="G396" s="390"/>
      <c r="H396" s="390"/>
      <c r="I396" s="390"/>
      <c r="J396" s="390"/>
      <c r="K396" s="390"/>
      <c r="L396" s="390"/>
      <c r="M396" s="390"/>
      <c r="N396" s="390"/>
      <c r="O396" s="390"/>
      <c r="P396" s="390"/>
      <c r="Q396" s="390"/>
      <c r="R396" s="390"/>
      <c r="S396" s="390"/>
      <c r="T396" s="390"/>
      <c r="U396" s="390"/>
      <c r="V396" s="390"/>
      <c r="W396" s="390"/>
      <c r="X396" s="390"/>
      <c r="Y396" s="390"/>
    </row>
    <row r="397">
      <c r="A397" s="390" t="str">
        <f>IFERROR(__xludf.DUMMYFUNCTION("""COMPUTED_VALUE"""),"Ozeias Ribeiro Silva")</f>
        <v>Ozeias Ribeiro Silva</v>
      </c>
      <c r="B397" s="390" t="str">
        <f>IFERROR(__xludf.DUMMYFUNCTION("""COMPUTED_VALUE"""),"Form. Pedagógica")</f>
        <v>Form. Pedagógica</v>
      </c>
      <c r="C397" s="390" t="str">
        <f>IFERROR(__xludf.DUMMYFUNCTION("""COMPUTED_VALUE"""),"Geografia")</f>
        <v>Geografia</v>
      </c>
      <c r="D397" s="390" t="str">
        <f>IFERROR(__xludf.DUMMYFUNCTION("""COMPUTED_VALUE"""),"Entregue pela Unicv")</f>
        <v>Entregue pela Unicv</v>
      </c>
      <c r="E397" s="390"/>
      <c r="F397" s="390"/>
      <c r="G397" s="390"/>
      <c r="H397" s="390"/>
      <c r="I397" s="390"/>
      <c r="J397" s="390"/>
      <c r="K397" s="390"/>
      <c r="L397" s="390"/>
      <c r="M397" s="390"/>
      <c r="N397" s="390"/>
      <c r="O397" s="390"/>
      <c r="P397" s="390"/>
      <c r="Q397" s="390"/>
      <c r="R397" s="390"/>
      <c r="S397" s="390"/>
      <c r="T397" s="390"/>
      <c r="U397" s="390"/>
      <c r="V397" s="390"/>
      <c r="W397" s="390"/>
      <c r="X397" s="390"/>
      <c r="Y397" s="390"/>
    </row>
    <row r="398">
      <c r="A398" s="390" t="str">
        <f>IFERROR(__xludf.DUMMYFUNCTION("""COMPUTED_VALUE"""),"Ernandes Santos Xavier")</f>
        <v>Ernandes Santos Xavier</v>
      </c>
      <c r="B398" s="390" t="str">
        <f>IFERROR(__xludf.DUMMYFUNCTION("""COMPUTED_VALUE"""),"2° Licenciatura")</f>
        <v>2° Licenciatura</v>
      </c>
      <c r="C398" s="390" t="str">
        <f>IFERROR(__xludf.DUMMYFUNCTION("""COMPUTED_VALUE"""),"Matemática")</f>
        <v>Matemática</v>
      </c>
      <c r="D398" s="390" t="str">
        <f>IFERROR(__xludf.DUMMYFUNCTION("""COMPUTED_VALUE"""),"Entregue pela Unicv")</f>
        <v>Entregue pela Unicv</v>
      </c>
      <c r="E398" s="390"/>
      <c r="F398" s="390"/>
      <c r="G398" s="390"/>
      <c r="H398" s="390"/>
      <c r="I398" s="390"/>
      <c r="J398" s="390"/>
      <c r="K398" s="390"/>
      <c r="L398" s="390"/>
      <c r="M398" s="390"/>
      <c r="N398" s="390"/>
      <c r="O398" s="390"/>
      <c r="P398" s="390"/>
      <c r="Q398" s="390"/>
      <c r="R398" s="390"/>
      <c r="S398" s="390"/>
      <c r="T398" s="390"/>
      <c r="U398" s="390"/>
      <c r="V398" s="390"/>
      <c r="W398" s="390"/>
      <c r="X398" s="390"/>
      <c r="Y398" s="390"/>
    </row>
    <row r="399">
      <c r="A399" s="390" t="str">
        <f>IFERROR(__xludf.DUMMYFUNCTION("""COMPUTED_VALUE"""),"Heder Garcia Martines")</f>
        <v>Heder Garcia Martines</v>
      </c>
      <c r="B399" s="390" t="str">
        <f>IFERROR(__xludf.DUMMYFUNCTION("""COMPUTED_VALUE"""),"Form. Pedagógica")</f>
        <v>Form. Pedagógica</v>
      </c>
      <c r="C399" s="390" t="str">
        <f>IFERROR(__xludf.DUMMYFUNCTION("""COMPUTED_VALUE"""),"Educação Fisica")</f>
        <v>Educação Fisica</v>
      </c>
      <c r="D399" s="390" t="str">
        <f>IFERROR(__xludf.DUMMYFUNCTION("""COMPUTED_VALUE"""),"Entregue pela Unicv")</f>
        <v>Entregue pela Unicv</v>
      </c>
      <c r="E399" s="390"/>
      <c r="F399" s="390"/>
      <c r="G399" s="390"/>
      <c r="H399" s="390"/>
      <c r="I399" s="390"/>
      <c r="J399" s="390"/>
      <c r="K399" s="390"/>
      <c r="L399" s="390"/>
      <c r="M399" s="390"/>
      <c r="N399" s="390"/>
      <c r="O399" s="390"/>
      <c r="P399" s="390"/>
      <c r="Q399" s="390"/>
      <c r="R399" s="390"/>
      <c r="S399" s="390"/>
      <c r="T399" s="390"/>
      <c r="U399" s="390"/>
      <c r="V399" s="390"/>
      <c r="W399" s="390"/>
      <c r="X399" s="390"/>
      <c r="Y399" s="390"/>
    </row>
    <row r="400">
      <c r="A400" s="390" t="str">
        <f>IFERROR(__xludf.DUMMYFUNCTION("""COMPUTED_VALUE"""),"Elias Vargas Ramm")</f>
        <v>Elias Vargas Ramm</v>
      </c>
      <c r="B400" s="390" t="str">
        <f>IFERROR(__xludf.DUMMYFUNCTION("""COMPUTED_VALUE"""),"2° Licenciatura")</f>
        <v>2° Licenciatura</v>
      </c>
      <c r="C400" s="390" t="str">
        <f>IFERROR(__xludf.DUMMYFUNCTION("""COMPUTED_VALUE"""),"Educação Fisica")</f>
        <v>Educação Fisica</v>
      </c>
      <c r="D400" s="390" t="str">
        <f>IFERROR(__xludf.DUMMYFUNCTION("""COMPUTED_VALUE"""),"Entregue pela Unicv")</f>
        <v>Entregue pela Unicv</v>
      </c>
      <c r="E400" s="390"/>
      <c r="F400" s="390"/>
      <c r="G400" s="390"/>
      <c r="H400" s="390"/>
      <c r="I400" s="390"/>
      <c r="J400" s="390"/>
      <c r="K400" s="390"/>
      <c r="L400" s="390"/>
      <c r="M400" s="390"/>
      <c r="N400" s="390"/>
      <c r="O400" s="390"/>
      <c r="P400" s="390"/>
      <c r="Q400" s="390"/>
      <c r="R400" s="390"/>
      <c r="S400" s="390"/>
      <c r="T400" s="390"/>
      <c r="U400" s="390"/>
      <c r="V400" s="390"/>
      <c r="W400" s="390"/>
      <c r="X400" s="390"/>
      <c r="Y400" s="390"/>
    </row>
    <row r="401">
      <c r="A401" s="390" t="str">
        <f>IFERROR(__xludf.DUMMYFUNCTION("""COMPUTED_VALUE"""),"Luciana Rodrigues da Conceição")</f>
        <v>Luciana Rodrigues da Conceição</v>
      </c>
      <c r="B401" s="390" t="str">
        <f>IFERROR(__xludf.DUMMYFUNCTION("""COMPUTED_VALUE"""),"Form. Pedagógica")</f>
        <v>Form. Pedagógica</v>
      </c>
      <c r="C401" s="390" t="str">
        <f>IFERROR(__xludf.DUMMYFUNCTION("""COMPUTED_VALUE"""),"Matemática")</f>
        <v>Matemática</v>
      </c>
      <c r="D401" s="390" t="str">
        <f>IFERROR(__xludf.DUMMYFUNCTION("""COMPUTED_VALUE"""),"Entregue pela Unicv")</f>
        <v>Entregue pela Unicv</v>
      </c>
      <c r="E401" s="390"/>
      <c r="F401" s="390"/>
      <c r="G401" s="390"/>
      <c r="H401" s="390"/>
      <c r="I401" s="390"/>
      <c r="J401" s="390"/>
      <c r="K401" s="390"/>
      <c r="L401" s="390"/>
      <c r="M401" s="390"/>
      <c r="N401" s="390"/>
      <c r="O401" s="390"/>
      <c r="P401" s="390"/>
      <c r="Q401" s="390"/>
      <c r="R401" s="390"/>
      <c r="S401" s="390"/>
      <c r="T401" s="390"/>
      <c r="U401" s="390"/>
      <c r="V401" s="390"/>
      <c r="W401" s="390"/>
      <c r="X401" s="390"/>
      <c r="Y401" s="390"/>
    </row>
    <row r="402">
      <c r="A402" s="390" t="str">
        <f>IFERROR(__xludf.DUMMYFUNCTION("""COMPUTED_VALUE"""),"Ana Catarina Soares Villas Boas")</f>
        <v>Ana Catarina Soares Villas Boas</v>
      </c>
      <c r="B402" s="390" t="str">
        <f>IFERROR(__xludf.DUMMYFUNCTION("""COMPUTED_VALUE"""),"2° Licenciatura")</f>
        <v>2° Licenciatura</v>
      </c>
      <c r="C402" s="390" t="str">
        <f>IFERROR(__xludf.DUMMYFUNCTION("""COMPUTED_VALUE"""),"Letras Português - Inglês")</f>
        <v>Letras Português - Inglês</v>
      </c>
      <c r="D402" s="390" t="str">
        <f>IFERROR(__xludf.DUMMYFUNCTION("""COMPUTED_VALUE"""),"Entregue pela Unicv")</f>
        <v>Entregue pela Unicv</v>
      </c>
      <c r="E402" s="390"/>
      <c r="F402" s="390"/>
      <c r="G402" s="390"/>
      <c r="H402" s="390"/>
      <c r="I402" s="390"/>
      <c r="J402" s="390"/>
      <c r="K402" s="390"/>
      <c r="L402" s="390"/>
      <c r="M402" s="390"/>
      <c r="N402" s="390"/>
      <c r="O402" s="390"/>
      <c r="P402" s="390"/>
      <c r="Q402" s="390"/>
      <c r="R402" s="390"/>
      <c r="S402" s="390"/>
      <c r="T402" s="390"/>
      <c r="U402" s="390"/>
      <c r="V402" s="390"/>
      <c r="W402" s="390"/>
      <c r="X402" s="390"/>
      <c r="Y402" s="390"/>
    </row>
    <row r="403">
      <c r="A403" s="390" t="str">
        <f>IFERROR(__xludf.DUMMYFUNCTION("""COMPUTED_VALUE"""),"Adriana Ferreira Figueiredo dos Santos")</f>
        <v>Adriana Ferreira Figueiredo dos Santos</v>
      </c>
      <c r="B403" s="390" t="str">
        <f>IFERROR(__xludf.DUMMYFUNCTION("""COMPUTED_VALUE"""),"2° Licenciatura")</f>
        <v>2° Licenciatura</v>
      </c>
      <c r="C403" s="390" t="str">
        <f>IFERROR(__xludf.DUMMYFUNCTION("""COMPUTED_VALUE"""),"Pedagogia")</f>
        <v>Pedagogia</v>
      </c>
      <c r="D403" s="390" t="str">
        <f>IFERROR(__xludf.DUMMYFUNCTION("""COMPUTED_VALUE"""),"Entregue pela Unicv")</f>
        <v>Entregue pela Unicv</v>
      </c>
      <c r="E403" s="390"/>
      <c r="F403" s="390"/>
      <c r="G403" s="390"/>
      <c r="H403" s="390"/>
      <c r="I403" s="390"/>
      <c r="J403" s="390"/>
      <c r="K403" s="390"/>
      <c r="L403" s="390"/>
      <c r="M403" s="390"/>
      <c r="N403" s="390"/>
      <c r="O403" s="390"/>
      <c r="P403" s="390"/>
      <c r="Q403" s="390"/>
      <c r="R403" s="390"/>
      <c r="S403" s="390"/>
      <c r="T403" s="390"/>
      <c r="U403" s="390"/>
      <c r="V403" s="390"/>
      <c r="W403" s="390"/>
      <c r="X403" s="390"/>
      <c r="Y403" s="390"/>
    </row>
    <row r="404">
      <c r="A404" s="390" t="str">
        <f>IFERROR(__xludf.DUMMYFUNCTION("""COMPUTED_VALUE"""),"Mariana Signoreli Pireneus")</f>
        <v>Mariana Signoreli Pireneus</v>
      </c>
      <c r="B404" s="390" t="str">
        <f>IFERROR(__xludf.DUMMYFUNCTION("""COMPUTED_VALUE"""),"2° Licenciatura")</f>
        <v>2° Licenciatura</v>
      </c>
      <c r="C404" s="390" t="str">
        <f>IFERROR(__xludf.DUMMYFUNCTION("""COMPUTED_VALUE"""),"Letras - Português e Inglês")</f>
        <v>Letras - Português e Inglês</v>
      </c>
      <c r="D404" s="390" t="str">
        <f>IFERROR(__xludf.DUMMYFUNCTION("""COMPUTED_VALUE"""),"Entregue pela Unicv")</f>
        <v>Entregue pela Unicv</v>
      </c>
      <c r="E404" s="390"/>
      <c r="F404" s="390"/>
      <c r="G404" s="390"/>
      <c r="H404" s="390"/>
      <c r="I404" s="390"/>
      <c r="J404" s="390"/>
      <c r="K404" s="390"/>
      <c r="L404" s="390"/>
      <c r="M404" s="390"/>
      <c r="N404" s="390"/>
      <c r="O404" s="390"/>
      <c r="P404" s="390"/>
      <c r="Q404" s="390"/>
      <c r="R404" s="390"/>
      <c r="S404" s="390"/>
      <c r="T404" s="390"/>
      <c r="U404" s="390"/>
      <c r="V404" s="390"/>
      <c r="W404" s="390"/>
      <c r="X404" s="390"/>
      <c r="Y404" s="390"/>
    </row>
    <row r="405">
      <c r="A405" s="390" t="str">
        <f>IFERROR(__xludf.DUMMYFUNCTION("""COMPUTED_VALUE"""),"Patrice Surrage Bueno Pires Candido")</f>
        <v>Patrice Surrage Bueno Pires Candido</v>
      </c>
      <c r="B405" s="390" t="str">
        <f>IFERROR(__xludf.DUMMYFUNCTION("""COMPUTED_VALUE"""),"Form. Pedagógica")</f>
        <v>Form. Pedagógica</v>
      </c>
      <c r="C405" s="390" t="str">
        <f>IFERROR(__xludf.DUMMYFUNCTION("""COMPUTED_VALUE"""),"Pedagogia")</f>
        <v>Pedagogia</v>
      </c>
      <c r="D405" s="390" t="str">
        <f>IFERROR(__xludf.DUMMYFUNCTION("""COMPUTED_VALUE"""),"Entregue pela Unicv")</f>
        <v>Entregue pela Unicv</v>
      </c>
      <c r="E405" s="390"/>
      <c r="F405" s="390"/>
      <c r="G405" s="390"/>
      <c r="H405" s="390"/>
      <c r="I405" s="390"/>
      <c r="J405" s="390"/>
      <c r="K405" s="390"/>
      <c r="L405" s="390"/>
      <c r="M405" s="390"/>
      <c r="N405" s="390"/>
      <c r="O405" s="390"/>
      <c r="P405" s="390"/>
      <c r="Q405" s="390"/>
      <c r="R405" s="390"/>
      <c r="S405" s="390"/>
      <c r="T405" s="390"/>
      <c r="U405" s="390"/>
      <c r="V405" s="390"/>
      <c r="W405" s="390"/>
      <c r="X405" s="390"/>
      <c r="Y405" s="390"/>
    </row>
    <row r="406">
      <c r="A406" s="390" t="str">
        <f>IFERROR(__xludf.DUMMYFUNCTION("""COMPUTED_VALUE"""),"Marlon Nunes Silva")</f>
        <v>Marlon Nunes Silva</v>
      </c>
      <c r="B406" s="390" t="str">
        <f>IFERROR(__xludf.DUMMYFUNCTION("""COMPUTED_VALUE"""),"2° Licenciatura")</f>
        <v>2° Licenciatura</v>
      </c>
      <c r="C406" s="390" t="str">
        <f>IFERROR(__xludf.DUMMYFUNCTION("""COMPUTED_VALUE"""),"Letras - Português e Inglês")</f>
        <v>Letras - Português e Inglês</v>
      </c>
      <c r="D406" s="390" t="str">
        <f>IFERROR(__xludf.DUMMYFUNCTION("""COMPUTED_VALUE"""),"Entregue pela Unicv")</f>
        <v>Entregue pela Unicv</v>
      </c>
      <c r="E406" s="390"/>
      <c r="F406" s="390"/>
      <c r="G406" s="390"/>
      <c r="H406" s="390"/>
      <c r="I406" s="390"/>
      <c r="J406" s="390"/>
      <c r="K406" s="390"/>
      <c r="L406" s="390"/>
      <c r="M406" s="390"/>
      <c r="N406" s="390"/>
      <c r="O406" s="390"/>
      <c r="P406" s="390"/>
      <c r="Q406" s="390"/>
      <c r="R406" s="390"/>
      <c r="S406" s="390"/>
      <c r="T406" s="390"/>
      <c r="U406" s="390"/>
      <c r="V406" s="390"/>
      <c r="W406" s="390"/>
      <c r="X406" s="390"/>
      <c r="Y406" s="390"/>
    </row>
    <row r="407">
      <c r="A407" s="390" t="str">
        <f>IFERROR(__xludf.DUMMYFUNCTION("""COMPUTED_VALUE"""),"Liziane Kartabil Schubert")</f>
        <v>Liziane Kartabil Schubert</v>
      </c>
      <c r="B407" s="390" t="str">
        <f>IFERROR(__xludf.DUMMYFUNCTION("""COMPUTED_VALUE"""),"2° Licenciatura")</f>
        <v>2° Licenciatura</v>
      </c>
      <c r="C407" s="390" t="str">
        <f>IFERROR(__xludf.DUMMYFUNCTION("""COMPUTED_VALUE"""),"Letras - Português e Espanhol")</f>
        <v>Letras - Português e Espanhol</v>
      </c>
      <c r="D407" s="390" t="str">
        <f>IFERROR(__xludf.DUMMYFUNCTION("""COMPUTED_VALUE"""),"Entregue em 23/04/2025 - Kinbox e e-mail -Miguel")</f>
        <v>Entregue em 23/04/2025 - Kinbox e e-mail -Miguel</v>
      </c>
      <c r="E407" s="390"/>
      <c r="F407" s="390"/>
      <c r="G407" s="390"/>
      <c r="H407" s="390"/>
      <c r="I407" s="390"/>
      <c r="J407" s="390"/>
      <c r="K407" s="390"/>
      <c r="L407" s="390"/>
      <c r="M407" s="390"/>
      <c r="N407" s="390"/>
      <c r="O407" s="390"/>
      <c r="P407" s="390"/>
      <c r="Q407" s="390"/>
      <c r="R407" s="390"/>
      <c r="S407" s="390"/>
      <c r="T407" s="390"/>
      <c r="U407" s="390"/>
      <c r="V407" s="390"/>
      <c r="W407" s="390"/>
      <c r="X407" s="390"/>
      <c r="Y407" s="390"/>
    </row>
    <row r="408">
      <c r="A408" s="390" t="str">
        <f>IFERROR(__xludf.DUMMYFUNCTION("""COMPUTED_VALUE"""),"Iury de Oliveira Amorim")</f>
        <v>Iury de Oliveira Amorim</v>
      </c>
      <c r="B408" s="390" t="str">
        <f>IFERROR(__xludf.DUMMYFUNCTION("""COMPUTED_VALUE"""),"Form. Pedagógica")</f>
        <v>Form. Pedagógica</v>
      </c>
      <c r="C408" s="390" t="str">
        <f>IFERROR(__xludf.DUMMYFUNCTION("""COMPUTED_VALUE"""),"Letras - Português e Inglês")</f>
        <v>Letras - Português e Inglês</v>
      </c>
      <c r="D408" s="390" t="str">
        <f>IFERROR(__xludf.DUMMYFUNCTION("""COMPUTED_VALUE"""),"Entregue pela Unicv")</f>
        <v>Entregue pela Unicv</v>
      </c>
      <c r="E408" s="390"/>
      <c r="F408" s="390"/>
      <c r="G408" s="390"/>
      <c r="H408" s="390"/>
      <c r="I408" s="390"/>
      <c r="J408" s="390"/>
      <c r="K408" s="390"/>
      <c r="L408" s="390"/>
      <c r="M408" s="390"/>
      <c r="N408" s="390"/>
      <c r="O408" s="390"/>
      <c r="P408" s="390"/>
      <c r="Q408" s="390"/>
      <c r="R408" s="390"/>
      <c r="S408" s="390"/>
      <c r="T408" s="390"/>
      <c r="U408" s="390"/>
      <c r="V408" s="390"/>
      <c r="W408" s="390"/>
      <c r="X408" s="390"/>
      <c r="Y408" s="390"/>
    </row>
    <row r="409">
      <c r="A409" s="390" t="str">
        <f>IFERROR(__xludf.DUMMYFUNCTION("""COMPUTED_VALUE"""),"Luiz dos Santos")</f>
        <v>Luiz dos Santos</v>
      </c>
      <c r="B409" s="390" t="str">
        <f>IFERROR(__xludf.DUMMYFUNCTION("""COMPUTED_VALUE"""),"2° Licenciatura")</f>
        <v>2° Licenciatura</v>
      </c>
      <c r="C409" s="390" t="str">
        <f>IFERROR(__xludf.DUMMYFUNCTION("""COMPUTED_VALUE"""),"Filosofia")</f>
        <v>Filosofia</v>
      </c>
      <c r="D409" s="390" t="str">
        <f>IFERROR(__xludf.DUMMYFUNCTION("""COMPUTED_VALUE"""),"Entregue pela Unicv")</f>
        <v>Entregue pela Unicv</v>
      </c>
      <c r="E409" s="390"/>
      <c r="F409" s="390"/>
      <c r="G409" s="390"/>
      <c r="H409" s="390"/>
      <c r="I409" s="390"/>
      <c r="J409" s="390"/>
      <c r="K409" s="390"/>
      <c r="L409" s="390"/>
      <c r="M409" s="390"/>
      <c r="N409" s="390"/>
      <c r="O409" s="390"/>
      <c r="P409" s="390"/>
      <c r="Q409" s="390"/>
      <c r="R409" s="390"/>
      <c r="S409" s="390"/>
      <c r="T409" s="390"/>
      <c r="U409" s="390"/>
      <c r="V409" s="390"/>
      <c r="W409" s="390"/>
      <c r="X409" s="390"/>
      <c r="Y409" s="390"/>
    </row>
    <row r="410">
      <c r="A410" s="390" t="str">
        <f>IFERROR(__xludf.DUMMYFUNCTION("""COMPUTED_VALUE"""),"Regina Célia De Araújo Jacob")</f>
        <v>Regina Célia De Araújo Jacob</v>
      </c>
      <c r="B410" s="390" t="str">
        <f>IFERROR(__xludf.DUMMYFUNCTION("""COMPUTED_VALUE"""),"2° Licenciatura")</f>
        <v>2° Licenciatura</v>
      </c>
      <c r="C410" s="390" t="str">
        <f>IFERROR(__xludf.DUMMYFUNCTION("""COMPUTED_VALUE"""),"Letras - Português e Espanhol")</f>
        <v>Letras - Português e Espanhol</v>
      </c>
      <c r="D410" s="390" t="str">
        <f>IFERROR(__xludf.DUMMYFUNCTION("""COMPUTED_VALUE"""),"Entregue em 13/05/2025 - Kinbox e e-mail Carla")</f>
        <v>Entregue em 13/05/2025 - Kinbox e e-mail Carla</v>
      </c>
      <c r="E410" s="390"/>
      <c r="F410" s="390"/>
      <c r="G410" s="390"/>
      <c r="H410" s="390"/>
      <c r="I410" s="390"/>
      <c r="J410" s="390"/>
      <c r="K410" s="390"/>
      <c r="L410" s="390"/>
      <c r="M410" s="390"/>
      <c r="N410" s="390"/>
      <c r="O410" s="390"/>
      <c r="P410" s="390"/>
      <c r="Q410" s="390"/>
      <c r="R410" s="390"/>
      <c r="S410" s="390"/>
      <c r="T410" s="390"/>
      <c r="U410" s="390"/>
      <c r="V410" s="390"/>
      <c r="W410" s="390"/>
      <c r="X410" s="390"/>
      <c r="Y410" s="390"/>
    </row>
    <row r="411">
      <c r="A411" s="390" t="str">
        <f>IFERROR(__xludf.DUMMYFUNCTION("""COMPUTED_VALUE"""),"Regiane Alves Rodrigues")</f>
        <v>Regiane Alves Rodrigues</v>
      </c>
      <c r="B411" s="390" t="str">
        <f>IFERROR(__xludf.DUMMYFUNCTION("""COMPUTED_VALUE"""),"2° Licenciatura")</f>
        <v>2° Licenciatura</v>
      </c>
      <c r="C411" s="390" t="str">
        <f>IFERROR(__xludf.DUMMYFUNCTION("""COMPUTED_VALUE"""),"Educação Especial")</f>
        <v>Educação Especial</v>
      </c>
      <c r="D411" s="390" t="str">
        <f>IFERROR(__xludf.DUMMYFUNCTION("""COMPUTED_VALUE"""),"Entregue pela Unicv")</f>
        <v>Entregue pela Unicv</v>
      </c>
      <c r="E411" s="390"/>
      <c r="F411" s="390"/>
      <c r="G411" s="390"/>
      <c r="H411" s="390"/>
      <c r="I411" s="390"/>
      <c r="J411" s="390"/>
      <c r="K411" s="390"/>
      <c r="L411" s="390"/>
      <c r="M411" s="390"/>
      <c r="N411" s="390"/>
      <c r="O411" s="390"/>
      <c r="P411" s="390"/>
      <c r="Q411" s="390"/>
      <c r="R411" s="390"/>
      <c r="S411" s="390"/>
      <c r="T411" s="390"/>
      <c r="U411" s="390"/>
      <c r="V411" s="390"/>
      <c r="W411" s="390"/>
      <c r="X411" s="390"/>
      <c r="Y411" s="390"/>
    </row>
    <row r="412">
      <c r="A412" s="390" t="str">
        <f>IFERROR(__xludf.DUMMYFUNCTION("""COMPUTED_VALUE"""),"Fabrício Bonfim de Carvalho")</f>
        <v>Fabrício Bonfim de Carvalho</v>
      </c>
      <c r="B412" s="390" t="str">
        <f>IFERROR(__xludf.DUMMYFUNCTION("""COMPUTED_VALUE"""),"2° Licenciatura")</f>
        <v>2° Licenciatura</v>
      </c>
      <c r="C412" s="390" t="str">
        <f>IFERROR(__xludf.DUMMYFUNCTION("""COMPUTED_VALUE"""),"Matemática")</f>
        <v>Matemática</v>
      </c>
      <c r="D412" s="390" t="str">
        <f>IFERROR(__xludf.DUMMYFUNCTION("""COMPUTED_VALUE"""),"Entregue pela Unicv")</f>
        <v>Entregue pela Unicv</v>
      </c>
      <c r="E412" s="390"/>
      <c r="F412" s="390"/>
      <c r="G412" s="390"/>
      <c r="H412" s="390"/>
      <c r="I412" s="390"/>
      <c r="J412" s="390"/>
      <c r="K412" s="390"/>
      <c r="L412" s="390"/>
      <c r="M412" s="390"/>
      <c r="N412" s="390"/>
      <c r="O412" s="390"/>
      <c r="P412" s="390"/>
      <c r="Q412" s="390"/>
      <c r="R412" s="390"/>
      <c r="S412" s="390"/>
      <c r="T412" s="390"/>
      <c r="U412" s="390"/>
      <c r="V412" s="390"/>
      <c r="W412" s="390"/>
      <c r="X412" s="390"/>
      <c r="Y412" s="390"/>
    </row>
    <row r="413">
      <c r="A413" s="390" t="str">
        <f>IFERROR(__xludf.DUMMYFUNCTION("""COMPUTED_VALUE"""),"Antonio Gonçalves Neto")</f>
        <v>Antonio Gonçalves Neto</v>
      </c>
      <c r="B413" s="390" t="str">
        <f>IFERROR(__xludf.DUMMYFUNCTION("""COMPUTED_VALUE"""),"Form. Pedagógica")</f>
        <v>Form. Pedagógica</v>
      </c>
      <c r="C413" s="390" t="str">
        <f>IFERROR(__xludf.DUMMYFUNCTION("""COMPUTED_VALUE"""),"História")</f>
        <v>História</v>
      </c>
      <c r="D413" s="390" t="str">
        <f>IFERROR(__xludf.DUMMYFUNCTION("""COMPUTED_VALUE"""),"Entregue pela Unicv")</f>
        <v>Entregue pela Unicv</v>
      </c>
      <c r="E413" s="390"/>
      <c r="F413" s="390"/>
      <c r="G413" s="390"/>
      <c r="H413" s="390"/>
      <c r="I413" s="390"/>
      <c r="J413" s="390"/>
      <c r="K413" s="390"/>
      <c r="L413" s="390"/>
      <c r="M413" s="390"/>
      <c r="N413" s="390"/>
      <c r="O413" s="390"/>
      <c r="P413" s="390"/>
      <c r="Q413" s="390"/>
      <c r="R413" s="390"/>
      <c r="S413" s="390"/>
      <c r="T413" s="390"/>
      <c r="U413" s="390"/>
      <c r="V413" s="390"/>
      <c r="W413" s="390"/>
      <c r="X413" s="390"/>
      <c r="Y413" s="390"/>
    </row>
    <row r="414">
      <c r="A414" s="390" t="str">
        <f>IFERROR(__xludf.DUMMYFUNCTION("""COMPUTED_VALUE"""),"Marcelo Eduardo Soares Pinheiro")</f>
        <v>Marcelo Eduardo Soares Pinheiro</v>
      </c>
      <c r="B414" s="390" t="str">
        <f>IFERROR(__xludf.DUMMYFUNCTION("""COMPUTED_VALUE"""),"2° Licenciatura")</f>
        <v>2° Licenciatura</v>
      </c>
      <c r="C414" s="390" t="str">
        <f>IFERROR(__xludf.DUMMYFUNCTION("""COMPUTED_VALUE"""),"Matemática")</f>
        <v>Matemática</v>
      </c>
      <c r="D414" s="390" t="str">
        <f>IFERROR(__xludf.DUMMYFUNCTION("""COMPUTED_VALUE"""),"Em Andamento")</f>
        <v>Em Andamento</v>
      </c>
      <c r="E414" s="390"/>
      <c r="F414" s="390"/>
      <c r="G414" s="390"/>
      <c r="H414" s="390"/>
      <c r="I414" s="390"/>
      <c r="J414" s="390"/>
      <c r="K414" s="390"/>
      <c r="L414" s="390"/>
      <c r="M414" s="390"/>
      <c r="N414" s="390"/>
      <c r="O414" s="390"/>
      <c r="P414" s="390"/>
      <c r="Q414" s="390"/>
      <c r="R414" s="390"/>
      <c r="S414" s="390"/>
      <c r="T414" s="390"/>
      <c r="U414" s="390"/>
      <c r="V414" s="390"/>
      <c r="W414" s="390"/>
      <c r="X414" s="390"/>
      <c r="Y414" s="390"/>
    </row>
    <row r="415">
      <c r="A415" s="390" t="str">
        <f>IFERROR(__xludf.DUMMYFUNCTION("""COMPUTED_VALUE"""),"Vitória Rodrigues Montalvão")</f>
        <v>Vitória Rodrigues Montalvão</v>
      </c>
      <c r="B415" s="390" t="str">
        <f>IFERROR(__xludf.DUMMYFUNCTION("""COMPUTED_VALUE"""),"2° Licenciatura")</f>
        <v>2° Licenciatura</v>
      </c>
      <c r="C415" s="390" t="str">
        <f>IFERROR(__xludf.DUMMYFUNCTION("""COMPUTED_VALUE"""),"Artes Visuais ")</f>
        <v>Artes Visuais </v>
      </c>
      <c r="D415" s="390" t="str">
        <f>IFERROR(__xludf.DUMMYFUNCTION("""COMPUTED_VALUE"""),"Entregue pela Unicv")</f>
        <v>Entregue pela Unicv</v>
      </c>
      <c r="E415" s="390"/>
      <c r="F415" s="390"/>
      <c r="G415" s="390"/>
      <c r="H415" s="390"/>
      <c r="I415" s="390"/>
      <c r="J415" s="390"/>
      <c r="K415" s="390"/>
      <c r="L415" s="390"/>
      <c r="M415" s="390"/>
      <c r="N415" s="390"/>
      <c r="O415" s="390"/>
      <c r="P415" s="390"/>
      <c r="Q415" s="390"/>
      <c r="R415" s="390"/>
      <c r="S415" s="390"/>
      <c r="T415" s="390"/>
      <c r="U415" s="390"/>
      <c r="V415" s="390"/>
      <c r="W415" s="390"/>
      <c r="X415" s="390"/>
      <c r="Y415" s="390"/>
    </row>
    <row r="416">
      <c r="A416" s="390" t="str">
        <f>IFERROR(__xludf.DUMMYFUNCTION("""COMPUTED_VALUE"""),"Hiago Ruhmke da Costa")</f>
        <v>Hiago Ruhmke da Costa</v>
      </c>
      <c r="B416" s="390" t="str">
        <f>IFERROR(__xludf.DUMMYFUNCTION("""COMPUTED_VALUE"""),"Form. Pedagógica")</f>
        <v>Form. Pedagógica</v>
      </c>
      <c r="C416" s="390" t="str">
        <f>IFERROR(__xludf.DUMMYFUNCTION("""COMPUTED_VALUE"""),"Ciências da Religião")</f>
        <v>Ciências da Religião</v>
      </c>
      <c r="D416" s="390" t="str">
        <f>IFERROR(__xludf.DUMMYFUNCTION("""COMPUTED_VALUE"""),"Entregue pela Unicv")</f>
        <v>Entregue pela Unicv</v>
      </c>
      <c r="E416" s="390"/>
      <c r="F416" s="390"/>
      <c r="G416" s="390"/>
      <c r="H416" s="390"/>
      <c r="I416" s="390"/>
      <c r="J416" s="390"/>
      <c r="K416" s="390"/>
      <c r="L416" s="390"/>
      <c r="M416" s="390"/>
      <c r="N416" s="390"/>
      <c r="O416" s="390"/>
      <c r="P416" s="390"/>
      <c r="Q416" s="390"/>
      <c r="R416" s="390"/>
      <c r="S416" s="390"/>
      <c r="T416" s="390"/>
      <c r="U416" s="390"/>
      <c r="V416" s="390"/>
      <c r="W416" s="390"/>
      <c r="X416" s="390"/>
      <c r="Y416" s="390"/>
    </row>
    <row r="417">
      <c r="A417" s="390" t="str">
        <f>IFERROR(__xludf.DUMMYFUNCTION("""COMPUTED_VALUE"""),"Daniela Minchio Andrez")</f>
        <v>Daniela Minchio Andrez</v>
      </c>
      <c r="B417" s="390" t="str">
        <f>IFERROR(__xludf.DUMMYFUNCTION("""COMPUTED_VALUE"""),"2° Licenciatura")</f>
        <v>2° Licenciatura</v>
      </c>
      <c r="C417" s="390" t="str">
        <f>IFERROR(__xludf.DUMMYFUNCTION("""COMPUTED_VALUE"""),"História")</f>
        <v>História</v>
      </c>
      <c r="D417" s="390" t="str">
        <f>IFERROR(__xludf.DUMMYFUNCTION("""COMPUTED_VALUE"""),"Entregue pela Unicv")</f>
        <v>Entregue pela Unicv</v>
      </c>
      <c r="E417" s="390"/>
      <c r="F417" s="390"/>
      <c r="G417" s="390"/>
      <c r="H417" s="390"/>
      <c r="I417" s="390"/>
      <c r="J417" s="390"/>
      <c r="K417" s="390"/>
      <c r="L417" s="390"/>
      <c r="M417" s="390"/>
      <c r="N417" s="390"/>
      <c r="O417" s="390"/>
      <c r="P417" s="390"/>
      <c r="Q417" s="390"/>
      <c r="R417" s="390"/>
      <c r="S417" s="390"/>
      <c r="T417" s="390"/>
      <c r="U417" s="390"/>
      <c r="V417" s="390"/>
      <c r="W417" s="390"/>
      <c r="X417" s="390"/>
      <c r="Y417" s="390"/>
    </row>
    <row r="418">
      <c r="A418" s="390" t="str">
        <f>IFERROR(__xludf.DUMMYFUNCTION("""COMPUTED_VALUE"""),"Alexandre Machado Marques de Souza Sobrinho")</f>
        <v>Alexandre Machado Marques de Souza Sobrinho</v>
      </c>
      <c r="B418" s="390" t="str">
        <f>IFERROR(__xludf.DUMMYFUNCTION("""COMPUTED_VALUE"""),"Form. Pedagógica")</f>
        <v>Form. Pedagógica</v>
      </c>
      <c r="C418" s="390" t="str">
        <f>IFERROR(__xludf.DUMMYFUNCTION("""COMPUTED_VALUE"""),"Sociologia")</f>
        <v>Sociologia</v>
      </c>
      <c r="D418" s="390" t="str">
        <f>IFERROR(__xludf.DUMMYFUNCTION("""COMPUTED_VALUE"""),"Entregue pela Unicv")</f>
        <v>Entregue pela Unicv</v>
      </c>
      <c r="E418" s="390"/>
      <c r="F418" s="390"/>
      <c r="G418" s="390"/>
      <c r="H418" s="390"/>
      <c r="I418" s="390"/>
      <c r="J418" s="390"/>
      <c r="K418" s="390"/>
      <c r="L418" s="390"/>
      <c r="M418" s="390"/>
      <c r="N418" s="390"/>
      <c r="O418" s="390"/>
      <c r="P418" s="390"/>
      <c r="Q418" s="390"/>
      <c r="R418" s="390"/>
      <c r="S418" s="390"/>
      <c r="T418" s="390"/>
      <c r="U418" s="390"/>
      <c r="V418" s="390"/>
      <c r="W418" s="390"/>
      <c r="X418" s="390"/>
      <c r="Y418" s="390"/>
    </row>
    <row r="419">
      <c r="A419" s="390" t="str">
        <f>IFERROR(__xludf.DUMMYFUNCTION("""COMPUTED_VALUE"""),"Maria Aparecida da Silva Cruz")</f>
        <v>Maria Aparecida da Silva Cruz</v>
      </c>
      <c r="B419" s="390" t="str">
        <f>IFERROR(__xludf.DUMMYFUNCTION("""COMPUTED_VALUE"""),"2° Licenciatura")</f>
        <v>2° Licenciatura</v>
      </c>
      <c r="C419" s="390" t="str">
        <f>IFERROR(__xludf.DUMMYFUNCTION("""COMPUTED_VALUE"""),"Artes Visuais")</f>
        <v>Artes Visuais</v>
      </c>
      <c r="D419" s="390" t="str">
        <f>IFERROR(__xludf.DUMMYFUNCTION("""COMPUTED_VALUE"""),"Entregue pela Unicv")</f>
        <v>Entregue pela Unicv</v>
      </c>
      <c r="E419" s="390"/>
      <c r="F419" s="390"/>
      <c r="G419" s="390"/>
      <c r="H419" s="390"/>
      <c r="I419" s="390"/>
      <c r="J419" s="390"/>
      <c r="K419" s="390"/>
      <c r="L419" s="390"/>
      <c r="M419" s="390"/>
      <c r="N419" s="390"/>
      <c r="O419" s="390"/>
      <c r="P419" s="390"/>
      <c r="Q419" s="390"/>
      <c r="R419" s="390"/>
      <c r="S419" s="390"/>
      <c r="T419" s="390"/>
      <c r="U419" s="390"/>
      <c r="V419" s="390"/>
      <c r="W419" s="390"/>
      <c r="X419" s="390"/>
      <c r="Y419" s="390"/>
    </row>
    <row r="420">
      <c r="A420" s="390" t="str">
        <f>IFERROR(__xludf.DUMMYFUNCTION("""COMPUTED_VALUE"""),"Celso Henrique Vieira de Lima")</f>
        <v>Celso Henrique Vieira de Lima</v>
      </c>
      <c r="B420" s="390" t="str">
        <f>IFERROR(__xludf.DUMMYFUNCTION("""COMPUTED_VALUE"""),"2° Licenciatura")</f>
        <v>2° Licenciatura</v>
      </c>
      <c r="C420" s="390" t="str">
        <f>IFERROR(__xludf.DUMMYFUNCTION("""COMPUTED_VALUE"""),"Filosofia")</f>
        <v>Filosofia</v>
      </c>
      <c r="D420" s="390" t="str">
        <f>IFERROR(__xludf.DUMMYFUNCTION("""COMPUTED_VALUE"""),"Entregue pela Unicv")</f>
        <v>Entregue pela Unicv</v>
      </c>
      <c r="E420" s="390"/>
      <c r="F420" s="390"/>
      <c r="G420" s="390"/>
      <c r="H420" s="390"/>
      <c r="I420" s="390"/>
      <c r="J420" s="390"/>
      <c r="K420" s="390"/>
      <c r="L420" s="390"/>
      <c r="M420" s="390"/>
      <c r="N420" s="390"/>
      <c r="O420" s="390"/>
      <c r="P420" s="390"/>
      <c r="Q420" s="390"/>
      <c r="R420" s="390"/>
      <c r="S420" s="390"/>
      <c r="T420" s="390"/>
      <c r="U420" s="390"/>
      <c r="V420" s="390"/>
      <c r="W420" s="390"/>
      <c r="X420" s="390"/>
      <c r="Y420" s="390"/>
    </row>
    <row r="421">
      <c r="A421" s="390" t="str">
        <f>IFERROR(__xludf.DUMMYFUNCTION("""COMPUTED_VALUE"""),"Maria de Lourdes da Silva Lima")</f>
        <v>Maria de Lourdes da Silva Lima</v>
      </c>
      <c r="B421" s="390" t="str">
        <f>IFERROR(__xludf.DUMMYFUNCTION("""COMPUTED_VALUE"""),"2° Licenciatura")</f>
        <v>2° Licenciatura</v>
      </c>
      <c r="C421" s="390" t="str">
        <f>IFERROR(__xludf.DUMMYFUNCTION("""COMPUTED_VALUE"""),"História")</f>
        <v>História</v>
      </c>
      <c r="D421" s="390" t="str">
        <f>IFERROR(__xludf.DUMMYFUNCTION("""COMPUTED_VALUE"""),"Entregue pela Unicv")</f>
        <v>Entregue pela Unicv</v>
      </c>
      <c r="E421" s="390"/>
      <c r="F421" s="390"/>
      <c r="G421" s="390"/>
      <c r="H421" s="390"/>
      <c r="I421" s="390"/>
      <c r="J421" s="390"/>
      <c r="K421" s="390"/>
      <c r="L421" s="390"/>
      <c r="M421" s="390"/>
      <c r="N421" s="390"/>
      <c r="O421" s="390"/>
      <c r="P421" s="390"/>
      <c r="Q421" s="390"/>
      <c r="R421" s="390"/>
      <c r="S421" s="390"/>
      <c r="T421" s="390"/>
      <c r="U421" s="390"/>
      <c r="V421" s="390"/>
      <c r="W421" s="390"/>
      <c r="X421" s="390"/>
      <c r="Y421" s="390"/>
    </row>
    <row r="422">
      <c r="A422" s="390" t="str">
        <f>IFERROR(__xludf.DUMMYFUNCTION("""COMPUTED_VALUE"""),"Nara Cristina Moreira Nepomuceno")</f>
        <v>Nara Cristina Moreira Nepomuceno</v>
      </c>
      <c r="B422" s="390" t="str">
        <f>IFERROR(__xludf.DUMMYFUNCTION("""COMPUTED_VALUE"""),"2° Licenciatura")</f>
        <v>2° Licenciatura</v>
      </c>
      <c r="C422" s="390" t="str">
        <f>IFERROR(__xludf.DUMMYFUNCTION("""COMPUTED_VALUE"""),"Educação Especial")</f>
        <v>Educação Especial</v>
      </c>
      <c r="D422" s="390" t="str">
        <f>IFERROR(__xludf.DUMMYFUNCTION("""COMPUTED_VALUE"""),"Entregue em 04/06/2025 - Kinbox - Miguel")</f>
        <v>Entregue em 04/06/2025 - Kinbox - Miguel</v>
      </c>
      <c r="E422" s="390"/>
      <c r="F422" s="390"/>
      <c r="G422" s="390"/>
      <c r="H422" s="390"/>
      <c r="I422" s="390"/>
      <c r="J422" s="390"/>
      <c r="K422" s="390"/>
      <c r="L422" s="390"/>
      <c r="M422" s="390"/>
      <c r="N422" s="390"/>
      <c r="O422" s="390"/>
      <c r="P422" s="390"/>
      <c r="Q422" s="390"/>
      <c r="R422" s="390"/>
      <c r="S422" s="390"/>
      <c r="T422" s="390"/>
      <c r="U422" s="390"/>
      <c r="V422" s="390"/>
      <c r="W422" s="390"/>
      <c r="X422" s="390"/>
      <c r="Y422" s="390"/>
    </row>
    <row r="423">
      <c r="A423" s="390" t="str">
        <f>IFERROR(__xludf.DUMMYFUNCTION("""COMPUTED_VALUE"""),"Mateus Sampaio de Mendonça")</f>
        <v>Mateus Sampaio de Mendonça</v>
      </c>
      <c r="B423" s="390" t="str">
        <f>IFERROR(__xludf.DUMMYFUNCTION("""COMPUTED_VALUE"""),"2° Licenciatura")</f>
        <v>2° Licenciatura</v>
      </c>
      <c r="C423" s="390" t="str">
        <f>IFERROR(__xludf.DUMMYFUNCTION("""COMPUTED_VALUE"""),"Matemática")</f>
        <v>Matemática</v>
      </c>
      <c r="D423" s="390" t="str">
        <f>IFERROR(__xludf.DUMMYFUNCTION("""COMPUTED_VALUE"""),"Entregue pela Unicv")</f>
        <v>Entregue pela Unicv</v>
      </c>
      <c r="E423" s="390"/>
      <c r="F423" s="390"/>
      <c r="G423" s="390"/>
      <c r="H423" s="390"/>
      <c r="I423" s="390"/>
      <c r="J423" s="390"/>
      <c r="K423" s="390"/>
      <c r="L423" s="390"/>
      <c r="M423" s="390"/>
      <c r="N423" s="390"/>
      <c r="O423" s="390"/>
      <c r="P423" s="390"/>
      <c r="Q423" s="390"/>
      <c r="R423" s="390"/>
      <c r="S423" s="390"/>
      <c r="T423" s="390"/>
      <c r="U423" s="390"/>
      <c r="V423" s="390"/>
      <c r="W423" s="390"/>
      <c r="X423" s="390"/>
      <c r="Y423" s="390"/>
    </row>
    <row r="424">
      <c r="A424" s="390" t="str">
        <f>IFERROR(__xludf.DUMMYFUNCTION("""COMPUTED_VALUE"""),"Alexandre Silva Nogueira - APRESSAMENTO")</f>
        <v>Alexandre Silva Nogueira - APRESSAMENTO</v>
      </c>
      <c r="B424" s="390" t="str">
        <f>IFERROR(__xludf.DUMMYFUNCTION("""COMPUTED_VALUE"""),"Form. Pedagógica")</f>
        <v>Form. Pedagógica</v>
      </c>
      <c r="C424" s="390" t="str">
        <f>IFERROR(__xludf.DUMMYFUNCTION("""COMPUTED_VALUE"""),"Matemática")</f>
        <v>Matemática</v>
      </c>
      <c r="D424" s="390" t="str">
        <f>IFERROR(__xludf.DUMMYFUNCTION("""COMPUTED_VALUE"""),"Entregue pela Unicv")</f>
        <v>Entregue pela Unicv</v>
      </c>
      <c r="E424" s="390"/>
      <c r="F424" s="390"/>
      <c r="G424" s="390"/>
      <c r="H424" s="390"/>
      <c r="I424" s="390"/>
      <c r="J424" s="390"/>
      <c r="K424" s="390"/>
      <c r="L424" s="390"/>
      <c r="M424" s="390"/>
      <c r="N424" s="390"/>
      <c r="O424" s="390"/>
      <c r="P424" s="390"/>
      <c r="Q424" s="390"/>
      <c r="R424" s="390"/>
      <c r="S424" s="390"/>
      <c r="T424" s="390"/>
      <c r="U424" s="390"/>
      <c r="V424" s="390"/>
      <c r="W424" s="390"/>
      <c r="X424" s="390"/>
      <c r="Y424" s="390"/>
    </row>
    <row r="425">
      <c r="A425" s="390" t="str">
        <f>IFERROR(__xludf.DUMMYFUNCTION("""COMPUTED_VALUE"""),"Beatriz Silvério Mariano ")</f>
        <v>Beatriz Silvério Mariano </v>
      </c>
      <c r="B425" s="390" t="str">
        <f>IFERROR(__xludf.DUMMYFUNCTION("""COMPUTED_VALUE"""),"2° Licenciatura")</f>
        <v>2° Licenciatura</v>
      </c>
      <c r="C425" s="390" t="str">
        <f>IFERROR(__xludf.DUMMYFUNCTION("""COMPUTED_VALUE"""),"Educação Especial")</f>
        <v>Educação Especial</v>
      </c>
      <c r="D425" s="390" t="str">
        <f>IFERROR(__xludf.DUMMYFUNCTION("""COMPUTED_VALUE"""),"Entregue pela Unicv")</f>
        <v>Entregue pela Unicv</v>
      </c>
      <c r="E425" s="390"/>
      <c r="F425" s="390"/>
      <c r="G425" s="390"/>
      <c r="H425" s="390"/>
      <c r="I425" s="390"/>
      <c r="J425" s="390"/>
      <c r="K425" s="390"/>
      <c r="L425" s="390"/>
      <c r="M425" s="390"/>
      <c r="N425" s="390"/>
      <c r="O425" s="390"/>
      <c r="P425" s="390"/>
      <c r="Q425" s="390"/>
      <c r="R425" s="390"/>
      <c r="S425" s="390"/>
      <c r="T425" s="390"/>
      <c r="U425" s="390"/>
      <c r="V425" s="390"/>
      <c r="W425" s="390"/>
      <c r="X425" s="390"/>
      <c r="Y425" s="390"/>
    </row>
    <row r="426">
      <c r="A426" s="390" t="str">
        <f>IFERROR(__xludf.DUMMYFUNCTION("""COMPUTED_VALUE"""),"Grasiela Körner de Souza")</f>
        <v>Grasiela Körner de Souza</v>
      </c>
      <c r="B426" s="390" t="str">
        <f>IFERROR(__xludf.DUMMYFUNCTION("""COMPUTED_VALUE"""),"2° Licenciatura")</f>
        <v>2° Licenciatura</v>
      </c>
      <c r="C426" s="390" t="str">
        <f>IFERROR(__xludf.DUMMYFUNCTION("""COMPUTED_VALUE"""),"Educação Especial")</f>
        <v>Educação Especial</v>
      </c>
      <c r="D426" s="390" t="str">
        <f>IFERROR(__xludf.DUMMYFUNCTION("""COMPUTED_VALUE"""),"Entregue pela Unicv")</f>
        <v>Entregue pela Unicv</v>
      </c>
      <c r="E426" s="390"/>
      <c r="F426" s="390"/>
      <c r="G426" s="390"/>
      <c r="H426" s="390"/>
      <c r="I426" s="390"/>
      <c r="J426" s="390"/>
      <c r="K426" s="390"/>
      <c r="L426" s="390"/>
      <c r="M426" s="390"/>
      <c r="N426" s="390"/>
      <c r="O426" s="390"/>
      <c r="P426" s="390"/>
      <c r="Q426" s="390"/>
      <c r="R426" s="390"/>
      <c r="S426" s="390"/>
      <c r="T426" s="390"/>
      <c r="U426" s="390"/>
      <c r="V426" s="390"/>
      <c r="W426" s="390"/>
      <c r="X426" s="390"/>
      <c r="Y426" s="390"/>
    </row>
    <row r="427">
      <c r="A427" s="390" t="str">
        <f>IFERROR(__xludf.DUMMYFUNCTION("""COMPUTED_VALUE"""),"Mariah Gomes de Souza")</f>
        <v>Mariah Gomes de Souza</v>
      </c>
      <c r="B427" s="390" t="str">
        <f>IFERROR(__xludf.DUMMYFUNCTION("""COMPUTED_VALUE"""),"Form. Pedagógica")</f>
        <v>Form. Pedagógica</v>
      </c>
      <c r="C427" s="390" t="str">
        <f>IFERROR(__xludf.DUMMYFUNCTION("""COMPUTED_VALUE"""),"Matemática")</f>
        <v>Matemática</v>
      </c>
      <c r="D427" s="390" t="str">
        <f>IFERROR(__xludf.DUMMYFUNCTION("""COMPUTED_VALUE"""),"Entregue pela Unicv")</f>
        <v>Entregue pela Unicv</v>
      </c>
      <c r="E427" s="390"/>
      <c r="F427" s="390"/>
      <c r="G427" s="390"/>
      <c r="H427" s="390"/>
      <c r="I427" s="390"/>
      <c r="J427" s="390"/>
      <c r="K427" s="390"/>
      <c r="L427" s="390"/>
      <c r="M427" s="390"/>
      <c r="N427" s="390"/>
      <c r="O427" s="390"/>
      <c r="P427" s="390"/>
      <c r="Q427" s="390"/>
      <c r="R427" s="390"/>
      <c r="S427" s="390"/>
      <c r="T427" s="390"/>
      <c r="U427" s="390"/>
      <c r="V427" s="390"/>
      <c r="W427" s="390"/>
      <c r="X427" s="390"/>
      <c r="Y427" s="390"/>
    </row>
    <row r="428">
      <c r="A428" s="390" t="str">
        <f>IFERROR(__xludf.DUMMYFUNCTION("""COMPUTED_VALUE"""),"Debora Silene Fonseca De Andrade")</f>
        <v>Debora Silene Fonseca De Andrade</v>
      </c>
      <c r="B428" s="390" t="str">
        <f>IFERROR(__xludf.DUMMYFUNCTION("""COMPUTED_VALUE"""),"2° Licenciatura")</f>
        <v>2° Licenciatura</v>
      </c>
      <c r="C428" s="390" t="str">
        <f>IFERROR(__xludf.DUMMYFUNCTION("""COMPUTED_VALUE"""),"História")</f>
        <v>História</v>
      </c>
      <c r="D428" s="390" t="str">
        <f>IFERROR(__xludf.DUMMYFUNCTION("""COMPUTED_VALUE"""),"Entregue pela Unicv")</f>
        <v>Entregue pela Unicv</v>
      </c>
      <c r="E428" s="390"/>
      <c r="F428" s="390"/>
      <c r="G428" s="390"/>
      <c r="H428" s="390"/>
      <c r="I428" s="390"/>
      <c r="J428" s="390"/>
      <c r="K428" s="390"/>
      <c r="L428" s="390"/>
      <c r="M428" s="390"/>
      <c r="N428" s="390"/>
      <c r="O428" s="390"/>
      <c r="P428" s="390"/>
      <c r="Q428" s="390"/>
      <c r="R428" s="390"/>
      <c r="S428" s="390"/>
      <c r="T428" s="390"/>
      <c r="U428" s="390"/>
      <c r="V428" s="390"/>
      <c r="W428" s="390"/>
      <c r="X428" s="390"/>
      <c r="Y428" s="390"/>
    </row>
    <row r="429">
      <c r="A429" s="390" t="str">
        <f>IFERROR(__xludf.DUMMYFUNCTION("""COMPUTED_VALUE"""),"Nedyr Venus de Souza Assumpção")</f>
        <v>Nedyr Venus de Souza Assumpção</v>
      </c>
      <c r="B429" s="390" t="str">
        <f>IFERROR(__xludf.DUMMYFUNCTION("""COMPUTED_VALUE"""),"2° Licenciatura")</f>
        <v>2° Licenciatura</v>
      </c>
      <c r="C429" s="390" t="str">
        <f>IFERROR(__xludf.DUMMYFUNCTION("""COMPUTED_VALUE"""),"Artes Visuais")</f>
        <v>Artes Visuais</v>
      </c>
      <c r="D429" s="390" t="str">
        <f>IFERROR(__xludf.DUMMYFUNCTION("""COMPUTED_VALUE"""),"Entregue pela Unicv")</f>
        <v>Entregue pela Unicv</v>
      </c>
      <c r="E429" s="390"/>
      <c r="F429" s="390"/>
      <c r="G429" s="390"/>
      <c r="H429" s="390"/>
      <c r="I429" s="390"/>
      <c r="J429" s="390"/>
      <c r="K429" s="390"/>
      <c r="L429" s="390"/>
      <c r="M429" s="390"/>
      <c r="N429" s="390"/>
      <c r="O429" s="390"/>
      <c r="P429" s="390"/>
      <c r="Q429" s="390"/>
      <c r="R429" s="390"/>
      <c r="S429" s="390"/>
      <c r="T429" s="390"/>
      <c r="U429" s="390"/>
      <c r="V429" s="390"/>
      <c r="W429" s="390"/>
      <c r="X429" s="390"/>
      <c r="Y429" s="390"/>
    </row>
    <row r="430">
      <c r="A430" s="390" t="str">
        <f>IFERROR(__xludf.DUMMYFUNCTION("""COMPUTED_VALUE"""),"Macicleide Silva Carvalho")</f>
        <v>Macicleide Silva Carvalho</v>
      </c>
      <c r="B430" s="390" t="str">
        <f>IFERROR(__xludf.DUMMYFUNCTION("""COMPUTED_VALUE"""),"2° Licenciatura")</f>
        <v>2° Licenciatura</v>
      </c>
      <c r="C430" s="390" t="str">
        <f>IFERROR(__xludf.DUMMYFUNCTION("""COMPUTED_VALUE"""),"Geografia")</f>
        <v>Geografia</v>
      </c>
      <c r="D430" s="390" t="str">
        <f>IFERROR(__xludf.DUMMYFUNCTION("""COMPUTED_VALUE"""),"Recebeu o diploma pela UNICV - 24/04/2025")</f>
        <v>Recebeu o diploma pela UNICV - 24/04/2025</v>
      </c>
      <c r="E430" s="390"/>
      <c r="F430" s="390"/>
      <c r="G430" s="390"/>
      <c r="H430" s="390"/>
      <c r="I430" s="390"/>
      <c r="J430" s="390"/>
      <c r="K430" s="390"/>
      <c r="L430" s="390"/>
      <c r="M430" s="390"/>
      <c r="N430" s="390"/>
      <c r="O430" s="390"/>
      <c r="P430" s="390"/>
      <c r="Q430" s="390"/>
      <c r="R430" s="390"/>
      <c r="S430" s="390"/>
      <c r="T430" s="390"/>
      <c r="U430" s="390"/>
      <c r="V430" s="390"/>
      <c r="W430" s="390"/>
      <c r="X430" s="390"/>
      <c r="Y430" s="390"/>
    </row>
    <row r="431">
      <c r="A431" s="390" t="str">
        <f>IFERROR(__xludf.DUMMYFUNCTION("""COMPUTED_VALUE"""),"Lucas de Godoy Bueno")</f>
        <v>Lucas de Godoy Bueno</v>
      </c>
      <c r="B431" s="390" t="str">
        <f>IFERROR(__xludf.DUMMYFUNCTION("""COMPUTED_VALUE"""),"2° Licenciatura")</f>
        <v>2° Licenciatura</v>
      </c>
      <c r="C431" s="390" t="str">
        <f>IFERROR(__xludf.DUMMYFUNCTION("""COMPUTED_VALUE"""),"Artes Visuais ")</f>
        <v>Artes Visuais </v>
      </c>
      <c r="D431" s="390" t="str">
        <f>IFERROR(__xludf.DUMMYFUNCTION("""COMPUTED_VALUE"""),"Entregue pela Unicv")</f>
        <v>Entregue pela Unicv</v>
      </c>
      <c r="E431" s="390"/>
      <c r="F431" s="390"/>
      <c r="G431" s="390"/>
      <c r="H431" s="390"/>
      <c r="I431" s="390"/>
      <c r="J431" s="390"/>
      <c r="K431" s="390"/>
      <c r="L431" s="390"/>
      <c r="M431" s="390"/>
      <c r="N431" s="390"/>
      <c r="O431" s="390"/>
      <c r="P431" s="390"/>
      <c r="Q431" s="390"/>
      <c r="R431" s="390"/>
      <c r="S431" s="390"/>
      <c r="T431" s="390"/>
      <c r="U431" s="390"/>
      <c r="V431" s="390"/>
      <c r="W431" s="390"/>
      <c r="X431" s="390"/>
      <c r="Y431" s="390"/>
    </row>
    <row r="432">
      <c r="A432" s="390" t="str">
        <f>IFERROR(__xludf.DUMMYFUNCTION("""COMPUTED_VALUE"""),"Maylson Renan Antonio Oliveira")</f>
        <v>Maylson Renan Antonio Oliveira</v>
      </c>
      <c r="B432" s="390" t="str">
        <f>IFERROR(__xludf.DUMMYFUNCTION("""COMPUTED_VALUE"""),"2° Licenciatura")</f>
        <v>2° Licenciatura</v>
      </c>
      <c r="C432" s="390" t="str">
        <f>IFERROR(__xludf.DUMMYFUNCTION("""COMPUTED_VALUE"""),"Artes Visuais ")</f>
        <v>Artes Visuais </v>
      </c>
      <c r="D432" s="390" t="str">
        <f>IFERROR(__xludf.DUMMYFUNCTION("""COMPUTED_VALUE"""),"Entregue pela Unicv")</f>
        <v>Entregue pela Unicv</v>
      </c>
      <c r="E432" s="390"/>
      <c r="F432" s="390"/>
      <c r="G432" s="390"/>
      <c r="H432" s="390"/>
      <c r="I432" s="390"/>
      <c r="J432" s="390"/>
      <c r="K432" s="390"/>
      <c r="L432" s="390"/>
      <c r="M432" s="390"/>
      <c r="N432" s="390"/>
      <c r="O432" s="390"/>
      <c r="P432" s="390"/>
      <c r="Q432" s="390"/>
      <c r="R432" s="390"/>
      <c r="S432" s="390"/>
      <c r="T432" s="390"/>
      <c r="U432" s="390"/>
      <c r="V432" s="390"/>
      <c r="W432" s="390"/>
      <c r="X432" s="390"/>
      <c r="Y432" s="390"/>
    </row>
    <row r="433">
      <c r="A433" s="390" t="str">
        <f>IFERROR(__xludf.DUMMYFUNCTION("""COMPUTED_VALUE"""),"Simone dos Santos Araújo")</f>
        <v>Simone dos Santos Araújo</v>
      </c>
      <c r="B433" s="390" t="str">
        <f>IFERROR(__xludf.DUMMYFUNCTION("""COMPUTED_VALUE"""),"2° Licenciatura")</f>
        <v>2° Licenciatura</v>
      </c>
      <c r="C433" s="390" t="str">
        <f>IFERROR(__xludf.DUMMYFUNCTION("""COMPUTED_VALUE"""),"Letras - Português e Inglês")</f>
        <v>Letras - Português e Inglês</v>
      </c>
      <c r="D433" s="390" t="str">
        <f>IFERROR(__xludf.DUMMYFUNCTION("""COMPUTED_VALUE"""),"Entregue pela Unicv")</f>
        <v>Entregue pela Unicv</v>
      </c>
      <c r="E433" s="390"/>
      <c r="F433" s="390"/>
      <c r="G433" s="390"/>
      <c r="H433" s="390"/>
      <c r="I433" s="390"/>
      <c r="J433" s="390"/>
      <c r="K433" s="390"/>
      <c r="L433" s="390"/>
      <c r="M433" s="390"/>
      <c r="N433" s="390"/>
      <c r="O433" s="390"/>
      <c r="P433" s="390"/>
      <c r="Q433" s="390"/>
      <c r="R433" s="390"/>
      <c r="S433" s="390"/>
      <c r="T433" s="390"/>
      <c r="U433" s="390"/>
      <c r="V433" s="390"/>
      <c r="W433" s="390"/>
      <c r="X433" s="390"/>
      <c r="Y433" s="390"/>
    </row>
    <row r="434">
      <c r="A434" s="390" t="str">
        <f>IFERROR(__xludf.DUMMYFUNCTION("""COMPUTED_VALUE"""),"Danilo Ferreira Soares")</f>
        <v>Danilo Ferreira Soares</v>
      </c>
      <c r="B434" s="390" t="str">
        <f>IFERROR(__xludf.DUMMYFUNCTION("""COMPUTED_VALUE"""),"2° Licenciatura")</f>
        <v>2° Licenciatura</v>
      </c>
      <c r="C434" s="390" t="str">
        <f>IFERROR(__xludf.DUMMYFUNCTION("""COMPUTED_VALUE"""),"Letras - Português e Inglês")</f>
        <v>Letras - Português e Inglês</v>
      </c>
      <c r="D434" s="390" t="str">
        <f>IFERROR(__xludf.DUMMYFUNCTION("""COMPUTED_VALUE"""),"Entregue pela Unicv")</f>
        <v>Entregue pela Unicv</v>
      </c>
      <c r="E434" s="390"/>
      <c r="F434" s="390"/>
      <c r="G434" s="390"/>
      <c r="H434" s="390"/>
      <c r="I434" s="390"/>
      <c r="J434" s="390"/>
      <c r="K434" s="390"/>
      <c r="L434" s="390"/>
      <c r="M434" s="390"/>
      <c r="N434" s="390"/>
      <c r="O434" s="390"/>
      <c r="P434" s="390"/>
      <c r="Q434" s="390"/>
      <c r="R434" s="390"/>
      <c r="S434" s="390"/>
      <c r="T434" s="390"/>
      <c r="U434" s="390"/>
      <c r="V434" s="390"/>
      <c r="W434" s="390"/>
      <c r="X434" s="390"/>
      <c r="Y434" s="390"/>
    </row>
    <row r="435">
      <c r="A435" s="390" t="str">
        <f>IFERROR(__xludf.DUMMYFUNCTION("""COMPUTED_VALUE"""),"Josenilson Gobira Dos Santos")</f>
        <v>Josenilson Gobira Dos Santos</v>
      </c>
      <c r="B435" s="390" t="str">
        <f>IFERROR(__xludf.DUMMYFUNCTION("""COMPUTED_VALUE"""),"Form. Pedagógica")</f>
        <v>Form. Pedagógica</v>
      </c>
      <c r="C435" s="390" t="str">
        <f>IFERROR(__xludf.DUMMYFUNCTION("""COMPUTED_VALUE"""),"Matemática")</f>
        <v>Matemática</v>
      </c>
      <c r="D435" s="390" t="str">
        <f>IFERROR(__xludf.DUMMYFUNCTION("""COMPUTED_VALUE"""),"Entregue pela Unicv")</f>
        <v>Entregue pela Unicv</v>
      </c>
      <c r="E435" s="390"/>
      <c r="F435" s="390"/>
      <c r="G435" s="390"/>
      <c r="H435" s="390"/>
      <c r="I435" s="390"/>
      <c r="J435" s="390"/>
      <c r="K435" s="390"/>
      <c r="L435" s="390"/>
      <c r="M435" s="390"/>
      <c r="N435" s="390"/>
      <c r="O435" s="390"/>
      <c r="P435" s="390"/>
      <c r="Q435" s="390"/>
      <c r="R435" s="390"/>
      <c r="S435" s="390"/>
      <c r="T435" s="390"/>
      <c r="U435" s="390"/>
      <c r="V435" s="390"/>
      <c r="W435" s="390"/>
      <c r="X435" s="390"/>
      <c r="Y435" s="390"/>
    </row>
    <row r="436">
      <c r="A436" s="390" t="str">
        <f>IFERROR(__xludf.DUMMYFUNCTION("""COMPUTED_VALUE"""),"Veranice Fátima de Oliveira")</f>
        <v>Veranice Fátima de Oliveira</v>
      </c>
      <c r="B436" s="390" t="str">
        <f>IFERROR(__xludf.DUMMYFUNCTION("""COMPUTED_VALUE"""),"2° Licenciatura")</f>
        <v>2° Licenciatura</v>
      </c>
      <c r="C436" s="390" t="str">
        <f>IFERROR(__xludf.DUMMYFUNCTION("""COMPUTED_VALUE"""),"Letras Português - Inglês")</f>
        <v>Letras Português - Inglês</v>
      </c>
      <c r="D436" s="390" t="str">
        <f>IFERROR(__xludf.DUMMYFUNCTION("""COMPUTED_VALUE"""),"Entregue pela Unicv")</f>
        <v>Entregue pela Unicv</v>
      </c>
      <c r="E436" s="390"/>
      <c r="F436" s="390"/>
      <c r="G436" s="390"/>
      <c r="H436" s="390"/>
      <c r="I436" s="390"/>
      <c r="J436" s="390"/>
      <c r="K436" s="390"/>
      <c r="L436" s="390"/>
      <c r="M436" s="390"/>
      <c r="N436" s="390"/>
      <c r="O436" s="390"/>
      <c r="P436" s="390"/>
      <c r="Q436" s="390"/>
      <c r="R436" s="390"/>
      <c r="S436" s="390"/>
      <c r="T436" s="390"/>
      <c r="U436" s="390"/>
      <c r="V436" s="390"/>
      <c r="W436" s="390"/>
      <c r="X436" s="390"/>
      <c r="Y436" s="390"/>
    </row>
    <row r="437">
      <c r="A437" s="390" t="str">
        <f>IFERROR(__xludf.DUMMYFUNCTION("""COMPUTED_VALUE"""),"Valeria Pereira de Freitas")</f>
        <v>Valeria Pereira de Freitas</v>
      </c>
      <c r="B437" s="390" t="str">
        <f>IFERROR(__xludf.DUMMYFUNCTION("""COMPUTED_VALUE"""),"2° Licenciatura")</f>
        <v>2° Licenciatura</v>
      </c>
      <c r="C437" s="390" t="str">
        <f>IFERROR(__xludf.DUMMYFUNCTION("""COMPUTED_VALUE"""),"Educação Fisica")</f>
        <v>Educação Fisica</v>
      </c>
      <c r="D437" s="390" t="str">
        <f>IFERROR(__xludf.DUMMYFUNCTION("""COMPUTED_VALUE"""),"Entregue pela Unicv")</f>
        <v>Entregue pela Unicv</v>
      </c>
      <c r="E437" s="390"/>
      <c r="F437" s="390"/>
      <c r="G437" s="390"/>
      <c r="H437" s="390"/>
      <c r="I437" s="390"/>
      <c r="J437" s="390"/>
      <c r="K437" s="390"/>
      <c r="L437" s="390"/>
      <c r="M437" s="390"/>
      <c r="N437" s="390"/>
      <c r="O437" s="390"/>
      <c r="P437" s="390"/>
      <c r="Q437" s="390"/>
      <c r="R437" s="390"/>
      <c r="S437" s="390"/>
      <c r="T437" s="390"/>
      <c r="U437" s="390"/>
      <c r="V437" s="390"/>
      <c r="W437" s="390"/>
      <c r="X437" s="390"/>
      <c r="Y437" s="390"/>
    </row>
    <row r="438">
      <c r="A438" s="390" t="str">
        <f>IFERROR(__xludf.DUMMYFUNCTION("""COMPUTED_VALUE"""),"Ana Elisa dos Santos Santana")</f>
        <v>Ana Elisa dos Santos Santana</v>
      </c>
      <c r="B438" s="390" t="str">
        <f>IFERROR(__xludf.DUMMYFUNCTION("""COMPUTED_VALUE"""),"2° Licenciatura")</f>
        <v>2° Licenciatura</v>
      </c>
      <c r="C438" s="390" t="str">
        <f>IFERROR(__xludf.DUMMYFUNCTION("""COMPUTED_VALUE"""),"Letras - Português e Inglês")</f>
        <v>Letras - Português e Inglês</v>
      </c>
      <c r="D438" s="390" t="str">
        <f>IFERROR(__xludf.DUMMYFUNCTION("""COMPUTED_VALUE"""),"Entregue em 27/05/2025 - Kinbox - Miguel")</f>
        <v>Entregue em 27/05/2025 - Kinbox - Miguel</v>
      </c>
      <c r="E438" s="390"/>
      <c r="F438" s="390"/>
      <c r="G438" s="390"/>
      <c r="H438" s="390"/>
      <c r="I438" s="390"/>
      <c r="J438" s="390"/>
      <c r="K438" s="390"/>
      <c r="L438" s="390"/>
      <c r="M438" s="390"/>
      <c r="N438" s="390"/>
      <c r="O438" s="390"/>
      <c r="P438" s="390"/>
      <c r="Q438" s="390"/>
      <c r="R438" s="390"/>
      <c r="S438" s="390"/>
      <c r="T438" s="390"/>
      <c r="U438" s="390"/>
      <c r="V438" s="390"/>
      <c r="W438" s="390"/>
      <c r="X438" s="390"/>
      <c r="Y438" s="390"/>
    </row>
    <row r="439">
      <c r="A439" s="390" t="str">
        <f>IFERROR(__xludf.DUMMYFUNCTION("""COMPUTED_VALUE"""),"Alessandra de Oliveira SIlva")</f>
        <v>Alessandra de Oliveira SIlva</v>
      </c>
      <c r="B439" s="390" t="str">
        <f>IFERROR(__xludf.DUMMYFUNCTION("""COMPUTED_VALUE"""),"2° Licenciatura")</f>
        <v>2° Licenciatura</v>
      </c>
      <c r="C439" s="390" t="str">
        <f>IFERROR(__xludf.DUMMYFUNCTION("""COMPUTED_VALUE"""),"História")</f>
        <v>História</v>
      </c>
      <c r="D439" s="390" t="str">
        <f>IFERROR(__xludf.DUMMYFUNCTION("""COMPUTED_VALUE"""),"Entregue pela Unicv")</f>
        <v>Entregue pela Unicv</v>
      </c>
      <c r="E439" s="390"/>
      <c r="F439" s="390"/>
      <c r="G439" s="390"/>
      <c r="H439" s="390"/>
      <c r="I439" s="390"/>
      <c r="J439" s="390"/>
      <c r="K439" s="390"/>
      <c r="L439" s="390"/>
      <c r="M439" s="390"/>
      <c r="N439" s="390"/>
      <c r="O439" s="390"/>
      <c r="P439" s="390"/>
      <c r="Q439" s="390"/>
      <c r="R439" s="390"/>
      <c r="S439" s="390"/>
      <c r="T439" s="390"/>
      <c r="U439" s="390"/>
      <c r="V439" s="390"/>
      <c r="W439" s="390"/>
      <c r="X439" s="390"/>
      <c r="Y439" s="390"/>
    </row>
    <row r="440">
      <c r="A440" s="390" t="str">
        <f>IFERROR(__xludf.DUMMYFUNCTION("""COMPUTED_VALUE"""),"Moyses Marques Medeiros")</f>
        <v>Moyses Marques Medeiros</v>
      </c>
      <c r="B440" s="390" t="str">
        <f>IFERROR(__xludf.DUMMYFUNCTION("""COMPUTED_VALUE"""),"2° Licenciatura")</f>
        <v>2° Licenciatura</v>
      </c>
      <c r="C440" s="390" t="str">
        <f>IFERROR(__xludf.DUMMYFUNCTION("""COMPUTED_VALUE"""),"Artes Visuais")</f>
        <v>Artes Visuais</v>
      </c>
      <c r="D440" s="390" t="str">
        <f>IFERROR(__xludf.DUMMYFUNCTION("""COMPUTED_VALUE"""),"Entregue em 22/04/2025 - Carla")</f>
        <v>Entregue em 22/04/2025 - Carla</v>
      </c>
      <c r="E440" s="390"/>
      <c r="F440" s="390"/>
      <c r="G440" s="390"/>
      <c r="H440" s="390"/>
      <c r="I440" s="390"/>
      <c r="J440" s="390"/>
      <c r="K440" s="390"/>
      <c r="L440" s="390"/>
      <c r="M440" s="390"/>
      <c r="N440" s="390"/>
      <c r="O440" s="390"/>
      <c r="P440" s="390"/>
      <c r="Q440" s="390"/>
      <c r="R440" s="390"/>
      <c r="S440" s="390"/>
      <c r="T440" s="390"/>
      <c r="U440" s="390"/>
      <c r="V440" s="390"/>
      <c r="W440" s="390"/>
      <c r="X440" s="390"/>
      <c r="Y440" s="390"/>
    </row>
    <row r="441">
      <c r="A441" s="390" t="str">
        <f>IFERROR(__xludf.DUMMYFUNCTION("""COMPUTED_VALUE"""),"Andrea Edna Da Silva Martins")</f>
        <v>Andrea Edna Da Silva Martins</v>
      </c>
      <c r="B441" s="390" t="str">
        <f>IFERROR(__xludf.DUMMYFUNCTION("""COMPUTED_VALUE"""),"2° Licenciatura")</f>
        <v>2° Licenciatura</v>
      </c>
      <c r="C441" s="390" t="str">
        <f>IFERROR(__xludf.DUMMYFUNCTION("""COMPUTED_VALUE"""),"Letras - Português e Inglês")</f>
        <v>Letras - Português e Inglês</v>
      </c>
      <c r="D441" s="390" t="str">
        <f>IFERROR(__xludf.DUMMYFUNCTION("""COMPUTED_VALUE"""),"Entregue pela Unicv")</f>
        <v>Entregue pela Unicv</v>
      </c>
      <c r="E441" s="390"/>
      <c r="F441" s="390"/>
      <c r="G441" s="390"/>
      <c r="H441" s="390"/>
      <c r="I441" s="390"/>
      <c r="J441" s="390"/>
      <c r="K441" s="390"/>
      <c r="L441" s="390"/>
      <c r="M441" s="390"/>
      <c r="N441" s="390"/>
      <c r="O441" s="390"/>
      <c r="P441" s="390"/>
      <c r="Q441" s="390"/>
      <c r="R441" s="390"/>
      <c r="S441" s="390"/>
      <c r="T441" s="390"/>
      <c r="U441" s="390"/>
      <c r="V441" s="390"/>
      <c r="W441" s="390"/>
      <c r="X441" s="390"/>
      <c r="Y441" s="390"/>
    </row>
    <row r="442">
      <c r="A442" s="390" t="str">
        <f>IFERROR(__xludf.DUMMYFUNCTION("""COMPUTED_VALUE"""),"Estéfane Dantas Cabral Alexandre")</f>
        <v>Estéfane Dantas Cabral Alexandre</v>
      </c>
      <c r="B442" s="390" t="str">
        <f>IFERROR(__xludf.DUMMYFUNCTION("""COMPUTED_VALUE"""),"Form. Pedagógica")</f>
        <v>Form. Pedagógica</v>
      </c>
      <c r="C442" s="390" t="str">
        <f>IFERROR(__xludf.DUMMYFUNCTION("""COMPUTED_VALUE"""),"Artes Visuais")</f>
        <v>Artes Visuais</v>
      </c>
      <c r="D442" s="390" t="str">
        <f>IFERROR(__xludf.DUMMYFUNCTION("""COMPUTED_VALUE"""),"Entregue pela Unicv")</f>
        <v>Entregue pela Unicv</v>
      </c>
      <c r="E442" s="390"/>
      <c r="F442" s="390"/>
      <c r="G442" s="390"/>
      <c r="H442" s="390"/>
      <c r="I442" s="390"/>
      <c r="J442" s="390"/>
      <c r="K442" s="390"/>
      <c r="L442" s="390"/>
      <c r="M442" s="390"/>
      <c r="N442" s="390"/>
      <c r="O442" s="390"/>
      <c r="P442" s="390"/>
      <c r="Q442" s="390"/>
      <c r="R442" s="390"/>
      <c r="S442" s="390"/>
      <c r="T442" s="390"/>
      <c r="U442" s="390"/>
      <c r="V442" s="390"/>
      <c r="W442" s="390"/>
      <c r="X442" s="390"/>
      <c r="Y442" s="390"/>
    </row>
    <row r="443">
      <c r="A443" s="390" t="str">
        <f>IFERROR(__xludf.DUMMYFUNCTION("""COMPUTED_VALUE"""),"Elen Cristina Martos Cruz")</f>
        <v>Elen Cristina Martos Cruz</v>
      </c>
      <c r="B443" s="390" t="str">
        <f>IFERROR(__xludf.DUMMYFUNCTION("""COMPUTED_VALUE"""),"Form. Pedagógica")</f>
        <v>Form. Pedagógica</v>
      </c>
      <c r="C443" s="390" t="str">
        <f>IFERROR(__xludf.DUMMYFUNCTION("""COMPUTED_VALUE"""),"Educação Fisica")</f>
        <v>Educação Fisica</v>
      </c>
      <c r="D443" s="390" t="str">
        <f>IFERROR(__xludf.DUMMYFUNCTION("""COMPUTED_VALUE"""),"Entregue em 29/05/2025 - kinbox")</f>
        <v>Entregue em 29/05/2025 - kinbox</v>
      </c>
      <c r="E443" s="390"/>
      <c r="F443" s="390"/>
      <c r="G443" s="390"/>
      <c r="H443" s="390"/>
      <c r="I443" s="390"/>
      <c r="J443" s="390"/>
      <c r="K443" s="390"/>
      <c r="L443" s="390"/>
      <c r="M443" s="390"/>
      <c r="N443" s="390"/>
      <c r="O443" s="390"/>
      <c r="P443" s="390"/>
      <c r="Q443" s="390"/>
      <c r="R443" s="390"/>
      <c r="S443" s="390"/>
      <c r="T443" s="390"/>
      <c r="U443" s="390"/>
      <c r="V443" s="390"/>
      <c r="W443" s="390"/>
      <c r="X443" s="390"/>
      <c r="Y443" s="390"/>
    </row>
    <row r="444">
      <c r="A444" s="390" t="str">
        <f>IFERROR(__xludf.DUMMYFUNCTION("""COMPUTED_VALUE"""),"Ana Paula de Freitas Gonçalves Silva")</f>
        <v>Ana Paula de Freitas Gonçalves Silva</v>
      </c>
      <c r="B444" s="390" t="str">
        <f>IFERROR(__xludf.DUMMYFUNCTION("""COMPUTED_VALUE"""),"2° Licenciatura")</f>
        <v>2° Licenciatura</v>
      </c>
      <c r="C444" s="390" t="str">
        <f>IFERROR(__xludf.DUMMYFUNCTION("""COMPUTED_VALUE"""),"Educação Especial")</f>
        <v>Educação Especial</v>
      </c>
      <c r="D444" s="390" t="str">
        <f>IFERROR(__xludf.DUMMYFUNCTION("""COMPUTED_VALUE"""),"Entregue pela Unicv")</f>
        <v>Entregue pela Unicv</v>
      </c>
      <c r="E444" s="390"/>
      <c r="F444" s="390"/>
      <c r="G444" s="390"/>
      <c r="H444" s="390"/>
      <c r="I444" s="390"/>
      <c r="J444" s="390"/>
      <c r="K444" s="390"/>
      <c r="L444" s="390"/>
      <c r="M444" s="390"/>
      <c r="N444" s="390"/>
      <c r="O444" s="390"/>
      <c r="P444" s="390"/>
      <c r="Q444" s="390"/>
      <c r="R444" s="390"/>
      <c r="S444" s="390"/>
      <c r="T444" s="390"/>
      <c r="U444" s="390"/>
      <c r="V444" s="390"/>
      <c r="W444" s="390"/>
      <c r="X444" s="390"/>
      <c r="Y444" s="390"/>
    </row>
    <row r="445">
      <c r="A445" s="390" t="str">
        <f>IFERROR(__xludf.DUMMYFUNCTION("""COMPUTED_VALUE"""),"Valéria Oliveira de Jesus")</f>
        <v>Valéria Oliveira de Jesus</v>
      </c>
      <c r="B445" s="390" t="str">
        <f>IFERROR(__xludf.DUMMYFUNCTION("""COMPUTED_VALUE"""),"2° Licenciatura")</f>
        <v>2° Licenciatura</v>
      </c>
      <c r="C445" s="390" t="str">
        <f>IFERROR(__xludf.DUMMYFUNCTION("""COMPUTED_VALUE"""),"Letras - Português e Inglês")</f>
        <v>Letras - Português e Inglês</v>
      </c>
      <c r="D445" s="390" t="str">
        <f>IFERROR(__xludf.DUMMYFUNCTION("""COMPUTED_VALUE"""),"Entregue pela Unicv")</f>
        <v>Entregue pela Unicv</v>
      </c>
      <c r="E445" s="390"/>
      <c r="F445" s="390"/>
      <c r="G445" s="390"/>
      <c r="H445" s="390"/>
      <c r="I445" s="390"/>
      <c r="J445" s="390"/>
      <c r="K445" s="390"/>
      <c r="L445" s="390"/>
      <c r="M445" s="390"/>
      <c r="N445" s="390"/>
      <c r="O445" s="390"/>
      <c r="P445" s="390"/>
      <c r="Q445" s="390"/>
      <c r="R445" s="390"/>
      <c r="S445" s="390"/>
      <c r="T445" s="390"/>
      <c r="U445" s="390"/>
      <c r="V445" s="390"/>
      <c r="W445" s="390"/>
      <c r="X445" s="390"/>
      <c r="Y445" s="390"/>
    </row>
    <row r="446">
      <c r="A446" s="390" t="str">
        <f>IFERROR(__xludf.DUMMYFUNCTION("""COMPUTED_VALUE"""),"Jaqueline Gonçalves da Costa")</f>
        <v>Jaqueline Gonçalves da Costa</v>
      </c>
      <c r="B446" s="390" t="str">
        <f>IFERROR(__xludf.DUMMYFUNCTION("""COMPUTED_VALUE"""),"2° Licenciatura")</f>
        <v>2° Licenciatura</v>
      </c>
      <c r="C446" s="390" t="str">
        <f>IFERROR(__xludf.DUMMYFUNCTION("""COMPUTED_VALUE"""),"Educação Especial")</f>
        <v>Educação Especial</v>
      </c>
      <c r="D446" s="390" t="str">
        <f>IFERROR(__xludf.DUMMYFUNCTION("""COMPUTED_VALUE"""),"Entregue em 30/05/2025 - kinbox")</f>
        <v>Entregue em 30/05/2025 - kinbox</v>
      </c>
      <c r="E446" s="390"/>
      <c r="F446" s="390"/>
      <c r="G446" s="390"/>
      <c r="H446" s="390"/>
      <c r="I446" s="390"/>
      <c r="J446" s="390"/>
      <c r="K446" s="390"/>
      <c r="L446" s="390"/>
      <c r="M446" s="390"/>
      <c r="N446" s="390"/>
      <c r="O446" s="390"/>
      <c r="P446" s="390"/>
      <c r="Q446" s="390"/>
      <c r="R446" s="390"/>
      <c r="S446" s="390"/>
      <c r="T446" s="390"/>
      <c r="U446" s="390"/>
      <c r="V446" s="390"/>
      <c r="W446" s="390"/>
      <c r="X446" s="390"/>
      <c r="Y446" s="390"/>
    </row>
    <row r="447">
      <c r="A447" s="390" t="str">
        <f>IFERROR(__xludf.DUMMYFUNCTION("""COMPUTED_VALUE"""),"Leticy Araújo Andrade")</f>
        <v>Leticy Araújo Andrade</v>
      </c>
      <c r="B447" s="390" t="str">
        <f>IFERROR(__xludf.DUMMYFUNCTION("""COMPUTED_VALUE"""),"Form. Pedagógica")</f>
        <v>Form. Pedagógica</v>
      </c>
      <c r="C447" s="390" t="str">
        <f>IFERROR(__xludf.DUMMYFUNCTION("""COMPUTED_VALUE"""),"Artes Visuais")</f>
        <v>Artes Visuais</v>
      </c>
      <c r="D447" s="390" t="str">
        <f>IFERROR(__xludf.DUMMYFUNCTION("""COMPUTED_VALUE"""),"Entregue em 20/05/2025 - kinbox")</f>
        <v>Entregue em 20/05/2025 - kinbox</v>
      </c>
      <c r="E447" s="390"/>
      <c r="F447" s="390"/>
      <c r="G447" s="390"/>
      <c r="H447" s="390"/>
      <c r="I447" s="390"/>
      <c r="J447" s="390"/>
      <c r="K447" s="390"/>
      <c r="L447" s="390"/>
      <c r="M447" s="390"/>
      <c r="N447" s="390"/>
      <c r="O447" s="390"/>
      <c r="P447" s="390"/>
      <c r="Q447" s="390"/>
      <c r="R447" s="390"/>
      <c r="S447" s="390"/>
      <c r="T447" s="390"/>
      <c r="U447" s="390"/>
      <c r="V447" s="390"/>
      <c r="W447" s="390"/>
      <c r="X447" s="390"/>
      <c r="Y447" s="390"/>
    </row>
    <row r="448">
      <c r="A448" s="390" t="str">
        <f>IFERROR(__xludf.DUMMYFUNCTION("""COMPUTED_VALUE"""),"Wagner Giongo")</f>
        <v>Wagner Giongo</v>
      </c>
      <c r="B448" s="390" t="str">
        <f>IFERROR(__xludf.DUMMYFUNCTION("""COMPUTED_VALUE"""),"Form. Pedagógica")</f>
        <v>Form. Pedagógica</v>
      </c>
      <c r="C448" s="390" t="str">
        <f>IFERROR(__xludf.DUMMYFUNCTION("""COMPUTED_VALUE"""),"Educação Fisica")</f>
        <v>Educação Fisica</v>
      </c>
      <c r="D448" s="390" t="str">
        <f>IFERROR(__xludf.DUMMYFUNCTION("""COMPUTED_VALUE"""),"Em andamento")</f>
        <v>Em andamento</v>
      </c>
      <c r="E448" s="390"/>
      <c r="F448" s="390"/>
      <c r="G448" s="390"/>
      <c r="H448" s="390"/>
      <c r="I448" s="390"/>
      <c r="J448" s="390"/>
      <c r="K448" s="390"/>
      <c r="L448" s="390"/>
      <c r="M448" s="390"/>
      <c r="N448" s="390"/>
      <c r="O448" s="390"/>
      <c r="P448" s="390"/>
      <c r="Q448" s="390"/>
      <c r="R448" s="390"/>
      <c r="S448" s="390"/>
      <c r="T448" s="390"/>
      <c r="U448" s="390"/>
      <c r="V448" s="390"/>
      <c r="W448" s="390"/>
      <c r="X448" s="390"/>
      <c r="Y448" s="390"/>
    </row>
    <row r="449">
      <c r="A449" s="390" t="str">
        <f>IFERROR(__xludf.DUMMYFUNCTION("""COMPUTED_VALUE"""),"Iris de Azevedo Pereira")</f>
        <v>Iris de Azevedo Pereira</v>
      </c>
      <c r="B449" s="390" t="str">
        <f>IFERROR(__xludf.DUMMYFUNCTION("""COMPUTED_VALUE"""),"2° Licenciatura")</f>
        <v>2° Licenciatura</v>
      </c>
      <c r="C449" s="390" t="str">
        <f>IFERROR(__xludf.DUMMYFUNCTION("""COMPUTED_VALUE"""),"Artes Visuais ")</f>
        <v>Artes Visuais </v>
      </c>
      <c r="D449" s="390" t="str">
        <f>IFERROR(__xludf.DUMMYFUNCTION("""COMPUTED_VALUE"""),"Em andamento")</f>
        <v>Em andamento</v>
      </c>
      <c r="E449" s="390"/>
      <c r="F449" s="390"/>
      <c r="G449" s="390"/>
      <c r="H449" s="390"/>
      <c r="I449" s="390"/>
      <c r="J449" s="390"/>
      <c r="K449" s="390"/>
      <c r="L449" s="390"/>
      <c r="M449" s="390"/>
      <c r="N449" s="390"/>
      <c r="O449" s="390"/>
      <c r="P449" s="390"/>
      <c r="Q449" s="390"/>
      <c r="R449" s="390"/>
      <c r="S449" s="390"/>
      <c r="T449" s="390"/>
      <c r="U449" s="390"/>
      <c r="V449" s="390"/>
      <c r="W449" s="390"/>
      <c r="X449" s="390"/>
      <c r="Y449" s="390"/>
    </row>
    <row r="450">
      <c r="A450" s="390" t="str">
        <f>IFERROR(__xludf.DUMMYFUNCTION("""COMPUTED_VALUE"""),"Luziane Cruz de Azevedo")</f>
        <v>Luziane Cruz de Azevedo</v>
      </c>
      <c r="B450" s="390" t="str">
        <f>IFERROR(__xludf.DUMMYFUNCTION("""COMPUTED_VALUE"""),"2° Licenciatura")</f>
        <v>2° Licenciatura</v>
      </c>
      <c r="C450" s="390" t="str">
        <f>IFERROR(__xludf.DUMMYFUNCTION("""COMPUTED_VALUE"""),"Matemática")</f>
        <v>Matemática</v>
      </c>
      <c r="D450" s="390" t="str">
        <f>IFERROR(__xludf.DUMMYFUNCTION("""COMPUTED_VALUE"""),"Em andamento")</f>
        <v>Em andamento</v>
      </c>
      <c r="E450" s="390"/>
      <c r="F450" s="390"/>
      <c r="G450" s="390"/>
      <c r="H450" s="390"/>
      <c r="I450" s="390"/>
      <c r="J450" s="390"/>
      <c r="K450" s="390"/>
      <c r="L450" s="390"/>
      <c r="M450" s="390"/>
      <c r="N450" s="390"/>
      <c r="O450" s="390"/>
      <c r="P450" s="390"/>
      <c r="Q450" s="390"/>
      <c r="R450" s="390"/>
      <c r="S450" s="390"/>
      <c r="T450" s="390"/>
      <c r="U450" s="390"/>
      <c r="V450" s="390"/>
      <c r="W450" s="390"/>
      <c r="X450" s="390"/>
      <c r="Y450" s="390"/>
    </row>
    <row r="451">
      <c r="A451" s="390" t="str">
        <f>IFERROR(__xludf.DUMMYFUNCTION("""COMPUTED_VALUE"""),"José Edilson da Costa")</f>
        <v>José Edilson da Costa</v>
      </c>
      <c r="B451" s="390" t="str">
        <f>IFERROR(__xludf.DUMMYFUNCTION("""COMPUTED_VALUE"""),"Form. Pedagógica")</f>
        <v>Form. Pedagógica</v>
      </c>
      <c r="C451" s="390" t="str">
        <f>IFERROR(__xludf.DUMMYFUNCTION("""COMPUTED_VALUE"""),"Filosofia")</f>
        <v>Filosofia</v>
      </c>
      <c r="D451" s="390" t="str">
        <f>IFERROR(__xludf.DUMMYFUNCTION("""COMPUTED_VALUE"""),"Em andamento")</f>
        <v>Em andamento</v>
      </c>
      <c r="E451" s="390"/>
      <c r="F451" s="390"/>
      <c r="G451" s="390"/>
      <c r="H451" s="390"/>
      <c r="I451" s="390"/>
      <c r="J451" s="390"/>
      <c r="K451" s="390"/>
      <c r="L451" s="390"/>
      <c r="M451" s="390"/>
      <c r="N451" s="390"/>
      <c r="O451" s="390"/>
      <c r="P451" s="390"/>
      <c r="Q451" s="390"/>
      <c r="R451" s="390"/>
      <c r="S451" s="390"/>
      <c r="T451" s="390"/>
      <c r="U451" s="390"/>
      <c r="V451" s="390"/>
      <c r="W451" s="390"/>
      <c r="X451" s="390"/>
      <c r="Y451" s="390"/>
    </row>
    <row r="452">
      <c r="A452" s="390" t="str">
        <f>IFERROR(__xludf.DUMMYFUNCTION("""COMPUTED_VALUE"""),"Renato Henrique Neves Franco")</f>
        <v>Renato Henrique Neves Franco</v>
      </c>
      <c r="B452" s="390" t="str">
        <f>IFERROR(__xludf.DUMMYFUNCTION("""COMPUTED_VALUE"""),"Form. Pedagógica")</f>
        <v>Form. Pedagógica</v>
      </c>
      <c r="C452" s="390" t="str">
        <f>IFERROR(__xludf.DUMMYFUNCTION("""COMPUTED_VALUE"""),"Artes Visuais ")</f>
        <v>Artes Visuais </v>
      </c>
      <c r="D452" s="390" t="str">
        <f>IFERROR(__xludf.DUMMYFUNCTION("""COMPUTED_VALUE"""),"Entregue em 30/05/2025 - Kinbox - Miguel")</f>
        <v>Entregue em 30/05/2025 - Kinbox - Miguel</v>
      </c>
      <c r="E452" s="390"/>
      <c r="F452" s="390"/>
      <c r="G452" s="390"/>
      <c r="H452" s="390"/>
      <c r="I452" s="390"/>
      <c r="J452" s="390"/>
      <c r="K452" s="390"/>
      <c r="L452" s="390"/>
      <c r="M452" s="390"/>
      <c r="N452" s="390"/>
      <c r="O452" s="390"/>
      <c r="P452" s="390"/>
      <c r="Q452" s="390"/>
      <c r="R452" s="390"/>
      <c r="S452" s="390"/>
      <c r="T452" s="390"/>
      <c r="U452" s="390"/>
      <c r="V452" s="390"/>
      <c r="W452" s="390"/>
      <c r="X452" s="390"/>
      <c r="Y452" s="390"/>
    </row>
    <row r="453">
      <c r="A453" s="390" t="str">
        <f>IFERROR(__xludf.DUMMYFUNCTION("""COMPUTED_VALUE"""),"Elane Cristina da Silva Dias")</f>
        <v>Elane Cristina da Silva Dias</v>
      </c>
      <c r="B453" s="390" t="str">
        <f>IFERROR(__xludf.DUMMYFUNCTION("""COMPUTED_VALUE"""),"2° Licenciatura")</f>
        <v>2° Licenciatura</v>
      </c>
      <c r="C453" s="390" t="str">
        <f>IFERROR(__xludf.DUMMYFUNCTION("""COMPUTED_VALUE"""),"Letras - Português e Espanhol")</f>
        <v>Letras - Português e Espanhol</v>
      </c>
      <c r="D453" s="390" t="str">
        <f>IFERROR(__xludf.DUMMYFUNCTION("""COMPUTED_VALUE"""),"Entregue - Email - Mariana - ERRO/corrigido")</f>
        <v>Entregue - Email - Mariana - ERRO/corrigido</v>
      </c>
      <c r="E453" s="390"/>
      <c r="F453" s="390"/>
      <c r="G453" s="390"/>
      <c r="H453" s="390"/>
      <c r="I453" s="390"/>
      <c r="J453" s="390"/>
      <c r="K453" s="390"/>
      <c r="L453" s="390"/>
      <c r="M453" s="390"/>
      <c r="N453" s="390"/>
      <c r="O453" s="390"/>
      <c r="P453" s="390"/>
      <c r="Q453" s="390"/>
      <c r="R453" s="390"/>
      <c r="S453" s="390"/>
      <c r="T453" s="390"/>
      <c r="U453" s="390"/>
      <c r="V453" s="390"/>
      <c r="W453" s="390"/>
      <c r="X453" s="390"/>
      <c r="Y453" s="390"/>
    </row>
    <row r="454">
      <c r="A454" s="390" t="str">
        <f>IFERROR(__xludf.DUMMYFUNCTION("""COMPUTED_VALUE"""),"Rui Dos Santos")</f>
        <v>Rui Dos Santos</v>
      </c>
      <c r="B454" s="390" t="str">
        <f>IFERROR(__xludf.DUMMYFUNCTION("""COMPUTED_VALUE"""),"2° Licenciatura")</f>
        <v>2° Licenciatura</v>
      </c>
      <c r="C454" s="390" t="str">
        <f>IFERROR(__xludf.DUMMYFUNCTION("""COMPUTED_VALUE"""),"Letras - Português e Inglês")</f>
        <v>Letras - Português e Inglês</v>
      </c>
      <c r="D454" s="390" t="str">
        <f>IFERROR(__xludf.DUMMYFUNCTION("""COMPUTED_VALUE"""),"Entregue em 22/05/2025 - Kinbox e e-mail-Miguel")</f>
        <v>Entregue em 22/05/2025 - Kinbox e e-mail-Miguel</v>
      </c>
      <c r="E454" s="390"/>
      <c r="F454" s="390"/>
      <c r="G454" s="390"/>
      <c r="H454" s="390"/>
      <c r="I454" s="390"/>
      <c r="J454" s="390"/>
      <c r="K454" s="390"/>
      <c r="L454" s="390"/>
      <c r="M454" s="390"/>
      <c r="N454" s="390"/>
      <c r="O454" s="390"/>
      <c r="P454" s="390"/>
      <c r="Q454" s="390"/>
      <c r="R454" s="390"/>
      <c r="S454" s="390"/>
      <c r="T454" s="390"/>
      <c r="U454" s="390"/>
      <c r="V454" s="390"/>
      <c r="W454" s="390"/>
      <c r="X454" s="390"/>
      <c r="Y454" s="390"/>
    </row>
    <row r="455">
      <c r="A455" s="390" t="str">
        <f>IFERROR(__xludf.DUMMYFUNCTION("""COMPUTED_VALUE"""),"Maria Aparecida Bandeira da Silva")</f>
        <v>Maria Aparecida Bandeira da Silva</v>
      </c>
      <c r="B455" s="390" t="str">
        <f>IFERROR(__xludf.DUMMYFUNCTION("""COMPUTED_VALUE"""),"2° Licenciatura")</f>
        <v>2° Licenciatura</v>
      </c>
      <c r="C455" s="390" t="str">
        <f>IFERROR(__xludf.DUMMYFUNCTION("""COMPUTED_VALUE"""),"Letras - Português e Inglês")</f>
        <v>Letras - Português e Inglês</v>
      </c>
      <c r="D455" s="390" t="str">
        <f>IFERROR(__xludf.DUMMYFUNCTION("""COMPUTED_VALUE"""),"Em andamento")</f>
        <v>Em andamento</v>
      </c>
      <c r="E455" s="390"/>
      <c r="F455" s="390"/>
      <c r="G455" s="390"/>
      <c r="H455" s="390"/>
      <c r="I455" s="390"/>
      <c r="J455" s="390"/>
      <c r="K455" s="390"/>
      <c r="L455" s="390"/>
      <c r="M455" s="390"/>
      <c r="N455" s="390"/>
      <c r="O455" s="390"/>
      <c r="P455" s="390"/>
      <c r="Q455" s="390"/>
      <c r="R455" s="390"/>
      <c r="S455" s="390"/>
      <c r="T455" s="390"/>
      <c r="U455" s="390"/>
      <c r="V455" s="390"/>
      <c r="W455" s="390"/>
      <c r="X455" s="390"/>
      <c r="Y455" s="390"/>
    </row>
    <row r="456">
      <c r="A456" s="390" t="str">
        <f>IFERROR(__xludf.DUMMYFUNCTION("""COMPUTED_VALUE"""),"Jéferson Sousa Brito Ramires")</f>
        <v>Jéferson Sousa Brito Ramires</v>
      </c>
      <c r="B456" s="390" t="str">
        <f>IFERROR(__xludf.DUMMYFUNCTION("""COMPUTED_VALUE"""),"2° Licenciatura")</f>
        <v>2° Licenciatura</v>
      </c>
      <c r="C456" s="390" t="str">
        <f>IFERROR(__xludf.DUMMYFUNCTION("""COMPUTED_VALUE"""),"Artes Visuais")</f>
        <v>Artes Visuais</v>
      </c>
      <c r="D456" s="390" t="str">
        <f>IFERROR(__xludf.DUMMYFUNCTION("""COMPUTED_VALUE"""),"Em andamento")</f>
        <v>Em andamento</v>
      </c>
      <c r="E456" s="390"/>
      <c r="F456" s="390"/>
      <c r="G456" s="390"/>
      <c r="H456" s="390"/>
      <c r="I456" s="390"/>
      <c r="J456" s="390"/>
      <c r="K456" s="390"/>
      <c r="L456" s="390"/>
      <c r="M456" s="390"/>
      <c r="N456" s="390"/>
      <c r="O456" s="390"/>
      <c r="P456" s="390"/>
      <c r="Q456" s="390"/>
      <c r="R456" s="390"/>
      <c r="S456" s="390"/>
      <c r="T456" s="390"/>
      <c r="U456" s="390"/>
      <c r="V456" s="390"/>
      <c r="W456" s="390"/>
      <c r="X456" s="390"/>
      <c r="Y456" s="390"/>
    </row>
    <row r="457">
      <c r="A457" s="390" t="str">
        <f>IFERROR(__xludf.DUMMYFUNCTION("""COMPUTED_VALUE"""),"Carlos Edinei de Oliveira")</f>
        <v>Carlos Edinei de Oliveira</v>
      </c>
      <c r="B457" s="390" t="str">
        <f>IFERROR(__xludf.DUMMYFUNCTION("""COMPUTED_VALUE"""),"2° Licenciatura")</f>
        <v>2° Licenciatura</v>
      </c>
      <c r="C457" s="390" t="str">
        <f>IFERROR(__xludf.DUMMYFUNCTION("""COMPUTED_VALUE"""),"Artes Visuais")</f>
        <v>Artes Visuais</v>
      </c>
      <c r="D457" s="390" t="str">
        <f>IFERROR(__xludf.DUMMYFUNCTION("""COMPUTED_VALUE"""),"Entregue em 24/04/2025 Kinbox  - Carla")</f>
        <v>Entregue em 24/04/2025 Kinbox  - Carla</v>
      </c>
      <c r="E457" s="390"/>
      <c r="F457" s="390"/>
      <c r="G457" s="390"/>
      <c r="H457" s="390"/>
      <c r="I457" s="390"/>
      <c r="J457" s="390"/>
      <c r="K457" s="390"/>
      <c r="L457" s="390"/>
      <c r="M457" s="390"/>
      <c r="N457" s="390"/>
      <c r="O457" s="390"/>
      <c r="P457" s="390"/>
      <c r="Q457" s="390"/>
      <c r="R457" s="390"/>
      <c r="S457" s="390"/>
      <c r="T457" s="390"/>
      <c r="U457" s="390"/>
      <c r="V457" s="390"/>
      <c r="W457" s="390"/>
      <c r="X457" s="390"/>
      <c r="Y457" s="390"/>
    </row>
    <row r="458">
      <c r="A458" s="390" t="str">
        <f>IFERROR(__xludf.DUMMYFUNCTION("""COMPUTED_VALUE"""),"Sabrina da Silva Magalhães Martins")</f>
        <v>Sabrina da Silva Magalhães Martins</v>
      </c>
      <c r="B458" s="390" t="str">
        <f>IFERROR(__xludf.DUMMYFUNCTION("""COMPUTED_VALUE"""),"Form. Pedagógica")</f>
        <v>Form. Pedagógica</v>
      </c>
      <c r="C458" s="390" t="str">
        <f>IFERROR(__xludf.DUMMYFUNCTION("""COMPUTED_VALUE"""),"Artes Visuais ")</f>
        <v>Artes Visuais </v>
      </c>
      <c r="D458" s="390" t="str">
        <f>IFERROR(__xludf.DUMMYFUNCTION("""COMPUTED_VALUE"""),"Entregue em 05/05/2025 - Kinbox e e-mail-Miguel")</f>
        <v>Entregue em 05/05/2025 - Kinbox e e-mail-Miguel</v>
      </c>
      <c r="E458" s="390"/>
      <c r="F458" s="390"/>
      <c r="G458" s="390"/>
      <c r="H458" s="390"/>
      <c r="I458" s="390"/>
      <c r="J458" s="390"/>
      <c r="K458" s="390"/>
      <c r="L458" s="390"/>
      <c r="M458" s="390"/>
      <c r="N458" s="390"/>
      <c r="O458" s="390"/>
      <c r="P458" s="390"/>
      <c r="Q458" s="390"/>
      <c r="R458" s="390"/>
      <c r="S458" s="390"/>
      <c r="T458" s="390"/>
      <c r="U458" s="390"/>
      <c r="V458" s="390"/>
      <c r="W458" s="390"/>
      <c r="X458" s="390"/>
      <c r="Y458" s="390"/>
    </row>
    <row r="459">
      <c r="A459" s="390" t="str">
        <f>IFERROR(__xludf.DUMMYFUNCTION("""COMPUTED_VALUE"""),"Nathália Batista Dias Fróes")</f>
        <v>Nathália Batista Dias Fróes</v>
      </c>
      <c r="B459" s="390" t="str">
        <f>IFERROR(__xludf.DUMMYFUNCTION("""COMPUTED_VALUE"""),"Form. Pedagógica")</f>
        <v>Form. Pedagógica</v>
      </c>
      <c r="C459" s="390" t="str">
        <f>IFERROR(__xludf.DUMMYFUNCTION("""COMPUTED_VALUE"""),"Educação Especial")</f>
        <v>Educação Especial</v>
      </c>
      <c r="D459" s="390" t="str">
        <f>IFERROR(__xludf.DUMMYFUNCTION("""COMPUTED_VALUE"""),"Em andamento")</f>
        <v>Em andamento</v>
      </c>
      <c r="E459" s="390"/>
      <c r="F459" s="390"/>
      <c r="G459" s="390"/>
      <c r="H459" s="390"/>
      <c r="I459" s="390"/>
      <c r="J459" s="390"/>
      <c r="K459" s="390"/>
      <c r="L459" s="390"/>
      <c r="M459" s="390"/>
      <c r="N459" s="390"/>
      <c r="O459" s="390"/>
      <c r="P459" s="390"/>
      <c r="Q459" s="390"/>
      <c r="R459" s="390"/>
      <c r="S459" s="390"/>
      <c r="T459" s="390"/>
      <c r="U459" s="390"/>
      <c r="V459" s="390"/>
      <c r="W459" s="390"/>
      <c r="X459" s="390"/>
      <c r="Y459" s="390"/>
    </row>
    <row r="460">
      <c r="A460" s="390" t="str">
        <f>IFERROR(__xludf.DUMMYFUNCTION("""COMPUTED_VALUE"""),"Marco Diego Krenzlin")</f>
        <v>Marco Diego Krenzlin</v>
      </c>
      <c r="B460" s="390" t="str">
        <f>IFERROR(__xludf.DUMMYFUNCTION("""COMPUTED_VALUE"""),"Form. Pedagógica")</f>
        <v>Form. Pedagógica</v>
      </c>
      <c r="C460" s="390" t="str">
        <f>IFERROR(__xludf.DUMMYFUNCTION("""COMPUTED_VALUE"""),"Educação Fisica")</f>
        <v>Educação Fisica</v>
      </c>
      <c r="D460" s="390" t="str">
        <f>IFERROR(__xludf.DUMMYFUNCTION("""COMPUTED_VALUE"""),"Entregue pela Unicv - Entregamos só o Diploma - Carla")</f>
        <v>Entregue pela Unicv - Entregamos só o Diploma - Carla</v>
      </c>
      <c r="E460" s="390"/>
      <c r="F460" s="390"/>
      <c r="G460" s="390"/>
      <c r="H460" s="390"/>
      <c r="I460" s="390"/>
      <c r="J460" s="390"/>
      <c r="K460" s="390"/>
      <c r="L460" s="390"/>
      <c r="M460" s="390"/>
      <c r="N460" s="390"/>
      <c r="O460" s="390"/>
      <c r="P460" s="390"/>
      <c r="Q460" s="390"/>
      <c r="R460" s="390"/>
      <c r="S460" s="390"/>
      <c r="T460" s="390"/>
      <c r="U460" s="390"/>
      <c r="V460" s="390"/>
      <c r="W460" s="390"/>
      <c r="X460" s="390"/>
      <c r="Y460" s="390"/>
    </row>
    <row r="461">
      <c r="A461" s="390" t="str">
        <f>IFERROR(__xludf.DUMMYFUNCTION("""COMPUTED_VALUE"""),"Ana Maria Menezes do Nascimento")</f>
        <v>Ana Maria Menezes do Nascimento</v>
      </c>
      <c r="B461" s="390" t="str">
        <f>IFERROR(__xludf.DUMMYFUNCTION("""COMPUTED_VALUE"""),"2° Licenciatura")</f>
        <v>2° Licenciatura</v>
      </c>
      <c r="C461" s="390" t="str">
        <f>IFERROR(__xludf.DUMMYFUNCTION("""COMPUTED_VALUE"""),"Pedagogia")</f>
        <v>Pedagogia</v>
      </c>
      <c r="D461" s="390" t="str">
        <f>IFERROR(__xludf.DUMMYFUNCTION("""COMPUTED_VALUE"""),"Em andamento")</f>
        <v>Em andamento</v>
      </c>
      <c r="E461" s="390"/>
      <c r="F461" s="390"/>
      <c r="G461" s="390"/>
      <c r="H461" s="390"/>
      <c r="I461" s="390"/>
      <c r="J461" s="390"/>
      <c r="K461" s="390"/>
      <c r="L461" s="390"/>
      <c r="M461" s="390"/>
      <c r="N461" s="390"/>
      <c r="O461" s="390"/>
      <c r="P461" s="390"/>
      <c r="Q461" s="390"/>
      <c r="R461" s="390"/>
      <c r="S461" s="390"/>
      <c r="T461" s="390"/>
      <c r="U461" s="390"/>
      <c r="V461" s="390"/>
      <c r="W461" s="390"/>
      <c r="X461" s="390"/>
      <c r="Y461" s="390"/>
    </row>
    <row r="462">
      <c r="A462" s="390" t="str">
        <f>IFERROR(__xludf.DUMMYFUNCTION("""COMPUTED_VALUE"""),"Rogério da Silva")</f>
        <v>Rogério da Silva</v>
      </c>
      <c r="B462" s="390" t="str">
        <f>IFERROR(__xludf.DUMMYFUNCTION("""COMPUTED_VALUE"""),"Form. Pedagógica")</f>
        <v>Form. Pedagógica</v>
      </c>
      <c r="C462" s="390" t="str">
        <f>IFERROR(__xludf.DUMMYFUNCTION("""COMPUTED_VALUE"""),"Letras - Português e Inglês")</f>
        <v>Letras - Português e Inglês</v>
      </c>
      <c r="D462" s="390" t="str">
        <f>IFERROR(__xludf.DUMMYFUNCTION("""COMPUTED_VALUE"""),"Em andamento")</f>
        <v>Em andamento</v>
      </c>
      <c r="E462" s="390"/>
      <c r="F462" s="390"/>
      <c r="G462" s="390"/>
      <c r="H462" s="390"/>
      <c r="I462" s="390"/>
      <c r="J462" s="390"/>
      <c r="K462" s="390"/>
      <c r="L462" s="390"/>
      <c r="M462" s="390"/>
      <c r="N462" s="390"/>
      <c r="O462" s="390"/>
      <c r="P462" s="390"/>
      <c r="Q462" s="390"/>
      <c r="R462" s="390"/>
      <c r="S462" s="390"/>
      <c r="T462" s="390"/>
      <c r="U462" s="390"/>
      <c r="V462" s="390"/>
      <c r="W462" s="390"/>
      <c r="X462" s="390"/>
      <c r="Y462" s="390"/>
    </row>
    <row r="463">
      <c r="A463" s="390" t="str">
        <f>IFERROR(__xludf.DUMMYFUNCTION("""COMPUTED_VALUE"""),"Carmem Lúcia Rosa")</f>
        <v>Carmem Lúcia Rosa</v>
      </c>
      <c r="B463" s="390" t="str">
        <f>IFERROR(__xludf.DUMMYFUNCTION("""COMPUTED_VALUE"""),"2° Licenciatura")</f>
        <v>2° Licenciatura</v>
      </c>
      <c r="C463" s="390" t="str">
        <f>IFERROR(__xludf.DUMMYFUNCTION("""COMPUTED_VALUE"""),"Educação Especial")</f>
        <v>Educação Especial</v>
      </c>
      <c r="D463" s="390" t="str">
        <f>IFERROR(__xludf.DUMMYFUNCTION("""COMPUTED_VALUE"""),"Em andamento")</f>
        <v>Em andamento</v>
      </c>
      <c r="E463" s="390"/>
      <c r="F463" s="390"/>
      <c r="G463" s="390"/>
      <c r="H463" s="390"/>
      <c r="I463" s="390"/>
      <c r="J463" s="390"/>
      <c r="K463" s="390"/>
      <c r="L463" s="390"/>
      <c r="M463" s="390"/>
      <c r="N463" s="390"/>
      <c r="O463" s="390"/>
      <c r="P463" s="390"/>
      <c r="Q463" s="390"/>
      <c r="R463" s="390"/>
      <c r="S463" s="390"/>
      <c r="T463" s="390"/>
      <c r="U463" s="390"/>
      <c r="V463" s="390"/>
      <c r="W463" s="390"/>
      <c r="X463" s="390"/>
      <c r="Y463" s="390"/>
    </row>
    <row r="464">
      <c r="A464" s="390" t="str">
        <f>IFERROR(__xludf.DUMMYFUNCTION("""COMPUTED_VALUE"""),"Marlena Cristina Cruz")</f>
        <v>Marlena Cristina Cruz</v>
      </c>
      <c r="B464" s="390" t="str">
        <f>IFERROR(__xludf.DUMMYFUNCTION("""COMPUTED_VALUE"""),"2° Licenciatura")</f>
        <v>2° Licenciatura</v>
      </c>
      <c r="C464" s="390" t="str">
        <f>IFERROR(__xludf.DUMMYFUNCTION("""COMPUTED_VALUE"""),"História")</f>
        <v>História</v>
      </c>
      <c r="D464" s="390" t="str">
        <f>IFERROR(__xludf.DUMMYFUNCTION("""COMPUTED_VALUE"""),"Em andamento")</f>
        <v>Em andamento</v>
      </c>
      <c r="E464" s="390"/>
      <c r="F464" s="390"/>
      <c r="G464" s="390"/>
      <c r="H464" s="390"/>
      <c r="I464" s="390"/>
      <c r="J464" s="390"/>
      <c r="K464" s="390"/>
      <c r="L464" s="390"/>
      <c r="M464" s="390"/>
      <c r="N464" s="390"/>
      <c r="O464" s="390"/>
      <c r="P464" s="390"/>
      <c r="Q464" s="390"/>
      <c r="R464" s="390"/>
      <c r="S464" s="390"/>
      <c r="T464" s="390"/>
      <c r="U464" s="390"/>
      <c r="V464" s="390"/>
      <c r="W464" s="390"/>
      <c r="X464" s="390"/>
      <c r="Y464" s="390"/>
    </row>
    <row r="465">
      <c r="A465" s="390" t="str">
        <f>IFERROR(__xludf.DUMMYFUNCTION("""COMPUTED_VALUE"""),"Claudia Regina Silva Medeiros")</f>
        <v>Claudia Regina Silva Medeiros</v>
      </c>
      <c r="B465" s="390" t="str">
        <f>IFERROR(__xludf.DUMMYFUNCTION("""COMPUTED_VALUE"""),"2° Licenciatura")</f>
        <v>2° Licenciatura</v>
      </c>
      <c r="C465" s="390" t="str">
        <f>IFERROR(__xludf.DUMMYFUNCTION("""COMPUTED_VALUE"""),"História")</f>
        <v>História</v>
      </c>
      <c r="D465" s="390" t="str">
        <f>IFERROR(__xludf.DUMMYFUNCTION("""COMPUTED_VALUE"""),"Em andamento")</f>
        <v>Em andamento</v>
      </c>
      <c r="E465" s="390"/>
      <c r="F465" s="390"/>
      <c r="G465" s="390"/>
      <c r="H465" s="390"/>
      <c r="I465" s="390"/>
      <c r="J465" s="390"/>
      <c r="K465" s="390"/>
      <c r="L465" s="390"/>
      <c r="M465" s="390"/>
      <c r="N465" s="390"/>
      <c r="O465" s="390"/>
      <c r="P465" s="390"/>
      <c r="Q465" s="390"/>
      <c r="R465" s="390"/>
      <c r="S465" s="390"/>
      <c r="T465" s="390"/>
      <c r="U465" s="390"/>
      <c r="V465" s="390"/>
      <c r="W465" s="390"/>
      <c r="X465" s="390"/>
      <c r="Y465" s="390"/>
    </row>
    <row r="466">
      <c r="A466" s="390" t="str">
        <f>IFERROR(__xludf.DUMMYFUNCTION("""COMPUTED_VALUE"""),"Antônio Gabriel Correia de Oliveira")</f>
        <v>Antônio Gabriel Correia de Oliveira</v>
      </c>
      <c r="B466" s="390" t="str">
        <f>IFERROR(__xludf.DUMMYFUNCTION("""COMPUTED_VALUE"""),"2° Licenciatura")</f>
        <v>2° Licenciatura</v>
      </c>
      <c r="C466" s="390" t="str">
        <f>IFERROR(__xludf.DUMMYFUNCTION("""COMPUTED_VALUE"""),"História")</f>
        <v>História</v>
      </c>
      <c r="D466" s="390"/>
      <c r="E466" s="390"/>
      <c r="F466" s="390"/>
      <c r="G466" s="390"/>
      <c r="H466" s="390"/>
      <c r="I466" s="390"/>
      <c r="J466" s="390"/>
      <c r="K466" s="390"/>
      <c r="L466" s="390"/>
      <c r="M466" s="390"/>
      <c r="N466" s="390"/>
      <c r="O466" s="390"/>
      <c r="P466" s="390"/>
      <c r="Q466" s="390"/>
      <c r="R466" s="390"/>
      <c r="S466" s="390"/>
      <c r="T466" s="390"/>
      <c r="U466" s="390"/>
      <c r="V466" s="390"/>
      <c r="W466" s="390"/>
      <c r="X466" s="390"/>
      <c r="Y466" s="390"/>
    </row>
    <row r="467">
      <c r="A467" s="390" t="str">
        <f>IFERROR(__xludf.DUMMYFUNCTION("""COMPUTED_VALUE"""),"Romero da Silva")</f>
        <v>Romero da Silva</v>
      </c>
      <c r="B467" s="390" t="str">
        <f>IFERROR(__xludf.DUMMYFUNCTION("""COMPUTED_VALUE"""),"2° Licenciatura")</f>
        <v>2° Licenciatura</v>
      </c>
      <c r="C467" s="390" t="str">
        <f>IFERROR(__xludf.DUMMYFUNCTION("""COMPUTED_VALUE"""),"História")</f>
        <v>História</v>
      </c>
      <c r="D467" s="390"/>
      <c r="E467" s="390"/>
      <c r="F467" s="390"/>
      <c r="G467" s="390"/>
      <c r="H467" s="390"/>
      <c r="I467" s="390"/>
      <c r="J467" s="390"/>
      <c r="K467" s="390"/>
      <c r="L467" s="390"/>
      <c r="M467" s="390"/>
      <c r="N467" s="390"/>
      <c r="O467" s="390"/>
      <c r="P467" s="390"/>
      <c r="Q467" s="390"/>
      <c r="R467" s="390"/>
      <c r="S467" s="390"/>
      <c r="T467" s="390"/>
      <c r="U467" s="390"/>
      <c r="V467" s="390"/>
      <c r="W467" s="390"/>
      <c r="X467" s="390"/>
      <c r="Y467" s="390"/>
    </row>
    <row r="468">
      <c r="A468" s="390" t="str">
        <f>IFERROR(__xludf.DUMMYFUNCTION("""COMPUTED_VALUE"""),"Fabiane Bastos Freire")</f>
        <v>Fabiane Bastos Freire</v>
      </c>
      <c r="B468" s="390" t="str">
        <f>IFERROR(__xludf.DUMMYFUNCTION("""COMPUTED_VALUE"""),"2° Licenciatura")</f>
        <v>2° Licenciatura</v>
      </c>
      <c r="C468" s="390" t="str">
        <f>IFERROR(__xludf.DUMMYFUNCTION("""COMPUTED_VALUE"""),"Artes Visuais")</f>
        <v>Artes Visuais</v>
      </c>
      <c r="D468" s="390" t="str">
        <f>IFERROR(__xludf.DUMMYFUNCTION("""COMPUTED_VALUE"""),"Entregue em 22/05/2025 - Kinbox - Miguel")</f>
        <v>Entregue em 22/05/2025 - Kinbox - Miguel</v>
      </c>
      <c r="E468" s="390"/>
      <c r="F468" s="390"/>
      <c r="G468" s="390"/>
      <c r="H468" s="390"/>
      <c r="I468" s="390"/>
      <c r="J468" s="390"/>
      <c r="K468" s="390"/>
      <c r="L468" s="390"/>
      <c r="M468" s="390"/>
      <c r="N468" s="390"/>
      <c r="O468" s="390"/>
      <c r="P468" s="390"/>
      <c r="Q468" s="390"/>
      <c r="R468" s="390"/>
      <c r="S468" s="390"/>
      <c r="T468" s="390"/>
      <c r="U468" s="390"/>
      <c r="V468" s="390"/>
      <c r="W468" s="390"/>
      <c r="X468" s="390"/>
      <c r="Y468" s="390"/>
    </row>
    <row r="469">
      <c r="A469" s="390" t="str">
        <f>IFERROR(__xludf.DUMMYFUNCTION("""COMPUTED_VALUE"""),"Luciano de Oliveira")</f>
        <v>Luciano de Oliveira</v>
      </c>
      <c r="B469" s="390" t="str">
        <f>IFERROR(__xludf.DUMMYFUNCTION("""COMPUTED_VALUE"""),"2° Licenciatura")</f>
        <v>2° Licenciatura</v>
      </c>
      <c r="C469" s="390" t="str">
        <f>IFERROR(__xludf.DUMMYFUNCTION("""COMPUTED_VALUE"""),"Educação Fisica")</f>
        <v>Educação Fisica</v>
      </c>
      <c r="D469" s="390" t="str">
        <f>IFERROR(__xludf.DUMMYFUNCTION("""COMPUTED_VALUE"""),"Entregue no e-mail pela UNICV 23/04/2025")</f>
        <v>Entregue no e-mail pela UNICV 23/04/2025</v>
      </c>
      <c r="E469" s="390"/>
      <c r="F469" s="390"/>
      <c r="G469" s="390"/>
      <c r="H469" s="390"/>
      <c r="I469" s="390"/>
      <c r="J469" s="390"/>
      <c r="K469" s="390"/>
      <c r="L469" s="390"/>
      <c r="M469" s="390"/>
      <c r="N469" s="390"/>
      <c r="O469" s="390"/>
      <c r="P469" s="390"/>
      <c r="Q469" s="390"/>
      <c r="R469" s="390"/>
      <c r="S469" s="390"/>
      <c r="T469" s="390"/>
      <c r="U469" s="390"/>
      <c r="V469" s="390"/>
      <c r="W469" s="390"/>
      <c r="X469" s="390"/>
      <c r="Y469" s="390"/>
    </row>
    <row r="470">
      <c r="A470" s="390" t="str">
        <f>IFERROR(__xludf.DUMMYFUNCTION("""COMPUTED_VALUE"""),"Kety Adriana Bichet")</f>
        <v>Kety Adriana Bichet</v>
      </c>
      <c r="B470" s="390" t="str">
        <f>IFERROR(__xludf.DUMMYFUNCTION("""COMPUTED_VALUE"""),"2° Licenciatura")</f>
        <v>2° Licenciatura</v>
      </c>
      <c r="C470" s="390" t="str">
        <f>IFERROR(__xludf.DUMMYFUNCTION("""COMPUTED_VALUE"""),"Educação Especial")</f>
        <v>Educação Especial</v>
      </c>
      <c r="D470" s="390"/>
      <c r="E470" s="390"/>
      <c r="F470" s="390"/>
      <c r="G470" s="390"/>
      <c r="H470" s="390"/>
      <c r="I470" s="390"/>
      <c r="J470" s="390"/>
      <c r="K470" s="390"/>
      <c r="L470" s="390"/>
      <c r="M470" s="390"/>
      <c r="N470" s="390"/>
      <c r="O470" s="390"/>
      <c r="P470" s="390"/>
      <c r="Q470" s="390"/>
      <c r="R470" s="390"/>
      <c r="S470" s="390"/>
      <c r="T470" s="390"/>
      <c r="U470" s="390"/>
      <c r="V470" s="390"/>
      <c r="W470" s="390"/>
      <c r="X470" s="390"/>
      <c r="Y470" s="390"/>
    </row>
    <row r="471">
      <c r="A471" s="390" t="str">
        <f>IFERROR(__xludf.DUMMYFUNCTION("""COMPUTED_VALUE"""),"Tatiane Cristina Duarte dos Santos")</f>
        <v>Tatiane Cristina Duarte dos Santos</v>
      </c>
      <c r="B471" s="390" t="str">
        <f>IFERROR(__xludf.DUMMYFUNCTION("""COMPUTED_VALUE"""),"Form. Pedagógica")</f>
        <v>Form. Pedagógica</v>
      </c>
      <c r="C471" s="390" t="str">
        <f>IFERROR(__xludf.DUMMYFUNCTION("""COMPUTED_VALUE"""),"Letras - Português e Inglês")</f>
        <v>Letras - Português e Inglês</v>
      </c>
      <c r="D471" s="390" t="str">
        <f>IFERROR(__xludf.DUMMYFUNCTION("""COMPUTED_VALUE"""),"Entregue pela Unicv - Entregamos histórico")</f>
        <v>Entregue pela Unicv - Entregamos histórico</v>
      </c>
      <c r="E471" s="390"/>
      <c r="F471" s="390"/>
      <c r="G471" s="390"/>
      <c r="H471" s="390"/>
      <c r="I471" s="390"/>
      <c r="J471" s="390"/>
      <c r="K471" s="390"/>
      <c r="L471" s="390"/>
      <c r="M471" s="390"/>
      <c r="N471" s="390"/>
      <c r="O471" s="390"/>
      <c r="P471" s="390"/>
      <c r="Q471" s="390"/>
      <c r="R471" s="390"/>
      <c r="S471" s="390"/>
      <c r="T471" s="390"/>
      <c r="U471" s="390"/>
      <c r="V471" s="390"/>
      <c r="W471" s="390"/>
      <c r="X471" s="390"/>
      <c r="Y471" s="390"/>
    </row>
    <row r="472">
      <c r="A472" s="390" t="str">
        <f>IFERROR(__xludf.DUMMYFUNCTION("""COMPUTED_VALUE"""),"Cristiane Francisca Frandelind")</f>
        <v>Cristiane Francisca Frandelind</v>
      </c>
      <c r="B472" s="390" t="str">
        <f>IFERROR(__xludf.DUMMYFUNCTION("""COMPUTED_VALUE"""),"2° Licenciatura")</f>
        <v>2° Licenciatura</v>
      </c>
      <c r="C472" s="390" t="str">
        <f>IFERROR(__xludf.DUMMYFUNCTION("""COMPUTED_VALUE"""),"Artes Visuais")</f>
        <v>Artes Visuais</v>
      </c>
      <c r="D472" s="390" t="str">
        <f>IFERROR(__xludf.DUMMYFUNCTION("""COMPUTED_VALUE"""),"Entregue em 05/06/2025 - Kinbox - Miguel")</f>
        <v>Entregue em 05/06/2025 - Kinbox - Miguel</v>
      </c>
      <c r="E472" s="390"/>
      <c r="F472" s="390"/>
      <c r="G472" s="390"/>
      <c r="H472" s="390"/>
      <c r="I472" s="390"/>
      <c r="J472" s="390"/>
      <c r="K472" s="390"/>
      <c r="L472" s="390"/>
      <c r="M472" s="390"/>
      <c r="N472" s="390"/>
      <c r="O472" s="390"/>
      <c r="P472" s="390"/>
      <c r="Q472" s="390"/>
      <c r="R472" s="390"/>
      <c r="S472" s="390"/>
      <c r="T472" s="390"/>
      <c r="U472" s="390"/>
      <c r="V472" s="390"/>
      <c r="W472" s="390"/>
      <c r="X472" s="390"/>
      <c r="Y472" s="390"/>
    </row>
    <row r="473">
      <c r="A473" s="390" t="str">
        <f>IFERROR(__xludf.DUMMYFUNCTION("""COMPUTED_VALUE"""),"Isaías Lima Dias")</f>
        <v>Isaías Lima Dias</v>
      </c>
      <c r="B473" s="390" t="str">
        <f>IFERROR(__xludf.DUMMYFUNCTION("""COMPUTED_VALUE"""),"2° Licenciatura")</f>
        <v>2° Licenciatura</v>
      </c>
      <c r="C473" s="390" t="str">
        <f>IFERROR(__xludf.DUMMYFUNCTION("""COMPUTED_VALUE"""),"Letras - Português e Inglês")</f>
        <v>Letras - Português e Inglês</v>
      </c>
      <c r="D473" s="390"/>
      <c r="E473" s="390"/>
      <c r="F473" s="390"/>
      <c r="G473" s="390"/>
      <c r="H473" s="390"/>
      <c r="I473" s="390"/>
      <c r="J473" s="390"/>
      <c r="K473" s="390"/>
      <c r="L473" s="390"/>
      <c r="M473" s="390"/>
      <c r="N473" s="390"/>
      <c r="O473" s="390"/>
      <c r="P473" s="390"/>
      <c r="Q473" s="390"/>
      <c r="R473" s="390"/>
      <c r="S473" s="390"/>
      <c r="T473" s="390"/>
      <c r="U473" s="390"/>
      <c r="V473" s="390"/>
      <c r="W473" s="390"/>
      <c r="X473" s="390"/>
      <c r="Y473" s="390"/>
    </row>
    <row r="474">
      <c r="A474" s="390" t="str">
        <f>IFERROR(__xludf.DUMMYFUNCTION("""COMPUTED_VALUE"""),"Priscila Almeida da Cruz Brito")</f>
        <v>Priscila Almeida da Cruz Brito</v>
      </c>
      <c r="B474" s="390" t="str">
        <f>IFERROR(__xludf.DUMMYFUNCTION("""COMPUTED_VALUE"""),"2° Licenciatura")</f>
        <v>2° Licenciatura</v>
      </c>
      <c r="C474" s="390" t="str">
        <f>IFERROR(__xludf.DUMMYFUNCTION("""COMPUTED_VALUE"""),"Artes Visuais")</f>
        <v>Artes Visuais</v>
      </c>
      <c r="D474" s="390" t="str">
        <f>IFERROR(__xludf.DUMMYFUNCTION("""COMPUTED_VALUE"""),"Entregue em 04/06/2025 - Kinbox - Miguel")</f>
        <v>Entregue em 04/06/2025 - Kinbox - Miguel</v>
      </c>
      <c r="E474" s="390"/>
      <c r="F474" s="390"/>
      <c r="G474" s="390"/>
      <c r="H474" s="390"/>
      <c r="I474" s="390"/>
      <c r="J474" s="390"/>
      <c r="K474" s="390"/>
      <c r="L474" s="390"/>
      <c r="M474" s="390"/>
      <c r="N474" s="390"/>
      <c r="O474" s="390"/>
      <c r="P474" s="390"/>
      <c r="Q474" s="390"/>
      <c r="R474" s="390"/>
      <c r="S474" s="390"/>
      <c r="T474" s="390"/>
      <c r="U474" s="390"/>
      <c r="V474" s="390"/>
      <c r="W474" s="390"/>
      <c r="X474" s="390"/>
      <c r="Y474" s="390"/>
    </row>
    <row r="475">
      <c r="A475" s="390" t="str">
        <f>IFERROR(__xludf.DUMMYFUNCTION("""COMPUTED_VALUE"""),"Leandro Silva Almeida")</f>
        <v>Leandro Silva Almeida</v>
      </c>
      <c r="B475" s="390" t="str">
        <f>IFERROR(__xludf.DUMMYFUNCTION("""COMPUTED_VALUE"""),"2° Licenciatura")</f>
        <v>2° Licenciatura</v>
      </c>
      <c r="C475" s="390" t="str">
        <f>IFERROR(__xludf.DUMMYFUNCTION("""COMPUTED_VALUE"""),"Artes Visuais")</f>
        <v>Artes Visuais</v>
      </c>
      <c r="D475" s="390"/>
      <c r="E475" s="390"/>
      <c r="F475" s="390"/>
      <c r="G475" s="390"/>
      <c r="H475" s="390"/>
      <c r="I475" s="390"/>
      <c r="J475" s="390"/>
      <c r="K475" s="390"/>
      <c r="L475" s="390"/>
      <c r="M475" s="390"/>
      <c r="N475" s="390"/>
      <c r="O475" s="390"/>
      <c r="P475" s="390"/>
      <c r="Q475" s="390"/>
      <c r="R475" s="390"/>
      <c r="S475" s="390"/>
      <c r="T475" s="390"/>
      <c r="U475" s="390"/>
      <c r="V475" s="390"/>
      <c r="W475" s="390"/>
      <c r="X475" s="390"/>
      <c r="Y475" s="390"/>
    </row>
    <row r="476">
      <c r="A476" s="390" t="str">
        <f>IFERROR(__xludf.DUMMYFUNCTION("""COMPUTED_VALUE"""),"Nádia Maria Dorneles")</f>
        <v>Nádia Maria Dorneles</v>
      </c>
      <c r="B476" s="390" t="str">
        <f>IFERROR(__xludf.DUMMYFUNCTION("""COMPUTED_VALUE"""),"2° Licenciatura")</f>
        <v>2° Licenciatura</v>
      </c>
      <c r="C476" s="390" t="str">
        <f>IFERROR(__xludf.DUMMYFUNCTION("""COMPUTED_VALUE"""),"Geografia")</f>
        <v>Geografia</v>
      </c>
      <c r="D476" s="390"/>
      <c r="E476" s="390"/>
      <c r="F476" s="390"/>
      <c r="G476" s="390"/>
      <c r="H476" s="390"/>
      <c r="I476" s="390"/>
      <c r="J476" s="390"/>
      <c r="K476" s="390"/>
      <c r="L476" s="390"/>
      <c r="M476" s="390"/>
      <c r="N476" s="390"/>
      <c r="O476" s="390"/>
      <c r="P476" s="390"/>
      <c r="Q476" s="390"/>
      <c r="R476" s="390"/>
      <c r="S476" s="390"/>
      <c r="T476" s="390"/>
      <c r="U476" s="390"/>
      <c r="V476" s="390"/>
      <c r="W476" s="390"/>
      <c r="X476" s="390"/>
      <c r="Y476" s="390"/>
    </row>
    <row r="477">
      <c r="A477" s="390" t="str">
        <f>IFERROR(__xludf.DUMMYFUNCTION("""COMPUTED_VALUE"""),"Tarcisia Nascimento de Carvalho")</f>
        <v>Tarcisia Nascimento de Carvalho</v>
      </c>
      <c r="B477" s="390" t="str">
        <f>IFERROR(__xludf.DUMMYFUNCTION("""COMPUTED_VALUE"""),"2° Licenciatura")</f>
        <v>2° Licenciatura</v>
      </c>
      <c r="C477" s="390" t="str">
        <f>IFERROR(__xludf.DUMMYFUNCTION("""COMPUTED_VALUE"""),"Português - Letras e Libras")</f>
        <v>Português - Letras e Libras</v>
      </c>
      <c r="D477" s="390"/>
      <c r="E477" s="390"/>
      <c r="F477" s="390"/>
      <c r="G477" s="390"/>
      <c r="H477" s="390"/>
      <c r="I477" s="390"/>
      <c r="J477" s="390"/>
      <c r="K477" s="390"/>
      <c r="L477" s="390"/>
      <c r="M477" s="390"/>
      <c r="N477" s="390"/>
      <c r="O477" s="390"/>
      <c r="P477" s="390"/>
      <c r="Q477" s="390"/>
      <c r="R477" s="390"/>
      <c r="S477" s="390"/>
      <c r="T477" s="390"/>
      <c r="U477" s="390"/>
      <c r="V477" s="390"/>
      <c r="W477" s="390"/>
      <c r="X477" s="390"/>
      <c r="Y477" s="390"/>
    </row>
    <row r="478">
      <c r="A478" s="390" t="str">
        <f>IFERROR(__xludf.DUMMYFUNCTION("""COMPUTED_VALUE"""),"Sheila dos Reis Madeira")</f>
        <v>Sheila dos Reis Madeira</v>
      </c>
      <c r="B478" s="390" t="str">
        <f>IFERROR(__xludf.DUMMYFUNCTION("""COMPUTED_VALUE"""),"Form. Pedagógica")</f>
        <v>Form. Pedagógica</v>
      </c>
      <c r="C478" s="390" t="str">
        <f>IFERROR(__xludf.DUMMYFUNCTION("""COMPUTED_VALUE"""),"Português - Letras e Libras")</f>
        <v>Português - Letras e Libras</v>
      </c>
      <c r="D478" s="390"/>
      <c r="E478" s="390"/>
      <c r="F478" s="390"/>
      <c r="G478" s="390"/>
      <c r="H478" s="390"/>
      <c r="I478" s="390"/>
      <c r="J478" s="390"/>
      <c r="K478" s="390"/>
      <c r="L478" s="390"/>
      <c r="M478" s="390"/>
      <c r="N478" s="390"/>
      <c r="O478" s="390"/>
      <c r="P478" s="390"/>
      <c r="Q478" s="390"/>
      <c r="R478" s="390"/>
      <c r="S478" s="390"/>
      <c r="T478" s="390"/>
      <c r="U478" s="390"/>
      <c r="V478" s="390"/>
      <c r="W478" s="390"/>
      <c r="X478" s="390"/>
      <c r="Y478" s="390"/>
    </row>
    <row r="479">
      <c r="A479" s="390" t="str">
        <f>IFERROR(__xludf.DUMMYFUNCTION("""COMPUTED_VALUE"""),"Vanessa Domingues Pinto")</f>
        <v>Vanessa Domingues Pinto</v>
      </c>
      <c r="B479" s="390" t="str">
        <f>IFERROR(__xludf.DUMMYFUNCTION("""COMPUTED_VALUE"""),"Form. Pedagógica")</f>
        <v>Form. Pedagógica</v>
      </c>
      <c r="C479" s="390" t="str">
        <f>IFERROR(__xludf.DUMMYFUNCTION("""COMPUTED_VALUE"""),"Artes Visuais ")</f>
        <v>Artes Visuais </v>
      </c>
      <c r="D479" s="390"/>
      <c r="E479" s="390"/>
      <c r="F479" s="390"/>
      <c r="G479" s="390"/>
      <c r="H479" s="390"/>
      <c r="I479" s="390"/>
      <c r="J479" s="390"/>
      <c r="K479" s="390"/>
      <c r="L479" s="390"/>
      <c r="M479" s="390"/>
      <c r="N479" s="390"/>
      <c r="O479" s="390"/>
      <c r="P479" s="390"/>
      <c r="Q479" s="390"/>
      <c r="R479" s="390"/>
      <c r="S479" s="390"/>
      <c r="T479" s="390"/>
      <c r="U479" s="390"/>
      <c r="V479" s="390"/>
      <c r="W479" s="390"/>
      <c r="X479" s="390"/>
      <c r="Y479" s="390"/>
    </row>
    <row r="480">
      <c r="A480" s="390" t="str">
        <f>IFERROR(__xludf.DUMMYFUNCTION("""COMPUTED_VALUE"""),"Érica Fernanda Camargo Fogaça")</f>
        <v>Érica Fernanda Camargo Fogaça</v>
      </c>
      <c r="B480" s="390" t="str">
        <f>IFERROR(__xludf.DUMMYFUNCTION("""COMPUTED_VALUE"""),"2° Licenciatura")</f>
        <v>2° Licenciatura</v>
      </c>
      <c r="C480" s="390" t="str">
        <f>IFERROR(__xludf.DUMMYFUNCTION("""COMPUTED_VALUE"""),"História")</f>
        <v>História</v>
      </c>
      <c r="D480" s="390" t="str">
        <f>IFERROR(__xludf.DUMMYFUNCTION("""COMPUTED_VALUE"""),"Recebeu o diploma pela UNICV no e-mail - 24/04/2025")</f>
        <v>Recebeu o diploma pela UNICV no e-mail - 24/04/2025</v>
      </c>
      <c r="E480" s="390"/>
      <c r="F480" s="390"/>
      <c r="G480" s="390"/>
      <c r="H480" s="390"/>
      <c r="I480" s="390"/>
      <c r="J480" s="390"/>
      <c r="K480" s="390"/>
      <c r="L480" s="390"/>
      <c r="M480" s="390"/>
      <c r="N480" s="390"/>
      <c r="O480" s="390"/>
      <c r="P480" s="390"/>
      <c r="Q480" s="390"/>
      <c r="R480" s="390"/>
      <c r="S480" s="390"/>
      <c r="T480" s="390"/>
      <c r="U480" s="390"/>
      <c r="V480" s="390"/>
      <c r="W480" s="390"/>
      <c r="X480" s="390"/>
      <c r="Y480" s="390"/>
    </row>
    <row r="481">
      <c r="A481" s="390" t="str">
        <f>IFERROR(__xludf.DUMMYFUNCTION("""COMPUTED_VALUE"""),"Valquiria Rodrigues dos Santos")</f>
        <v>Valquiria Rodrigues dos Santos</v>
      </c>
      <c r="B481" s="390" t="str">
        <f>IFERROR(__xludf.DUMMYFUNCTION("""COMPUTED_VALUE"""),"2° Licenciatura")</f>
        <v>2° Licenciatura</v>
      </c>
      <c r="C481" s="390" t="str">
        <f>IFERROR(__xludf.DUMMYFUNCTION("""COMPUTED_VALUE"""),"Artes Visuais ")</f>
        <v>Artes Visuais </v>
      </c>
      <c r="D481" s="390"/>
      <c r="E481" s="390"/>
      <c r="F481" s="390"/>
      <c r="G481" s="390"/>
      <c r="H481" s="390"/>
      <c r="I481" s="390"/>
      <c r="J481" s="390"/>
      <c r="K481" s="390"/>
      <c r="L481" s="390"/>
      <c r="M481" s="390"/>
      <c r="N481" s="390"/>
      <c r="O481" s="390"/>
      <c r="P481" s="390"/>
      <c r="Q481" s="390"/>
      <c r="R481" s="390"/>
      <c r="S481" s="390"/>
      <c r="T481" s="390"/>
      <c r="U481" s="390"/>
      <c r="V481" s="390"/>
      <c r="W481" s="390"/>
      <c r="X481" s="390"/>
      <c r="Y481" s="390"/>
    </row>
    <row r="482">
      <c r="A482" s="390" t="str">
        <f>IFERROR(__xludf.DUMMYFUNCTION("""COMPUTED_VALUE"""),"Adriana Aparecida Venâncio")</f>
        <v>Adriana Aparecida Venâncio</v>
      </c>
      <c r="B482" s="390" t="str">
        <f>IFERROR(__xludf.DUMMYFUNCTION("""COMPUTED_VALUE"""),"2° Licenciatura")</f>
        <v>2° Licenciatura</v>
      </c>
      <c r="C482" s="390" t="str">
        <f>IFERROR(__xludf.DUMMYFUNCTION("""COMPUTED_VALUE"""),"Educação Especial")</f>
        <v>Educação Especial</v>
      </c>
      <c r="D482" s="390"/>
      <c r="E482" s="390"/>
      <c r="F482" s="390"/>
      <c r="G482" s="390"/>
      <c r="H482" s="390"/>
      <c r="I482" s="390"/>
      <c r="J482" s="390"/>
      <c r="K482" s="390"/>
      <c r="L482" s="390"/>
      <c r="M482" s="390"/>
      <c r="N482" s="390"/>
      <c r="O482" s="390"/>
      <c r="P482" s="390"/>
      <c r="Q482" s="390"/>
      <c r="R482" s="390"/>
      <c r="S482" s="390"/>
      <c r="T482" s="390"/>
      <c r="U482" s="390"/>
      <c r="V482" s="390"/>
      <c r="W482" s="390"/>
      <c r="X482" s="390"/>
      <c r="Y482" s="390"/>
    </row>
    <row r="483">
      <c r="A483" s="390" t="str">
        <f>IFERROR(__xludf.DUMMYFUNCTION("""COMPUTED_VALUE"""),"Saloed Correia Leandro ")</f>
        <v>Saloed Correia Leandro </v>
      </c>
      <c r="B483" s="390" t="str">
        <f>IFERROR(__xludf.DUMMYFUNCTION("""COMPUTED_VALUE"""),"Form. Pedagógica")</f>
        <v>Form. Pedagógica</v>
      </c>
      <c r="C483" s="390" t="str">
        <f>IFERROR(__xludf.DUMMYFUNCTION("""COMPUTED_VALUE"""),"Educação Fisica")</f>
        <v>Educação Fisica</v>
      </c>
      <c r="D483" s="390"/>
      <c r="E483" s="390"/>
      <c r="F483" s="390"/>
      <c r="G483" s="390"/>
      <c r="H483" s="390"/>
      <c r="I483" s="390"/>
      <c r="J483" s="390"/>
      <c r="K483" s="390"/>
      <c r="L483" s="390"/>
      <c r="M483" s="390"/>
      <c r="N483" s="390"/>
      <c r="O483" s="390"/>
      <c r="P483" s="390"/>
      <c r="Q483" s="390"/>
      <c r="R483" s="390"/>
      <c r="S483" s="390"/>
      <c r="T483" s="390"/>
      <c r="U483" s="390"/>
      <c r="V483" s="390"/>
      <c r="W483" s="390"/>
      <c r="X483" s="390"/>
      <c r="Y483" s="390"/>
    </row>
    <row r="484">
      <c r="A484" s="390" t="str">
        <f>IFERROR(__xludf.DUMMYFUNCTION("""COMPUTED_VALUE"""),"Clayton Oliveira Vieira da Silva")</f>
        <v>Clayton Oliveira Vieira da Silva</v>
      </c>
      <c r="B484" s="390" t="str">
        <f>IFERROR(__xludf.DUMMYFUNCTION("""COMPUTED_VALUE"""),"Form. Pedagógica")</f>
        <v>Form. Pedagógica</v>
      </c>
      <c r="C484" s="390" t="str">
        <f>IFERROR(__xludf.DUMMYFUNCTION("""COMPUTED_VALUE"""),"Matemática")</f>
        <v>Matemática</v>
      </c>
      <c r="D484" s="390"/>
      <c r="E484" s="390"/>
      <c r="F484" s="390"/>
      <c r="G484" s="390"/>
      <c r="H484" s="390"/>
      <c r="I484" s="390"/>
      <c r="J484" s="390"/>
      <c r="K484" s="390"/>
      <c r="L484" s="390"/>
      <c r="M484" s="390"/>
      <c r="N484" s="390"/>
      <c r="O484" s="390"/>
      <c r="P484" s="390"/>
      <c r="Q484" s="390"/>
      <c r="R484" s="390"/>
      <c r="S484" s="390"/>
      <c r="T484" s="390"/>
      <c r="U484" s="390"/>
      <c r="V484" s="390"/>
      <c r="W484" s="390"/>
      <c r="X484" s="390"/>
      <c r="Y484" s="390"/>
    </row>
    <row r="485">
      <c r="A485" s="390" t="str">
        <f>IFERROR(__xludf.DUMMYFUNCTION("""COMPUTED_VALUE"""),"Bruno Pontes da Costa")</f>
        <v>Bruno Pontes da Costa</v>
      </c>
      <c r="B485" s="390" t="str">
        <f>IFERROR(__xludf.DUMMYFUNCTION("""COMPUTED_VALUE"""),"Form. Pedagógica")</f>
        <v>Form. Pedagógica</v>
      </c>
      <c r="C485" s="390" t="str">
        <f>IFERROR(__xludf.DUMMYFUNCTION("""COMPUTED_VALUE"""),"Português - Letras e Libras")</f>
        <v>Português - Letras e Libras</v>
      </c>
      <c r="D485" s="390" t="str">
        <f>IFERROR(__xludf.DUMMYFUNCTION("""COMPUTED_VALUE"""),"Entregue em 06/05/2025 - Kinbox - Carla")</f>
        <v>Entregue em 06/05/2025 - Kinbox - Carla</v>
      </c>
      <c r="E485" s="390"/>
      <c r="F485" s="390"/>
      <c r="G485" s="390"/>
      <c r="H485" s="390"/>
      <c r="I485" s="390"/>
      <c r="J485" s="390"/>
      <c r="K485" s="390"/>
      <c r="L485" s="390"/>
      <c r="M485" s="390"/>
      <c r="N485" s="390"/>
      <c r="O485" s="390"/>
      <c r="P485" s="390"/>
      <c r="Q485" s="390"/>
      <c r="R485" s="390"/>
      <c r="S485" s="390"/>
      <c r="T485" s="390"/>
      <c r="U485" s="390"/>
      <c r="V485" s="390"/>
      <c r="W485" s="390"/>
      <c r="X485" s="390"/>
      <c r="Y485" s="390"/>
    </row>
    <row r="486">
      <c r="A486" s="390" t="str">
        <f>IFERROR(__xludf.DUMMYFUNCTION("""COMPUTED_VALUE"""),"Carlos Soares da Costa")</f>
        <v>Carlos Soares da Costa</v>
      </c>
      <c r="B486" s="390" t="str">
        <f>IFERROR(__xludf.DUMMYFUNCTION("""COMPUTED_VALUE"""),"2° Licenciatura")</f>
        <v>2° Licenciatura</v>
      </c>
      <c r="C486" s="390" t="str">
        <f>IFERROR(__xludf.DUMMYFUNCTION("""COMPUTED_VALUE"""),"Filosofia")</f>
        <v>Filosofia</v>
      </c>
      <c r="D486" s="390"/>
      <c r="E486" s="390"/>
      <c r="F486" s="390"/>
      <c r="G486" s="390"/>
      <c r="H486" s="390"/>
      <c r="I486" s="390"/>
      <c r="J486" s="390"/>
      <c r="K486" s="390"/>
      <c r="L486" s="390"/>
      <c r="M486" s="390"/>
      <c r="N486" s="390"/>
      <c r="O486" s="390"/>
      <c r="P486" s="390"/>
      <c r="Q486" s="390"/>
      <c r="R486" s="390"/>
      <c r="S486" s="390"/>
      <c r="T486" s="390"/>
      <c r="U486" s="390"/>
      <c r="V486" s="390"/>
      <c r="W486" s="390"/>
      <c r="X486" s="390"/>
      <c r="Y486" s="390"/>
    </row>
    <row r="487">
      <c r="A487" s="390" t="str">
        <f>IFERROR(__xludf.DUMMYFUNCTION("""COMPUTED_VALUE"""),"Regina Célia De Araújo Jacob")</f>
        <v>Regina Célia De Araújo Jacob</v>
      </c>
      <c r="B487" s="390" t="str">
        <f>IFERROR(__xludf.DUMMYFUNCTION("""COMPUTED_VALUE"""),"Form. Pedagógica")</f>
        <v>Form. Pedagógica</v>
      </c>
      <c r="C487" s="390" t="str">
        <f>IFERROR(__xludf.DUMMYFUNCTION("""COMPUTED_VALUE"""),"Educação Especial")</f>
        <v>Educação Especial</v>
      </c>
      <c r="D487" s="390" t="str">
        <f>IFERROR(__xludf.DUMMYFUNCTION("""COMPUTED_VALUE"""),"Entregue em 13/05/2025 - Kinbox e e-mail - Carla")</f>
        <v>Entregue em 13/05/2025 - Kinbox e e-mail - Carla</v>
      </c>
      <c r="E487" s="390"/>
      <c r="F487" s="390"/>
      <c r="G487" s="390"/>
      <c r="H487" s="390"/>
      <c r="I487" s="390"/>
      <c r="J487" s="390"/>
      <c r="K487" s="390"/>
      <c r="L487" s="390"/>
      <c r="M487" s="390"/>
      <c r="N487" s="390"/>
      <c r="O487" s="390"/>
      <c r="P487" s="390"/>
      <c r="Q487" s="390"/>
      <c r="R487" s="390"/>
      <c r="S487" s="390"/>
      <c r="T487" s="390"/>
      <c r="U487" s="390"/>
      <c r="V487" s="390"/>
      <c r="W487" s="390"/>
      <c r="X487" s="390"/>
      <c r="Y487" s="390"/>
    </row>
    <row r="488">
      <c r="A488" s="390" t="str">
        <f>IFERROR(__xludf.DUMMYFUNCTION("""COMPUTED_VALUE"""),"Larissa Costa da Silva")</f>
        <v>Larissa Costa da Silva</v>
      </c>
      <c r="B488" s="390" t="str">
        <f>IFERROR(__xludf.DUMMYFUNCTION("""COMPUTED_VALUE"""),"Form. Pedagógica")</f>
        <v>Form. Pedagógica</v>
      </c>
      <c r="C488" s="390" t="str">
        <f>IFERROR(__xludf.DUMMYFUNCTION("""COMPUTED_VALUE"""),"Educação Física")</f>
        <v>Educação Física</v>
      </c>
      <c r="D488" s="390"/>
      <c r="E488" s="390"/>
      <c r="F488" s="390"/>
      <c r="G488" s="390"/>
      <c r="H488" s="390"/>
      <c r="I488" s="390"/>
      <c r="J488" s="390"/>
      <c r="K488" s="390"/>
      <c r="L488" s="390"/>
      <c r="M488" s="390"/>
      <c r="N488" s="390"/>
      <c r="O488" s="390"/>
      <c r="P488" s="390"/>
      <c r="Q488" s="390"/>
      <c r="R488" s="390"/>
      <c r="S488" s="390"/>
      <c r="T488" s="390"/>
      <c r="U488" s="390"/>
      <c r="V488" s="390"/>
      <c r="W488" s="390"/>
      <c r="X488" s="390"/>
      <c r="Y488" s="390"/>
    </row>
    <row r="489">
      <c r="A489" s="390" t="str">
        <f>IFERROR(__xludf.DUMMYFUNCTION("""COMPUTED_VALUE"""),"Simone Cristina Comodo")</f>
        <v>Simone Cristina Comodo</v>
      </c>
      <c r="B489" s="390" t="str">
        <f>IFERROR(__xludf.DUMMYFUNCTION("""COMPUTED_VALUE"""),"2° Licenciatura")</f>
        <v>2° Licenciatura</v>
      </c>
      <c r="C489" s="390" t="str">
        <f>IFERROR(__xludf.DUMMYFUNCTION("""COMPUTED_VALUE"""),"Geografia")</f>
        <v>Geografia</v>
      </c>
      <c r="D489" s="390"/>
      <c r="E489" s="390"/>
      <c r="F489" s="390"/>
      <c r="G489" s="390"/>
      <c r="H489" s="390"/>
      <c r="I489" s="390"/>
      <c r="J489" s="390"/>
      <c r="K489" s="390"/>
      <c r="L489" s="390"/>
      <c r="M489" s="390"/>
      <c r="N489" s="390"/>
      <c r="O489" s="390"/>
      <c r="P489" s="390"/>
      <c r="Q489" s="390"/>
      <c r="R489" s="390"/>
      <c r="S489" s="390"/>
      <c r="T489" s="390"/>
      <c r="U489" s="390"/>
      <c r="V489" s="390"/>
      <c r="W489" s="390"/>
      <c r="X489" s="390"/>
      <c r="Y489" s="390"/>
    </row>
    <row r="490">
      <c r="A490" s="390" t="str">
        <f>IFERROR(__xludf.DUMMYFUNCTION("""COMPUTED_VALUE"""),"Marcileia Ana Dos Santos")</f>
        <v>Marcileia Ana Dos Santos</v>
      </c>
      <c r="B490" s="390" t="str">
        <f>IFERROR(__xludf.DUMMYFUNCTION("""COMPUTED_VALUE"""),"2° Licenciatura")</f>
        <v>2° Licenciatura</v>
      </c>
      <c r="C490" s="390" t="str">
        <f>IFERROR(__xludf.DUMMYFUNCTION("""COMPUTED_VALUE"""),"Educação Especial")</f>
        <v>Educação Especial</v>
      </c>
      <c r="D490" s="390"/>
      <c r="E490" s="390"/>
      <c r="F490" s="390"/>
      <c r="G490" s="390"/>
      <c r="H490" s="390"/>
      <c r="I490" s="390"/>
      <c r="J490" s="390"/>
      <c r="K490" s="390"/>
      <c r="L490" s="390"/>
      <c r="M490" s="390"/>
      <c r="N490" s="390"/>
      <c r="O490" s="390"/>
      <c r="P490" s="390"/>
      <c r="Q490" s="390"/>
      <c r="R490" s="390"/>
      <c r="S490" s="390"/>
      <c r="T490" s="390"/>
      <c r="U490" s="390"/>
      <c r="V490" s="390"/>
      <c r="W490" s="390"/>
      <c r="X490" s="390"/>
      <c r="Y490" s="390"/>
    </row>
    <row r="491">
      <c r="A491" s="390" t="str">
        <f>IFERROR(__xludf.DUMMYFUNCTION("""COMPUTED_VALUE"""),"Paulo Sávio Vieira Fernandes Saturnino (Apressamento)")</f>
        <v>Paulo Sávio Vieira Fernandes Saturnino (Apressamento)</v>
      </c>
      <c r="B491" s="390" t="str">
        <f>IFERROR(__xludf.DUMMYFUNCTION("""COMPUTED_VALUE"""),"Form. Pedagógica")</f>
        <v>Form. Pedagógica</v>
      </c>
      <c r="C491" s="390" t="str">
        <f>IFERROR(__xludf.DUMMYFUNCTION("""COMPUTED_VALUE"""),"Geografia")</f>
        <v>Geografia</v>
      </c>
      <c r="D491" s="390"/>
      <c r="E491" s="390"/>
      <c r="F491" s="390"/>
      <c r="G491" s="390"/>
      <c r="H491" s="390"/>
      <c r="I491" s="390"/>
      <c r="J491" s="390"/>
      <c r="K491" s="390"/>
      <c r="L491" s="390"/>
      <c r="M491" s="390"/>
      <c r="N491" s="390"/>
      <c r="O491" s="390"/>
      <c r="P491" s="390"/>
      <c r="Q491" s="390"/>
      <c r="R491" s="390"/>
      <c r="S491" s="390"/>
      <c r="T491" s="390"/>
      <c r="U491" s="390"/>
      <c r="V491" s="390"/>
      <c r="W491" s="390"/>
      <c r="X491" s="390"/>
      <c r="Y491" s="390"/>
    </row>
    <row r="492">
      <c r="A492" s="390" t="str">
        <f>IFERROR(__xludf.DUMMYFUNCTION("""COMPUTED_VALUE"""),"Rosana Cristina de Souza Siqueira ")</f>
        <v>Rosana Cristina de Souza Siqueira </v>
      </c>
      <c r="B492" s="390" t="str">
        <f>IFERROR(__xludf.DUMMYFUNCTION("""COMPUTED_VALUE"""),"Form. Pedagógica")</f>
        <v>Form. Pedagógica</v>
      </c>
      <c r="C492" s="390" t="str">
        <f>IFERROR(__xludf.DUMMYFUNCTION("""COMPUTED_VALUE"""),"Educação Especial")</f>
        <v>Educação Especial</v>
      </c>
      <c r="D492" s="390" t="str">
        <f>IFERROR(__xludf.DUMMYFUNCTION("""COMPUTED_VALUE"""),"Recebeu o diploma pela UNICV no e-mail - 24/04/2025")</f>
        <v>Recebeu o diploma pela UNICV no e-mail - 24/04/2025</v>
      </c>
      <c r="E492" s="390"/>
      <c r="F492" s="390"/>
      <c r="G492" s="390"/>
      <c r="H492" s="390"/>
      <c r="I492" s="390"/>
      <c r="J492" s="390"/>
      <c r="K492" s="390"/>
      <c r="L492" s="390"/>
      <c r="M492" s="390"/>
      <c r="N492" s="390"/>
      <c r="O492" s="390"/>
      <c r="P492" s="390"/>
      <c r="Q492" s="390"/>
      <c r="R492" s="390"/>
      <c r="S492" s="390"/>
      <c r="T492" s="390"/>
      <c r="U492" s="390"/>
      <c r="V492" s="390"/>
      <c r="W492" s="390"/>
      <c r="X492" s="390"/>
      <c r="Y492" s="390"/>
    </row>
    <row r="493">
      <c r="A493" s="390" t="str">
        <f>IFERROR(__xludf.DUMMYFUNCTION("""COMPUTED_VALUE"""),"Bruno Wilwert Tomio")</f>
        <v>Bruno Wilwert Tomio</v>
      </c>
      <c r="B493" s="390" t="str">
        <f>IFERROR(__xludf.DUMMYFUNCTION("""COMPUTED_VALUE"""),"2° Licenciatura")</f>
        <v>2° Licenciatura</v>
      </c>
      <c r="C493" s="390" t="str">
        <f>IFERROR(__xludf.DUMMYFUNCTION("""COMPUTED_VALUE"""),"Geografia")</f>
        <v>Geografia</v>
      </c>
      <c r="D493" s="390"/>
      <c r="E493" s="390"/>
      <c r="F493" s="390"/>
      <c r="G493" s="390"/>
      <c r="H493" s="390"/>
      <c r="I493" s="390"/>
      <c r="J493" s="390"/>
      <c r="K493" s="390"/>
      <c r="L493" s="390"/>
      <c r="M493" s="390"/>
      <c r="N493" s="390"/>
      <c r="O493" s="390"/>
      <c r="P493" s="390"/>
      <c r="Q493" s="390"/>
      <c r="R493" s="390"/>
      <c r="S493" s="390"/>
      <c r="T493" s="390"/>
      <c r="U493" s="390"/>
      <c r="V493" s="390"/>
      <c r="W493" s="390"/>
      <c r="X493" s="390"/>
      <c r="Y493" s="390"/>
    </row>
    <row r="494">
      <c r="A494" s="390" t="str">
        <f>IFERROR(__xludf.DUMMYFUNCTION("""COMPUTED_VALUE"""),"Simone da Silva Tristão")</f>
        <v>Simone da Silva Tristão</v>
      </c>
      <c r="B494" s="390" t="str">
        <f>IFERROR(__xludf.DUMMYFUNCTION("""COMPUTED_VALUE"""),"2° Licenciatura")</f>
        <v>2° Licenciatura</v>
      </c>
      <c r="C494" s="390" t="str">
        <f>IFERROR(__xludf.DUMMYFUNCTION("""COMPUTED_VALUE"""),"Letras Português - Inglês")</f>
        <v>Letras Português - Inglês</v>
      </c>
      <c r="D494" s="390" t="str">
        <f>IFERROR(__xludf.DUMMYFUNCTION("""COMPUTED_VALUE"""),"Entregue em 04/06/2025 - Kinbox - Miguel")</f>
        <v>Entregue em 04/06/2025 - Kinbox - Miguel</v>
      </c>
      <c r="E494" s="390"/>
      <c r="F494" s="390"/>
      <c r="G494" s="390"/>
      <c r="H494" s="390"/>
      <c r="I494" s="390"/>
      <c r="J494" s="390"/>
      <c r="K494" s="390"/>
      <c r="L494" s="390"/>
      <c r="M494" s="390"/>
      <c r="N494" s="390"/>
      <c r="O494" s="390"/>
      <c r="P494" s="390"/>
      <c r="Q494" s="390"/>
      <c r="R494" s="390"/>
      <c r="S494" s="390"/>
      <c r="T494" s="390"/>
      <c r="U494" s="390"/>
      <c r="V494" s="390"/>
      <c r="W494" s="390"/>
      <c r="X494" s="390"/>
      <c r="Y494" s="390"/>
    </row>
    <row r="495">
      <c r="A495" s="390" t="str">
        <f>IFERROR(__xludf.DUMMYFUNCTION("""COMPUTED_VALUE"""),"Patrícia Vieira Mendes")</f>
        <v>Patrícia Vieira Mendes</v>
      </c>
      <c r="B495" s="390" t="str">
        <f>IFERROR(__xludf.DUMMYFUNCTION("""COMPUTED_VALUE"""),"2° Licenciatura")</f>
        <v>2° Licenciatura</v>
      </c>
      <c r="C495" s="390" t="str">
        <f>IFERROR(__xludf.DUMMYFUNCTION("""COMPUTED_VALUE"""),"Artes Visuais")</f>
        <v>Artes Visuais</v>
      </c>
      <c r="D495" s="390" t="str">
        <f>IFERROR(__xludf.DUMMYFUNCTION("""COMPUTED_VALUE"""),"Recebeu o diploma pela UNICV no e-mail - 05/05/2025")</f>
        <v>Recebeu o diploma pela UNICV no e-mail - 05/05/2025</v>
      </c>
      <c r="E495" s="390"/>
      <c r="F495" s="390"/>
      <c r="G495" s="390"/>
      <c r="H495" s="390"/>
      <c r="I495" s="390"/>
      <c r="J495" s="390"/>
      <c r="K495" s="390"/>
      <c r="L495" s="390"/>
      <c r="M495" s="390"/>
      <c r="N495" s="390"/>
      <c r="O495" s="390"/>
      <c r="P495" s="390"/>
      <c r="Q495" s="390"/>
      <c r="R495" s="390"/>
      <c r="S495" s="390"/>
      <c r="T495" s="390"/>
      <c r="U495" s="390"/>
      <c r="V495" s="390"/>
      <c r="W495" s="390"/>
      <c r="X495" s="390"/>
      <c r="Y495" s="390"/>
    </row>
    <row r="496">
      <c r="A496" s="390" t="str">
        <f>IFERROR(__xludf.DUMMYFUNCTION("""COMPUTED_VALUE"""),"Laurianne Camargo Ferreira de Souza Santos")</f>
        <v>Laurianne Camargo Ferreira de Souza Santos</v>
      </c>
      <c r="B496" s="390" t="str">
        <f>IFERROR(__xludf.DUMMYFUNCTION("""COMPUTED_VALUE"""),"Form. Pedagógica")</f>
        <v>Form. Pedagógica</v>
      </c>
      <c r="C496" s="390" t="str">
        <f>IFERROR(__xludf.DUMMYFUNCTION("""COMPUTED_VALUE"""),"Educação Fisica")</f>
        <v>Educação Fisica</v>
      </c>
      <c r="D496" s="390" t="str">
        <f>IFERROR(__xludf.DUMMYFUNCTION("""COMPUTED_VALUE"""),"Entregue em 15/05/2025 - Kinbox e e-mail - Miguel")</f>
        <v>Entregue em 15/05/2025 - Kinbox e e-mail - Miguel</v>
      </c>
      <c r="E496" s="390"/>
      <c r="F496" s="390"/>
      <c r="G496" s="390"/>
      <c r="H496" s="390"/>
      <c r="I496" s="390"/>
      <c r="J496" s="390"/>
      <c r="K496" s="390"/>
      <c r="L496" s="390"/>
      <c r="M496" s="390"/>
      <c r="N496" s="390"/>
      <c r="O496" s="390"/>
      <c r="P496" s="390"/>
      <c r="Q496" s="390"/>
      <c r="R496" s="390"/>
      <c r="S496" s="390"/>
      <c r="T496" s="390"/>
      <c r="U496" s="390"/>
      <c r="V496" s="390"/>
      <c r="W496" s="390"/>
      <c r="X496" s="390"/>
      <c r="Y496" s="390"/>
    </row>
    <row r="497">
      <c r="A497" s="390" t="str">
        <f>IFERROR(__xludf.DUMMYFUNCTION("""COMPUTED_VALUE"""),"Fagner Pessoa da Silva")</f>
        <v>Fagner Pessoa da Silva</v>
      </c>
      <c r="B497" s="390" t="str">
        <f>IFERROR(__xludf.DUMMYFUNCTION("""COMPUTED_VALUE"""),"Form. Pedagógica")</f>
        <v>Form. Pedagógica</v>
      </c>
      <c r="C497" s="390" t="str">
        <f>IFERROR(__xludf.DUMMYFUNCTION("""COMPUTED_VALUE"""),"Letras - Português e Inglês")</f>
        <v>Letras - Português e Inglês</v>
      </c>
      <c r="D497" s="390"/>
      <c r="E497" s="390"/>
      <c r="F497" s="390"/>
      <c r="G497" s="390"/>
      <c r="H497" s="390"/>
      <c r="I497" s="390"/>
      <c r="J497" s="390"/>
      <c r="K497" s="390"/>
      <c r="L497" s="390"/>
      <c r="M497" s="390"/>
      <c r="N497" s="390"/>
      <c r="O497" s="390"/>
      <c r="P497" s="390"/>
      <c r="Q497" s="390"/>
      <c r="R497" s="390"/>
      <c r="S497" s="390"/>
      <c r="T497" s="390"/>
      <c r="U497" s="390"/>
      <c r="V497" s="390"/>
      <c r="W497" s="390"/>
      <c r="X497" s="390"/>
      <c r="Y497" s="390"/>
    </row>
    <row r="498">
      <c r="A498" s="390" t="str">
        <f>IFERROR(__xludf.DUMMYFUNCTION("""COMPUTED_VALUE"""),"Arthur Veloso Leal Ardizzoni")</f>
        <v>Arthur Veloso Leal Ardizzoni</v>
      </c>
      <c r="B498" s="390" t="str">
        <f>IFERROR(__xludf.DUMMYFUNCTION("""COMPUTED_VALUE"""),"2° Licenciatura")</f>
        <v>2° Licenciatura</v>
      </c>
      <c r="C498" s="390" t="str">
        <f>IFERROR(__xludf.DUMMYFUNCTION("""COMPUTED_VALUE"""),"Educação Física")</f>
        <v>Educação Física</v>
      </c>
      <c r="D498" s="390"/>
      <c r="E498" s="390"/>
      <c r="F498" s="390"/>
      <c r="G498" s="390"/>
      <c r="H498" s="390"/>
      <c r="I498" s="390"/>
      <c r="J498" s="390"/>
      <c r="K498" s="390"/>
      <c r="L498" s="390"/>
      <c r="M498" s="390"/>
      <c r="N498" s="390"/>
      <c r="O498" s="390"/>
      <c r="P498" s="390"/>
      <c r="Q498" s="390"/>
      <c r="R498" s="390"/>
      <c r="S498" s="390"/>
      <c r="T498" s="390"/>
      <c r="U498" s="390"/>
      <c r="V498" s="390"/>
      <c r="W498" s="390"/>
      <c r="X498" s="390"/>
      <c r="Y498" s="390"/>
    </row>
    <row r="499">
      <c r="A499" s="390" t="str">
        <f>IFERROR(__xludf.DUMMYFUNCTION("""COMPUTED_VALUE"""),"Leonice Aparecida de Fatima Alves Pereira Mourad")</f>
        <v>Leonice Aparecida de Fatima Alves Pereira Mourad</v>
      </c>
      <c r="B499" s="390" t="str">
        <f>IFERROR(__xludf.DUMMYFUNCTION("""COMPUTED_VALUE"""),"2° Licenciatura")</f>
        <v>2° Licenciatura</v>
      </c>
      <c r="C499" s="390" t="str">
        <f>IFERROR(__xludf.DUMMYFUNCTION("""COMPUTED_VALUE"""),"Educação Especial")</f>
        <v>Educação Especial</v>
      </c>
      <c r="D499" s="390"/>
      <c r="E499" s="390"/>
      <c r="F499" s="390"/>
      <c r="G499" s="390"/>
      <c r="H499" s="390"/>
      <c r="I499" s="390"/>
      <c r="J499" s="390"/>
      <c r="K499" s="390"/>
      <c r="L499" s="390"/>
      <c r="M499" s="390"/>
      <c r="N499" s="390"/>
      <c r="O499" s="390"/>
      <c r="P499" s="390"/>
      <c r="Q499" s="390"/>
      <c r="R499" s="390"/>
      <c r="S499" s="390"/>
      <c r="T499" s="390"/>
      <c r="U499" s="390"/>
      <c r="V499" s="390"/>
      <c r="W499" s="390"/>
      <c r="X499" s="390"/>
      <c r="Y499" s="390"/>
    </row>
    <row r="500">
      <c r="A500" s="390" t="str">
        <f>IFERROR(__xludf.DUMMYFUNCTION("""COMPUTED_VALUE"""),"Josemir José da Silva")</f>
        <v>Josemir José da Silva</v>
      </c>
      <c r="B500" s="390" t="str">
        <f>IFERROR(__xludf.DUMMYFUNCTION("""COMPUTED_VALUE"""),"Form. Pedagógica")</f>
        <v>Form. Pedagógica</v>
      </c>
      <c r="C500" s="390" t="str">
        <f>IFERROR(__xludf.DUMMYFUNCTION("""COMPUTED_VALUE"""),"História")</f>
        <v>História</v>
      </c>
      <c r="D500" s="390"/>
      <c r="E500" s="390"/>
      <c r="F500" s="390"/>
      <c r="G500" s="390"/>
      <c r="H500" s="390"/>
      <c r="I500" s="390"/>
      <c r="J500" s="390"/>
      <c r="K500" s="390"/>
      <c r="L500" s="390"/>
      <c r="M500" s="390"/>
      <c r="N500" s="390"/>
      <c r="O500" s="390"/>
      <c r="P500" s="390"/>
      <c r="Q500" s="390"/>
      <c r="R500" s="390"/>
      <c r="S500" s="390"/>
      <c r="T500" s="390"/>
      <c r="U500" s="390"/>
      <c r="V500" s="390"/>
      <c r="W500" s="390"/>
      <c r="X500" s="390"/>
      <c r="Y500" s="390"/>
    </row>
    <row r="501">
      <c r="A501" s="390" t="str">
        <f>IFERROR(__xludf.DUMMYFUNCTION("""COMPUTED_VALUE"""),"Joana de Souza Tupan")</f>
        <v>Joana de Souza Tupan</v>
      </c>
      <c r="B501" s="390" t="str">
        <f>IFERROR(__xludf.DUMMYFUNCTION("""COMPUTED_VALUE"""),"2° Licenciatura")</f>
        <v>2° Licenciatura</v>
      </c>
      <c r="C501" s="390" t="str">
        <f>IFERROR(__xludf.DUMMYFUNCTION("""COMPUTED_VALUE"""),"Ciências da Religião")</f>
        <v>Ciências da Religião</v>
      </c>
      <c r="D501" s="390" t="str">
        <f>IFERROR(__xludf.DUMMYFUNCTION("""COMPUTED_VALUE"""),"Recebeu o diploma pela UNICV no e-mail - 24/04/2025")</f>
        <v>Recebeu o diploma pela UNICV no e-mail - 24/04/2025</v>
      </c>
      <c r="E501" s="390"/>
      <c r="F501" s="390"/>
      <c r="G501" s="390"/>
      <c r="H501" s="390"/>
      <c r="I501" s="390"/>
      <c r="J501" s="390"/>
      <c r="K501" s="390"/>
      <c r="L501" s="390"/>
      <c r="M501" s="390"/>
      <c r="N501" s="390"/>
      <c r="O501" s="390"/>
      <c r="P501" s="390"/>
      <c r="Q501" s="390"/>
      <c r="R501" s="390"/>
      <c r="S501" s="390"/>
      <c r="T501" s="390"/>
      <c r="U501" s="390"/>
      <c r="V501" s="390"/>
      <c r="W501" s="390"/>
      <c r="X501" s="390"/>
      <c r="Y501" s="390"/>
    </row>
    <row r="502">
      <c r="A502" s="390" t="str">
        <f>IFERROR(__xludf.DUMMYFUNCTION("""COMPUTED_VALUE"""),"Joana de Souza Tupan")</f>
        <v>Joana de Souza Tupan</v>
      </c>
      <c r="B502" s="390" t="str">
        <f>IFERROR(__xludf.DUMMYFUNCTION("""COMPUTED_VALUE"""),"2° Licenciatura")</f>
        <v>2° Licenciatura</v>
      </c>
      <c r="C502" s="390" t="str">
        <f>IFERROR(__xludf.DUMMYFUNCTION("""COMPUTED_VALUE"""),"Filosofia")</f>
        <v>Filosofia</v>
      </c>
      <c r="D502" s="390" t="str">
        <f>IFERROR(__xludf.DUMMYFUNCTION("""COMPUTED_VALUE"""),"Entregue em 20/05/2025 - Kinbox e e-mail - Miguel")</f>
        <v>Entregue em 20/05/2025 - Kinbox e e-mail - Miguel</v>
      </c>
      <c r="E502" s="390"/>
      <c r="F502" s="390"/>
      <c r="G502" s="390"/>
      <c r="H502" s="390"/>
      <c r="I502" s="390"/>
      <c r="J502" s="390"/>
      <c r="K502" s="390"/>
      <c r="L502" s="390"/>
      <c r="M502" s="390"/>
      <c r="N502" s="390"/>
      <c r="O502" s="390"/>
      <c r="P502" s="390"/>
      <c r="Q502" s="390"/>
      <c r="R502" s="390"/>
      <c r="S502" s="390"/>
      <c r="T502" s="390"/>
      <c r="U502" s="390"/>
      <c r="V502" s="390"/>
      <c r="W502" s="390"/>
      <c r="X502" s="390"/>
      <c r="Y502" s="390"/>
    </row>
    <row r="503">
      <c r="A503" s="390" t="str">
        <f>IFERROR(__xludf.DUMMYFUNCTION("""COMPUTED_VALUE"""),"Renata de Melo Pereira Zacarias")</f>
        <v>Renata de Melo Pereira Zacarias</v>
      </c>
      <c r="B503" s="390" t="str">
        <f>IFERROR(__xludf.DUMMYFUNCTION("""COMPUTED_VALUE"""),"2° Licenciatura")</f>
        <v>2° Licenciatura</v>
      </c>
      <c r="C503" s="390" t="str">
        <f>IFERROR(__xludf.DUMMYFUNCTION("""COMPUTED_VALUE"""),"Sociologia")</f>
        <v>Sociologia</v>
      </c>
      <c r="D503" s="390"/>
      <c r="E503" s="390"/>
      <c r="F503" s="390"/>
      <c r="G503" s="390"/>
      <c r="H503" s="390"/>
      <c r="I503" s="390"/>
      <c r="J503" s="390"/>
      <c r="K503" s="390"/>
      <c r="L503" s="390"/>
      <c r="M503" s="390"/>
      <c r="N503" s="390"/>
      <c r="O503" s="390"/>
      <c r="P503" s="390"/>
      <c r="Q503" s="390"/>
      <c r="R503" s="390"/>
      <c r="S503" s="390"/>
      <c r="T503" s="390"/>
      <c r="U503" s="390"/>
      <c r="V503" s="390"/>
      <c r="W503" s="390"/>
      <c r="X503" s="390"/>
      <c r="Y503" s="390"/>
    </row>
    <row r="504">
      <c r="A504" s="390" t="str">
        <f>IFERROR(__xludf.DUMMYFUNCTION("""COMPUTED_VALUE"""),"Vinícius de Oliveira Melo")</f>
        <v>Vinícius de Oliveira Melo</v>
      </c>
      <c r="B504" s="390" t="str">
        <f>IFERROR(__xludf.DUMMYFUNCTION("""COMPUTED_VALUE"""),"2° Licenciatura")</f>
        <v>2° Licenciatura</v>
      </c>
      <c r="C504" s="390" t="str">
        <f>IFERROR(__xludf.DUMMYFUNCTION("""COMPUTED_VALUE"""),"Letras - Português e Espanhol")</f>
        <v>Letras - Português e Espanhol</v>
      </c>
      <c r="D504" s="390"/>
      <c r="E504" s="390"/>
      <c r="F504" s="390"/>
      <c r="G504" s="390"/>
      <c r="H504" s="390"/>
      <c r="I504" s="390"/>
      <c r="J504" s="390"/>
      <c r="K504" s="390"/>
      <c r="L504" s="390"/>
      <c r="M504" s="390"/>
      <c r="N504" s="390"/>
      <c r="O504" s="390"/>
      <c r="P504" s="390"/>
      <c r="Q504" s="390"/>
      <c r="R504" s="390"/>
      <c r="S504" s="390"/>
      <c r="T504" s="390"/>
      <c r="U504" s="390"/>
      <c r="V504" s="390"/>
      <c r="W504" s="390"/>
      <c r="X504" s="390"/>
      <c r="Y504" s="390"/>
    </row>
    <row r="505">
      <c r="A505" s="390" t="str">
        <f>IFERROR(__xludf.DUMMYFUNCTION("""COMPUTED_VALUE"""),"Adelita Priamo da Silva")</f>
        <v>Adelita Priamo da Silva</v>
      </c>
      <c r="B505" s="390" t="str">
        <f>IFERROR(__xludf.DUMMYFUNCTION("""COMPUTED_VALUE"""),"2° Licenciatura")</f>
        <v>2° Licenciatura</v>
      </c>
      <c r="C505" s="390" t="str">
        <f>IFERROR(__xludf.DUMMYFUNCTION("""COMPUTED_VALUE"""),"História")</f>
        <v>História</v>
      </c>
      <c r="D505" s="390" t="str">
        <f>IFERROR(__xludf.DUMMYFUNCTION("""COMPUTED_VALUE"""),"Recebeu o diploma pela UNICV no e-mail - 24/04/2025")</f>
        <v>Recebeu o diploma pela UNICV no e-mail - 24/04/2025</v>
      </c>
      <c r="E505" s="390"/>
      <c r="F505" s="390"/>
      <c r="G505" s="390"/>
      <c r="H505" s="390"/>
      <c r="I505" s="390"/>
      <c r="J505" s="390"/>
      <c r="K505" s="390"/>
      <c r="L505" s="390"/>
      <c r="M505" s="390"/>
      <c r="N505" s="390"/>
      <c r="O505" s="390"/>
      <c r="P505" s="390"/>
      <c r="Q505" s="390"/>
      <c r="R505" s="390"/>
      <c r="S505" s="390"/>
      <c r="T505" s="390"/>
      <c r="U505" s="390"/>
      <c r="V505" s="390"/>
      <c r="W505" s="390"/>
      <c r="X505" s="390"/>
      <c r="Y505" s="390"/>
    </row>
    <row r="506">
      <c r="A506" s="390" t="str">
        <f>IFERROR(__xludf.DUMMYFUNCTION("""COMPUTED_VALUE"""),"Ketlin Naiara Machado Pedretti")</f>
        <v>Ketlin Naiara Machado Pedretti</v>
      </c>
      <c r="B506" s="390" t="str">
        <f>IFERROR(__xludf.DUMMYFUNCTION("""COMPUTED_VALUE"""),"Form. Pedagógica")</f>
        <v>Form. Pedagógica</v>
      </c>
      <c r="C506" s="390" t="str">
        <f>IFERROR(__xludf.DUMMYFUNCTION("""COMPUTED_VALUE"""),"Matemática")</f>
        <v>Matemática</v>
      </c>
      <c r="D506" s="390"/>
      <c r="E506" s="390"/>
      <c r="F506" s="390"/>
      <c r="G506" s="390"/>
      <c r="H506" s="390"/>
      <c r="I506" s="390"/>
      <c r="J506" s="390"/>
      <c r="K506" s="390"/>
      <c r="L506" s="390"/>
      <c r="M506" s="390"/>
      <c r="N506" s="390"/>
      <c r="O506" s="390"/>
      <c r="P506" s="390"/>
      <c r="Q506" s="390"/>
      <c r="R506" s="390"/>
      <c r="S506" s="390"/>
      <c r="T506" s="390"/>
      <c r="U506" s="390"/>
      <c r="V506" s="390"/>
      <c r="W506" s="390"/>
      <c r="X506" s="390"/>
      <c r="Y506" s="390"/>
    </row>
    <row r="507">
      <c r="A507" s="390" t="str">
        <f>IFERROR(__xludf.DUMMYFUNCTION("""COMPUTED_VALUE"""),"Edmar da Mota Ferreira")</f>
        <v>Edmar da Mota Ferreira</v>
      </c>
      <c r="B507" s="390" t="str">
        <f>IFERROR(__xludf.DUMMYFUNCTION("""COMPUTED_VALUE"""),"Form. Pedagógica")</f>
        <v>Form. Pedagógica</v>
      </c>
      <c r="C507" s="390" t="str">
        <f>IFERROR(__xludf.DUMMYFUNCTION("""COMPUTED_VALUE"""),"Educação Fisica")</f>
        <v>Educação Fisica</v>
      </c>
      <c r="D507" s="390"/>
      <c r="E507" s="390"/>
      <c r="F507" s="390"/>
      <c r="G507" s="390"/>
      <c r="H507" s="390"/>
      <c r="I507" s="390"/>
      <c r="J507" s="390"/>
      <c r="K507" s="390"/>
      <c r="L507" s="390"/>
      <c r="M507" s="390"/>
      <c r="N507" s="390"/>
      <c r="O507" s="390"/>
      <c r="P507" s="390"/>
      <c r="Q507" s="390"/>
      <c r="R507" s="390"/>
      <c r="S507" s="390"/>
      <c r="T507" s="390"/>
      <c r="U507" s="390"/>
      <c r="V507" s="390"/>
      <c r="W507" s="390"/>
      <c r="X507" s="390"/>
      <c r="Y507" s="390"/>
    </row>
    <row r="508">
      <c r="A508" s="390" t="str">
        <f>IFERROR(__xludf.DUMMYFUNCTION("""COMPUTED_VALUE"""),"William Marques De Souza")</f>
        <v>William Marques De Souza</v>
      </c>
      <c r="B508" s="390" t="str">
        <f>IFERROR(__xludf.DUMMYFUNCTION("""COMPUTED_VALUE"""),"2° Licenciatura")</f>
        <v>2° Licenciatura</v>
      </c>
      <c r="C508" s="390" t="str">
        <f>IFERROR(__xludf.DUMMYFUNCTION("""COMPUTED_VALUE"""),"Educação Física")</f>
        <v>Educação Física</v>
      </c>
      <c r="D508" s="390" t="str">
        <f>IFERROR(__xludf.DUMMYFUNCTION("""COMPUTED_VALUE"""),"Entregue em 14/05/2025 - Kinbox e e-mail - Miguel")</f>
        <v>Entregue em 14/05/2025 - Kinbox e e-mail - Miguel</v>
      </c>
      <c r="E508" s="390"/>
      <c r="F508" s="390"/>
      <c r="G508" s="390"/>
      <c r="H508" s="390"/>
      <c r="I508" s="390"/>
      <c r="J508" s="390"/>
      <c r="K508" s="390"/>
      <c r="L508" s="390"/>
      <c r="M508" s="390"/>
      <c r="N508" s="390"/>
      <c r="O508" s="390"/>
      <c r="P508" s="390"/>
      <c r="Q508" s="390"/>
      <c r="R508" s="390"/>
      <c r="S508" s="390"/>
      <c r="T508" s="390"/>
      <c r="U508" s="390"/>
      <c r="V508" s="390"/>
      <c r="W508" s="390"/>
      <c r="X508" s="390"/>
      <c r="Y508" s="390"/>
    </row>
    <row r="509">
      <c r="A509" s="390" t="str">
        <f>IFERROR(__xludf.DUMMYFUNCTION("""COMPUTED_VALUE"""),"Marília Selva dos Santos")</f>
        <v>Marília Selva dos Santos</v>
      </c>
      <c r="B509" s="390" t="str">
        <f>IFERROR(__xludf.DUMMYFUNCTION("""COMPUTED_VALUE"""),"Form. Pedagógica")</f>
        <v>Form. Pedagógica</v>
      </c>
      <c r="C509" s="390" t="str">
        <f>IFERROR(__xludf.DUMMYFUNCTION("""COMPUTED_VALUE"""),"Letras Português - Inglês")</f>
        <v>Letras Português - Inglês</v>
      </c>
      <c r="D509" s="390" t="str">
        <f>IFERROR(__xludf.DUMMYFUNCTION("""COMPUTED_VALUE"""),"Recebeu o diploma pela UNICV no e-mail - 24/04/2025")</f>
        <v>Recebeu o diploma pela UNICV no e-mail - 24/04/2025</v>
      </c>
      <c r="E509" s="390"/>
      <c r="F509" s="390"/>
      <c r="G509" s="390"/>
      <c r="H509" s="390"/>
      <c r="I509" s="390"/>
      <c r="J509" s="390"/>
      <c r="K509" s="390"/>
      <c r="L509" s="390"/>
      <c r="M509" s="390"/>
      <c r="N509" s="390"/>
      <c r="O509" s="390"/>
      <c r="P509" s="390"/>
      <c r="Q509" s="390"/>
      <c r="R509" s="390"/>
      <c r="S509" s="390"/>
      <c r="T509" s="390"/>
      <c r="U509" s="390"/>
      <c r="V509" s="390"/>
      <c r="W509" s="390"/>
      <c r="X509" s="390"/>
      <c r="Y509" s="390"/>
    </row>
    <row r="510">
      <c r="A510" s="390" t="str">
        <f>IFERROR(__xludf.DUMMYFUNCTION("""COMPUTED_VALUE"""),"Marines Paifer martins")</f>
        <v>Marines Paifer martins</v>
      </c>
      <c r="B510" s="390" t="str">
        <f>IFERROR(__xludf.DUMMYFUNCTION("""COMPUTED_VALUE"""),"Form. Pedagógica")</f>
        <v>Form. Pedagógica</v>
      </c>
      <c r="C510" s="390" t="str">
        <f>IFERROR(__xludf.DUMMYFUNCTION("""COMPUTED_VALUE"""),"Artes Visuais")</f>
        <v>Artes Visuais</v>
      </c>
      <c r="D510" s="390" t="str">
        <f>IFERROR(__xludf.DUMMYFUNCTION("""COMPUTED_VALUE"""),"Recebeu o diploma pela UNICV no e-mail - 24/04/2025")</f>
        <v>Recebeu o diploma pela UNICV no e-mail - 24/04/2025</v>
      </c>
      <c r="E510" s="390"/>
      <c r="F510" s="390"/>
      <c r="G510" s="390"/>
      <c r="H510" s="390"/>
      <c r="I510" s="390"/>
      <c r="J510" s="390"/>
      <c r="K510" s="390"/>
      <c r="L510" s="390"/>
      <c r="M510" s="390"/>
      <c r="N510" s="390"/>
      <c r="O510" s="390"/>
      <c r="P510" s="390"/>
      <c r="Q510" s="390"/>
      <c r="R510" s="390"/>
      <c r="S510" s="390"/>
      <c r="T510" s="390"/>
      <c r="U510" s="390"/>
      <c r="V510" s="390"/>
      <c r="W510" s="390"/>
      <c r="X510" s="390"/>
      <c r="Y510" s="390"/>
    </row>
    <row r="511">
      <c r="A511" s="390" t="str">
        <f>IFERROR(__xludf.DUMMYFUNCTION("""COMPUTED_VALUE"""),"Felene Mônica Soares da Costa")</f>
        <v>Felene Mônica Soares da Costa</v>
      </c>
      <c r="B511" s="390" t="str">
        <f>IFERROR(__xludf.DUMMYFUNCTION("""COMPUTED_VALUE"""),"2° Licenciatura")</f>
        <v>2° Licenciatura</v>
      </c>
      <c r="C511" s="390" t="str">
        <f>IFERROR(__xludf.DUMMYFUNCTION("""COMPUTED_VALUE"""),"Letras - Português e Inglês")</f>
        <v>Letras - Português e Inglês</v>
      </c>
      <c r="D511" s="390"/>
      <c r="E511" s="390"/>
      <c r="F511" s="390"/>
      <c r="G511" s="390"/>
      <c r="H511" s="390"/>
      <c r="I511" s="390"/>
      <c r="J511" s="390"/>
      <c r="K511" s="390"/>
      <c r="L511" s="390"/>
      <c r="M511" s="390"/>
      <c r="N511" s="390"/>
      <c r="O511" s="390"/>
      <c r="P511" s="390"/>
      <c r="Q511" s="390"/>
      <c r="R511" s="390"/>
      <c r="S511" s="390"/>
      <c r="T511" s="390"/>
      <c r="U511" s="390"/>
      <c r="V511" s="390"/>
      <c r="W511" s="390"/>
      <c r="X511" s="390"/>
      <c r="Y511" s="390"/>
    </row>
    <row r="512">
      <c r="A512" s="390" t="str">
        <f>IFERROR(__xludf.DUMMYFUNCTION("""COMPUTED_VALUE"""),"Mayara de Souza Silva")</f>
        <v>Mayara de Souza Silva</v>
      </c>
      <c r="B512" s="390" t="str">
        <f>IFERROR(__xludf.DUMMYFUNCTION("""COMPUTED_VALUE"""),"Form. Pedagógica")</f>
        <v>Form. Pedagógica</v>
      </c>
      <c r="C512" s="390" t="str">
        <f>IFERROR(__xludf.DUMMYFUNCTION("""COMPUTED_VALUE"""),"Educação Especial")</f>
        <v>Educação Especial</v>
      </c>
      <c r="D512" s="390"/>
      <c r="E512" s="390"/>
      <c r="F512" s="390"/>
      <c r="G512" s="390"/>
      <c r="H512" s="390"/>
      <c r="I512" s="390"/>
      <c r="J512" s="390"/>
      <c r="K512" s="390"/>
      <c r="L512" s="390"/>
      <c r="M512" s="390"/>
      <c r="N512" s="390"/>
      <c r="O512" s="390"/>
      <c r="P512" s="390"/>
      <c r="Q512" s="390"/>
      <c r="R512" s="390"/>
      <c r="S512" s="390"/>
      <c r="T512" s="390"/>
      <c r="U512" s="390"/>
      <c r="V512" s="390"/>
      <c r="W512" s="390"/>
      <c r="X512" s="390"/>
      <c r="Y512" s="390"/>
    </row>
    <row r="513">
      <c r="A513" s="390" t="str">
        <f>IFERROR(__xludf.DUMMYFUNCTION("""COMPUTED_VALUE"""),"Daniele Tauane Souza de Melo")</f>
        <v>Daniele Tauane Souza de Melo</v>
      </c>
      <c r="B513" s="390" t="str">
        <f>IFERROR(__xludf.DUMMYFUNCTION("""COMPUTED_VALUE"""),"2° Licenciatura")</f>
        <v>2° Licenciatura</v>
      </c>
      <c r="C513" s="390" t="str">
        <f>IFERROR(__xludf.DUMMYFUNCTION("""COMPUTED_VALUE"""),"Educação Fisica")</f>
        <v>Educação Fisica</v>
      </c>
      <c r="D513" s="390"/>
      <c r="E513" s="390"/>
      <c r="F513" s="390"/>
      <c r="G513" s="390"/>
      <c r="H513" s="390"/>
      <c r="I513" s="390"/>
      <c r="J513" s="390"/>
      <c r="K513" s="390"/>
      <c r="L513" s="390"/>
      <c r="M513" s="390"/>
      <c r="N513" s="390"/>
      <c r="O513" s="390"/>
      <c r="P513" s="390"/>
      <c r="Q513" s="390"/>
      <c r="R513" s="390"/>
      <c r="S513" s="390"/>
      <c r="T513" s="390"/>
      <c r="U513" s="390"/>
      <c r="V513" s="390"/>
      <c r="W513" s="390"/>
      <c r="X513" s="390"/>
      <c r="Y513" s="390"/>
    </row>
    <row r="514">
      <c r="A514" s="390" t="str">
        <f>IFERROR(__xludf.DUMMYFUNCTION("""COMPUTED_VALUE"""),"Vanessa Batista Almeida da Silva")</f>
        <v>Vanessa Batista Almeida da Silva</v>
      </c>
      <c r="B514" s="390" t="str">
        <f>IFERROR(__xludf.DUMMYFUNCTION("""COMPUTED_VALUE"""),"2° Licenciatura")</f>
        <v>2° Licenciatura</v>
      </c>
      <c r="C514" s="390" t="str">
        <f>IFERROR(__xludf.DUMMYFUNCTION("""COMPUTED_VALUE"""),"Geografia")</f>
        <v>Geografia</v>
      </c>
      <c r="D514" s="390"/>
      <c r="E514" s="390"/>
      <c r="F514" s="390"/>
      <c r="G514" s="390"/>
      <c r="H514" s="390"/>
      <c r="I514" s="390"/>
      <c r="J514" s="390"/>
      <c r="K514" s="390"/>
      <c r="L514" s="390"/>
      <c r="M514" s="390"/>
      <c r="N514" s="390"/>
      <c r="O514" s="390"/>
      <c r="P514" s="390"/>
      <c r="Q514" s="390"/>
      <c r="R514" s="390"/>
      <c r="S514" s="390"/>
      <c r="T514" s="390"/>
      <c r="U514" s="390"/>
      <c r="V514" s="390"/>
      <c r="W514" s="390"/>
      <c r="X514" s="390"/>
      <c r="Y514" s="390"/>
    </row>
    <row r="515">
      <c r="A515" s="390" t="str">
        <f>IFERROR(__xludf.DUMMYFUNCTION("""COMPUTED_VALUE"""),"Alexandre Lazarotto Lago")</f>
        <v>Alexandre Lazarotto Lago</v>
      </c>
      <c r="B515" s="390" t="str">
        <f>IFERROR(__xludf.DUMMYFUNCTION("""COMPUTED_VALUE"""),"2° Licenciatura")</f>
        <v>2° Licenciatura</v>
      </c>
      <c r="C515" s="390" t="str">
        <f>IFERROR(__xludf.DUMMYFUNCTION("""COMPUTED_VALUE"""),"Letras - Português e Espanhol")</f>
        <v>Letras - Português e Espanhol</v>
      </c>
      <c r="D515" s="390"/>
      <c r="E515" s="390"/>
      <c r="F515" s="390"/>
      <c r="G515" s="390"/>
      <c r="H515" s="390"/>
      <c r="I515" s="390"/>
      <c r="J515" s="390"/>
      <c r="K515" s="390"/>
      <c r="L515" s="390"/>
      <c r="M515" s="390"/>
      <c r="N515" s="390"/>
      <c r="O515" s="390"/>
      <c r="P515" s="390"/>
      <c r="Q515" s="390"/>
      <c r="R515" s="390"/>
      <c r="S515" s="390"/>
      <c r="T515" s="390"/>
      <c r="U515" s="390"/>
      <c r="V515" s="390"/>
      <c r="W515" s="390"/>
      <c r="X515" s="390"/>
      <c r="Y515" s="390"/>
    </row>
    <row r="516">
      <c r="A516" s="390" t="str">
        <f>IFERROR(__xludf.DUMMYFUNCTION("""COMPUTED_VALUE"""),"Ana Paula dos Santos Dias Braga")</f>
        <v>Ana Paula dos Santos Dias Braga</v>
      </c>
      <c r="B516" s="390" t="str">
        <f>IFERROR(__xludf.DUMMYFUNCTION("""COMPUTED_VALUE"""),"Form. Pedagógica")</f>
        <v>Form. Pedagógica</v>
      </c>
      <c r="C516" s="390" t="str">
        <f>IFERROR(__xludf.DUMMYFUNCTION("""COMPUTED_VALUE"""),"Letras - Português e Inglês")</f>
        <v>Letras - Português e Inglês</v>
      </c>
      <c r="D516" s="390" t="str">
        <f>IFERROR(__xludf.DUMMYFUNCTION("""COMPUTED_VALUE"""),"Recebeu o diploma pela UNICV no e-mail - 24/04/2025")</f>
        <v>Recebeu o diploma pela UNICV no e-mail - 24/04/2025</v>
      </c>
      <c r="E516" s="390"/>
      <c r="F516" s="390"/>
      <c r="G516" s="390"/>
      <c r="H516" s="390"/>
      <c r="I516" s="390"/>
      <c r="J516" s="390"/>
      <c r="K516" s="390"/>
      <c r="L516" s="390"/>
      <c r="M516" s="390"/>
      <c r="N516" s="390"/>
      <c r="O516" s="390"/>
      <c r="P516" s="390"/>
      <c r="Q516" s="390"/>
      <c r="R516" s="390"/>
      <c r="S516" s="390"/>
      <c r="T516" s="390"/>
      <c r="U516" s="390"/>
      <c r="V516" s="390"/>
      <c r="W516" s="390"/>
      <c r="X516" s="390"/>
      <c r="Y516" s="390"/>
    </row>
    <row r="517">
      <c r="A517" s="390" t="str">
        <f>IFERROR(__xludf.DUMMYFUNCTION("""COMPUTED_VALUE"""),"Anacélia da Silva Brito")</f>
        <v>Anacélia da Silva Brito</v>
      </c>
      <c r="B517" s="390" t="str">
        <f>IFERROR(__xludf.DUMMYFUNCTION("""COMPUTED_VALUE"""),"2° Licenciatura")</f>
        <v>2° Licenciatura</v>
      </c>
      <c r="C517" s="390" t="str">
        <f>IFERROR(__xludf.DUMMYFUNCTION("""COMPUTED_VALUE"""),"História")</f>
        <v>História</v>
      </c>
      <c r="D517" s="390" t="str">
        <f>IFERROR(__xludf.DUMMYFUNCTION("""COMPUTED_VALUE"""),"Entregue pela Unicv")</f>
        <v>Entregue pela Unicv</v>
      </c>
      <c r="E517" s="390"/>
      <c r="F517" s="390"/>
      <c r="G517" s="390"/>
      <c r="H517" s="390"/>
      <c r="I517" s="390"/>
      <c r="J517" s="390"/>
      <c r="K517" s="390"/>
      <c r="L517" s="390"/>
      <c r="M517" s="390"/>
      <c r="N517" s="390"/>
      <c r="O517" s="390"/>
      <c r="P517" s="390"/>
      <c r="Q517" s="390"/>
      <c r="R517" s="390"/>
      <c r="S517" s="390"/>
      <c r="T517" s="390"/>
      <c r="U517" s="390"/>
      <c r="V517" s="390"/>
      <c r="W517" s="390"/>
      <c r="X517" s="390"/>
      <c r="Y517" s="390"/>
    </row>
    <row r="518">
      <c r="A518" s="390" t="str">
        <f>IFERROR(__xludf.DUMMYFUNCTION("""COMPUTED_VALUE"""),"Elizângela Coutinho da Cunha")</f>
        <v>Elizângela Coutinho da Cunha</v>
      </c>
      <c r="B518" s="390" t="str">
        <f>IFERROR(__xludf.DUMMYFUNCTION("""COMPUTED_VALUE"""),"2° Licenciatura")</f>
        <v>2° Licenciatura</v>
      </c>
      <c r="C518" s="390" t="str">
        <f>IFERROR(__xludf.DUMMYFUNCTION("""COMPUTED_VALUE"""),"Educação Especial")</f>
        <v>Educação Especial</v>
      </c>
      <c r="D518" s="390" t="str">
        <f>IFERROR(__xludf.DUMMYFUNCTION("""COMPUTED_VALUE"""),"Entregue em 05/05/2025 - Kinbox e e-mail - Miguel")</f>
        <v>Entregue em 05/05/2025 - Kinbox e e-mail - Miguel</v>
      </c>
      <c r="E518" s="390"/>
      <c r="F518" s="390"/>
      <c r="G518" s="390"/>
      <c r="H518" s="390"/>
      <c r="I518" s="390"/>
      <c r="J518" s="390"/>
      <c r="K518" s="390"/>
      <c r="L518" s="390"/>
      <c r="M518" s="390"/>
      <c r="N518" s="390"/>
      <c r="O518" s="390"/>
      <c r="P518" s="390"/>
      <c r="Q518" s="390"/>
      <c r="R518" s="390"/>
      <c r="S518" s="390"/>
      <c r="T518" s="390"/>
      <c r="U518" s="390"/>
      <c r="V518" s="390"/>
      <c r="W518" s="390"/>
      <c r="X518" s="390"/>
      <c r="Y518" s="390"/>
    </row>
    <row r="519">
      <c r="A519" s="390" t="str">
        <f>IFERROR(__xludf.DUMMYFUNCTION("""COMPUTED_VALUE"""),"Delcia Cristina de Oliveira ")</f>
        <v>Delcia Cristina de Oliveira </v>
      </c>
      <c r="B519" s="390" t="str">
        <f>IFERROR(__xludf.DUMMYFUNCTION("""COMPUTED_VALUE"""),"Form. Pedagógica")</f>
        <v>Form. Pedagógica</v>
      </c>
      <c r="C519" s="390" t="str">
        <f>IFERROR(__xludf.DUMMYFUNCTION("""COMPUTED_VALUE"""),"Geografia")</f>
        <v>Geografia</v>
      </c>
      <c r="D519" s="390" t="str">
        <f>IFERROR(__xludf.DUMMYFUNCTION("""COMPUTED_VALUE"""),"Entregue em 24/04/2025 - Kinbox e e-mail - Carla")</f>
        <v>Entregue em 24/04/2025 - Kinbox e e-mail - Carla</v>
      </c>
      <c r="E519" s="390"/>
      <c r="F519" s="390"/>
      <c r="G519" s="390"/>
      <c r="H519" s="390"/>
      <c r="I519" s="390"/>
      <c r="J519" s="390"/>
      <c r="K519" s="390"/>
      <c r="L519" s="390"/>
      <c r="M519" s="390"/>
      <c r="N519" s="390"/>
      <c r="O519" s="390"/>
      <c r="P519" s="390"/>
      <c r="Q519" s="390"/>
      <c r="R519" s="390"/>
      <c r="S519" s="390"/>
      <c r="T519" s="390"/>
      <c r="U519" s="390"/>
      <c r="V519" s="390"/>
      <c r="W519" s="390"/>
      <c r="X519" s="390"/>
      <c r="Y519" s="390"/>
    </row>
    <row r="520">
      <c r="A520" s="390" t="str">
        <f>IFERROR(__xludf.DUMMYFUNCTION("""COMPUTED_VALUE"""),"Marcelo Pereira do Nascimento")</f>
        <v>Marcelo Pereira do Nascimento</v>
      </c>
      <c r="B520" s="390" t="str">
        <f>IFERROR(__xludf.DUMMYFUNCTION("""COMPUTED_VALUE"""),"Form. Pedagógica")</f>
        <v>Form. Pedagógica</v>
      </c>
      <c r="C520" s="390" t="str">
        <f>IFERROR(__xludf.DUMMYFUNCTION("""COMPUTED_VALUE"""),"Artes Visuais ")</f>
        <v>Artes Visuais </v>
      </c>
      <c r="D520" s="390" t="str">
        <f>IFERROR(__xludf.DUMMYFUNCTION("""COMPUTED_VALUE"""),"Recebeu o diploma pela UNICV no e-mail - 24/04/2025")</f>
        <v>Recebeu o diploma pela UNICV no e-mail - 24/04/2025</v>
      </c>
      <c r="E520" s="390"/>
      <c r="F520" s="390"/>
      <c r="G520" s="390"/>
      <c r="H520" s="390"/>
      <c r="I520" s="390"/>
      <c r="J520" s="390"/>
      <c r="K520" s="390"/>
      <c r="L520" s="390"/>
      <c r="M520" s="390"/>
      <c r="N520" s="390"/>
      <c r="O520" s="390"/>
      <c r="P520" s="390"/>
      <c r="Q520" s="390"/>
      <c r="R520" s="390"/>
      <c r="S520" s="390"/>
      <c r="T520" s="390"/>
      <c r="U520" s="390"/>
      <c r="V520" s="390"/>
      <c r="W520" s="390"/>
      <c r="X520" s="390"/>
      <c r="Y520" s="390"/>
    </row>
    <row r="521">
      <c r="A521" s="390" t="str">
        <f>IFERROR(__xludf.DUMMYFUNCTION("""COMPUTED_VALUE"""),"Ailton Farias dos Santos")</f>
        <v>Ailton Farias dos Santos</v>
      </c>
      <c r="B521" s="390" t="str">
        <f>IFERROR(__xludf.DUMMYFUNCTION("""COMPUTED_VALUE"""),"Form. Pedagógica")</f>
        <v>Form. Pedagógica</v>
      </c>
      <c r="C521" s="390" t="str">
        <f>IFERROR(__xludf.DUMMYFUNCTION("""COMPUTED_VALUE"""),"Educação Física")</f>
        <v>Educação Física</v>
      </c>
      <c r="D521" s="390"/>
      <c r="E521" s="390"/>
      <c r="F521" s="390"/>
      <c r="G521" s="390"/>
      <c r="H521" s="390"/>
      <c r="I521" s="390"/>
      <c r="J521" s="390"/>
      <c r="K521" s="390"/>
      <c r="L521" s="390"/>
      <c r="M521" s="390"/>
      <c r="N521" s="390"/>
      <c r="O521" s="390"/>
      <c r="P521" s="390"/>
      <c r="Q521" s="390"/>
      <c r="R521" s="390"/>
      <c r="S521" s="390"/>
      <c r="T521" s="390"/>
      <c r="U521" s="390"/>
      <c r="V521" s="390"/>
      <c r="W521" s="390"/>
      <c r="X521" s="390"/>
      <c r="Y521" s="390"/>
    </row>
    <row r="522">
      <c r="A522" s="390" t="str">
        <f>IFERROR(__xludf.DUMMYFUNCTION("""COMPUTED_VALUE"""),"Rainer Costa Ferreira (aluno aguardando outro processo) qq dúvida falar com Mariana/Carla")</f>
        <v>Rainer Costa Ferreira (aluno aguardando outro processo) qq dúvida falar com Mariana/Carla</v>
      </c>
      <c r="B522" s="390" t="str">
        <f>IFERROR(__xludf.DUMMYFUNCTION("""COMPUTED_VALUE"""),"Form. Pedagógica")</f>
        <v>Form. Pedagógica</v>
      </c>
      <c r="C522" s="390" t="str">
        <f>IFERROR(__xludf.DUMMYFUNCTION("""COMPUTED_VALUE"""),"Artes Visuais ")</f>
        <v>Artes Visuais </v>
      </c>
      <c r="D522" s="390"/>
      <c r="E522" s="390"/>
      <c r="F522" s="390"/>
      <c r="G522" s="390"/>
      <c r="H522" s="390"/>
      <c r="I522" s="390"/>
      <c r="J522" s="390"/>
      <c r="K522" s="390"/>
      <c r="L522" s="390"/>
      <c r="M522" s="390"/>
      <c r="N522" s="390"/>
      <c r="O522" s="390"/>
      <c r="P522" s="390"/>
      <c r="Q522" s="390"/>
      <c r="R522" s="390"/>
      <c r="S522" s="390"/>
      <c r="T522" s="390"/>
      <c r="U522" s="390"/>
      <c r="V522" s="390"/>
      <c r="W522" s="390"/>
      <c r="X522" s="390"/>
      <c r="Y522" s="390"/>
    </row>
    <row r="523">
      <c r="A523" s="390" t="str">
        <f>IFERROR(__xludf.DUMMYFUNCTION("""COMPUTED_VALUE"""),"Tatiane Freitas da Silva")</f>
        <v>Tatiane Freitas da Silva</v>
      </c>
      <c r="B523" s="390" t="str">
        <f>IFERROR(__xludf.DUMMYFUNCTION("""COMPUTED_VALUE"""),"2° Licenciatura")</f>
        <v>2° Licenciatura</v>
      </c>
      <c r="C523" s="390" t="str">
        <f>IFERROR(__xludf.DUMMYFUNCTION("""COMPUTED_VALUE"""),"Educação Especial")</f>
        <v>Educação Especial</v>
      </c>
      <c r="D523" s="390"/>
      <c r="E523" s="390"/>
      <c r="F523" s="390"/>
      <c r="G523" s="390"/>
      <c r="H523" s="390"/>
      <c r="I523" s="390"/>
      <c r="J523" s="390"/>
      <c r="K523" s="390"/>
      <c r="L523" s="390"/>
      <c r="M523" s="390"/>
      <c r="N523" s="390"/>
      <c r="O523" s="390"/>
      <c r="P523" s="390"/>
      <c r="Q523" s="390"/>
      <c r="R523" s="390"/>
      <c r="S523" s="390"/>
      <c r="T523" s="390"/>
      <c r="U523" s="390"/>
      <c r="V523" s="390"/>
      <c r="W523" s="390"/>
      <c r="X523" s="390"/>
      <c r="Y523" s="390"/>
    </row>
    <row r="524">
      <c r="A524" s="390" t="str">
        <f>IFERROR(__xludf.DUMMYFUNCTION("""COMPUTED_VALUE"""),"Simone Cristina de Oliveira Santos")</f>
        <v>Simone Cristina de Oliveira Santos</v>
      </c>
      <c r="B524" s="390" t="str">
        <f>IFERROR(__xludf.DUMMYFUNCTION("""COMPUTED_VALUE"""),"2° Licenciatura")</f>
        <v>2° Licenciatura</v>
      </c>
      <c r="C524" s="390" t="str">
        <f>IFERROR(__xludf.DUMMYFUNCTION("""COMPUTED_VALUE"""),"Letras - Português e Inglês")</f>
        <v>Letras - Português e Inglês</v>
      </c>
      <c r="D524" s="390"/>
      <c r="E524" s="390"/>
      <c r="F524" s="390"/>
      <c r="G524" s="390"/>
      <c r="H524" s="390"/>
      <c r="I524" s="390"/>
      <c r="J524" s="390"/>
      <c r="K524" s="390"/>
      <c r="L524" s="390"/>
      <c r="M524" s="390"/>
      <c r="N524" s="390"/>
      <c r="O524" s="390"/>
      <c r="P524" s="390"/>
      <c r="Q524" s="390"/>
      <c r="R524" s="390"/>
      <c r="S524" s="390"/>
      <c r="T524" s="390"/>
      <c r="U524" s="390"/>
      <c r="V524" s="390"/>
      <c r="W524" s="390"/>
      <c r="X524" s="390"/>
      <c r="Y524" s="390"/>
    </row>
    <row r="525">
      <c r="A525" s="390" t="str">
        <f>IFERROR(__xludf.DUMMYFUNCTION("""COMPUTED_VALUE"""),"Evanilde de Sousa Lima")</f>
        <v>Evanilde de Sousa Lima</v>
      </c>
      <c r="B525" s="390" t="str">
        <f>IFERROR(__xludf.DUMMYFUNCTION("""COMPUTED_VALUE"""),"2° Licenciatura")</f>
        <v>2° Licenciatura</v>
      </c>
      <c r="C525" s="390" t="str">
        <f>IFERROR(__xludf.DUMMYFUNCTION("""COMPUTED_VALUE"""),"História")</f>
        <v>História</v>
      </c>
      <c r="D525" s="390"/>
      <c r="E525" s="390"/>
      <c r="F525" s="390"/>
      <c r="G525" s="390"/>
      <c r="H525" s="390"/>
      <c r="I525" s="390"/>
      <c r="J525" s="390"/>
      <c r="K525" s="390"/>
      <c r="L525" s="390"/>
      <c r="M525" s="390"/>
      <c r="N525" s="390"/>
      <c r="O525" s="390"/>
      <c r="P525" s="390"/>
      <c r="Q525" s="390"/>
      <c r="R525" s="390"/>
      <c r="S525" s="390"/>
      <c r="T525" s="390"/>
      <c r="U525" s="390"/>
      <c r="V525" s="390"/>
      <c r="W525" s="390"/>
      <c r="X525" s="390"/>
      <c r="Y525" s="390"/>
    </row>
    <row r="526">
      <c r="A526" s="390" t="str">
        <f>IFERROR(__xludf.DUMMYFUNCTION("""COMPUTED_VALUE"""),"Roni Pereira das Virgens")</f>
        <v>Roni Pereira das Virgens</v>
      </c>
      <c r="B526" s="390" t="str">
        <f>IFERROR(__xludf.DUMMYFUNCTION("""COMPUTED_VALUE"""),"Form. Pedagógica")</f>
        <v>Form. Pedagógica</v>
      </c>
      <c r="C526" s="390" t="str">
        <f>IFERROR(__xludf.DUMMYFUNCTION("""COMPUTED_VALUE"""),"História")</f>
        <v>História</v>
      </c>
      <c r="D526" s="390"/>
      <c r="E526" s="390"/>
      <c r="F526" s="390"/>
      <c r="G526" s="390"/>
      <c r="H526" s="390"/>
      <c r="I526" s="390"/>
      <c r="J526" s="390"/>
      <c r="K526" s="390"/>
      <c r="L526" s="390"/>
      <c r="M526" s="390"/>
      <c r="N526" s="390"/>
      <c r="O526" s="390"/>
      <c r="P526" s="390"/>
      <c r="Q526" s="390"/>
      <c r="R526" s="390"/>
      <c r="S526" s="390"/>
      <c r="T526" s="390"/>
      <c r="U526" s="390"/>
      <c r="V526" s="390"/>
      <c r="W526" s="390"/>
      <c r="X526" s="390"/>
      <c r="Y526" s="390"/>
    </row>
    <row r="527">
      <c r="A527" s="390" t="str">
        <f>IFERROR(__xludf.DUMMYFUNCTION("""COMPUTED_VALUE"""),"Danilo Roteski")</f>
        <v>Danilo Roteski</v>
      </c>
      <c r="B527" s="390" t="str">
        <f>IFERROR(__xludf.DUMMYFUNCTION("""COMPUTED_VALUE"""),"Form. Pedagógica")</f>
        <v>Form. Pedagógica</v>
      </c>
      <c r="C527" s="390" t="str">
        <f>IFERROR(__xludf.DUMMYFUNCTION("""COMPUTED_VALUE"""),"Matemática")</f>
        <v>Matemática</v>
      </c>
      <c r="D527" s="390"/>
      <c r="E527" s="390"/>
      <c r="F527" s="390"/>
      <c r="G527" s="390"/>
      <c r="H527" s="390"/>
      <c r="I527" s="390"/>
      <c r="J527" s="390"/>
      <c r="K527" s="390"/>
      <c r="L527" s="390"/>
      <c r="M527" s="390"/>
      <c r="N527" s="390"/>
      <c r="O527" s="390"/>
      <c r="P527" s="390"/>
      <c r="Q527" s="390"/>
      <c r="R527" s="390"/>
      <c r="S527" s="390"/>
      <c r="T527" s="390"/>
      <c r="U527" s="390"/>
      <c r="V527" s="390"/>
      <c r="W527" s="390"/>
      <c r="X527" s="390"/>
      <c r="Y527" s="390"/>
    </row>
    <row r="528">
      <c r="A528" s="390" t="str">
        <f>IFERROR(__xludf.DUMMYFUNCTION("""COMPUTED_VALUE"""),"Danilo Roteski")</f>
        <v>Danilo Roteski</v>
      </c>
      <c r="B528" s="390" t="str">
        <f>IFERROR(__xludf.DUMMYFUNCTION("""COMPUTED_VALUE"""),"Form. Pedagógica")</f>
        <v>Form. Pedagógica</v>
      </c>
      <c r="C528" s="390" t="str">
        <f>IFERROR(__xludf.DUMMYFUNCTION("""COMPUTED_VALUE"""),"Educação Física")</f>
        <v>Educação Física</v>
      </c>
      <c r="D528" s="390"/>
      <c r="E528" s="390"/>
      <c r="F528" s="390"/>
      <c r="G528" s="390"/>
      <c r="H528" s="390"/>
      <c r="I528" s="390"/>
      <c r="J528" s="390"/>
      <c r="K528" s="390"/>
      <c r="L528" s="390"/>
      <c r="M528" s="390"/>
      <c r="N528" s="390"/>
      <c r="O528" s="390"/>
      <c r="P528" s="390"/>
      <c r="Q528" s="390"/>
      <c r="R528" s="390"/>
      <c r="S528" s="390"/>
      <c r="T528" s="390"/>
      <c r="U528" s="390"/>
      <c r="V528" s="390"/>
      <c r="W528" s="390"/>
      <c r="X528" s="390"/>
      <c r="Y528" s="390"/>
    </row>
    <row r="529">
      <c r="A529" s="390" t="str">
        <f>IFERROR(__xludf.DUMMYFUNCTION("""COMPUTED_VALUE"""),"Bruna Jeniffer Barbosa Dos Santos")</f>
        <v>Bruna Jeniffer Barbosa Dos Santos</v>
      </c>
      <c r="B529" s="390" t="str">
        <f>IFERROR(__xludf.DUMMYFUNCTION("""COMPUTED_VALUE"""),"2° Licenciatura")</f>
        <v>2° Licenciatura</v>
      </c>
      <c r="C529" s="390" t="str">
        <f>IFERROR(__xludf.DUMMYFUNCTION("""COMPUTED_VALUE"""),"Artes Visuais ")</f>
        <v>Artes Visuais </v>
      </c>
      <c r="D529" s="390" t="str">
        <f>IFERROR(__xludf.DUMMYFUNCTION("""COMPUTED_VALUE"""),"Recebeu o diploma pela UNICV - 02/05/2025")</f>
        <v>Recebeu o diploma pela UNICV - 02/05/2025</v>
      </c>
      <c r="E529" s="390"/>
      <c r="F529" s="390"/>
      <c r="G529" s="390"/>
      <c r="H529" s="390"/>
      <c r="I529" s="390"/>
      <c r="J529" s="390"/>
      <c r="K529" s="390"/>
      <c r="L529" s="390"/>
      <c r="M529" s="390"/>
      <c r="N529" s="390"/>
      <c r="O529" s="390"/>
      <c r="P529" s="390"/>
      <c r="Q529" s="390"/>
      <c r="R529" s="390"/>
      <c r="S529" s="390"/>
      <c r="T529" s="390"/>
      <c r="U529" s="390"/>
      <c r="V529" s="390"/>
      <c r="W529" s="390"/>
      <c r="X529" s="390"/>
      <c r="Y529" s="390"/>
    </row>
    <row r="530">
      <c r="A530" s="390" t="str">
        <f>IFERROR(__xludf.DUMMYFUNCTION("""COMPUTED_VALUE"""),"Jusley Caroliny Santos Rocha")</f>
        <v>Jusley Caroliny Santos Rocha</v>
      </c>
      <c r="B530" s="390" t="str">
        <f>IFERROR(__xludf.DUMMYFUNCTION("""COMPUTED_VALUE"""),"2° Licenciatura")</f>
        <v>2° Licenciatura</v>
      </c>
      <c r="C530" s="390" t="str">
        <f>IFERROR(__xludf.DUMMYFUNCTION("""COMPUTED_VALUE"""),"Educação Especial")</f>
        <v>Educação Especial</v>
      </c>
      <c r="D530" s="390" t="str">
        <f>IFERROR(__xludf.DUMMYFUNCTION("""COMPUTED_VALUE"""),"Entregue pela Unicv")</f>
        <v>Entregue pela Unicv</v>
      </c>
      <c r="E530" s="390"/>
      <c r="F530" s="390"/>
      <c r="G530" s="390"/>
      <c r="H530" s="390"/>
      <c r="I530" s="390"/>
      <c r="J530" s="390"/>
      <c r="K530" s="390"/>
      <c r="L530" s="390"/>
      <c r="M530" s="390"/>
      <c r="N530" s="390"/>
      <c r="O530" s="390"/>
      <c r="P530" s="390"/>
      <c r="Q530" s="390"/>
      <c r="R530" s="390"/>
      <c r="S530" s="390"/>
      <c r="T530" s="390"/>
      <c r="U530" s="390"/>
      <c r="V530" s="390"/>
      <c r="W530" s="390"/>
      <c r="X530" s="390"/>
      <c r="Y530" s="390"/>
    </row>
    <row r="531">
      <c r="A531" s="390" t="str">
        <f>IFERROR(__xludf.DUMMYFUNCTION("""COMPUTED_VALUE"""),"Jusley Caroliny Santos Rocha ")</f>
        <v>Jusley Caroliny Santos Rocha </v>
      </c>
      <c r="B531" s="390" t="str">
        <f>IFERROR(__xludf.DUMMYFUNCTION("""COMPUTED_VALUE"""),"2° Licenciatura")</f>
        <v>2° Licenciatura</v>
      </c>
      <c r="C531" s="390" t="str">
        <f>IFERROR(__xludf.DUMMYFUNCTION("""COMPUTED_VALUE"""),"Filosofia")</f>
        <v>Filosofia</v>
      </c>
      <c r="D531" s="390" t="str">
        <f>IFERROR(__xludf.DUMMYFUNCTION("""COMPUTED_VALUE"""),"Entregue pela Unicv")</f>
        <v>Entregue pela Unicv</v>
      </c>
      <c r="E531" s="390"/>
      <c r="F531" s="390"/>
      <c r="G531" s="390"/>
      <c r="H531" s="390"/>
      <c r="I531" s="390"/>
      <c r="J531" s="390"/>
      <c r="K531" s="390"/>
      <c r="L531" s="390"/>
      <c r="M531" s="390"/>
      <c r="N531" s="390"/>
      <c r="O531" s="390"/>
      <c r="P531" s="390"/>
      <c r="Q531" s="390"/>
      <c r="R531" s="390"/>
      <c r="S531" s="390"/>
      <c r="T531" s="390"/>
      <c r="U531" s="390"/>
      <c r="V531" s="390"/>
      <c r="W531" s="390"/>
      <c r="X531" s="390"/>
      <c r="Y531" s="390"/>
    </row>
    <row r="532">
      <c r="A532" s="390" t="str">
        <f>IFERROR(__xludf.DUMMYFUNCTION("""COMPUTED_VALUE"""),"Jusley Caroliny Santos Rocha ")</f>
        <v>Jusley Caroliny Santos Rocha </v>
      </c>
      <c r="B532" s="390" t="str">
        <f>IFERROR(__xludf.DUMMYFUNCTION("""COMPUTED_VALUE"""),"2° Licenciatura")</f>
        <v>2° Licenciatura</v>
      </c>
      <c r="C532" s="390" t="str">
        <f>IFERROR(__xludf.DUMMYFUNCTION("""COMPUTED_VALUE"""),"Sociologia")</f>
        <v>Sociologia</v>
      </c>
      <c r="D532" s="390" t="str">
        <f>IFERROR(__xludf.DUMMYFUNCTION("""COMPUTED_VALUE"""),"Entregue pela Unicv")</f>
        <v>Entregue pela Unicv</v>
      </c>
      <c r="E532" s="390"/>
      <c r="F532" s="390"/>
      <c r="G532" s="390"/>
      <c r="H532" s="390"/>
      <c r="I532" s="390"/>
      <c r="J532" s="390"/>
      <c r="K532" s="390"/>
      <c r="L532" s="390"/>
      <c r="M532" s="390"/>
      <c r="N532" s="390"/>
      <c r="O532" s="390"/>
      <c r="P532" s="390"/>
      <c r="Q532" s="390"/>
      <c r="R532" s="390"/>
      <c r="S532" s="390"/>
      <c r="T532" s="390"/>
      <c r="U532" s="390"/>
      <c r="V532" s="390"/>
      <c r="W532" s="390"/>
      <c r="X532" s="390"/>
      <c r="Y532" s="390"/>
    </row>
    <row r="533">
      <c r="A533" s="390" t="str">
        <f>IFERROR(__xludf.DUMMYFUNCTION("""COMPUTED_VALUE"""),"Sauiny da Silva Bento")</f>
        <v>Sauiny da Silva Bento</v>
      </c>
      <c r="B533" s="390" t="str">
        <f>IFERROR(__xludf.DUMMYFUNCTION("""COMPUTED_VALUE"""),"2° Licenciatura")</f>
        <v>2° Licenciatura</v>
      </c>
      <c r="C533" s="390" t="str">
        <f>IFERROR(__xludf.DUMMYFUNCTION("""COMPUTED_VALUE"""),"Geografia")</f>
        <v>Geografia</v>
      </c>
      <c r="D533" s="390" t="str">
        <f>IFERROR(__xludf.DUMMYFUNCTION("""COMPUTED_VALUE"""),"Entregue pela Unicv")</f>
        <v>Entregue pela Unicv</v>
      </c>
      <c r="E533" s="390"/>
      <c r="F533" s="390"/>
      <c r="G533" s="390"/>
      <c r="H533" s="390"/>
      <c r="I533" s="390"/>
      <c r="J533" s="390"/>
      <c r="K533" s="390"/>
      <c r="L533" s="390"/>
      <c r="M533" s="390"/>
      <c r="N533" s="390"/>
      <c r="O533" s="390"/>
      <c r="P533" s="390"/>
      <c r="Q533" s="390"/>
      <c r="R533" s="390"/>
      <c r="S533" s="390"/>
      <c r="T533" s="390"/>
      <c r="U533" s="390"/>
      <c r="V533" s="390"/>
      <c r="W533" s="390"/>
      <c r="X533" s="390"/>
      <c r="Y533" s="390"/>
    </row>
    <row r="534">
      <c r="A534" s="390" t="str">
        <f>IFERROR(__xludf.DUMMYFUNCTION("""COMPUTED_VALUE"""),"Eunaítala Farias da Silva")</f>
        <v>Eunaítala Farias da Silva</v>
      </c>
      <c r="B534" s="390" t="str">
        <f>IFERROR(__xludf.DUMMYFUNCTION("""COMPUTED_VALUE"""),"Form. Pedagógica")</f>
        <v>Form. Pedagógica</v>
      </c>
      <c r="C534" s="390" t="str">
        <f>IFERROR(__xludf.DUMMYFUNCTION("""COMPUTED_VALUE"""),"Educação Física")</f>
        <v>Educação Física</v>
      </c>
      <c r="D534" s="390" t="str">
        <f>IFERROR(__xludf.DUMMYFUNCTION("""COMPUTED_VALUE"""),"Entregue em 23/05/2025 - Kinbox - Miguel")</f>
        <v>Entregue em 23/05/2025 - Kinbox - Miguel</v>
      </c>
      <c r="E534" s="390"/>
      <c r="F534" s="390"/>
      <c r="G534" s="390"/>
      <c r="H534" s="390"/>
      <c r="I534" s="390"/>
      <c r="J534" s="390"/>
      <c r="K534" s="390"/>
      <c r="L534" s="390"/>
      <c r="M534" s="390"/>
      <c r="N534" s="390"/>
      <c r="O534" s="390"/>
      <c r="P534" s="390"/>
      <c r="Q534" s="390"/>
      <c r="R534" s="390"/>
      <c r="S534" s="390"/>
      <c r="T534" s="390"/>
      <c r="U534" s="390"/>
      <c r="V534" s="390"/>
      <c r="W534" s="390"/>
      <c r="X534" s="390"/>
      <c r="Y534" s="390"/>
    </row>
    <row r="535">
      <c r="A535" s="390" t="str">
        <f>IFERROR(__xludf.DUMMYFUNCTION("""COMPUTED_VALUE"""),"Santiago dos Santos Santarém")</f>
        <v>Santiago dos Santos Santarém</v>
      </c>
      <c r="B535" s="390" t="str">
        <f>IFERROR(__xludf.DUMMYFUNCTION("""COMPUTED_VALUE"""),"Form. Pedagógica")</f>
        <v>Form. Pedagógica</v>
      </c>
      <c r="C535" s="390" t="str">
        <f>IFERROR(__xludf.DUMMYFUNCTION("""COMPUTED_VALUE"""),"Artes Visuais")</f>
        <v>Artes Visuais</v>
      </c>
      <c r="D535" s="390" t="str">
        <f>IFERROR(__xludf.DUMMYFUNCTION("""COMPUTED_VALUE"""),"Entregue pela Unicv")</f>
        <v>Entregue pela Unicv</v>
      </c>
      <c r="E535" s="390"/>
      <c r="F535" s="390"/>
      <c r="G535" s="390"/>
      <c r="H535" s="390"/>
      <c r="I535" s="390"/>
      <c r="J535" s="390"/>
      <c r="K535" s="390"/>
      <c r="L535" s="390"/>
      <c r="M535" s="390"/>
      <c r="N535" s="390"/>
      <c r="O535" s="390"/>
      <c r="P535" s="390"/>
      <c r="Q535" s="390"/>
      <c r="R535" s="390"/>
      <c r="S535" s="390"/>
      <c r="T535" s="390"/>
      <c r="U535" s="390"/>
      <c r="V535" s="390"/>
      <c r="W535" s="390"/>
      <c r="X535" s="390"/>
      <c r="Y535" s="390"/>
    </row>
    <row r="536">
      <c r="A536" s="390" t="str">
        <f>IFERROR(__xludf.DUMMYFUNCTION("""COMPUTED_VALUE"""),"Sônia Maria Gomes Coelho")</f>
        <v>Sônia Maria Gomes Coelho</v>
      </c>
      <c r="B536" s="390" t="str">
        <f>IFERROR(__xludf.DUMMYFUNCTION("""COMPUTED_VALUE"""),"2° Licenciatura")</f>
        <v>2° Licenciatura</v>
      </c>
      <c r="C536" s="390" t="str">
        <f>IFERROR(__xludf.DUMMYFUNCTION("""COMPUTED_VALUE"""),"Artes Visuais")</f>
        <v>Artes Visuais</v>
      </c>
      <c r="D536" s="390" t="str">
        <f>IFERROR(__xludf.DUMMYFUNCTION("""COMPUTED_VALUE"""),"Entregue pela Unicv")</f>
        <v>Entregue pela Unicv</v>
      </c>
      <c r="E536" s="390"/>
      <c r="F536" s="390"/>
      <c r="G536" s="390"/>
      <c r="H536" s="390"/>
      <c r="I536" s="390"/>
      <c r="J536" s="390"/>
      <c r="K536" s="390"/>
      <c r="L536" s="390"/>
      <c r="M536" s="390"/>
      <c r="N536" s="390"/>
      <c r="O536" s="390"/>
      <c r="P536" s="390"/>
      <c r="Q536" s="390"/>
      <c r="R536" s="390"/>
      <c r="S536" s="390"/>
      <c r="T536" s="390"/>
      <c r="U536" s="390"/>
      <c r="V536" s="390"/>
      <c r="W536" s="390"/>
      <c r="X536" s="390"/>
      <c r="Y536" s="390"/>
    </row>
    <row r="537">
      <c r="A537" s="390" t="str">
        <f>IFERROR(__xludf.DUMMYFUNCTION("""COMPUTED_VALUE"""),"Marlene Barbosa Lima")</f>
        <v>Marlene Barbosa Lima</v>
      </c>
      <c r="B537" s="390" t="str">
        <f>IFERROR(__xludf.DUMMYFUNCTION("""COMPUTED_VALUE"""),"2° Licenciatura")</f>
        <v>2° Licenciatura</v>
      </c>
      <c r="C537" s="390" t="str">
        <f>IFERROR(__xludf.DUMMYFUNCTION("""COMPUTED_VALUE"""),"História")</f>
        <v>História</v>
      </c>
      <c r="D537" s="390" t="str">
        <f>IFERROR(__xludf.DUMMYFUNCTION("""COMPUTED_VALUE"""),"Entregue pela Unicv")</f>
        <v>Entregue pela Unicv</v>
      </c>
      <c r="E537" s="390"/>
      <c r="F537" s="390"/>
      <c r="G537" s="390"/>
      <c r="H537" s="390"/>
      <c r="I537" s="390"/>
      <c r="J537" s="390"/>
      <c r="K537" s="390"/>
      <c r="L537" s="390"/>
      <c r="M537" s="390"/>
      <c r="N537" s="390"/>
      <c r="O537" s="390"/>
      <c r="P537" s="390"/>
      <c r="Q537" s="390"/>
      <c r="R537" s="390"/>
      <c r="S537" s="390"/>
      <c r="T537" s="390"/>
      <c r="U537" s="390"/>
      <c r="V537" s="390"/>
      <c r="W537" s="390"/>
      <c r="X537" s="390"/>
      <c r="Y537" s="390"/>
    </row>
    <row r="538">
      <c r="A538" s="390" t="str">
        <f>IFERROR(__xludf.DUMMYFUNCTION("""COMPUTED_VALUE"""),"Manoel Oliveira Izoton")</f>
        <v>Manoel Oliveira Izoton</v>
      </c>
      <c r="B538" s="390" t="str">
        <f>IFERROR(__xludf.DUMMYFUNCTION("""COMPUTED_VALUE"""),"Form. Pedagógica")</f>
        <v>Form. Pedagógica</v>
      </c>
      <c r="C538" s="390" t="str">
        <f>IFERROR(__xludf.DUMMYFUNCTION("""COMPUTED_VALUE"""),"Educação Fisica")</f>
        <v>Educação Fisica</v>
      </c>
      <c r="D538" s="390" t="str">
        <f>IFERROR(__xludf.DUMMYFUNCTION("""COMPUTED_VALUE"""),"Entregue em 06/05/2025 - Kinbox e e-mail - Miguel")</f>
        <v>Entregue em 06/05/2025 - Kinbox e e-mail - Miguel</v>
      </c>
      <c r="E538" s="390"/>
      <c r="F538" s="390"/>
      <c r="G538" s="390"/>
      <c r="H538" s="390"/>
      <c r="I538" s="390"/>
      <c r="J538" s="390"/>
      <c r="K538" s="390"/>
      <c r="L538" s="390"/>
      <c r="M538" s="390"/>
      <c r="N538" s="390"/>
      <c r="O538" s="390"/>
      <c r="P538" s="390"/>
      <c r="Q538" s="390"/>
      <c r="R538" s="390"/>
      <c r="S538" s="390"/>
      <c r="T538" s="390"/>
      <c r="U538" s="390"/>
      <c r="V538" s="390"/>
      <c r="W538" s="390"/>
      <c r="X538" s="390"/>
      <c r="Y538" s="390"/>
    </row>
    <row r="539">
      <c r="A539" s="390" t="str">
        <f>IFERROR(__xludf.DUMMYFUNCTION("""COMPUTED_VALUE"""),"Beatriz Cristina Batista Rodrigues")</f>
        <v>Beatriz Cristina Batista Rodrigues</v>
      </c>
      <c r="B539" s="390" t="str">
        <f>IFERROR(__xludf.DUMMYFUNCTION("""COMPUTED_VALUE"""),"2° Licenciatura")</f>
        <v>2° Licenciatura</v>
      </c>
      <c r="C539" s="390" t="str">
        <f>IFERROR(__xludf.DUMMYFUNCTION("""COMPUTED_VALUE"""),"Geografia")</f>
        <v>Geografia</v>
      </c>
      <c r="D539" s="390" t="str">
        <f>IFERROR(__xludf.DUMMYFUNCTION("""COMPUTED_VALUE"""),"Recebeu o diploma pela UNICV no e-mail - 24/04/2025")</f>
        <v>Recebeu o diploma pela UNICV no e-mail - 24/04/2025</v>
      </c>
      <c r="E539" s="390"/>
      <c r="F539" s="390"/>
      <c r="G539" s="390"/>
      <c r="H539" s="390"/>
      <c r="I539" s="390"/>
      <c r="J539" s="390"/>
      <c r="K539" s="390"/>
      <c r="L539" s="390"/>
      <c r="M539" s="390"/>
      <c r="N539" s="390"/>
      <c r="O539" s="390"/>
      <c r="P539" s="390"/>
      <c r="Q539" s="390"/>
      <c r="R539" s="390"/>
      <c r="S539" s="390"/>
      <c r="T539" s="390"/>
      <c r="U539" s="390"/>
      <c r="V539" s="390"/>
      <c r="W539" s="390"/>
      <c r="X539" s="390"/>
      <c r="Y539" s="390"/>
    </row>
    <row r="540">
      <c r="A540" s="413" t="str">
        <f>IFERROR(__xludf.DUMMYFUNCTION("""COMPUTED_VALUE"""),"Paulo Cesar de Paula  (Apressamento)")</f>
        <v>Paulo Cesar de Paula  (Apressamento)</v>
      </c>
      <c r="B540" s="390" t="str">
        <f>IFERROR(__xludf.DUMMYFUNCTION("""COMPUTED_VALUE"""),"2° Licenciatura")</f>
        <v>2° Licenciatura</v>
      </c>
      <c r="C540" s="390" t="str">
        <f>IFERROR(__xludf.DUMMYFUNCTION("""COMPUTED_VALUE"""),"Ciências da Religião")</f>
        <v>Ciências da Religião</v>
      </c>
      <c r="D540" s="390"/>
      <c r="E540" s="390"/>
      <c r="F540" s="390"/>
      <c r="G540" s="390"/>
      <c r="H540" s="390"/>
      <c r="I540" s="390"/>
      <c r="J540" s="390"/>
      <c r="K540" s="390"/>
      <c r="L540" s="390"/>
      <c r="M540" s="390"/>
      <c r="N540" s="390"/>
      <c r="O540" s="390"/>
      <c r="P540" s="390"/>
      <c r="Q540" s="390"/>
      <c r="R540" s="390"/>
      <c r="S540" s="390"/>
      <c r="T540" s="390"/>
      <c r="U540" s="390"/>
      <c r="V540" s="390"/>
      <c r="W540" s="390"/>
      <c r="X540" s="390"/>
      <c r="Y540" s="390"/>
    </row>
    <row r="541">
      <c r="A541" s="390" t="str">
        <f>IFERROR(__xludf.DUMMYFUNCTION("""COMPUTED_VALUE"""),"Jozinete Vinhas de Deus")</f>
        <v>Jozinete Vinhas de Deus</v>
      </c>
      <c r="B541" s="390" t="str">
        <f>IFERROR(__xludf.DUMMYFUNCTION("""COMPUTED_VALUE"""),"2° Licenciatura")</f>
        <v>2° Licenciatura</v>
      </c>
      <c r="C541" s="390" t="str">
        <f>IFERROR(__xludf.DUMMYFUNCTION("""COMPUTED_VALUE"""),"Filosofia")</f>
        <v>Filosofia</v>
      </c>
      <c r="D541" s="390" t="str">
        <f>IFERROR(__xludf.DUMMYFUNCTION("""COMPUTED_VALUE"""),"Entregue em 23/05/2025 - Kinboxl - Miguel")</f>
        <v>Entregue em 23/05/2025 - Kinboxl - Miguel</v>
      </c>
      <c r="E541" s="390"/>
      <c r="F541" s="390"/>
      <c r="G541" s="390"/>
      <c r="H541" s="390"/>
      <c r="I541" s="390"/>
      <c r="J541" s="390"/>
      <c r="K541" s="390"/>
      <c r="L541" s="390"/>
      <c r="M541" s="390"/>
      <c r="N541" s="390"/>
      <c r="O541" s="390"/>
      <c r="P541" s="390"/>
      <c r="Q541" s="390"/>
      <c r="R541" s="390"/>
      <c r="S541" s="390"/>
      <c r="T541" s="390"/>
      <c r="U541" s="390"/>
      <c r="V541" s="390"/>
      <c r="W541" s="390"/>
      <c r="X541" s="390"/>
      <c r="Y541" s="390"/>
    </row>
    <row r="542">
      <c r="A542" s="390" t="str">
        <f>IFERROR(__xludf.DUMMYFUNCTION("""COMPUTED_VALUE"""),"Janathan Firmino dos Santos (Apressamento)")</f>
        <v>Janathan Firmino dos Santos (Apressamento)</v>
      </c>
      <c r="B542" s="390" t="str">
        <f>IFERROR(__xludf.DUMMYFUNCTION("""COMPUTED_VALUE"""),"2° Licenciatura")</f>
        <v>2° Licenciatura</v>
      </c>
      <c r="C542" s="390" t="str">
        <f>IFERROR(__xludf.DUMMYFUNCTION("""COMPUTED_VALUE"""),"Educação Física")</f>
        <v>Educação Física</v>
      </c>
      <c r="D542" s="390" t="str">
        <f>IFERROR(__xludf.DUMMYFUNCTION("""COMPUTED_VALUE"""),"Entregue em 29/04/2025 - Kinbox e e-mail - Miguel")</f>
        <v>Entregue em 29/04/2025 - Kinbox e e-mail - Miguel</v>
      </c>
      <c r="E542" s="390"/>
      <c r="F542" s="390"/>
      <c r="G542" s="390"/>
      <c r="H542" s="390"/>
      <c r="I542" s="390"/>
      <c r="J542" s="390"/>
      <c r="K542" s="390"/>
      <c r="L542" s="390"/>
      <c r="M542" s="390"/>
      <c r="N542" s="390"/>
      <c r="O542" s="390"/>
      <c r="P542" s="390"/>
      <c r="Q542" s="390"/>
      <c r="R542" s="390"/>
      <c r="S542" s="390"/>
      <c r="T542" s="390"/>
      <c r="U542" s="390"/>
      <c r="V542" s="390"/>
      <c r="W542" s="390"/>
      <c r="X542" s="390"/>
      <c r="Y542" s="390"/>
    </row>
    <row r="543">
      <c r="A543" s="390" t="str">
        <f>IFERROR(__xludf.DUMMYFUNCTION("""COMPUTED_VALUE"""),"Leandro Roberto de Morais (AGUARDANDO CORREÇÃO UNICV) Enc Unicv 30/01")</f>
        <v>Leandro Roberto de Morais (AGUARDANDO CORREÇÃO UNICV) Enc Unicv 30/01</v>
      </c>
      <c r="B543" s="390" t="str">
        <f>IFERROR(__xludf.DUMMYFUNCTION("""COMPUTED_VALUE"""),"Form. Pedagógica")</f>
        <v>Form. Pedagógica</v>
      </c>
      <c r="C543" s="390" t="str">
        <f>IFERROR(__xludf.DUMMYFUNCTION("""COMPUTED_VALUE"""),"Artes Visuais")</f>
        <v>Artes Visuais</v>
      </c>
      <c r="D543" s="390" t="str">
        <f>IFERROR(__xludf.DUMMYFUNCTION("""COMPUTED_VALUE"""),"Entregue em 22/05/2025 - Kinbox  - Carla ")</f>
        <v>Entregue em 22/05/2025 - Kinbox  - Carla </v>
      </c>
      <c r="E543" s="390"/>
      <c r="F543" s="390"/>
      <c r="G543" s="390"/>
      <c r="H543" s="390"/>
      <c r="I543" s="390"/>
      <c r="J543" s="390"/>
      <c r="K543" s="390"/>
      <c r="L543" s="390"/>
      <c r="M543" s="390"/>
      <c r="N543" s="390"/>
      <c r="O543" s="390"/>
      <c r="P543" s="390"/>
      <c r="Q543" s="390"/>
      <c r="R543" s="390"/>
      <c r="S543" s="390"/>
      <c r="T543" s="390"/>
      <c r="U543" s="390"/>
      <c r="V543" s="390"/>
      <c r="W543" s="390"/>
      <c r="X543" s="390"/>
      <c r="Y543" s="390"/>
    </row>
    <row r="544">
      <c r="A544" s="390" t="str">
        <f>IFERROR(__xludf.DUMMYFUNCTION("""COMPUTED_VALUE"""),"Carla Emiliane da Costa Magela ")</f>
        <v>Carla Emiliane da Costa Magela </v>
      </c>
      <c r="B544" s="390" t="str">
        <f>IFERROR(__xludf.DUMMYFUNCTION("""COMPUTED_VALUE"""),"Form. Pedagógica")</f>
        <v>Form. Pedagógica</v>
      </c>
      <c r="C544" s="390" t="str">
        <f>IFERROR(__xludf.DUMMYFUNCTION("""COMPUTED_VALUE"""),"Matemática")</f>
        <v>Matemática</v>
      </c>
      <c r="D544" s="390" t="str">
        <f>IFERROR(__xludf.DUMMYFUNCTION("""COMPUTED_VALUE"""),"Entregue em 11/06/2025 - Kinbox - Miguel")</f>
        <v>Entregue em 11/06/2025 - Kinbox - Miguel</v>
      </c>
      <c r="E544" s="390"/>
      <c r="F544" s="390"/>
      <c r="G544" s="390"/>
      <c r="H544" s="390"/>
      <c r="I544" s="390"/>
      <c r="J544" s="390"/>
      <c r="K544" s="390"/>
      <c r="L544" s="390"/>
      <c r="M544" s="390"/>
      <c r="N544" s="390"/>
      <c r="O544" s="390"/>
      <c r="P544" s="390"/>
      <c r="Q544" s="390"/>
      <c r="R544" s="390"/>
      <c r="S544" s="390"/>
      <c r="T544" s="390"/>
      <c r="U544" s="390"/>
      <c r="V544" s="390"/>
      <c r="W544" s="390"/>
      <c r="X544" s="390"/>
      <c r="Y544" s="390"/>
    </row>
    <row r="545">
      <c r="A545" s="390" t="str">
        <f>IFERROR(__xludf.DUMMYFUNCTION("""COMPUTED_VALUE"""),"Marivaldo José do Nascimento (solicitar correção na UNICV telefone)")</f>
        <v>Marivaldo José do Nascimento (solicitar correção na UNICV telefone)</v>
      </c>
      <c r="B545" s="390" t="str">
        <f>IFERROR(__xludf.DUMMYFUNCTION("""COMPUTED_VALUE"""),"2° Licenciatura")</f>
        <v>2° Licenciatura</v>
      </c>
      <c r="C545" s="390" t="str">
        <f>IFERROR(__xludf.DUMMYFUNCTION("""COMPUTED_VALUE"""),"Geografia")</f>
        <v>Geografia</v>
      </c>
      <c r="D545" s="390" t="str">
        <f>IFERROR(__xludf.DUMMYFUNCTION("""COMPUTED_VALUE"""),"Entregue em 22/05/2025 - Kinbox - Miguel")</f>
        <v>Entregue em 22/05/2025 - Kinbox - Miguel</v>
      </c>
      <c r="E545" s="390"/>
      <c r="F545" s="390"/>
      <c r="G545" s="390"/>
      <c r="H545" s="390"/>
      <c r="I545" s="390"/>
      <c r="J545" s="390"/>
      <c r="K545" s="390"/>
      <c r="L545" s="390"/>
      <c r="M545" s="390"/>
      <c r="N545" s="390"/>
      <c r="O545" s="390"/>
      <c r="P545" s="390"/>
      <c r="Q545" s="390"/>
      <c r="R545" s="390"/>
      <c r="S545" s="390"/>
      <c r="T545" s="390"/>
      <c r="U545" s="390"/>
      <c r="V545" s="390"/>
      <c r="W545" s="390"/>
      <c r="X545" s="390"/>
      <c r="Y545" s="390"/>
    </row>
    <row r="546">
      <c r="A546" s="390" t="str">
        <f>IFERROR(__xludf.DUMMYFUNCTION("""COMPUTED_VALUE"""),"Maria Gislene de Souza")</f>
        <v>Maria Gislene de Souza</v>
      </c>
      <c r="B546" s="390" t="str">
        <f>IFERROR(__xludf.DUMMYFUNCTION("""COMPUTED_VALUE"""),"Form. Pedagógica")</f>
        <v>Form. Pedagógica</v>
      </c>
      <c r="C546" s="390" t="str">
        <f>IFERROR(__xludf.DUMMYFUNCTION("""COMPUTED_VALUE"""),"Sociologia")</f>
        <v>Sociologia</v>
      </c>
      <c r="D546" s="390" t="str">
        <f>IFERROR(__xludf.DUMMYFUNCTION("""COMPUTED_VALUE"""),"Entregue pela Unicv")</f>
        <v>Entregue pela Unicv</v>
      </c>
      <c r="E546" s="390"/>
      <c r="F546" s="390"/>
      <c r="G546" s="390"/>
      <c r="H546" s="390"/>
      <c r="I546" s="390"/>
      <c r="J546" s="390"/>
      <c r="K546" s="390"/>
      <c r="L546" s="390"/>
      <c r="M546" s="390"/>
      <c r="N546" s="390"/>
      <c r="O546" s="390"/>
      <c r="P546" s="390"/>
      <c r="Q546" s="390"/>
      <c r="R546" s="390"/>
      <c r="S546" s="390"/>
      <c r="T546" s="390"/>
      <c r="U546" s="390"/>
      <c r="V546" s="390"/>
      <c r="W546" s="390"/>
      <c r="X546" s="390"/>
      <c r="Y546" s="390"/>
    </row>
    <row r="547">
      <c r="A547" s="390" t="str">
        <f>IFERROR(__xludf.DUMMYFUNCTION("""COMPUTED_VALUE"""),"Graciete Lima dos Santos Eloi de França")</f>
        <v>Graciete Lima dos Santos Eloi de França</v>
      </c>
      <c r="B547" s="390" t="str">
        <f>IFERROR(__xludf.DUMMYFUNCTION("""COMPUTED_VALUE"""),"2° Licenciatura")</f>
        <v>2° Licenciatura</v>
      </c>
      <c r="C547" s="390" t="str">
        <f>IFERROR(__xludf.DUMMYFUNCTION("""COMPUTED_VALUE"""),"Letras - Língua Portuguesa e Libras")</f>
        <v>Letras - Língua Portuguesa e Libras</v>
      </c>
      <c r="D547" s="390" t="str">
        <f>IFERROR(__xludf.DUMMYFUNCTION("""COMPUTED_VALUE"""),"Entregue em 22/05/2025 - Kinbox - Miguel")</f>
        <v>Entregue em 22/05/2025 - Kinbox - Miguel</v>
      </c>
      <c r="E547" s="390"/>
      <c r="F547" s="390"/>
      <c r="G547" s="390"/>
      <c r="H547" s="390"/>
      <c r="I547" s="390"/>
      <c r="J547" s="390"/>
      <c r="K547" s="390"/>
      <c r="L547" s="390"/>
      <c r="M547" s="390"/>
      <c r="N547" s="390"/>
      <c r="O547" s="390"/>
      <c r="P547" s="390"/>
      <c r="Q547" s="390"/>
      <c r="R547" s="390"/>
      <c r="S547" s="390"/>
      <c r="T547" s="390"/>
      <c r="U547" s="390"/>
      <c r="V547" s="390"/>
      <c r="W547" s="390"/>
      <c r="X547" s="390"/>
      <c r="Y547" s="390"/>
    </row>
    <row r="548">
      <c r="A548" s="390" t="str">
        <f>IFERROR(__xludf.DUMMYFUNCTION("""COMPUTED_VALUE"""),"Denys Wilton Ferreira Martins")</f>
        <v>Denys Wilton Ferreira Martins</v>
      </c>
      <c r="B548" s="390" t="str">
        <f>IFERROR(__xludf.DUMMYFUNCTION("""COMPUTED_VALUE"""),"2° Licenciatura")</f>
        <v>2° Licenciatura</v>
      </c>
      <c r="C548" s="390" t="str">
        <f>IFERROR(__xludf.DUMMYFUNCTION("""COMPUTED_VALUE"""),"Geografia")</f>
        <v>Geografia</v>
      </c>
      <c r="D548" s="390" t="str">
        <f>IFERROR(__xludf.DUMMYFUNCTION("""COMPUTED_VALUE"""),"Entregue pela Unicv")</f>
        <v>Entregue pela Unicv</v>
      </c>
      <c r="E548" s="390"/>
      <c r="F548" s="390"/>
      <c r="G548" s="390"/>
      <c r="H548" s="390"/>
      <c r="I548" s="390"/>
      <c r="J548" s="390"/>
      <c r="K548" s="390"/>
      <c r="L548" s="390"/>
      <c r="M548" s="390"/>
      <c r="N548" s="390"/>
      <c r="O548" s="390"/>
      <c r="P548" s="390"/>
      <c r="Q548" s="390"/>
      <c r="R548" s="390"/>
      <c r="S548" s="390"/>
      <c r="T548" s="390"/>
      <c r="U548" s="390"/>
      <c r="V548" s="390"/>
      <c r="W548" s="390"/>
      <c r="X548" s="390"/>
      <c r="Y548" s="390"/>
    </row>
    <row r="549">
      <c r="A549" s="390" t="str">
        <f>IFERROR(__xludf.DUMMYFUNCTION("""COMPUTED_VALUE"""),"Paloma de Campos Alé Pereira")</f>
        <v>Paloma de Campos Alé Pereira</v>
      </c>
      <c r="B549" s="390" t="str">
        <f>IFERROR(__xludf.DUMMYFUNCTION("""COMPUTED_VALUE"""),"2° Licenciatura")</f>
        <v>2° Licenciatura</v>
      </c>
      <c r="C549" s="390" t="str">
        <f>IFERROR(__xludf.DUMMYFUNCTION("""COMPUTED_VALUE"""),"Letras - Português e Inglês")</f>
        <v>Letras - Português e Inglês</v>
      </c>
      <c r="D549" s="390"/>
      <c r="E549" s="390"/>
      <c r="F549" s="390"/>
      <c r="G549" s="390"/>
      <c r="H549" s="390"/>
      <c r="I549" s="390"/>
      <c r="J549" s="390"/>
      <c r="K549" s="390"/>
      <c r="L549" s="390"/>
      <c r="M549" s="390"/>
      <c r="N549" s="390"/>
      <c r="O549" s="390"/>
      <c r="P549" s="390"/>
      <c r="Q549" s="390"/>
      <c r="R549" s="390"/>
      <c r="S549" s="390"/>
      <c r="T549" s="390"/>
      <c r="U549" s="390"/>
      <c r="V549" s="390"/>
      <c r="W549" s="390"/>
      <c r="X549" s="390"/>
      <c r="Y549" s="390"/>
    </row>
    <row r="550">
      <c r="A550" s="390" t="str">
        <f>IFERROR(__xludf.DUMMYFUNCTION("""COMPUTED_VALUE"""),"Yennifer Andrea Escobar Restrepo ")</f>
        <v>Yennifer Andrea Escobar Restrepo </v>
      </c>
      <c r="B550" s="390" t="str">
        <f>IFERROR(__xludf.DUMMYFUNCTION("""COMPUTED_VALUE"""),"2° Licenciatura")</f>
        <v>2° Licenciatura</v>
      </c>
      <c r="C550" s="390" t="str">
        <f>IFERROR(__xludf.DUMMYFUNCTION("""COMPUTED_VALUE"""),"Letras - Português e Espanhol")</f>
        <v>Letras - Português e Espanhol</v>
      </c>
      <c r="D550" s="390"/>
      <c r="E550" s="390"/>
      <c r="F550" s="390"/>
      <c r="G550" s="390"/>
      <c r="H550" s="390"/>
      <c r="I550" s="390"/>
      <c r="J550" s="390"/>
      <c r="K550" s="390"/>
      <c r="L550" s="390"/>
      <c r="M550" s="390"/>
      <c r="N550" s="390"/>
      <c r="O550" s="390"/>
      <c r="P550" s="390"/>
      <c r="Q550" s="390"/>
      <c r="R550" s="390"/>
      <c r="S550" s="390"/>
      <c r="T550" s="390"/>
      <c r="U550" s="390"/>
      <c r="V550" s="390"/>
      <c r="W550" s="390"/>
      <c r="X550" s="390"/>
      <c r="Y550" s="390"/>
    </row>
    <row r="551">
      <c r="A551" s="390" t="str">
        <f>IFERROR(__xludf.DUMMYFUNCTION("""COMPUTED_VALUE"""),"Thays Karoline da Silva Xavier")</f>
        <v>Thays Karoline da Silva Xavier</v>
      </c>
      <c r="B551" s="390" t="str">
        <f>IFERROR(__xludf.DUMMYFUNCTION("""COMPUTED_VALUE"""),"2° Licenciatura")</f>
        <v>2° Licenciatura</v>
      </c>
      <c r="C551" s="390" t="str">
        <f>IFERROR(__xludf.DUMMYFUNCTION("""COMPUTED_VALUE"""),"Artes Visuais")</f>
        <v>Artes Visuais</v>
      </c>
      <c r="D551" s="390" t="str">
        <f>IFERROR(__xludf.DUMMYFUNCTION("""COMPUTED_VALUE"""),"Entregue em 22/05/2025 - Kinbox - Miguel")</f>
        <v>Entregue em 22/05/2025 - Kinbox - Miguel</v>
      </c>
      <c r="E551" s="390"/>
      <c r="F551" s="390"/>
      <c r="G551" s="390"/>
      <c r="H551" s="390"/>
      <c r="I551" s="390"/>
      <c r="J551" s="390"/>
      <c r="K551" s="390"/>
      <c r="L551" s="390"/>
      <c r="M551" s="390"/>
      <c r="N551" s="390"/>
      <c r="O551" s="390"/>
      <c r="P551" s="390"/>
      <c r="Q551" s="390"/>
      <c r="R551" s="390"/>
      <c r="S551" s="390"/>
      <c r="T551" s="390"/>
      <c r="U551" s="390"/>
      <c r="V551" s="390"/>
      <c r="W551" s="390"/>
      <c r="X551" s="390"/>
      <c r="Y551" s="390"/>
    </row>
    <row r="552">
      <c r="A552" s="390" t="str">
        <f>IFERROR(__xludf.DUMMYFUNCTION("""COMPUTED_VALUE"""),"Lucas Gomes Ramos")</f>
        <v>Lucas Gomes Ramos</v>
      </c>
      <c r="B552" s="390" t="str">
        <f>IFERROR(__xludf.DUMMYFUNCTION("""COMPUTED_VALUE"""),"2° Licenciatura")</f>
        <v>2° Licenciatura</v>
      </c>
      <c r="C552" s="390" t="str">
        <f>IFERROR(__xludf.DUMMYFUNCTION("""COMPUTED_VALUE"""),"Educação Fisica")</f>
        <v>Educação Fisica</v>
      </c>
      <c r="D552" s="390" t="str">
        <f>IFERROR(__xludf.DUMMYFUNCTION("""COMPUTED_VALUE"""),"Entregue em 22/05/2025 - Kinbox - Miguel")</f>
        <v>Entregue em 22/05/2025 - Kinbox - Miguel</v>
      </c>
      <c r="E552" s="390"/>
      <c r="F552" s="390"/>
      <c r="G552" s="390"/>
      <c r="H552" s="390"/>
      <c r="I552" s="390"/>
      <c r="J552" s="390"/>
      <c r="K552" s="390"/>
      <c r="L552" s="390"/>
      <c r="M552" s="390"/>
      <c r="N552" s="390"/>
      <c r="O552" s="390"/>
      <c r="P552" s="390"/>
      <c r="Q552" s="390"/>
      <c r="R552" s="390"/>
      <c r="S552" s="390"/>
      <c r="T552" s="390"/>
      <c r="U552" s="390"/>
      <c r="V552" s="390"/>
      <c r="W552" s="390"/>
      <c r="X552" s="390"/>
      <c r="Y552" s="390"/>
    </row>
    <row r="553">
      <c r="A553" s="390" t="str">
        <f>IFERROR(__xludf.DUMMYFUNCTION("""COMPUTED_VALUE"""),"Fabiane Bastos Freire")</f>
        <v>Fabiane Bastos Freire</v>
      </c>
      <c r="B553" s="390" t="str">
        <f>IFERROR(__xludf.DUMMYFUNCTION("""COMPUTED_VALUE"""),"2° Licenciatura")</f>
        <v>2° Licenciatura</v>
      </c>
      <c r="C553" s="390" t="str">
        <f>IFERROR(__xludf.DUMMYFUNCTION("""COMPUTED_VALUE"""),"Sociologia")</f>
        <v>Sociologia</v>
      </c>
      <c r="D553" s="390" t="str">
        <f>IFERROR(__xludf.DUMMYFUNCTION("""COMPUTED_VALUE"""),"Entregue em 23/05/2025 - Kinbox - Miguel")</f>
        <v>Entregue em 23/05/2025 - Kinbox - Miguel</v>
      </c>
      <c r="E553" s="390"/>
      <c r="F553" s="390"/>
      <c r="G553" s="390"/>
      <c r="H553" s="390"/>
      <c r="I553" s="390"/>
      <c r="J553" s="390"/>
      <c r="K553" s="390"/>
      <c r="L553" s="390"/>
      <c r="M553" s="390"/>
      <c r="N553" s="390"/>
      <c r="O553" s="390"/>
      <c r="P553" s="390"/>
      <c r="Q553" s="390"/>
      <c r="R553" s="390"/>
      <c r="S553" s="390"/>
      <c r="T553" s="390"/>
      <c r="U553" s="390"/>
      <c r="V553" s="390"/>
      <c r="W553" s="390"/>
      <c r="X553" s="390"/>
      <c r="Y553" s="390"/>
    </row>
    <row r="554">
      <c r="A554" s="390" t="str">
        <f>IFERROR(__xludf.DUMMYFUNCTION("""COMPUTED_VALUE"""),"Daniel da Silva Garcia")</f>
        <v>Daniel da Silva Garcia</v>
      </c>
      <c r="B554" s="390" t="str">
        <f>IFERROR(__xludf.DUMMYFUNCTION("""COMPUTED_VALUE"""),"Form. Pedagógica")</f>
        <v>Form. Pedagógica</v>
      </c>
      <c r="C554" s="390" t="str">
        <f>IFERROR(__xludf.DUMMYFUNCTION("""COMPUTED_VALUE"""),"Matemática")</f>
        <v>Matemática</v>
      </c>
      <c r="D554" s="390"/>
      <c r="E554" s="390"/>
      <c r="F554" s="390"/>
      <c r="G554" s="390"/>
      <c r="H554" s="390"/>
      <c r="I554" s="390"/>
      <c r="J554" s="390"/>
      <c r="K554" s="390"/>
      <c r="L554" s="390"/>
      <c r="M554" s="390"/>
      <c r="N554" s="390"/>
      <c r="O554" s="390"/>
      <c r="P554" s="390"/>
      <c r="Q554" s="390"/>
      <c r="R554" s="390"/>
      <c r="S554" s="390"/>
      <c r="T554" s="390"/>
      <c r="U554" s="390"/>
      <c r="V554" s="390"/>
      <c r="W554" s="390"/>
      <c r="X554" s="390"/>
      <c r="Y554" s="390"/>
    </row>
    <row r="555">
      <c r="A555" s="390" t="str">
        <f>IFERROR(__xludf.DUMMYFUNCTION("""COMPUTED_VALUE"""),"Samara Soares Fernandes ")</f>
        <v>Samara Soares Fernandes </v>
      </c>
      <c r="B555" s="390" t="str">
        <f>IFERROR(__xludf.DUMMYFUNCTION("""COMPUTED_VALUE"""),"2° Licenciatura")</f>
        <v>2° Licenciatura</v>
      </c>
      <c r="C555" s="390" t="str">
        <f>IFERROR(__xludf.DUMMYFUNCTION("""COMPUTED_VALUE"""),"Letras - Português e Espanhol")</f>
        <v>Letras - Português e Espanhol</v>
      </c>
      <c r="D555" s="390" t="str">
        <f>IFERROR(__xludf.DUMMYFUNCTION("""COMPUTED_VALUE"""),"Entregue pela Unicv")</f>
        <v>Entregue pela Unicv</v>
      </c>
      <c r="E555" s="390"/>
      <c r="F555" s="390"/>
      <c r="G555" s="390"/>
      <c r="H555" s="390"/>
      <c r="I555" s="390"/>
      <c r="J555" s="390"/>
      <c r="K555" s="390"/>
      <c r="L555" s="390"/>
      <c r="M555" s="390"/>
      <c r="N555" s="390"/>
      <c r="O555" s="390"/>
      <c r="P555" s="390"/>
      <c r="Q555" s="390"/>
      <c r="R555" s="390"/>
      <c r="S555" s="390"/>
      <c r="T555" s="390"/>
      <c r="U555" s="390"/>
      <c r="V555" s="390"/>
      <c r="W555" s="390"/>
      <c r="X555" s="390"/>
      <c r="Y555" s="390"/>
    </row>
    <row r="556">
      <c r="A556" s="390" t="str">
        <f>IFERROR(__xludf.DUMMYFUNCTION("""COMPUTED_VALUE"""),"Daniele Tauane Souza de Melo")</f>
        <v>Daniele Tauane Souza de Melo</v>
      </c>
      <c r="B556" s="390" t="str">
        <f>IFERROR(__xludf.DUMMYFUNCTION("""COMPUTED_VALUE"""),"2° Licenciatura")</f>
        <v>2° Licenciatura</v>
      </c>
      <c r="C556" s="390" t="str">
        <f>IFERROR(__xludf.DUMMYFUNCTION("""COMPUTED_VALUE"""),"Sociologia")</f>
        <v>Sociologia</v>
      </c>
      <c r="D556" s="390" t="str">
        <f>IFERROR(__xludf.DUMMYFUNCTION("""COMPUTED_VALUE"""),"Entregue em 28/05/2025 - Kinbox - Miguel")</f>
        <v>Entregue em 28/05/2025 - Kinbox - Miguel</v>
      </c>
      <c r="E556" s="390"/>
      <c r="F556" s="390"/>
      <c r="G556" s="390"/>
      <c r="H556" s="390"/>
      <c r="I556" s="390"/>
      <c r="J556" s="390"/>
      <c r="K556" s="390"/>
      <c r="L556" s="390"/>
      <c r="M556" s="390"/>
      <c r="N556" s="390"/>
      <c r="O556" s="390"/>
      <c r="P556" s="390"/>
      <c r="Q556" s="390"/>
      <c r="R556" s="390"/>
      <c r="S556" s="390"/>
      <c r="T556" s="390"/>
      <c r="U556" s="390"/>
      <c r="V556" s="390"/>
      <c r="W556" s="390"/>
      <c r="X556" s="390"/>
      <c r="Y556" s="390"/>
    </row>
    <row r="557">
      <c r="A557" s="390" t="str">
        <f>IFERROR(__xludf.DUMMYFUNCTION("""COMPUTED_VALUE"""),"Lidia Maria Borges da Silva")</f>
        <v>Lidia Maria Borges da Silva</v>
      </c>
      <c r="B557" s="390" t="str">
        <f>IFERROR(__xludf.DUMMYFUNCTION("""COMPUTED_VALUE"""),"2° Licenciatura")</f>
        <v>2° Licenciatura</v>
      </c>
      <c r="C557" s="390" t="str">
        <f>IFERROR(__xludf.DUMMYFUNCTION("""COMPUTED_VALUE"""),"Artes Visuais")</f>
        <v>Artes Visuais</v>
      </c>
      <c r="D557" s="390" t="str">
        <f>IFERROR(__xludf.DUMMYFUNCTION("""COMPUTED_VALUE"""),"Entregue em 28/05/2025 - Kinbox - Miguel")</f>
        <v>Entregue em 28/05/2025 - Kinbox - Miguel</v>
      </c>
      <c r="E557" s="390"/>
      <c r="F557" s="390"/>
      <c r="G557" s="390"/>
      <c r="H557" s="390"/>
      <c r="I557" s="390"/>
      <c r="J557" s="390"/>
      <c r="K557" s="390"/>
      <c r="L557" s="390"/>
      <c r="M557" s="390"/>
      <c r="N557" s="390"/>
      <c r="O557" s="390"/>
      <c r="P557" s="390"/>
      <c r="Q557" s="390"/>
      <c r="R557" s="390"/>
      <c r="S557" s="390"/>
      <c r="T557" s="390"/>
      <c r="U557" s="390"/>
      <c r="V557" s="390"/>
      <c r="W557" s="390"/>
      <c r="X557" s="390"/>
      <c r="Y557" s="390"/>
    </row>
    <row r="558">
      <c r="A558" s="390" t="str">
        <f>IFERROR(__xludf.DUMMYFUNCTION("""COMPUTED_VALUE"""),"Gabriel Ortiz Hübner")</f>
        <v>Gabriel Ortiz Hübner</v>
      </c>
      <c r="B558" s="390" t="str">
        <f>IFERROR(__xludf.DUMMYFUNCTION("""COMPUTED_VALUE"""),"Form. Pedagógica")</f>
        <v>Form. Pedagógica</v>
      </c>
      <c r="C558" s="390" t="str">
        <f>IFERROR(__xludf.DUMMYFUNCTION("""COMPUTED_VALUE"""),"Geografia")</f>
        <v>Geografia</v>
      </c>
      <c r="D558" s="390" t="str">
        <f>IFERROR(__xludf.DUMMYFUNCTION("""COMPUTED_VALUE"""),"Entregue em 28/05/2025 - Kinbox - Miguel")</f>
        <v>Entregue em 28/05/2025 - Kinbox - Miguel</v>
      </c>
      <c r="E558" s="390"/>
      <c r="F558" s="390"/>
      <c r="G558" s="390"/>
      <c r="H558" s="390"/>
      <c r="I558" s="390"/>
      <c r="J558" s="390"/>
      <c r="K558" s="390"/>
      <c r="L558" s="390"/>
      <c r="M558" s="390"/>
      <c r="N558" s="390"/>
      <c r="O558" s="390"/>
      <c r="P558" s="390"/>
      <c r="Q558" s="390"/>
      <c r="R558" s="390"/>
      <c r="S558" s="390"/>
      <c r="T558" s="390"/>
      <c r="U558" s="390"/>
      <c r="V558" s="390"/>
      <c r="W558" s="390"/>
      <c r="X558" s="390"/>
      <c r="Y558" s="390"/>
    </row>
    <row r="559">
      <c r="A559" s="390" t="str">
        <f>IFERROR(__xludf.DUMMYFUNCTION("""COMPUTED_VALUE"""),"Elizete Soares de Jesus Lima")</f>
        <v>Elizete Soares de Jesus Lima</v>
      </c>
      <c r="B559" s="390" t="str">
        <f>IFERROR(__xludf.DUMMYFUNCTION("""COMPUTED_VALUE"""),"2° Licenciatura")</f>
        <v>2° Licenciatura</v>
      </c>
      <c r="C559" s="390" t="str">
        <f>IFERROR(__xludf.DUMMYFUNCTION("""COMPUTED_VALUE"""),"Educação Física")</f>
        <v>Educação Física</v>
      </c>
      <c r="D559" s="390" t="str">
        <f>IFERROR(__xludf.DUMMYFUNCTION("""COMPUTED_VALUE"""),"Entregue em 28/05/2025 - Kinbox - Miguel")</f>
        <v>Entregue em 28/05/2025 - Kinbox - Miguel</v>
      </c>
      <c r="E559" s="390"/>
      <c r="F559" s="390"/>
      <c r="G559" s="390"/>
      <c r="H559" s="390"/>
      <c r="I559" s="390"/>
      <c r="J559" s="390"/>
      <c r="K559" s="390"/>
      <c r="L559" s="390"/>
      <c r="M559" s="390"/>
      <c r="N559" s="390"/>
      <c r="O559" s="390"/>
      <c r="P559" s="390"/>
      <c r="Q559" s="390"/>
      <c r="R559" s="390"/>
      <c r="S559" s="390"/>
      <c r="T559" s="390"/>
      <c r="U559" s="390"/>
      <c r="V559" s="390"/>
      <c r="W559" s="390"/>
      <c r="X559" s="390"/>
      <c r="Y559" s="390"/>
    </row>
    <row r="560">
      <c r="A560" s="390" t="str">
        <f>IFERROR(__xludf.DUMMYFUNCTION("""COMPUTED_VALUE"""),"Mônica Vieira Ramos Veloso")</f>
        <v>Mônica Vieira Ramos Veloso</v>
      </c>
      <c r="B560" s="390" t="str">
        <f>IFERROR(__xludf.DUMMYFUNCTION("""COMPUTED_VALUE"""),"2° Licenciatura")</f>
        <v>2° Licenciatura</v>
      </c>
      <c r="C560" s="390" t="str">
        <f>IFERROR(__xludf.DUMMYFUNCTION("""COMPUTED_VALUE"""),"Letras - Português e Inglês")</f>
        <v>Letras - Português e Inglês</v>
      </c>
      <c r="D560" s="390"/>
      <c r="E560" s="390"/>
      <c r="F560" s="390"/>
      <c r="G560" s="390"/>
      <c r="H560" s="390"/>
      <c r="I560" s="390"/>
      <c r="J560" s="390"/>
      <c r="K560" s="390"/>
      <c r="L560" s="390"/>
      <c r="M560" s="390"/>
      <c r="N560" s="390"/>
      <c r="O560" s="390"/>
      <c r="P560" s="390"/>
      <c r="Q560" s="390"/>
      <c r="R560" s="390"/>
      <c r="S560" s="390"/>
      <c r="T560" s="390"/>
      <c r="U560" s="390"/>
      <c r="V560" s="390"/>
      <c r="W560" s="390"/>
      <c r="X560" s="390"/>
      <c r="Y560" s="390"/>
    </row>
    <row r="561">
      <c r="A561" s="390" t="str">
        <f>IFERROR(__xludf.DUMMYFUNCTION("""COMPUTED_VALUE"""),"Valéria de Freitas")</f>
        <v>Valéria de Freitas</v>
      </c>
      <c r="B561" s="390" t="str">
        <f>IFERROR(__xludf.DUMMYFUNCTION("""COMPUTED_VALUE"""),"2° Licenciatura")</f>
        <v>2° Licenciatura</v>
      </c>
      <c r="C561" s="390" t="str">
        <f>IFERROR(__xludf.DUMMYFUNCTION("""COMPUTED_VALUE"""),"Artes Visuais")</f>
        <v>Artes Visuais</v>
      </c>
      <c r="D561" s="390" t="str">
        <f>IFERROR(__xludf.DUMMYFUNCTION("""COMPUTED_VALUE"""),"Entregue em 28/05/2025 - Kinbox - Miguel")</f>
        <v>Entregue em 28/05/2025 - Kinbox - Miguel</v>
      </c>
      <c r="E561" s="390"/>
      <c r="F561" s="390"/>
      <c r="G561" s="390"/>
      <c r="H561" s="390"/>
      <c r="I561" s="390"/>
      <c r="J561" s="390"/>
      <c r="K561" s="390"/>
      <c r="L561" s="390"/>
      <c r="M561" s="390"/>
      <c r="N561" s="390"/>
      <c r="O561" s="390"/>
      <c r="P561" s="390"/>
      <c r="Q561" s="390"/>
      <c r="R561" s="390"/>
      <c r="S561" s="390"/>
      <c r="T561" s="390"/>
      <c r="U561" s="390"/>
      <c r="V561" s="390"/>
      <c r="W561" s="390"/>
      <c r="X561" s="390"/>
      <c r="Y561" s="390"/>
    </row>
    <row r="562">
      <c r="A562" s="390" t="str">
        <f>IFERROR(__xludf.DUMMYFUNCTION("""COMPUTED_VALUE"""),"Gislaine Cristina da Silva Santos")</f>
        <v>Gislaine Cristina da Silva Santos</v>
      </c>
      <c r="B562" s="390" t="str">
        <f>IFERROR(__xludf.DUMMYFUNCTION("""COMPUTED_VALUE"""),"2° Licenciatura")</f>
        <v>2° Licenciatura</v>
      </c>
      <c r="C562" s="390" t="str">
        <f>IFERROR(__xludf.DUMMYFUNCTION("""COMPUTED_VALUE"""),"Educação Física")</f>
        <v>Educação Física</v>
      </c>
      <c r="D562" s="390" t="str">
        <f>IFERROR(__xludf.DUMMYFUNCTION("""COMPUTED_VALUE"""),"Entregue em 28/05/2025 - Kinbox - Miguel")</f>
        <v>Entregue em 28/05/2025 - Kinbox - Miguel</v>
      </c>
      <c r="E562" s="390"/>
      <c r="F562" s="390"/>
      <c r="G562" s="390"/>
      <c r="H562" s="390"/>
      <c r="I562" s="390"/>
      <c r="J562" s="390"/>
      <c r="K562" s="390"/>
      <c r="L562" s="390"/>
      <c r="M562" s="390"/>
      <c r="N562" s="390"/>
      <c r="O562" s="390"/>
      <c r="P562" s="390"/>
      <c r="Q562" s="390"/>
      <c r="R562" s="390"/>
      <c r="S562" s="390"/>
      <c r="T562" s="390"/>
      <c r="U562" s="390"/>
      <c r="V562" s="390"/>
      <c r="W562" s="390"/>
      <c r="X562" s="390"/>
      <c r="Y562" s="390"/>
    </row>
    <row r="563">
      <c r="A563" s="390" t="str">
        <f>IFERROR(__xludf.DUMMYFUNCTION("""COMPUTED_VALUE"""),"Rafaella Moreira de Lima")</f>
        <v>Rafaella Moreira de Lima</v>
      </c>
      <c r="B563" s="390" t="str">
        <f>IFERROR(__xludf.DUMMYFUNCTION("""COMPUTED_VALUE"""),"2° Licenciatura")</f>
        <v>2° Licenciatura</v>
      </c>
      <c r="C563" s="390" t="str">
        <f>IFERROR(__xludf.DUMMYFUNCTION("""COMPUTED_VALUE"""),"Geografia")</f>
        <v>Geografia</v>
      </c>
      <c r="D563" s="390" t="str">
        <f>IFERROR(__xludf.DUMMYFUNCTION("""COMPUTED_VALUE"""),"Entregue em 09/06/2025 - Kinbox - Miguel")</f>
        <v>Entregue em 09/06/2025 - Kinbox - Miguel</v>
      </c>
      <c r="E563" s="390"/>
      <c r="F563" s="390"/>
      <c r="G563" s="390"/>
      <c r="H563" s="390"/>
      <c r="I563" s="390"/>
      <c r="J563" s="390"/>
      <c r="K563" s="390"/>
      <c r="L563" s="390"/>
      <c r="M563" s="390"/>
      <c r="N563" s="390"/>
      <c r="O563" s="390"/>
      <c r="P563" s="390"/>
      <c r="Q563" s="390"/>
      <c r="R563" s="390"/>
      <c r="S563" s="390"/>
      <c r="T563" s="390"/>
      <c r="U563" s="390"/>
      <c r="V563" s="390"/>
      <c r="W563" s="390"/>
      <c r="X563" s="390"/>
      <c r="Y563" s="390"/>
    </row>
    <row r="564">
      <c r="A564" s="390" t="str">
        <f>IFERROR(__xludf.DUMMYFUNCTION("""COMPUTED_VALUE"""),"Paolo Fernando Gaspary Gassen")</f>
        <v>Paolo Fernando Gaspary Gassen</v>
      </c>
      <c r="B564" s="390" t="str">
        <f>IFERROR(__xludf.DUMMYFUNCTION("""COMPUTED_VALUE"""),"2° Licenciatura")</f>
        <v>2° Licenciatura</v>
      </c>
      <c r="C564" s="390" t="str">
        <f>IFERROR(__xludf.DUMMYFUNCTION("""COMPUTED_VALUE"""),"História")</f>
        <v>História</v>
      </c>
      <c r="D564" s="390" t="str">
        <f>IFERROR(__xludf.DUMMYFUNCTION("""COMPUTED_VALUE"""),"Entregue em 28/05/2025 - Kinbox - Miguel")</f>
        <v>Entregue em 28/05/2025 - Kinbox - Miguel</v>
      </c>
      <c r="E564" s="390"/>
      <c r="F564" s="390"/>
      <c r="G564" s="390"/>
      <c r="H564" s="390"/>
      <c r="I564" s="390"/>
      <c r="J564" s="390"/>
      <c r="K564" s="390"/>
      <c r="L564" s="390"/>
      <c r="M564" s="390"/>
      <c r="N564" s="390"/>
      <c r="O564" s="390"/>
      <c r="P564" s="390"/>
      <c r="Q564" s="390"/>
      <c r="R564" s="390"/>
      <c r="S564" s="390"/>
      <c r="T564" s="390"/>
      <c r="U564" s="390"/>
      <c r="V564" s="390"/>
      <c r="W564" s="390"/>
      <c r="X564" s="390"/>
      <c r="Y564" s="390"/>
    </row>
    <row r="565">
      <c r="A565" s="390" t="str">
        <f>IFERROR(__xludf.DUMMYFUNCTION("""COMPUTED_VALUE"""),"Luiz José Mesquita Fratini")</f>
        <v>Luiz José Mesquita Fratini</v>
      </c>
      <c r="B565" s="390" t="str">
        <f>IFERROR(__xludf.DUMMYFUNCTION("""COMPUTED_VALUE"""),"2° Licenciatura")</f>
        <v>2° Licenciatura</v>
      </c>
      <c r="C565" s="390" t="str">
        <f>IFERROR(__xludf.DUMMYFUNCTION("""COMPUTED_VALUE"""),"Geografia")</f>
        <v>Geografia</v>
      </c>
      <c r="D565" s="390" t="str">
        <f>IFERROR(__xludf.DUMMYFUNCTION("""COMPUTED_VALUE"""),"Entregue em 28/05/2025 - Kinbox - Miguel")</f>
        <v>Entregue em 28/05/2025 - Kinbox - Miguel</v>
      </c>
      <c r="E565" s="390"/>
      <c r="F565" s="390"/>
      <c r="G565" s="390"/>
      <c r="H565" s="390"/>
      <c r="I565" s="390"/>
      <c r="J565" s="390"/>
      <c r="K565" s="390"/>
      <c r="L565" s="390"/>
      <c r="M565" s="390"/>
      <c r="N565" s="390"/>
      <c r="O565" s="390"/>
      <c r="P565" s="390"/>
      <c r="Q565" s="390"/>
      <c r="R565" s="390"/>
      <c r="S565" s="390"/>
      <c r="T565" s="390"/>
      <c r="U565" s="390"/>
      <c r="V565" s="390"/>
      <c r="W565" s="390"/>
      <c r="X565" s="390"/>
      <c r="Y565" s="390"/>
    </row>
    <row r="566">
      <c r="A566" s="390" t="str">
        <f>IFERROR(__xludf.DUMMYFUNCTION("""COMPUTED_VALUE"""),"Kaina Weiber Waisbek")</f>
        <v>Kaina Weiber Waisbek</v>
      </c>
      <c r="B566" s="390" t="str">
        <f>IFERROR(__xludf.DUMMYFUNCTION("""COMPUTED_VALUE"""),"2° Licenciatura")</f>
        <v>2° Licenciatura</v>
      </c>
      <c r="C566" s="390" t="str">
        <f>IFERROR(__xludf.DUMMYFUNCTION("""COMPUTED_VALUE"""),"Artes Visuais")</f>
        <v>Artes Visuais</v>
      </c>
      <c r="D566" s="390" t="str">
        <f>IFERROR(__xludf.DUMMYFUNCTION("""COMPUTED_VALUE"""),"Entregue em 28/05/2025 - Kinbox - Miguel")</f>
        <v>Entregue em 28/05/2025 - Kinbox - Miguel</v>
      </c>
      <c r="E566" s="390"/>
      <c r="F566" s="390"/>
      <c r="G566" s="390"/>
      <c r="H566" s="390"/>
      <c r="I566" s="390"/>
      <c r="J566" s="390"/>
      <c r="K566" s="390"/>
      <c r="L566" s="390"/>
      <c r="M566" s="390"/>
      <c r="N566" s="390"/>
      <c r="O566" s="390"/>
      <c r="P566" s="390"/>
      <c r="Q566" s="390"/>
      <c r="R566" s="390"/>
      <c r="S566" s="390"/>
      <c r="T566" s="390"/>
      <c r="U566" s="390"/>
      <c r="V566" s="390"/>
      <c r="W566" s="390"/>
      <c r="X566" s="390"/>
      <c r="Y566" s="390"/>
    </row>
    <row r="567">
      <c r="A567" s="390" t="str">
        <f>IFERROR(__xludf.DUMMYFUNCTION("""COMPUTED_VALUE"""),"Jocival Oliveira Melo")</f>
        <v>Jocival Oliveira Melo</v>
      </c>
      <c r="B567" s="390" t="str">
        <f>IFERROR(__xludf.DUMMYFUNCTION("""COMPUTED_VALUE"""),"2° Licenciatura")</f>
        <v>2° Licenciatura</v>
      </c>
      <c r="C567" s="390" t="str">
        <f>IFERROR(__xludf.DUMMYFUNCTION("""COMPUTED_VALUE"""),"História")</f>
        <v>História</v>
      </c>
      <c r="D567" s="390"/>
      <c r="E567" s="390"/>
      <c r="F567" s="390"/>
      <c r="G567" s="390"/>
      <c r="H567" s="390"/>
      <c r="I567" s="390"/>
      <c r="J567" s="390"/>
      <c r="K567" s="390"/>
      <c r="L567" s="390"/>
      <c r="M567" s="390"/>
      <c r="N567" s="390"/>
      <c r="O567" s="390"/>
      <c r="P567" s="390"/>
      <c r="Q567" s="390"/>
      <c r="R567" s="390"/>
      <c r="S567" s="390"/>
      <c r="T567" s="390"/>
      <c r="U567" s="390"/>
      <c r="V567" s="390"/>
      <c r="W567" s="390"/>
      <c r="X567" s="390"/>
      <c r="Y567" s="390"/>
    </row>
    <row r="568">
      <c r="A568" s="390" t="str">
        <f>IFERROR(__xludf.DUMMYFUNCTION("""COMPUTED_VALUE"""),"Tiago Silvio Dedoné")</f>
        <v>Tiago Silvio Dedoné</v>
      </c>
      <c r="B568" s="390" t="str">
        <f>IFERROR(__xludf.DUMMYFUNCTION("""COMPUTED_VALUE"""),"2° Licenciatura")</f>
        <v>2° Licenciatura</v>
      </c>
      <c r="C568" s="390" t="str">
        <f>IFERROR(__xludf.DUMMYFUNCTION("""COMPUTED_VALUE"""),"História")</f>
        <v>História</v>
      </c>
      <c r="D568" s="390" t="str">
        <f>IFERROR(__xludf.DUMMYFUNCTION("""COMPUTED_VALUE"""),"Entregue em 26/05/2025 - Kinbox - Miguel")</f>
        <v>Entregue em 26/05/2025 - Kinbox - Miguel</v>
      </c>
      <c r="E568" s="390"/>
      <c r="F568" s="390"/>
      <c r="G568" s="390"/>
      <c r="H568" s="390"/>
      <c r="I568" s="390"/>
      <c r="J568" s="390"/>
      <c r="K568" s="390"/>
      <c r="L568" s="390"/>
      <c r="M568" s="390"/>
      <c r="N568" s="390"/>
      <c r="O568" s="390"/>
      <c r="P568" s="390"/>
      <c r="Q568" s="390"/>
      <c r="R568" s="390"/>
      <c r="S568" s="390"/>
      <c r="T568" s="390"/>
      <c r="U568" s="390"/>
      <c r="V568" s="390"/>
      <c r="W568" s="390"/>
      <c r="X568" s="390"/>
      <c r="Y568" s="390"/>
    </row>
    <row r="569">
      <c r="A569" s="390" t="str">
        <f>IFERROR(__xludf.DUMMYFUNCTION("""COMPUTED_VALUE"""),"Tiago Silvio Dedoné")</f>
        <v>Tiago Silvio Dedoné</v>
      </c>
      <c r="B569" s="390" t="str">
        <f>IFERROR(__xludf.DUMMYFUNCTION("""COMPUTED_VALUE"""),"2° Licenciatura")</f>
        <v>2° Licenciatura</v>
      </c>
      <c r="C569" s="390" t="str">
        <f>IFERROR(__xludf.DUMMYFUNCTION("""COMPUTED_VALUE"""),"Geografia")</f>
        <v>Geografia</v>
      </c>
      <c r="D569" s="390" t="str">
        <f>IFERROR(__xludf.DUMMYFUNCTION("""COMPUTED_VALUE"""),"Entregue em 26/05/2025 - Kinbox - Miguel")</f>
        <v>Entregue em 26/05/2025 - Kinbox - Miguel</v>
      </c>
      <c r="E569" s="390"/>
      <c r="F569" s="390"/>
      <c r="G569" s="390"/>
      <c r="H569" s="390"/>
      <c r="I569" s="390"/>
      <c r="J569" s="390"/>
      <c r="K569" s="390"/>
      <c r="L569" s="390"/>
      <c r="M569" s="390"/>
      <c r="N569" s="390"/>
      <c r="O569" s="390"/>
      <c r="P569" s="390"/>
      <c r="Q569" s="390"/>
      <c r="R569" s="390"/>
      <c r="S569" s="390"/>
      <c r="T569" s="390"/>
      <c r="U569" s="390"/>
      <c r="V569" s="390"/>
      <c r="W569" s="390"/>
      <c r="X569" s="390"/>
      <c r="Y569" s="390"/>
    </row>
    <row r="570">
      <c r="A570" s="390" t="str">
        <f>IFERROR(__xludf.DUMMYFUNCTION("""COMPUTED_VALUE"""),"Kauana Alves Oliveira")</f>
        <v>Kauana Alves Oliveira</v>
      </c>
      <c r="B570" s="390" t="str">
        <f>IFERROR(__xludf.DUMMYFUNCTION("""COMPUTED_VALUE"""),"2° Licenciatura")</f>
        <v>2° Licenciatura</v>
      </c>
      <c r="C570" s="390" t="str">
        <f>IFERROR(__xludf.DUMMYFUNCTION("""COMPUTED_VALUE"""),"Artes Visuais ")</f>
        <v>Artes Visuais </v>
      </c>
      <c r="D570" s="390" t="str">
        <f>IFERROR(__xludf.DUMMYFUNCTION("""COMPUTED_VALUE"""),"Entregue em 28/05/2025 - Kinbox - Miguel")</f>
        <v>Entregue em 28/05/2025 - Kinbox - Miguel</v>
      </c>
      <c r="E570" s="390"/>
      <c r="F570" s="390"/>
      <c r="G570" s="390"/>
      <c r="H570" s="390"/>
      <c r="I570" s="390"/>
      <c r="J570" s="390"/>
      <c r="K570" s="390"/>
      <c r="L570" s="390"/>
      <c r="M570" s="390"/>
      <c r="N570" s="390"/>
      <c r="O570" s="390"/>
      <c r="P570" s="390"/>
      <c r="Q570" s="390"/>
      <c r="R570" s="390"/>
      <c r="S570" s="390"/>
      <c r="T570" s="390"/>
      <c r="U570" s="390"/>
      <c r="V570" s="390"/>
      <c r="W570" s="390"/>
      <c r="X570" s="390"/>
      <c r="Y570" s="390"/>
    </row>
    <row r="571">
      <c r="A571" s="390" t="str">
        <f>IFERROR(__xludf.DUMMYFUNCTION("""COMPUTED_VALUE"""),"Paulo Henrique Teixeira ")</f>
        <v>Paulo Henrique Teixeira </v>
      </c>
      <c r="B571" s="390" t="str">
        <f>IFERROR(__xludf.DUMMYFUNCTION("""COMPUTED_VALUE"""),"2° Licenciatura")</f>
        <v>2° Licenciatura</v>
      </c>
      <c r="C571" s="390" t="str">
        <f>IFERROR(__xludf.DUMMYFUNCTION("""COMPUTED_VALUE"""),"Geografia")</f>
        <v>Geografia</v>
      </c>
      <c r="D571" s="390" t="str">
        <f>IFERROR(__xludf.DUMMYFUNCTION("""COMPUTED_VALUE"""),"Entregue em 27/05/2025 - Kinbox - Miguel")</f>
        <v>Entregue em 27/05/2025 - Kinbox - Miguel</v>
      </c>
      <c r="E571" s="390"/>
      <c r="F571" s="390"/>
      <c r="G571" s="390"/>
      <c r="H571" s="390"/>
      <c r="I571" s="390"/>
      <c r="J571" s="390"/>
      <c r="K571" s="390"/>
      <c r="L571" s="390"/>
      <c r="M571" s="390"/>
      <c r="N571" s="390"/>
      <c r="O571" s="390"/>
      <c r="P571" s="390"/>
      <c r="Q571" s="390"/>
      <c r="R571" s="390"/>
      <c r="S571" s="390"/>
      <c r="T571" s="390"/>
      <c r="U571" s="390"/>
      <c r="V571" s="390"/>
      <c r="W571" s="390"/>
      <c r="X571" s="390"/>
      <c r="Y571" s="390"/>
    </row>
    <row r="572">
      <c r="A572" s="390" t="str">
        <f>IFERROR(__xludf.DUMMYFUNCTION("""COMPUTED_VALUE"""),"Maria Gloridaiane de Oliveira Teles ")</f>
        <v>Maria Gloridaiane de Oliveira Teles </v>
      </c>
      <c r="B572" s="390" t="str">
        <f>IFERROR(__xludf.DUMMYFUNCTION("""COMPUTED_VALUE"""),"2° Licenciatura")</f>
        <v>2° Licenciatura</v>
      </c>
      <c r="C572" s="390" t="str">
        <f>IFERROR(__xludf.DUMMYFUNCTION("""COMPUTED_VALUE"""),"Artes Visuais ")</f>
        <v>Artes Visuais </v>
      </c>
      <c r="D572" s="390"/>
      <c r="E572" s="390"/>
      <c r="F572" s="390"/>
      <c r="G572" s="390"/>
      <c r="H572" s="390"/>
      <c r="I572" s="390"/>
      <c r="J572" s="390"/>
      <c r="K572" s="390"/>
      <c r="L572" s="390"/>
      <c r="M572" s="390"/>
      <c r="N572" s="390"/>
      <c r="O572" s="390"/>
      <c r="P572" s="390"/>
      <c r="Q572" s="390"/>
      <c r="R572" s="390"/>
      <c r="S572" s="390"/>
      <c r="T572" s="390"/>
      <c r="U572" s="390"/>
      <c r="V572" s="390"/>
      <c r="W572" s="390"/>
      <c r="X572" s="390"/>
      <c r="Y572" s="390"/>
    </row>
    <row r="573">
      <c r="A573" s="390" t="str">
        <f>IFERROR(__xludf.DUMMYFUNCTION("""COMPUTED_VALUE"""),"Luiz Alberto Leite da Silva")</f>
        <v>Luiz Alberto Leite da Silva</v>
      </c>
      <c r="B573" s="390" t="str">
        <f>IFERROR(__xludf.DUMMYFUNCTION("""COMPUTED_VALUE"""),"2° Licenciatura")</f>
        <v>2° Licenciatura</v>
      </c>
      <c r="C573" s="390" t="str">
        <f>IFERROR(__xludf.DUMMYFUNCTION("""COMPUTED_VALUE"""),"Ciências da Religião")</f>
        <v>Ciências da Religião</v>
      </c>
      <c r="D573" s="390" t="str">
        <f>IFERROR(__xludf.DUMMYFUNCTION("""COMPUTED_VALUE"""),"Entregue em 29/05/2025 - Kinbox - Miguel")</f>
        <v>Entregue em 29/05/2025 - Kinbox - Miguel</v>
      </c>
      <c r="E573" s="390"/>
      <c r="F573" s="390"/>
      <c r="G573" s="390"/>
      <c r="H573" s="390"/>
      <c r="I573" s="390"/>
      <c r="J573" s="390"/>
      <c r="K573" s="390"/>
      <c r="L573" s="390"/>
      <c r="M573" s="390"/>
      <c r="N573" s="390"/>
      <c r="O573" s="390"/>
      <c r="P573" s="390"/>
      <c r="Q573" s="390"/>
      <c r="R573" s="390"/>
      <c r="S573" s="390"/>
      <c r="T573" s="390"/>
      <c r="U573" s="390"/>
      <c r="V573" s="390"/>
      <c r="W573" s="390"/>
      <c r="X573" s="390"/>
      <c r="Y573" s="390"/>
    </row>
    <row r="574">
      <c r="A574" s="390" t="str">
        <f>IFERROR(__xludf.DUMMYFUNCTION("""COMPUTED_VALUE"""),"Fabiane Jevinski ")</f>
        <v>Fabiane Jevinski </v>
      </c>
      <c r="B574" s="390" t="str">
        <f>IFERROR(__xludf.DUMMYFUNCTION("""COMPUTED_VALUE"""),"2° Licenciatura")</f>
        <v>2° Licenciatura</v>
      </c>
      <c r="C574" s="390" t="str">
        <f>IFERROR(__xludf.DUMMYFUNCTION("""COMPUTED_VALUE"""),"Letras - Português e Inglês")</f>
        <v>Letras - Português e Inglês</v>
      </c>
      <c r="D574" s="390" t="str">
        <f>IFERROR(__xludf.DUMMYFUNCTION("""COMPUTED_VALUE"""),"Entregue em 29/05/2025 - Kinbox - Miguel")</f>
        <v>Entregue em 29/05/2025 - Kinbox - Miguel</v>
      </c>
      <c r="E574" s="390"/>
      <c r="F574" s="390"/>
      <c r="G574" s="390"/>
      <c r="H574" s="390"/>
      <c r="I574" s="390"/>
      <c r="J574" s="390"/>
      <c r="K574" s="390"/>
      <c r="L574" s="390"/>
      <c r="M574" s="390"/>
      <c r="N574" s="390"/>
      <c r="O574" s="390"/>
      <c r="P574" s="390"/>
      <c r="Q574" s="390"/>
      <c r="R574" s="390"/>
      <c r="S574" s="390"/>
      <c r="T574" s="390"/>
      <c r="U574" s="390"/>
      <c r="V574" s="390"/>
      <c r="W574" s="390"/>
      <c r="X574" s="390"/>
      <c r="Y574" s="390"/>
    </row>
    <row r="575">
      <c r="A575" s="390" t="str">
        <f>IFERROR(__xludf.DUMMYFUNCTION("""COMPUTED_VALUE"""),"Daniela Aparecida de Oliveira")</f>
        <v>Daniela Aparecida de Oliveira</v>
      </c>
      <c r="B575" s="390" t="str">
        <f>IFERROR(__xludf.DUMMYFUNCTION("""COMPUTED_VALUE"""),"2° Licenciatura")</f>
        <v>2° Licenciatura</v>
      </c>
      <c r="C575" s="390" t="str">
        <f>IFERROR(__xludf.DUMMYFUNCTION("""COMPUTED_VALUE"""),"Letras - Português e Espanhol")</f>
        <v>Letras - Português e Espanhol</v>
      </c>
      <c r="D575" s="390" t="str">
        <f>IFERROR(__xludf.DUMMYFUNCTION("""COMPUTED_VALUE"""),"Entregue em 23/05/2025 - Kinbox - Miguel")</f>
        <v>Entregue em 23/05/2025 - Kinbox - Miguel</v>
      </c>
      <c r="E575" s="390"/>
      <c r="F575" s="390"/>
      <c r="G575" s="390"/>
      <c r="H575" s="390"/>
      <c r="I575" s="390"/>
      <c r="J575" s="390"/>
      <c r="K575" s="390"/>
      <c r="L575" s="390"/>
      <c r="M575" s="390"/>
      <c r="N575" s="390"/>
      <c r="O575" s="390"/>
      <c r="P575" s="390"/>
      <c r="Q575" s="390"/>
      <c r="R575" s="390"/>
      <c r="S575" s="390"/>
      <c r="T575" s="390"/>
      <c r="U575" s="390"/>
      <c r="V575" s="390"/>
      <c r="W575" s="390"/>
      <c r="X575" s="390"/>
      <c r="Y575" s="390"/>
    </row>
    <row r="576">
      <c r="A576" s="390" t="str">
        <f>IFERROR(__xludf.DUMMYFUNCTION("""COMPUTED_VALUE"""),"Jovanil da Silva Campos")</f>
        <v>Jovanil da Silva Campos</v>
      </c>
      <c r="B576" s="390" t="str">
        <f>IFERROR(__xludf.DUMMYFUNCTION("""COMPUTED_VALUE"""),"2° Licenciatura")</f>
        <v>2° Licenciatura</v>
      </c>
      <c r="C576" s="390" t="str">
        <f>IFERROR(__xludf.DUMMYFUNCTION("""COMPUTED_VALUE"""),"Letras - Português e Espanhol")</f>
        <v>Letras - Português e Espanhol</v>
      </c>
      <c r="D576" s="390" t="str">
        <f>IFERROR(__xludf.DUMMYFUNCTION("""COMPUTED_VALUE"""),"Entregue em 29/05/2025 - Kinbox - Miguel")</f>
        <v>Entregue em 29/05/2025 - Kinbox - Miguel</v>
      </c>
      <c r="E576" s="390"/>
      <c r="F576" s="390"/>
      <c r="G576" s="390"/>
      <c r="H576" s="390"/>
      <c r="I576" s="390"/>
      <c r="J576" s="390"/>
      <c r="K576" s="390"/>
      <c r="L576" s="390"/>
      <c r="M576" s="390"/>
      <c r="N576" s="390"/>
      <c r="O576" s="390"/>
      <c r="P576" s="390"/>
      <c r="Q576" s="390"/>
      <c r="R576" s="390"/>
      <c r="S576" s="390"/>
      <c r="T576" s="390"/>
      <c r="U576" s="390"/>
      <c r="V576" s="390"/>
      <c r="W576" s="390"/>
      <c r="X576" s="390"/>
      <c r="Y576" s="390"/>
    </row>
    <row r="577">
      <c r="A577" s="390" t="str">
        <f>IFERROR(__xludf.DUMMYFUNCTION("""COMPUTED_VALUE"""),"Monique Ribeiro dos Santos")</f>
        <v>Monique Ribeiro dos Santos</v>
      </c>
      <c r="B577" s="390" t="str">
        <f>IFERROR(__xludf.DUMMYFUNCTION("""COMPUTED_VALUE"""),"2° Licenciatura")</f>
        <v>2° Licenciatura</v>
      </c>
      <c r="C577" s="390" t="str">
        <f>IFERROR(__xludf.DUMMYFUNCTION("""COMPUTED_VALUE"""),"Letras - Português e Inglês")</f>
        <v>Letras - Português e Inglês</v>
      </c>
      <c r="D577" s="390" t="str">
        <f>IFERROR(__xludf.DUMMYFUNCTION("""COMPUTED_VALUE"""),"Entregue em 29/05/2025 - Kinbox - Miguel")</f>
        <v>Entregue em 29/05/2025 - Kinbox - Miguel</v>
      </c>
      <c r="E577" s="390"/>
      <c r="F577" s="390"/>
      <c r="G577" s="390"/>
      <c r="H577" s="390"/>
      <c r="I577" s="390"/>
      <c r="J577" s="390"/>
      <c r="K577" s="390"/>
      <c r="L577" s="390"/>
      <c r="M577" s="390"/>
      <c r="N577" s="390"/>
      <c r="O577" s="390"/>
      <c r="P577" s="390"/>
      <c r="Q577" s="390"/>
      <c r="R577" s="390"/>
      <c r="S577" s="390"/>
      <c r="T577" s="390"/>
      <c r="U577" s="390"/>
      <c r="V577" s="390"/>
      <c r="W577" s="390"/>
      <c r="X577" s="390"/>
      <c r="Y577" s="390"/>
    </row>
    <row r="578">
      <c r="A578" s="390" t="str">
        <f>IFERROR(__xludf.DUMMYFUNCTION("""COMPUTED_VALUE"""),"Claudio Emir Bergmann")</f>
        <v>Claudio Emir Bergmann</v>
      </c>
      <c r="B578" s="390" t="str">
        <f>IFERROR(__xludf.DUMMYFUNCTION("""COMPUTED_VALUE"""),"2° Licenciatura")</f>
        <v>2° Licenciatura</v>
      </c>
      <c r="C578" s="390" t="str">
        <f>IFERROR(__xludf.DUMMYFUNCTION("""COMPUTED_VALUE"""),"Geografia")</f>
        <v>Geografia</v>
      </c>
      <c r="D578" s="390" t="str">
        <f>IFERROR(__xludf.DUMMYFUNCTION("""COMPUTED_VALUE"""),"Entregue em 22/05/2025 - Kinbox - Carla")</f>
        <v>Entregue em 22/05/2025 - Kinbox - Carla</v>
      </c>
      <c r="E578" s="390"/>
      <c r="F578" s="390"/>
      <c r="G578" s="390"/>
      <c r="H578" s="390"/>
      <c r="I578" s="390"/>
      <c r="J578" s="390"/>
      <c r="K578" s="390"/>
      <c r="L578" s="390"/>
      <c r="M578" s="390"/>
      <c r="N578" s="390"/>
      <c r="O578" s="390"/>
      <c r="P578" s="390"/>
      <c r="Q578" s="390"/>
      <c r="R578" s="390"/>
      <c r="S578" s="390"/>
      <c r="T578" s="390"/>
      <c r="U578" s="390"/>
      <c r="V578" s="390"/>
      <c r="W578" s="390"/>
      <c r="X578" s="390"/>
      <c r="Y578" s="390"/>
    </row>
    <row r="579">
      <c r="A579" s="390" t="str">
        <f>IFERROR(__xludf.DUMMYFUNCTION("""COMPUTED_VALUE"""),"Adilson Nei Menezes da Conceição")</f>
        <v>Adilson Nei Menezes da Conceição</v>
      </c>
      <c r="B579" s="390" t="str">
        <f>IFERROR(__xludf.DUMMYFUNCTION("""COMPUTED_VALUE"""),"Form. Pedagógica")</f>
        <v>Form. Pedagógica</v>
      </c>
      <c r="C579" s="390" t="str">
        <f>IFERROR(__xludf.DUMMYFUNCTION("""COMPUTED_VALUE"""),"Geografia")</f>
        <v>Geografia</v>
      </c>
      <c r="D579" s="390" t="str">
        <f>IFERROR(__xludf.DUMMYFUNCTION("""COMPUTED_VALUE"""),"Entregue em 23/05/2025 - Kinbox - Miguel")</f>
        <v>Entregue em 23/05/2025 - Kinbox - Miguel</v>
      </c>
      <c r="E579" s="390"/>
      <c r="F579" s="390"/>
      <c r="G579" s="390"/>
      <c r="H579" s="390"/>
      <c r="I579" s="390"/>
      <c r="J579" s="390"/>
      <c r="K579" s="390"/>
      <c r="L579" s="390"/>
      <c r="M579" s="390"/>
      <c r="N579" s="390"/>
      <c r="O579" s="390"/>
      <c r="P579" s="390"/>
      <c r="Q579" s="390"/>
      <c r="R579" s="390"/>
      <c r="S579" s="390"/>
      <c r="T579" s="390"/>
      <c r="U579" s="390"/>
      <c r="V579" s="390"/>
      <c r="W579" s="390"/>
      <c r="X579" s="390"/>
      <c r="Y579" s="390"/>
    </row>
    <row r="580">
      <c r="A580" s="390" t="str">
        <f>IFERROR(__xludf.DUMMYFUNCTION("""COMPUTED_VALUE"""),"Priscila Almeida da Cruz Brito  ")</f>
        <v>Priscila Almeida da Cruz Brito  </v>
      </c>
      <c r="B580" s="390" t="str">
        <f>IFERROR(__xludf.DUMMYFUNCTION("""COMPUTED_VALUE"""),"2° Licenciatura")</f>
        <v>2° Licenciatura</v>
      </c>
      <c r="C580" s="390" t="str">
        <f>IFERROR(__xludf.DUMMYFUNCTION("""COMPUTED_VALUE"""),"Letras - Português e Inglês")</f>
        <v>Letras - Português e Inglês</v>
      </c>
      <c r="D580" s="390" t="str">
        <f>IFERROR(__xludf.DUMMYFUNCTION("""COMPUTED_VALUE"""),"Entregue em 16/06/2025 - Kinbox - Miguel")</f>
        <v>Entregue em 16/06/2025 - Kinbox - Miguel</v>
      </c>
      <c r="E580" s="390"/>
      <c r="F580" s="390"/>
      <c r="G580" s="390"/>
      <c r="H580" s="390"/>
      <c r="I580" s="390"/>
      <c r="J580" s="390"/>
      <c r="K580" s="390"/>
      <c r="L580" s="390"/>
      <c r="M580" s="390"/>
      <c r="N580" s="390"/>
      <c r="O580" s="390"/>
      <c r="P580" s="390"/>
      <c r="Q580" s="390"/>
      <c r="R580" s="390"/>
      <c r="S580" s="390"/>
      <c r="T580" s="390"/>
      <c r="U580" s="390"/>
      <c r="V580" s="390"/>
      <c r="W580" s="390"/>
      <c r="X580" s="390"/>
      <c r="Y580" s="390"/>
    </row>
    <row r="581">
      <c r="A581" s="390" t="str">
        <f>IFERROR(__xludf.DUMMYFUNCTION("""COMPUTED_VALUE"""),"Lilian Graciela Moreira")</f>
        <v>Lilian Graciela Moreira</v>
      </c>
      <c r="B581" s="390" t="str">
        <f>IFERROR(__xludf.DUMMYFUNCTION("""COMPUTED_VALUE"""),"2° Licenciatura")</f>
        <v>2° Licenciatura</v>
      </c>
      <c r="C581" s="390" t="str">
        <f>IFERROR(__xludf.DUMMYFUNCTION("""COMPUTED_VALUE"""),"Educação Física")</f>
        <v>Educação Física</v>
      </c>
      <c r="D581" s="390" t="str">
        <f>IFERROR(__xludf.DUMMYFUNCTION("""COMPUTED_VALUE"""),"Entregue em 04/06/2025 - Kinbox - Miguel")</f>
        <v>Entregue em 04/06/2025 - Kinbox - Miguel</v>
      </c>
      <c r="E581" s="390"/>
      <c r="F581" s="390"/>
      <c r="G581" s="390"/>
      <c r="H581" s="390"/>
      <c r="I581" s="390"/>
      <c r="J581" s="390"/>
      <c r="K581" s="390"/>
      <c r="L581" s="390"/>
      <c r="M581" s="390"/>
      <c r="N581" s="390"/>
      <c r="O581" s="390"/>
      <c r="P581" s="390"/>
      <c r="Q581" s="390"/>
      <c r="R581" s="390"/>
      <c r="S581" s="390"/>
      <c r="T581" s="390"/>
      <c r="U581" s="390"/>
      <c r="V581" s="390"/>
      <c r="W581" s="390"/>
      <c r="X581" s="390"/>
      <c r="Y581" s="390"/>
    </row>
    <row r="582">
      <c r="A582" s="390" t="str">
        <f>IFERROR(__xludf.DUMMYFUNCTION("""COMPUTED_VALUE"""),"Viviane Santos Natal Silva")</f>
        <v>Viviane Santos Natal Silva</v>
      </c>
      <c r="B582" s="390" t="str">
        <f>IFERROR(__xludf.DUMMYFUNCTION("""COMPUTED_VALUE"""),"Form. Pedagógica")</f>
        <v>Form. Pedagógica</v>
      </c>
      <c r="C582" s="390" t="str">
        <f>IFERROR(__xludf.DUMMYFUNCTION("""COMPUTED_VALUE"""),"Educação Especial")</f>
        <v>Educação Especial</v>
      </c>
      <c r="D582" s="390" t="str">
        <f>IFERROR(__xludf.DUMMYFUNCTION("""COMPUTED_VALUE"""),"Recebeu o diploma pela UNICV - 23/05/2025")</f>
        <v>Recebeu o diploma pela UNICV - 23/05/2025</v>
      </c>
      <c r="E582" s="390"/>
      <c r="F582" s="390"/>
      <c r="G582" s="390"/>
      <c r="H582" s="390"/>
      <c r="I582" s="390"/>
      <c r="J582" s="390"/>
      <c r="K582" s="390"/>
      <c r="L582" s="390"/>
      <c r="M582" s="390"/>
      <c r="N582" s="390"/>
      <c r="O582" s="390"/>
      <c r="P582" s="390"/>
      <c r="Q582" s="390"/>
      <c r="R582" s="390"/>
      <c r="S582" s="390"/>
      <c r="T582" s="390"/>
      <c r="U582" s="390"/>
      <c r="V582" s="390"/>
      <c r="W582" s="390"/>
      <c r="X582" s="390"/>
      <c r="Y582" s="390"/>
    </row>
    <row r="583">
      <c r="A583" s="390" t="str">
        <f>IFERROR(__xludf.DUMMYFUNCTION("""COMPUTED_VALUE"""),"Alexandre Lima da Silva")</f>
        <v>Alexandre Lima da Silva</v>
      </c>
      <c r="B583" s="390" t="str">
        <f>IFERROR(__xludf.DUMMYFUNCTION("""COMPUTED_VALUE"""),"2° Licenciatura")</f>
        <v>2° Licenciatura</v>
      </c>
      <c r="C583" s="390" t="str">
        <f>IFERROR(__xludf.DUMMYFUNCTION("""COMPUTED_VALUE"""),"Educação Física")</f>
        <v>Educação Física</v>
      </c>
      <c r="D583" s="390" t="str">
        <f>IFERROR(__xludf.DUMMYFUNCTION("""COMPUTED_VALUE"""),"Entregue em 09/06/2025 - Kinbox - Miguel")</f>
        <v>Entregue em 09/06/2025 - Kinbox - Miguel</v>
      </c>
      <c r="E583" s="390"/>
      <c r="F583" s="390"/>
      <c r="G583" s="390"/>
      <c r="H583" s="390"/>
      <c r="I583" s="390"/>
      <c r="J583" s="390"/>
      <c r="K583" s="390"/>
      <c r="L583" s="390"/>
      <c r="M583" s="390"/>
      <c r="N583" s="390"/>
      <c r="O583" s="390"/>
      <c r="P583" s="390"/>
      <c r="Q583" s="390"/>
      <c r="R583" s="390"/>
      <c r="S583" s="390"/>
      <c r="T583" s="390"/>
      <c r="U583" s="390"/>
      <c r="V583" s="390"/>
      <c r="W583" s="390"/>
      <c r="X583" s="390"/>
      <c r="Y583" s="390"/>
    </row>
    <row r="584">
      <c r="A584" s="390" t="str">
        <f>IFERROR(__xludf.DUMMYFUNCTION("""COMPUTED_VALUE"""),"Pedro Batista de Andrade")</f>
        <v>Pedro Batista de Andrade</v>
      </c>
      <c r="B584" s="390" t="str">
        <f>IFERROR(__xludf.DUMMYFUNCTION("""COMPUTED_VALUE"""),"2° Licenciatura")</f>
        <v>2° Licenciatura</v>
      </c>
      <c r="C584" s="390" t="str">
        <f>IFERROR(__xludf.DUMMYFUNCTION("""COMPUTED_VALUE"""),"História")</f>
        <v>História</v>
      </c>
      <c r="D584" s="390" t="str">
        <f>IFERROR(__xludf.DUMMYFUNCTION("""COMPUTED_VALUE"""),"Entregue em 23/05/2025 - Kinbox - Miguel")</f>
        <v>Entregue em 23/05/2025 - Kinbox - Miguel</v>
      </c>
      <c r="E584" s="390"/>
      <c r="F584" s="390"/>
      <c r="G584" s="390"/>
      <c r="H584" s="390"/>
      <c r="I584" s="390"/>
      <c r="J584" s="390"/>
      <c r="K584" s="390"/>
      <c r="L584" s="390"/>
      <c r="M584" s="390"/>
      <c r="N584" s="390"/>
      <c r="O584" s="390"/>
      <c r="P584" s="390"/>
      <c r="Q584" s="390"/>
      <c r="R584" s="390"/>
      <c r="S584" s="390"/>
      <c r="T584" s="390"/>
      <c r="U584" s="390"/>
      <c r="V584" s="390"/>
      <c r="W584" s="390"/>
      <c r="X584" s="390"/>
      <c r="Y584" s="390"/>
    </row>
    <row r="585">
      <c r="A585" s="390" t="str">
        <f>IFERROR(__xludf.DUMMYFUNCTION("""COMPUTED_VALUE"""),"José Idalécio de Sousa Galvão")</f>
        <v>José Idalécio de Sousa Galvão</v>
      </c>
      <c r="B585" s="390" t="str">
        <f>IFERROR(__xludf.DUMMYFUNCTION("""COMPUTED_VALUE"""),"Form. Pedagógica")</f>
        <v>Form. Pedagógica</v>
      </c>
      <c r="C585" s="390" t="str">
        <f>IFERROR(__xludf.DUMMYFUNCTION("""COMPUTED_VALUE"""),"História")</f>
        <v>História</v>
      </c>
      <c r="D585" s="390" t="str">
        <f>IFERROR(__xludf.DUMMYFUNCTION("""COMPUTED_VALUE"""),"Entregue em 30/04/2025 - Kinbox e e-mail - Miguel")</f>
        <v>Entregue em 30/04/2025 - Kinbox e e-mail - Miguel</v>
      </c>
      <c r="E585" s="390"/>
      <c r="F585" s="390"/>
      <c r="G585" s="390"/>
      <c r="H585" s="390"/>
      <c r="I585" s="390"/>
      <c r="J585" s="390"/>
      <c r="K585" s="390"/>
      <c r="L585" s="390"/>
      <c r="M585" s="390"/>
      <c r="N585" s="390"/>
      <c r="O585" s="390"/>
      <c r="P585" s="390"/>
      <c r="Q585" s="390"/>
      <c r="R585" s="390"/>
      <c r="S585" s="390"/>
      <c r="T585" s="390"/>
      <c r="U585" s="390"/>
      <c r="V585" s="390"/>
      <c r="W585" s="390"/>
      <c r="X585" s="390"/>
      <c r="Y585" s="390"/>
    </row>
    <row r="586">
      <c r="A586" s="390" t="str">
        <f>IFERROR(__xludf.DUMMYFUNCTION("""COMPUTED_VALUE"""),"Alan Maxi de Paula Dionísio")</f>
        <v>Alan Maxi de Paula Dionísio</v>
      </c>
      <c r="B586" s="390" t="str">
        <f>IFERROR(__xludf.DUMMYFUNCTION("""COMPUTED_VALUE"""),"2° Licenciatura")</f>
        <v>2° Licenciatura</v>
      </c>
      <c r="C586" s="390" t="str">
        <f>IFERROR(__xludf.DUMMYFUNCTION("""COMPUTED_VALUE"""),"Matemática")</f>
        <v>Matemática</v>
      </c>
      <c r="D586" s="390"/>
      <c r="E586" s="390"/>
      <c r="F586" s="390"/>
      <c r="G586" s="390"/>
      <c r="H586" s="390"/>
      <c r="I586" s="390"/>
      <c r="J586" s="390"/>
      <c r="K586" s="390"/>
      <c r="L586" s="390"/>
      <c r="M586" s="390"/>
      <c r="N586" s="390"/>
      <c r="O586" s="390"/>
      <c r="P586" s="390"/>
      <c r="Q586" s="390"/>
      <c r="R586" s="390"/>
      <c r="S586" s="390"/>
      <c r="T586" s="390"/>
      <c r="U586" s="390"/>
      <c r="V586" s="390"/>
      <c r="W586" s="390"/>
      <c r="X586" s="390"/>
      <c r="Y586" s="390"/>
    </row>
    <row r="587">
      <c r="A587" s="390" t="str">
        <f>IFERROR(__xludf.DUMMYFUNCTION("""COMPUTED_VALUE"""),"Miguel Fernando Becari Rocha")</f>
        <v>Miguel Fernando Becari Rocha</v>
      </c>
      <c r="B587" s="390" t="str">
        <f>IFERROR(__xludf.DUMMYFUNCTION("""COMPUTED_VALUE"""),"2° Licenciatura")</f>
        <v>2° Licenciatura</v>
      </c>
      <c r="C587" s="390" t="str">
        <f>IFERROR(__xludf.DUMMYFUNCTION("""COMPUTED_VALUE"""),"História")</f>
        <v>História</v>
      </c>
      <c r="D587" s="390"/>
      <c r="E587" s="390"/>
      <c r="F587" s="390"/>
      <c r="G587" s="390"/>
      <c r="H587" s="390"/>
      <c r="I587" s="390"/>
      <c r="J587" s="390"/>
      <c r="K587" s="390"/>
      <c r="L587" s="390"/>
      <c r="M587" s="390"/>
      <c r="N587" s="390"/>
      <c r="O587" s="390"/>
      <c r="P587" s="390"/>
      <c r="Q587" s="390"/>
      <c r="R587" s="390"/>
      <c r="S587" s="390"/>
      <c r="T587" s="390"/>
      <c r="U587" s="390"/>
      <c r="V587" s="390"/>
      <c r="W587" s="390"/>
      <c r="X587" s="390"/>
      <c r="Y587" s="390"/>
    </row>
    <row r="588">
      <c r="A588" s="390" t="str">
        <f>IFERROR(__xludf.DUMMYFUNCTION("""COMPUTED_VALUE"""),"Nilton Aparecido da Silva")</f>
        <v>Nilton Aparecido da Silva</v>
      </c>
      <c r="B588" s="390" t="str">
        <f>IFERROR(__xludf.DUMMYFUNCTION("""COMPUTED_VALUE"""),"2° Licenciatura")</f>
        <v>2° Licenciatura</v>
      </c>
      <c r="C588" s="390" t="str">
        <f>IFERROR(__xludf.DUMMYFUNCTION("""COMPUTED_VALUE"""),"Artes Visuais")</f>
        <v>Artes Visuais</v>
      </c>
      <c r="D588" s="390" t="str">
        <f>IFERROR(__xludf.DUMMYFUNCTION("""COMPUTED_VALUE"""),"Entregue em 09/06/2025 - Kinbox - Miguel")</f>
        <v>Entregue em 09/06/2025 - Kinbox - Miguel</v>
      </c>
      <c r="E588" s="390"/>
      <c r="F588" s="390"/>
      <c r="G588" s="390"/>
      <c r="H588" s="390"/>
      <c r="I588" s="390"/>
      <c r="J588" s="390"/>
      <c r="K588" s="390"/>
      <c r="L588" s="390"/>
      <c r="M588" s="390"/>
      <c r="N588" s="390"/>
      <c r="O588" s="390"/>
      <c r="P588" s="390"/>
      <c r="Q588" s="390"/>
      <c r="R588" s="390"/>
      <c r="S588" s="390"/>
      <c r="T588" s="390"/>
      <c r="U588" s="390"/>
      <c r="V588" s="390"/>
      <c r="W588" s="390"/>
      <c r="X588" s="390"/>
      <c r="Y588" s="390"/>
    </row>
    <row r="589">
      <c r="A589" s="390" t="str">
        <f>IFERROR(__xludf.DUMMYFUNCTION("""COMPUTED_VALUE"""),"Rafaella Moreira de Lima")</f>
        <v>Rafaella Moreira de Lima</v>
      </c>
      <c r="B589" s="390" t="str">
        <f>IFERROR(__xludf.DUMMYFUNCTION("""COMPUTED_VALUE"""),"Form. Pedagógica")</f>
        <v>Form. Pedagógica</v>
      </c>
      <c r="C589" s="390" t="str">
        <f>IFERROR(__xludf.DUMMYFUNCTION("""COMPUTED_VALUE"""),"História")</f>
        <v>História</v>
      </c>
      <c r="D589" s="390" t="str">
        <f>IFERROR(__xludf.DUMMYFUNCTION("""COMPUTED_VALUE"""),"Entregue em 09/06/2025 - Kinbox - Miguel")</f>
        <v>Entregue em 09/06/2025 - Kinbox - Miguel</v>
      </c>
      <c r="E589" s="390"/>
      <c r="F589" s="390"/>
      <c r="G589" s="390"/>
      <c r="H589" s="390"/>
      <c r="I589" s="390"/>
      <c r="J589" s="390"/>
      <c r="K589" s="390"/>
      <c r="L589" s="390"/>
      <c r="M589" s="390"/>
      <c r="N589" s="390"/>
      <c r="O589" s="390"/>
      <c r="P589" s="390"/>
      <c r="Q589" s="390"/>
      <c r="R589" s="390"/>
      <c r="S589" s="390"/>
      <c r="T589" s="390"/>
      <c r="U589" s="390"/>
      <c r="V589" s="390"/>
      <c r="W589" s="390"/>
      <c r="X589" s="390"/>
      <c r="Y589" s="390"/>
    </row>
    <row r="590">
      <c r="A590" s="390" t="str">
        <f>IFERROR(__xludf.DUMMYFUNCTION("""COMPUTED_VALUE"""),"Valéria Coelho dos Santos")</f>
        <v>Valéria Coelho dos Santos</v>
      </c>
      <c r="B590" s="390" t="str">
        <f>IFERROR(__xludf.DUMMYFUNCTION("""COMPUTED_VALUE"""),"2° Licenciatura")</f>
        <v>2° Licenciatura</v>
      </c>
      <c r="C590" s="390" t="str">
        <f>IFERROR(__xludf.DUMMYFUNCTION("""COMPUTED_VALUE"""),"Educação Especial")</f>
        <v>Educação Especial</v>
      </c>
      <c r="D590" s="390" t="str">
        <f>IFERROR(__xludf.DUMMYFUNCTION("""COMPUTED_VALUE"""),"Entregue pela Unicv")</f>
        <v>Entregue pela Unicv</v>
      </c>
      <c r="E590" s="390"/>
      <c r="F590" s="390"/>
      <c r="G590" s="390"/>
      <c r="H590" s="390"/>
      <c r="I590" s="390"/>
      <c r="J590" s="390"/>
      <c r="K590" s="390"/>
      <c r="L590" s="390"/>
      <c r="M590" s="390"/>
      <c r="N590" s="390"/>
      <c r="O590" s="390"/>
      <c r="P590" s="390"/>
      <c r="Q590" s="390"/>
      <c r="R590" s="390"/>
      <c r="S590" s="390"/>
      <c r="T590" s="390"/>
      <c r="U590" s="390"/>
      <c r="V590" s="390"/>
      <c r="W590" s="390"/>
      <c r="X590" s="390"/>
      <c r="Y590" s="390"/>
    </row>
    <row r="591">
      <c r="A591" s="390" t="str">
        <f>IFERROR(__xludf.DUMMYFUNCTION("""COMPUTED_VALUE"""),"Jeane Mendes da Silva Muniz")</f>
        <v>Jeane Mendes da Silva Muniz</v>
      </c>
      <c r="B591" s="390" t="str">
        <f>IFERROR(__xludf.DUMMYFUNCTION("""COMPUTED_VALUE"""),"2° Licenciatura")</f>
        <v>2° Licenciatura</v>
      </c>
      <c r="C591" s="390" t="str">
        <f>IFERROR(__xludf.DUMMYFUNCTION("""COMPUTED_VALUE"""),"Letras Português - Inglês")</f>
        <v>Letras Português - Inglês</v>
      </c>
      <c r="D591" s="390" t="str">
        <f>IFERROR(__xludf.DUMMYFUNCTION("""COMPUTED_VALUE"""),"Entregue em 10/06/2025 - Kinbox - Miguel")</f>
        <v>Entregue em 10/06/2025 - Kinbox - Miguel</v>
      </c>
      <c r="E591" s="390"/>
      <c r="F591" s="390"/>
      <c r="G591" s="390"/>
      <c r="H591" s="390"/>
      <c r="I591" s="390"/>
      <c r="J591" s="390"/>
      <c r="K591" s="390"/>
      <c r="L591" s="390"/>
      <c r="M591" s="390"/>
      <c r="N591" s="390"/>
      <c r="O591" s="390"/>
      <c r="P591" s="390"/>
      <c r="Q591" s="390"/>
      <c r="R591" s="390"/>
      <c r="S591" s="390"/>
      <c r="T591" s="390"/>
      <c r="U591" s="390"/>
      <c r="V591" s="390"/>
      <c r="W591" s="390"/>
      <c r="X591" s="390"/>
      <c r="Y591" s="390"/>
    </row>
    <row r="592">
      <c r="A592" s="390" t="str">
        <f>IFERROR(__xludf.DUMMYFUNCTION("""COMPUTED_VALUE"""),"Bernadete Eloi Bottoli")</f>
        <v>Bernadete Eloi Bottoli</v>
      </c>
      <c r="B592" s="390" t="str">
        <f>IFERROR(__xludf.DUMMYFUNCTION("""COMPUTED_VALUE"""),"2° Licenciatura")</f>
        <v>2° Licenciatura</v>
      </c>
      <c r="C592" s="390" t="str">
        <f>IFERROR(__xludf.DUMMYFUNCTION("""COMPUTED_VALUE"""),"Sociologia")</f>
        <v>Sociologia</v>
      </c>
      <c r="D592" s="390" t="str">
        <f>IFERROR(__xludf.DUMMYFUNCTION("""COMPUTED_VALUE"""),"Entregue em 10/06/2025 - Kinbox - Miguel")</f>
        <v>Entregue em 10/06/2025 - Kinbox - Miguel</v>
      </c>
      <c r="E592" s="390"/>
      <c r="F592" s="390"/>
      <c r="G592" s="390"/>
      <c r="H592" s="390"/>
      <c r="I592" s="390"/>
      <c r="J592" s="390"/>
      <c r="K592" s="390"/>
      <c r="L592" s="390"/>
      <c r="M592" s="390"/>
      <c r="N592" s="390"/>
      <c r="O592" s="390"/>
      <c r="P592" s="390"/>
      <c r="Q592" s="390"/>
      <c r="R592" s="390"/>
      <c r="S592" s="390"/>
      <c r="T592" s="390"/>
      <c r="U592" s="390"/>
      <c r="V592" s="390"/>
      <c r="W592" s="390"/>
      <c r="X592" s="390"/>
      <c r="Y592" s="390"/>
    </row>
    <row r="593">
      <c r="A593" s="390" t="str">
        <f>IFERROR(__xludf.DUMMYFUNCTION("""COMPUTED_VALUE"""),"Bernadete Eloi Bottoli")</f>
        <v>Bernadete Eloi Bottoli</v>
      </c>
      <c r="B593" s="390" t="str">
        <f>IFERROR(__xludf.DUMMYFUNCTION("""COMPUTED_VALUE"""),"2° Licenciatura")</f>
        <v>2° Licenciatura</v>
      </c>
      <c r="C593" s="390" t="str">
        <f>IFERROR(__xludf.DUMMYFUNCTION("""COMPUTED_VALUE"""),"História")</f>
        <v>História</v>
      </c>
      <c r="D593" s="390" t="str">
        <f>IFERROR(__xludf.DUMMYFUNCTION("""COMPUTED_VALUE"""),"Entregue em 10/06/2025 - Kinbox - Miguel")</f>
        <v>Entregue em 10/06/2025 - Kinbox - Miguel</v>
      </c>
      <c r="E593" s="390"/>
      <c r="F593" s="390"/>
      <c r="G593" s="390"/>
      <c r="H593" s="390"/>
      <c r="I593" s="390"/>
      <c r="J593" s="390"/>
      <c r="K593" s="390"/>
      <c r="L593" s="390"/>
      <c r="M593" s="390"/>
      <c r="N593" s="390"/>
      <c r="O593" s="390"/>
      <c r="P593" s="390"/>
      <c r="Q593" s="390"/>
      <c r="R593" s="390"/>
      <c r="S593" s="390"/>
      <c r="T593" s="390"/>
      <c r="U593" s="390"/>
      <c r="V593" s="390"/>
      <c r="W593" s="390"/>
      <c r="X593" s="390"/>
      <c r="Y593" s="390"/>
    </row>
    <row r="594">
      <c r="A594" s="390" t="str">
        <f>IFERROR(__xludf.DUMMYFUNCTION("""COMPUTED_VALUE"""),"Joana de Souza Toppan")</f>
        <v>Joana de Souza Toppan</v>
      </c>
      <c r="B594" s="390" t="str">
        <f>IFERROR(__xludf.DUMMYFUNCTION("""COMPUTED_VALUE"""),"2° Licenciatura")</f>
        <v>2° Licenciatura</v>
      </c>
      <c r="C594" s="390" t="str">
        <f>IFERROR(__xludf.DUMMYFUNCTION("""COMPUTED_VALUE"""),"Sociologia")</f>
        <v>Sociologia</v>
      </c>
      <c r="D594" s="390" t="str">
        <f>IFERROR(__xludf.DUMMYFUNCTION("""COMPUTED_VALUE"""),"Entregue em 10/06/2025 - Kinbox - Miguel")</f>
        <v>Entregue em 10/06/2025 - Kinbox - Miguel</v>
      </c>
      <c r="E594" s="390"/>
      <c r="F594" s="390"/>
      <c r="G594" s="390"/>
      <c r="H594" s="390"/>
      <c r="I594" s="390"/>
      <c r="J594" s="390"/>
      <c r="K594" s="390"/>
      <c r="L594" s="390"/>
      <c r="M594" s="390"/>
      <c r="N594" s="390"/>
      <c r="O594" s="390"/>
      <c r="P594" s="390"/>
      <c r="Q594" s="390"/>
      <c r="R594" s="390"/>
      <c r="S594" s="390"/>
      <c r="T594" s="390"/>
      <c r="U594" s="390"/>
      <c r="V594" s="390"/>
      <c r="W594" s="390"/>
      <c r="X594" s="390"/>
      <c r="Y594" s="390"/>
    </row>
    <row r="595">
      <c r="A595" s="390" t="str">
        <f>IFERROR(__xludf.DUMMYFUNCTION("""COMPUTED_VALUE"""),"Ricardo Alves Ribeiro")</f>
        <v>Ricardo Alves Ribeiro</v>
      </c>
      <c r="B595" s="390" t="str">
        <f>IFERROR(__xludf.DUMMYFUNCTION("""COMPUTED_VALUE"""),"Form. Pedagógica")</f>
        <v>Form. Pedagógica</v>
      </c>
      <c r="C595" s="390" t="str">
        <f>IFERROR(__xludf.DUMMYFUNCTION("""COMPUTED_VALUE"""),"Matemática")</f>
        <v>Matemática</v>
      </c>
      <c r="D595" s="390" t="str">
        <f>IFERROR(__xludf.DUMMYFUNCTION("""COMPUTED_VALUE"""),"Entregue em 10/06/2025 - Kinbox - Miguel")</f>
        <v>Entregue em 10/06/2025 - Kinbox - Miguel</v>
      </c>
      <c r="E595" s="390"/>
      <c r="F595" s="390"/>
      <c r="G595" s="390"/>
      <c r="H595" s="390"/>
      <c r="I595" s="390"/>
      <c r="J595" s="390"/>
      <c r="K595" s="390"/>
      <c r="L595" s="390"/>
      <c r="M595" s="390"/>
      <c r="N595" s="390"/>
      <c r="O595" s="390"/>
      <c r="P595" s="390"/>
      <c r="Q595" s="390"/>
      <c r="R595" s="390"/>
      <c r="S595" s="390"/>
      <c r="T595" s="390"/>
      <c r="U595" s="390"/>
      <c r="V595" s="390"/>
      <c r="W595" s="390"/>
      <c r="X595" s="390"/>
      <c r="Y595" s="390"/>
    </row>
    <row r="596">
      <c r="A596" s="390" t="str">
        <f>IFERROR(__xludf.DUMMYFUNCTION("""COMPUTED_VALUE"""),"Diomarques Amancio de Jesus")</f>
        <v>Diomarques Amancio de Jesus</v>
      </c>
      <c r="B596" s="390" t="str">
        <f>IFERROR(__xludf.DUMMYFUNCTION("""COMPUTED_VALUE"""),"2° Licenciatura")</f>
        <v>2° Licenciatura</v>
      </c>
      <c r="C596" s="390" t="str">
        <f>IFERROR(__xludf.DUMMYFUNCTION("""COMPUTED_VALUE"""),"Geografia")</f>
        <v>Geografia</v>
      </c>
      <c r="D596" s="390"/>
      <c r="E596" s="390"/>
      <c r="F596" s="390"/>
      <c r="G596" s="390"/>
      <c r="H596" s="390"/>
      <c r="I596" s="390"/>
      <c r="J596" s="390"/>
      <c r="K596" s="390"/>
      <c r="L596" s="390"/>
      <c r="M596" s="390"/>
      <c r="N596" s="390"/>
      <c r="O596" s="390"/>
      <c r="P596" s="390"/>
      <c r="Q596" s="390"/>
      <c r="R596" s="390"/>
      <c r="S596" s="390"/>
      <c r="T596" s="390"/>
      <c r="U596" s="390"/>
      <c r="V596" s="390"/>
      <c r="W596" s="390"/>
      <c r="X596" s="390"/>
      <c r="Y596" s="390"/>
    </row>
    <row r="597">
      <c r="A597" s="390" t="str">
        <f>IFERROR(__xludf.DUMMYFUNCTION("""COMPUTED_VALUE"""),"Claudio Wesley Ferreira Costa")</f>
        <v>Claudio Wesley Ferreira Costa</v>
      </c>
      <c r="B597" s="390" t="str">
        <f>IFERROR(__xludf.DUMMYFUNCTION("""COMPUTED_VALUE"""),"2° Licenciatura")</f>
        <v>2° Licenciatura</v>
      </c>
      <c r="C597" s="390" t="str">
        <f>IFERROR(__xludf.DUMMYFUNCTION("""COMPUTED_VALUE"""),"Letras - Português e Inglês")</f>
        <v>Letras - Português e Inglês</v>
      </c>
      <c r="D597" s="390"/>
      <c r="E597" s="390"/>
      <c r="F597" s="390"/>
      <c r="G597" s="390"/>
      <c r="H597" s="390"/>
      <c r="I597" s="390"/>
      <c r="J597" s="390"/>
      <c r="K597" s="390"/>
      <c r="L597" s="390"/>
      <c r="M597" s="390"/>
      <c r="N597" s="390"/>
      <c r="O597" s="390"/>
      <c r="P597" s="390"/>
      <c r="Q597" s="390"/>
      <c r="R597" s="390"/>
      <c r="S597" s="390"/>
      <c r="T597" s="390"/>
      <c r="U597" s="390"/>
      <c r="V597" s="390"/>
      <c r="W597" s="390"/>
      <c r="X597" s="390"/>
      <c r="Y597" s="390"/>
    </row>
    <row r="598">
      <c r="A598" s="390" t="str">
        <f>IFERROR(__xludf.DUMMYFUNCTION("""COMPUTED_VALUE"""),"Juliana Maria Corallo Quinan")</f>
        <v>Juliana Maria Corallo Quinan</v>
      </c>
      <c r="B598" s="390" t="str">
        <f>IFERROR(__xludf.DUMMYFUNCTION("""COMPUTED_VALUE"""),"2° Licenciatura")</f>
        <v>2° Licenciatura</v>
      </c>
      <c r="C598" s="390" t="str">
        <f>IFERROR(__xludf.DUMMYFUNCTION("""COMPUTED_VALUE"""),"História")</f>
        <v>História</v>
      </c>
      <c r="D598" s="390" t="str">
        <f>IFERROR(__xludf.DUMMYFUNCTION("""COMPUTED_VALUE"""),"Entregue em 10/06/2025 - Kinbox - Miguel")</f>
        <v>Entregue em 10/06/2025 - Kinbox - Miguel</v>
      </c>
      <c r="E598" s="390"/>
      <c r="F598" s="390"/>
      <c r="G598" s="390"/>
      <c r="H598" s="390"/>
      <c r="I598" s="390"/>
      <c r="J598" s="390"/>
      <c r="K598" s="390"/>
      <c r="L598" s="390"/>
      <c r="M598" s="390"/>
      <c r="N598" s="390"/>
      <c r="O598" s="390"/>
      <c r="P598" s="390"/>
      <c r="Q598" s="390"/>
      <c r="R598" s="390"/>
      <c r="S598" s="390"/>
      <c r="T598" s="390"/>
      <c r="U598" s="390"/>
      <c r="V598" s="390"/>
      <c r="W598" s="390"/>
      <c r="X598" s="390"/>
      <c r="Y598" s="390"/>
    </row>
    <row r="599">
      <c r="A599" s="390" t="str">
        <f>IFERROR(__xludf.DUMMYFUNCTION("""COMPUTED_VALUE"""),"Rafael Oliveira Silva")</f>
        <v>Rafael Oliveira Silva</v>
      </c>
      <c r="B599" s="390" t="str">
        <f>IFERROR(__xludf.DUMMYFUNCTION("""COMPUTED_VALUE"""),"2° Licenciatura")</f>
        <v>2° Licenciatura</v>
      </c>
      <c r="C599" s="390" t="str">
        <f>IFERROR(__xludf.DUMMYFUNCTION("""COMPUTED_VALUE"""),"Matemática")</f>
        <v>Matemática</v>
      </c>
      <c r="D599" s="390" t="str">
        <f>IFERROR(__xludf.DUMMYFUNCTION("""COMPUTED_VALUE"""),"Entregue em 10/06/2025 - Kinbox - Miguel")</f>
        <v>Entregue em 10/06/2025 - Kinbox - Miguel</v>
      </c>
      <c r="E599" s="390"/>
      <c r="F599" s="390"/>
      <c r="G599" s="390"/>
      <c r="H599" s="390"/>
      <c r="I599" s="390"/>
      <c r="J599" s="390"/>
      <c r="K599" s="390"/>
      <c r="L599" s="390"/>
      <c r="M599" s="390"/>
      <c r="N599" s="390"/>
      <c r="O599" s="390"/>
      <c r="P599" s="390"/>
      <c r="Q599" s="390"/>
      <c r="R599" s="390"/>
      <c r="S599" s="390"/>
      <c r="T599" s="390"/>
      <c r="U599" s="390"/>
      <c r="V599" s="390"/>
      <c r="W599" s="390"/>
      <c r="X599" s="390"/>
      <c r="Y599" s="390"/>
    </row>
    <row r="600">
      <c r="A600" s="390" t="str">
        <f>IFERROR(__xludf.DUMMYFUNCTION("""COMPUTED_VALUE"""),"Jackson Luiz Henrique")</f>
        <v>Jackson Luiz Henrique</v>
      </c>
      <c r="B600" s="390" t="str">
        <f>IFERROR(__xludf.DUMMYFUNCTION("""COMPUTED_VALUE"""),"2° Licenciatura")</f>
        <v>2° Licenciatura</v>
      </c>
      <c r="C600" s="390" t="str">
        <f>IFERROR(__xludf.DUMMYFUNCTION("""COMPUTED_VALUE"""),"Educação Fisica")</f>
        <v>Educação Fisica</v>
      </c>
      <c r="D600" s="390" t="str">
        <f>IFERROR(__xludf.DUMMYFUNCTION("""COMPUTED_VALUE"""),"Entregue em 04/06/2025 - Kinbox - Miguel")</f>
        <v>Entregue em 04/06/2025 - Kinbox - Miguel</v>
      </c>
      <c r="E600" s="390"/>
      <c r="F600" s="390"/>
      <c r="G600" s="390"/>
      <c r="H600" s="390"/>
      <c r="I600" s="390"/>
      <c r="J600" s="390"/>
      <c r="K600" s="390"/>
      <c r="L600" s="390"/>
      <c r="M600" s="390"/>
      <c r="N600" s="390"/>
      <c r="O600" s="390"/>
      <c r="P600" s="390"/>
      <c r="Q600" s="390"/>
      <c r="R600" s="390"/>
      <c r="S600" s="390"/>
      <c r="T600" s="390"/>
      <c r="U600" s="390"/>
      <c r="V600" s="390"/>
      <c r="W600" s="390"/>
      <c r="X600" s="390"/>
      <c r="Y600" s="390"/>
    </row>
    <row r="601">
      <c r="A601" s="390" t="str">
        <f>IFERROR(__xludf.DUMMYFUNCTION("""COMPUTED_VALUE"""),"Luciane Ribeiro dos Santos")</f>
        <v>Luciane Ribeiro dos Santos</v>
      </c>
      <c r="B601" s="390" t="str">
        <f>IFERROR(__xludf.DUMMYFUNCTION("""COMPUTED_VALUE"""),"2° Licenciatura")</f>
        <v>2° Licenciatura</v>
      </c>
      <c r="C601" s="390" t="str">
        <f>IFERROR(__xludf.DUMMYFUNCTION("""COMPUTED_VALUE"""),"Artes Visuais")</f>
        <v>Artes Visuais</v>
      </c>
      <c r="D601" s="390" t="str">
        <f>IFERROR(__xludf.DUMMYFUNCTION("""COMPUTED_VALUE"""),"Entregue em 10/06/2025 - Kinbox - Miguel")</f>
        <v>Entregue em 10/06/2025 - Kinbox - Miguel</v>
      </c>
      <c r="E601" s="390"/>
      <c r="F601" s="390"/>
      <c r="G601" s="390"/>
      <c r="H601" s="390"/>
      <c r="I601" s="390"/>
      <c r="J601" s="390"/>
      <c r="K601" s="390"/>
      <c r="L601" s="390"/>
      <c r="M601" s="390"/>
      <c r="N601" s="390"/>
      <c r="O601" s="390"/>
      <c r="P601" s="390"/>
      <c r="Q601" s="390"/>
      <c r="R601" s="390"/>
      <c r="S601" s="390"/>
      <c r="T601" s="390"/>
      <c r="U601" s="390"/>
      <c r="V601" s="390"/>
      <c r="W601" s="390"/>
      <c r="X601" s="390"/>
      <c r="Y601" s="390"/>
    </row>
    <row r="602">
      <c r="A602" s="390" t="str">
        <f>IFERROR(__xludf.DUMMYFUNCTION("""COMPUTED_VALUE"""),"Juliana Andrigo Piquetti Santos")</f>
        <v>Juliana Andrigo Piquetti Santos</v>
      </c>
      <c r="B602" s="390" t="str">
        <f>IFERROR(__xludf.DUMMYFUNCTION("""COMPUTED_VALUE"""),"2° Licenciatura")</f>
        <v>2° Licenciatura</v>
      </c>
      <c r="C602" s="390" t="str">
        <f>IFERROR(__xludf.DUMMYFUNCTION("""COMPUTED_VALUE"""),"Artes Visuais")</f>
        <v>Artes Visuais</v>
      </c>
      <c r="D602" s="390" t="str">
        <f>IFERROR(__xludf.DUMMYFUNCTION("""COMPUTED_VALUE"""),"Entregue em 10/06/2025 - Kinbox - Miguel")</f>
        <v>Entregue em 10/06/2025 - Kinbox - Miguel</v>
      </c>
      <c r="E602" s="390"/>
      <c r="F602" s="390"/>
      <c r="G602" s="390"/>
      <c r="H602" s="390"/>
      <c r="I602" s="390"/>
      <c r="J602" s="390"/>
      <c r="K602" s="390"/>
      <c r="L602" s="390"/>
      <c r="M602" s="390"/>
      <c r="N602" s="390"/>
      <c r="O602" s="390"/>
      <c r="P602" s="390"/>
      <c r="Q602" s="390"/>
      <c r="R602" s="390"/>
      <c r="S602" s="390"/>
      <c r="T602" s="390"/>
      <c r="U602" s="390"/>
      <c r="V602" s="390"/>
      <c r="W602" s="390"/>
      <c r="X602" s="390"/>
      <c r="Y602" s="390"/>
    </row>
    <row r="603">
      <c r="A603" s="390" t="str">
        <f>IFERROR(__xludf.DUMMYFUNCTION("""COMPUTED_VALUE"""),"Valéria Santos Ribeiro Felix")</f>
        <v>Valéria Santos Ribeiro Felix</v>
      </c>
      <c r="B603" s="390" t="str">
        <f>IFERROR(__xludf.DUMMYFUNCTION("""COMPUTED_VALUE"""),"2° Licenciatura")</f>
        <v>2° Licenciatura</v>
      </c>
      <c r="C603" s="390" t="str">
        <f>IFERROR(__xludf.DUMMYFUNCTION("""COMPUTED_VALUE"""),"Letras - Português e Inglês")</f>
        <v>Letras - Português e Inglês</v>
      </c>
      <c r="D603" s="390" t="str">
        <f>IFERROR(__xludf.DUMMYFUNCTION("""COMPUTED_VALUE"""),"Entregue em 10/06/2025 - Kinbox - Miguel")</f>
        <v>Entregue em 10/06/2025 - Kinbox - Miguel</v>
      </c>
      <c r="E603" s="390"/>
      <c r="F603" s="390"/>
      <c r="G603" s="390"/>
      <c r="H603" s="390"/>
      <c r="I603" s="390"/>
      <c r="J603" s="390"/>
      <c r="K603" s="390"/>
      <c r="L603" s="390"/>
      <c r="M603" s="390"/>
      <c r="N603" s="390"/>
      <c r="O603" s="390"/>
      <c r="P603" s="390"/>
      <c r="Q603" s="390"/>
      <c r="R603" s="390"/>
      <c r="S603" s="390"/>
      <c r="T603" s="390"/>
      <c r="U603" s="390"/>
      <c r="V603" s="390"/>
      <c r="W603" s="390"/>
      <c r="X603" s="390"/>
      <c r="Y603" s="390"/>
    </row>
    <row r="604">
      <c r="A604" s="390" t="str">
        <f>IFERROR(__xludf.DUMMYFUNCTION("""COMPUTED_VALUE"""),"Gabriela Souza Silva ")</f>
        <v>Gabriela Souza Silva </v>
      </c>
      <c r="B604" s="390" t="str">
        <f>IFERROR(__xludf.DUMMYFUNCTION("""COMPUTED_VALUE"""),"Form. Pedagógica")</f>
        <v>Form. Pedagógica</v>
      </c>
      <c r="C604" s="390" t="str">
        <f>IFERROR(__xludf.DUMMYFUNCTION("""COMPUTED_VALUE"""),"Letras - Português e Espanhol")</f>
        <v>Letras - Português e Espanhol</v>
      </c>
      <c r="D604" s="390"/>
      <c r="E604" s="390"/>
      <c r="F604" s="390"/>
      <c r="G604" s="390"/>
      <c r="H604" s="390"/>
      <c r="I604" s="390"/>
      <c r="J604" s="390"/>
      <c r="K604" s="390"/>
      <c r="L604" s="390"/>
      <c r="M604" s="390"/>
      <c r="N604" s="390"/>
      <c r="O604" s="390"/>
      <c r="P604" s="390"/>
      <c r="Q604" s="390"/>
      <c r="R604" s="390"/>
      <c r="S604" s="390"/>
      <c r="T604" s="390"/>
      <c r="U604" s="390"/>
      <c r="V604" s="390"/>
      <c r="W604" s="390"/>
      <c r="X604" s="390"/>
      <c r="Y604" s="390"/>
    </row>
    <row r="605">
      <c r="A605" s="390" t="str">
        <f>IFERROR(__xludf.DUMMYFUNCTION("""COMPUTED_VALUE"""),"Gabriel Pigosso Ribeiro")</f>
        <v>Gabriel Pigosso Ribeiro</v>
      </c>
      <c r="B605" s="390" t="str">
        <f>IFERROR(__xludf.DUMMYFUNCTION("""COMPUTED_VALUE"""),"2° Licenciatura")</f>
        <v>2° Licenciatura</v>
      </c>
      <c r="C605" s="390" t="str">
        <f>IFERROR(__xludf.DUMMYFUNCTION("""COMPUTED_VALUE"""),"História")</f>
        <v>História</v>
      </c>
      <c r="D605" s="390" t="str">
        <f>IFERROR(__xludf.DUMMYFUNCTION("""COMPUTED_VALUE"""),"Entregue em 10/06/2025 - Kinbox - Miguel")</f>
        <v>Entregue em 10/06/2025 - Kinbox - Miguel</v>
      </c>
      <c r="E605" s="390"/>
      <c r="F605" s="390"/>
      <c r="G605" s="390"/>
      <c r="H605" s="390"/>
      <c r="I605" s="390"/>
      <c r="J605" s="390"/>
      <c r="K605" s="390"/>
      <c r="L605" s="390"/>
      <c r="M605" s="390"/>
      <c r="N605" s="390"/>
      <c r="O605" s="390"/>
      <c r="P605" s="390"/>
      <c r="Q605" s="390"/>
      <c r="R605" s="390"/>
      <c r="S605" s="390"/>
      <c r="T605" s="390"/>
      <c r="U605" s="390"/>
      <c r="V605" s="390"/>
      <c r="W605" s="390"/>
      <c r="X605" s="390"/>
      <c r="Y605" s="390"/>
    </row>
    <row r="606">
      <c r="A606" s="390" t="str">
        <f>IFERROR(__xludf.DUMMYFUNCTION("""COMPUTED_VALUE"""),"Silvânia Corrêia Veloso ")</f>
        <v>Silvânia Corrêia Veloso </v>
      </c>
      <c r="B606" s="390" t="str">
        <f>IFERROR(__xludf.DUMMYFUNCTION("""COMPUTED_VALUE"""),"2° Licenciatura")</f>
        <v>2° Licenciatura</v>
      </c>
      <c r="C606" s="390" t="str">
        <f>IFERROR(__xludf.DUMMYFUNCTION("""COMPUTED_VALUE"""),"Letras - Português e Inglês")</f>
        <v>Letras - Português e Inglês</v>
      </c>
      <c r="D606" s="390" t="str">
        <f>IFERROR(__xludf.DUMMYFUNCTION("""COMPUTED_VALUE"""),"Entregue em 10/06/2025 - Kinbox - Miguel")</f>
        <v>Entregue em 10/06/2025 - Kinbox - Miguel</v>
      </c>
      <c r="E606" s="390"/>
      <c r="F606" s="390"/>
      <c r="G606" s="390"/>
      <c r="H606" s="390"/>
      <c r="I606" s="390"/>
      <c r="J606" s="390"/>
      <c r="K606" s="390"/>
      <c r="L606" s="390"/>
      <c r="M606" s="390"/>
      <c r="N606" s="390"/>
      <c r="O606" s="390"/>
      <c r="P606" s="390"/>
      <c r="Q606" s="390"/>
      <c r="R606" s="390"/>
      <c r="S606" s="390"/>
      <c r="T606" s="390"/>
      <c r="U606" s="390"/>
      <c r="V606" s="390"/>
      <c r="W606" s="390"/>
      <c r="X606" s="390"/>
      <c r="Y606" s="390"/>
    </row>
    <row r="607">
      <c r="A607" s="390" t="str">
        <f>IFERROR(__xludf.DUMMYFUNCTION("""COMPUTED_VALUE"""),"Silvânia Corrêia Veloso")</f>
        <v>Silvânia Corrêia Veloso</v>
      </c>
      <c r="B607" s="390" t="str">
        <f>IFERROR(__xludf.DUMMYFUNCTION("""COMPUTED_VALUE"""),"2° Licenciatura")</f>
        <v>2° Licenciatura</v>
      </c>
      <c r="C607" s="390" t="str">
        <f>IFERROR(__xludf.DUMMYFUNCTION("""COMPUTED_VALUE"""),"Português - Letras e Libras")</f>
        <v>Português - Letras e Libras</v>
      </c>
      <c r="D607" s="390" t="str">
        <f>IFERROR(__xludf.DUMMYFUNCTION("""COMPUTED_VALUE"""),"Entregue em 10/06/2025 - Kinbox - Miguel")</f>
        <v>Entregue em 10/06/2025 - Kinbox - Miguel</v>
      </c>
      <c r="E607" s="390"/>
      <c r="F607" s="390"/>
      <c r="G607" s="390"/>
      <c r="H607" s="390"/>
      <c r="I607" s="390"/>
      <c r="J607" s="390"/>
      <c r="K607" s="390"/>
      <c r="L607" s="390"/>
      <c r="M607" s="390"/>
      <c r="N607" s="390"/>
      <c r="O607" s="390"/>
      <c r="P607" s="390"/>
      <c r="Q607" s="390"/>
      <c r="R607" s="390"/>
      <c r="S607" s="390"/>
      <c r="T607" s="390"/>
      <c r="U607" s="390"/>
      <c r="V607" s="390"/>
      <c r="W607" s="390"/>
      <c r="X607" s="390"/>
      <c r="Y607" s="390"/>
    </row>
    <row r="608">
      <c r="A608" s="390" t="str">
        <f>IFERROR(__xludf.DUMMYFUNCTION("""COMPUTED_VALUE"""),"Francineide Costa de Oliveira")</f>
        <v>Francineide Costa de Oliveira</v>
      </c>
      <c r="B608" s="390" t="str">
        <f>IFERROR(__xludf.DUMMYFUNCTION("""COMPUTED_VALUE"""),"2° Licenciatura")</f>
        <v>2° Licenciatura</v>
      </c>
      <c r="C608" s="390" t="str">
        <f>IFERROR(__xludf.DUMMYFUNCTION("""COMPUTED_VALUE"""),"Educação Especial")</f>
        <v>Educação Especial</v>
      </c>
      <c r="D608" s="390"/>
      <c r="E608" s="390"/>
      <c r="F608" s="390"/>
      <c r="G608" s="390"/>
      <c r="H608" s="390"/>
      <c r="I608" s="390"/>
      <c r="J608" s="390"/>
      <c r="K608" s="390"/>
      <c r="L608" s="390"/>
      <c r="M608" s="390"/>
      <c r="N608" s="390"/>
      <c r="O608" s="390"/>
      <c r="P608" s="390"/>
      <c r="Q608" s="390"/>
      <c r="R608" s="390"/>
      <c r="S608" s="390"/>
      <c r="T608" s="390"/>
      <c r="U608" s="390"/>
      <c r="V608" s="390"/>
      <c r="W608" s="390"/>
      <c r="X608" s="390"/>
      <c r="Y608" s="390"/>
    </row>
    <row r="609">
      <c r="A609" s="390" t="str">
        <f>IFERROR(__xludf.DUMMYFUNCTION("""COMPUTED_VALUE"""),"Gabriela Ferrari ")</f>
        <v>Gabriela Ferrari </v>
      </c>
      <c r="B609" s="390" t="str">
        <f>IFERROR(__xludf.DUMMYFUNCTION("""COMPUTED_VALUE"""),"2° Licenciatura")</f>
        <v>2° Licenciatura</v>
      </c>
      <c r="C609" s="390" t="str">
        <f>IFERROR(__xludf.DUMMYFUNCTION("""COMPUTED_VALUE"""),"Artes Visuais")</f>
        <v>Artes Visuais</v>
      </c>
      <c r="D609" s="390"/>
      <c r="E609" s="390"/>
      <c r="F609" s="390"/>
      <c r="G609" s="390"/>
      <c r="H609" s="390"/>
      <c r="I609" s="390"/>
      <c r="J609" s="390"/>
      <c r="K609" s="390"/>
      <c r="L609" s="390"/>
      <c r="M609" s="390"/>
      <c r="N609" s="390"/>
      <c r="O609" s="390"/>
      <c r="P609" s="390"/>
      <c r="Q609" s="390"/>
      <c r="R609" s="390"/>
      <c r="S609" s="390"/>
      <c r="T609" s="390"/>
      <c r="U609" s="390"/>
      <c r="V609" s="390"/>
      <c r="W609" s="390"/>
      <c r="X609" s="390"/>
      <c r="Y609" s="390"/>
    </row>
    <row r="610">
      <c r="A610" s="390" t="str">
        <f>IFERROR(__xludf.DUMMYFUNCTION("""COMPUTED_VALUE"""),"Monique Ribeiro dos Santos ")</f>
        <v>Monique Ribeiro dos Santos </v>
      </c>
      <c r="B610" s="390" t="str">
        <f>IFERROR(__xludf.DUMMYFUNCTION("""COMPUTED_VALUE"""),"2° Licenciatura")</f>
        <v>2° Licenciatura</v>
      </c>
      <c r="C610" s="390" t="str">
        <f>IFERROR(__xludf.DUMMYFUNCTION("""COMPUTED_VALUE"""),"Letras - Português e Inglês")</f>
        <v>Letras - Português e Inglês</v>
      </c>
      <c r="D610" s="390"/>
      <c r="E610" s="390"/>
      <c r="F610" s="390"/>
      <c r="G610" s="390"/>
      <c r="H610" s="390"/>
      <c r="I610" s="390"/>
      <c r="J610" s="390"/>
      <c r="K610" s="390"/>
      <c r="L610" s="390"/>
      <c r="M610" s="390"/>
      <c r="N610" s="390"/>
      <c r="O610" s="390"/>
      <c r="P610" s="390"/>
      <c r="Q610" s="390"/>
      <c r="R610" s="390"/>
      <c r="S610" s="390"/>
      <c r="T610" s="390"/>
      <c r="U610" s="390"/>
      <c r="V610" s="390"/>
      <c r="W610" s="390"/>
      <c r="X610" s="390"/>
      <c r="Y610" s="390"/>
    </row>
    <row r="611">
      <c r="A611" s="390" t="str">
        <f>IFERROR(__xludf.DUMMYFUNCTION("""COMPUTED_VALUE"""),"Nicolle Luiza Benfica Brandão")</f>
        <v>Nicolle Luiza Benfica Brandão</v>
      </c>
      <c r="B611" s="390" t="str">
        <f>IFERROR(__xludf.DUMMYFUNCTION("""COMPUTED_VALUE"""),"2° Licenciatura")</f>
        <v>2° Licenciatura</v>
      </c>
      <c r="C611" s="390" t="str">
        <f>IFERROR(__xludf.DUMMYFUNCTION("""COMPUTED_VALUE"""),"Educação Especial")</f>
        <v>Educação Especial</v>
      </c>
      <c r="D611" s="390" t="str">
        <f>IFERROR(__xludf.DUMMYFUNCTION("""COMPUTED_VALUE"""),"Entregue em 10/06/2025 - Kinbox - Miguel")</f>
        <v>Entregue em 10/06/2025 - Kinbox - Miguel</v>
      </c>
      <c r="E611" s="390"/>
      <c r="F611" s="390"/>
      <c r="G611" s="390"/>
      <c r="H611" s="390"/>
      <c r="I611" s="390"/>
      <c r="J611" s="390"/>
      <c r="K611" s="390"/>
      <c r="L611" s="390"/>
      <c r="M611" s="390"/>
      <c r="N611" s="390"/>
      <c r="O611" s="390"/>
      <c r="P611" s="390"/>
      <c r="Q611" s="390"/>
      <c r="R611" s="390"/>
      <c r="S611" s="390"/>
      <c r="T611" s="390"/>
      <c r="U611" s="390"/>
      <c r="V611" s="390"/>
      <c r="W611" s="390"/>
      <c r="X611" s="390"/>
      <c r="Y611" s="390"/>
    </row>
    <row r="612">
      <c r="A612" s="390" t="str">
        <f>IFERROR(__xludf.DUMMYFUNCTION("""COMPUTED_VALUE"""),"Carla Bovo Fernandes")</f>
        <v>Carla Bovo Fernandes</v>
      </c>
      <c r="B612" s="390" t="str">
        <f>IFERROR(__xludf.DUMMYFUNCTION("""COMPUTED_VALUE"""),"2° Licenciatura")</f>
        <v>2° Licenciatura</v>
      </c>
      <c r="C612" s="390" t="str">
        <f>IFERROR(__xludf.DUMMYFUNCTION("""COMPUTED_VALUE"""),"Letras - Português e Inglês")</f>
        <v>Letras - Português e Inglês</v>
      </c>
      <c r="D612" s="390" t="str">
        <f>IFERROR(__xludf.DUMMYFUNCTION("""COMPUTED_VALUE"""),"Entregue em 10/06/2025 - Kinbox - Miguel")</f>
        <v>Entregue em 10/06/2025 - Kinbox - Miguel</v>
      </c>
      <c r="E612" s="390"/>
      <c r="F612" s="390"/>
      <c r="G612" s="390"/>
      <c r="H612" s="390"/>
      <c r="I612" s="390"/>
      <c r="J612" s="390"/>
      <c r="K612" s="390"/>
      <c r="L612" s="390"/>
      <c r="M612" s="390"/>
      <c r="N612" s="390"/>
      <c r="O612" s="390"/>
      <c r="P612" s="390"/>
      <c r="Q612" s="390"/>
      <c r="R612" s="390"/>
      <c r="S612" s="390"/>
      <c r="T612" s="390"/>
      <c r="U612" s="390"/>
      <c r="V612" s="390"/>
      <c r="W612" s="390"/>
      <c r="X612" s="390"/>
      <c r="Y612" s="390"/>
    </row>
    <row r="613">
      <c r="A613" s="390" t="str">
        <f>IFERROR(__xludf.DUMMYFUNCTION("""COMPUTED_VALUE"""),"Deyse de Oliveira Ferreira")</f>
        <v>Deyse de Oliveira Ferreira</v>
      </c>
      <c r="B613" s="390" t="str">
        <f>IFERROR(__xludf.DUMMYFUNCTION("""COMPUTED_VALUE"""),"2° Licenciatura")</f>
        <v>2° Licenciatura</v>
      </c>
      <c r="C613" s="390" t="str">
        <f>IFERROR(__xludf.DUMMYFUNCTION("""COMPUTED_VALUE"""),"Pedagogia")</f>
        <v>Pedagogia</v>
      </c>
      <c r="D613" s="390" t="str">
        <f>IFERROR(__xludf.DUMMYFUNCTION("""COMPUTED_VALUE"""),"Entregue pela Unicv")</f>
        <v>Entregue pela Unicv</v>
      </c>
      <c r="E613" s="390"/>
      <c r="F613" s="390"/>
      <c r="G613" s="390"/>
      <c r="H613" s="390"/>
      <c r="I613" s="390"/>
      <c r="J613" s="390"/>
      <c r="K613" s="390"/>
      <c r="L613" s="390"/>
      <c r="M613" s="390"/>
      <c r="N613" s="390"/>
      <c r="O613" s="390"/>
      <c r="P613" s="390"/>
      <c r="Q613" s="390"/>
      <c r="R613" s="390"/>
      <c r="S613" s="390"/>
      <c r="T613" s="390"/>
      <c r="U613" s="390"/>
      <c r="V613" s="390"/>
      <c r="W613" s="390"/>
      <c r="X613" s="390"/>
      <c r="Y613" s="390"/>
    </row>
    <row r="614">
      <c r="A614" s="390" t="str">
        <f>IFERROR(__xludf.DUMMYFUNCTION("""COMPUTED_VALUE"""),"Libiane Cristine Barroso")</f>
        <v>Libiane Cristine Barroso</v>
      </c>
      <c r="B614" s="390" t="str">
        <f>IFERROR(__xludf.DUMMYFUNCTION("""COMPUTED_VALUE"""),"2° Licenciatura")</f>
        <v>2° Licenciatura</v>
      </c>
      <c r="C614" s="390" t="str">
        <f>IFERROR(__xludf.DUMMYFUNCTION("""COMPUTED_VALUE"""),"Artes Visuais ")</f>
        <v>Artes Visuais </v>
      </c>
      <c r="D614" s="390" t="str">
        <f>IFERROR(__xludf.DUMMYFUNCTION("""COMPUTED_VALUE"""),"Entregue em 26/05/2025 - Kinbox - Miguel")</f>
        <v>Entregue em 26/05/2025 - Kinbox - Miguel</v>
      </c>
      <c r="E614" s="390"/>
      <c r="F614" s="390"/>
      <c r="G614" s="390"/>
      <c r="H614" s="390"/>
      <c r="I614" s="390"/>
      <c r="J614" s="390"/>
      <c r="K614" s="390"/>
      <c r="L614" s="390"/>
      <c r="M614" s="390"/>
      <c r="N614" s="390"/>
      <c r="O614" s="390"/>
      <c r="P614" s="390"/>
      <c r="Q614" s="390"/>
      <c r="R614" s="390"/>
      <c r="S614" s="390"/>
      <c r="T614" s="390"/>
      <c r="U614" s="390"/>
      <c r="V614" s="390"/>
      <c r="W614" s="390"/>
      <c r="X614" s="390"/>
      <c r="Y614" s="390"/>
    </row>
    <row r="615">
      <c r="A615" s="390" t="str">
        <f>IFERROR(__xludf.DUMMYFUNCTION("""COMPUTED_VALUE"""),"Lidia Maria Borges da Silva")</f>
        <v>Lidia Maria Borges da Silva</v>
      </c>
      <c r="B615" s="390" t="str">
        <f>IFERROR(__xludf.DUMMYFUNCTION("""COMPUTED_VALUE"""),"2° Licenciatura")</f>
        <v>2° Licenciatura</v>
      </c>
      <c r="C615" s="390" t="str">
        <f>IFERROR(__xludf.DUMMYFUNCTION("""COMPUTED_VALUE"""),"Artes Visuais")</f>
        <v>Artes Visuais</v>
      </c>
      <c r="D615" s="390" t="str">
        <f>IFERROR(__xludf.DUMMYFUNCTION("""COMPUTED_VALUE"""),"Entregue em 28/05/2025 - Kinbox - Miguel")</f>
        <v>Entregue em 28/05/2025 - Kinbox - Miguel</v>
      </c>
      <c r="E615" s="390"/>
      <c r="F615" s="390"/>
      <c r="G615" s="390"/>
      <c r="H615" s="390"/>
      <c r="I615" s="390"/>
      <c r="J615" s="390"/>
      <c r="K615" s="390"/>
      <c r="L615" s="390"/>
      <c r="M615" s="390"/>
      <c r="N615" s="390"/>
      <c r="O615" s="390"/>
      <c r="P615" s="390"/>
      <c r="Q615" s="390"/>
      <c r="R615" s="390"/>
      <c r="S615" s="390"/>
      <c r="T615" s="390"/>
      <c r="U615" s="390"/>
      <c r="V615" s="390"/>
      <c r="W615" s="390"/>
      <c r="X615" s="390"/>
      <c r="Y615" s="390"/>
    </row>
    <row r="616">
      <c r="A616" s="390" t="str">
        <f>IFERROR(__xludf.DUMMYFUNCTION("""COMPUTED_VALUE"""),"Eli Cristiane Aparecida de Oliveira")</f>
        <v>Eli Cristiane Aparecida de Oliveira</v>
      </c>
      <c r="B616" s="390" t="str">
        <f>IFERROR(__xludf.DUMMYFUNCTION("""COMPUTED_VALUE"""),"Form. Pedagógica")</f>
        <v>Form. Pedagógica</v>
      </c>
      <c r="C616" s="390" t="str">
        <f>IFERROR(__xludf.DUMMYFUNCTION("""COMPUTED_VALUE"""),"Física")</f>
        <v>Física</v>
      </c>
      <c r="D616" s="390" t="str">
        <f>IFERROR(__xludf.DUMMYFUNCTION("""COMPUTED_VALUE"""),"Entregue em 26/05/2025 - Kinbox - Miguel")</f>
        <v>Entregue em 26/05/2025 - Kinbox - Miguel</v>
      </c>
      <c r="E616" s="390"/>
      <c r="F616" s="390"/>
      <c r="G616" s="390"/>
      <c r="H616" s="390"/>
      <c r="I616" s="390"/>
      <c r="J616" s="390"/>
      <c r="K616" s="390"/>
      <c r="L616" s="390"/>
      <c r="M616" s="390"/>
      <c r="N616" s="390"/>
      <c r="O616" s="390"/>
      <c r="P616" s="390"/>
      <c r="Q616" s="390"/>
      <c r="R616" s="390"/>
      <c r="S616" s="390"/>
      <c r="T616" s="390"/>
      <c r="U616" s="390"/>
      <c r="V616" s="390"/>
      <c r="W616" s="390"/>
      <c r="X616" s="390"/>
      <c r="Y616" s="390"/>
    </row>
    <row r="617">
      <c r="A617" s="390" t="str">
        <f>IFERROR(__xludf.DUMMYFUNCTION("""COMPUTED_VALUE"""),"Samara Fernandes Costa")</f>
        <v>Samara Fernandes Costa</v>
      </c>
      <c r="B617" s="390" t="str">
        <f>IFERROR(__xludf.DUMMYFUNCTION("""COMPUTED_VALUE"""),"2° Licenciatura")</f>
        <v>2° Licenciatura</v>
      </c>
      <c r="C617" s="390" t="str">
        <f>IFERROR(__xludf.DUMMYFUNCTION("""COMPUTED_VALUE"""),"Letras - Português e Espanhol")</f>
        <v>Letras - Português e Espanhol</v>
      </c>
      <c r="D617" s="390" t="str">
        <f>IFERROR(__xludf.DUMMYFUNCTION("""COMPUTED_VALUE"""),"Entregue em 26/05/2025 - Kinbox - Miguel")</f>
        <v>Entregue em 26/05/2025 - Kinbox - Miguel</v>
      </c>
      <c r="E617" s="390"/>
      <c r="F617" s="390"/>
      <c r="G617" s="390"/>
      <c r="H617" s="390"/>
      <c r="I617" s="390"/>
      <c r="J617" s="390"/>
      <c r="K617" s="390"/>
      <c r="L617" s="390"/>
      <c r="M617" s="390"/>
      <c r="N617" s="390"/>
      <c r="O617" s="390"/>
      <c r="P617" s="390"/>
      <c r="Q617" s="390"/>
      <c r="R617" s="390"/>
      <c r="S617" s="390"/>
      <c r="T617" s="390"/>
      <c r="U617" s="390"/>
      <c r="V617" s="390"/>
      <c r="W617" s="390"/>
      <c r="X617" s="390"/>
      <c r="Y617" s="390"/>
    </row>
    <row r="618">
      <c r="A618" s="390" t="str">
        <f>IFERROR(__xludf.DUMMYFUNCTION("""COMPUTED_VALUE"""),"Antônio Alberto Prata Teodoro")</f>
        <v>Antônio Alberto Prata Teodoro</v>
      </c>
      <c r="B618" s="390" t="str">
        <f>IFERROR(__xludf.DUMMYFUNCTION("""COMPUTED_VALUE"""),"Form. Pedagógica")</f>
        <v>Form. Pedagógica</v>
      </c>
      <c r="C618" s="390" t="str">
        <f>IFERROR(__xludf.DUMMYFUNCTION("""COMPUTED_VALUE"""),"Educação Especial")</f>
        <v>Educação Especial</v>
      </c>
      <c r="D618" s="390" t="str">
        <f>IFERROR(__xludf.DUMMYFUNCTION("""COMPUTED_VALUE"""),"Entregue em 27/05/2025 - Kinbox - Miguel")</f>
        <v>Entregue em 27/05/2025 - Kinbox - Miguel</v>
      </c>
      <c r="E618" s="390"/>
      <c r="F618" s="390"/>
      <c r="G618" s="390"/>
      <c r="H618" s="390"/>
      <c r="I618" s="390"/>
      <c r="J618" s="390"/>
      <c r="K618" s="390"/>
      <c r="L618" s="390"/>
      <c r="M618" s="390"/>
      <c r="N618" s="390"/>
      <c r="O618" s="390"/>
      <c r="P618" s="390"/>
      <c r="Q618" s="390"/>
      <c r="R618" s="390"/>
      <c r="S618" s="390"/>
      <c r="T618" s="390"/>
      <c r="U618" s="390"/>
      <c r="V618" s="390"/>
      <c r="W618" s="390"/>
      <c r="X618" s="390"/>
      <c r="Y618" s="390"/>
    </row>
    <row r="619">
      <c r="A619" s="390" t="str">
        <f>IFERROR(__xludf.DUMMYFUNCTION("""COMPUTED_VALUE"""),"Antônio Alberto Prata Teodoro")</f>
        <v>Antônio Alberto Prata Teodoro</v>
      </c>
      <c r="B619" s="390" t="str">
        <f>IFERROR(__xludf.DUMMYFUNCTION("""COMPUTED_VALUE"""),"Form. Pedagógica")</f>
        <v>Form. Pedagógica</v>
      </c>
      <c r="C619" s="390" t="str">
        <f>IFERROR(__xludf.DUMMYFUNCTION("""COMPUTED_VALUE"""),"Sociologia")</f>
        <v>Sociologia</v>
      </c>
      <c r="D619" s="390" t="str">
        <f>IFERROR(__xludf.DUMMYFUNCTION("""COMPUTED_VALUE"""),"Entregue em 27/05/2025 - Kinbox - Miguel")</f>
        <v>Entregue em 27/05/2025 - Kinbox - Miguel</v>
      </c>
      <c r="E619" s="390"/>
      <c r="F619" s="390"/>
      <c r="G619" s="390"/>
      <c r="H619" s="390"/>
      <c r="I619" s="390"/>
      <c r="J619" s="390"/>
      <c r="K619" s="390"/>
      <c r="L619" s="390"/>
      <c r="M619" s="390"/>
      <c r="N619" s="390"/>
      <c r="O619" s="390"/>
      <c r="P619" s="390"/>
      <c r="Q619" s="390"/>
      <c r="R619" s="390"/>
      <c r="S619" s="390"/>
      <c r="T619" s="390"/>
      <c r="U619" s="390"/>
      <c r="V619" s="390"/>
      <c r="W619" s="390"/>
      <c r="X619" s="390"/>
      <c r="Y619" s="390"/>
    </row>
    <row r="620">
      <c r="A620" s="390" t="str">
        <f>IFERROR(__xludf.DUMMYFUNCTION("""COMPUTED_VALUE"""),"Antônio Alberto Prata Teodoro")</f>
        <v>Antônio Alberto Prata Teodoro</v>
      </c>
      <c r="B620" s="390" t="str">
        <f>IFERROR(__xludf.DUMMYFUNCTION("""COMPUTED_VALUE"""),"Form. Pedagógica")</f>
        <v>Form. Pedagógica</v>
      </c>
      <c r="C620" s="390" t="str">
        <f>IFERROR(__xludf.DUMMYFUNCTION("""COMPUTED_VALUE"""),"Filosofia")</f>
        <v>Filosofia</v>
      </c>
      <c r="D620" s="390" t="str">
        <f>IFERROR(__xludf.DUMMYFUNCTION("""COMPUTED_VALUE"""),"Entregue em 27/05/2025 - Kinbox - Miguel")</f>
        <v>Entregue em 27/05/2025 - Kinbox - Miguel</v>
      </c>
      <c r="E620" s="390"/>
      <c r="F620" s="390"/>
      <c r="G620" s="390"/>
      <c r="H620" s="390"/>
      <c r="I620" s="390"/>
      <c r="J620" s="390"/>
      <c r="K620" s="390"/>
      <c r="L620" s="390"/>
      <c r="M620" s="390"/>
      <c r="N620" s="390"/>
      <c r="O620" s="390"/>
      <c r="P620" s="390"/>
      <c r="Q620" s="390"/>
      <c r="R620" s="390"/>
      <c r="S620" s="390"/>
      <c r="T620" s="390"/>
      <c r="U620" s="390"/>
      <c r="V620" s="390"/>
      <c r="W620" s="390"/>
      <c r="X620" s="390"/>
      <c r="Y620" s="390"/>
    </row>
    <row r="621">
      <c r="A621" s="390" t="str">
        <f>IFERROR(__xludf.DUMMYFUNCTION("""COMPUTED_VALUE"""),"Antônio Alberto Prata Teodoro")</f>
        <v>Antônio Alberto Prata Teodoro</v>
      </c>
      <c r="B621" s="390" t="str">
        <f>IFERROR(__xludf.DUMMYFUNCTION("""COMPUTED_VALUE"""),"Form. Pedagógica")</f>
        <v>Form. Pedagógica</v>
      </c>
      <c r="C621" s="390" t="str">
        <f>IFERROR(__xludf.DUMMYFUNCTION("""COMPUTED_VALUE"""),"Ciências da Religião")</f>
        <v>Ciências da Religião</v>
      </c>
      <c r="D621" s="390" t="str">
        <f>IFERROR(__xludf.DUMMYFUNCTION("""COMPUTED_VALUE"""),"Entregue em 27/05/2025 - Kinbox - Miguel")</f>
        <v>Entregue em 27/05/2025 - Kinbox - Miguel</v>
      </c>
      <c r="E621" s="390"/>
      <c r="F621" s="390"/>
      <c r="G621" s="390"/>
      <c r="H621" s="390"/>
      <c r="I621" s="390"/>
      <c r="J621" s="390"/>
      <c r="K621" s="390"/>
      <c r="L621" s="390"/>
      <c r="M621" s="390"/>
      <c r="N621" s="390"/>
      <c r="O621" s="390"/>
      <c r="P621" s="390"/>
      <c r="Q621" s="390"/>
      <c r="R621" s="390"/>
      <c r="S621" s="390"/>
      <c r="T621" s="390"/>
      <c r="U621" s="390"/>
      <c r="V621" s="390"/>
      <c r="W621" s="390"/>
      <c r="X621" s="390"/>
      <c r="Y621" s="390"/>
    </row>
    <row r="622">
      <c r="A622" s="390" t="str">
        <f>IFERROR(__xludf.DUMMYFUNCTION("""COMPUTED_VALUE"""),"Antônio Alberto Prata Teodoro")</f>
        <v>Antônio Alberto Prata Teodoro</v>
      </c>
      <c r="B622" s="390" t="str">
        <f>IFERROR(__xludf.DUMMYFUNCTION("""COMPUTED_VALUE"""),"Form. Pedagógica")</f>
        <v>Form. Pedagógica</v>
      </c>
      <c r="C622" s="390" t="str">
        <f>IFERROR(__xludf.DUMMYFUNCTION("""COMPUTED_VALUE"""),"Geografia")</f>
        <v>Geografia</v>
      </c>
      <c r="D622" s="390" t="str">
        <f>IFERROR(__xludf.DUMMYFUNCTION("""COMPUTED_VALUE"""),"Entregue em 27/05/2025 - Kinbox - Miguel")</f>
        <v>Entregue em 27/05/2025 - Kinbox - Miguel</v>
      </c>
      <c r="E622" s="390"/>
      <c r="F622" s="390"/>
      <c r="G622" s="390"/>
      <c r="H622" s="390"/>
      <c r="I622" s="390"/>
      <c r="J622" s="390"/>
      <c r="K622" s="390"/>
      <c r="L622" s="390"/>
      <c r="M622" s="390"/>
      <c r="N622" s="390"/>
      <c r="O622" s="390"/>
      <c r="P622" s="390"/>
      <c r="Q622" s="390"/>
      <c r="R622" s="390"/>
      <c r="S622" s="390"/>
      <c r="T622" s="390"/>
      <c r="U622" s="390"/>
      <c r="V622" s="390"/>
      <c r="W622" s="390"/>
      <c r="X622" s="390"/>
      <c r="Y622" s="390"/>
    </row>
    <row r="623">
      <c r="A623" s="390" t="str">
        <f>IFERROR(__xludf.DUMMYFUNCTION("""COMPUTED_VALUE"""),"Antônio Alberto Prata Teodoro")</f>
        <v>Antônio Alberto Prata Teodoro</v>
      </c>
      <c r="B623" s="390" t="str">
        <f>IFERROR(__xludf.DUMMYFUNCTION("""COMPUTED_VALUE"""),"Form. Pedagógica")</f>
        <v>Form. Pedagógica</v>
      </c>
      <c r="C623" s="390" t="str">
        <f>IFERROR(__xludf.DUMMYFUNCTION("""COMPUTED_VALUE"""),"Artes Visuais ")</f>
        <v>Artes Visuais </v>
      </c>
      <c r="D623" s="390" t="str">
        <f>IFERROR(__xludf.DUMMYFUNCTION("""COMPUTED_VALUE"""),"Entregue em 27/05/2025 - Kinbox - Miguel")</f>
        <v>Entregue em 27/05/2025 - Kinbox - Miguel</v>
      </c>
      <c r="E623" s="390"/>
      <c r="F623" s="390"/>
      <c r="G623" s="390"/>
      <c r="H623" s="390"/>
      <c r="I623" s="390"/>
      <c r="J623" s="390"/>
      <c r="K623" s="390"/>
      <c r="L623" s="390"/>
      <c r="M623" s="390"/>
      <c r="N623" s="390"/>
      <c r="O623" s="390"/>
      <c r="P623" s="390"/>
      <c r="Q623" s="390"/>
      <c r="R623" s="390"/>
      <c r="S623" s="390"/>
      <c r="T623" s="390"/>
      <c r="U623" s="390"/>
      <c r="V623" s="390"/>
      <c r="W623" s="390"/>
      <c r="X623" s="390"/>
      <c r="Y623" s="390"/>
    </row>
    <row r="624">
      <c r="A624" s="390" t="str">
        <f>IFERROR(__xludf.DUMMYFUNCTION("""COMPUTED_VALUE"""),"Antônio Alberto Prata Teodoro")</f>
        <v>Antônio Alberto Prata Teodoro</v>
      </c>
      <c r="B624" s="390" t="str">
        <f>IFERROR(__xludf.DUMMYFUNCTION("""COMPUTED_VALUE"""),"Form. Pedagógica")</f>
        <v>Form. Pedagógica</v>
      </c>
      <c r="C624" s="390" t="str">
        <f>IFERROR(__xludf.DUMMYFUNCTION("""COMPUTED_VALUE"""),"Educação Física")</f>
        <v>Educação Física</v>
      </c>
      <c r="D624" s="390" t="str">
        <f>IFERROR(__xludf.DUMMYFUNCTION("""COMPUTED_VALUE"""),"Entregue em 27/05/2025 - Kinbox - Miguel")</f>
        <v>Entregue em 27/05/2025 - Kinbox - Miguel</v>
      </c>
      <c r="E624" s="390"/>
      <c r="F624" s="390"/>
      <c r="G624" s="390"/>
      <c r="H624" s="390"/>
      <c r="I624" s="390"/>
      <c r="J624" s="390"/>
      <c r="K624" s="390"/>
      <c r="L624" s="390"/>
      <c r="M624" s="390"/>
      <c r="N624" s="390"/>
      <c r="O624" s="390"/>
      <c r="P624" s="390"/>
      <c r="Q624" s="390"/>
      <c r="R624" s="390"/>
      <c r="S624" s="390"/>
      <c r="T624" s="390"/>
      <c r="U624" s="390"/>
      <c r="V624" s="390"/>
      <c r="W624" s="390"/>
      <c r="X624" s="390"/>
      <c r="Y624" s="390"/>
    </row>
    <row r="625">
      <c r="A625" s="390" t="str">
        <f>IFERROR(__xludf.DUMMYFUNCTION("""COMPUTED_VALUE"""),"Elisiane Andrade Lima")</f>
        <v>Elisiane Andrade Lima</v>
      </c>
      <c r="B625" s="390" t="str">
        <f>IFERROR(__xludf.DUMMYFUNCTION("""COMPUTED_VALUE"""),"2° Licenciatura")</f>
        <v>2° Licenciatura</v>
      </c>
      <c r="C625" s="390" t="str">
        <f>IFERROR(__xludf.DUMMYFUNCTION("""COMPUTED_VALUE"""),"Artes Visuais")</f>
        <v>Artes Visuais</v>
      </c>
      <c r="D625" s="390"/>
      <c r="E625" s="390"/>
      <c r="F625" s="390"/>
      <c r="G625" s="390"/>
      <c r="H625" s="390"/>
      <c r="I625" s="390"/>
      <c r="J625" s="390"/>
      <c r="K625" s="390"/>
      <c r="L625" s="390"/>
      <c r="M625" s="390"/>
      <c r="N625" s="390"/>
      <c r="O625" s="390"/>
      <c r="P625" s="390"/>
      <c r="Q625" s="390"/>
      <c r="R625" s="390"/>
      <c r="S625" s="390"/>
      <c r="T625" s="390"/>
      <c r="U625" s="390"/>
      <c r="V625" s="390"/>
      <c r="W625" s="390"/>
      <c r="X625" s="390"/>
      <c r="Y625" s="390"/>
    </row>
    <row r="626">
      <c r="A626" s="390" t="str">
        <f>IFERROR(__xludf.DUMMYFUNCTION("""COMPUTED_VALUE"""),"Fabiana Hames")</f>
        <v>Fabiana Hames</v>
      </c>
      <c r="B626" s="390" t="str">
        <f>IFERROR(__xludf.DUMMYFUNCTION("""COMPUTED_VALUE"""),"2° Licenciatura")</f>
        <v>2° Licenciatura</v>
      </c>
      <c r="C626" s="390" t="str">
        <f>IFERROR(__xludf.DUMMYFUNCTION("""COMPUTED_VALUE"""),"Educação Fisica")</f>
        <v>Educação Fisica</v>
      </c>
      <c r="D626" s="390"/>
      <c r="E626" s="390"/>
      <c r="F626" s="390"/>
      <c r="G626" s="390"/>
      <c r="H626" s="390"/>
      <c r="I626" s="390"/>
      <c r="J626" s="390"/>
      <c r="K626" s="390"/>
      <c r="L626" s="390"/>
      <c r="M626" s="390"/>
      <c r="N626" s="390"/>
      <c r="O626" s="390"/>
      <c r="P626" s="390"/>
      <c r="Q626" s="390"/>
      <c r="R626" s="390"/>
      <c r="S626" s="390"/>
      <c r="T626" s="390"/>
      <c r="U626" s="390"/>
      <c r="V626" s="390"/>
      <c r="W626" s="390"/>
      <c r="X626" s="390"/>
      <c r="Y626" s="390"/>
    </row>
    <row r="627">
      <c r="A627" s="390" t="str">
        <f>IFERROR(__xludf.DUMMYFUNCTION("""COMPUTED_VALUE"""),"Mikaele de Brito Lima")</f>
        <v>Mikaele de Brito Lima</v>
      </c>
      <c r="B627" s="390" t="str">
        <f>IFERROR(__xludf.DUMMYFUNCTION("""COMPUTED_VALUE"""),"2° Licenciatura")</f>
        <v>2° Licenciatura</v>
      </c>
      <c r="C627" s="390" t="str">
        <f>IFERROR(__xludf.DUMMYFUNCTION("""COMPUTED_VALUE"""),"História")</f>
        <v>História</v>
      </c>
      <c r="D627" s="390"/>
      <c r="E627" s="390"/>
      <c r="F627" s="390"/>
      <c r="G627" s="390"/>
      <c r="H627" s="390"/>
      <c r="I627" s="390"/>
      <c r="J627" s="390"/>
      <c r="K627" s="390"/>
      <c r="L627" s="390"/>
      <c r="M627" s="390"/>
      <c r="N627" s="390"/>
      <c r="O627" s="390"/>
      <c r="P627" s="390"/>
      <c r="Q627" s="390"/>
      <c r="R627" s="390"/>
      <c r="S627" s="390"/>
      <c r="T627" s="390"/>
      <c r="U627" s="390"/>
      <c r="V627" s="390"/>
      <c r="W627" s="390"/>
      <c r="X627" s="390"/>
      <c r="Y627" s="390"/>
    </row>
    <row r="628">
      <c r="A628" s="390" t="str">
        <f>IFERROR(__xludf.DUMMYFUNCTION("""COMPUTED_VALUE"""),"Rafael Alves Da Silva")</f>
        <v>Rafael Alves Da Silva</v>
      </c>
      <c r="B628" s="390" t="str">
        <f>IFERROR(__xludf.DUMMYFUNCTION("""COMPUTED_VALUE"""),"Form. Pedagógica")</f>
        <v>Form. Pedagógica</v>
      </c>
      <c r="C628" s="390" t="str">
        <f>IFERROR(__xludf.DUMMYFUNCTION("""COMPUTED_VALUE"""),"Educação Física")</f>
        <v>Educação Física</v>
      </c>
      <c r="D628" s="390" t="str">
        <f>IFERROR(__xludf.DUMMYFUNCTION("""COMPUTED_VALUE"""),"Entregue em 11/06/2025 - Kinbox - Miguel")</f>
        <v>Entregue em 11/06/2025 - Kinbox - Miguel</v>
      </c>
      <c r="E628" s="390"/>
      <c r="F628" s="390"/>
      <c r="G628" s="390"/>
      <c r="H628" s="390"/>
      <c r="I628" s="390"/>
      <c r="J628" s="390"/>
      <c r="K628" s="390"/>
      <c r="L628" s="390"/>
      <c r="M628" s="390"/>
      <c r="N628" s="390"/>
      <c r="O628" s="390"/>
      <c r="P628" s="390"/>
      <c r="Q628" s="390"/>
      <c r="R628" s="390"/>
      <c r="S628" s="390"/>
      <c r="T628" s="390"/>
      <c r="U628" s="390"/>
      <c r="V628" s="390"/>
      <c r="W628" s="390"/>
      <c r="X628" s="390"/>
      <c r="Y628" s="390"/>
    </row>
    <row r="629">
      <c r="A629" s="390" t="str">
        <f>IFERROR(__xludf.DUMMYFUNCTION("""COMPUTED_VALUE"""),"Mara Gonçalves Marchesin")</f>
        <v>Mara Gonçalves Marchesin</v>
      </c>
      <c r="B629" s="390" t="str">
        <f>IFERROR(__xludf.DUMMYFUNCTION("""COMPUTED_VALUE"""),"2° Licenciatura")</f>
        <v>2° Licenciatura</v>
      </c>
      <c r="C629" s="390" t="str">
        <f>IFERROR(__xludf.DUMMYFUNCTION("""COMPUTED_VALUE"""),"Artes Visuais")</f>
        <v>Artes Visuais</v>
      </c>
      <c r="D629" s="390" t="str">
        <f>IFERROR(__xludf.DUMMYFUNCTION("""COMPUTED_VALUE"""),"Entregue em 11/06/2025 - Kinbox - Miguel")</f>
        <v>Entregue em 11/06/2025 - Kinbox - Miguel</v>
      </c>
      <c r="E629" s="390"/>
      <c r="F629" s="390"/>
      <c r="G629" s="390"/>
      <c r="H629" s="390"/>
      <c r="I629" s="390"/>
      <c r="J629" s="390"/>
      <c r="K629" s="390"/>
      <c r="L629" s="390"/>
      <c r="M629" s="390"/>
      <c r="N629" s="390"/>
      <c r="O629" s="390"/>
      <c r="P629" s="390"/>
      <c r="Q629" s="390"/>
      <c r="R629" s="390"/>
      <c r="S629" s="390"/>
      <c r="T629" s="390"/>
      <c r="U629" s="390"/>
      <c r="V629" s="390"/>
      <c r="W629" s="390"/>
      <c r="X629" s="390"/>
      <c r="Y629" s="390"/>
    </row>
    <row r="630">
      <c r="A630" s="390" t="str">
        <f>IFERROR(__xludf.DUMMYFUNCTION("""COMPUTED_VALUE"""),"Ricardo Alves Ribeiro")</f>
        <v>Ricardo Alves Ribeiro</v>
      </c>
      <c r="B630" s="390" t="str">
        <f>IFERROR(__xludf.DUMMYFUNCTION("""COMPUTED_VALUE"""),"Form. Pedagógica")</f>
        <v>Form. Pedagógica</v>
      </c>
      <c r="C630" s="390" t="str">
        <f>IFERROR(__xludf.DUMMYFUNCTION("""COMPUTED_VALUE"""),"Matemática")</f>
        <v>Matemática</v>
      </c>
      <c r="D630" s="390" t="str">
        <f>IFERROR(__xludf.DUMMYFUNCTION("""COMPUTED_VALUE"""),"Entregue em 11/06/2025 - Kinbox - Miguel")</f>
        <v>Entregue em 11/06/2025 - Kinbox - Miguel</v>
      </c>
      <c r="E630" s="390"/>
      <c r="F630" s="390"/>
      <c r="G630" s="390"/>
      <c r="H630" s="390"/>
      <c r="I630" s="390"/>
      <c r="J630" s="390"/>
      <c r="K630" s="390"/>
      <c r="L630" s="390"/>
      <c r="M630" s="390"/>
      <c r="N630" s="390"/>
      <c r="O630" s="390"/>
      <c r="P630" s="390"/>
      <c r="Q630" s="390"/>
      <c r="R630" s="390"/>
      <c r="S630" s="390"/>
      <c r="T630" s="390"/>
      <c r="U630" s="390"/>
      <c r="V630" s="390"/>
      <c r="W630" s="390"/>
      <c r="X630" s="390"/>
      <c r="Y630" s="390"/>
    </row>
    <row r="631">
      <c r="A631" s="390" t="str">
        <f>IFERROR(__xludf.DUMMYFUNCTION("""COMPUTED_VALUE"""),"Cintia Santos Dias")</f>
        <v>Cintia Santos Dias</v>
      </c>
      <c r="B631" s="390" t="str">
        <f>IFERROR(__xludf.DUMMYFUNCTION("""COMPUTED_VALUE"""),"Form. Pedagógica")</f>
        <v>Form. Pedagógica</v>
      </c>
      <c r="C631" s="390" t="str">
        <f>IFERROR(__xludf.DUMMYFUNCTION("""COMPUTED_VALUE"""),"Educação Fisica")</f>
        <v>Educação Fisica</v>
      </c>
      <c r="D631" s="390" t="str">
        <f>IFERROR(__xludf.DUMMYFUNCTION("""COMPUTED_VALUE"""),"Entregue em 11/06/2025 - Kinbox - Miguel")</f>
        <v>Entregue em 11/06/2025 - Kinbox - Miguel</v>
      </c>
      <c r="E631" s="390"/>
      <c r="F631" s="390"/>
      <c r="G631" s="390"/>
      <c r="H631" s="390"/>
      <c r="I631" s="390"/>
      <c r="J631" s="390"/>
      <c r="K631" s="390"/>
      <c r="L631" s="390"/>
      <c r="M631" s="390"/>
      <c r="N631" s="390"/>
      <c r="O631" s="390"/>
      <c r="P631" s="390"/>
      <c r="Q631" s="390"/>
      <c r="R631" s="390"/>
      <c r="S631" s="390"/>
      <c r="T631" s="390"/>
      <c r="U631" s="390"/>
      <c r="V631" s="390"/>
      <c r="W631" s="390"/>
      <c r="X631" s="390"/>
      <c r="Y631" s="390"/>
    </row>
    <row r="632">
      <c r="A632" s="390" t="str">
        <f>IFERROR(__xludf.DUMMYFUNCTION("""COMPUTED_VALUE"""),"Maria do Carmo Rodrigues Pinheiro (Documentos não encontrados)")</f>
        <v>Maria do Carmo Rodrigues Pinheiro (Documentos não encontrados)</v>
      </c>
      <c r="B632" s="390" t="str">
        <f>IFERROR(__xludf.DUMMYFUNCTION("""COMPUTED_VALUE"""),"Form. Pedagógica")</f>
        <v>Form. Pedagógica</v>
      </c>
      <c r="C632" s="390" t="str">
        <f>IFERROR(__xludf.DUMMYFUNCTION("""COMPUTED_VALUE"""),"Filosofia")</f>
        <v>Filosofia</v>
      </c>
      <c r="D632" s="390"/>
      <c r="E632" s="390"/>
      <c r="F632" s="390"/>
      <c r="G632" s="390"/>
      <c r="H632" s="390"/>
      <c r="I632" s="390"/>
      <c r="J632" s="390"/>
      <c r="K632" s="390"/>
      <c r="L632" s="390"/>
      <c r="M632" s="390"/>
      <c r="N632" s="390"/>
      <c r="O632" s="390"/>
      <c r="P632" s="390"/>
      <c r="Q632" s="390"/>
      <c r="R632" s="390"/>
      <c r="S632" s="390"/>
      <c r="T632" s="390"/>
      <c r="U632" s="390"/>
      <c r="V632" s="390"/>
      <c r="W632" s="390"/>
      <c r="X632" s="390"/>
      <c r="Y632" s="390"/>
    </row>
    <row r="633">
      <c r="A633" s="390" t="str">
        <f>IFERROR(__xludf.DUMMYFUNCTION("""COMPUTED_VALUE"""),"Marly Gonçalves Lima")</f>
        <v>Marly Gonçalves Lima</v>
      </c>
      <c r="B633" s="390" t="str">
        <f>IFERROR(__xludf.DUMMYFUNCTION("""COMPUTED_VALUE"""),"2° Licenciatura")</f>
        <v>2° Licenciatura</v>
      </c>
      <c r="C633" s="390" t="str">
        <f>IFERROR(__xludf.DUMMYFUNCTION("""COMPUTED_VALUE"""),"Artes Visuais")</f>
        <v>Artes Visuais</v>
      </c>
      <c r="D633" s="390" t="str">
        <f>IFERROR(__xludf.DUMMYFUNCTION("""COMPUTED_VALUE"""),"Entregue em 11/06/2025 - Kinbox - Miguel")</f>
        <v>Entregue em 11/06/2025 - Kinbox - Miguel</v>
      </c>
      <c r="E633" s="390"/>
      <c r="F633" s="390"/>
      <c r="G633" s="390"/>
      <c r="H633" s="390"/>
      <c r="I633" s="390"/>
      <c r="J633" s="390"/>
      <c r="K633" s="390"/>
      <c r="L633" s="390"/>
      <c r="M633" s="390"/>
      <c r="N633" s="390"/>
      <c r="O633" s="390"/>
      <c r="P633" s="390"/>
      <c r="Q633" s="390"/>
      <c r="R633" s="390"/>
      <c r="S633" s="390"/>
      <c r="T633" s="390"/>
      <c r="U633" s="390"/>
      <c r="V633" s="390"/>
      <c r="W633" s="390"/>
      <c r="X633" s="390"/>
      <c r="Y633" s="390"/>
    </row>
    <row r="634">
      <c r="A634" s="390" t="str">
        <f>IFERROR(__xludf.DUMMYFUNCTION("""COMPUTED_VALUE"""),"Roni Rodrigues Siqueira")</f>
        <v>Roni Rodrigues Siqueira</v>
      </c>
      <c r="B634" s="390" t="str">
        <f>IFERROR(__xludf.DUMMYFUNCTION("""COMPUTED_VALUE"""),"Form. Pedagógica")</f>
        <v>Form. Pedagógica</v>
      </c>
      <c r="C634" s="390" t="str">
        <f>IFERROR(__xludf.DUMMYFUNCTION("""COMPUTED_VALUE"""),"Educação Fisica")</f>
        <v>Educação Fisica</v>
      </c>
      <c r="D634" s="390" t="str">
        <f>IFERROR(__xludf.DUMMYFUNCTION("""COMPUTED_VALUE"""),"Entregue em 11/06/2025 - Kinbox - Miguel")</f>
        <v>Entregue em 11/06/2025 - Kinbox - Miguel</v>
      </c>
      <c r="E634" s="390"/>
      <c r="F634" s="390"/>
      <c r="G634" s="390"/>
      <c r="H634" s="390"/>
      <c r="I634" s="390"/>
      <c r="J634" s="390"/>
      <c r="K634" s="390"/>
      <c r="L634" s="390"/>
      <c r="M634" s="390"/>
      <c r="N634" s="390"/>
      <c r="O634" s="390"/>
      <c r="P634" s="390"/>
      <c r="Q634" s="390"/>
      <c r="R634" s="390"/>
      <c r="S634" s="390"/>
      <c r="T634" s="390"/>
      <c r="U634" s="390"/>
      <c r="V634" s="390"/>
      <c r="W634" s="390"/>
      <c r="X634" s="390"/>
      <c r="Y634" s="390"/>
    </row>
    <row r="635">
      <c r="A635" s="390" t="str">
        <f>IFERROR(__xludf.DUMMYFUNCTION("""COMPUTED_VALUE"""),"Iara Rocha Pereira")</f>
        <v>Iara Rocha Pereira</v>
      </c>
      <c r="B635" s="390" t="str">
        <f>IFERROR(__xludf.DUMMYFUNCTION("""COMPUTED_VALUE"""),"2° Licenciatura")</f>
        <v>2° Licenciatura</v>
      </c>
      <c r="C635" s="390" t="str">
        <f>IFERROR(__xludf.DUMMYFUNCTION("""COMPUTED_VALUE"""),"Artes Visuais ")</f>
        <v>Artes Visuais </v>
      </c>
      <c r="D635" s="390" t="str">
        <f>IFERROR(__xludf.DUMMYFUNCTION("""COMPUTED_VALUE"""),"Entregue pela Unicv")</f>
        <v>Entregue pela Unicv</v>
      </c>
      <c r="E635" s="390"/>
      <c r="F635" s="390"/>
      <c r="G635" s="390"/>
      <c r="H635" s="390"/>
      <c r="I635" s="390"/>
      <c r="J635" s="390"/>
      <c r="K635" s="390"/>
      <c r="L635" s="390"/>
      <c r="M635" s="390"/>
      <c r="N635" s="390"/>
      <c r="O635" s="390"/>
      <c r="P635" s="390"/>
      <c r="Q635" s="390"/>
      <c r="R635" s="390"/>
      <c r="S635" s="390"/>
      <c r="T635" s="390"/>
      <c r="U635" s="390"/>
      <c r="V635" s="390"/>
      <c r="W635" s="390"/>
      <c r="X635" s="390"/>
      <c r="Y635" s="390"/>
    </row>
    <row r="636">
      <c r="A636" s="390" t="str">
        <f>IFERROR(__xludf.DUMMYFUNCTION("""COMPUTED_VALUE"""),"Bruno Soares da Silva")</f>
        <v>Bruno Soares da Silva</v>
      </c>
      <c r="B636" s="390" t="str">
        <f>IFERROR(__xludf.DUMMYFUNCTION("""COMPUTED_VALUE"""),"Form. Pedagógica")</f>
        <v>Form. Pedagógica</v>
      </c>
      <c r="C636" s="390" t="str">
        <f>IFERROR(__xludf.DUMMYFUNCTION("""COMPUTED_VALUE"""),"Matemática")</f>
        <v>Matemática</v>
      </c>
      <c r="D636" s="390" t="str">
        <f>IFERROR(__xludf.DUMMYFUNCTION("""COMPUTED_VALUE"""),"Entregue em 29/05/2025 - Kinbox - Miguel")</f>
        <v>Entregue em 29/05/2025 - Kinbox - Miguel</v>
      </c>
      <c r="E636" s="390"/>
      <c r="F636" s="390"/>
      <c r="G636" s="390"/>
      <c r="H636" s="390"/>
      <c r="I636" s="390"/>
      <c r="J636" s="390"/>
      <c r="K636" s="390"/>
      <c r="L636" s="390"/>
      <c r="M636" s="390"/>
      <c r="N636" s="390"/>
      <c r="O636" s="390"/>
      <c r="P636" s="390"/>
      <c r="Q636" s="390"/>
      <c r="R636" s="390"/>
      <c r="S636" s="390"/>
      <c r="T636" s="390"/>
      <c r="U636" s="390"/>
      <c r="V636" s="390"/>
      <c r="W636" s="390"/>
      <c r="X636" s="390"/>
      <c r="Y636" s="390"/>
    </row>
    <row r="637">
      <c r="A637" s="390" t="str">
        <f>IFERROR(__xludf.DUMMYFUNCTION("""COMPUTED_VALUE"""),"Marlla Angélica dos Santos da Costa")</f>
        <v>Marlla Angélica dos Santos da Costa</v>
      </c>
      <c r="B637" s="390" t="str">
        <f>IFERROR(__xludf.DUMMYFUNCTION("""COMPUTED_VALUE"""),"2° Licenciatura")</f>
        <v>2° Licenciatura</v>
      </c>
      <c r="C637" s="390" t="str">
        <f>IFERROR(__xludf.DUMMYFUNCTION("""COMPUTED_VALUE"""),"História")</f>
        <v>História</v>
      </c>
      <c r="D637" s="390"/>
      <c r="E637" s="390"/>
      <c r="F637" s="390"/>
      <c r="G637" s="390"/>
      <c r="H637" s="390"/>
      <c r="I637" s="390"/>
      <c r="J637" s="390"/>
      <c r="K637" s="390"/>
      <c r="L637" s="390"/>
      <c r="M637" s="390"/>
      <c r="N637" s="390"/>
      <c r="O637" s="390"/>
      <c r="P637" s="390"/>
      <c r="Q637" s="390"/>
      <c r="R637" s="390"/>
      <c r="S637" s="390"/>
      <c r="T637" s="390"/>
      <c r="U637" s="390"/>
      <c r="V637" s="390"/>
      <c r="W637" s="390"/>
      <c r="X637" s="390"/>
      <c r="Y637" s="390"/>
    </row>
    <row r="638">
      <c r="A638" s="390" t="str">
        <f>IFERROR(__xludf.DUMMYFUNCTION("""COMPUTED_VALUE"""),"Alexandre Lessa Pereira da Silva (Alexandre Coelho Lessa)")</f>
        <v>Alexandre Lessa Pereira da Silva (Alexandre Coelho Lessa)</v>
      </c>
      <c r="B638" s="390" t="str">
        <f>IFERROR(__xludf.DUMMYFUNCTION("""COMPUTED_VALUE"""),"Form. Pedagógica")</f>
        <v>Form. Pedagógica</v>
      </c>
      <c r="C638" s="390" t="str">
        <f>IFERROR(__xludf.DUMMYFUNCTION("""COMPUTED_VALUE"""),"História")</f>
        <v>História</v>
      </c>
      <c r="D638" s="390" t="str">
        <f>IFERROR(__xludf.DUMMYFUNCTION("""COMPUTED_VALUE"""),"Entregue em 29/05/2025 - Kinbox - Miguel")</f>
        <v>Entregue em 29/05/2025 - Kinbox - Miguel</v>
      </c>
      <c r="E638" s="390"/>
      <c r="F638" s="390"/>
      <c r="G638" s="390"/>
      <c r="H638" s="390"/>
      <c r="I638" s="390"/>
      <c r="J638" s="390"/>
      <c r="K638" s="390"/>
      <c r="L638" s="390"/>
      <c r="M638" s="390"/>
      <c r="N638" s="390"/>
      <c r="O638" s="390"/>
      <c r="P638" s="390"/>
      <c r="Q638" s="390"/>
      <c r="R638" s="390"/>
      <c r="S638" s="390"/>
      <c r="T638" s="390"/>
      <c r="U638" s="390"/>
      <c r="V638" s="390"/>
      <c r="W638" s="390"/>
      <c r="X638" s="390"/>
      <c r="Y638" s="390"/>
    </row>
    <row r="639">
      <c r="A639" s="390" t="str">
        <f>IFERROR(__xludf.DUMMYFUNCTION("""COMPUTED_VALUE"""),"Juliana Maria Corallo Quinan")</f>
        <v>Juliana Maria Corallo Quinan</v>
      </c>
      <c r="B639" s="390" t="str">
        <f>IFERROR(__xludf.DUMMYFUNCTION("""COMPUTED_VALUE"""),"2° Licenciatura")</f>
        <v>2° Licenciatura</v>
      </c>
      <c r="C639" s="390" t="str">
        <f>IFERROR(__xludf.DUMMYFUNCTION("""COMPUTED_VALUE"""),"Sociologia")</f>
        <v>Sociologia</v>
      </c>
      <c r="D639" s="390"/>
      <c r="E639" s="390"/>
      <c r="F639" s="390"/>
      <c r="G639" s="390"/>
      <c r="H639" s="390"/>
      <c r="I639" s="390"/>
      <c r="J639" s="390"/>
      <c r="K639" s="390"/>
      <c r="L639" s="390"/>
      <c r="M639" s="390"/>
      <c r="N639" s="390"/>
      <c r="O639" s="390"/>
      <c r="P639" s="390"/>
      <c r="Q639" s="390"/>
      <c r="R639" s="390"/>
      <c r="S639" s="390"/>
      <c r="T639" s="390"/>
      <c r="U639" s="390"/>
      <c r="V639" s="390"/>
      <c r="W639" s="390"/>
      <c r="X639" s="390"/>
      <c r="Y639" s="390"/>
    </row>
    <row r="640">
      <c r="A640" s="390" t="str">
        <f>IFERROR(__xludf.DUMMYFUNCTION("""COMPUTED_VALUE"""),"Ranina Santos da Silva")</f>
        <v>Ranina Santos da Silva</v>
      </c>
      <c r="B640" s="390" t="str">
        <f>IFERROR(__xludf.DUMMYFUNCTION("""COMPUTED_VALUE"""),"2° Licenciatura")</f>
        <v>2° Licenciatura</v>
      </c>
      <c r="C640" s="390" t="str">
        <f>IFERROR(__xludf.DUMMYFUNCTION("""COMPUTED_VALUE"""),"História")</f>
        <v>História</v>
      </c>
      <c r="D640" s="390"/>
      <c r="E640" s="390"/>
      <c r="F640" s="390"/>
      <c r="G640" s="390"/>
      <c r="H640" s="390"/>
      <c r="I640" s="390"/>
      <c r="J640" s="390"/>
      <c r="K640" s="390"/>
      <c r="L640" s="390"/>
      <c r="M640" s="390"/>
      <c r="N640" s="390"/>
      <c r="O640" s="390"/>
      <c r="P640" s="390"/>
      <c r="Q640" s="390"/>
      <c r="R640" s="390"/>
      <c r="S640" s="390"/>
      <c r="T640" s="390"/>
      <c r="U640" s="390"/>
      <c r="V640" s="390"/>
      <c r="W640" s="390"/>
      <c r="X640" s="390"/>
      <c r="Y640" s="390"/>
    </row>
    <row r="641">
      <c r="A641" s="390" t="str">
        <f>IFERROR(__xludf.DUMMYFUNCTION("""COMPUTED_VALUE"""),"Luciano Geraldo Parreiras")</f>
        <v>Luciano Geraldo Parreiras</v>
      </c>
      <c r="B641" s="390" t="str">
        <f>IFERROR(__xludf.DUMMYFUNCTION("""COMPUTED_VALUE"""),"2° Licenciatura")</f>
        <v>2° Licenciatura</v>
      </c>
      <c r="C641" s="390" t="str">
        <f>IFERROR(__xludf.DUMMYFUNCTION("""COMPUTED_VALUE"""),"Educação Fisica")</f>
        <v>Educação Fisica</v>
      </c>
      <c r="D641" s="390"/>
      <c r="E641" s="390"/>
      <c r="F641" s="390"/>
      <c r="G641" s="390"/>
      <c r="H641" s="390"/>
      <c r="I641" s="390"/>
      <c r="J641" s="390"/>
      <c r="K641" s="390"/>
      <c r="L641" s="390"/>
      <c r="M641" s="390"/>
      <c r="N641" s="390"/>
      <c r="O641" s="390"/>
      <c r="P641" s="390"/>
      <c r="Q641" s="390"/>
      <c r="R641" s="390"/>
      <c r="S641" s="390"/>
      <c r="T641" s="390"/>
      <c r="U641" s="390"/>
      <c r="V641" s="390"/>
      <c r="W641" s="390"/>
      <c r="X641" s="390"/>
      <c r="Y641" s="390"/>
    </row>
    <row r="642">
      <c r="A642" s="390" t="str">
        <f>IFERROR(__xludf.DUMMYFUNCTION("""COMPUTED_VALUE"""),"Mirislei Soares Madalena")</f>
        <v>Mirislei Soares Madalena</v>
      </c>
      <c r="B642" s="390" t="str">
        <f>IFERROR(__xludf.DUMMYFUNCTION("""COMPUTED_VALUE"""),"2° Licenciatura")</f>
        <v>2° Licenciatura</v>
      </c>
      <c r="C642" s="390" t="str">
        <f>IFERROR(__xludf.DUMMYFUNCTION("""COMPUTED_VALUE"""),"Letras - Português e Inglês")</f>
        <v>Letras - Português e Inglês</v>
      </c>
      <c r="D642" s="390"/>
      <c r="E642" s="390"/>
      <c r="F642" s="390"/>
      <c r="G642" s="390"/>
      <c r="H642" s="390"/>
      <c r="I642" s="390"/>
      <c r="J642" s="390"/>
      <c r="K642" s="390"/>
      <c r="L642" s="390"/>
      <c r="M642" s="390"/>
      <c r="N642" s="390"/>
      <c r="O642" s="390"/>
      <c r="P642" s="390"/>
      <c r="Q642" s="390"/>
      <c r="R642" s="390"/>
      <c r="S642" s="390"/>
      <c r="T642" s="390"/>
      <c r="U642" s="390"/>
      <c r="V642" s="390"/>
      <c r="W642" s="390"/>
      <c r="X642" s="390"/>
      <c r="Y642" s="390"/>
    </row>
    <row r="643">
      <c r="A643" s="390" t="str">
        <f>IFERROR(__xludf.DUMMYFUNCTION("""COMPUTED_VALUE"""),"Robson Cândido Elias")</f>
        <v>Robson Cândido Elias</v>
      </c>
      <c r="B643" s="390" t="str">
        <f>IFERROR(__xludf.DUMMYFUNCTION("""COMPUTED_VALUE"""),"2° Licenciatura")</f>
        <v>2° Licenciatura</v>
      </c>
      <c r="C643" s="390" t="str">
        <f>IFERROR(__xludf.DUMMYFUNCTION("""COMPUTED_VALUE"""),"História")</f>
        <v>História</v>
      </c>
      <c r="D643" s="390"/>
      <c r="E643" s="390"/>
      <c r="F643" s="390"/>
      <c r="G643" s="390"/>
      <c r="H643" s="390"/>
      <c r="I643" s="390"/>
      <c r="J643" s="390"/>
      <c r="K643" s="390"/>
      <c r="L643" s="390"/>
      <c r="M643" s="390"/>
      <c r="N643" s="390"/>
      <c r="O643" s="390"/>
      <c r="P643" s="390"/>
      <c r="Q643" s="390"/>
      <c r="R643" s="390"/>
      <c r="S643" s="390"/>
      <c r="T643" s="390"/>
      <c r="U643" s="390"/>
      <c r="V643" s="390"/>
      <c r="W643" s="390"/>
      <c r="X643" s="390"/>
      <c r="Y643" s="390"/>
    </row>
    <row r="644">
      <c r="A644" s="390" t="str">
        <f>IFERROR(__xludf.DUMMYFUNCTION("""COMPUTED_VALUE"""),"Beatriz Feliciano Fabri")</f>
        <v>Beatriz Feliciano Fabri</v>
      </c>
      <c r="B644" s="390" t="str">
        <f>IFERROR(__xludf.DUMMYFUNCTION("""COMPUTED_VALUE"""),"2° Licenciatura")</f>
        <v>2° Licenciatura</v>
      </c>
      <c r="C644" s="390" t="str">
        <f>IFERROR(__xludf.DUMMYFUNCTION("""COMPUTED_VALUE"""),"Educação Especial")</f>
        <v>Educação Especial</v>
      </c>
      <c r="D644" s="390"/>
      <c r="E644" s="390"/>
      <c r="F644" s="390"/>
      <c r="G644" s="390"/>
      <c r="H644" s="390"/>
      <c r="I644" s="390"/>
      <c r="J644" s="390"/>
      <c r="K644" s="390"/>
      <c r="L644" s="390"/>
      <c r="M644" s="390"/>
      <c r="N644" s="390"/>
      <c r="O644" s="390"/>
      <c r="P644" s="390"/>
      <c r="Q644" s="390"/>
      <c r="R644" s="390"/>
      <c r="S644" s="390"/>
      <c r="T644" s="390"/>
      <c r="U644" s="390"/>
      <c r="V644" s="390"/>
      <c r="W644" s="390"/>
      <c r="X644" s="390"/>
      <c r="Y644" s="390"/>
    </row>
    <row r="645">
      <c r="A645" s="390" t="str">
        <f>IFERROR(__xludf.DUMMYFUNCTION("""COMPUTED_VALUE"""),"Luiz Fernando de Oliveira")</f>
        <v>Luiz Fernando de Oliveira</v>
      </c>
      <c r="B645" s="390" t="str">
        <f>IFERROR(__xludf.DUMMYFUNCTION("""COMPUTED_VALUE"""),"2° Licenciatura")</f>
        <v>2° Licenciatura</v>
      </c>
      <c r="C645" s="390" t="str">
        <f>IFERROR(__xludf.DUMMYFUNCTION("""COMPUTED_VALUE"""),"Artes Visuais")</f>
        <v>Artes Visuais</v>
      </c>
      <c r="D645" s="390"/>
      <c r="E645" s="390"/>
      <c r="F645" s="390"/>
      <c r="G645" s="390"/>
      <c r="H645" s="390"/>
      <c r="I645" s="390"/>
      <c r="J645" s="390"/>
      <c r="K645" s="390"/>
      <c r="L645" s="390"/>
      <c r="M645" s="390"/>
      <c r="N645" s="390"/>
      <c r="O645" s="390"/>
      <c r="P645" s="390"/>
      <c r="Q645" s="390"/>
      <c r="R645" s="390"/>
      <c r="S645" s="390"/>
      <c r="T645" s="390"/>
      <c r="U645" s="390"/>
      <c r="V645" s="390"/>
      <c r="W645" s="390"/>
      <c r="X645" s="390"/>
      <c r="Y645" s="390"/>
    </row>
    <row r="646">
      <c r="A646" s="390" t="str">
        <f>IFERROR(__xludf.DUMMYFUNCTION("""COMPUTED_VALUE"""),"Luiz Fernando de Oliveira")</f>
        <v>Luiz Fernando de Oliveira</v>
      </c>
      <c r="B646" s="390" t="str">
        <f>IFERROR(__xludf.DUMMYFUNCTION("""COMPUTED_VALUE"""),"2° Licenciatura")</f>
        <v>2° Licenciatura</v>
      </c>
      <c r="C646" s="390" t="str">
        <f>IFERROR(__xludf.DUMMYFUNCTION("""COMPUTED_VALUE"""),"Ciências da Religião")</f>
        <v>Ciências da Religião</v>
      </c>
      <c r="D646" s="390"/>
      <c r="E646" s="390"/>
      <c r="F646" s="390"/>
      <c r="G646" s="390"/>
      <c r="H646" s="390"/>
      <c r="I646" s="390"/>
      <c r="J646" s="390"/>
      <c r="K646" s="390"/>
      <c r="L646" s="390"/>
      <c r="M646" s="390"/>
      <c r="N646" s="390"/>
      <c r="O646" s="390"/>
      <c r="P646" s="390"/>
      <c r="Q646" s="390"/>
      <c r="R646" s="390"/>
      <c r="S646" s="390"/>
      <c r="T646" s="390"/>
      <c r="U646" s="390"/>
      <c r="V646" s="390"/>
      <c r="W646" s="390"/>
      <c r="X646" s="390"/>
      <c r="Y646" s="390"/>
    </row>
    <row r="647">
      <c r="A647" s="390" t="str">
        <f>IFERROR(__xludf.DUMMYFUNCTION("""COMPUTED_VALUE"""),"Elizeu Rocha dos Santos Júnior")</f>
        <v>Elizeu Rocha dos Santos Júnior</v>
      </c>
      <c r="B647" s="390" t="str">
        <f>IFERROR(__xludf.DUMMYFUNCTION("""COMPUTED_VALUE"""),"2° Licenciatura")</f>
        <v>2° Licenciatura</v>
      </c>
      <c r="C647" s="390" t="str">
        <f>IFERROR(__xludf.DUMMYFUNCTION("""COMPUTED_VALUE"""),"Matemática")</f>
        <v>Matemática</v>
      </c>
      <c r="D647" s="390"/>
      <c r="E647" s="390"/>
      <c r="F647" s="390"/>
      <c r="G647" s="390"/>
      <c r="H647" s="390"/>
      <c r="I647" s="390"/>
      <c r="J647" s="390"/>
      <c r="K647" s="390"/>
      <c r="L647" s="390"/>
      <c r="M647" s="390"/>
      <c r="N647" s="390"/>
      <c r="O647" s="390"/>
      <c r="P647" s="390"/>
      <c r="Q647" s="390"/>
      <c r="R647" s="390"/>
      <c r="S647" s="390"/>
      <c r="T647" s="390"/>
      <c r="U647" s="390"/>
      <c r="V647" s="390"/>
      <c r="W647" s="390"/>
      <c r="X647" s="390"/>
      <c r="Y647" s="390"/>
    </row>
    <row r="648">
      <c r="A648" s="390" t="str">
        <f>IFERROR(__xludf.DUMMYFUNCTION("""COMPUTED_VALUE"""),"Ana Paula Menini Perusini")</f>
        <v>Ana Paula Menini Perusini</v>
      </c>
      <c r="B648" s="390" t="str">
        <f>IFERROR(__xludf.DUMMYFUNCTION("""COMPUTED_VALUE"""),"2° Licenciatura")</f>
        <v>2° Licenciatura</v>
      </c>
      <c r="C648" s="390" t="str">
        <f>IFERROR(__xludf.DUMMYFUNCTION("""COMPUTED_VALUE"""),"Educação Especial")</f>
        <v>Educação Especial</v>
      </c>
      <c r="D648" s="390"/>
      <c r="E648" s="390"/>
      <c r="F648" s="390"/>
      <c r="G648" s="390"/>
      <c r="H648" s="390"/>
      <c r="I648" s="390"/>
      <c r="J648" s="390"/>
      <c r="K648" s="390"/>
      <c r="L648" s="390"/>
      <c r="M648" s="390"/>
      <c r="N648" s="390"/>
      <c r="O648" s="390"/>
      <c r="P648" s="390"/>
      <c r="Q648" s="390"/>
      <c r="R648" s="390"/>
      <c r="S648" s="390"/>
      <c r="T648" s="390"/>
      <c r="U648" s="390"/>
      <c r="V648" s="390"/>
      <c r="W648" s="390"/>
      <c r="X648" s="390"/>
      <c r="Y648" s="390"/>
    </row>
    <row r="649">
      <c r="A649" s="390" t="str">
        <f>IFERROR(__xludf.DUMMYFUNCTION("""COMPUTED_VALUE"""),"Guilherme Lopes")</f>
        <v>Guilherme Lopes</v>
      </c>
      <c r="B649" s="390" t="str">
        <f>IFERROR(__xludf.DUMMYFUNCTION("""COMPUTED_VALUE"""),"Form. Pedagógica")</f>
        <v>Form. Pedagógica</v>
      </c>
      <c r="C649" s="390" t="str">
        <f>IFERROR(__xludf.DUMMYFUNCTION("""COMPUTED_VALUE"""),"Educação Fisica")</f>
        <v>Educação Fisica</v>
      </c>
      <c r="D649" s="390"/>
      <c r="E649" s="390"/>
      <c r="F649" s="390"/>
      <c r="G649" s="390"/>
      <c r="H649" s="390"/>
      <c r="I649" s="390"/>
      <c r="J649" s="390"/>
      <c r="K649" s="390"/>
      <c r="L649" s="390"/>
      <c r="M649" s="390"/>
      <c r="N649" s="390"/>
      <c r="O649" s="390"/>
      <c r="P649" s="390"/>
      <c r="Q649" s="390"/>
      <c r="R649" s="390"/>
      <c r="S649" s="390"/>
      <c r="T649" s="390"/>
      <c r="U649" s="390"/>
      <c r="V649" s="390"/>
      <c r="W649" s="390"/>
      <c r="X649" s="390"/>
      <c r="Y649" s="390"/>
    </row>
    <row r="650">
      <c r="A650" s="390" t="str">
        <f>IFERROR(__xludf.DUMMYFUNCTION("""COMPUTED_VALUE"""),"Geni Gomes da Rocha")</f>
        <v>Geni Gomes da Rocha</v>
      </c>
      <c r="B650" s="390" t="str">
        <f>IFERROR(__xludf.DUMMYFUNCTION("""COMPUTED_VALUE"""),"2° Licenciatura")</f>
        <v>2° Licenciatura</v>
      </c>
      <c r="C650" s="390" t="str">
        <f>IFERROR(__xludf.DUMMYFUNCTION("""COMPUTED_VALUE"""),"Artes Visuais")</f>
        <v>Artes Visuais</v>
      </c>
      <c r="D650" s="390"/>
      <c r="E650" s="390"/>
      <c r="F650" s="390"/>
      <c r="G650" s="390"/>
      <c r="H650" s="390"/>
      <c r="I650" s="390"/>
      <c r="J650" s="390"/>
      <c r="K650" s="390"/>
      <c r="L650" s="390"/>
      <c r="M650" s="390"/>
      <c r="N650" s="390"/>
      <c r="O650" s="390"/>
      <c r="P650" s="390"/>
      <c r="Q650" s="390"/>
      <c r="R650" s="390"/>
      <c r="S650" s="390"/>
      <c r="T650" s="390"/>
      <c r="U650" s="390"/>
      <c r="V650" s="390"/>
      <c r="W650" s="390"/>
      <c r="X650" s="390"/>
      <c r="Y650" s="390"/>
    </row>
    <row r="651">
      <c r="A651" s="390" t="str">
        <f>IFERROR(__xludf.DUMMYFUNCTION("""COMPUTED_VALUE"""),"Jeane Carla da Silveira")</f>
        <v>Jeane Carla da Silveira</v>
      </c>
      <c r="B651" s="390" t="str">
        <f>IFERROR(__xludf.DUMMYFUNCTION("""COMPUTED_VALUE"""),"2° Licenciatura")</f>
        <v>2° Licenciatura</v>
      </c>
      <c r="C651" s="390" t="str">
        <f>IFERROR(__xludf.DUMMYFUNCTION("""COMPUTED_VALUE"""),"Educação Especial")</f>
        <v>Educação Especial</v>
      </c>
      <c r="D651" s="390"/>
      <c r="E651" s="390"/>
      <c r="F651" s="390"/>
      <c r="G651" s="390"/>
      <c r="H651" s="390"/>
      <c r="I651" s="390"/>
      <c r="J651" s="390"/>
      <c r="K651" s="390"/>
      <c r="L651" s="390"/>
      <c r="M651" s="390"/>
      <c r="N651" s="390"/>
      <c r="O651" s="390"/>
      <c r="P651" s="390"/>
      <c r="Q651" s="390"/>
      <c r="R651" s="390"/>
      <c r="S651" s="390"/>
      <c r="T651" s="390"/>
      <c r="U651" s="390"/>
      <c r="V651" s="390"/>
      <c r="W651" s="390"/>
      <c r="X651" s="390"/>
      <c r="Y651" s="390"/>
    </row>
    <row r="652">
      <c r="A652" s="390" t="str">
        <f>IFERROR(__xludf.DUMMYFUNCTION("""COMPUTED_VALUE"""),"Vanessa Moura Cotrin")</f>
        <v>Vanessa Moura Cotrin</v>
      </c>
      <c r="B652" s="390" t="str">
        <f>IFERROR(__xludf.DUMMYFUNCTION("""COMPUTED_VALUE"""),"2° Licenciatura")</f>
        <v>2° Licenciatura</v>
      </c>
      <c r="C652" s="390" t="str">
        <f>IFERROR(__xludf.DUMMYFUNCTION("""COMPUTED_VALUE"""),"Artes Visuais")</f>
        <v>Artes Visuais</v>
      </c>
      <c r="D652" s="390"/>
      <c r="E652" s="390"/>
      <c r="F652" s="390"/>
      <c r="G652" s="390"/>
      <c r="H652" s="390"/>
      <c r="I652" s="390"/>
      <c r="J652" s="390"/>
      <c r="K652" s="390"/>
      <c r="L652" s="390"/>
      <c r="M652" s="390"/>
      <c r="N652" s="390"/>
      <c r="O652" s="390"/>
      <c r="P652" s="390"/>
      <c r="Q652" s="390"/>
      <c r="R652" s="390"/>
      <c r="S652" s="390"/>
      <c r="T652" s="390"/>
      <c r="U652" s="390"/>
      <c r="V652" s="390"/>
      <c r="W652" s="390"/>
      <c r="X652" s="390"/>
      <c r="Y652" s="390"/>
    </row>
    <row r="653">
      <c r="A653" s="390" t="str">
        <f>IFERROR(__xludf.DUMMYFUNCTION("""COMPUTED_VALUE"""),"Antonio José Ferreira Junior")</f>
        <v>Antonio José Ferreira Junior</v>
      </c>
      <c r="B653" s="390" t="str">
        <f>IFERROR(__xludf.DUMMYFUNCTION("""COMPUTED_VALUE"""),"Form. Pedagógica")</f>
        <v>Form. Pedagógica</v>
      </c>
      <c r="C653" s="390" t="str">
        <f>IFERROR(__xludf.DUMMYFUNCTION("""COMPUTED_VALUE"""),"Ciências Sociais")</f>
        <v>Ciências Sociais</v>
      </c>
      <c r="D653" s="390"/>
      <c r="E653" s="390"/>
      <c r="F653" s="390"/>
      <c r="G653" s="390"/>
      <c r="H653" s="390"/>
      <c r="I653" s="390"/>
      <c r="J653" s="390"/>
      <c r="K653" s="390"/>
      <c r="L653" s="390"/>
      <c r="M653" s="390"/>
      <c r="N653" s="390"/>
      <c r="O653" s="390"/>
      <c r="P653" s="390"/>
      <c r="Q653" s="390"/>
      <c r="R653" s="390"/>
      <c r="S653" s="390"/>
      <c r="T653" s="390"/>
      <c r="U653" s="390"/>
      <c r="V653" s="390"/>
      <c r="W653" s="390"/>
      <c r="X653" s="390"/>
      <c r="Y653" s="390"/>
    </row>
    <row r="654">
      <c r="A654" s="390" t="str">
        <f>IFERROR(__xludf.DUMMYFUNCTION("""COMPUTED_VALUE"""),"Lucia de Fátima Meirelles")</f>
        <v>Lucia de Fátima Meirelles</v>
      </c>
      <c r="B654" s="390" t="str">
        <f>IFERROR(__xludf.DUMMYFUNCTION("""COMPUTED_VALUE"""),"2° Licenciatura")</f>
        <v>2° Licenciatura</v>
      </c>
      <c r="C654" s="390" t="str">
        <f>IFERROR(__xludf.DUMMYFUNCTION("""COMPUTED_VALUE"""),"Artes Visuais ")</f>
        <v>Artes Visuais </v>
      </c>
      <c r="D654" s="390"/>
      <c r="E654" s="390"/>
      <c r="F654" s="390"/>
      <c r="G654" s="390"/>
      <c r="H654" s="390"/>
      <c r="I654" s="390"/>
      <c r="J654" s="390"/>
      <c r="K654" s="390"/>
      <c r="L654" s="390"/>
      <c r="M654" s="390"/>
      <c r="N654" s="390"/>
      <c r="O654" s="390"/>
      <c r="P654" s="390"/>
      <c r="Q654" s="390"/>
      <c r="R654" s="390"/>
      <c r="S654" s="390"/>
      <c r="T654" s="390"/>
      <c r="U654" s="390"/>
      <c r="V654" s="390"/>
      <c r="W654" s="390"/>
      <c r="X654" s="390"/>
      <c r="Y654" s="390"/>
    </row>
    <row r="655">
      <c r="A655" s="390" t="str">
        <f>IFERROR(__xludf.DUMMYFUNCTION("""COMPUTED_VALUE"""),"Lucia de Fátima Meirelles")</f>
        <v>Lucia de Fátima Meirelles</v>
      </c>
      <c r="B655" s="390" t="str">
        <f>IFERROR(__xludf.DUMMYFUNCTION("""COMPUTED_VALUE"""),"2° Licenciatura")</f>
        <v>2° Licenciatura</v>
      </c>
      <c r="C655" s="390" t="str">
        <f>IFERROR(__xludf.DUMMYFUNCTION("""COMPUTED_VALUE"""),"Educação Especial")</f>
        <v>Educação Especial</v>
      </c>
      <c r="D655" s="390"/>
      <c r="E655" s="390"/>
      <c r="F655" s="390"/>
      <c r="G655" s="390"/>
      <c r="H655" s="390"/>
      <c r="I655" s="390"/>
      <c r="J655" s="390"/>
      <c r="K655" s="390"/>
      <c r="L655" s="390"/>
      <c r="M655" s="390"/>
      <c r="N655" s="390"/>
      <c r="O655" s="390"/>
      <c r="P655" s="390"/>
      <c r="Q655" s="390"/>
      <c r="R655" s="390"/>
      <c r="S655" s="390"/>
      <c r="T655" s="390"/>
      <c r="U655" s="390"/>
      <c r="V655" s="390"/>
      <c r="W655" s="390"/>
      <c r="X655" s="390"/>
      <c r="Y655" s="390"/>
    </row>
    <row r="656">
      <c r="A656" s="390" t="str">
        <f>IFERROR(__xludf.DUMMYFUNCTION("""COMPUTED_VALUE"""),"Luana Carolina Alexandre Dantas")</f>
        <v>Luana Carolina Alexandre Dantas</v>
      </c>
      <c r="B656" s="390" t="str">
        <f>IFERROR(__xludf.DUMMYFUNCTION("""COMPUTED_VALUE"""),"Form. Pedagógica")</f>
        <v>Form. Pedagógica</v>
      </c>
      <c r="C656" s="390" t="str">
        <f>IFERROR(__xludf.DUMMYFUNCTION("""COMPUTED_VALUE"""),"Educação Física")</f>
        <v>Educação Física</v>
      </c>
      <c r="D656" s="390"/>
      <c r="E656" s="390"/>
      <c r="F656" s="390"/>
      <c r="G656" s="390"/>
      <c r="H656" s="390"/>
      <c r="I656" s="390"/>
      <c r="J656" s="390"/>
      <c r="K656" s="390"/>
      <c r="L656" s="390"/>
      <c r="M656" s="390"/>
      <c r="N656" s="390"/>
      <c r="O656" s="390"/>
      <c r="P656" s="390"/>
      <c r="Q656" s="390"/>
      <c r="R656" s="390"/>
      <c r="S656" s="390"/>
      <c r="T656" s="390"/>
      <c r="U656" s="390"/>
      <c r="V656" s="390"/>
      <c r="W656" s="390"/>
      <c r="X656" s="390"/>
      <c r="Y656" s="390"/>
    </row>
    <row r="657">
      <c r="A657" s="390" t="str">
        <f>IFERROR(__xludf.DUMMYFUNCTION("""COMPUTED_VALUE"""),"Ediana dos Santos Ramos")</f>
        <v>Ediana dos Santos Ramos</v>
      </c>
      <c r="B657" s="390" t="str">
        <f>IFERROR(__xludf.DUMMYFUNCTION("""COMPUTED_VALUE"""),"2° Licenciatura")</f>
        <v>2° Licenciatura</v>
      </c>
      <c r="C657" s="390" t="str">
        <f>IFERROR(__xludf.DUMMYFUNCTION("""COMPUTED_VALUE"""),"Artes Visuais")</f>
        <v>Artes Visuais</v>
      </c>
      <c r="D657" s="390"/>
      <c r="E657" s="390"/>
      <c r="F657" s="390"/>
      <c r="G657" s="390"/>
      <c r="H657" s="390"/>
      <c r="I657" s="390"/>
      <c r="J657" s="390"/>
      <c r="K657" s="390"/>
      <c r="L657" s="390"/>
      <c r="M657" s="390"/>
      <c r="N657" s="390"/>
      <c r="O657" s="390"/>
      <c r="P657" s="390"/>
      <c r="Q657" s="390"/>
      <c r="R657" s="390"/>
      <c r="S657" s="390"/>
      <c r="T657" s="390"/>
      <c r="U657" s="390"/>
      <c r="V657" s="390"/>
      <c r="W657" s="390"/>
      <c r="X657" s="390"/>
      <c r="Y657" s="390"/>
    </row>
    <row r="658">
      <c r="A658" s="390" t="str">
        <f>IFERROR(__xludf.DUMMYFUNCTION("""COMPUTED_VALUE"""),"José Roberto de Oliveira Martins")</f>
        <v>José Roberto de Oliveira Martins</v>
      </c>
      <c r="B658" s="390" t="str">
        <f>IFERROR(__xludf.DUMMYFUNCTION("""COMPUTED_VALUE"""),"Form. Pedagógica")</f>
        <v>Form. Pedagógica</v>
      </c>
      <c r="C658" s="390" t="str">
        <f>IFERROR(__xludf.DUMMYFUNCTION("""COMPUTED_VALUE"""),"Filosofia")</f>
        <v>Filosofia</v>
      </c>
      <c r="D658" s="390"/>
      <c r="E658" s="390"/>
      <c r="F658" s="390"/>
      <c r="G658" s="390"/>
      <c r="H658" s="390"/>
      <c r="I658" s="390"/>
      <c r="J658" s="390"/>
      <c r="K658" s="390"/>
      <c r="L658" s="390"/>
      <c r="M658" s="390"/>
      <c r="N658" s="390"/>
      <c r="O658" s="390"/>
      <c r="P658" s="390"/>
      <c r="Q658" s="390"/>
      <c r="R658" s="390"/>
      <c r="S658" s="390"/>
      <c r="T658" s="390"/>
      <c r="U658" s="390"/>
      <c r="V658" s="390"/>
      <c r="W658" s="390"/>
      <c r="X658" s="390"/>
      <c r="Y658" s="390"/>
    </row>
    <row r="659">
      <c r="A659" s="390" t="str">
        <f>IFERROR(__xludf.DUMMYFUNCTION("""COMPUTED_VALUE"""),"Salete Tereza Holdefer Siqueira ")</f>
        <v>Salete Tereza Holdefer Siqueira </v>
      </c>
      <c r="B659" s="390" t="str">
        <f>IFERROR(__xludf.DUMMYFUNCTION("""COMPUTED_VALUE"""),"2° Licenciatura")</f>
        <v>2° Licenciatura</v>
      </c>
      <c r="C659" s="390" t="str">
        <f>IFERROR(__xludf.DUMMYFUNCTION("""COMPUTED_VALUE"""),"Educação Especial")</f>
        <v>Educação Especial</v>
      </c>
      <c r="D659" s="390"/>
      <c r="E659" s="390"/>
      <c r="F659" s="390"/>
      <c r="G659" s="390"/>
      <c r="H659" s="390"/>
      <c r="I659" s="390"/>
      <c r="J659" s="390"/>
      <c r="K659" s="390"/>
      <c r="L659" s="390"/>
      <c r="M659" s="390"/>
      <c r="N659" s="390"/>
      <c r="O659" s="390"/>
      <c r="P659" s="390"/>
      <c r="Q659" s="390"/>
      <c r="R659" s="390"/>
      <c r="S659" s="390"/>
      <c r="T659" s="390"/>
      <c r="U659" s="390"/>
      <c r="V659" s="390"/>
      <c r="W659" s="390"/>
      <c r="X659" s="390"/>
      <c r="Y659" s="390"/>
    </row>
    <row r="660">
      <c r="A660" s="390" t="str">
        <f>IFERROR(__xludf.DUMMYFUNCTION("""COMPUTED_VALUE"""),"Rodrigo Alexandre Alves")</f>
        <v>Rodrigo Alexandre Alves</v>
      </c>
      <c r="B660" s="390" t="str">
        <f>IFERROR(__xludf.DUMMYFUNCTION("""COMPUTED_VALUE"""),"Form. Pedagógica")</f>
        <v>Form. Pedagógica</v>
      </c>
      <c r="C660" s="390" t="str">
        <f>IFERROR(__xludf.DUMMYFUNCTION("""COMPUTED_VALUE"""),"Educação Física")</f>
        <v>Educação Física</v>
      </c>
      <c r="D660" s="390"/>
      <c r="E660" s="390"/>
      <c r="F660" s="390"/>
      <c r="G660" s="390"/>
      <c r="H660" s="390"/>
      <c r="I660" s="390"/>
      <c r="J660" s="390"/>
      <c r="K660" s="390"/>
      <c r="L660" s="390"/>
      <c r="M660" s="390"/>
      <c r="N660" s="390"/>
      <c r="O660" s="390"/>
      <c r="P660" s="390"/>
      <c r="Q660" s="390"/>
      <c r="R660" s="390"/>
      <c r="S660" s="390"/>
      <c r="T660" s="390"/>
      <c r="U660" s="390"/>
      <c r="V660" s="390"/>
      <c r="W660" s="390"/>
      <c r="X660" s="390"/>
      <c r="Y660" s="390"/>
    </row>
    <row r="661">
      <c r="A661" s="390" t="str">
        <f>IFERROR(__xludf.DUMMYFUNCTION("""COMPUTED_VALUE"""),"José Genildo Araújo Silva Junior")</f>
        <v>José Genildo Araújo Silva Junior</v>
      </c>
      <c r="B661" s="390" t="str">
        <f>IFERROR(__xludf.DUMMYFUNCTION("""COMPUTED_VALUE"""),"2° Licenciatura")</f>
        <v>2° Licenciatura</v>
      </c>
      <c r="C661" s="390" t="str">
        <f>IFERROR(__xludf.DUMMYFUNCTION("""COMPUTED_VALUE"""),"Educação Fisica")</f>
        <v>Educação Fisica</v>
      </c>
      <c r="D661" s="390"/>
      <c r="E661" s="390"/>
      <c r="F661" s="390"/>
      <c r="G661" s="390"/>
      <c r="H661" s="390"/>
      <c r="I661" s="390"/>
      <c r="J661" s="390"/>
      <c r="K661" s="390"/>
      <c r="L661" s="390"/>
      <c r="M661" s="390"/>
      <c r="N661" s="390"/>
      <c r="O661" s="390"/>
      <c r="P661" s="390"/>
      <c r="Q661" s="390"/>
      <c r="R661" s="390"/>
      <c r="S661" s="390"/>
      <c r="T661" s="390"/>
      <c r="U661" s="390"/>
      <c r="V661" s="390"/>
      <c r="W661" s="390"/>
      <c r="X661" s="390"/>
      <c r="Y661" s="390"/>
    </row>
    <row r="662">
      <c r="A662" s="390" t="str">
        <f>IFERROR(__xludf.DUMMYFUNCTION("""COMPUTED_VALUE"""),"Rosiane Gomes Alves")</f>
        <v>Rosiane Gomes Alves</v>
      </c>
      <c r="B662" s="390" t="str">
        <f>IFERROR(__xludf.DUMMYFUNCTION("""COMPUTED_VALUE"""),"Form. Pedagógica")</f>
        <v>Form. Pedagógica</v>
      </c>
      <c r="C662" s="390" t="str">
        <f>IFERROR(__xludf.DUMMYFUNCTION("""COMPUTED_VALUE"""),"Matemática")</f>
        <v>Matemática</v>
      </c>
      <c r="D662" s="390"/>
      <c r="E662" s="390"/>
      <c r="F662" s="390"/>
      <c r="G662" s="390"/>
      <c r="H662" s="390"/>
      <c r="I662" s="390"/>
      <c r="J662" s="390"/>
      <c r="K662" s="390"/>
      <c r="L662" s="390"/>
      <c r="M662" s="390"/>
      <c r="N662" s="390"/>
      <c r="O662" s="390"/>
      <c r="P662" s="390"/>
      <c r="Q662" s="390"/>
      <c r="R662" s="390"/>
      <c r="S662" s="390"/>
      <c r="T662" s="390"/>
      <c r="U662" s="390"/>
      <c r="V662" s="390"/>
      <c r="W662" s="390"/>
      <c r="X662" s="390"/>
      <c r="Y662" s="390"/>
    </row>
    <row r="663">
      <c r="A663" s="390" t="str">
        <f>IFERROR(__xludf.DUMMYFUNCTION("""COMPUTED_VALUE"""),"Arnaldo Barros dos Santos")</f>
        <v>Arnaldo Barros dos Santos</v>
      </c>
      <c r="B663" s="390" t="str">
        <f>IFERROR(__xludf.DUMMYFUNCTION("""COMPUTED_VALUE"""),"2° Licenciatura")</f>
        <v>2° Licenciatura</v>
      </c>
      <c r="C663" s="390" t="str">
        <f>IFERROR(__xludf.DUMMYFUNCTION("""COMPUTED_VALUE"""),"Educação Física")</f>
        <v>Educação Física</v>
      </c>
      <c r="D663" s="390"/>
      <c r="E663" s="390"/>
      <c r="F663" s="390"/>
      <c r="G663" s="390"/>
      <c r="H663" s="390"/>
      <c r="I663" s="390"/>
      <c r="J663" s="390"/>
      <c r="K663" s="390"/>
      <c r="L663" s="390"/>
      <c r="M663" s="390"/>
      <c r="N663" s="390"/>
      <c r="O663" s="390"/>
      <c r="P663" s="390"/>
      <c r="Q663" s="390"/>
      <c r="R663" s="390"/>
      <c r="S663" s="390"/>
      <c r="T663" s="390"/>
      <c r="U663" s="390"/>
      <c r="V663" s="390"/>
      <c r="W663" s="390"/>
      <c r="X663" s="390"/>
      <c r="Y663" s="390"/>
    </row>
    <row r="664">
      <c r="A664" s="390" t="str">
        <f>IFERROR(__xludf.DUMMYFUNCTION("""COMPUTED_VALUE"""),"Larah Pedro Forte")</f>
        <v>Larah Pedro Forte</v>
      </c>
      <c r="B664" s="390" t="str">
        <f>IFERROR(__xludf.DUMMYFUNCTION("""COMPUTED_VALUE"""),"Form. Pedagógica")</f>
        <v>Form. Pedagógica</v>
      </c>
      <c r="C664" s="390" t="str">
        <f>IFERROR(__xludf.DUMMYFUNCTION("""COMPUTED_VALUE"""),"Educação Física")</f>
        <v>Educação Física</v>
      </c>
      <c r="D664" s="390"/>
      <c r="E664" s="390"/>
      <c r="F664" s="390"/>
      <c r="G664" s="390"/>
      <c r="H664" s="390"/>
      <c r="I664" s="390"/>
      <c r="J664" s="390"/>
      <c r="K664" s="390"/>
      <c r="L664" s="390"/>
      <c r="M664" s="390"/>
      <c r="N664" s="390"/>
      <c r="O664" s="390"/>
      <c r="P664" s="390"/>
      <c r="Q664" s="390"/>
      <c r="R664" s="390"/>
      <c r="S664" s="390"/>
      <c r="T664" s="390"/>
      <c r="U664" s="390"/>
      <c r="V664" s="390"/>
      <c r="W664" s="390"/>
      <c r="X664" s="390"/>
      <c r="Y664" s="390"/>
    </row>
    <row r="665">
      <c r="A665" s="390" t="str">
        <f>IFERROR(__xludf.DUMMYFUNCTION("""COMPUTED_VALUE"""),"Wagner Aparecido de Moura")</f>
        <v>Wagner Aparecido de Moura</v>
      </c>
      <c r="B665" s="390" t="str">
        <f>IFERROR(__xludf.DUMMYFUNCTION("""COMPUTED_VALUE"""),"Form. Pedagógica")</f>
        <v>Form. Pedagógica</v>
      </c>
      <c r="C665" s="390" t="str">
        <f>IFERROR(__xludf.DUMMYFUNCTION("""COMPUTED_VALUE"""),"Sociologia")</f>
        <v>Sociologia</v>
      </c>
      <c r="D665" s="390"/>
      <c r="E665" s="390"/>
      <c r="F665" s="390"/>
      <c r="G665" s="390"/>
      <c r="H665" s="390"/>
      <c r="I665" s="390"/>
      <c r="J665" s="390"/>
      <c r="K665" s="390"/>
      <c r="L665" s="390"/>
      <c r="M665" s="390"/>
      <c r="N665" s="390"/>
      <c r="O665" s="390"/>
      <c r="P665" s="390"/>
      <c r="Q665" s="390"/>
      <c r="R665" s="390"/>
      <c r="S665" s="390"/>
      <c r="T665" s="390"/>
      <c r="U665" s="390"/>
      <c r="V665" s="390"/>
      <c r="W665" s="390"/>
      <c r="X665" s="390"/>
      <c r="Y665" s="390"/>
    </row>
    <row r="666">
      <c r="A666" s="390" t="str">
        <f>IFERROR(__xludf.DUMMYFUNCTION("""COMPUTED_VALUE"""),"Samara Fernandes Costa")</f>
        <v>Samara Fernandes Costa</v>
      </c>
      <c r="B666" s="390" t="str">
        <f>IFERROR(__xludf.DUMMYFUNCTION("""COMPUTED_VALUE"""),"2° Licenciatura")</f>
        <v>2° Licenciatura</v>
      </c>
      <c r="C666" s="390" t="str">
        <f>IFERROR(__xludf.DUMMYFUNCTION("""COMPUTED_VALUE"""),"Letras - Português e Inglês")</f>
        <v>Letras - Português e Inglês</v>
      </c>
      <c r="D666" s="390"/>
      <c r="E666" s="390"/>
      <c r="F666" s="390"/>
      <c r="G666" s="390"/>
      <c r="H666" s="390"/>
      <c r="I666" s="390"/>
      <c r="J666" s="390"/>
      <c r="K666" s="390"/>
      <c r="L666" s="390"/>
      <c r="M666" s="390"/>
      <c r="N666" s="390"/>
      <c r="O666" s="390"/>
      <c r="P666" s="390"/>
      <c r="Q666" s="390"/>
      <c r="R666" s="390"/>
      <c r="S666" s="390"/>
      <c r="T666" s="390"/>
      <c r="U666" s="390"/>
      <c r="V666" s="390"/>
      <c r="W666" s="390"/>
      <c r="X666" s="390"/>
      <c r="Y666" s="390"/>
    </row>
    <row r="667">
      <c r="A667" s="390" t="str">
        <f>IFERROR(__xludf.DUMMYFUNCTION("""COMPUTED_VALUE"""),"Alex Bonfim Siqueira")</f>
        <v>Alex Bonfim Siqueira</v>
      </c>
      <c r="B667" s="390" t="str">
        <f>IFERROR(__xludf.DUMMYFUNCTION("""COMPUTED_VALUE"""),"2° Licenciatura")</f>
        <v>2° Licenciatura</v>
      </c>
      <c r="C667" s="390" t="str">
        <f>IFERROR(__xludf.DUMMYFUNCTION("""COMPUTED_VALUE"""),"Educação Fisica")</f>
        <v>Educação Fisica</v>
      </c>
      <c r="D667" s="390"/>
      <c r="E667" s="390"/>
      <c r="F667" s="390"/>
      <c r="G667" s="390"/>
      <c r="H667" s="390"/>
      <c r="I667" s="390"/>
      <c r="J667" s="390"/>
      <c r="K667" s="390"/>
      <c r="L667" s="390"/>
      <c r="M667" s="390"/>
      <c r="N667" s="390"/>
      <c r="O667" s="390"/>
      <c r="P667" s="390"/>
      <c r="Q667" s="390"/>
      <c r="R667" s="390"/>
      <c r="S667" s="390"/>
      <c r="T667" s="390"/>
      <c r="U667" s="390"/>
      <c r="V667" s="390"/>
      <c r="W667" s="390"/>
      <c r="X667" s="390"/>
      <c r="Y667" s="390"/>
    </row>
    <row r="668">
      <c r="A668" s="390" t="str">
        <f>IFERROR(__xludf.DUMMYFUNCTION("""COMPUTED_VALUE"""),"Alex Bonfim Siqueira")</f>
        <v>Alex Bonfim Siqueira</v>
      </c>
      <c r="B668" s="390" t="str">
        <f>IFERROR(__xludf.DUMMYFUNCTION("""COMPUTED_VALUE"""),"2° Licenciatura")</f>
        <v>2° Licenciatura</v>
      </c>
      <c r="C668" s="390" t="str">
        <f>IFERROR(__xludf.DUMMYFUNCTION("""COMPUTED_VALUE"""),"Matemática")</f>
        <v>Matemática</v>
      </c>
      <c r="D668" s="390"/>
      <c r="E668" s="390"/>
      <c r="F668" s="390"/>
      <c r="G668" s="390"/>
      <c r="H668" s="390"/>
      <c r="I668" s="390"/>
      <c r="J668" s="390"/>
      <c r="K668" s="390"/>
      <c r="L668" s="390"/>
      <c r="M668" s="390"/>
      <c r="N668" s="390"/>
      <c r="O668" s="390"/>
      <c r="P668" s="390"/>
      <c r="Q668" s="390"/>
      <c r="R668" s="390"/>
      <c r="S668" s="390"/>
      <c r="T668" s="390"/>
      <c r="U668" s="390"/>
      <c r="V668" s="390"/>
      <c r="W668" s="390"/>
      <c r="X668" s="390"/>
      <c r="Y668" s="390"/>
    </row>
    <row r="669">
      <c r="A669" s="390" t="str">
        <f>IFERROR(__xludf.DUMMYFUNCTION("""COMPUTED_VALUE"""),"Joanil maria da Silva")</f>
        <v>Joanil maria da Silva</v>
      </c>
      <c r="B669" s="390" t="str">
        <f>IFERROR(__xludf.DUMMYFUNCTION("""COMPUTED_VALUE"""),"2° Licenciatura")</f>
        <v>2° Licenciatura</v>
      </c>
      <c r="C669" s="390" t="str">
        <f>IFERROR(__xludf.DUMMYFUNCTION("""COMPUTED_VALUE"""),"Artes Visuais")</f>
        <v>Artes Visuais</v>
      </c>
      <c r="D669" s="390"/>
      <c r="E669" s="390"/>
      <c r="F669" s="390"/>
      <c r="G669" s="390"/>
      <c r="H669" s="390"/>
      <c r="I669" s="390"/>
      <c r="J669" s="390"/>
      <c r="K669" s="390"/>
      <c r="L669" s="390"/>
      <c r="M669" s="390"/>
      <c r="N669" s="390"/>
      <c r="O669" s="390"/>
      <c r="P669" s="390"/>
      <c r="Q669" s="390"/>
      <c r="R669" s="390"/>
      <c r="S669" s="390"/>
      <c r="T669" s="390"/>
      <c r="U669" s="390"/>
      <c r="V669" s="390"/>
      <c r="W669" s="390"/>
      <c r="X669" s="390"/>
      <c r="Y669" s="390"/>
    </row>
    <row r="670">
      <c r="A670" s="390" t="str">
        <f>IFERROR(__xludf.DUMMYFUNCTION("""COMPUTED_VALUE"""),"Diego Magela Magalhães")</f>
        <v>Diego Magela Magalhães</v>
      </c>
      <c r="B670" s="390" t="str">
        <f>IFERROR(__xludf.DUMMYFUNCTION("""COMPUTED_VALUE"""),"2° Licenciatura")</f>
        <v>2° Licenciatura</v>
      </c>
      <c r="C670" s="390" t="str">
        <f>IFERROR(__xludf.DUMMYFUNCTION("""COMPUTED_VALUE"""),"Educação Física")</f>
        <v>Educação Física</v>
      </c>
      <c r="D670" s="390"/>
      <c r="E670" s="390"/>
      <c r="F670" s="390"/>
      <c r="G670" s="390"/>
      <c r="H670" s="390"/>
      <c r="I670" s="390"/>
      <c r="J670" s="390"/>
      <c r="K670" s="390"/>
      <c r="L670" s="390"/>
      <c r="M670" s="390"/>
      <c r="N670" s="390"/>
      <c r="O670" s="390"/>
      <c r="P670" s="390"/>
      <c r="Q670" s="390"/>
      <c r="R670" s="390"/>
      <c r="S670" s="390"/>
      <c r="T670" s="390"/>
      <c r="U670" s="390"/>
      <c r="V670" s="390"/>
      <c r="W670" s="390"/>
      <c r="X670" s="390"/>
      <c r="Y670" s="390"/>
    </row>
    <row r="671">
      <c r="A671" s="390" t="str">
        <f>IFERROR(__xludf.DUMMYFUNCTION("""COMPUTED_VALUE"""),"Charles Araújo Oliveira")</f>
        <v>Charles Araújo Oliveira</v>
      </c>
      <c r="B671" s="390" t="str">
        <f>IFERROR(__xludf.DUMMYFUNCTION("""COMPUTED_VALUE"""),"Form. Pedagógica")</f>
        <v>Form. Pedagógica</v>
      </c>
      <c r="C671" s="390" t="str">
        <f>IFERROR(__xludf.DUMMYFUNCTION("""COMPUTED_VALUE"""),"Educação Fisica")</f>
        <v>Educação Fisica</v>
      </c>
      <c r="D671" s="390"/>
      <c r="E671" s="390"/>
      <c r="F671" s="390"/>
      <c r="G671" s="390"/>
      <c r="H671" s="390"/>
      <c r="I671" s="390"/>
      <c r="J671" s="390"/>
      <c r="K671" s="390"/>
      <c r="L671" s="390"/>
      <c r="M671" s="390"/>
      <c r="N671" s="390"/>
      <c r="O671" s="390"/>
      <c r="P671" s="390"/>
      <c r="Q671" s="390"/>
      <c r="R671" s="390"/>
      <c r="S671" s="390"/>
      <c r="T671" s="390"/>
      <c r="U671" s="390"/>
      <c r="V671" s="390"/>
      <c r="W671" s="390"/>
      <c r="X671" s="390"/>
      <c r="Y671" s="390"/>
    </row>
    <row r="672">
      <c r="A672" s="390" t="str">
        <f>IFERROR(__xludf.DUMMYFUNCTION("""COMPUTED_VALUE"""),"Zoraia de Jesus Pereira dos Santos ")</f>
        <v>Zoraia de Jesus Pereira dos Santos </v>
      </c>
      <c r="B672" s="390" t="str">
        <f>IFERROR(__xludf.DUMMYFUNCTION("""COMPUTED_VALUE"""),"2° Licenciatura")</f>
        <v>2° Licenciatura</v>
      </c>
      <c r="C672" s="390" t="str">
        <f>IFERROR(__xludf.DUMMYFUNCTION("""COMPUTED_VALUE"""),"Educação Especial")</f>
        <v>Educação Especial</v>
      </c>
      <c r="D672" s="390"/>
      <c r="E672" s="390"/>
      <c r="F672" s="390"/>
      <c r="G672" s="390"/>
      <c r="H672" s="390"/>
      <c r="I672" s="390"/>
      <c r="J672" s="390"/>
      <c r="K672" s="390"/>
      <c r="L672" s="390"/>
      <c r="M672" s="390"/>
      <c r="N672" s="390"/>
      <c r="O672" s="390"/>
      <c r="P672" s="390"/>
      <c r="Q672" s="390"/>
      <c r="R672" s="390"/>
      <c r="S672" s="390"/>
      <c r="T672" s="390"/>
      <c r="U672" s="390"/>
      <c r="V672" s="390"/>
      <c r="W672" s="390"/>
      <c r="X672" s="390"/>
      <c r="Y672" s="390"/>
    </row>
    <row r="673">
      <c r="A673" s="390" t="str">
        <f>IFERROR(__xludf.DUMMYFUNCTION("""COMPUTED_VALUE"""),"Vanessa Bensa de Oliveira Neves")</f>
        <v>Vanessa Bensa de Oliveira Neves</v>
      </c>
      <c r="B673" s="390" t="str">
        <f>IFERROR(__xludf.DUMMYFUNCTION("""COMPUTED_VALUE"""),"Form. Pedagógica")</f>
        <v>Form. Pedagógica</v>
      </c>
      <c r="C673" s="390" t="str">
        <f>IFERROR(__xludf.DUMMYFUNCTION("""COMPUTED_VALUE"""),"História")</f>
        <v>História</v>
      </c>
      <c r="D673" s="390"/>
      <c r="E673" s="390"/>
      <c r="F673" s="390"/>
      <c r="G673" s="390"/>
      <c r="H673" s="390"/>
      <c r="I673" s="390"/>
      <c r="J673" s="390"/>
      <c r="K673" s="390"/>
      <c r="L673" s="390"/>
      <c r="M673" s="390"/>
      <c r="N673" s="390"/>
      <c r="O673" s="390"/>
      <c r="P673" s="390"/>
      <c r="Q673" s="390"/>
      <c r="R673" s="390"/>
      <c r="S673" s="390"/>
      <c r="T673" s="390"/>
      <c r="U673" s="390"/>
      <c r="V673" s="390"/>
      <c r="W673" s="390"/>
      <c r="X673" s="390"/>
      <c r="Y673" s="390"/>
    </row>
    <row r="674">
      <c r="A674" s="390" t="str">
        <f>IFERROR(__xludf.DUMMYFUNCTION("""COMPUTED_VALUE"""),"Bruno da Silva Freire ")</f>
        <v>Bruno da Silva Freire </v>
      </c>
      <c r="B674" s="390" t="str">
        <f>IFERROR(__xludf.DUMMYFUNCTION("""COMPUTED_VALUE"""),"2° Licenciatura")</f>
        <v>2° Licenciatura</v>
      </c>
      <c r="C674" s="390" t="str">
        <f>IFERROR(__xludf.DUMMYFUNCTION("""COMPUTED_VALUE"""),"História")</f>
        <v>História</v>
      </c>
      <c r="D674" s="390"/>
      <c r="E674" s="390"/>
      <c r="F674" s="390"/>
      <c r="G674" s="390"/>
      <c r="H674" s="390"/>
      <c r="I674" s="390"/>
      <c r="J674" s="390"/>
      <c r="K674" s="390"/>
      <c r="L674" s="390"/>
      <c r="M674" s="390"/>
      <c r="N674" s="390"/>
      <c r="O674" s="390"/>
      <c r="P674" s="390"/>
      <c r="Q674" s="390"/>
      <c r="R674" s="390"/>
      <c r="S674" s="390"/>
      <c r="T674" s="390"/>
      <c r="U674" s="390"/>
      <c r="V674" s="390"/>
      <c r="W674" s="390"/>
      <c r="X674" s="390"/>
      <c r="Y674" s="390"/>
    </row>
    <row r="675">
      <c r="A675" s="390" t="str">
        <f>IFERROR(__xludf.DUMMYFUNCTION("""COMPUTED_VALUE"""),"Bruno da Silva Freire ")</f>
        <v>Bruno da Silva Freire </v>
      </c>
      <c r="B675" s="390" t="str">
        <f>IFERROR(__xludf.DUMMYFUNCTION("""COMPUTED_VALUE"""),"2° Licenciatura")</f>
        <v>2° Licenciatura</v>
      </c>
      <c r="C675" s="390" t="str">
        <f>IFERROR(__xludf.DUMMYFUNCTION("""COMPUTED_VALUE"""),"Geografia")</f>
        <v>Geografia</v>
      </c>
      <c r="D675" s="390"/>
      <c r="E675" s="390"/>
      <c r="F675" s="390"/>
      <c r="G675" s="390"/>
      <c r="H675" s="390"/>
      <c r="I675" s="390"/>
      <c r="J675" s="390"/>
      <c r="K675" s="390"/>
      <c r="L675" s="390"/>
      <c r="M675" s="390"/>
      <c r="N675" s="390"/>
      <c r="O675" s="390"/>
      <c r="P675" s="390"/>
      <c r="Q675" s="390"/>
      <c r="R675" s="390"/>
      <c r="S675" s="390"/>
      <c r="T675" s="390"/>
      <c r="U675" s="390"/>
      <c r="V675" s="390"/>
      <c r="W675" s="390"/>
      <c r="X675" s="390"/>
      <c r="Y675" s="390"/>
    </row>
    <row r="676">
      <c r="A676" s="390" t="str">
        <f>IFERROR(__xludf.DUMMYFUNCTION("""COMPUTED_VALUE"""),"Rainatinen Kely de Oliveira Neves")</f>
        <v>Rainatinen Kely de Oliveira Neves</v>
      </c>
      <c r="B676" s="390" t="str">
        <f>IFERROR(__xludf.DUMMYFUNCTION("""COMPUTED_VALUE"""),"Form. Pedagógica")</f>
        <v>Form. Pedagógica</v>
      </c>
      <c r="C676" s="390" t="str">
        <f>IFERROR(__xludf.DUMMYFUNCTION("""COMPUTED_VALUE"""),"Letras - Português e Inglês")</f>
        <v>Letras - Português e Inglês</v>
      </c>
      <c r="D676" s="390"/>
      <c r="E676" s="390"/>
      <c r="F676" s="390"/>
      <c r="G676" s="390"/>
      <c r="H676" s="390"/>
      <c r="I676" s="390"/>
      <c r="J676" s="390"/>
      <c r="K676" s="390"/>
      <c r="L676" s="390"/>
      <c r="M676" s="390"/>
      <c r="N676" s="390"/>
      <c r="O676" s="390"/>
      <c r="P676" s="390"/>
      <c r="Q676" s="390"/>
      <c r="R676" s="390"/>
      <c r="S676" s="390"/>
      <c r="T676" s="390"/>
      <c r="U676" s="390"/>
      <c r="V676" s="390"/>
      <c r="W676" s="390"/>
      <c r="X676" s="390"/>
      <c r="Y676" s="390"/>
    </row>
    <row r="677">
      <c r="A677" s="390" t="str">
        <f>IFERROR(__xludf.DUMMYFUNCTION("""COMPUTED_VALUE"""),"Paulo Henrique Teixeira ")</f>
        <v>Paulo Henrique Teixeira </v>
      </c>
      <c r="B677" s="390" t="str">
        <f>IFERROR(__xludf.DUMMYFUNCTION("""COMPUTED_VALUE"""),"2° Licenciatura")</f>
        <v>2° Licenciatura</v>
      </c>
      <c r="C677" s="390" t="str">
        <f>IFERROR(__xludf.DUMMYFUNCTION("""COMPUTED_VALUE"""),"Letras - Português e Inglês")</f>
        <v>Letras - Português e Inglês</v>
      </c>
      <c r="D677" s="390"/>
      <c r="E677" s="390"/>
      <c r="F677" s="390"/>
      <c r="G677" s="390"/>
      <c r="H677" s="390"/>
      <c r="I677" s="390"/>
      <c r="J677" s="390"/>
      <c r="K677" s="390"/>
      <c r="L677" s="390"/>
      <c r="M677" s="390"/>
      <c r="N677" s="390"/>
      <c r="O677" s="390"/>
      <c r="P677" s="390"/>
      <c r="Q677" s="390"/>
      <c r="R677" s="390"/>
      <c r="S677" s="390"/>
      <c r="T677" s="390"/>
      <c r="U677" s="390"/>
      <c r="V677" s="390"/>
      <c r="W677" s="390"/>
      <c r="X677" s="390"/>
      <c r="Y677" s="390"/>
    </row>
    <row r="678">
      <c r="A678" s="390" t="str">
        <f>IFERROR(__xludf.DUMMYFUNCTION("""COMPUTED_VALUE"""),"Petrônio Dias da Silva")</f>
        <v>Petrônio Dias da Silva</v>
      </c>
      <c r="B678" s="390" t="str">
        <f>IFERROR(__xludf.DUMMYFUNCTION("""COMPUTED_VALUE"""),"Form. Pedagógica")</f>
        <v>Form. Pedagógica</v>
      </c>
      <c r="C678" s="390" t="str">
        <f>IFERROR(__xludf.DUMMYFUNCTION("""COMPUTED_VALUE"""),"Educação Fisica")</f>
        <v>Educação Fisica</v>
      </c>
      <c r="D678" s="390"/>
      <c r="E678" s="390"/>
      <c r="F678" s="390"/>
      <c r="G678" s="390"/>
      <c r="H678" s="390"/>
      <c r="I678" s="390"/>
      <c r="J678" s="390"/>
      <c r="K678" s="390"/>
      <c r="L678" s="390"/>
      <c r="M678" s="390"/>
      <c r="N678" s="390"/>
      <c r="O678" s="390"/>
      <c r="P678" s="390"/>
      <c r="Q678" s="390"/>
      <c r="R678" s="390"/>
      <c r="S678" s="390"/>
      <c r="T678" s="390"/>
      <c r="U678" s="390"/>
      <c r="V678" s="390"/>
      <c r="W678" s="390"/>
      <c r="X678" s="390"/>
      <c r="Y678" s="390"/>
    </row>
    <row r="679">
      <c r="A679" s="390" t="str">
        <f>IFERROR(__xludf.DUMMYFUNCTION("""COMPUTED_VALUE"""),"Luana Ribeiro Matos Rosa")</f>
        <v>Luana Ribeiro Matos Rosa</v>
      </c>
      <c r="B679" s="390" t="str">
        <f>IFERROR(__xludf.DUMMYFUNCTION("""COMPUTED_VALUE"""),"2° Licenciatura")</f>
        <v>2° Licenciatura</v>
      </c>
      <c r="C679" s="390" t="str">
        <f>IFERROR(__xludf.DUMMYFUNCTION("""COMPUTED_VALUE"""),"Artes Visuais")</f>
        <v>Artes Visuais</v>
      </c>
      <c r="D679" s="390"/>
      <c r="E679" s="390"/>
      <c r="F679" s="390"/>
      <c r="G679" s="390"/>
      <c r="H679" s="390"/>
      <c r="I679" s="390"/>
      <c r="J679" s="390"/>
      <c r="K679" s="390"/>
      <c r="L679" s="390"/>
      <c r="M679" s="390"/>
      <c r="N679" s="390"/>
      <c r="O679" s="390"/>
      <c r="P679" s="390"/>
      <c r="Q679" s="390"/>
      <c r="R679" s="390"/>
      <c r="S679" s="390"/>
      <c r="T679" s="390"/>
      <c r="U679" s="390"/>
      <c r="V679" s="390"/>
      <c r="W679" s="390"/>
      <c r="X679" s="390"/>
      <c r="Y679" s="390"/>
    </row>
    <row r="680">
      <c r="A680" s="390" t="str">
        <f>IFERROR(__xludf.DUMMYFUNCTION("""COMPUTED_VALUE"""),"Nivaldo Lisboa da Silva")</f>
        <v>Nivaldo Lisboa da Silva</v>
      </c>
      <c r="B680" s="390" t="str">
        <f>IFERROR(__xludf.DUMMYFUNCTION("""COMPUTED_VALUE"""),"2° Licenciatura")</f>
        <v>2° Licenciatura</v>
      </c>
      <c r="C680" s="390" t="str">
        <f>IFERROR(__xludf.DUMMYFUNCTION("""COMPUTED_VALUE"""),"Educação Especial")</f>
        <v>Educação Especial</v>
      </c>
      <c r="D680" s="390"/>
      <c r="E680" s="390"/>
      <c r="F680" s="390"/>
      <c r="G680" s="390"/>
      <c r="H680" s="390"/>
      <c r="I680" s="390"/>
      <c r="J680" s="390"/>
      <c r="K680" s="390"/>
      <c r="L680" s="390"/>
      <c r="M680" s="390"/>
      <c r="N680" s="390"/>
      <c r="O680" s="390"/>
      <c r="P680" s="390"/>
      <c r="Q680" s="390"/>
      <c r="R680" s="390"/>
      <c r="S680" s="390"/>
      <c r="T680" s="390"/>
      <c r="U680" s="390"/>
      <c r="V680" s="390"/>
      <c r="W680" s="390"/>
      <c r="X680" s="390"/>
      <c r="Y680" s="390"/>
    </row>
    <row r="681">
      <c r="A681" s="390" t="str">
        <f>IFERROR(__xludf.DUMMYFUNCTION("""COMPUTED_VALUE"""),"Janaína Marchioretto Mella")</f>
        <v>Janaína Marchioretto Mella</v>
      </c>
      <c r="B681" s="390" t="str">
        <f>IFERROR(__xludf.DUMMYFUNCTION("""COMPUTED_VALUE"""),"2° Licenciatura")</f>
        <v>2° Licenciatura</v>
      </c>
      <c r="C681" s="390" t="str">
        <f>IFERROR(__xludf.DUMMYFUNCTION("""COMPUTED_VALUE"""),"Letras - Português e Espanhol")</f>
        <v>Letras - Português e Espanhol</v>
      </c>
      <c r="D681" s="390"/>
      <c r="E681" s="390"/>
      <c r="F681" s="390"/>
      <c r="G681" s="390"/>
      <c r="H681" s="390"/>
      <c r="I681" s="390"/>
      <c r="J681" s="390"/>
      <c r="K681" s="390"/>
      <c r="L681" s="390"/>
      <c r="M681" s="390"/>
      <c r="N681" s="390"/>
      <c r="O681" s="390"/>
      <c r="P681" s="390"/>
      <c r="Q681" s="390"/>
      <c r="R681" s="390"/>
      <c r="S681" s="390"/>
      <c r="T681" s="390"/>
      <c r="U681" s="390"/>
      <c r="V681" s="390"/>
      <c r="W681" s="390"/>
      <c r="X681" s="390"/>
      <c r="Y681" s="390"/>
    </row>
    <row r="682">
      <c r="A682" s="390" t="str">
        <f>IFERROR(__xludf.DUMMYFUNCTION("""COMPUTED_VALUE"""),"Rosineia Corrêa da Silva Aires")</f>
        <v>Rosineia Corrêa da Silva Aires</v>
      </c>
      <c r="B682" s="390" t="str">
        <f>IFERROR(__xludf.DUMMYFUNCTION("""COMPUTED_VALUE"""),"2° Licenciatura")</f>
        <v>2° Licenciatura</v>
      </c>
      <c r="C682" s="390" t="str">
        <f>IFERROR(__xludf.DUMMYFUNCTION("""COMPUTED_VALUE"""),"Educação Especial")</f>
        <v>Educação Especial</v>
      </c>
      <c r="D682" s="390"/>
      <c r="E682" s="390"/>
      <c r="F682" s="390"/>
      <c r="G682" s="390"/>
      <c r="H682" s="390"/>
      <c r="I682" s="390"/>
      <c r="J682" s="390"/>
      <c r="K682" s="390"/>
      <c r="L682" s="390"/>
      <c r="M682" s="390"/>
      <c r="N682" s="390"/>
      <c r="O682" s="390"/>
      <c r="P682" s="390"/>
      <c r="Q682" s="390"/>
      <c r="R682" s="390"/>
      <c r="S682" s="390"/>
      <c r="T682" s="390"/>
      <c r="U682" s="390"/>
      <c r="V682" s="390"/>
      <c r="W682" s="390"/>
      <c r="X682" s="390"/>
      <c r="Y682" s="390"/>
    </row>
    <row r="683">
      <c r="A683" s="390" t="str">
        <f>IFERROR(__xludf.DUMMYFUNCTION("""COMPUTED_VALUE"""),"Gabriela Aguiar Seole")</f>
        <v>Gabriela Aguiar Seole</v>
      </c>
      <c r="B683" s="390" t="str">
        <f>IFERROR(__xludf.DUMMYFUNCTION("""COMPUTED_VALUE"""),"2° Licenciatura")</f>
        <v>2° Licenciatura</v>
      </c>
      <c r="C683" s="390" t="str">
        <f>IFERROR(__xludf.DUMMYFUNCTION("""COMPUTED_VALUE"""),"Letras - Português e Inglês")</f>
        <v>Letras - Português e Inglês</v>
      </c>
      <c r="D683" s="390"/>
      <c r="E683" s="390"/>
      <c r="F683" s="390"/>
      <c r="G683" s="390"/>
      <c r="H683" s="390"/>
      <c r="I683" s="390"/>
      <c r="J683" s="390"/>
      <c r="K683" s="390"/>
      <c r="L683" s="390"/>
      <c r="M683" s="390"/>
      <c r="N683" s="390"/>
      <c r="O683" s="390"/>
      <c r="P683" s="390"/>
      <c r="Q683" s="390"/>
      <c r="R683" s="390"/>
      <c r="S683" s="390"/>
      <c r="T683" s="390"/>
      <c r="U683" s="390"/>
      <c r="V683" s="390"/>
      <c r="W683" s="390"/>
      <c r="X683" s="390"/>
      <c r="Y683" s="390"/>
    </row>
    <row r="684">
      <c r="A684" s="390" t="str">
        <f>IFERROR(__xludf.DUMMYFUNCTION("""COMPUTED_VALUE"""),"Lorrayne Raika Oliveira Marques de Figueiredo")</f>
        <v>Lorrayne Raika Oliveira Marques de Figueiredo</v>
      </c>
      <c r="B684" s="390" t="str">
        <f>IFERROR(__xludf.DUMMYFUNCTION("""COMPUTED_VALUE"""),"2° Licenciatura")</f>
        <v>2° Licenciatura</v>
      </c>
      <c r="C684" s="390" t="str">
        <f>IFERROR(__xludf.DUMMYFUNCTION("""COMPUTED_VALUE"""),"História")</f>
        <v>História</v>
      </c>
      <c r="D684" s="390"/>
      <c r="E684" s="390"/>
      <c r="F684" s="390"/>
      <c r="G684" s="390"/>
      <c r="H684" s="390"/>
      <c r="I684" s="390"/>
      <c r="J684" s="390"/>
      <c r="K684" s="390"/>
      <c r="L684" s="390"/>
      <c r="M684" s="390"/>
      <c r="N684" s="390"/>
      <c r="O684" s="390"/>
      <c r="P684" s="390"/>
      <c r="Q684" s="390"/>
      <c r="R684" s="390"/>
      <c r="S684" s="390"/>
      <c r="T684" s="390"/>
      <c r="U684" s="390"/>
      <c r="V684" s="390"/>
      <c r="W684" s="390"/>
      <c r="X684" s="390"/>
      <c r="Y684" s="390"/>
    </row>
    <row r="685">
      <c r="A685" s="390" t="str">
        <f>IFERROR(__xludf.DUMMYFUNCTION("""COMPUTED_VALUE"""),"Eduardo Francisco Sobral da Silva")</f>
        <v>Eduardo Francisco Sobral da Silva</v>
      </c>
      <c r="B685" s="390" t="str">
        <f>IFERROR(__xludf.DUMMYFUNCTION("""COMPUTED_VALUE"""),"2° Licenciatura")</f>
        <v>2° Licenciatura</v>
      </c>
      <c r="C685" s="390" t="str">
        <f>IFERROR(__xludf.DUMMYFUNCTION("""COMPUTED_VALUE"""),"História")</f>
        <v>História</v>
      </c>
      <c r="D685" s="390"/>
      <c r="E685" s="390"/>
      <c r="F685" s="390"/>
      <c r="G685" s="390"/>
      <c r="H685" s="390"/>
      <c r="I685" s="390"/>
      <c r="J685" s="390"/>
      <c r="K685" s="390"/>
      <c r="L685" s="390"/>
      <c r="M685" s="390"/>
      <c r="N685" s="390"/>
      <c r="O685" s="390"/>
      <c r="P685" s="390"/>
      <c r="Q685" s="390"/>
      <c r="R685" s="390"/>
      <c r="S685" s="390"/>
      <c r="T685" s="390"/>
      <c r="U685" s="390"/>
      <c r="V685" s="390"/>
      <c r="W685" s="390"/>
      <c r="X685" s="390"/>
      <c r="Y685" s="390"/>
    </row>
    <row r="686">
      <c r="A686" s="390" t="str">
        <f>IFERROR(__xludf.DUMMYFUNCTION("""COMPUTED_VALUE"""),"João Paulo Bernardo ")</f>
        <v>João Paulo Bernardo </v>
      </c>
      <c r="B686" s="390" t="str">
        <f>IFERROR(__xludf.DUMMYFUNCTION("""COMPUTED_VALUE"""),"Form. Pedagógica")</f>
        <v>Form. Pedagógica</v>
      </c>
      <c r="C686" s="390" t="str">
        <f>IFERROR(__xludf.DUMMYFUNCTION("""COMPUTED_VALUE"""),"Geografia")</f>
        <v>Geografia</v>
      </c>
      <c r="D686" s="390"/>
      <c r="E686" s="390"/>
      <c r="F686" s="390"/>
      <c r="G686" s="390"/>
      <c r="H686" s="390"/>
      <c r="I686" s="390"/>
      <c r="J686" s="390"/>
      <c r="K686" s="390"/>
      <c r="L686" s="390"/>
      <c r="M686" s="390"/>
      <c r="N686" s="390"/>
      <c r="O686" s="390"/>
      <c r="P686" s="390"/>
      <c r="Q686" s="390"/>
      <c r="R686" s="390"/>
      <c r="S686" s="390"/>
      <c r="T686" s="390"/>
      <c r="U686" s="390"/>
      <c r="V686" s="390"/>
      <c r="W686" s="390"/>
      <c r="X686" s="390"/>
      <c r="Y686" s="390"/>
    </row>
    <row r="687">
      <c r="A687" s="390" t="str">
        <f>IFERROR(__xludf.DUMMYFUNCTION("""COMPUTED_VALUE"""),"Fabiana Ferreira Neves Goveia")</f>
        <v>Fabiana Ferreira Neves Goveia</v>
      </c>
      <c r="B687" s="390" t="str">
        <f>IFERROR(__xludf.DUMMYFUNCTION("""COMPUTED_VALUE"""),"2° Licenciatura")</f>
        <v>2° Licenciatura</v>
      </c>
      <c r="C687" s="390" t="str">
        <f>IFERROR(__xludf.DUMMYFUNCTION("""COMPUTED_VALUE"""),"Matemática")</f>
        <v>Matemática</v>
      </c>
      <c r="D687" s="390"/>
      <c r="E687" s="390"/>
      <c r="F687" s="390"/>
      <c r="G687" s="390"/>
      <c r="H687" s="390"/>
      <c r="I687" s="390"/>
      <c r="J687" s="390"/>
      <c r="K687" s="390"/>
      <c r="L687" s="390"/>
      <c r="M687" s="390"/>
      <c r="N687" s="390"/>
      <c r="O687" s="390"/>
      <c r="P687" s="390"/>
      <c r="Q687" s="390"/>
      <c r="R687" s="390"/>
      <c r="S687" s="390"/>
      <c r="T687" s="390"/>
      <c r="U687" s="390"/>
      <c r="V687" s="390"/>
      <c r="W687" s="390"/>
      <c r="X687" s="390"/>
      <c r="Y687" s="390"/>
    </row>
    <row r="688">
      <c r="A688" s="390" t="str">
        <f>IFERROR(__xludf.DUMMYFUNCTION("""COMPUTED_VALUE"""),"Rúbia de Souza Silva")</f>
        <v>Rúbia de Souza Silva</v>
      </c>
      <c r="B688" s="390" t="str">
        <f>IFERROR(__xludf.DUMMYFUNCTION("""COMPUTED_VALUE"""),"2° Licenciatura")</f>
        <v>2° Licenciatura</v>
      </c>
      <c r="C688" s="390" t="str">
        <f>IFERROR(__xludf.DUMMYFUNCTION("""COMPUTED_VALUE"""),"Sociologia")</f>
        <v>Sociologia</v>
      </c>
      <c r="D688" s="390"/>
      <c r="E688" s="390"/>
      <c r="F688" s="390"/>
      <c r="G688" s="390"/>
      <c r="H688" s="390"/>
      <c r="I688" s="390"/>
      <c r="J688" s="390"/>
      <c r="K688" s="390"/>
      <c r="L688" s="390"/>
      <c r="M688" s="390"/>
      <c r="N688" s="390"/>
      <c r="O688" s="390"/>
      <c r="P688" s="390"/>
      <c r="Q688" s="390"/>
      <c r="R688" s="390"/>
      <c r="S688" s="390"/>
      <c r="T688" s="390"/>
      <c r="U688" s="390"/>
      <c r="V688" s="390"/>
      <c r="W688" s="390"/>
      <c r="X688" s="390"/>
      <c r="Y688" s="390"/>
    </row>
    <row r="689">
      <c r="A689" s="390" t="str">
        <f>IFERROR(__xludf.DUMMYFUNCTION("""COMPUTED_VALUE"""),"Renato Lopes Almeida")</f>
        <v>Renato Lopes Almeida</v>
      </c>
      <c r="B689" s="390" t="str">
        <f>IFERROR(__xludf.DUMMYFUNCTION("""COMPUTED_VALUE"""),"2° Licenciatura")</f>
        <v>2° Licenciatura</v>
      </c>
      <c r="C689" s="390" t="str">
        <f>IFERROR(__xludf.DUMMYFUNCTION("""COMPUTED_VALUE"""),"Educação Especial")</f>
        <v>Educação Especial</v>
      </c>
      <c r="D689" s="390"/>
      <c r="E689" s="390"/>
      <c r="F689" s="390"/>
      <c r="G689" s="390"/>
      <c r="H689" s="390"/>
      <c r="I689" s="390"/>
      <c r="J689" s="390"/>
      <c r="K689" s="390"/>
      <c r="L689" s="390"/>
      <c r="M689" s="390"/>
      <c r="N689" s="390"/>
      <c r="O689" s="390"/>
      <c r="P689" s="390"/>
      <c r="Q689" s="390"/>
      <c r="R689" s="390"/>
      <c r="S689" s="390"/>
      <c r="T689" s="390"/>
      <c r="U689" s="390"/>
      <c r="V689" s="390"/>
      <c r="W689" s="390"/>
      <c r="X689" s="390"/>
      <c r="Y689" s="390"/>
    </row>
    <row r="690">
      <c r="A690" s="390" t="str">
        <f>IFERROR(__xludf.DUMMYFUNCTION("""COMPUTED_VALUE"""),"Ivanilde Helena Braga")</f>
        <v>Ivanilde Helena Braga</v>
      </c>
      <c r="B690" s="390" t="str">
        <f>IFERROR(__xludf.DUMMYFUNCTION("""COMPUTED_VALUE"""),"2° Licenciatura")</f>
        <v>2° Licenciatura</v>
      </c>
      <c r="C690" s="390" t="str">
        <f>IFERROR(__xludf.DUMMYFUNCTION("""COMPUTED_VALUE"""),"Educação Fisica")</f>
        <v>Educação Fisica</v>
      </c>
      <c r="D690" s="390"/>
      <c r="E690" s="390"/>
      <c r="F690" s="390"/>
      <c r="G690" s="390"/>
      <c r="H690" s="390"/>
      <c r="I690" s="390"/>
      <c r="J690" s="390"/>
      <c r="K690" s="390"/>
      <c r="L690" s="390"/>
      <c r="M690" s="390"/>
      <c r="N690" s="390"/>
      <c r="O690" s="390"/>
      <c r="P690" s="390"/>
      <c r="Q690" s="390"/>
      <c r="R690" s="390"/>
      <c r="S690" s="390"/>
      <c r="T690" s="390"/>
      <c r="U690" s="390"/>
      <c r="V690" s="390"/>
      <c r="W690" s="390"/>
      <c r="X690" s="390"/>
      <c r="Y690" s="390"/>
    </row>
    <row r="691">
      <c r="A691" s="390" t="str">
        <f>IFERROR(__xludf.DUMMYFUNCTION("""COMPUTED_VALUE"""),"Anilady Cris Godoi")</f>
        <v>Anilady Cris Godoi</v>
      </c>
      <c r="B691" s="390" t="str">
        <f>IFERROR(__xludf.DUMMYFUNCTION("""COMPUTED_VALUE"""),"2° Licenciatura")</f>
        <v>2° Licenciatura</v>
      </c>
      <c r="C691" s="390" t="str">
        <f>IFERROR(__xludf.DUMMYFUNCTION("""COMPUTED_VALUE"""),"História")</f>
        <v>História</v>
      </c>
      <c r="D691" s="390"/>
      <c r="E691" s="390"/>
      <c r="F691" s="390"/>
      <c r="G691" s="390"/>
      <c r="H691" s="390"/>
      <c r="I691" s="390"/>
      <c r="J691" s="390"/>
      <c r="K691" s="390"/>
      <c r="L691" s="390"/>
      <c r="M691" s="390"/>
      <c r="N691" s="390"/>
      <c r="O691" s="390"/>
      <c r="P691" s="390"/>
      <c r="Q691" s="390"/>
      <c r="R691" s="390"/>
      <c r="S691" s="390"/>
      <c r="T691" s="390"/>
      <c r="U691" s="390"/>
      <c r="V691" s="390"/>
      <c r="W691" s="390"/>
      <c r="X691" s="390"/>
      <c r="Y691" s="390"/>
    </row>
    <row r="692">
      <c r="A692" s="390" t="str">
        <f>IFERROR(__xludf.DUMMYFUNCTION("""COMPUTED_VALUE"""),"José Micael Ferreira da Costa")</f>
        <v>José Micael Ferreira da Costa</v>
      </c>
      <c r="B692" s="390" t="str">
        <f>IFERROR(__xludf.DUMMYFUNCTION("""COMPUTED_VALUE"""),"Form. Pedagógica")</f>
        <v>Form. Pedagógica</v>
      </c>
      <c r="C692" s="390" t="str">
        <f>IFERROR(__xludf.DUMMYFUNCTION("""COMPUTED_VALUE"""),"Matemática")</f>
        <v>Matemática</v>
      </c>
      <c r="D692" s="390"/>
      <c r="E692" s="390"/>
      <c r="F692" s="390"/>
      <c r="G692" s="390"/>
      <c r="H692" s="390"/>
      <c r="I692" s="390"/>
      <c r="J692" s="390"/>
      <c r="K692" s="390"/>
      <c r="L692" s="390"/>
      <c r="M692" s="390"/>
      <c r="N692" s="390"/>
      <c r="O692" s="390"/>
      <c r="P692" s="390"/>
      <c r="Q692" s="390"/>
      <c r="R692" s="390"/>
      <c r="S692" s="390"/>
      <c r="T692" s="390"/>
      <c r="U692" s="390"/>
      <c r="V692" s="390"/>
      <c r="W692" s="390"/>
      <c r="X692" s="390"/>
      <c r="Y692" s="390"/>
    </row>
    <row r="693">
      <c r="A693" s="390" t="str">
        <f>IFERROR(__xludf.DUMMYFUNCTION("""COMPUTED_VALUE"""),"Laís Vargas Ramm")</f>
        <v>Laís Vargas Ramm</v>
      </c>
      <c r="B693" s="390" t="str">
        <f>IFERROR(__xludf.DUMMYFUNCTION("""COMPUTED_VALUE"""),"Form. Pedagógica")</f>
        <v>Form. Pedagógica</v>
      </c>
      <c r="C693" s="390" t="str">
        <f>IFERROR(__xludf.DUMMYFUNCTION("""COMPUTED_VALUE"""),"Letras - Português e Inglês")</f>
        <v>Letras - Português e Inglês</v>
      </c>
      <c r="D693" s="390"/>
      <c r="E693" s="390"/>
      <c r="F693" s="390"/>
      <c r="G693" s="390"/>
      <c r="H693" s="390"/>
      <c r="I693" s="390"/>
      <c r="J693" s="390"/>
      <c r="K693" s="390"/>
      <c r="L693" s="390"/>
      <c r="M693" s="390"/>
      <c r="N693" s="390"/>
      <c r="O693" s="390"/>
      <c r="P693" s="390"/>
      <c r="Q693" s="390"/>
      <c r="R693" s="390"/>
      <c r="S693" s="390"/>
      <c r="T693" s="390"/>
      <c r="U693" s="390"/>
      <c r="V693" s="390"/>
      <c r="W693" s="390"/>
      <c r="X693" s="390"/>
      <c r="Y693" s="390"/>
    </row>
    <row r="694">
      <c r="A694" s="390" t="str">
        <f>IFERROR(__xludf.DUMMYFUNCTION("""COMPUTED_VALUE"""),"Wendson cleber cardoso da cruz")</f>
        <v>Wendson cleber cardoso da cruz</v>
      </c>
      <c r="B694" s="390" t="str">
        <f>IFERROR(__xludf.DUMMYFUNCTION("""COMPUTED_VALUE"""),"2° Licenciatura")</f>
        <v>2° Licenciatura</v>
      </c>
      <c r="C694" s="390" t="str">
        <f>IFERROR(__xludf.DUMMYFUNCTION("""COMPUTED_VALUE"""),"Educação Fisica")</f>
        <v>Educação Fisica</v>
      </c>
      <c r="D694" s="390"/>
      <c r="E694" s="390"/>
      <c r="F694" s="390"/>
      <c r="G694" s="390"/>
      <c r="H694" s="390"/>
      <c r="I694" s="390"/>
      <c r="J694" s="390"/>
      <c r="K694" s="390"/>
      <c r="L694" s="390"/>
      <c r="M694" s="390"/>
      <c r="N694" s="390"/>
      <c r="O694" s="390"/>
      <c r="P694" s="390"/>
      <c r="Q694" s="390"/>
      <c r="R694" s="390"/>
      <c r="S694" s="390"/>
      <c r="T694" s="390"/>
      <c r="U694" s="390"/>
      <c r="V694" s="390"/>
      <c r="W694" s="390"/>
      <c r="X694" s="390"/>
      <c r="Y694" s="390"/>
    </row>
    <row r="695">
      <c r="A695" s="390" t="str">
        <f>IFERROR(__xludf.DUMMYFUNCTION("""COMPUTED_VALUE"""),"Valdice querem silva freire")</f>
        <v>Valdice querem silva freire</v>
      </c>
      <c r="B695" s="390" t="str">
        <f>IFERROR(__xludf.DUMMYFUNCTION("""COMPUTED_VALUE"""),"Form. Pedagógica")</f>
        <v>Form. Pedagógica</v>
      </c>
      <c r="C695" s="390" t="str">
        <f>IFERROR(__xludf.DUMMYFUNCTION("""COMPUTED_VALUE"""),"Matemática")</f>
        <v>Matemática</v>
      </c>
      <c r="D695" s="390"/>
      <c r="E695" s="390"/>
      <c r="F695" s="390"/>
      <c r="G695" s="390"/>
      <c r="H695" s="390"/>
      <c r="I695" s="390"/>
      <c r="J695" s="390"/>
      <c r="K695" s="390"/>
      <c r="L695" s="390"/>
      <c r="M695" s="390"/>
      <c r="N695" s="390"/>
      <c r="O695" s="390"/>
      <c r="P695" s="390"/>
      <c r="Q695" s="390"/>
      <c r="R695" s="390"/>
      <c r="S695" s="390"/>
      <c r="T695" s="390"/>
      <c r="U695" s="390"/>
      <c r="V695" s="390"/>
      <c r="W695" s="390"/>
      <c r="X695" s="390"/>
      <c r="Y695" s="390"/>
    </row>
    <row r="696">
      <c r="A696" s="390" t="str">
        <f>IFERROR(__xludf.DUMMYFUNCTION("""COMPUTED_VALUE"""),"Thiago Alexandre Gomes Favaris")</f>
        <v>Thiago Alexandre Gomes Favaris</v>
      </c>
      <c r="B696" s="390" t="str">
        <f>IFERROR(__xludf.DUMMYFUNCTION("""COMPUTED_VALUE"""),"Form. Pedagógica")</f>
        <v>Form. Pedagógica</v>
      </c>
      <c r="C696" s="390" t="str">
        <f>IFERROR(__xludf.DUMMYFUNCTION("""COMPUTED_VALUE"""),"Letras - Português e Espanhol")</f>
        <v>Letras - Português e Espanhol</v>
      </c>
      <c r="D696" s="390"/>
      <c r="E696" s="390"/>
      <c r="F696" s="390"/>
      <c r="G696" s="390"/>
      <c r="H696" s="390"/>
      <c r="I696" s="390"/>
      <c r="J696" s="390"/>
      <c r="K696" s="390"/>
      <c r="L696" s="390"/>
      <c r="M696" s="390"/>
      <c r="N696" s="390"/>
      <c r="O696" s="390"/>
      <c r="P696" s="390"/>
      <c r="Q696" s="390"/>
      <c r="R696" s="390"/>
      <c r="S696" s="390"/>
      <c r="T696" s="390"/>
      <c r="U696" s="390"/>
      <c r="V696" s="390"/>
      <c r="W696" s="390"/>
      <c r="X696" s="390"/>
      <c r="Y696" s="390"/>
    </row>
    <row r="697">
      <c r="A697" s="390" t="str">
        <f>IFERROR(__xludf.DUMMYFUNCTION("""COMPUTED_VALUE"""),"Jonathan Felipe Bressan")</f>
        <v>Jonathan Felipe Bressan</v>
      </c>
      <c r="B697" s="390" t="str">
        <f>IFERROR(__xludf.DUMMYFUNCTION("""COMPUTED_VALUE"""),"Form. Pedagógica")</f>
        <v>Form. Pedagógica</v>
      </c>
      <c r="C697" s="390" t="str">
        <f>IFERROR(__xludf.DUMMYFUNCTION("""COMPUTED_VALUE"""),"Educação Fisica")</f>
        <v>Educação Fisica</v>
      </c>
      <c r="D697" s="390"/>
      <c r="E697" s="390"/>
      <c r="F697" s="390"/>
      <c r="G697" s="390"/>
      <c r="H697" s="390"/>
      <c r="I697" s="390"/>
      <c r="J697" s="390"/>
      <c r="K697" s="390"/>
      <c r="L697" s="390"/>
      <c r="M697" s="390"/>
      <c r="N697" s="390"/>
      <c r="O697" s="390"/>
      <c r="P697" s="390"/>
      <c r="Q697" s="390"/>
      <c r="R697" s="390"/>
      <c r="S697" s="390"/>
      <c r="T697" s="390"/>
      <c r="U697" s="390"/>
      <c r="V697" s="390"/>
      <c r="W697" s="390"/>
      <c r="X697" s="390"/>
      <c r="Y697" s="390"/>
    </row>
    <row r="698">
      <c r="A698" s="390" t="str">
        <f>IFERROR(__xludf.DUMMYFUNCTION("""COMPUTED_VALUE"""),"Ulsthayley Wandherson Benjamin de Lima")</f>
        <v>Ulsthayley Wandherson Benjamin de Lima</v>
      </c>
      <c r="B698" s="390" t="str">
        <f>IFERROR(__xludf.DUMMYFUNCTION("""COMPUTED_VALUE"""),"Form. Pedagógica")</f>
        <v>Form. Pedagógica</v>
      </c>
      <c r="C698" s="390" t="str">
        <f>IFERROR(__xludf.DUMMYFUNCTION("""COMPUTED_VALUE"""),"Educação Física")</f>
        <v>Educação Física</v>
      </c>
      <c r="D698" s="390"/>
      <c r="E698" s="390"/>
      <c r="F698" s="390"/>
      <c r="G698" s="390"/>
      <c r="H698" s="390"/>
      <c r="I698" s="390"/>
      <c r="J698" s="390"/>
      <c r="K698" s="390"/>
      <c r="L698" s="390"/>
      <c r="M698" s="390"/>
      <c r="N698" s="390"/>
      <c r="O698" s="390"/>
      <c r="P698" s="390"/>
      <c r="Q698" s="390"/>
      <c r="R698" s="390"/>
      <c r="S698" s="390"/>
      <c r="T698" s="390"/>
      <c r="U698" s="390"/>
      <c r="V698" s="390"/>
      <c r="W698" s="390"/>
      <c r="X698" s="390"/>
      <c r="Y698" s="390"/>
    </row>
    <row r="699">
      <c r="A699" s="390" t="str">
        <f>IFERROR(__xludf.DUMMYFUNCTION("""COMPUTED_VALUE"""),"Antônio Cezar Pedrosa de Oliveira")</f>
        <v>Antônio Cezar Pedrosa de Oliveira</v>
      </c>
      <c r="B699" s="390" t="str">
        <f>IFERROR(__xludf.DUMMYFUNCTION("""COMPUTED_VALUE"""),"Form. Pedagógica")</f>
        <v>Form. Pedagógica</v>
      </c>
      <c r="C699" s="390" t="str">
        <f>IFERROR(__xludf.DUMMYFUNCTION("""COMPUTED_VALUE"""),"História")</f>
        <v>História</v>
      </c>
      <c r="D699" s="390"/>
      <c r="E699" s="390"/>
      <c r="F699" s="390"/>
      <c r="G699" s="390"/>
      <c r="H699" s="390"/>
      <c r="I699" s="390"/>
      <c r="J699" s="390"/>
      <c r="K699" s="390"/>
      <c r="L699" s="390"/>
      <c r="M699" s="390"/>
      <c r="N699" s="390"/>
      <c r="O699" s="390"/>
      <c r="P699" s="390"/>
      <c r="Q699" s="390"/>
      <c r="R699" s="390"/>
      <c r="S699" s="390"/>
      <c r="T699" s="390"/>
      <c r="U699" s="390"/>
      <c r="V699" s="390"/>
      <c r="W699" s="390"/>
      <c r="X699" s="390"/>
      <c r="Y699" s="390"/>
    </row>
    <row r="700">
      <c r="A700" s="390" t="str">
        <f>IFERROR(__xludf.DUMMYFUNCTION("""COMPUTED_VALUE"""),"Antônio Cezar Pedrosa de Oliveira")</f>
        <v>Antônio Cezar Pedrosa de Oliveira</v>
      </c>
      <c r="B700" s="390" t="str">
        <f>IFERROR(__xludf.DUMMYFUNCTION("""COMPUTED_VALUE"""),"Form. Pedagógica")</f>
        <v>Form. Pedagógica</v>
      </c>
      <c r="C700" s="390" t="str">
        <f>IFERROR(__xludf.DUMMYFUNCTION("""COMPUTED_VALUE"""),"Geografia")</f>
        <v>Geografia</v>
      </c>
      <c r="D700" s="390"/>
      <c r="E700" s="390"/>
      <c r="F700" s="390"/>
      <c r="G700" s="390"/>
      <c r="H700" s="390"/>
      <c r="I700" s="390"/>
      <c r="J700" s="390"/>
      <c r="K700" s="390"/>
      <c r="L700" s="390"/>
      <c r="M700" s="390"/>
      <c r="N700" s="390"/>
      <c r="O700" s="390"/>
      <c r="P700" s="390"/>
      <c r="Q700" s="390"/>
      <c r="R700" s="390"/>
      <c r="S700" s="390"/>
      <c r="T700" s="390"/>
      <c r="U700" s="390"/>
      <c r="V700" s="390"/>
      <c r="W700" s="390"/>
      <c r="X700" s="390"/>
      <c r="Y700" s="390"/>
    </row>
    <row r="701">
      <c r="A701" s="390" t="str">
        <f>IFERROR(__xludf.DUMMYFUNCTION("""COMPUTED_VALUE"""),"Samuel Elói dos Santos")</f>
        <v>Samuel Elói dos Santos</v>
      </c>
      <c r="B701" s="390" t="str">
        <f>IFERROR(__xludf.DUMMYFUNCTION("""COMPUTED_VALUE"""),"2° Licenciatura")</f>
        <v>2° Licenciatura</v>
      </c>
      <c r="C701" s="390" t="str">
        <f>IFERROR(__xludf.DUMMYFUNCTION("""COMPUTED_VALUE"""),"História")</f>
        <v>História</v>
      </c>
      <c r="D701" s="390"/>
      <c r="E701" s="390"/>
      <c r="F701" s="390"/>
      <c r="G701" s="390"/>
      <c r="H701" s="390"/>
      <c r="I701" s="390"/>
      <c r="J701" s="390"/>
      <c r="K701" s="390"/>
      <c r="L701" s="390"/>
      <c r="M701" s="390"/>
      <c r="N701" s="390"/>
      <c r="O701" s="390"/>
      <c r="P701" s="390"/>
      <c r="Q701" s="390"/>
      <c r="R701" s="390"/>
      <c r="S701" s="390"/>
      <c r="T701" s="390"/>
      <c r="U701" s="390"/>
      <c r="V701" s="390"/>
      <c r="W701" s="390"/>
      <c r="X701" s="390"/>
      <c r="Y701" s="390"/>
    </row>
    <row r="702">
      <c r="A702" s="390" t="str">
        <f>IFERROR(__xludf.DUMMYFUNCTION("""COMPUTED_VALUE"""),"Michel Guilherme Martins Gonçalves")</f>
        <v>Michel Guilherme Martins Gonçalves</v>
      </c>
      <c r="B702" s="390" t="str">
        <f>IFERROR(__xludf.DUMMYFUNCTION("""COMPUTED_VALUE"""),"Form. Pedagógica")</f>
        <v>Form. Pedagógica</v>
      </c>
      <c r="C702" s="390" t="str">
        <f>IFERROR(__xludf.DUMMYFUNCTION("""COMPUTED_VALUE"""),"Ciências Sociais")</f>
        <v>Ciências Sociais</v>
      </c>
      <c r="D702" s="390"/>
      <c r="E702" s="390"/>
      <c r="F702" s="390"/>
      <c r="G702" s="390"/>
      <c r="H702" s="390"/>
      <c r="I702" s="390"/>
      <c r="J702" s="390"/>
      <c r="K702" s="390"/>
      <c r="L702" s="390"/>
      <c r="M702" s="390"/>
      <c r="N702" s="390"/>
      <c r="O702" s="390"/>
      <c r="P702" s="390"/>
      <c r="Q702" s="390"/>
      <c r="R702" s="390"/>
      <c r="S702" s="390"/>
      <c r="T702" s="390"/>
      <c r="U702" s="390"/>
      <c r="V702" s="390"/>
      <c r="W702" s="390"/>
      <c r="X702" s="390"/>
      <c r="Y702" s="390"/>
    </row>
    <row r="703">
      <c r="A703" s="390" t="str">
        <f>IFERROR(__xludf.DUMMYFUNCTION("""COMPUTED_VALUE"""),"Ediana dos Santos Ramos")</f>
        <v>Ediana dos Santos Ramos</v>
      </c>
      <c r="B703" s="390" t="str">
        <f>IFERROR(__xludf.DUMMYFUNCTION("""COMPUTED_VALUE"""),"2° Licenciatura")</f>
        <v>2° Licenciatura</v>
      </c>
      <c r="C703" s="390" t="str">
        <f>IFERROR(__xludf.DUMMYFUNCTION("""COMPUTED_VALUE"""),"Letras - Português e Inglês")</f>
        <v>Letras - Português e Inglês</v>
      </c>
      <c r="D703" s="390"/>
      <c r="E703" s="390"/>
      <c r="F703" s="390"/>
      <c r="G703" s="390"/>
      <c r="H703" s="390"/>
      <c r="I703" s="390"/>
      <c r="J703" s="390"/>
      <c r="K703" s="390"/>
      <c r="L703" s="390"/>
      <c r="M703" s="390"/>
      <c r="N703" s="390"/>
      <c r="O703" s="390"/>
      <c r="P703" s="390"/>
      <c r="Q703" s="390"/>
      <c r="R703" s="390"/>
      <c r="S703" s="390"/>
      <c r="T703" s="390"/>
      <c r="U703" s="390"/>
      <c r="V703" s="390"/>
      <c r="W703" s="390"/>
      <c r="X703" s="390"/>
      <c r="Y703" s="390"/>
    </row>
    <row r="704">
      <c r="A704" s="390" t="str">
        <f>IFERROR(__xludf.DUMMYFUNCTION("""COMPUTED_VALUE"""),"Aryel Marques Costa")</f>
        <v>Aryel Marques Costa</v>
      </c>
      <c r="B704" s="390" t="str">
        <f>IFERROR(__xludf.DUMMYFUNCTION("""COMPUTED_VALUE"""),"2° Licenciatura")</f>
        <v>2° Licenciatura</v>
      </c>
      <c r="C704" s="390" t="str">
        <f>IFERROR(__xludf.DUMMYFUNCTION("""COMPUTED_VALUE"""),"Pedagogia")</f>
        <v>Pedagogia</v>
      </c>
      <c r="D704" s="390"/>
      <c r="E704" s="390"/>
      <c r="F704" s="390"/>
      <c r="G704" s="390"/>
      <c r="H704" s="390"/>
      <c r="I704" s="390"/>
      <c r="J704" s="390"/>
      <c r="K704" s="390"/>
      <c r="L704" s="390"/>
      <c r="M704" s="390"/>
      <c r="N704" s="390"/>
      <c r="O704" s="390"/>
      <c r="P704" s="390"/>
      <c r="Q704" s="390"/>
      <c r="R704" s="390"/>
      <c r="S704" s="390"/>
      <c r="T704" s="390"/>
      <c r="U704" s="390"/>
      <c r="V704" s="390"/>
      <c r="W704" s="390"/>
      <c r="X704" s="390"/>
      <c r="Y704" s="390"/>
    </row>
    <row r="705">
      <c r="A705" s="390" t="str">
        <f>IFERROR(__xludf.DUMMYFUNCTION("""COMPUTED_VALUE"""),"Camila Rodrigues Quemel")</f>
        <v>Camila Rodrigues Quemel</v>
      </c>
      <c r="B705" s="390" t="str">
        <f>IFERROR(__xludf.DUMMYFUNCTION("""COMPUTED_VALUE"""),"2° Licenciatura")</f>
        <v>2° Licenciatura</v>
      </c>
      <c r="C705" s="390" t="str">
        <f>IFERROR(__xludf.DUMMYFUNCTION("""COMPUTED_VALUE"""),"Pedagogia")</f>
        <v>Pedagogia</v>
      </c>
      <c r="D705" s="390"/>
      <c r="E705" s="390"/>
      <c r="F705" s="390"/>
      <c r="G705" s="390"/>
      <c r="H705" s="390"/>
      <c r="I705" s="390"/>
      <c r="J705" s="390"/>
      <c r="K705" s="390"/>
      <c r="L705" s="390"/>
      <c r="M705" s="390"/>
      <c r="N705" s="390"/>
      <c r="O705" s="390"/>
      <c r="P705" s="390"/>
      <c r="Q705" s="390"/>
      <c r="R705" s="390"/>
      <c r="S705" s="390"/>
      <c r="T705" s="390"/>
      <c r="U705" s="390"/>
      <c r="V705" s="390"/>
      <c r="W705" s="390"/>
      <c r="X705" s="390"/>
      <c r="Y705" s="390"/>
    </row>
    <row r="706">
      <c r="A706" s="390" t="str">
        <f>IFERROR(__xludf.DUMMYFUNCTION("""COMPUTED_VALUE"""),"Bruna Martins do Nascimento")</f>
        <v>Bruna Martins do Nascimento</v>
      </c>
      <c r="B706" s="390" t="str">
        <f>IFERROR(__xludf.DUMMYFUNCTION("""COMPUTED_VALUE"""),"Form. Pedagógica")</f>
        <v>Form. Pedagógica</v>
      </c>
      <c r="C706" s="390" t="str">
        <f>IFERROR(__xludf.DUMMYFUNCTION("""COMPUTED_VALUE"""),"Pedagogia")</f>
        <v>Pedagogia</v>
      </c>
      <c r="D706" s="390"/>
      <c r="E706" s="390"/>
      <c r="F706" s="390"/>
      <c r="G706" s="390"/>
      <c r="H706" s="390"/>
      <c r="I706" s="390"/>
      <c r="J706" s="390"/>
      <c r="K706" s="390"/>
      <c r="L706" s="390"/>
      <c r="M706" s="390"/>
      <c r="N706" s="390"/>
      <c r="O706" s="390"/>
      <c r="P706" s="390"/>
      <c r="Q706" s="390"/>
      <c r="R706" s="390"/>
      <c r="S706" s="390"/>
      <c r="T706" s="390"/>
      <c r="U706" s="390"/>
      <c r="V706" s="390"/>
      <c r="W706" s="390"/>
      <c r="X706" s="390"/>
      <c r="Y706" s="390"/>
    </row>
    <row r="707">
      <c r="A707" s="390" t="str">
        <f>IFERROR(__xludf.DUMMYFUNCTION("""COMPUTED_VALUE"""),"Leonardo Inácio Pereira")</f>
        <v>Leonardo Inácio Pereira</v>
      </c>
      <c r="B707" s="390" t="str">
        <f>IFERROR(__xludf.DUMMYFUNCTION("""COMPUTED_VALUE"""),"Form. Pedagógica")</f>
        <v>Form. Pedagógica</v>
      </c>
      <c r="C707" s="390" t="str">
        <f>IFERROR(__xludf.DUMMYFUNCTION("""COMPUTED_VALUE"""),"Pedagogia")</f>
        <v>Pedagogia</v>
      </c>
      <c r="D707" s="390"/>
      <c r="E707" s="390"/>
      <c r="F707" s="390"/>
      <c r="G707" s="390"/>
      <c r="H707" s="390"/>
      <c r="I707" s="390"/>
      <c r="J707" s="390"/>
      <c r="K707" s="390"/>
      <c r="L707" s="390"/>
      <c r="M707" s="390"/>
      <c r="N707" s="390"/>
      <c r="O707" s="390"/>
      <c r="P707" s="390"/>
      <c r="Q707" s="390"/>
      <c r="R707" s="390"/>
      <c r="S707" s="390"/>
      <c r="T707" s="390"/>
      <c r="U707" s="390"/>
      <c r="V707" s="390"/>
      <c r="W707" s="390"/>
      <c r="X707" s="390"/>
      <c r="Y707" s="390"/>
    </row>
    <row r="708">
      <c r="A708" s="390" t="str">
        <f>IFERROR(__xludf.DUMMYFUNCTION("""COMPUTED_VALUE"""),"Evelyn Fernandes Freitas")</f>
        <v>Evelyn Fernandes Freitas</v>
      </c>
      <c r="B708" s="390" t="str">
        <f>IFERROR(__xludf.DUMMYFUNCTION("""COMPUTED_VALUE"""),"2° Licenciatura")</f>
        <v>2° Licenciatura</v>
      </c>
      <c r="C708" s="390" t="str">
        <f>IFERROR(__xludf.DUMMYFUNCTION("""COMPUTED_VALUE"""),"Pedagogia")</f>
        <v>Pedagogia</v>
      </c>
      <c r="D708" s="390"/>
      <c r="E708" s="390"/>
      <c r="F708" s="390"/>
      <c r="G708" s="390"/>
      <c r="H708" s="390"/>
      <c r="I708" s="390"/>
      <c r="J708" s="390"/>
      <c r="K708" s="390"/>
      <c r="L708" s="390"/>
      <c r="M708" s="390"/>
      <c r="N708" s="390"/>
      <c r="O708" s="390"/>
      <c r="P708" s="390"/>
      <c r="Q708" s="390"/>
      <c r="R708" s="390"/>
      <c r="S708" s="390"/>
      <c r="T708" s="390"/>
      <c r="U708" s="390"/>
      <c r="V708" s="390"/>
      <c r="W708" s="390"/>
      <c r="X708" s="390"/>
      <c r="Y708" s="390"/>
    </row>
    <row r="709">
      <c r="A709" s="390" t="str">
        <f>IFERROR(__xludf.DUMMYFUNCTION("""COMPUTED_VALUE"""),"Mauricio Aires Vieira")</f>
        <v>Mauricio Aires Vieira</v>
      </c>
      <c r="B709" s="390" t="str">
        <f>IFERROR(__xludf.DUMMYFUNCTION("""COMPUTED_VALUE"""),"Form. Pedagógica")</f>
        <v>Form. Pedagógica</v>
      </c>
      <c r="C709" s="390" t="str">
        <f>IFERROR(__xludf.DUMMYFUNCTION("""COMPUTED_VALUE"""),"Pedagogia")</f>
        <v>Pedagogia</v>
      </c>
      <c r="D709" s="390"/>
      <c r="E709" s="390"/>
      <c r="F709" s="390"/>
      <c r="G709" s="390"/>
      <c r="H709" s="390"/>
      <c r="I709" s="390"/>
      <c r="J709" s="390"/>
      <c r="K709" s="390"/>
      <c r="L709" s="390"/>
      <c r="M709" s="390"/>
      <c r="N709" s="390"/>
      <c r="O709" s="390"/>
      <c r="P709" s="390"/>
      <c r="Q709" s="390"/>
      <c r="R709" s="390"/>
      <c r="S709" s="390"/>
      <c r="T709" s="390"/>
      <c r="U709" s="390"/>
      <c r="V709" s="390"/>
      <c r="W709" s="390"/>
      <c r="X709" s="390"/>
      <c r="Y709" s="390"/>
    </row>
    <row r="710">
      <c r="A710" s="390" t="str">
        <f>IFERROR(__xludf.DUMMYFUNCTION("""COMPUTED_VALUE"""),"Julhiane Paula de Oliveira Guerra")</f>
        <v>Julhiane Paula de Oliveira Guerra</v>
      </c>
      <c r="B710" s="390" t="str">
        <f>IFERROR(__xludf.DUMMYFUNCTION("""COMPUTED_VALUE"""),"2° Licenciatura")</f>
        <v>2° Licenciatura</v>
      </c>
      <c r="C710" s="390" t="str">
        <f>IFERROR(__xludf.DUMMYFUNCTION("""COMPUTED_VALUE"""),"Pedagogia")</f>
        <v>Pedagogia</v>
      </c>
      <c r="D710" s="390"/>
      <c r="E710" s="390"/>
      <c r="F710" s="390"/>
      <c r="G710" s="390"/>
      <c r="H710" s="390"/>
      <c r="I710" s="390"/>
      <c r="J710" s="390"/>
      <c r="K710" s="390"/>
      <c r="L710" s="390"/>
      <c r="M710" s="390"/>
      <c r="N710" s="390"/>
      <c r="O710" s="390"/>
      <c r="P710" s="390"/>
      <c r="Q710" s="390"/>
      <c r="R710" s="390"/>
      <c r="S710" s="390"/>
      <c r="T710" s="390"/>
      <c r="U710" s="390"/>
      <c r="V710" s="390"/>
      <c r="W710" s="390"/>
      <c r="X710" s="390"/>
      <c r="Y710" s="390"/>
    </row>
    <row r="711">
      <c r="A711" s="390" t="str">
        <f>IFERROR(__xludf.DUMMYFUNCTION("""COMPUTED_VALUE"""),"Nágila Lino Sousa Lapazini")</f>
        <v>Nágila Lino Sousa Lapazini</v>
      </c>
      <c r="B711" s="390" t="str">
        <f>IFERROR(__xludf.DUMMYFUNCTION("""COMPUTED_VALUE"""),"Form. Pedagógica")</f>
        <v>Form. Pedagógica</v>
      </c>
      <c r="C711" s="390" t="str">
        <f>IFERROR(__xludf.DUMMYFUNCTION("""COMPUTED_VALUE"""),"Pedagogia")</f>
        <v>Pedagogia</v>
      </c>
      <c r="D711" s="390"/>
      <c r="E711" s="390"/>
      <c r="F711" s="390"/>
      <c r="G711" s="390"/>
      <c r="H711" s="390"/>
      <c r="I711" s="390"/>
      <c r="J711" s="390"/>
      <c r="K711" s="390"/>
      <c r="L711" s="390"/>
      <c r="M711" s="390"/>
      <c r="N711" s="390"/>
      <c r="O711" s="390"/>
      <c r="P711" s="390"/>
      <c r="Q711" s="390"/>
      <c r="R711" s="390"/>
      <c r="S711" s="390"/>
      <c r="T711" s="390"/>
      <c r="U711" s="390"/>
      <c r="V711" s="390"/>
      <c r="W711" s="390"/>
      <c r="X711" s="390"/>
      <c r="Y711" s="390"/>
    </row>
    <row r="712">
      <c r="A712" s="390" t="str">
        <f>IFERROR(__xludf.DUMMYFUNCTION("""COMPUTED_VALUE"""),"Maria de Fátima Paulo de Araújo")</f>
        <v>Maria de Fátima Paulo de Araújo</v>
      </c>
      <c r="B712" s="390" t="str">
        <f>IFERROR(__xludf.DUMMYFUNCTION("""COMPUTED_VALUE"""),"Form. Pedagógica")</f>
        <v>Form. Pedagógica</v>
      </c>
      <c r="C712" s="390" t="str">
        <f>IFERROR(__xludf.DUMMYFUNCTION("""COMPUTED_VALUE"""),"Pedagogia")</f>
        <v>Pedagogia</v>
      </c>
      <c r="D712" s="390"/>
      <c r="E712" s="390"/>
      <c r="F712" s="390"/>
      <c r="G712" s="390"/>
      <c r="H712" s="390"/>
      <c r="I712" s="390"/>
      <c r="J712" s="390"/>
      <c r="K712" s="390"/>
      <c r="L712" s="390"/>
      <c r="M712" s="390"/>
      <c r="N712" s="390"/>
      <c r="O712" s="390"/>
      <c r="P712" s="390"/>
      <c r="Q712" s="390"/>
      <c r="R712" s="390"/>
      <c r="S712" s="390"/>
      <c r="T712" s="390"/>
      <c r="U712" s="390"/>
      <c r="V712" s="390"/>
      <c r="W712" s="390"/>
      <c r="X712" s="390"/>
      <c r="Y712" s="390"/>
    </row>
    <row r="713">
      <c r="A713" s="390" t="str">
        <f>IFERROR(__xludf.DUMMYFUNCTION("""COMPUTED_VALUE"""),"Daniela Mative Caires Giroto")</f>
        <v>Daniela Mative Caires Giroto</v>
      </c>
      <c r="B713" s="390" t="str">
        <f>IFERROR(__xludf.DUMMYFUNCTION("""COMPUTED_VALUE"""),"2° Licenciatura")</f>
        <v>2° Licenciatura</v>
      </c>
      <c r="C713" s="390" t="str">
        <f>IFERROR(__xludf.DUMMYFUNCTION("""COMPUTED_VALUE"""),"Pedagogia")</f>
        <v>Pedagogia</v>
      </c>
      <c r="D713" s="390"/>
      <c r="E713" s="390"/>
      <c r="F713" s="390"/>
      <c r="G713" s="390"/>
      <c r="H713" s="390"/>
      <c r="I713" s="390"/>
      <c r="J713" s="390"/>
      <c r="K713" s="390"/>
      <c r="L713" s="390"/>
      <c r="M713" s="390"/>
      <c r="N713" s="390"/>
      <c r="O713" s="390"/>
      <c r="P713" s="390"/>
      <c r="Q713" s="390"/>
      <c r="R713" s="390"/>
      <c r="S713" s="390"/>
      <c r="T713" s="390"/>
      <c r="U713" s="390"/>
      <c r="V713" s="390"/>
      <c r="W713" s="390"/>
      <c r="X713" s="390"/>
      <c r="Y713" s="390"/>
    </row>
    <row r="714">
      <c r="A714" s="390" t="str">
        <f>IFERROR(__xludf.DUMMYFUNCTION("""COMPUTED_VALUE"""),"Thales Douglas de Brito Almeida")</f>
        <v>Thales Douglas de Brito Almeida</v>
      </c>
      <c r="B714" s="390" t="str">
        <f>IFERROR(__xludf.DUMMYFUNCTION("""COMPUTED_VALUE"""),"Form. Pedagógica")</f>
        <v>Form. Pedagógica</v>
      </c>
      <c r="C714" s="390" t="str">
        <f>IFERROR(__xludf.DUMMYFUNCTION("""COMPUTED_VALUE"""),"Pedagogia")</f>
        <v>Pedagogia</v>
      </c>
      <c r="D714" s="390"/>
      <c r="E714" s="390"/>
      <c r="F714" s="390"/>
      <c r="G714" s="390"/>
      <c r="H714" s="390"/>
      <c r="I714" s="390"/>
      <c r="J714" s="390"/>
      <c r="K714" s="390"/>
      <c r="L714" s="390"/>
      <c r="M714" s="390"/>
      <c r="N714" s="390"/>
      <c r="O714" s="390"/>
      <c r="P714" s="390"/>
      <c r="Q714" s="390"/>
      <c r="R714" s="390"/>
      <c r="S714" s="390"/>
      <c r="T714" s="390"/>
      <c r="U714" s="390"/>
      <c r="V714" s="390"/>
      <c r="W714" s="390"/>
      <c r="X714" s="390"/>
      <c r="Y714" s="390"/>
    </row>
    <row r="715">
      <c r="A715" s="390" t="str">
        <f>IFERROR(__xludf.DUMMYFUNCTION("""COMPUTED_VALUE"""),"Bruna Rodrigues Teixeira")</f>
        <v>Bruna Rodrigues Teixeira</v>
      </c>
      <c r="B715" s="390" t="str">
        <f>IFERROR(__xludf.DUMMYFUNCTION("""COMPUTED_VALUE"""),"2° Licenciatura")</f>
        <v>2° Licenciatura</v>
      </c>
      <c r="C715" s="390" t="str">
        <f>IFERROR(__xludf.DUMMYFUNCTION("""COMPUTED_VALUE"""),"Pedagogia")</f>
        <v>Pedagogia</v>
      </c>
      <c r="D715" s="390"/>
      <c r="E715" s="390"/>
      <c r="F715" s="390"/>
      <c r="G715" s="390"/>
      <c r="H715" s="390"/>
      <c r="I715" s="390"/>
      <c r="J715" s="390"/>
      <c r="K715" s="390"/>
      <c r="L715" s="390"/>
      <c r="M715" s="390"/>
      <c r="N715" s="390"/>
      <c r="O715" s="390"/>
      <c r="P715" s="390"/>
      <c r="Q715" s="390"/>
      <c r="R715" s="390"/>
      <c r="S715" s="390"/>
      <c r="T715" s="390"/>
      <c r="U715" s="390"/>
      <c r="V715" s="390"/>
      <c r="W715" s="390"/>
      <c r="X715" s="390"/>
      <c r="Y715" s="390"/>
    </row>
    <row r="716">
      <c r="A716" s="390" t="str">
        <f>IFERROR(__xludf.DUMMYFUNCTION("""COMPUTED_VALUE"""),"Maria Carolina Oliveira Rocha Cerbino")</f>
        <v>Maria Carolina Oliveira Rocha Cerbino</v>
      </c>
      <c r="B716" s="390" t="str">
        <f>IFERROR(__xludf.DUMMYFUNCTION("""COMPUTED_VALUE"""),"2° Licenciatura")</f>
        <v>2° Licenciatura</v>
      </c>
      <c r="C716" s="390" t="str">
        <f>IFERROR(__xludf.DUMMYFUNCTION("""COMPUTED_VALUE"""),"Pedagogia")</f>
        <v>Pedagogia</v>
      </c>
      <c r="D716" s="390"/>
      <c r="E716" s="390"/>
      <c r="F716" s="390"/>
      <c r="G716" s="390"/>
      <c r="H716" s="390"/>
      <c r="I716" s="390"/>
      <c r="J716" s="390"/>
      <c r="K716" s="390"/>
      <c r="L716" s="390"/>
      <c r="M716" s="390"/>
      <c r="N716" s="390"/>
      <c r="O716" s="390"/>
      <c r="P716" s="390"/>
      <c r="Q716" s="390"/>
      <c r="R716" s="390"/>
      <c r="S716" s="390"/>
      <c r="T716" s="390"/>
      <c r="U716" s="390"/>
      <c r="V716" s="390"/>
      <c r="W716" s="390"/>
      <c r="X716" s="390"/>
      <c r="Y716" s="390"/>
    </row>
    <row r="717">
      <c r="A717" s="390" t="str">
        <f>IFERROR(__xludf.DUMMYFUNCTION("""COMPUTED_VALUE"""),"Liliane Monteiro de Rosa")</f>
        <v>Liliane Monteiro de Rosa</v>
      </c>
      <c r="B717" s="390" t="str">
        <f>IFERROR(__xludf.DUMMYFUNCTION("""COMPUTED_VALUE"""),"Form. Pedagógica")</f>
        <v>Form. Pedagógica</v>
      </c>
      <c r="C717" s="390" t="str">
        <f>IFERROR(__xludf.DUMMYFUNCTION("""COMPUTED_VALUE"""),"Pedagogia")</f>
        <v>Pedagogia</v>
      </c>
      <c r="D717" s="390"/>
      <c r="E717" s="390"/>
      <c r="F717" s="390"/>
      <c r="G717" s="390"/>
      <c r="H717" s="390"/>
      <c r="I717" s="390"/>
      <c r="J717" s="390"/>
      <c r="K717" s="390"/>
      <c r="L717" s="390"/>
      <c r="M717" s="390"/>
      <c r="N717" s="390"/>
      <c r="O717" s="390"/>
      <c r="P717" s="390"/>
      <c r="Q717" s="390"/>
      <c r="R717" s="390"/>
      <c r="S717" s="390"/>
      <c r="T717" s="390"/>
      <c r="U717" s="390"/>
      <c r="V717" s="390"/>
      <c r="W717" s="390"/>
      <c r="X717" s="390"/>
      <c r="Y717" s="390"/>
    </row>
    <row r="718">
      <c r="A718" s="390" t="str">
        <f>IFERROR(__xludf.DUMMYFUNCTION("""COMPUTED_VALUE"""),"Denys Wilton Ferreira Martins")</f>
        <v>Denys Wilton Ferreira Martins</v>
      </c>
      <c r="B718" s="390" t="str">
        <f>IFERROR(__xludf.DUMMYFUNCTION("""COMPUTED_VALUE"""),"2° Licenciatura")</f>
        <v>2° Licenciatura</v>
      </c>
      <c r="C718" s="390" t="str">
        <f>IFERROR(__xludf.DUMMYFUNCTION("""COMPUTED_VALUE"""),"Pedagogia")</f>
        <v>Pedagogia</v>
      </c>
      <c r="D718" s="390"/>
      <c r="E718" s="390"/>
      <c r="F718" s="390"/>
      <c r="G718" s="390"/>
      <c r="H718" s="390"/>
      <c r="I718" s="390"/>
      <c r="J718" s="390"/>
      <c r="K718" s="390"/>
      <c r="L718" s="390"/>
      <c r="M718" s="390"/>
      <c r="N718" s="390"/>
      <c r="O718" s="390"/>
      <c r="P718" s="390"/>
      <c r="Q718" s="390"/>
      <c r="R718" s="390"/>
      <c r="S718" s="390"/>
      <c r="T718" s="390"/>
      <c r="U718" s="390"/>
      <c r="V718" s="390"/>
      <c r="W718" s="390"/>
      <c r="X718" s="390"/>
      <c r="Y718" s="390"/>
    </row>
    <row r="719">
      <c r="A719" s="390" t="str">
        <f>IFERROR(__xludf.DUMMYFUNCTION("""COMPUTED_VALUE"""),"Pâmella Gonçalves Costa")</f>
        <v>Pâmella Gonçalves Costa</v>
      </c>
      <c r="B719" s="390" t="str">
        <f>IFERROR(__xludf.DUMMYFUNCTION("""COMPUTED_VALUE"""),"Form. Pedagógica")</f>
        <v>Form. Pedagógica</v>
      </c>
      <c r="C719" s="390" t="str">
        <f>IFERROR(__xludf.DUMMYFUNCTION("""COMPUTED_VALUE"""),"Pedagogia")</f>
        <v>Pedagogia</v>
      </c>
      <c r="D719" s="390"/>
      <c r="E719" s="390"/>
      <c r="F719" s="390"/>
      <c r="G719" s="390"/>
      <c r="H719" s="390"/>
      <c r="I719" s="390"/>
      <c r="J719" s="390"/>
      <c r="K719" s="390"/>
      <c r="L719" s="390"/>
      <c r="M719" s="390"/>
      <c r="N719" s="390"/>
      <c r="O719" s="390"/>
      <c r="P719" s="390"/>
      <c r="Q719" s="390"/>
      <c r="R719" s="390"/>
      <c r="S719" s="390"/>
      <c r="T719" s="390"/>
      <c r="U719" s="390"/>
      <c r="V719" s="390"/>
      <c r="W719" s="390"/>
      <c r="X719" s="390"/>
      <c r="Y719" s="390"/>
    </row>
    <row r="720">
      <c r="A720" s="390" t="str">
        <f>IFERROR(__xludf.DUMMYFUNCTION("""COMPUTED_VALUE"""),"Wilma Lima Dino da Silva")</f>
        <v>Wilma Lima Dino da Silva</v>
      </c>
      <c r="B720" s="390" t="str">
        <f>IFERROR(__xludf.DUMMYFUNCTION("""COMPUTED_VALUE"""),"2° Licenciatura")</f>
        <v>2° Licenciatura</v>
      </c>
      <c r="C720" s="390" t="str">
        <f>IFERROR(__xludf.DUMMYFUNCTION("""COMPUTED_VALUE"""),"Pedagogia")</f>
        <v>Pedagogia</v>
      </c>
      <c r="D720" s="390"/>
      <c r="E720" s="390"/>
      <c r="F720" s="390"/>
      <c r="G720" s="390"/>
      <c r="H720" s="390"/>
      <c r="I720" s="390"/>
      <c r="J720" s="390"/>
      <c r="K720" s="390"/>
      <c r="L720" s="390"/>
      <c r="M720" s="390"/>
      <c r="N720" s="390"/>
      <c r="O720" s="390"/>
      <c r="P720" s="390"/>
      <c r="Q720" s="390"/>
      <c r="R720" s="390"/>
      <c r="S720" s="390"/>
      <c r="T720" s="390"/>
      <c r="U720" s="390"/>
      <c r="V720" s="390"/>
      <c r="W720" s="390"/>
      <c r="X720" s="390"/>
      <c r="Y720" s="390"/>
    </row>
    <row r="721">
      <c r="A721" s="390" t="str">
        <f>IFERROR(__xludf.DUMMYFUNCTION("""COMPUTED_VALUE"""),"Patrícia Demétria Castello Branco Ioshitake")</f>
        <v>Patrícia Demétria Castello Branco Ioshitake</v>
      </c>
      <c r="B721" s="390" t="str">
        <f>IFERROR(__xludf.DUMMYFUNCTION("""COMPUTED_VALUE"""),"2° Licenciatura")</f>
        <v>2° Licenciatura</v>
      </c>
      <c r="C721" s="390" t="str">
        <f>IFERROR(__xludf.DUMMYFUNCTION("""COMPUTED_VALUE"""),"Pedagogia")</f>
        <v>Pedagogia</v>
      </c>
      <c r="D721" s="390"/>
      <c r="E721" s="390"/>
      <c r="F721" s="390"/>
      <c r="G721" s="390"/>
      <c r="H721" s="390"/>
      <c r="I721" s="390"/>
      <c r="J721" s="390"/>
      <c r="K721" s="390"/>
      <c r="L721" s="390"/>
      <c r="M721" s="390"/>
      <c r="N721" s="390"/>
      <c r="O721" s="390"/>
      <c r="P721" s="390"/>
      <c r="Q721" s="390"/>
      <c r="R721" s="390"/>
      <c r="S721" s="390"/>
      <c r="T721" s="390"/>
      <c r="U721" s="390"/>
      <c r="V721" s="390"/>
      <c r="W721" s="390"/>
      <c r="X721" s="390"/>
      <c r="Y721" s="390"/>
    </row>
    <row r="722">
      <c r="A722" s="390" t="str">
        <f>IFERROR(__xludf.DUMMYFUNCTION("""COMPUTED_VALUE"""),"Vanderlânia Cavalcanti Dias Alves da Silva")</f>
        <v>Vanderlânia Cavalcanti Dias Alves da Silva</v>
      </c>
      <c r="B722" s="390" t="str">
        <f>IFERROR(__xludf.DUMMYFUNCTION("""COMPUTED_VALUE"""),"2° Licenciatura")</f>
        <v>2° Licenciatura</v>
      </c>
      <c r="C722" s="390" t="str">
        <f>IFERROR(__xludf.DUMMYFUNCTION("""COMPUTED_VALUE"""),"Pedagogia")</f>
        <v>Pedagogia</v>
      </c>
      <c r="D722" s="390"/>
      <c r="E722" s="390"/>
      <c r="F722" s="390"/>
      <c r="G722" s="390"/>
      <c r="H722" s="390"/>
      <c r="I722" s="390"/>
      <c r="J722" s="390"/>
      <c r="K722" s="390"/>
      <c r="L722" s="390"/>
      <c r="M722" s="390"/>
      <c r="N722" s="390"/>
      <c r="O722" s="390"/>
      <c r="P722" s="390"/>
      <c r="Q722" s="390"/>
      <c r="R722" s="390"/>
      <c r="S722" s="390"/>
      <c r="T722" s="390"/>
      <c r="U722" s="390"/>
      <c r="V722" s="390"/>
      <c r="W722" s="390"/>
      <c r="X722" s="390"/>
      <c r="Y722" s="390"/>
    </row>
    <row r="723">
      <c r="A723" s="390" t="str">
        <f>IFERROR(__xludf.DUMMYFUNCTION("""COMPUTED_VALUE"""),"Soren Joy César Santana Fernandes")</f>
        <v>Soren Joy César Santana Fernandes</v>
      </c>
      <c r="B723" s="390" t="str">
        <f>IFERROR(__xludf.DUMMYFUNCTION("""COMPUTED_VALUE"""),"Form. Pedagógica")</f>
        <v>Form. Pedagógica</v>
      </c>
      <c r="C723" s="390" t="str">
        <f>IFERROR(__xludf.DUMMYFUNCTION("""COMPUTED_VALUE"""),"Pedagogia")</f>
        <v>Pedagogia</v>
      </c>
      <c r="D723" s="390"/>
      <c r="E723" s="390"/>
      <c r="F723" s="390"/>
      <c r="G723" s="390"/>
      <c r="H723" s="390"/>
      <c r="I723" s="390"/>
      <c r="J723" s="390"/>
      <c r="K723" s="390"/>
      <c r="L723" s="390"/>
      <c r="M723" s="390"/>
      <c r="N723" s="390"/>
      <c r="O723" s="390"/>
      <c r="P723" s="390"/>
      <c r="Q723" s="390"/>
      <c r="R723" s="390"/>
      <c r="S723" s="390"/>
      <c r="T723" s="390"/>
      <c r="U723" s="390"/>
      <c r="V723" s="390"/>
      <c r="W723" s="390"/>
      <c r="X723" s="390"/>
      <c r="Y723" s="390"/>
    </row>
    <row r="724">
      <c r="A724" s="390" t="str">
        <f>IFERROR(__xludf.DUMMYFUNCTION("""COMPUTED_VALUE"""),"Deyse de Oliveira Ferreira")</f>
        <v>Deyse de Oliveira Ferreira</v>
      </c>
      <c r="B724" s="390" t="str">
        <f>IFERROR(__xludf.DUMMYFUNCTION("""COMPUTED_VALUE"""),"2° Licenciatura")</f>
        <v>2° Licenciatura</v>
      </c>
      <c r="C724" s="390" t="str">
        <f>IFERROR(__xludf.DUMMYFUNCTION("""COMPUTED_VALUE"""),"Pedagogia")</f>
        <v>Pedagogia</v>
      </c>
      <c r="D724" s="390"/>
      <c r="E724" s="390"/>
      <c r="F724" s="390"/>
      <c r="G724" s="390"/>
      <c r="H724" s="390"/>
      <c r="I724" s="390"/>
      <c r="J724" s="390"/>
      <c r="K724" s="390"/>
      <c r="L724" s="390"/>
      <c r="M724" s="390"/>
      <c r="N724" s="390"/>
      <c r="O724" s="390"/>
      <c r="P724" s="390"/>
      <c r="Q724" s="390"/>
      <c r="R724" s="390"/>
      <c r="S724" s="390"/>
      <c r="T724" s="390"/>
      <c r="U724" s="390"/>
      <c r="V724" s="390"/>
      <c r="W724" s="390"/>
      <c r="X724" s="390"/>
      <c r="Y724" s="390"/>
    </row>
    <row r="725">
      <c r="A725" s="390" t="str">
        <f>IFERROR(__xludf.DUMMYFUNCTION("""COMPUTED_VALUE"""),"Cristiane Maria Rezende")</f>
        <v>Cristiane Maria Rezende</v>
      </c>
      <c r="B725" s="390" t="str">
        <f>IFERROR(__xludf.DUMMYFUNCTION("""COMPUTED_VALUE"""),"2° Licenciatura")</f>
        <v>2° Licenciatura</v>
      </c>
      <c r="C725" s="390" t="str">
        <f>IFERROR(__xludf.DUMMYFUNCTION("""COMPUTED_VALUE"""),"Pedagogia")</f>
        <v>Pedagogia</v>
      </c>
      <c r="D725" s="390"/>
      <c r="E725" s="390"/>
      <c r="F725" s="390"/>
      <c r="G725" s="390"/>
      <c r="H725" s="390"/>
      <c r="I725" s="390"/>
      <c r="J725" s="390"/>
      <c r="K725" s="390"/>
      <c r="L725" s="390"/>
      <c r="M725" s="390"/>
      <c r="N725" s="390"/>
      <c r="O725" s="390"/>
      <c r="P725" s="390"/>
      <c r="Q725" s="390"/>
      <c r="R725" s="390"/>
      <c r="S725" s="390"/>
      <c r="T725" s="390"/>
      <c r="U725" s="390"/>
      <c r="V725" s="390"/>
      <c r="W725" s="390"/>
      <c r="X725" s="390"/>
      <c r="Y725" s="390"/>
    </row>
    <row r="726">
      <c r="A726" s="390" t="str">
        <f>IFERROR(__xludf.DUMMYFUNCTION("""COMPUTED_VALUE"""),"Raissa Marley Dantas de Oliveira")</f>
        <v>Raissa Marley Dantas de Oliveira</v>
      </c>
      <c r="B726" s="390" t="str">
        <f>IFERROR(__xludf.DUMMYFUNCTION("""COMPUTED_VALUE"""),"2° Licenciatura")</f>
        <v>2° Licenciatura</v>
      </c>
      <c r="C726" s="390" t="str">
        <f>IFERROR(__xludf.DUMMYFUNCTION("""COMPUTED_VALUE"""),"Pedagogia")</f>
        <v>Pedagogia</v>
      </c>
      <c r="D726" s="390"/>
      <c r="E726" s="390"/>
      <c r="F726" s="390"/>
      <c r="G726" s="390"/>
      <c r="H726" s="390"/>
      <c r="I726" s="390"/>
      <c r="J726" s="390"/>
      <c r="K726" s="390"/>
      <c r="L726" s="390"/>
      <c r="M726" s="390"/>
      <c r="N726" s="390"/>
      <c r="O726" s="390"/>
      <c r="P726" s="390"/>
      <c r="Q726" s="390"/>
      <c r="R726" s="390"/>
      <c r="S726" s="390"/>
      <c r="T726" s="390"/>
      <c r="U726" s="390"/>
      <c r="V726" s="390"/>
      <c r="W726" s="390"/>
      <c r="X726" s="390"/>
      <c r="Y726" s="390"/>
    </row>
    <row r="727">
      <c r="A727" s="390" t="str">
        <f>IFERROR(__xludf.DUMMYFUNCTION("""COMPUTED_VALUE"""),"Hipólito Silva Cruz")</f>
        <v>Hipólito Silva Cruz</v>
      </c>
      <c r="B727" s="390" t="str">
        <f>IFERROR(__xludf.DUMMYFUNCTION("""COMPUTED_VALUE"""),"2° Licenciatura")</f>
        <v>2° Licenciatura</v>
      </c>
      <c r="C727" s="390" t="str">
        <f>IFERROR(__xludf.DUMMYFUNCTION("""COMPUTED_VALUE"""),"Pedagogia")</f>
        <v>Pedagogia</v>
      </c>
      <c r="D727" s="390"/>
      <c r="E727" s="390"/>
      <c r="F727" s="390"/>
      <c r="G727" s="390"/>
      <c r="H727" s="390"/>
      <c r="I727" s="390"/>
      <c r="J727" s="390"/>
      <c r="K727" s="390"/>
      <c r="L727" s="390"/>
      <c r="M727" s="390"/>
      <c r="N727" s="390"/>
      <c r="O727" s="390"/>
      <c r="P727" s="390"/>
      <c r="Q727" s="390"/>
      <c r="R727" s="390"/>
      <c r="S727" s="390"/>
      <c r="T727" s="390"/>
      <c r="U727" s="390"/>
      <c r="V727" s="390"/>
      <c r="W727" s="390"/>
      <c r="X727" s="390"/>
      <c r="Y727" s="390"/>
    </row>
    <row r="728">
      <c r="A728" s="390" t="str">
        <f>IFERROR(__xludf.DUMMYFUNCTION("""COMPUTED_VALUE"""),"Dirceu Mendes Ferreira")</f>
        <v>Dirceu Mendes Ferreira</v>
      </c>
      <c r="B728" s="390" t="str">
        <f>IFERROR(__xludf.DUMMYFUNCTION("""COMPUTED_VALUE"""),"2° Licenciatura")</f>
        <v>2° Licenciatura</v>
      </c>
      <c r="C728" s="390" t="str">
        <f>IFERROR(__xludf.DUMMYFUNCTION("""COMPUTED_VALUE"""),"Pedagogia")</f>
        <v>Pedagogia</v>
      </c>
      <c r="D728" s="390"/>
      <c r="E728" s="390"/>
      <c r="F728" s="390"/>
      <c r="G728" s="390"/>
      <c r="H728" s="390"/>
      <c r="I728" s="390"/>
      <c r="J728" s="390"/>
      <c r="K728" s="390"/>
      <c r="L728" s="390"/>
      <c r="M728" s="390"/>
      <c r="N728" s="390"/>
      <c r="O728" s="390"/>
      <c r="P728" s="390"/>
      <c r="Q728" s="390"/>
      <c r="R728" s="390"/>
      <c r="S728" s="390"/>
      <c r="T728" s="390"/>
      <c r="U728" s="390"/>
      <c r="V728" s="390"/>
      <c r="W728" s="390"/>
      <c r="X728" s="390"/>
      <c r="Y728" s="390"/>
    </row>
    <row r="729">
      <c r="A729" s="390" t="str">
        <f>IFERROR(__xludf.DUMMYFUNCTION("""COMPUTED_VALUE"""),"Diogo Augusto Dutra")</f>
        <v>Diogo Augusto Dutra</v>
      </c>
      <c r="B729" s="390" t="str">
        <f>IFERROR(__xludf.DUMMYFUNCTION("""COMPUTED_VALUE"""),"2° Licenciatura")</f>
        <v>2° Licenciatura</v>
      </c>
      <c r="C729" s="390" t="str">
        <f>IFERROR(__xludf.DUMMYFUNCTION("""COMPUTED_VALUE"""),"Pedagogia")</f>
        <v>Pedagogia</v>
      </c>
      <c r="D729" s="390"/>
      <c r="E729" s="390"/>
      <c r="F729" s="390"/>
      <c r="G729" s="390"/>
      <c r="H729" s="390"/>
      <c r="I729" s="390"/>
      <c r="J729" s="390"/>
      <c r="K729" s="390"/>
      <c r="L729" s="390"/>
      <c r="M729" s="390"/>
      <c r="N729" s="390"/>
      <c r="O729" s="390"/>
      <c r="P729" s="390"/>
      <c r="Q729" s="390"/>
      <c r="R729" s="390"/>
      <c r="S729" s="390"/>
      <c r="T729" s="390"/>
      <c r="U729" s="390"/>
      <c r="V729" s="390"/>
      <c r="W729" s="390"/>
      <c r="X729" s="390"/>
      <c r="Y729" s="390"/>
    </row>
    <row r="730">
      <c r="A730" s="390" t="str">
        <f>IFERROR(__xludf.DUMMYFUNCTION("""COMPUTED_VALUE"""),"Daniel Evangelista do Nascimento")</f>
        <v>Daniel Evangelista do Nascimento</v>
      </c>
      <c r="B730" s="390" t="str">
        <f>IFERROR(__xludf.DUMMYFUNCTION("""COMPUTED_VALUE"""),"2° Licenciatura")</f>
        <v>2° Licenciatura</v>
      </c>
      <c r="C730" s="390" t="str">
        <f>IFERROR(__xludf.DUMMYFUNCTION("""COMPUTED_VALUE"""),"Pedagogia")</f>
        <v>Pedagogia</v>
      </c>
      <c r="D730" s="390"/>
      <c r="E730" s="390"/>
      <c r="F730" s="390"/>
      <c r="G730" s="390"/>
      <c r="H730" s="390"/>
      <c r="I730" s="390"/>
      <c r="J730" s="390"/>
      <c r="K730" s="390"/>
      <c r="L730" s="390"/>
      <c r="M730" s="390"/>
      <c r="N730" s="390"/>
      <c r="O730" s="390"/>
      <c r="P730" s="390"/>
      <c r="Q730" s="390"/>
      <c r="R730" s="390"/>
      <c r="S730" s="390"/>
      <c r="T730" s="390"/>
      <c r="U730" s="390"/>
      <c r="V730" s="390"/>
      <c r="W730" s="390"/>
      <c r="X730" s="390"/>
      <c r="Y730" s="390"/>
    </row>
    <row r="731">
      <c r="A731" s="390" t="str">
        <f>IFERROR(__xludf.DUMMYFUNCTION("""COMPUTED_VALUE"""),"Bernadete Rossi Barbosa Fantin")</f>
        <v>Bernadete Rossi Barbosa Fantin</v>
      </c>
      <c r="B731" s="390" t="str">
        <f>IFERROR(__xludf.DUMMYFUNCTION("""COMPUTED_VALUE"""),"2° Licenciatura")</f>
        <v>2° Licenciatura</v>
      </c>
      <c r="C731" s="390" t="str">
        <f>IFERROR(__xludf.DUMMYFUNCTION("""COMPUTED_VALUE"""),"Pedagogia")</f>
        <v>Pedagogia</v>
      </c>
      <c r="D731" s="390"/>
      <c r="E731" s="390"/>
      <c r="F731" s="390"/>
      <c r="G731" s="390"/>
      <c r="H731" s="390"/>
      <c r="I731" s="390"/>
      <c r="J731" s="390"/>
      <c r="K731" s="390"/>
      <c r="L731" s="390"/>
      <c r="M731" s="390"/>
      <c r="N731" s="390"/>
      <c r="O731" s="390"/>
      <c r="P731" s="390"/>
      <c r="Q731" s="390"/>
      <c r="R731" s="390"/>
      <c r="S731" s="390"/>
      <c r="T731" s="390"/>
      <c r="U731" s="390"/>
      <c r="V731" s="390"/>
      <c r="W731" s="390"/>
      <c r="X731" s="390"/>
      <c r="Y731" s="390"/>
    </row>
    <row r="732">
      <c r="A732" s="390" t="str">
        <f>IFERROR(__xludf.DUMMYFUNCTION("""COMPUTED_VALUE"""),"Rafael Rodrigues Guimarães")</f>
        <v>Rafael Rodrigues Guimarães</v>
      </c>
      <c r="B732" s="390" t="str">
        <f>IFERROR(__xludf.DUMMYFUNCTION("""COMPUTED_VALUE"""),"2° Licenciatura")</f>
        <v>2° Licenciatura</v>
      </c>
      <c r="C732" s="390" t="str">
        <f>IFERROR(__xludf.DUMMYFUNCTION("""COMPUTED_VALUE"""),"Pedagogia")</f>
        <v>Pedagogia</v>
      </c>
      <c r="D732" s="390"/>
      <c r="E732" s="390"/>
      <c r="F732" s="390"/>
      <c r="G732" s="390"/>
      <c r="H732" s="390"/>
      <c r="I732" s="390"/>
      <c r="J732" s="390"/>
      <c r="K732" s="390"/>
      <c r="L732" s="390"/>
      <c r="M732" s="390"/>
      <c r="N732" s="390"/>
      <c r="O732" s="390"/>
      <c r="P732" s="390"/>
      <c r="Q732" s="390"/>
      <c r="R732" s="390"/>
      <c r="S732" s="390"/>
      <c r="T732" s="390"/>
      <c r="U732" s="390"/>
      <c r="V732" s="390"/>
      <c r="W732" s="390"/>
      <c r="X732" s="390"/>
      <c r="Y732" s="390"/>
    </row>
    <row r="733">
      <c r="A733" s="390" t="str">
        <f>IFERROR(__xludf.DUMMYFUNCTION("""COMPUTED_VALUE"""),"Luiz Carlos Pereira de Brito")</f>
        <v>Luiz Carlos Pereira de Brito</v>
      </c>
      <c r="B733" s="390" t="str">
        <f>IFERROR(__xludf.DUMMYFUNCTION("""COMPUTED_VALUE"""),"2° Licenciatura")</f>
        <v>2° Licenciatura</v>
      </c>
      <c r="C733" s="390" t="str">
        <f>IFERROR(__xludf.DUMMYFUNCTION("""COMPUTED_VALUE"""),"Pedagogia")</f>
        <v>Pedagogia</v>
      </c>
      <c r="D733" s="390"/>
      <c r="E733" s="390"/>
      <c r="F733" s="390"/>
      <c r="G733" s="390"/>
      <c r="H733" s="390"/>
      <c r="I733" s="390"/>
      <c r="J733" s="390"/>
      <c r="K733" s="390"/>
      <c r="L733" s="390"/>
      <c r="M733" s="390"/>
      <c r="N733" s="390"/>
      <c r="O733" s="390"/>
      <c r="P733" s="390"/>
      <c r="Q733" s="390"/>
      <c r="R733" s="390"/>
      <c r="S733" s="390"/>
      <c r="T733" s="390"/>
      <c r="U733" s="390"/>
      <c r="V733" s="390"/>
      <c r="W733" s="390"/>
      <c r="X733" s="390"/>
      <c r="Y733" s="390"/>
    </row>
    <row r="734">
      <c r="A734" s="390" t="str">
        <f>IFERROR(__xludf.DUMMYFUNCTION("""COMPUTED_VALUE"""),"Josi Domingues da Silva")</f>
        <v>Josi Domingues da Silva</v>
      </c>
      <c r="B734" s="390" t="str">
        <f>IFERROR(__xludf.DUMMYFUNCTION("""COMPUTED_VALUE"""),"2° Licenciatura")</f>
        <v>2° Licenciatura</v>
      </c>
      <c r="C734" s="390" t="str">
        <f>IFERROR(__xludf.DUMMYFUNCTION("""COMPUTED_VALUE"""),"Pedagogia")</f>
        <v>Pedagogia</v>
      </c>
      <c r="D734" s="390"/>
      <c r="E734" s="390"/>
      <c r="F734" s="390"/>
      <c r="G734" s="390"/>
      <c r="H734" s="390"/>
      <c r="I734" s="390"/>
      <c r="J734" s="390"/>
      <c r="K734" s="390"/>
      <c r="L734" s="390"/>
      <c r="M734" s="390"/>
      <c r="N734" s="390"/>
      <c r="O734" s="390"/>
      <c r="P734" s="390"/>
      <c r="Q734" s="390"/>
      <c r="R734" s="390"/>
      <c r="S734" s="390"/>
      <c r="T734" s="390"/>
      <c r="U734" s="390"/>
      <c r="V734" s="390"/>
      <c r="W734" s="390"/>
      <c r="X734" s="390"/>
      <c r="Y734" s="390"/>
    </row>
    <row r="735">
      <c r="A735" s="390" t="str">
        <f>IFERROR(__xludf.DUMMYFUNCTION("""COMPUTED_VALUE"""),"João Jatoba Azize")</f>
        <v>João Jatoba Azize</v>
      </c>
      <c r="B735" s="390" t="str">
        <f>IFERROR(__xludf.DUMMYFUNCTION("""COMPUTED_VALUE"""),"2° Licenciatura")</f>
        <v>2° Licenciatura</v>
      </c>
      <c r="C735" s="390" t="str">
        <f>IFERROR(__xludf.DUMMYFUNCTION("""COMPUTED_VALUE"""),"Pedagogia")</f>
        <v>Pedagogia</v>
      </c>
      <c r="D735" s="390"/>
      <c r="E735" s="390"/>
      <c r="F735" s="390"/>
      <c r="G735" s="390"/>
      <c r="H735" s="390"/>
      <c r="I735" s="390"/>
      <c r="J735" s="390"/>
      <c r="K735" s="390"/>
      <c r="L735" s="390"/>
      <c r="M735" s="390"/>
      <c r="N735" s="390"/>
      <c r="O735" s="390"/>
      <c r="P735" s="390"/>
      <c r="Q735" s="390"/>
      <c r="R735" s="390"/>
      <c r="S735" s="390"/>
      <c r="T735" s="390"/>
      <c r="U735" s="390"/>
      <c r="V735" s="390"/>
      <c r="W735" s="390"/>
      <c r="X735" s="390"/>
      <c r="Y735" s="390"/>
    </row>
    <row r="736">
      <c r="A736" s="390" t="str">
        <f>IFERROR(__xludf.DUMMYFUNCTION("""COMPUTED_VALUE"""),"Alexsandra de Oliveira Santos")</f>
        <v>Alexsandra de Oliveira Santos</v>
      </c>
      <c r="B736" s="390" t="str">
        <f>IFERROR(__xludf.DUMMYFUNCTION("""COMPUTED_VALUE"""),"Form. Pedagógica")</f>
        <v>Form. Pedagógica</v>
      </c>
      <c r="C736" s="390" t="str">
        <f>IFERROR(__xludf.DUMMYFUNCTION("""COMPUTED_VALUE"""),"Pedagogia")</f>
        <v>Pedagogia</v>
      </c>
      <c r="D736" s="390"/>
      <c r="E736" s="390"/>
      <c r="F736" s="390"/>
      <c r="G736" s="390"/>
      <c r="H736" s="390"/>
      <c r="I736" s="390"/>
      <c r="J736" s="390"/>
      <c r="K736" s="390"/>
      <c r="L736" s="390"/>
      <c r="M736" s="390"/>
      <c r="N736" s="390"/>
      <c r="O736" s="390"/>
      <c r="P736" s="390"/>
      <c r="Q736" s="390"/>
      <c r="R736" s="390"/>
      <c r="S736" s="390"/>
      <c r="T736" s="390"/>
      <c r="U736" s="390"/>
      <c r="V736" s="390"/>
      <c r="W736" s="390"/>
      <c r="X736" s="390"/>
      <c r="Y736" s="390"/>
    </row>
    <row r="737">
      <c r="A737" s="390" t="str">
        <f>IFERROR(__xludf.DUMMYFUNCTION("""COMPUTED_VALUE"""),"Evanilsa Rosa da Silva")</f>
        <v>Evanilsa Rosa da Silva</v>
      </c>
      <c r="B737" s="390" t="str">
        <f>IFERROR(__xludf.DUMMYFUNCTION("""COMPUTED_VALUE"""),"2° Licenciatura")</f>
        <v>2° Licenciatura</v>
      </c>
      <c r="C737" s="390" t="str">
        <f>IFERROR(__xludf.DUMMYFUNCTION("""COMPUTED_VALUE"""),"Pedagogia")</f>
        <v>Pedagogia</v>
      </c>
      <c r="D737" s="390"/>
      <c r="E737" s="390"/>
      <c r="F737" s="390"/>
      <c r="G737" s="390"/>
      <c r="H737" s="390"/>
      <c r="I737" s="390"/>
      <c r="J737" s="390"/>
      <c r="K737" s="390"/>
      <c r="L737" s="390"/>
      <c r="M737" s="390"/>
      <c r="N737" s="390"/>
      <c r="O737" s="390"/>
      <c r="P737" s="390"/>
      <c r="Q737" s="390"/>
      <c r="R737" s="390"/>
      <c r="S737" s="390"/>
      <c r="T737" s="390"/>
      <c r="U737" s="390"/>
      <c r="V737" s="390"/>
      <c r="W737" s="390"/>
      <c r="X737" s="390"/>
      <c r="Y737" s="390"/>
    </row>
    <row r="738">
      <c r="A738" s="390" t="str">
        <f>IFERROR(__xludf.DUMMYFUNCTION("""COMPUTED_VALUE"""),"Iuri Sousa do Ó")</f>
        <v>Iuri Sousa do Ó</v>
      </c>
      <c r="B738" s="390" t="str">
        <f>IFERROR(__xludf.DUMMYFUNCTION("""COMPUTED_VALUE"""),"Form. Pedagógica")</f>
        <v>Form. Pedagógica</v>
      </c>
      <c r="C738" s="390" t="str">
        <f>IFERROR(__xludf.DUMMYFUNCTION("""COMPUTED_VALUE"""),"Pedagogia")</f>
        <v>Pedagogia</v>
      </c>
      <c r="D738" s="390"/>
      <c r="E738" s="390"/>
      <c r="F738" s="390"/>
      <c r="G738" s="390"/>
      <c r="H738" s="390"/>
      <c r="I738" s="390"/>
      <c r="J738" s="390"/>
      <c r="K738" s="390"/>
      <c r="L738" s="390"/>
      <c r="M738" s="390"/>
      <c r="N738" s="390"/>
      <c r="O738" s="390"/>
      <c r="P738" s="390"/>
      <c r="Q738" s="390"/>
      <c r="R738" s="390"/>
      <c r="S738" s="390"/>
      <c r="T738" s="390"/>
      <c r="U738" s="390"/>
      <c r="V738" s="390"/>
      <c r="W738" s="390"/>
      <c r="X738" s="390"/>
      <c r="Y738" s="390"/>
    </row>
    <row r="739">
      <c r="A739" s="390" t="str">
        <f>IFERROR(__xludf.DUMMYFUNCTION("""COMPUTED_VALUE"""),"Elionete Maria Regina Souza Rezende")</f>
        <v>Elionete Maria Regina Souza Rezende</v>
      </c>
      <c r="B739" s="390" t="str">
        <f>IFERROR(__xludf.DUMMYFUNCTION("""COMPUTED_VALUE"""),"Form. Pedagógica")</f>
        <v>Form. Pedagógica</v>
      </c>
      <c r="C739" s="390" t="str">
        <f>IFERROR(__xludf.DUMMYFUNCTION("""COMPUTED_VALUE"""),"Pedagogia")</f>
        <v>Pedagogia</v>
      </c>
      <c r="D739" s="390"/>
      <c r="E739" s="390"/>
      <c r="F739" s="390"/>
      <c r="G739" s="390"/>
      <c r="H739" s="390"/>
      <c r="I739" s="390"/>
      <c r="J739" s="390"/>
      <c r="K739" s="390"/>
      <c r="L739" s="390"/>
      <c r="M739" s="390"/>
      <c r="N739" s="390"/>
      <c r="O739" s="390"/>
      <c r="P739" s="390"/>
      <c r="Q739" s="390"/>
      <c r="R739" s="390"/>
      <c r="S739" s="390"/>
      <c r="T739" s="390"/>
      <c r="U739" s="390"/>
      <c r="V739" s="390"/>
      <c r="W739" s="390"/>
      <c r="X739" s="390"/>
      <c r="Y739" s="390"/>
    </row>
    <row r="740">
      <c r="A740" s="390" t="str">
        <f>IFERROR(__xludf.DUMMYFUNCTION("""COMPUTED_VALUE"""),"Juliana Isabel da Silva")</f>
        <v>Juliana Isabel da Silva</v>
      </c>
      <c r="B740" s="390" t="str">
        <f>IFERROR(__xludf.DUMMYFUNCTION("""COMPUTED_VALUE"""),"Form. Pedagógica")</f>
        <v>Form. Pedagógica</v>
      </c>
      <c r="C740" s="390" t="str">
        <f>IFERROR(__xludf.DUMMYFUNCTION("""COMPUTED_VALUE"""),"Pedagogia")</f>
        <v>Pedagogia</v>
      </c>
      <c r="D740" s="390"/>
      <c r="E740" s="390"/>
      <c r="F740" s="390"/>
      <c r="G740" s="390"/>
      <c r="H740" s="390"/>
      <c r="I740" s="390"/>
      <c r="J740" s="390"/>
      <c r="K740" s="390"/>
      <c r="L740" s="390"/>
      <c r="M740" s="390"/>
      <c r="N740" s="390"/>
      <c r="O740" s="390"/>
      <c r="P740" s="390"/>
      <c r="Q740" s="390"/>
      <c r="R740" s="390"/>
      <c r="S740" s="390"/>
      <c r="T740" s="390"/>
      <c r="U740" s="390"/>
      <c r="V740" s="390"/>
      <c r="W740" s="390"/>
      <c r="X740" s="390"/>
      <c r="Y740" s="390"/>
    </row>
    <row r="741">
      <c r="A741" s="390" t="str">
        <f>IFERROR(__xludf.DUMMYFUNCTION("""COMPUTED_VALUE"""),"Vera Lúcia Silva Ventura")</f>
        <v>Vera Lúcia Silva Ventura</v>
      </c>
      <c r="B741" s="390" t="str">
        <f>IFERROR(__xludf.DUMMYFUNCTION("""COMPUTED_VALUE"""),"2° Licenciatura")</f>
        <v>2° Licenciatura</v>
      </c>
      <c r="C741" s="390" t="str">
        <f>IFERROR(__xludf.DUMMYFUNCTION("""COMPUTED_VALUE"""),"Pedagogia")</f>
        <v>Pedagogia</v>
      </c>
      <c r="D741" s="390"/>
      <c r="E741" s="390"/>
      <c r="F741" s="390"/>
      <c r="G741" s="390"/>
      <c r="H741" s="390"/>
      <c r="I741" s="390"/>
      <c r="J741" s="390"/>
      <c r="K741" s="390"/>
      <c r="L741" s="390"/>
      <c r="M741" s="390"/>
      <c r="N741" s="390"/>
      <c r="O741" s="390"/>
      <c r="P741" s="390"/>
      <c r="Q741" s="390"/>
      <c r="R741" s="390"/>
      <c r="S741" s="390"/>
      <c r="T741" s="390"/>
      <c r="U741" s="390"/>
      <c r="V741" s="390"/>
      <c r="W741" s="390"/>
      <c r="X741" s="390"/>
      <c r="Y741" s="390"/>
    </row>
    <row r="742">
      <c r="A742" s="390" t="str">
        <f>IFERROR(__xludf.DUMMYFUNCTION("""COMPUTED_VALUE"""),"Valéria Aparecida Chiamente")</f>
        <v>Valéria Aparecida Chiamente</v>
      </c>
      <c r="B742" s="390" t="str">
        <f>IFERROR(__xludf.DUMMYFUNCTION("""COMPUTED_VALUE"""),"2° Licenciatura")</f>
        <v>2° Licenciatura</v>
      </c>
      <c r="C742" s="390" t="str">
        <f>IFERROR(__xludf.DUMMYFUNCTION("""COMPUTED_VALUE"""),"Pedagogia")</f>
        <v>Pedagogia</v>
      </c>
      <c r="D742" s="390"/>
      <c r="E742" s="390"/>
      <c r="F742" s="390"/>
      <c r="G742" s="390"/>
      <c r="H742" s="390"/>
      <c r="I742" s="390"/>
      <c r="J742" s="390"/>
      <c r="K742" s="390"/>
      <c r="L742" s="390"/>
      <c r="M742" s="390"/>
      <c r="N742" s="390"/>
      <c r="O742" s="390"/>
      <c r="P742" s="390"/>
      <c r="Q742" s="390"/>
      <c r="R742" s="390"/>
      <c r="S742" s="390"/>
      <c r="T742" s="390"/>
      <c r="U742" s="390"/>
      <c r="V742" s="390"/>
      <c r="W742" s="390"/>
      <c r="X742" s="390"/>
      <c r="Y742" s="390"/>
    </row>
    <row r="743">
      <c r="A743" s="390" t="str">
        <f>IFERROR(__xludf.DUMMYFUNCTION("""COMPUTED_VALUE"""),"Francisco Geober Sabino de Carvalho")</f>
        <v>Francisco Geober Sabino de Carvalho</v>
      </c>
      <c r="B743" s="390" t="str">
        <f>IFERROR(__xludf.DUMMYFUNCTION("""COMPUTED_VALUE"""),"2° Licenciatura")</f>
        <v>2° Licenciatura</v>
      </c>
      <c r="C743" s="390" t="str">
        <f>IFERROR(__xludf.DUMMYFUNCTION("""COMPUTED_VALUE"""),"Pedagogia")</f>
        <v>Pedagogia</v>
      </c>
      <c r="D743" s="390"/>
      <c r="E743" s="390"/>
      <c r="F743" s="390"/>
      <c r="G743" s="390"/>
      <c r="H743" s="390"/>
      <c r="I743" s="390"/>
      <c r="J743" s="390"/>
      <c r="K743" s="390"/>
      <c r="L743" s="390"/>
      <c r="M743" s="390"/>
      <c r="N743" s="390"/>
      <c r="O743" s="390"/>
      <c r="P743" s="390"/>
      <c r="Q743" s="390"/>
      <c r="R743" s="390"/>
      <c r="S743" s="390"/>
      <c r="T743" s="390"/>
      <c r="U743" s="390"/>
      <c r="V743" s="390"/>
      <c r="W743" s="390"/>
      <c r="X743" s="390"/>
      <c r="Y743" s="390"/>
    </row>
    <row r="744">
      <c r="A744" s="390" t="str">
        <f>IFERROR(__xludf.DUMMYFUNCTION("""COMPUTED_VALUE"""),"Maria Divina Batista de Souza")</f>
        <v>Maria Divina Batista de Souza</v>
      </c>
      <c r="B744" s="390" t="str">
        <f>IFERROR(__xludf.DUMMYFUNCTION("""COMPUTED_VALUE"""),"2° Licenciatura")</f>
        <v>2° Licenciatura</v>
      </c>
      <c r="C744" s="390" t="str">
        <f>IFERROR(__xludf.DUMMYFUNCTION("""COMPUTED_VALUE"""),"Pedagogia")</f>
        <v>Pedagogia</v>
      </c>
      <c r="D744" s="390"/>
      <c r="E744" s="390"/>
      <c r="F744" s="390"/>
      <c r="G744" s="390"/>
      <c r="H744" s="390"/>
      <c r="I744" s="390"/>
      <c r="J744" s="390"/>
      <c r="K744" s="390"/>
      <c r="L744" s="390"/>
      <c r="M744" s="390"/>
      <c r="N744" s="390"/>
      <c r="O744" s="390"/>
      <c r="P744" s="390"/>
      <c r="Q744" s="390"/>
      <c r="R744" s="390"/>
      <c r="S744" s="390"/>
      <c r="T744" s="390"/>
      <c r="U744" s="390"/>
      <c r="V744" s="390"/>
      <c r="W744" s="390"/>
      <c r="X744" s="390"/>
      <c r="Y744" s="390"/>
    </row>
    <row r="745">
      <c r="A745" s="390" t="str">
        <f>IFERROR(__xludf.DUMMYFUNCTION("""COMPUTED_VALUE"""),"Jovani Pinheiro Alves")</f>
        <v>Jovani Pinheiro Alves</v>
      </c>
      <c r="B745" s="390" t="str">
        <f>IFERROR(__xludf.DUMMYFUNCTION("""COMPUTED_VALUE"""),"2° Licenciatura")</f>
        <v>2° Licenciatura</v>
      </c>
      <c r="C745" s="390" t="str">
        <f>IFERROR(__xludf.DUMMYFUNCTION("""COMPUTED_VALUE"""),"Pedagogia")</f>
        <v>Pedagogia</v>
      </c>
      <c r="D745" s="390"/>
      <c r="E745" s="390"/>
      <c r="F745" s="390"/>
      <c r="G745" s="390"/>
      <c r="H745" s="390"/>
      <c r="I745" s="390"/>
      <c r="J745" s="390"/>
      <c r="K745" s="390"/>
      <c r="L745" s="390"/>
      <c r="M745" s="390"/>
      <c r="N745" s="390"/>
      <c r="O745" s="390"/>
      <c r="P745" s="390"/>
      <c r="Q745" s="390"/>
      <c r="R745" s="390"/>
      <c r="S745" s="390"/>
      <c r="T745" s="390"/>
      <c r="U745" s="390"/>
      <c r="V745" s="390"/>
      <c r="W745" s="390"/>
      <c r="X745" s="390"/>
      <c r="Y745" s="390"/>
    </row>
    <row r="746">
      <c r="A746" s="390" t="str">
        <f>IFERROR(__xludf.DUMMYFUNCTION("""COMPUTED_VALUE"""),"Viviane de Araújo Nascimento")</f>
        <v>Viviane de Araújo Nascimento</v>
      </c>
      <c r="B746" s="390" t="str">
        <f>IFERROR(__xludf.DUMMYFUNCTION("""COMPUTED_VALUE"""),"2° Licenciatura")</f>
        <v>2° Licenciatura</v>
      </c>
      <c r="C746" s="390" t="str">
        <f>IFERROR(__xludf.DUMMYFUNCTION("""COMPUTED_VALUE"""),"Pedagogia")</f>
        <v>Pedagogia</v>
      </c>
      <c r="D746" s="390"/>
      <c r="E746" s="390"/>
      <c r="F746" s="390"/>
      <c r="G746" s="390"/>
      <c r="H746" s="390"/>
      <c r="I746" s="390"/>
      <c r="J746" s="390"/>
      <c r="K746" s="390"/>
      <c r="L746" s="390"/>
      <c r="M746" s="390"/>
      <c r="N746" s="390"/>
      <c r="O746" s="390"/>
      <c r="P746" s="390"/>
      <c r="Q746" s="390"/>
      <c r="R746" s="390"/>
      <c r="S746" s="390"/>
      <c r="T746" s="390"/>
      <c r="U746" s="390"/>
      <c r="V746" s="390"/>
      <c r="W746" s="390"/>
      <c r="X746" s="390"/>
      <c r="Y746" s="390"/>
    </row>
    <row r="747">
      <c r="A747" s="390" t="str">
        <f>IFERROR(__xludf.DUMMYFUNCTION("""COMPUTED_VALUE"""),"Marcos Coelho da Silva")</f>
        <v>Marcos Coelho da Silva</v>
      </c>
      <c r="B747" s="390" t="str">
        <f>IFERROR(__xludf.DUMMYFUNCTION("""COMPUTED_VALUE"""),"2° Licenciatura")</f>
        <v>2° Licenciatura</v>
      </c>
      <c r="C747" s="390" t="str">
        <f>IFERROR(__xludf.DUMMYFUNCTION("""COMPUTED_VALUE"""),"Pedagogia")</f>
        <v>Pedagogia</v>
      </c>
      <c r="D747" s="390"/>
      <c r="E747" s="390"/>
      <c r="F747" s="390"/>
      <c r="G747" s="390"/>
      <c r="H747" s="390"/>
      <c r="I747" s="390"/>
      <c r="J747" s="390"/>
      <c r="K747" s="390"/>
      <c r="L747" s="390"/>
      <c r="M747" s="390"/>
      <c r="N747" s="390"/>
      <c r="O747" s="390"/>
      <c r="P747" s="390"/>
      <c r="Q747" s="390"/>
      <c r="R747" s="390"/>
      <c r="S747" s="390"/>
      <c r="T747" s="390"/>
      <c r="U747" s="390"/>
      <c r="V747" s="390"/>
      <c r="W747" s="390"/>
      <c r="X747" s="390"/>
      <c r="Y747" s="390"/>
    </row>
    <row r="748">
      <c r="A748" s="390" t="str">
        <f>IFERROR(__xludf.DUMMYFUNCTION("""COMPUTED_VALUE"""),"Renata Thayná de Oliveira Pinheiro Lima")</f>
        <v>Renata Thayná de Oliveira Pinheiro Lima</v>
      </c>
      <c r="B748" s="390" t="str">
        <f>IFERROR(__xludf.DUMMYFUNCTION("""COMPUTED_VALUE"""),"2° Licenciatura")</f>
        <v>2° Licenciatura</v>
      </c>
      <c r="C748" s="390" t="str">
        <f>IFERROR(__xludf.DUMMYFUNCTION("""COMPUTED_VALUE"""),"Pedagogia")</f>
        <v>Pedagogia</v>
      </c>
      <c r="D748" s="390"/>
      <c r="E748" s="390"/>
      <c r="F748" s="390"/>
      <c r="G748" s="390"/>
      <c r="H748" s="390"/>
      <c r="I748" s="390"/>
      <c r="J748" s="390"/>
      <c r="K748" s="390"/>
      <c r="L748" s="390"/>
      <c r="M748" s="390"/>
      <c r="N748" s="390"/>
      <c r="O748" s="390"/>
      <c r="P748" s="390"/>
      <c r="Q748" s="390"/>
      <c r="R748" s="390"/>
      <c r="S748" s="390"/>
      <c r="T748" s="390"/>
      <c r="U748" s="390"/>
      <c r="V748" s="390"/>
      <c r="W748" s="390"/>
      <c r="X748" s="390"/>
      <c r="Y748" s="390"/>
    </row>
    <row r="749">
      <c r="A749" s="390" t="str">
        <f>IFERROR(__xludf.DUMMYFUNCTION("""COMPUTED_VALUE"""),"Tereza Cristina da Silva Nogueira")</f>
        <v>Tereza Cristina da Silva Nogueira</v>
      </c>
      <c r="B749" s="390" t="str">
        <f>IFERROR(__xludf.DUMMYFUNCTION("""COMPUTED_VALUE"""),"2° Licenciatura")</f>
        <v>2° Licenciatura</v>
      </c>
      <c r="C749" s="390" t="str">
        <f>IFERROR(__xludf.DUMMYFUNCTION("""COMPUTED_VALUE"""),"Pedagogia")</f>
        <v>Pedagogia</v>
      </c>
      <c r="D749" s="390"/>
      <c r="E749" s="390"/>
      <c r="F749" s="390"/>
      <c r="G749" s="390"/>
      <c r="H749" s="390"/>
      <c r="I749" s="390"/>
      <c r="J749" s="390"/>
      <c r="K749" s="390"/>
      <c r="L749" s="390"/>
      <c r="M749" s="390"/>
      <c r="N749" s="390"/>
      <c r="O749" s="390"/>
      <c r="P749" s="390"/>
      <c r="Q749" s="390"/>
      <c r="R749" s="390"/>
      <c r="S749" s="390"/>
      <c r="T749" s="390"/>
      <c r="U749" s="390"/>
      <c r="V749" s="390"/>
      <c r="W749" s="390"/>
      <c r="X749" s="390"/>
      <c r="Y749" s="390"/>
    </row>
    <row r="750">
      <c r="A750" s="390" t="str">
        <f>IFERROR(__xludf.DUMMYFUNCTION("""COMPUTED_VALUE"""),"Fabrício Ribeiro da Silva")</f>
        <v>Fabrício Ribeiro da Silva</v>
      </c>
      <c r="B750" s="390" t="str">
        <f>IFERROR(__xludf.DUMMYFUNCTION("""COMPUTED_VALUE"""),"2° Licenciatura")</f>
        <v>2° Licenciatura</v>
      </c>
      <c r="C750" s="390" t="str">
        <f>IFERROR(__xludf.DUMMYFUNCTION("""COMPUTED_VALUE"""),"Pedagogia")</f>
        <v>Pedagogia</v>
      </c>
      <c r="D750" s="390"/>
      <c r="E750" s="390"/>
      <c r="F750" s="390"/>
      <c r="G750" s="390"/>
      <c r="H750" s="390"/>
      <c r="I750" s="390"/>
      <c r="J750" s="390"/>
      <c r="K750" s="390"/>
      <c r="L750" s="390"/>
      <c r="M750" s="390"/>
      <c r="N750" s="390"/>
      <c r="O750" s="390"/>
      <c r="P750" s="390"/>
      <c r="Q750" s="390"/>
      <c r="R750" s="390"/>
      <c r="S750" s="390"/>
      <c r="T750" s="390"/>
      <c r="U750" s="390"/>
      <c r="V750" s="390"/>
      <c r="W750" s="390"/>
      <c r="X750" s="390"/>
      <c r="Y750" s="390"/>
    </row>
    <row r="751">
      <c r="A751" s="390" t="str">
        <f>IFERROR(__xludf.DUMMYFUNCTION("""COMPUTED_VALUE"""),"Telma Dos Santos Cardoso")</f>
        <v>Telma Dos Santos Cardoso</v>
      </c>
      <c r="B751" s="390" t="str">
        <f>IFERROR(__xludf.DUMMYFUNCTION("""COMPUTED_VALUE"""),"2° Licenciatura")</f>
        <v>2° Licenciatura</v>
      </c>
      <c r="C751" s="390" t="str">
        <f>IFERROR(__xludf.DUMMYFUNCTION("""COMPUTED_VALUE"""),"Pedagogia")</f>
        <v>Pedagogia</v>
      </c>
      <c r="D751" s="390"/>
      <c r="E751" s="390"/>
      <c r="F751" s="390"/>
      <c r="G751" s="390"/>
      <c r="H751" s="390"/>
      <c r="I751" s="390"/>
      <c r="J751" s="390"/>
      <c r="K751" s="390"/>
      <c r="L751" s="390"/>
      <c r="M751" s="390"/>
      <c r="N751" s="390"/>
      <c r="O751" s="390"/>
      <c r="P751" s="390"/>
      <c r="Q751" s="390"/>
      <c r="R751" s="390"/>
      <c r="S751" s="390"/>
      <c r="T751" s="390"/>
      <c r="U751" s="390"/>
      <c r="V751" s="390"/>
      <c r="W751" s="390"/>
      <c r="X751" s="390"/>
      <c r="Y751" s="390"/>
    </row>
    <row r="752">
      <c r="A752" s="390" t="str">
        <f>IFERROR(__xludf.DUMMYFUNCTION("""COMPUTED_VALUE"""),"Patrícia Camargo Figueiredo")</f>
        <v>Patrícia Camargo Figueiredo</v>
      </c>
      <c r="B752" s="390" t="str">
        <f>IFERROR(__xludf.DUMMYFUNCTION("""COMPUTED_VALUE"""),"Form. Pedagógica")</f>
        <v>Form. Pedagógica</v>
      </c>
      <c r="C752" s="390" t="str">
        <f>IFERROR(__xludf.DUMMYFUNCTION("""COMPUTED_VALUE"""),"Pedagogia")</f>
        <v>Pedagogia</v>
      </c>
      <c r="D752" s="390"/>
      <c r="E752" s="390"/>
      <c r="F752" s="390"/>
      <c r="G752" s="390"/>
      <c r="H752" s="390"/>
      <c r="I752" s="390"/>
      <c r="J752" s="390"/>
      <c r="K752" s="390"/>
      <c r="L752" s="390"/>
      <c r="M752" s="390"/>
      <c r="N752" s="390"/>
      <c r="O752" s="390"/>
      <c r="P752" s="390"/>
      <c r="Q752" s="390"/>
      <c r="R752" s="390"/>
      <c r="S752" s="390"/>
      <c r="T752" s="390"/>
      <c r="U752" s="390"/>
      <c r="V752" s="390"/>
      <c r="W752" s="390"/>
      <c r="X752" s="390"/>
      <c r="Y752" s="390"/>
    </row>
    <row r="753">
      <c r="A753" s="390" t="str">
        <f>IFERROR(__xludf.DUMMYFUNCTION("""COMPUTED_VALUE"""),"Edna Aparecida de Souza Gallo")</f>
        <v>Edna Aparecida de Souza Gallo</v>
      </c>
      <c r="B753" s="390" t="str">
        <f>IFERROR(__xludf.DUMMYFUNCTION("""COMPUTED_VALUE"""),"Form. Pedagógica")</f>
        <v>Form. Pedagógica</v>
      </c>
      <c r="C753" s="390" t="str">
        <f>IFERROR(__xludf.DUMMYFUNCTION("""COMPUTED_VALUE"""),"Pedagogia")</f>
        <v>Pedagogia</v>
      </c>
      <c r="D753" s="390"/>
      <c r="E753" s="390"/>
      <c r="F753" s="390"/>
      <c r="G753" s="390"/>
      <c r="H753" s="390"/>
      <c r="I753" s="390"/>
      <c r="J753" s="390"/>
      <c r="K753" s="390"/>
      <c r="L753" s="390"/>
      <c r="M753" s="390"/>
      <c r="N753" s="390"/>
      <c r="O753" s="390"/>
      <c r="P753" s="390"/>
      <c r="Q753" s="390"/>
      <c r="R753" s="390"/>
      <c r="S753" s="390"/>
      <c r="T753" s="390"/>
      <c r="U753" s="390"/>
      <c r="V753" s="390"/>
      <c r="W753" s="390"/>
      <c r="X753" s="390"/>
      <c r="Y753" s="390"/>
    </row>
    <row r="754">
      <c r="A754" s="390" t="str">
        <f>IFERROR(__xludf.DUMMYFUNCTION("""COMPUTED_VALUE"""),"Roger Roberto Brochi")</f>
        <v>Roger Roberto Brochi</v>
      </c>
      <c r="B754" s="390" t="str">
        <f>IFERROR(__xludf.DUMMYFUNCTION("""COMPUTED_VALUE"""),"2° Licenciatura")</f>
        <v>2° Licenciatura</v>
      </c>
      <c r="C754" s="390" t="str">
        <f>IFERROR(__xludf.DUMMYFUNCTION("""COMPUTED_VALUE"""),"Pedagogia")</f>
        <v>Pedagogia</v>
      </c>
      <c r="D754" s="390"/>
      <c r="E754" s="390"/>
      <c r="F754" s="390"/>
      <c r="G754" s="390"/>
      <c r="H754" s="390"/>
      <c r="I754" s="390"/>
      <c r="J754" s="390"/>
      <c r="K754" s="390"/>
      <c r="L754" s="390"/>
      <c r="M754" s="390"/>
      <c r="N754" s="390"/>
      <c r="O754" s="390"/>
      <c r="P754" s="390"/>
      <c r="Q754" s="390"/>
      <c r="R754" s="390"/>
      <c r="S754" s="390"/>
      <c r="T754" s="390"/>
      <c r="U754" s="390"/>
      <c r="V754" s="390"/>
      <c r="W754" s="390"/>
      <c r="X754" s="390"/>
      <c r="Y754" s="390"/>
    </row>
    <row r="755">
      <c r="A755" s="390" t="str">
        <f>IFERROR(__xludf.DUMMYFUNCTION("""COMPUTED_VALUE"""),"Idailson Viana Balieiro")</f>
        <v>Idailson Viana Balieiro</v>
      </c>
      <c r="B755" s="390" t="str">
        <f>IFERROR(__xludf.DUMMYFUNCTION("""COMPUTED_VALUE"""),"2° Licenciatura")</f>
        <v>2° Licenciatura</v>
      </c>
      <c r="C755" s="390" t="str">
        <f>IFERROR(__xludf.DUMMYFUNCTION("""COMPUTED_VALUE"""),"Pedagogia")</f>
        <v>Pedagogia</v>
      </c>
      <c r="D755" s="390"/>
      <c r="E755" s="390"/>
      <c r="F755" s="390"/>
      <c r="G755" s="390"/>
      <c r="H755" s="390"/>
      <c r="I755" s="390"/>
      <c r="J755" s="390"/>
      <c r="K755" s="390"/>
      <c r="L755" s="390"/>
      <c r="M755" s="390"/>
      <c r="N755" s="390"/>
      <c r="O755" s="390"/>
      <c r="P755" s="390"/>
      <c r="Q755" s="390"/>
      <c r="R755" s="390"/>
      <c r="S755" s="390"/>
      <c r="T755" s="390"/>
      <c r="U755" s="390"/>
      <c r="V755" s="390"/>
      <c r="W755" s="390"/>
      <c r="X755" s="390"/>
      <c r="Y755" s="390"/>
    </row>
    <row r="756">
      <c r="A756" s="390" t="str">
        <f>IFERROR(__xludf.DUMMYFUNCTION("""COMPUTED_VALUE"""),"Stefânia de Oliveira Eugênio")</f>
        <v>Stefânia de Oliveira Eugênio</v>
      </c>
      <c r="B756" s="390" t="str">
        <f>IFERROR(__xludf.DUMMYFUNCTION("""COMPUTED_VALUE"""),"2° Licenciatura")</f>
        <v>2° Licenciatura</v>
      </c>
      <c r="C756" s="390" t="str">
        <f>IFERROR(__xludf.DUMMYFUNCTION("""COMPUTED_VALUE"""),"Pedagogia")</f>
        <v>Pedagogia</v>
      </c>
      <c r="D756" s="390"/>
      <c r="E756" s="390"/>
      <c r="F756" s="390"/>
      <c r="G756" s="390"/>
      <c r="H756" s="390"/>
      <c r="I756" s="390"/>
      <c r="J756" s="390"/>
      <c r="K756" s="390"/>
      <c r="L756" s="390"/>
      <c r="M756" s="390"/>
      <c r="N756" s="390"/>
      <c r="O756" s="390"/>
      <c r="P756" s="390"/>
      <c r="Q756" s="390"/>
      <c r="R756" s="390"/>
      <c r="S756" s="390"/>
      <c r="T756" s="390"/>
      <c r="U756" s="390"/>
      <c r="V756" s="390"/>
      <c r="W756" s="390"/>
      <c r="X756" s="390"/>
      <c r="Y756" s="390"/>
    </row>
    <row r="757">
      <c r="A757" s="390" t="str">
        <f>IFERROR(__xludf.DUMMYFUNCTION("""COMPUTED_VALUE"""),"Lailla Rosa Gonçalves Pereira")</f>
        <v>Lailla Rosa Gonçalves Pereira</v>
      </c>
      <c r="B757" s="390" t="str">
        <f>IFERROR(__xludf.DUMMYFUNCTION("""COMPUTED_VALUE"""),"2° Licenciatura")</f>
        <v>2° Licenciatura</v>
      </c>
      <c r="C757" s="390" t="str">
        <f>IFERROR(__xludf.DUMMYFUNCTION("""COMPUTED_VALUE"""),"Pedagogia")</f>
        <v>Pedagogia</v>
      </c>
      <c r="D757" s="390"/>
      <c r="E757" s="390"/>
      <c r="F757" s="390"/>
      <c r="G757" s="390"/>
      <c r="H757" s="390"/>
      <c r="I757" s="390"/>
      <c r="J757" s="390"/>
      <c r="K757" s="390"/>
      <c r="L757" s="390"/>
      <c r="M757" s="390"/>
      <c r="N757" s="390"/>
      <c r="O757" s="390"/>
      <c r="P757" s="390"/>
      <c r="Q757" s="390"/>
      <c r="R757" s="390"/>
      <c r="S757" s="390"/>
      <c r="T757" s="390"/>
      <c r="U757" s="390"/>
      <c r="V757" s="390"/>
      <c r="W757" s="390"/>
      <c r="X757" s="390"/>
      <c r="Y757" s="390"/>
    </row>
    <row r="758">
      <c r="A758" s="390" t="str">
        <f>IFERROR(__xludf.DUMMYFUNCTION("""COMPUTED_VALUE"""),"Jailton Galdino dos Santos")</f>
        <v>Jailton Galdino dos Santos</v>
      </c>
      <c r="B758" s="390" t="str">
        <f>IFERROR(__xludf.DUMMYFUNCTION("""COMPUTED_VALUE"""),"2° Licenciatura")</f>
        <v>2° Licenciatura</v>
      </c>
      <c r="C758" s="390" t="str">
        <f>IFERROR(__xludf.DUMMYFUNCTION("""COMPUTED_VALUE"""),"Pedagogia")</f>
        <v>Pedagogia</v>
      </c>
      <c r="D758" s="390"/>
      <c r="E758" s="390"/>
      <c r="F758" s="390"/>
      <c r="G758" s="390"/>
      <c r="H758" s="390"/>
      <c r="I758" s="390"/>
      <c r="J758" s="390"/>
      <c r="K758" s="390"/>
      <c r="L758" s="390"/>
      <c r="M758" s="390"/>
      <c r="N758" s="390"/>
      <c r="O758" s="390"/>
      <c r="P758" s="390"/>
      <c r="Q758" s="390"/>
      <c r="R758" s="390"/>
      <c r="S758" s="390"/>
      <c r="T758" s="390"/>
      <c r="U758" s="390"/>
      <c r="V758" s="390"/>
      <c r="W758" s="390"/>
      <c r="X758" s="390"/>
      <c r="Y758" s="390"/>
    </row>
    <row r="759">
      <c r="A759" s="390" t="str">
        <f>IFERROR(__xludf.DUMMYFUNCTION("""COMPUTED_VALUE"""),"Miriam Custódio Santos")</f>
        <v>Miriam Custódio Santos</v>
      </c>
      <c r="B759" s="390" t="str">
        <f>IFERROR(__xludf.DUMMYFUNCTION("""COMPUTED_VALUE"""),"2° Licenciatura")</f>
        <v>2° Licenciatura</v>
      </c>
      <c r="C759" s="390" t="str">
        <f>IFERROR(__xludf.DUMMYFUNCTION("""COMPUTED_VALUE"""),"Pedagogia")</f>
        <v>Pedagogia</v>
      </c>
      <c r="D759" s="390"/>
      <c r="E759" s="390"/>
      <c r="F759" s="390"/>
      <c r="G759" s="390"/>
      <c r="H759" s="390"/>
      <c r="I759" s="390"/>
      <c r="J759" s="390"/>
      <c r="K759" s="390"/>
      <c r="L759" s="390"/>
      <c r="M759" s="390"/>
      <c r="N759" s="390"/>
      <c r="O759" s="390"/>
      <c r="P759" s="390"/>
      <c r="Q759" s="390"/>
      <c r="R759" s="390"/>
      <c r="S759" s="390"/>
      <c r="T759" s="390"/>
      <c r="U759" s="390"/>
      <c r="V759" s="390"/>
      <c r="W759" s="390"/>
      <c r="X759" s="390"/>
      <c r="Y759" s="390"/>
    </row>
    <row r="760">
      <c r="A760" s="390" t="str">
        <f>IFERROR(__xludf.DUMMYFUNCTION("""COMPUTED_VALUE"""),"Kelly Kene Dutra Magalhães")</f>
        <v>Kelly Kene Dutra Magalhães</v>
      </c>
      <c r="B760" s="390" t="str">
        <f>IFERROR(__xludf.DUMMYFUNCTION("""COMPUTED_VALUE"""),"Form. Pedagógica")</f>
        <v>Form. Pedagógica</v>
      </c>
      <c r="C760" s="390" t="str">
        <f>IFERROR(__xludf.DUMMYFUNCTION("""COMPUTED_VALUE"""),"Pedagogia")</f>
        <v>Pedagogia</v>
      </c>
      <c r="D760" s="390"/>
      <c r="E760" s="390"/>
      <c r="F760" s="390"/>
      <c r="G760" s="390"/>
      <c r="H760" s="390"/>
      <c r="I760" s="390"/>
      <c r="J760" s="390"/>
      <c r="K760" s="390"/>
      <c r="L760" s="390"/>
      <c r="M760" s="390"/>
      <c r="N760" s="390"/>
      <c r="O760" s="390"/>
      <c r="P760" s="390"/>
      <c r="Q760" s="390"/>
      <c r="R760" s="390"/>
      <c r="S760" s="390"/>
      <c r="T760" s="390"/>
      <c r="U760" s="390"/>
      <c r="V760" s="390"/>
      <c r="W760" s="390"/>
      <c r="X760" s="390"/>
      <c r="Y760" s="390"/>
    </row>
    <row r="761">
      <c r="A761" s="390" t="str">
        <f>IFERROR(__xludf.DUMMYFUNCTION("""COMPUTED_VALUE"""),"Letúzia Filomena dos Reis Costa")</f>
        <v>Letúzia Filomena dos Reis Costa</v>
      </c>
      <c r="B761" s="390" t="str">
        <f>IFERROR(__xludf.DUMMYFUNCTION("""COMPUTED_VALUE"""),"2° Licenciatura")</f>
        <v>2° Licenciatura</v>
      </c>
      <c r="C761" s="390" t="str">
        <f>IFERROR(__xludf.DUMMYFUNCTION("""COMPUTED_VALUE"""),"Pedagogia")</f>
        <v>Pedagogia</v>
      </c>
      <c r="D761" s="390"/>
      <c r="E761" s="390"/>
      <c r="F761" s="390"/>
      <c r="G761" s="390"/>
      <c r="H761" s="390"/>
      <c r="I761" s="390"/>
      <c r="J761" s="390"/>
      <c r="K761" s="390"/>
      <c r="L761" s="390"/>
      <c r="M761" s="390"/>
      <c r="N761" s="390"/>
      <c r="O761" s="390"/>
      <c r="P761" s="390"/>
      <c r="Q761" s="390"/>
      <c r="R761" s="390"/>
      <c r="S761" s="390"/>
      <c r="T761" s="390"/>
      <c r="U761" s="390"/>
      <c r="V761" s="390"/>
      <c r="W761" s="390"/>
      <c r="X761" s="390"/>
      <c r="Y761" s="390"/>
    </row>
    <row r="762">
      <c r="A762" s="390" t="str">
        <f>IFERROR(__xludf.DUMMYFUNCTION("""COMPUTED_VALUE"""),"Glauber Babosa Guardengui")</f>
        <v>Glauber Babosa Guardengui</v>
      </c>
      <c r="B762" s="390" t="str">
        <f>IFERROR(__xludf.DUMMYFUNCTION("""COMPUTED_VALUE"""),"2° Licenciatura")</f>
        <v>2° Licenciatura</v>
      </c>
      <c r="C762" s="390" t="str">
        <f>IFERROR(__xludf.DUMMYFUNCTION("""COMPUTED_VALUE"""),"Pedagogia")</f>
        <v>Pedagogia</v>
      </c>
      <c r="D762" s="390"/>
      <c r="E762" s="390"/>
      <c r="F762" s="390"/>
      <c r="G762" s="390"/>
      <c r="H762" s="390"/>
      <c r="I762" s="390"/>
      <c r="J762" s="390"/>
      <c r="K762" s="390"/>
      <c r="L762" s="390"/>
      <c r="M762" s="390"/>
      <c r="N762" s="390"/>
      <c r="O762" s="390"/>
      <c r="P762" s="390"/>
      <c r="Q762" s="390"/>
      <c r="R762" s="390"/>
      <c r="S762" s="390"/>
      <c r="T762" s="390"/>
      <c r="U762" s="390"/>
      <c r="V762" s="390"/>
      <c r="W762" s="390"/>
      <c r="X762" s="390"/>
      <c r="Y762" s="390"/>
    </row>
    <row r="763">
      <c r="A763" s="390" t="str">
        <f>IFERROR(__xludf.DUMMYFUNCTION("""COMPUTED_VALUE"""),"Christiani Oliveira Faria")</f>
        <v>Christiani Oliveira Faria</v>
      </c>
      <c r="B763" s="390" t="str">
        <f>IFERROR(__xludf.DUMMYFUNCTION("""COMPUTED_VALUE"""),"Form. Pedagógica")</f>
        <v>Form. Pedagógica</v>
      </c>
      <c r="C763" s="390" t="str">
        <f>IFERROR(__xludf.DUMMYFUNCTION("""COMPUTED_VALUE"""),"Pedagogia")</f>
        <v>Pedagogia</v>
      </c>
      <c r="D763" s="390"/>
      <c r="E763" s="390"/>
      <c r="F763" s="390"/>
      <c r="G763" s="390"/>
      <c r="H763" s="390"/>
      <c r="I763" s="390"/>
      <c r="J763" s="390"/>
      <c r="K763" s="390"/>
      <c r="L763" s="390"/>
      <c r="M763" s="390"/>
      <c r="N763" s="390"/>
      <c r="O763" s="390"/>
      <c r="P763" s="390"/>
      <c r="Q763" s="390"/>
      <c r="R763" s="390"/>
      <c r="S763" s="390"/>
      <c r="T763" s="390"/>
      <c r="U763" s="390"/>
      <c r="V763" s="390"/>
      <c r="W763" s="390"/>
      <c r="X763" s="390"/>
      <c r="Y763" s="390"/>
    </row>
    <row r="764">
      <c r="A764" s="390" t="str">
        <f>IFERROR(__xludf.DUMMYFUNCTION("""COMPUTED_VALUE"""),"Orleide Alves de Matos Silva")</f>
        <v>Orleide Alves de Matos Silva</v>
      </c>
      <c r="B764" s="390" t="str">
        <f>IFERROR(__xludf.DUMMYFUNCTION("""COMPUTED_VALUE"""),"2° Licenciatura")</f>
        <v>2° Licenciatura</v>
      </c>
      <c r="C764" s="390" t="str">
        <f>IFERROR(__xludf.DUMMYFUNCTION("""COMPUTED_VALUE"""),"Pedagogia")</f>
        <v>Pedagogia</v>
      </c>
      <c r="D764" s="390"/>
      <c r="E764" s="390"/>
      <c r="F764" s="390"/>
      <c r="G764" s="390"/>
      <c r="H764" s="390"/>
      <c r="I764" s="390"/>
      <c r="J764" s="390"/>
      <c r="K764" s="390"/>
      <c r="L764" s="390"/>
      <c r="M764" s="390"/>
      <c r="N764" s="390"/>
      <c r="O764" s="390"/>
      <c r="P764" s="390"/>
      <c r="Q764" s="390"/>
      <c r="R764" s="390"/>
      <c r="S764" s="390"/>
      <c r="T764" s="390"/>
      <c r="U764" s="390"/>
      <c r="V764" s="390"/>
      <c r="W764" s="390"/>
      <c r="X764" s="390"/>
      <c r="Y764" s="390"/>
    </row>
    <row r="765">
      <c r="A765" s="390" t="str">
        <f>IFERROR(__xludf.DUMMYFUNCTION("""COMPUTED_VALUE"""),"Manoel da Cruz dos Santos Aquino")</f>
        <v>Manoel da Cruz dos Santos Aquino</v>
      </c>
      <c r="B765" s="390" t="str">
        <f>IFERROR(__xludf.DUMMYFUNCTION("""COMPUTED_VALUE"""),"Form. Pedagógica")</f>
        <v>Form. Pedagógica</v>
      </c>
      <c r="C765" s="390" t="str">
        <f>IFERROR(__xludf.DUMMYFUNCTION("""COMPUTED_VALUE"""),"Pedagogia")</f>
        <v>Pedagogia</v>
      </c>
      <c r="D765" s="390"/>
      <c r="E765" s="390"/>
      <c r="F765" s="390"/>
      <c r="G765" s="390"/>
      <c r="H765" s="390"/>
      <c r="I765" s="390"/>
      <c r="J765" s="390"/>
      <c r="K765" s="390"/>
      <c r="L765" s="390"/>
      <c r="M765" s="390"/>
      <c r="N765" s="390"/>
      <c r="O765" s="390"/>
      <c r="P765" s="390"/>
      <c r="Q765" s="390"/>
      <c r="R765" s="390"/>
      <c r="S765" s="390"/>
      <c r="T765" s="390"/>
      <c r="U765" s="390"/>
      <c r="V765" s="390"/>
      <c r="W765" s="390"/>
      <c r="X765" s="390"/>
      <c r="Y765" s="390"/>
    </row>
    <row r="766">
      <c r="A766" s="390" t="str">
        <f>IFERROR(__xludf.DUMMYFUNCTION("""COMPUTED_VALUE"""),"Simone Rosa da Silva Adelino")</f>
        <v>Simone Rosa da Silva Adelino</v>
      </c>
      <c r="B766" s="390" t="str">
        <f>IFERROR(__xludf.DUMMYFUNCTION("""COMPUTED_VALUE"""),"2° Licenciatura")</f>
        <v>2° Licenciatura</v>
      </c>
      <c r="C766" s="390" t="str">
        <f>IFERROR(__xludf.DUMMYFUNCTION("""COMPUTED_VALUE"""),"Pedagogia")</f>
        <v>Pedagogia</v>
      </c>
      <c r="D766" s="390"/>
      <c r="E766" s="390"/>
      <c r="F766" s="390"/>
      <c r="G766" s="390"/>
      <c r="H766" s="390"/>
      <c r="I766" s="390"/>
      <c r="J766" s="390"/>
      <c r="K766" s="390"/>
      <c r="L766" s="390"/>
      <c r="M766" s="390"/>
      <c r="N766" s="390"/>
      <c r="O766" s="390"/>
      <c r="P766" s="390"/>
      <c r="Q766" s="390"/>
      <c r="R766" s="390"/>
      <c r="S766" s="390"/>
      <c r="T766" s="390"/>
      <c r="U766" s="390"/>
      <c r="V766" s="390"/>
      <c r="W766" s="390"/>
      <c r="X766" s="390"/>
      <c r="Y766" s="390"/>
    </row>
    <row r="767">
      <c r="A767" s="390" t="str">
        <f>IFERROR(__xludf.DUMMYFUNCTION("""COMPUTED_VALUE"""),"Juliana Martins Pinheiro Gonçalves")</f>
        <v>Juliana Martins Pinheiro Gonçalves</v>
      </c>
      <c r="B767" s="390" t="str">
        <f>IFERROR(__xludf.DUMMYFUNCTION("""COMPUTED_VALUE"""),"Form. Pedagógica")</f>
        <v>Form. Pedagógica</v>
      </c>
      <c r="C767" s="390" t="str">
        <f>IFERROR(__xludf.DUMMYFUNCTION("""COMPUTED_VALUE"""),"Pedagogia")</f>
        <v>Pedagogia</v>
      </c>
      <c r="D767" s="390"/>
      <c r="E767" s="390"/>
      <c r="F767" s="390"/>
      <c r="G767" s="390"/>
      <c r="H767" s="390"/>
      <c r="I767" s="390"/>
      <c r="J767" s="390"/>
      <c r="K767" s="390"/>
      <c r="L767" s="390"/>
      <c r="M767" s="390"/>
      <c r="N767" s="390"/>
      <c r="O767" s="390"/>
      <c r="P767" s="390"/>
      <c r="Q767" s="390"/>
      <c r="R767" s="390"/>
      <c r="S767" s="390"/>
      <c r="T767" s="390"/>
      <c r="U767" s="390"/>
      <c r="V767" s="390"/>
      <c r="W767" s="390"/>
      <c r="X767" s="390"/>
      <c r="Y767" s="390"/>
    </row>
    <row r="768">
      <c r="A768" s="390" t="str">
        <f>IFERROR(__xludf.DUMMYFUNCTION("""COMPUTED_VALUE"""),"Saulo Araujo de Menezes")</f>
        <v>Saulo Araujo de Menezes</v>
      </c>
      <c r="B768" s="390" t="str">
        <f>IFERROR(__xludf.DUMMYFUNCTION("""COMPUTED_VALUE"""),"2° Licenciatura")</f>
        <v>2° Licenciatura</v>
      </c>
      <c r="C768" s="390" t="str">
        <f>IFERROR(__xludf.DUMMYFUNCTION("""COMPUTED_VALUE"""),"Pedagogia")</f>
        <v>Pedagogia</v>
      </c>
      <c r="D768" s="390"/>
      <c r="E768" s="390"/>
      <c r="F768" s="390"/>
      <c r="G768" s="390"/>
      <c r="H768" s="390"/>
      <c r="I768" s="390"/>
      <c r="J768" s="390"/>
      <c r="K768" s="390"/>
      <c r="L768" s="390"/>
      <c r="M768" s="390"/>
      <c r="N768" s="390"/>
      <c r="O768" s="390"/>
      <c r="P768" s="390"/>
      <c r="Q768" s="390"/>
      <c r="R768" s="390"/>
      <c r="S768" s="390"/>
      <c r="T768" s="390"/>
      <c r="U768" s="390"/>
      <c r="V768" s="390"/>
      <c r="W768" s="390"/>
      <c r="X768" s="390"/>
      <c r="Y768" s="390"/>
    </row>
    <row r="769">
      <c r="A769" s="390" t="str">
        <f>IFERROR(__xludf.DUMMYFUNCTION("""COMPUTED_VALUE"""),"Anelise Porn")</f>
        <v>Anelise Porn</v>
      </c>
      <c r="B769" s="390" t="str">
        <f>IFERROR(__xludf.DUMMYFUNCTION("""COMPUTED_VALUE"""),"2° Licenciatura")</f>
        <v>2° Licenciatura</v>
      </c>
      <c r="C769" s="390" t="str">
        <f>IFERROR(__xludf.DUMMYFUNCTION("""COMPUTED_VALUE"""),"Pedagogia")</f>
        <v>Pedagogia</v>
      </c>
      <c r="D769" s="390"/>
      <c r="E769" s="390"/>
      <c r="F769" s="390"/>
      <c r="G769" s="390"/>
      <c r="H769" s="390"/>
      <c r="I769" s="390"/>
      <c r="J769" s="390"/>
      <c r="K769" s="390"/>
      <c r="L769" s="390"/>
      <c r="M769" s="390"/>
      <c r="N769" s="390"/>
      <c r="O769" s="390"/>
      <c r="P769" s="390"/>
      <c r="Q769" s="390"/>
      <c r="R769" s="390"/>
      <c r="S769" s="390"/>
      <c r="T769" s="390"/>
      <c r="U769" s="390"/>
      <c r="V769" s="390"/>
      <c r="W769" s="390"/>
      <c r="X769" s="390"/>
      <c r="Y769" s="390"/>
    </row>
    <row r="770">
      <c r="A770" s="390" t="str">
        <f>IFERROR(__xludf.DUMMYFUNCTION("""COMPUTED_VALUE"""),"Tiago Augusto Gasparotto")</f>
        <v>Tiago Augusto Gasparotto</v>
      </c>
      <c r="B770" s="390" t="str">
        <f>IFERROR(__xludf.DUMMYFUNCTION("""COMPUTED_VALUE"""),"2° Licenciatura")</f>
        <v>2° Licenciatura</v>
      </c>
      <c r="C770" s="390" t="str">
        <f>IFERROR(__xludf.DUMMYFUNCTION("""COMPUTED_VALUE"""),"Pedagogia")</f>
        <v>Pedagogia</v>
      </c>
      <c r="D770" s="390"/>
      <c r="E770" s="390"/>
      <c r="F770" s="390"/>
      <c r="G770" s="390"/>
      <c r="H770" s="390"/>
      <c r="I770" s="390"/>
      <c r="J770" s="390"/>
      <c r="K770" s="390"/>
      <c r="L770" s="390"/>
      <c r="M770" s="390"/>
      <c r="N770" s="390"/>
      <c r="O770" s="390"/>
      <c r="P770" s="390"/>
      <c r="Q770" s="390"/>
      <c r="R770" s="390"/>
      <c r="S770" s="390"/>
      <c r="T770" s="390"/>
      <c r="U770" s="390"/>
      <c r="V770" s="390"/>
      <c r="W770" s="390"/>
      <c r="X770" s="390"/>
      <c r="Y770" s="390"/>
    </row>
    <row r="771">
      <c r="A771" s="390" t="str">
        <f>IFERROR(__xludf.DUMMYFUNCTION("""COMPUTED_VALUE"""),"Tania Carneiro da Rosa Dias")</f>
        <v>Tania Carneiro da Rosa Dias</v>
      </c>
      <c r="B771" s="390" t="str">
        <f>IFERROR(__xludf.DUMMYFUNCTION("""COMPUTED_VALUE"""),"2° Licenciatura")</f>
        <v>2° Licenciatura</v>
      </c>
      <c r="C771" s="390" t="str">
        <f>IFERROR(__xludf.DUMMYFUNCTION("""COMPUTED_VALUE"""),"Pedagogia")</f>
        <v>Pedagogia</v>
      </c>
      <c r="D771" s="390"/>
      <c r="E771" s="390"/>
      <c r="F771" s="390"/>
      <c r="G771" s="390"/>
      <c r="H771" s="390"/>
      <c r="I771" s="390"/>
      <c r="J771" s="390"/>
      <c r="K771" s="390"/>
      <c r="L771" s="390"/>
      <c r="M771" s="390"/>
      <c r="N771" s="390"/>
      <c r="O771" s="390"/>
      <c r="P771" s="390"/>
      <c r="Q771" s="390"/>
      <c r="R771" s="390"/>
      <c r="S771" s="390"/>
      <c r="T771" s="390"/>
      <c r="U771" s="390"/>
      <c r="V771" s="390"/>
      <c r="W771" s="390"/>
      <c r="X771" s="390"/>
      <c r="Y771" s="390"/>
    </row>
    <row r="772">
      <c r="A772" s="390" t="str">
        <f>IFERROR(__xludf.DUMMYFUNCTION("""COMPUTED_VALUE"""),"Graziele Vecchi Bernini")</f>
        <v>Graziele Vecchi Bernini</v>
      </c>
      <c r="B772" s="390" t="str">
        <f>IFERROR(__xludf.DUMMYFUNCTION("""COMPUTED_VALUE"""),"2° Licenciatura")</f>
        <v>2° Licenciatura</v>
      </c>
      <c r="C772" s="390" t="str">
        <f>IFERROR(__xludf.DUMMYFUNCTION("""COMPUTED_VALUE"""),"Pedagogia")</f>
        <v>Pedagogia</v>
      </c>
      <c r="D772" s="390"/>
      <c r="E772" s="390"/>
      <c r="F772" s="390"/>
      <c r="G772" s="390"/>
      <c r="H772" s="390"/>
      <c r="I772" s="390"/>
      <c r="J772" s="390"/>
      <c r="K772" s="390"/>
      <c r="L772" s="390"/>
      <c r="M772" s="390"/>
      <c r="N772" s="390"/>
      <c r="O772" s="390"/>
      <c r="P772" s="390"/>
      <c r="Q772" s="390"/>
      <c r="R772" s="390"/>
      <c r="S772" s="390"/>
      <c r="T772" s="390"/>
      <c r="U772" s="390"/>
      <c r="V772" s="390"/>
      <c r="W772" s="390"/>
      <c r="X772" s="390"/>
      <c r="Y772" s="390"/>
    </row>
    <row r="773">
      <c r="A773" s="390" t="str">
        <f>IFERROR(__xludf.DUMMYFUNCTION("""COMPUTED_VALUE"""),"Cristiane Souza da Silva")</f>
        <v>Cristiane Souza da Silva</v>
      </c>
      <c r="B773" s="390" t="str">
        <f>IFERROR(__xludf.DUMMYFUNCTION("""COMPUTED_VALUE"""),"2° Licenciatura")</f>
        <v>2° Licenciatura</v>
      </c>
      <c r="C773" s="390" t="str">
        <f>IFERROR(__xludf.DUMMYFUNCTION("""COMPUTED_VALUE"""),"Pedagogia")</f>
        <v>Pedagogia</v>
      </c>
      <c r="D773" s="390"/>
      <c r="E773" s="390"/>
      <c r="F773" s="390"/>
      <c r="G773" s="390"/>
      <c r="H773" s="390"/>
      <c r="I773" s="390"/>
      <c r="J773" s="390"/>
      <c r="K773" s="390"/>
      <c r="L773" s="390"/>
      <c r="M773" s="390"/>
      <c r="N773" s="390"/>
      <c r="O773" s="390"/>
      <c r="P773" s="390"/>
      <c r="Q773" s="390"/>
      <c r="R773" s="390"/>
      <c r="S773" s="390"/>
      <c r="T773" s="390"/>
      <c r="U773" s="390"/>
      <c r="V773" s="390"/>
      <c r="W773" s="390"/>
      <c r="X773" s="390"/>
      <c r="Y773" s="390"/>
    </row>
    <row r="774">
      <c r="A774" s="390" t="str">
        <f>IFERROR(__xludf.DUMMYFUNCTION("""COMPUTED_VALUE"""),"Gabriela Ortiz da Rosa Barboza Jacoby")</f>
        <v>Gabriela Ortiz da Rosa Barboza Jacoby</v>
      </c>
      <c r="B774" s="390" t="str">
        <f>IFERROR(__xludf.DUMMYFUNCTION("""COMPUTED_VALUE"""),"Form. Pedagógica")</f>
        <v>Form. Pedagógica</v>
      </c>
      <c r="C774" s="390" t="str">
        <f>IFERROR(__xludf.DUMMYFUNCTION("""COMPUTED_VALUE"""),"Pedagogia")</f>
        <v>Pedagogia</v>
      </c>
      <c r="D774" s="390"/>
      <c r="E774" s="390"/>
      <c r="F774" s="390"/>
      <c r="G774" s="390"/>
      <c r="H774" s="390"/>
      <c r="I774" s="390"/>
      <c r="J774" s="390"/>
      <c r="K774" s="390"/>
      <c r="L774" s="390"/>
      <c r="M774" s="390"/>
      <c r="N774" s="390"/>
      <c r="O774" s="390"/>
      <c r="P774" s="390"/>
      <c r="Q774" s="390"/>
      <c r="R774" s="390"/>
      <c r="S774" s="390"/>
      <c r="T774" s="390"/>
      <c r="U774" s="390"/>
      <c r="V774" s="390"/>
      <c r="W774" s="390"/>
      <c r="X774" s="390"/>
      <c r="Y774" s="390"/>
    </row>
    <row r="775">
      <c r="A775" s="390" t="str">
        <f>IFERROR(__xludf.DUMMYFUNCTION("""COMPUTED_VALUE"""),"Edna Fernandes de Queiroz")</f>
        <v>Edna Fernandes de Queiroz</v>
      </c>
      <c r="B775" s="390" t="str">
        <f>IFERROR(__xludf.DUMMYFUNCTION("""COMPUTED_VALUE"""),"2° Licenciatura")</f>
        <v>2° Licenciatura</v>
      </c>
      <c r="C775" s="390" t="str">
        <f>IFERROR(__xludf.DUMMYFUNCTION("""COMPUTED_VALUE"""),"Pedagogia")</f>
        <v>Pedagogia</v>
      </c>
      <c r="D775" s="390"/>
      <c r="E775" s="390"/>
      <c r="F775" s="390"/>
      <c r="G775" s="390"/>
      <c r="H775" s="390"/>
      <c r="I775" s="390"/>
      <c r="J775" s="390"/>
      <c r="K775" s="390"/>
      <c r="L775" s="390"/>
      <c r="M775" s="390"/>
      <c r="N775" s="390"/>
      <c r="O775" s="390"/>
      <c r="P775" s="390"/>
      <c r="Q775" s="390"/>
      <c r="R775" s="390"/>
      <c r="S775" s="390"/>
      <c r="T775" s="390"/>
      <c r="U775" s="390"/>
      <c r="V775" s="390"/>
      <c r="W775" s="390"/>
      <c r="X775" s="390"/>
      <c r="Y775" s="390"/>
    </row>
    <row r="776">
      <c r="A776" s="390" t="str">
        <f>IFERROR(__xludf.DUMMYFUNCTION("""COMPUTED_VALUE"""),"Edivaldo Nogueira de Souza")</f>
        <v>Edivaldo Nogueira de Souza</v>
      </c>
      <c r="B776" s="390" t="str">
        <f>IFERROR(__xludf.DUMMYFUNCTION("""COMPUTED_VALUE"""),"Form. Pedagógica")</f>
        <v>Form. Pedagógica</v>
      </c>
      <c r="C776" s="390" t="str">
        <f>IFERROR(__xludf.DUMMYFUNCTION("""COMPUTED_VALUE"""),"Pedagogia")</f>
        <v>Pedagogia</v>
      </c>
      <c r="D776" s="390"/>
      <c r="E776" s="390"/>
      <c r="F776" s="390"/>
      <c r="G776" s="390"/>
      <c r="H776" s="390"/>
      <c r="I776" s="390"/>
      <c r="J776" s="390"/>
      <c r="K776" s="390"/>
      <c r="L776" s="390"/>
      <c r="M776" s="390"/>
      <c r="N776" s="390"/>
      <c r="O776" s="390"/>
      <c r="P776" s="390"/>
      <c r="Q776" s="390"/>
      <c r="R776" s="390"/>
      <c r="S776" s="390"/>
      <c r="T776" s="390"/>
      <c r="U776" s="390"/>
      <c r="V776" s="390"/>
      <c r="W776" s="390"/>
      <c r="X776" s="390"/>
      <c r="Y776" s="390"/>
    </row>
    <row r="777">
      <c r="A777" s="390" t="str">
        <f>IFERROR(__xludf.DUMMYFUNCTION("""COMPUTED_VALUE"""),"Danielly Sousa Campelo")</f>
        <v>Danielly Sousa Campelo</v>
      </c>
      <c r="B777" s="390" t="str">
        <f>IFERROR(__xludf.DUMMYFUNCTION("""COMPUTED_VALUE"""),"2° Licenciatura")</f>
        <v>2° Licenciatura</v>
      </c>
      <c r="C777" s="390" t="str">
        <f>IFERROR(__xludf.DUMMYFUNCTION("""COMPUTED_VALUE"""),"Pedagogia")</f>
        <v>Pedagogia</v>
      </c>
      <c r="D777" s="390"/>
      <c r="E777" s="390"/>
      <c r="F777" s="390"/>
      <c r="G777" s="390"/>
      <c r="H777" s="390"/>
      <c r="I777" s="390"/>
      <c r="J777" s="390"/>
      <c r="K777" s="390"/>
      <c r="L777" s="390"/>
      <c r="M777" s="390"/>
      <c r="N777" s="390"/>
      <c r="O777" s="390"/>
      <c r="P777" s="390"/>
      <c r="Q777" s="390"/>
      <c r="R777" s="390"/>
      <c r="S777" s="390"/>
      <c r="T777" s="390"/>
      <c r="U777" s="390"/>
      <c r="V777" s="390"/>
      <c r="W777" s="390"/>
      <c r="X777" s="390"/>
      <c r="Y777" s="390"/>
    </row>
    <row r="778">
      <c r="A778" s="390" t="str">
        <f>IFERROR(__xludf.DUMMYFUNCTION("""COMPUTED_VALUE"""),"Claudete Aparecida Pereira")</f>
        <v>Claudete Aparecida Pereira</v>
      </c>
      <c r="B778" s="390" t="str">
        <f>IFERROR(__xludf.DUMMYFUNCTION("""COMPUTED_VALUE"""),"2° Licenciatura")</f>
        <v>2° Licenciatura</v>
      </c>
      <c r="C778" s="390" t="str">
        <f>IFERROR(__xludf.DUMMYFUNCTION("""COMPUTED_VALUE"""),"Pedagogia")</f>
        <v>Pedagogia</v>
      </c>
      <c r="D778" s="390"/>
      <c r="E778" s="390"/>
      <c r="F778" s="390"/>
      <c r="G778" s="390"/>
      <c r="H778" s="390"/>
      <c r="I778" s="390"/>
      <c r="J778" s="390"/>
      <c r="K778" s="390"/>
      <c r="L778" s="390"/>
      <c r="M778" s="390"/>
      <c r="N778" s="390"/>
      <c r="O778" s="390"/>
      <c r="P778" s="390"/>
      <c r="Q778" s="390"/>
      <c r="R778" s="390"/>
      <c r="S778" s="390"/>
      <c r="T778" s="390"/>
      <c r="U778" s="390"/>
      <c r="V778" s="390"/>
      <c r="W778" s="390"/>
      <c r="X778" s="390"/>
      <c r="Y778" s="390"/>
    </row>
    <row r="779">
      <c r="A779" s="390" t="str">
        <f>IFERROR(__xludf.DUMMYFUNCTION("""COMPUTED_VALUE"""),"Vanessa de Mauro Pitta")</f>
        <v>Vanessa de Mauro Pitta</v>
      </c>
      <c r="B779" s="390" t="str">
        <f>IFERROR(__xludf.DUMMYFUNCTION("""COMPUTED_VALUE"""),"Form. Pedagógica")</f>
        <v>Form. Pedagógica</v>
      </c>
      <c r="C779" s="390" t="str">
        <f>IFERROR(__xludf.DUMMYFUNCTION("""COMPUTED_VALUE"""),"Pedagogia")</f>
        <v>Pedagogia</v>
      </c>
      <c r="D779" s="390"/>
      <c r="E779" s="390"/>
      <c r="F779" s="390"/>
      <c r="G779" s="390"/>
      <c r="H779" s="390"/>
      <c r="I779" s="390"/>
      <c r="J779" s="390"/>
      <c r="K779" s="390"/>
      <c r="L779" s="390"/>
      <c r="M779" s="390"/>
      <c r="N779" s="390"/>
      <c r="O779" s="390"/>
      <c r="P779" s="390"/>
      <c r="Q779" s="390"/>
      <c r="R779" s="390"/>
      <c r="S779" s="390"/>
      <c r="T779" s="390"/>
      <c r="U779" s="390"/>
      <c r="V779" s="390"/>
      <c r="W779" s="390"/>
      <c r="X779" s="390"/>
      <c r="Y779" s="390"/>
    </row>
    <row r="780">
      <c r="A780" s="390" t="str">
        <f>IFERROR(__xludf.DUMMYFUNCTION("""COMPUTED_VALUE"""),"Alexandre Lazarotto Lago")</f>
        <v>Alexandre Lazarotto Lago</v>
      </c>
      <c r="B780" s="390" t="str">
        <f>IFERROR(__xludf.DUMMYFUNCTION("""COMPUTED_VALUE"""),"2° Licenciatura")</f>
        <v>2° Licenciatura</v>
      </c>
      <c r="C780" s="390" t="str">
        <f>IFERROR(__xludf.DUMMYFUNCTION("""COMPUTED_VALUE"""),"Pedagogia")</f>
        <v>Pedagogia</v>
      </c>
      <c r="D780" s="390"/>
      <c r="E780" s="390"/>
      <c r="F780" s="390"/>
      <c r="G780" s="390"/>
      <c r="H780" s="390"/>
      <c r="I780" s="390"/>
      <c r="J780" s="390"/>
      <c r="K780" s="390"/>
      <c r="L780" s="390"/>
      <c r="M780" s="390"/>
      <c r="N780" s="390"/>
      <c r="O780" s="390"/>
      <c r="P780" s="390"/>
      <c r="Q780" s="390"/>
      <c r="R780" s="390"/>
      <c r="S780" s="390"/>
      <c r="T780" s="390"/>
      <c r="U780" s="390"/>
      <c r="V780" s="390"/>
      <c r="W780" s="390"/>
      <c r="X780" s="390"/>
      <c r="Y780" s="390"/>
    </row>
    <row r="781">
      <c r="A781" s="390" t="str">
        <f>IFERROR(__xludf.DUMMYFUNCTION("""COMPUTED_VALUE"""),"Viviane Rosa Pires")</f>
        <v>Viviane Rosa Pires</v>
      </c>
      <c r="B781" s="390" t="str">
        <f>IFERROR(__xludf.DUMMYFUNCTION("""COMPUTED_VALUE"""),"2° Licenciatura")</f>
        <v>2° Licenciatura</v>
      </c>
      <c r="C781" s="390" t="str">
        <f>IFERROR(__xludf.DUMMYFUNCTION("""COMPUTED_VALUE"""),"Pedagogia")</f>
        <v>Pedagogia</v>
      </c>
      <c r="D781" s="390"/>
      <c r="E781" s="390"/>
      <c r="F781" s="390"/>
      <c r="G781" s="390"/>
      <c r="H781" s="390"/>
      <c r="I781" s="390"/>
      <c r="J781" s="390"/>
      <c r="K781" s="390"/>
      <c r="L781" s="390"/>
      <c r="M781" s="390"/>
      <c r="N781" s="390"/>
      <c r="O781" s="390"/>
      <c r="P781" s="390"/>
      <c r="Q781" s="390"/>
      <c r="R781" s="390"/>
      <c r="S781" s="390"/>
      <c r="T781" s="390"/>
      <c r="U781" s="390"/>
      <c r="V781" s="390"/>
      <c r="W781" s="390"/>
      <c r="X781" s="390"/>
      <c r="Y781" s="390"/>
    </row>
    <row r="782">
      <c r="A782" s="390" t="str">
        <f>IFERROR(__xludf.DUMMYFUNCTION("""COMPUTED_VALUE"""),"Wilson Alexandre dos Santos ")</f>
        <v>Wilson Alexandre dos Santos </v>
      </c>
      <c r="B782" s="390" t="str">
        <f>IFERROR(__xludf.DUMMYFUNCTION("""COMPUTED_VALUE"""),"2° Licenciatura")</f>
        <v>2° Licenciatura</v>
      </c>
      <c r="C782" s="390" t="str">
        <f>IFERROR(__xludf.DUMMYFUNCTION("""COMPUTED_VALUE"""),"Pedagogia")</f>
        <v>Pedagogia</v>
      </c>
      <c r="D782" s="390"/>
      <c r="E782" s="390"/>
      <c r="F782" s="390"/>
      <c r="G782" s="390"/>
      <c r="H782" s="390"/>
      <c r="I782" s="390"/>
      <c r="J782" s="390"/>
      <c r="K782" s="390"/>
      <c r="L782" s="390"/>
      <c r="M782" s="390"/>
      <c r="N782" s="390"/>
      <c r="O782" s="390"/>
      <c r="P782" s="390"/>
      <c r="Q782" s="390"/>
      <c r="R782" s="390"/>
      <c r="S782" s="390"/>
      <c r="T782" s="390"/>
      <c r="U782" s="390"/>
      <c r="V782" s="390"/>
      <c r="W782" s="390"/>
      <c r="X782" s="390"/>
      <c r="Y782" s="390"/>
    </row>
    <row r="783">
      <c r="A783" s="390" t="str">
        <f>IFERROR(__xludf.DUMMYFUNCTION("""COMPUTED_VALUE"""),"Carla Emiliane da Costa Magela")</f>
        <v>Carla Emiliane da Costa Magela</v>
      </c>
      <c r="B783" s="390" t="str">
        <f>IFERROR(__xludf.DUMMYFUNCTION("""COMPUTED_VALUE"""),"Form. Pedagógica")</f>
        <v>Form. Pedagógica</v>
      </c>
      <c r="C783" s="390" t="str">
        <f>IFERROR(__xludf.DUMMYFUNCTION("""COMPUTED_VALUE"""),"Pedagogia")</f>
        <v>Pedagogia</v>
      </c>
      <c r="D783" s="390"/>
      <c r="E783" s="390"/>
      <c r="F783" s="390"/>
      <c r="G783" s="390"/>
      <c r="H783" s="390"/>
      <c r="I783" s="390"/>
      <c r="J783" s="390"/>
      <c r="K783" s="390"/>
      <c r="L783" s="390"/>
      <c r="M783" s="390"/>
      <c r="N783" s="390"/>
      <c r="O783" s="390"/>
      <c r="P783" s="390"/>
      <c r="Q783" s="390"/>
      <c r="R783" s="390"/>
      <c r="S783" s="390"/>
      <c r="T783" s="390"/>
      <c r="U783" s="390"/>
      <c r="V783" s="390"/>
      <c r="W783" s="390"/>
      <c r="X783" s="390"/>
      <c r="Y783" s="390"/>
    </row>
    <row r="784">
      <c r="A784" s="390" t="str">
        <f>IFERROR(__xludf.DUMMYFUNCTION("""COMPUTED_VALUE"""),"Natália Fernandes Birches Lopes")</f>
        <v>Natália Fernandes Birches Lopes</v>
      </c>
      <c r="B784" s="390" t="str">
        <f>IFERROR(__xludf.DUMMYFUNCTION("""COMPUTED_VALUE"""),"Form. Pedagógica")</f>
        <v>Form. Pedagógica</v>
      </c>
      <c r="C784" s="390" t="str">
        <f>IFERROR(__xludf.DUMMYFUNCTION("""COMPUTED_VALUE"""),"Pedagogia")</f>
        <v>Pedagogia</v>
      </c>
      <c r="D784" s="390"/>
      <c r="E784" s="390"/>
      <c r="F784" s="390"/>
      <c r="G784" s="390"/>
      <c r="H784" s="390"/>
      <c r="I784" s="390"/>
      <c r="J784" s="390"/>
      <c r="K784" s="390"/>
      <c r="L784" s="390"/>
      <c r="M784" s="390"/>
      <c r="N784" s="390"/>
      <c r="O784" s="390"/>
      <c r="P784" s="390"/>
      <c r="Q784" s="390"/>
      <c r="R784" s="390"/>
      <c r="S784" s="390"/>
      <c r="T784" s="390"/>
      <c r="U784" s="390"/>
      <c r="V784" s="390"/>
      <c r="W784" s="390"/>
      <c r="X784" s="390"/>
      <c r="Y784" s="390"/>
    </row>
    <row r="785">
      <c r="A785" s="390" t="str">
        <f>IFERROR(__xludf.DUMMYFUNCTION("""COMPUTED_VALUE"""),"Miguel Portilho Lobo")</f>
        <v>Miguel Portilho Lobo</v>
      </c>
      <c r="B785" s="390" t="str">
        <f>IFERROR(__xludf.DUMMYFUNCTION("""COMPUTED_VALUE"""),"2° Licenciatura")</f>
        <v>2° Licenciatura</v>
      </c>
      <c r="C785" s="390" t="str">
        <f>IFERROR(__xludf.DUMMYFUNCTION("""COMPUTED_VALUE"""),"Pedagogia")</f>
        <v>Pedagogia</v>
      </c>
      <c r="D785" s="390"/>
      <c r="E785" s="390"/>
      <c r="F785" s="390"/>
      <c r="G785" s="390"/>
      <c r="H785" s="390"/>
      <c r="I785" s="390"/>
      <c r="J785" s="390"/>
      <c r="K785" s="390"/>
      <c r="L785" s="390"/>
      <c r="M785" s="390"/>
      <c r="N785" s="390"/>
      <c r="O785" s="390"/>
      <c r="P785" s="390"/>
      <c r="Q785" s="390"/>
      <c r="R785" s="390"/>
      <c r="S785" s="390"/>
      <c r="T785" s="390"/>
      <c r="U785" s="390"/>
      <c r="V785" s="390"/>
      <c r="W785" s="390"/>
      <c r="X785" s="390"/>
      <c r="Y785" s="390"/>
    </row>
    <row r="786">
      <c r="A786" s="390" t="str">
        <f>IFERROR(__xludf.DUMMYFUNCTION("""COMPUTED_VALUE"""),"Márcia Cristina Borges de Sousa")</f>
        <v>Márcia Cristina Borges de Sousa</v>
      </c>
      <c r="B786" s="390" t="str">
        <f>IFERROR(__xludf.DUMMYFUNCTION("""COMPUTED_VALUE"""),"2° Licenciatura")</f>
        <v>2° Licenciatura</v>
      </c>
      <c r="C786" s="390" t="str">
        <f>IFERROR(__xludf.DUMMYFUNCTION("""COMPUTED_VALUE"""),"Pedagogia")</f>
        <v>Pedagogia</v>
      </c>
      <c r="D786" s="390"/>
      <c r="E786" s="390"/>
      <c r="F786" s="390"/>
      <c r="G786" s="390"/>
      <c r="H786" s="390"/>
      <c r="I786" s="390"/>
      <c r="J786" s="390"/>
      <c r="K786" s="390"/>
      <c r="L786" s="390"/>
      <c r="M786" s="390"/>
      <c r="N786" s="390"/>
      <c r="O786" s="390"/>
      <c r="P786" s="390"/>
      <c r="Q786" s="390"/>
      <c r="R786" s="390"/>
      <c r="S786" s="390"/>
      <c r="T786" s="390"/>
      <c r="U786" s="390"/>
      <c r="V786" s="390"/>
      <c r="W786" s="390"/>
      <c r="X786" s="390"/>
      <c r="Y786" s="390"/>
    </row>
    <row r="787">
      <c r="A787" s="390" t="str">
        <f>IFERROR(__xludf.DUMMYFUNCTION("""COMPUTED_VALUE"""),"Cristiane de Lazari Poli")</f>
        <v>Cristiane de Lazari Poli</v>
      </c>
      <c r="B787" s="390" t="str">
        <f>IFERROR(__xludf.DUMMYFUNCTION("""COMPUTED_VALUE"""),"Form. Pedagógica")</f>
        <v>Form. Pedagógica</v>
      </c>
      <c r="C787" s="390" t="str">
        <f>IFERROR(__xludf.DUMMYFUNCTION("""COMPUTED_VALUE"""),"Pedagogia")</f>
        <v>Pedagogia</v>
      </c>
      <c r="D787" s="390"/>
      <c r="E787" s="390"/>
      <c r="F787" s="390"/>
      <c r="G787" s="390"/>
      <c r="H787" s="390"/>
      <c r="I787" s="390"/>
      <c r="J787" s="390"/>
      <c r="K787" s="390"/>
      <c r="L787" s="390"/>
      <c r="M787" s="390"/>
      <c r="N787" s="390"/>
      <c r="O787" s="390"/>
      <c r="P787" s="390"/>
      <c r="Q787" s="390"/>
      <c r="R787" s="390"/>
      <c r="S787" s="390"/>
      <c r="T787" s="390"/>
      <c r="U787" s="390"/>
      <c r="V787" s="390"/>
      <c r="W787" s="390"/>
      <c r="X787" s="390"/>
      <c r="Y787" s="390"/>
    </row>
    <row r="788">
      <c r="A788" s="390" t="str">
        <f>IFERROR(__xludf.DUMMYFUNCTION("""COMPUTED_VALUE"""),"Marcelo Leandro Pereira Lopes")</f>
        <v>Marcelo Leandro Pereira Lopes</v>
      </c>
      <c r="B788" s="390" t="str">
        <f>IFERROR(__xludf.DUMMYFUNCTION("""COMPUTED_VALUE"""),"2° Licenciatura")</f>
        <v>2° Licenciatura</v>
      </c>
      <c r="C788" s="390" t="str">
        <f>IFERROR(__xludf.DUMMYFUNCTION("""COMPUTED_VALUE"""),"Pedagogia")</f>
        <v>Pedagogia</v>
      </c>
      <c r="D788" s="390"/>
      <c r="E788" s="390"/>
      <c r="F788" s="390"/>
      <c r="G788" s="390"/>
      <c r="H788" s="390"/>
      <c r="I788" s="390"/>
      <c r="J788" s="390"/>
      <c r="K788" s="390"/>
      <c r="L788" s="390"/>
      <c r="M788" s="390"/>
      <c r="N788" s="390"/>
      <c r="O788" s="390"/>
      <c r="P788" s="390"/>
      <c r="Q788" s="390"/>
      <c r="R788" s="390"/>
      <c r="S788" s="390"/>
      <c r="T788" s="390"/>
      <c r="U788" s="390"/>
      <c r="V788" s="390"/>
      <c r="W788" s="390"/>
      <c r="X788" s="390"/>
      <c r="Y788" s="390"/>
    </row>
    <row r="789">
      <c r="A789" s="390" t="str">
        <f>IFERROR(__xludf.DUMMYFUNCTION("""COMPUTED_VALUE"""),"Alessandra Jussara Santos da Silva Oliveira")</f>
        <v>Alessandra Jussara Santos da Silva Oliveira</v>
      </c>
      <c r="B789" s="390" t="str">
        <f>IFERROR(__xludf.DUMMYFUNCTION("""COMPUTED_VALUE"""),"Form. Pedagógica")</f>
        <v>Form. Pedagógica</v>
      </c>
      <c r="C789" s="390" t="str">
        <f>IFERROR(__xludf.DUMMYFUNCTION("""COMPUTED_VALUE"""),"Pedagogia")</f>
        <v>Pedagogia</v>
      </c>
      <c r="D789" s="390"/>
      <c r="E789" s="390"/>
      <c r="F789" s="390"/>
      <c r="G789" s="390"/>
      <c r="H789" s="390"/>
      <c r="I789" s="390"/>
      <c r="J789" s="390"/>
      <c r="K789" s="390"/>
      <c r="L789" s="390"/>
      <c r="M789" s="390"/>
      <c r="N789" s="390"/>
      <c r="O789" s="390"/>
      <c r="P789" s="390"/>
      <c r="Q789" s="390"/>
      <c r="R789" s="390"/>
      <c r="S789" s="390"/>
      <c r="T789" s="390"/>
      <c r="U789" s="390"/>
      <c r="V789" s="390"/>
      <c r="W789" s="390"/>
      <c r="X789" s="390"/>
      <c r="Y789" s="390"/>
    </row>
    <row r="790">
      <c r="A790" s="390" t="str">
        <f>IFERROR(__xludf.DUMMYFUNCTION("""COMPUTED_VALUE"""),"Kelly Cristina Ferreira dos Santos")</f>
        <v>Kelly Cristina Ferreira dos Santos</v>
      </c>
      <c r="B790" s="390" t="str">
        <f>IFERROR(__xludf.DUMMYFUNCTION("""COMPUTED_VALUE"""),"Form. Pedagógica")</f>
        <v>Form. Pedagógica</v>
      </c>
      <c r="C790" s="390" t="str">
        <f>IFERROR(__xludf.DUMMYFUNCTION("""COMPUTED_VALUE"""),"Pedagogia")</f>
        <v>Pedagogia</v>
      </c>
      <c r="D790" s="390"/>
      <c r="E790" s="390"/>
      <c r="F790" s="390"/>
      <c r="G790" s="390"/>
      <c r="H790" s="390"/>
      <c r="I790" s="390"/>
      <c r="J790" s="390"/>
      <c r="K790" s="390"/>
      <c r="L790" s="390"/>
      <c r="M790" s="390"/>
      <c r="N790" s="390"/>
      <c r="O790" s="390"/>
      <c r="P790" s="390"/>
      <c r="Q790" s="390"/>
      <c r="R790" s="390"/>
      <c r="S790" s="390"/>
      <c r="T790" s="390"/>
      <c r="U790" s="390"/>
      <c r="V790" s="390"/>
      <c r="W790" s="390"/>
      <c r="X790" s="390"/>
      <c r="Y790" s="390"/>
    </row>
    <row r="791">
      <c r="A791" s="390" t="str">
        <f>IFERROR(__xludf.DUMMYFUNCTION("""COMPUTED_VALUE"""),"Kelly Cristina Rodrigues da Silva")</f>
        <v>Kelly Cristina Rodrigues da Silva</v>
      </c>
      <c r="B791" s="390" t="str">
        <f>IFERROR(__xludf.DUMMYFUNCTION("""COMPUTED_VALUE"""),"2° Licenciatura")</f>
        <v>2° Licenciatura</v>
      </c>
      <c r="C791" s="390" t="str">
        <f>IFERROR(__xludf.DUMMYFUNCTION("""COMPUTED_VALUE"""),"Pedagogia")</f>
        <v>Pedagogia</v>
      </c>
      <c r="D791" s="390"/>
      <c r="E791" s="390"/>
      <c r="F791" s="390"/>
      <c r="G791" s="390"/>
      <c r="H791" s="390"/>
      <c r="I791" s="390"/>
      <c r="J791" s="390"/>
      <c r="K791" s="390"/>
      <c r="L791" s="390"/>
      <c r="M791" s="390"/>
      <c r="N791" s="390"/>
      <c r="O791" s="390"/>
      <c r="P791" s="390"/>
      <c r="Q791" s="390"/>
      <c r="R791" s="390"/>
      <c r="S791" s="390"/>
      <c r="T791" s="390"/>
      <c r="U791" s="390"/>
      <c r="V791" s="390"/>
      <c r="W791" s="390"/>
      <c r="X791" s="390"/>
      <c r="Y791" s="390"/>
    </row>
    <row r="792">
      <c r="A792" s="390" t="str">
        <f>IFERROR(__xludf.DUMMYFUNCTION("""COMPUTED_VALUE"""),"Isaquiel dos Santos de Sousa Pereira ")</f>
        <v>Isaquiel dos Santos de Sousa Pereira </v>
      </c>
      <c r="B792" s="390" t="str">
        <f>IFERROR(__xludf.DUMMYFUNCTION("""COMPUTED_VALUE"""),"2° Licenciatura")</f>
        <v>2° Licenciatura</v>
      </c>
      <c r="C792" s="390" t="str">
        <f>IFERROR(__xludf.DUMMYFUNCTION("""COMPUTED_VALUE"""),"Pedagogia")</f>
        <v>Pedagogia</v>
      </c>
      <c r="D792" s="390"/>
      <c r="E792" s="390"/>
      <c r="F792" s="390"/>
      <c r="G792" s="390"/>
      <c r="H792" s="390"/>
      <c r="I792" s="390"/>
      <c r="J792" s="390"/>
      <c r="K792" s="390"/>
      <c r="L792" s="390"/>
      <c r="M792" s="390"/>
      <c r="N792" s="390"/>
      <c r="O792" s="390"/>
      <c r="P792" s="390"/>
      <c r="Q792" s="390"/>
      <c r="R792" s="390"/>
      <c r="S792" s="390"/>
      <c r="T792" s="390"/>
      <c r="U792" s="390"/>
      <c r="V792" s="390"/>
      <c r="W792" s="390"/>
      <c r="X792" s="390"/>
      <c r="Y792" s="390"/>
    </row>
    <row r="793">
      <c r="A793" s="390" t="str">
        <f>IFERROR(__xludf.DUMMYFUNCTION("""COMPUTED_VALUE"""),"Juliana Luzia Dias ")</f>
        <v>Juliana Luzia Dias </v>
      </c>
      <c r="B793" s="390" t="str">
        <f>IFERROR(__xludf.DUMMYFUNCTION("""COMPUTED_VALUE"""),"2° Licenciatura")</f>
        <v>2° Licenciatura</v>
      </c>
      <c r="C793" s="390" t="str">
        <f>IFERROR(__xludf.DUMMYFUNCTION("""COMPUTED_VALUE"""),"Pedagogia")</f>
        <v>Pedagogia</v>
      </c>
      <c r="D793" s="390"/>
      <c r="E793" s="390"/>
      <c r="F793" s="390"/>
      <c r="G793" s="390"/>
      <c r="H793" s="390"/>
      <c r="I793" s="390"/>
      <c r="J793" s="390"/>
      <c r="K793" s="390"/>
      <c r="L793" s="390"/>
      <c r="M793" s="390"/>
      <c r="N793" s="390"/>
      <c r="O793" s="390"/>
      <c r="P793" s="390"/>
      <c r="Q793" s="390"/>
      <c r="R793" s="390"/>
      <c r="S793" s="390"/>
      <c r="T793" s="390"/>
      <c r="U793" s="390"/>
      <c r="V793" s="390"/>
      <c r="W793" s="390"/>
      <c r="X793" s="390"/>
      <c r="Y793" s="390"/>
    </row>
    <row r="794">
      <c r="A794" s="390" t="str">
        <f>IFERROR(__xludf.DUMMYFUNCTION("""COMPUTED_VALUE"""),"Katia Almeida da Silva (ALUNO NÃO ESTÁ NA PLANILHA)")</f>
        <v>Katia Almeida da Silva (ALUNO NÃO ESTÁ NA PLANILHA)</v>
      </c>
      <c r="B794" s="390" t="str">
        <f>IFERROR(__xludf.DUMMYFUNCTION("""COMPUTED_VALUE"""),"Form. Pedagógica")</f>
        <v>Form. Pedagógica</v>
      </c>
      <c r="C794" s="390" t="str">
        <f>IFERROR(__xludf.DUMMYFUNCTION("""COMPUTED_VALUE"""),"Pedagogia")</f>
        <v>Pedagogia</v>
      </c>
      <c r="D794" s="390"/>
      <c r="E794" s="390"/>
      <c r="F794" s="390"/>
      <c r="G794" s="390"/>
      <c r="H794" s="390"/>
      <c r="I794" s="390"/>
      <c r="J794" s="390"/>
      <c r="K794" s="390"/>
      <c r="L794" s="390"/>
      <c r="M794" s="390"/>
      <c r="N794" s="390"/>
      <c r="O794" s="390"/>
      <c r="P794" s="390"/>
      <c r="Q794" s="390"/>
      <c r="R794" s="390"/>
      <c r="S794" s="390"/>
      <c r="T794" s="390"/>
      <c r="U794" s="390"/>
      <c r="V794" s="390"/>
      <c r="W794" s="390"/>
      <c r="X794" s="390"/>
      <c r="Y794" s="390"/>
    </row>
    <row r="795">
      <c r="A795" s="390" t="str">
        <f>IFERROR(__xludf.DUMMYFUNCTION("""COMPUTED_VALUE"""),"Katia Regina Generoso Cotta (ALUNO NÃO ESTÁ NA PLANILHA)")</f>
        <v>Katia Regina Generoso Cotta (ALUNO NÃO ESTÁ NA PLANILHA)</v>
      </c>
      <c r="B795" s="390" t="str">
        <f>IFERROR(__xludf.DUMMYFUNCTION("""COMPUTED_VALUE"""),"2° Licenciatura")</f>
        <v>2° Licenciatura</v>
      </c>
      <c r="C795" s="390" t="str">
        <f>IFERROR(__xludf.DUMMYFUNCTION("""COMPUTED_VALUE"""),"Pedagogia")</f>
        <v>Pedagogia</v>
      </c>
      <c r="D795" s="390"/>
      <c r="E795" s="390"/>
      <c r="F795" s="390"/>
      <c r="G795" s="390"/>
      <c r="H795" s="390"/>
      <c r="I795" s="390"/>
      <c r="J795" s="390"/>
      <c r="K795" s="390"/>
      <c r="L795" s="390"/>
      <c r="M795" s="390"/>
      <c r="N795" s="390"/>
      <c r="O795" s="390"/>
      <c r="P795" s="390"/>
      <c r="Q795" s="390"/>
      <c r="R795" s="390"/>
      <c r="S795" s="390"/>
      <c r="T795" s="390"/>
      <c r="U795" s="390"/>
      <c r="V795" s="390"/>
      <c r="W795" s="390"/>
      <c r="X795" s="390"/>
      <c r="Y795" s="390"/>
    </row>
    <row r="796">
      <c r="A796" s="390" t="str">
        <f>IFERROR(__xludf.DUMMYFUNCTION("""COMPUTED_VALUE"""),"Valdenira Amancio dos Santos Albuquerque (ALUNO NÃO ESTÁ NA PLANILHA)")</f>
        <v>Valdenira Amancio dos Santos Albuquerque (ALUNO NÃO ESTÁ NA PLANILHA)</v>
      </c>
      <c r="B796" s="390" t="str">
        <f>IFERROR(__xludf.DUMMYFUNCTION("""COMPUTED_VALUE"""),"Form. Pedagógica")</f>
        <v>Form. Pedagógica</v>
      </c>
      <c r="C796" s="390" t="str">
        <f>IFERROR(__xludf.DUMMYFUNCTION("""COMPUTED_VALUE"""),"Pedagogia")</f>
        <v>Pedagogia</v>
      </c>
      <c r="D796" s="390"/>
      <c r="E796" s="390"/>
      <c r="F796" s="390"/>
      <c r="G796" s="390"/>
      <c r="H796" s="390"/>
      <c r="I796" s="390"/>
      <c r="J796" s="390"/>
      <c r="K796" s="390"/>
      <c r="L796" s="390"/>
      <c r="M796" s="390"/>
      <c r="N796" s="390"/>
      <c r="O796" s="390"/>
      <c r="P796" s="390"/>
      <c r="Q796" s="390"/>
      <c r="R796" s="390"/>
      <c r="S796" s="390"/>
      <c r="T796" s="390"/>
      <c r="U796" s="390"/>
      <c r="V796" s="390"/>
      <c r="W796" s="390"/>
      <c r="X796" s="390"/>
      <c r="Y796" s="390"/>
    </row>
    <row r="797">
      <c r="A797" s="390" t="str">
        <f>IFERROR(__xludf.DUMMYFUNCTION("""COMPUTED_VALUE"""),"Thais Cristina Costa Barbosa (não está na planilha)")</f>
        <v>Thais Cristina Costa Barbosa (não está na planilha)</v>
      </c>
      <c r="B797" s="390" t="str">
        <f>IFERROR(__xludf.DUMMYFUNCTION("""COMPUTED_VALUE"""),"2° Licenciatura")</f>
        <v>2° Licenciatura</v>
      </c>
      <c r="C797" s="390" t="str">
        <f>IFERROR(__xludf.DUMMYFUNCTION("""COMPUTED_VALUE"""),"Pedagogia")</f>
        <v>Pedagogia</v>
      </c>
      <c r="D797" s="390"/>
      <c r="E797" s="390"/>
      <c r="F797" s="390"/>
      <c r="G797" s="390"/>
      <c r="H797" s="390"/>
      <c r="I797" s="390"/>
      <c r="J797" s="390"/>
      <c r="K797" s="390"/>
      <c r="L797" s="390"/>
      <c r="M797" s="390"/>
      <c r="N797" s="390"/>
      <c r="O797" s="390"/>
      <c r="P797" s="390"/>
      <c r="Q797" s="390"/>
      <c r="R797" s="390"/>
      <c r="S797" s="390"/>
      <c r="T797" s="390"/>
      <c r="U797" s="390"/>
      <c r="V797" s="390"/>
      <c r="W797" s="390"/>
      <c r="X797" s="390"/>
      <c r="Y797" s="390"/>
    </row>
    <row r="798">
      <c r="A798" s="390" t="str">
        <f>IFERROR(__xludf.DUMMYFUNCTION("""COMPUTED_VALUE"""),"Andreza Luana de Andrade Santos (ALUNO NÃO ESTÁ NA PLANILHA)")</f>
        <v>Andreza Luana de Andrade Santos (ALUNO NÃO ESTÁ NA PLANILHA)</v>
      </c>
      <c r="B798" s="390" t="str">
        <f>IFERROR(__xludf.DUMMYFUNCTION("""COMPUTED_VALUE"""),"2° Licenciatura")</f>
        <v>2° Licenciatura</v>
      </c>
      <c r="C798" s="390" t="str">
        <f>IFERROR(__xludf.DUMMYFUNCTION("""COMPUTED_VALUE"""),"Pedagogia")</f>
        <v>Pedagogia</v>
      </c>
      <c r="D798" s="390"/>
      <c r="E798" s="390"/>
      <c r="F798" s="390"/>
      <c r="G798" s="390"/>
      <c r="H798" s="390"/>
      <c r="I798" s="390"/>
      <c r="J798" s="390"/>
      <c r="K798" s="390"/>
      <c r="L798" s="390"/>
      <c r="M798" s="390"/>
      <c r="N798" s="390"/>
      <c r="O798" s="390"/>
      <c r="P798" s="390"/>
      <c r="Q798" s="390"/>
      <c r="R798" s="390"/>
      <c r="S798" s="390"/>
      <c r="T798" s="390"/>
      <c r="U798" s="390"/>
      <c r="V798" s="390"/>
      <c r="W798" s="390"/>
      <c r="X798" s="390"/>
      <c r="Y798" s="390"/>
    </row>
    <row r="799">
      <c r="A799" s="390" t="str">
        <f>IFERROR(__xludf.DUMMYFUNCTION("""COMPUTED_VALUE"""),"Anna Karina Silva de Souza")</f>
        <v>Anna Karina Silva de Souza</v>
      </c>
      <c r="B799" s="390" t="str">
        <f>IFERROR(__xludf.DUMMYFUNCTION("""COMPUTED_VALUE"""),"2° Licenciatura")</f>
        <v>2° Licenciatura</v>
      </c>
      <c r="C799" s="390" t="str">
        <f>IFERROR(__xludf.DUMMYFUNCTION("""COMPUTED_VALUE"""),"Pedagogia")</f>
        <v>Pedagogia</v>
      </c>
      <c r="D799" s="390"/>
      <c r="E799" s="390"/>
      <c r="F799" s="390"/>
      <c r="G799" s="390"/>
      <c r="H799" s="390"/>
      <c r="I799" s="390"/>
      <c r="J799" s="390"/>
      <c r="K799" s="390"/>
      <c r="L799" s="390"/>
      <c r="M799" s="390"/>
      <c r="N799" s="390"/>
      <c r="O799" s="390"/>
      <c r="P799" s="390"/>
      <c r="Q799" s="390"/>
      <c r="R799" s="390"/>
      <c r="S799" s="390"/>
      <c r="T799" s="390"/>
      <c r="U799" s="390"/>
      <c r="V799" s="390"/>
      <c r="W799" s="390"/>
      <c r="X799" s="390"/>
      <c r="Y799" s="390"/>
    </row>
    <row r="800">
      <c r="A800" s="390" t="str">
        <f>IFERROR(__xludf.DUMMYFUNCTION("""COMPUTED_VALUE"""),"Débora Mascarenhas Medeiros (ALUNO NÃO ESTÁ NA PLANILHA)")</f>
        <v>Débora Mascarenhas Medeiros (ALUNO NÃO ESTÁ NA PLANILHA)</v>
      </c>
      <c r="B800" s="390" t="str">
        <f>IFERROR(__xludf.DUMMYFUNCTION("""COMPUTED_VALUE"""),"2° Licenciatura")</f>
        <v>2° Licenciatura</v>
      </c>
      <c r="C800" s="390" t="str">
        <f>IFERROR(__xludf.DUMMYFUNCTION("""COMPUTED_VALUE"""),"Pedagogia")</f>
        <v>Pedagogia</v>
      </c>
      <c r="D800" s="390"/>
      <c r="E800" s="390"/>
      <c r="F800" s="390"/>
      <c r="G800" s="390"/>
      <c r="H800" s="390"/>
      <c r="I800" s="390"/>
      <c r="J800" s="390"/>
      <c r="K800" s="390"/>
      <c r="L800" s="390"/>
      <c r="M800" s="390"/>
      <c r="N800" s="390"/>
      <c r="O800" s="390"/>
      <c r="P800" s="390"/>
      <c r="Q800" s="390"/>
      <c r="R800" s="390"/>
      <c r="S800" s="390"/>
      <c r="T800" s="390"/>
      <c r="U800" s="390"/>
      <c r="V800" s="390"/>
      <c r="W800" s="390"/>
      <c r="X800" s="390"/>
      <c r="Y800" s="390"/>
    </row>
    <row r="801">
      <c r="A801" s="390" t="str">
        <f>IFERROR(__xludf.DUMMYFUNCTION("""COMPUTED_VALUE"""),"Aline Ferreira dos Santos (ALUNO NÃO ESTÁ NA PLANILHA)")</f>
        <v>Aline Ferreira dos Santos (ALUNO NÃO ESTÁ NA PLANILHA)</v>
      </c>
      <c r="B801" s="390" t="str">
        <f>IFERROR(__xludf.DUMMYFUNCTION("""COMPUTED_VALUE"""),"2° Licenciatura")</f>
        <v>2° Licenciatura</v>
      </c>
      <c r="C801" s="390" t="str">
        <f>IFERROR(__xludf.DUMMYFUNCTION("""COMPUTED_VALUE"""),"Pedagogia")</f>
        <v>Pedagogia</v>
      </c>
      <c r="D801" s="390"/>
      <c r="E801" s="390"/>
      <c r="F801" s="390"/>
      <c r="G801" s="390"/>
      <c r="H801" s="390"/>
      <c r="I801" s="390"/>
      <c r="J801" s="390"/>
      <c r="K801" s="390"/>
      <c r="L801" s="390"/>
      <c r="M801" s="390"/>
      <c r="N801" s="390"/>
      <c r="O801" s="390"/>
      <c r="P801" s="390"/>
      <c r="Q801" s="390"/>
      <c r="R801" s="390"/>
      <c r="S801" s="390"/>
      <c r="T801" s="390"/>
      <c r="U801" s="390"/>
      <c r="V801" s="390"/>
      <c r="W801" s="390"/>
      <c r="X801" s="390"/>
      <c r="Y801" s="390"/>
    </row>
    <row r="802">
      <c r="A802" s="390" t="str">
        <f>IFERROR(__xludf.DUMMYFUNCTION("""COMPUTED_VALUE"""),"Patrícia Maria da Silva Soares (ALUNO NÃO ESTÁ NA PLANILHA)")</f>
        <v>Patrícia Maria da Silva Soares (ALUNO NÃO ESTÁ NA PLANILHA)</v>
      </c>
      <c r="B802" s="390" t="str">
        <f>IFERROR(__xludf.DUMMYFUNCTION("""COMPUTED_VALUE"""),"2° Licenciatura")</f>
        <v>2° Licenciatura</v>
      </c>
      <c r="C802" s="390" t="str">
        <f>IFERROR(__xludf.DUMMYFUNCTION("""COMPUTED_VALUE"""),"Pedagogia")</f>
        <v>Pedagogia</v>
      </c>
      <c r="D802" s="390"/>
      <c r="E802" s="390"/>
      <c r="F802" s="390"/>
      <c r="G802" s="390"/>
      <c r="H802" s="390"/>
      <c r="I802" s="390"/>
      <c r="J802" s="390"/>
      <c r="K802" s="390"/>
      <c r="L802" s="390"/>
      <c r="M802" s="390"/>
      <c r="N802" s="390"/>
      <c r="O802" s="390"/>
      <c r="P802" s="390"/>
      <c r="Q802" s="390"/>
      <c r="R802" s="390"/>
      <c r="S802" s="390"/>
      <c r="T802" s="390"/>
      <c r="U802" s="390"/>
      <c r="V802" s="390"/>
      <c r="W802" s="390"/>
      <c r="X802" s="390"/>
      <c r="Y802" s="390"/>
    </row>
    <row r="803">
      <c r="A803" s="390" t="str">
        <f>IFERROR(__xludf.DUMMYFUNCTION("""COMPUTED_VALUE"""),"Rita de Cassia Bertoldo Vendite (ALUNO NÃO ESTÁ NA PLANILHA)")</f>
        <v>Rita de Cassia Bertoldo Vendite (ALUNO NÃO ESTÁ NA PLANILHA)</v>
      </c>
      <c r="B803" s="390" t="str">
        <f>IFERROR(__xludf.DUMMYFUNCTION("""COMPUTED_VALUE"""),"2° Licenciatura")</f>
        <v>2° Licenciatura</v>
      </c>
      <c r="C803" s="390" t="str">
        <f>IFERROR(__xludf.DUMMYFUNCTION("""COMPUTED_VALUE"""),"Pedagogia")</f>
        <v>Pedagogia</v>
      </c>
      <c r="D803" s="390"/>
      <c r="E803" s="390"/>
      <c r="F803" s="390"/>
      <c r="G803" s="390"/>
      <c r="H803" s="390"/>
      <c r="I803" s="390"/>
      <c r="J803" s="390"/>
      <c r="K803" s="390"/>
      <c r="L803" s="390"/>
      <c r="M803" s="390"/>
      <c r="N803" s="390"/>
      <c r="O803" s="390"/>
      <c r="P803" s="390"/>
      <c r="Q803" s="390"/>
      <c r="R803" s="390"/>
      <c r="S803" s="390"/>
      <c r="T803" s="390"/>
      <c r="U803" s="390"/>
      <c r="V803" s="390"/>
      <c r="W803" s="390"/>
      <c r="X803" s="390"/>
      <c r="Y803" s="390"/>
    </row>
    <row r="804">
      <c r="A804" s="390" t="str">
        <f>IFERROR(__xludf.DUMMYFUNCTION("""COMPUTED_VALUE"""),"Kelley Adriana Lopes Martins (ALUNO NÃO ESTÁ NA PLANILHA)")</f>
        <v>Kelley Adriana Lopes Martins (ALUNO NÃO ESTÁ NA PLANILHA)</v>
      </c>
      <c r="B804" s="390" t="str">
        <f>IFERROR(__xludf.DUMMYFUNCTION("""COMPUTED_VALUE"""),"Form. Pedagógica")</f>
        <v>Form. Pedagógica</v>
      </c>
      <c r="C804" s="390" t="str">
        <f>IFERROR(__xludf.DUMMYFUNCTION("""COMPUTED_VALUE"""),"Pedagogia")</f>
        <v>Pedagogia</v>
      </c>
      <c r="D804" s="390"/>
      <c r="E804" s="390"/>
      <c r="F804" s="390"/>
      <c r="G804" s="390"/>
      <c r="H804" s="390"/>
      <c r="I804" s="390"/>
      <c r="J804" s="390"/>
      <c r="K804" s="390"/>
      <c r="L804" s="390"/>
      <c r="M804" s="390"/>
      <c r="N804" s="390"/>
      <c r="O804" s="390"/>
      <c r="P804" s="390"/>
      <c r="Q804" s="390"/>
      <c r="R804" s="390"/>
      <c r="S804" s="390"/>
      <c r="T804" s="390"/>
      <c r="U804" s="390"/>
      <c r="V804" s="390"/>
      <c r="W804" s="390"/>
      <c r="X804" s="390"/>
      <c r="Y804" s="390"/>
    </row>
    <row r="805">
      <c r="A805" s="390" t="str">
        <f>IFERROR(__xludf.DUMMYFUNCTION("""COMPUTED_VALUE"""),"Marco Túlio de Abreu (ALUNO NÃO ENCONTRADO NA PLANILHA)")</f>
        <v>Marco Túlio de Abreu (ALUNO NÃO ENCONTRADO NA PLANILHA)</v>
      </c>
      <c r="B805" s="390" t="str">
        <f>IFERROR(__xludf.DUMMYFUNCTION("""COMPUTED_VALUE"""),"2° Licenciatura")</f>
        <v>2° Licenciatura</v>
      </c>
      <c r="C805" s="390" t="str">
        <f>IFERROR(__xludf.DUMMYFUNCTION("""COMPUTED_VALUE"""),"Pedagogia")</f>
        <v>Pedagogia</v>
      </c>
      <c r="D805" s="390"/>
      <c r="E805" s="390"/>
      <c r="F805" s="390"/>
      <c r="G805" s="390"/>
      <c r="H805" s="390"/>
      <c r="I805" s="390"/>
      <c r="J805" s="390"/>
      <c r="K805" s="390"/>
      <c r="L805" s="390"/>
      <c r="M805" s="390"/>
      <c r="N805" s="390"/>
      <c r="O805" s="390"/>
      <c r="P805" s="390"/>
      <c r="Q805" s="390"/>
      <c r="R805" s="390"/>
      <c r="S805" s="390"/>
      <c r="T805" s="390"/>
      <c r="U805" s="390"/>
      <c r="V805" s="390"/>
      <c r="W805" s="390"/>
      <c r="X805" s="390"/>
      <c r="Y805" s="390"/>
    </row>
    <row r="806">
      <c r="A806" s="390" t="str">
        <f>IFERROR(__xludf.DUMMYFUNCTION("""COMPUTED_VALUE"""),"Willian Barbosa da Silva Pinheiro ")</f>
        <v>Willian Barbosa da Silva Pinheiro </v>
      </c>
      <c r="B806" s="390" t="str">
        <f>IFERROR(__xludf.DUMMYFUNCTION("""COMPUTED_VALUE"""),"Form. Pedagógica")</f>
        <v>Form. Pedagógica</v>
      </c>
      <c r="C806" s="390" t="str">
        <f>IFERROR(__xludf.DUMMYFUNCTION("""COMPUTED_VALUE"""),"Pedagogia")</f>
        <v>Pedagogia</v>
      </c>
      <c r="D806" s="390"/>
      <c r="E806" s="390"/>
      <c r="F806" s="390"/>
      <c r="G806" s="390"/>
      <c r="H806" s="390"/>
      <c r="I806" s="390"/>
      <c r="J806" s="390"/>
      <c r="K806" s="390"/>
      <c r="L806" s="390"/>
      <c r="M806" s="390"/>
      <c r="N806" s="390"/>
      <c r="O806" s="390"/>
      <c r="P806" s="390"/>
      <c r="Q806" s="390"/>
      <c r="R806" s="390"/>
      <c r="S806" s="390"/>
      <c r="T806" s="390"/>
      <c r="U806" s="390"/>
      <c r="V806" s="390"/>
      <c r="W806" s="390"/>
      <c r="X806" s="390"/>
      <c r="Y806" s="390"/>
    </row>
    <row r="807">
      <c r="A807" s="390" t="str">
        <f>IFERROR(__xludf.DUMMYFUNCTION("""COMPUTED_VALUE"""),"Ednalva de Sousa Saraiva (ALUNO NÃO ENCONTRADO NA PLANILHA)")</f>
        <v>Ednalva de Sousa Saraiva (ALUNO NÃO ENCONTRADO NA PLANILHA)</v>
      </c>
      <c r="B807" s="390" t="str">
        <f>IFERROR(__xludf.DUMMYFUNCTION("""COMPUTED_VALUE"""),"Form. Pedagógica")</f>
        <v>Form. Pedagógica</v>
      </c>
      <c r="C807" s="390" t="str">
        <f>IFERROR(__xludf.DUMMYFUNCTION("""COMPUTED_VALUE"""),"Pedagogia")</f>
        <v>Pedagogia</v>
      </c>
      <c r="D807" s="390"/>
      <c r="E807" s="390"/>
      <c r="F807" s="390"/>
      <c r="G807" s="390"/>
      <c r="H807" s="390"/>
      <c r="I807" s="390"/>
      <c r="J807" s="390"/>
      <c r="K807" s="390"/>
      <c r="L807" s="390"/>
      <c r="M807" s="390"/>
      <c r="N807" s="390"/>
      <c r="O807" s="390"/>
      <c r="P807" s="390"/>
      <c r="Q807" s="390"/>
      <c r="R807" s="390"/>
      <c r="S807" s="390"/>
      <c r="T807" s="390"/>
      <c r="U807" s="390"/>
      <c r="V807" s="390"/>
      <c r="W807" s="390"/>
      <c r="X807" s="390"/>
      <c r="Y807" s="390"/>
    </row>
    <row r="808">
      <c r="A808" s="390" t="str">
        <f>IFERROR(__xludf.DUMMYFUNCTION("""COMPUTED_VALUE"""),"Danilo Dias Paes Landim")</f>
        <v>Danilo Dias Paes Landim</v>
      </c>
      <c r="B808" s="390" t="str">
        <f>IFERROR(__xludf.DUMMYFUNCTION("""COMPUTED_VALUE"""),"2° Licenciatura")</f>
        <v>2° Licenciatura</v>
      </c>
      <c r="C808" s="390" t="str">
        <f>IFERROR(__xludf.DUMMYFUNCTION("""COMPUTED_VALUE"""),"Pedagogia")</f>
        <v>Pedagogia</v>
      </c>
      <c r="D808" s="390"/>
      <c r="E808" s="390"/>
      <c r="F808" s="390"/>
      <c r="G808" s="390"/>
      <c r="H808" s="390"/>
      <c r="I808" s="390"/>
      <c r="J808" s="390"/>
      <c r="K808" s="390"/>
      <c r="L808" s="390"/>
      <c r="M808" s="390"/>
      <c r="N808" s="390"/>
      <c r="O808" s="390"/>
      <c r="P808" s="390"/>
      <c r="Q808" s="390"/>
      <c r="R808" s="390"/>
      <c r="S808" s="390"/>
      <c r="T808" s="390"/>
      <c r="U808" s="390"/>
      <c r="V808" s="390"/>
      <c r="W808" s="390"/>
      <c r="X808" s="390"/>
      <c r="Y808" s="390"/>
    </row>
    <row r="809">
      <c r="A809" s="390" t="str">
        <f>IFERROR(__xludf.DUMMYFUNCTION("""COMPUTED_VALUE"""),"Beatriz Cristina Batista Rodrigues")</f>
        <v>Beatriz Cristina Batista Rodrigues</v>
      </c>
      <c r="B809" s="390" t="str">
        <f>IFERROR(__xludf.DUMMYFUNCTION("""COMPUTED_VALUE"""),"2° Licenciatura")</f>
        <v>2° Licenciatura</v>
      </c>
      <c r="C809" s="390" t="str">
        <f>IFERROR(__xludf.DUMMYFUNCTION("""COMPUTED_VALUE"""),"Pedagogia")</f>
        <v>Pedagogia</v>
      </c>
      <c r="D809" s="390"/>
      <c r="E809" s="390"/>
      <c r="F809" s="390"/>
      <c r="G809" s="390"/>
      <c r="H809" s="390"/>
      <c r="I809" s="390"/>
      <c r="J809" s="390"/>
      <c r="K809" s="390"/>
      <c r="L809" s="390"/>
      <c r="M809" s="390"/>
      <c r="N809" s="390"/>
      <c r="O809" s="390"/>
      <c r="P809" s="390"/>
      <c r="Q809" s="390"/>
      <c r="R809" s="390"/>
      <c r="S809" s="390"/>
      <c r="T809" s="390"/>
      <c r="U809" s="390"/>
      <c r="V809" s="390"/>
      <c r="W809" s="390"/>
      <c r="X809" s="390"/>
      <c r="Y809" s="390"/>
    </row>
    <row r="810">
      <c r="A810" s="390" t="str">
        <f>IFERROR(__xludf.DUMMYFUNCTION("""COMPUTED_VALUE"""),"Fernanda Bastos Rezende Siqueira")</f>
        <v>Fernanda Bastos Rezende Siqueira</v>
      </c>
      <c r="B810" s="390" t="str">
        <f>IFERROR(__xludf.DUMMYFUNCTION("""COMPUTED_VALUE"""),"Form. Pedagógica")</f>
        <v>Form. Pedagógica</v>
      </c>
      <c r="C810" s="390" t="str">
        <f>IFERROR(__xludf.DUMMYFUNCTION("""COMPUTED_VALUE"""),"Pedagogia")</f>
        <v>Pedagogia</v>
      </c>
      <c r="D810" s="390"/>
      <c r="E810" s="390"/>
      <c r="F810" s="390"/>
      <c r="G810" s="390"/>
      <c r="H810" s="390"/>
      <c r="I810" s="390"/>
      <c r="J810" s="390"/>
      <c r="K810" s="390"/>
      <c r="L810" s="390"/>
      <c r="M810" s="390"/>
      <c r="N810" s="390"/>
      <c r="O810" s="390"/>
      <c r="P810" s="390"/>
      <c r="Q810" s="390"/>
      <c r="R810" s="390"/>
      <c r="S810" s="390"/>
      <c r="T810" s="390"/>
      <c r="U810" s="390"/>
      <c r="V810" s="390"/>
      <c r="W810" s="390"/>
      <c r="X810" s="390"/>
      <c r="Y810" s="390"/>
    </row>
    <row r="811">
      <c r="A811" s="390" t="str">
        <f>IFERROR(__xludf.DUMMYFUNCTION("""COMPUTED_VALUE"""),"Marcos Antonio de Farias")</f>
        <v>Marcos Antonio de Farias</v>
      </c>
      <c r="B811" s="390" t="str">
        <f>IFERROR(__xludf.DUMMYFUNCTION("""COMPUTED_VALUE"""),"2° Licenciatura")</f>
        <v>2° Licenciatura</v>
      </c>
      <c r="C811" s="390" t="str">
        <f>IFERROR(__xludf.DUMMYFUNCTION("""COMPUTED_VALUE"""),"Pedagogia")</f>
        <v>Pedagogia</v>
      </c>
      <c r="D811" s="390"/>
      <c r="E811" s="390"/>
      <c r="F811" s="390"/>
      <c r="G811" s="390"/>
      <c r="H811" s="390"/>
      <c r="I811" s="390"/>
      <c r="J811" s="390"/>
      <c r="K811" s="390"/>
      <c r="L811" s="390"/>
      <c r="M811" s="390"/>
      <c r="N811" s="390"/>
      <c r="O811" s="390"/>
      <c r="P811" s="390"/>
      <c r="Q811" s="390"/>
      <c r="R811" s="390"/>
      <c r="S811" s="390"/>
      <c r="T811" s="390"/>
      <c r="U811" s="390"/>
      <c r="V811" s="390"/>
      <c r="W811" s="390"/>
      <c r="X811" s="390"/>
      <c r="Y811" s="390"/>
    </row>
    <row r="812">
      <c r="A812" s="390" t="str">
        <f>IFERROR(__xludf.DUMMYFUNCTION("""COMPUTED_VALUE"""),"Suzana Moura da Silva Torres")</f>
        <v>Suzana Moura da Silva Torres</v>
      </c>
      <c r="B812" s="390" t="str">
        <f>IFERROR(__xludf.DUMMYFUNCTION("""COMPUTED_VALUE"""),"2° Licenciatura")</f>
        <v>2° Licenciatura</v>
      </c>
      <c r="C812" s="390" t="str">
        <f>IFERROR(__xludf.DUMMYFUNCTION("""COMPUTED_VALUE"""),"Pedagogia")</f>
        <v>Pedagogia</v>
      </c>
      <c r="D812" s="390"/>
      <c r="E812" s="390"/>
      <c r="F812" s="390"/>
      <c r="G812" s="390"/>
      <c r="H812" s="390"/>
      <c r="I812" s="390"/>
      <c r="J812" s="390"/>
      <c r="K812" s="390"/>
      <c r="L812" s="390"/>
      <c r="M812" s="390"/>
      <c r="N812" s="390"/>
      <c r="O812" s="390"/>
      <c r="P812" s="390"/>
      <c r="Q812" s="390"/>
      <c r="R812" s="390"/>
      <c r="S812" s="390"/>
      <c r="T812" s="390"/>
      <c r="U812" s="390"/>
      <c r="V812" s="390"/>
      <c r="W812" s="390"/>
      <c r="X812" s="390"/>
      <c r="Y812" s="390"/>
    </row>
    <row r="813">
      <c r="A813" s="390" t="str">
        <f>IFERROR(__xludf.DUMMYFUNCTION("""COMPUTED_VALUE"""),"Bianca Batista Torres ")</f>
        <v>Bianca Batista Torres </v>
      </c>
      <c r="B813" s="390" t="str">
        <f>IFERROR(__xludf.DUMMYFUNCTION("""COMPUTED_VALUE"""),"2° Licenciatura")</f>
        <v>2° Licenciatura</v>
      </c>
      <c r="C813" s="390" t="str">
        <f>IFERROR(__xludf.DUMMYFUNCTION("""COMPUTED_VALUE"""),"Pedagogia")</f>
        <v>Pedagogia</v>
      </c>
      <c r="D813" s="390"/>
      <c r="E813" s="390"/>
      <c r="F813" s="390"/>
      <c r="G813" s="390"/>
      <c r="H813" s="390"/>
      <c r="I813" s="390"/>
      <c r="J813" s="390"/>
      <c r="K813" s="390"/>
      <c r="L813" s="390"/>
      <c r="M813" s="390"/>
      <c r="N813" s="390"/>
      <c r="O813" s="390"/>
      <c r="P813" s="390"/>
      <c r="Q813" s="390"/>
      <c r="R813" s="390"/>
      <c r="S813" s="390"/>
      <c r="T813" s="390"/>
      <c r="U813" s="390"/>
      <c r="V813" s="390"/>
      <c r="W813" s="390"/>
      <c r="X813" s="390"/>
      <c r="Y813" s="390"/>
    </row>
    <row r="814">
      <c r="A814" s="390" t="str">
        <f>IFERROR(__xludf.DUMMYFUNCTION("""COMPUTED_VALUE"""),"Marines Paifer martins")</f>
        <v>Marines Paifer martins</v>
      </c>
      <c r="B814" s="390" t="str">
        <f>IFERROR(__xludf.DUMMYFUNCTION("""COMPUTED_VALUE"""),"Form. Pedagógica")</f>
        <v>Form. Pedagógica</v>
      </c>
      <c r="C814" s="390" t="str">
        <f>IFERROR(__xludf.DUMMYFUNCTION("""COMPUTED_VALUE"""),"Pedagogia")</f>
        <v>Pedagogia</v>
      </c>
      <c r="D814" s="390"/>
      <c r="E814" s="390"/>
      <c r="F814" s="390"/>
      <c r="G814" s="390"/>
      <c r="H814" s="390"/>
      <c r="I814" s="390"/>
      <c r="J814" s="390"/>
      <c r="K814" s="390"/>
      <c r="L814" s="390"/>
      <c r="M814" s="390"/>
      <c r="N814" s="390"/>
      <c r="O814" s="390"/>
      <c r="P814" s="390"/>
      <c r="Q814" s="390"/>
      <c r="R814" s="390"/>
      <c r="S814" s="390"/>
      <c r="T814" s="390"/>
      <c r="U814" s="390"/>
      <c r="V814" s="390"/>
      <c r="W814" s="390"/>
      <c r="X814" s="390"/>
      <c r="Y814" s="390"/>
    </row>
    <row r="815">
      <c r="A815" s="390" t="str">
        <f>IFERROR(__xludf.DUMMYFUNCTION("""COMPUTED_VALUE"""),"Jeneffer Vilela de Souza")</f>
        <v>Jeneffer Vilela de Souza</v>
      </c>
      <c r="B815" s="390" t="str">
        <f>IFERROR(__xludf.DUMMYFUNCTION("""COMPUTED_VALUE"""),"Form. Pedagógica")</f>
        <v>Form. Pedagógica</v>
      </c>
      <c r="C815" s="390" t="str">
        <f>IFERROR(__xludf.DUMMYFUNCTION("""COMPUTED_VALUE"""),"Pedagogia")</f>
        <v>Pedagogia</v>
      </c>
      <c r="D815" s="390"/>
      <c r="E815" s="390"/>
      <c r="F815" s="390"/>
      <c r="G815" s="390"/>
      <c r="H815" s="390"/>
      <c r="I815" s="390"/>
      <c r="J815" s="390"/>
      <c r="K815" s="390"/>
      <c r="L815" s="390"/>
      <c r="M815" s="390"/>
      <c r="N815" s="390"/>
      <c r="O815" s="390"/>
      <c r="P815" s="390"/>
      <c r="Q815" s="390"/>
      <c r="R815" s="390"/>
      <c r="S815" s="390"/>
      <c r="T815" s="390"/>
      <c r="U815" s="390"/>
      <c r="V815" s="390"/>
      <c r="W815" s="390"/>
      <c r="X815" s="390"/>
      <c r="Y815" s="390"/>
    </row>
    <row r="816">
      <c r="A816" s="390" t="str">
        <f>IFERROR(__xludf.DUMMYFUNCTION("""COMPUTED_VALUE"""),"Jacy Krissly de Oliveira Silva")</f>
        <v>Jacy Krissly de Oliveira Silva</v>
      </c>
      <c r="B816" s="390" t="str">
        <f>IFERROR(__xludf.DUMMYFUNCTION("""COMPUTED_VALUE"""),"2° Licenciatura")</f>
        <v>2° Licenciatura</v>
      </c>
      <c r="C816" s="390" t="str">
        <f>IFERROR(__xludf.DUMMYFUNCTION("""COMPUTED_VALUE"""),"Pedagogia")</f>
        <v>Pedagogia</v>
      </c>
      <c r="D816" s="390"/>
      <c r="E816" s="390"/>
      <c r="F816" s="390"/>
      <c r="G816" s="390"/>
      <c r="H816" s="390"/>
      <c r="I816" s="390"/>
      <c r="J816" s="390"/>
      <c r="K816" s="390"/>
      <c r="L816" s="390"/>
      <c r="M816" s="390"/>
      <c r="N816" s="390"/>
      <c r="O816" s="390"/>
      <c r="P816" s="390"/>
      <c r="Q816" s="390"/>
      <c r="R816" s="390"/>
      <c r="S816" s="390"/>
      <c r="T816" s="390"/>
      <c r="U816" s="390"/>
      <c r="V816" s="390"/>
      <c r="W816" s="390"/>
      <c r="X816" s="390"/>
      <c r="Y816" s="390"/>
    </row>
    <row r="817">
      <c r="A817" s="390" t="str">
        <f>IFERROR(__xludf.DUMMYFUNCTION("""COMPUTED_VALUE"""),"Willian Barbosa da Silva")</f>
        <v>Willian Barbosa da Silva</v>
      </c>
      <c r="B817" s="390" t="str">
        <f>IFERROR(__xludf.DUMMYFUNCTION("""COMPUTED_VALUE"""),"Form. Pedagógica")</f>
        <v>Form. Pedagógica</v>
      </c>
      <c r="C817" s="390" t="str">
        <f>IFERROR(__xludf.DUMMYFUNCTION("""COMPUTED_VALUE"""),"Pedagogia")</f>
        <v>Pedagogia</v>
      </c>
      <c r="D817" s="390"/>
      <c r="E817" s="390"/>
      <c r="F817" s="390"/>
      <c r="G817" s="390"/>
      <c r="H817" s="390"/>
      <c r="I817" s="390"/>
      <c r="J817" s="390"/>
      <c r="K817" s="390"/>
      <c r="L817" s="390"/>
      <c r="M817" s="390"/>
      <c r="N817" s="390"/>
      <c r="O817" s="390"/>
      <c r="P817" s="390"/>
      <c r="Q817" s="390"/>
      <c r="R817" s="390"/>
      <c r="S817" s="390"/>
      <c r="T817" s="390"/>
      <c r="U817" s="390"/>
      <c r="V817" s="390"/>
      <c r="W817" s="390"/>
      <c r="X817" s="390"/>
      <c r="Y817" s="390"/>
    </row>
    <row r="818">
      <c r="A818" s="390" t="str">
        <f>IFERROR(__xludf.DUMMYFUNCTION("""COMPUTED_VALUE"""),"Alison Rosado Pinheiro")</f>
        <v>Alison Rosado Pinheiro</v>
      </c>
      <c r="B818" s="390" t="str">
        <f>IFERROR(__xludf.DUMMYFUNCTION("""COMPUTED_VALUE"""),"2° Licenciatura")</f>
        <v>2° Licenciatura</v>
      </c>
      <c r="C818" s="390" t="str">
        <f>IFERROR(__xludf.DUMMYFUNCTION("""COMPUTED_VALUE"""),"Pedagogia")</f>
        <v>Pedagogia</v>
      </c>
      <c r="D818" s="390"/>
      <c r="E818" s="390"/>
      <c r="F818" s="390"/>
      <c r="G818" s="390"/>
      <c r="H818" s="390"/>
      <c r="I818" s="390"/>
      <c r="J818" s="390"/>
      <c r="K818" s="390"/>
      <c r="L818" s="390"/>
      <c r="M818" s="390"/>
      <c r="N818" s="390"/>
      <c r="O818" s="390"/>
      <c r="P818" s="390"/>
      <c r="Q818" s="390"/>
      <c r="R818" s="390"/>
      <c r="S818" s="390"/>
      <c r="T818" s="390"/>
      <c r="U818" s="390"/>
      <c r="V818" s="390"/>
      <c r="W818" s="390"/>
      <c r="X818" s="390"/>
      <c r="Y818" s="390"/>
    </row>
    <row r="819">
      <c r="A819" s="390" t="str">
        <f>IFERROR(__xludf.DUMMYFUNCTION("""COMPUTED_VALUE"""),"Kety Adriana Bichet")</f>
        <v>Kety Adriana Bichet</v>
      </c>
      <c r="B819" s="390" t="str">
        <f>IFERROR(__xludf.DUMMYFUNCTION("""COMPUTED_VALUE"""),"2° Licenciatura")</f>
        <v>2° Licenciatura</v>
      </c>
      <c r="C819" s="390" t="str">
        <f>IFERROR(__xludf.DUMMYFUNCTION("""COMPUTED_VALUE"""),"Pedagogia")</f>
        <v>Pedagogia</v>
      </c>
      <c r="D819" s="390"/>
      <c r="E819" s="390"/>
      <c r="F819" s="390"/>
      <c r="G819" s="390"/>
      <c r="H819" s="390"/>
      <c r="I819" s="390"/>
      <c r="J819" s="390"/>
      <c r="K819" s="390"/>
      <c r="L819" s="390"/>
      <c r="M819" s="390"/>
      <c r="N819" s="390"/>
      <c r="O819" s="390"/>
      <c r="P819" s="390"/>
      <c r="Q819" s="390"/>
      <c r="R819" s="390"/>
      <c r="S819" s="390"/>
      <c r="T819" s="390"/>
      <c r="U819" s="390"/>
      <c r="V819" s="390"/>
      <c r="W819" s="390"/>
      <c r="X819" s="390"/>
      <c r="Y819" s="390"/>
    </row>
    <row r="820">
      <c r="A820" s="390" t="str">
        <f>IFERROR(__xludf.DUMMYFUNCTION("""COMPUTED_VALUE"""),"Will Robson Paulo da Silva")</f>
        <v>Will Robson Paulo da Silva</v>
      </c>
      <c r="B820" s="390" t="str">
        <f>IFERROR(__xludf.DUMMYFUNCTION("""COMPUTED_VALUE"""),"2° Licenciatura")</f>
        <v>2° Licenciatura</v>
      </c>
      <c r="C820" s="390" t="str">
        <f>IFERROR(__xludf.DUMMYFUNCTION("""COMPUTED_VALUE"""),"Pedagogia")</f>
        <v>Pedagogia</v>
      </c>
      <c r="D820" s="390"/>
      <c r="E820" s="390"/>
      <c r="F820" s="390"/>
      <c r="G820" s="390"/>
      <c r="H820" s="390"/>
      <c r="I820" s="390"/>
      <c r="J820" s="390"/>
      <c r="K820" s="390"/>
      <c r="L820" s="390"/>
      <c r="M820" s="390"/>
      <c r="N820" s="390"/>
      <c r="O820" s="390"/>
      <c r="P820" s="390"/>
      <c r="Q820" s="390"/>
      <c r="R820" s="390"/>
      <c r="S820" s="390"/>
      <c r="T820" s="390"/>
      <c r="U820" s="390"/>
      <c r="V820" s="390"/>
      <c r="W820" s="390"/>
      <c r="X820" s="390"/>
      <c r="Y820" s="390"/>
    </row>
    <row r="821">
      <c r="A821" s="390" t="str">
        <f>IFERROR(__xludf.DUMMYFUNCTION("""COMPUTED_VALUE"""),"Acidália Vaz Sampaio Neta Moura")</f>
        <v>Acidália Vaz Sampaio Neta Moura</v>
      </c>
      <c r="B821" s="390" t="str">
        <f>IFERROR(__xludf.DUMMYFUNCTION("""COMPUTED_VALUE"""),"Form. Pedagógica")</f>
        <v>Form. Pedagógica</v>
      </c>
      <c r="C821" s="390" t="str">
        <f>IFERROR(__xludf.DUMMYFUNCTION("""COMPUTED_VALUE"""),"Pedagogia")</f>
        <v>Pedagogia</v>
      </c>
      <c r="D821" s="390"/>
      <c r="E821" s="390"/>
      <c r="F821" s="390"/>
      <c r="G821" s="390"/>
      <c r="H821" s="390"/>
      <c r="I821" s="390"/>
      <c r="J821" s="390"/>
      <c r="K821" s="390"/>
      <c r="L821" s="390"/>
      <c r="M821" s="390"/>
      <c r="N821" s="390"/>
      <c r="O821" s="390"/>
      <c r="P821" s="390"/>
      <c r="Q821" s="390"/>
      <c r="R821" s="390"/>
      <c r="S821" s="390"/>
      <c r="T821" s="390"/>
      <c r="U821" s="390"/>
      <c r="V821" s="390"/>
      <c r="W821" s="390"/>
      <c r="X821" s="390"/>
      <c r="Y821" s="390"/>
    </row>
    <row r="822">
      <c r="A822" s="390" t="str">
        <f>IFERROR(__xludf.DUMMYFUNCTION("""COMPUTED_VALUE"""),"Pedro Martins Junior")</f>
        <v>Pedro Martins Junior</v>
      </c>
      <c r="B822" s="390" t="str">
        <f>IFERROR(__xludf.DUMMYFUNCTION("""COMPUTED_VALUE"""),"2° Licenciatura")</f>
        <v>2° Licenciatura</v>
      </c>
      <c r="C822" s="390" t="str">
        <f>IFERROR(__xludf.DUMMYFUNCTION("""COMPUTED_VALUE"""),"Pedagogia")</f>
        <v>Pedagogia</v>
      </c>
      <c r="D822" s="390"/>
      <c r="E822" s="390"/>
      <c r="F822" s="390"/>
      <c r="G822" s="390"/>
      <c r="H822" s="390"/>
      <c r="I822" s="390"/>
      <c r="J822" s="390"/>
      <c r="K822" s="390"/>
      <c r="L822" s="390"/>
      <c r="M822" s="390"/>
      <c r="N822" s="390"/>
      <c r="O822" s="390"/>
      <c r="P822" s="390"/>
      <c r="Q822" s="390"/>
      <c r="R822" s="390"/>
      <c r="S822" s="390"/>
      <c r="T822" s="390"/>
      <c r="U822" s="390"/>
      <c r="V822" s="390"/>
      <c r="W822" s="390"/>
      <c r="X822" s="390"/>
      <c r="Y822" s="390"/>
    </row>
    <row r="823">
      <c r="A823" s="390" t="str">
        <f>IFERROR(__xludf.DUMMYFUNCTION("""COMPUTED_VALUE"""),"William Alves da Silva")</f>
        <v>William Alves da Silva</v>
      </c>
      <c r="B823" s="390" t="str">
        <f>IFERROR(__xludf.DUMMYFUNCTION("""COMPUTED_VALUE"""),"2° Licenciatura")</f>
        <v>2° Licenciatura</v>
      </c>
      <c r="C823" s="390" t="str">
        <f>IFERROR(__xludf.DUMMYFUNCTION("""COMPUTED_VALUE"""),"Pedagogia")</f>
        <v>Pedagogia</v>
      </c>
      <c r="D823" s="390"/>
      <c r="E823" s="390"/>
      <c r="F823" s="390"/>
      <c r="G823" s="390"/>
      <c r="H823" s="390"/>
      <c r="I823" s="390"/>
      <c r="J823" s="390"/>
      <c r="K823" s="390"/>
      <c r="L823" s="390"/>
      <c r="M823" s="390"/>
      <c r="N823" s="390"/>
      <c r="O823" s="390"/>
      <c r="P823" s="390"/>
      <c r="Q823" s="390"/>
      <c r="R823" s="390"/>
      <c r="S823" s="390"/>
      <c r="T823" s="390"/>
      <c r="U823" s="390"/>
      <c r="V823" s="390"/>
      <c r="W823" s="390"/>
      <c r="X823" s="390"/>
      <c r="Y823" s="390"/>
    </row>
    <row r="824">
      <c r="A824" s="390" t="str">
        <f>IFERROR(__xludf.DUMMYFUNCTION("""COMPUTED_VALUE"""),"Patrícia da Silva Maturana Freire")</f>
        <v>Patrícia da Silva Maturana Freire</v>
      </c>
      <c r="B824" s="390" t="str">
        <f>IFERROR(__xludf.DUMMYFUNCTION("""COMPUTED_VALUE"""),"2° Licenciatura")</f>
        <v>2° Licenciatura</v>
      </c>
      <c r="C824" s="390" t="str">
        <f>IFERROR(__xludf.DUMMYFUNCTION("""COMPUTED_VALUE"""),"Pedagogia")</f>
        <v>Pedagogia</v>
      </c>
      <c r="D824" s="390"/>
      <c r="E824" s="390"/>
      <c r="F824" s="390"/>
      <c r="G824" s="390"/>
      <c r="H824" s="390"/>
      <c r="I824" s="390"/>
      <c r="J824" s="390"/>
      <c r="K824" s="390"/>
      <c r="L824" s="390"/>
      <c r="M824" s="390"/>
      <c r="N824" s="390"/>
      <c r="O824" s="390"/>
      <c r="P824" s="390"/>
      <c r="Q824" s="390"/>
      <c r="R824" s="390"/>
      <c r="S824" s="390"/>
      <c r="T824" s="390"/>
      <c r="U824" s="390"/>
      <c r="V824" s="390"/>
      <c r="W824" s="390"/>
      <c r="X824" s="390"/>
      <c r="Y824" s="390"/>
    </row>
    <row r="825">
      <c r="A825" s="390" t="str">
        <f>IFERROR(__xludf.DUMMYFUNCTION("""COMPUTED_VALUE"""),"Gessirlane de Almeida Amarante")</f>
        <v>Gessirlane de Almeida Amarante</v>
      </c>
      <c r="B825" s="390" t="str">
        <f>IFERROR(__xludf.DUMMYFUNCTION("""COMPUTED_VALUE"""),"Form. Pedagógica")</f>
        <v>Form. Pedagógica</v>
      </c>
      <c r="C825" s="390" t="str">
        <f>IFERROR(__xludf.DUMMYFUNCTION("""COMPUTED_VALUE"""),"Pedagogia")</f>
        <v>Pedagogia</v>
      </c>
      <c r="D825" s="390"/>
      <c r="E825" s="390"/>
      <c r="F825" s="390"/>
      <c r="G825" s="390"/>
      <c r="H825" s="390"/>
      <c r="I825" s="390"/>
      <c r="J825" s="390"/>
      <c r="K825" s="390"/>
      <c r="L825" s="390"/>
      <c r="M825" s="390"/>
      <c r="N825" s="390"/>
      <c r="O825" s="390"/>
      <c r="P825" s="390"/>
      <c r="Q825" s="390"/>
      <c r="R825" s="390"/>
      <c r="S825" s="390"/>
      <c r="T825" s="390"/>
      <c r="U825" s="390"/>
      <c r="V825" s="390"/>
      <c r="W825" s="390"/>
      <c r="X825" s="390"/>
      <c r="Y825" s="390"/>
    </row>
    <row r="826">
      <c r="A826" s="390" t="str">
        <f>IFERROR(__xludf.DUMMYFUNCTION("""COMPUTED_VALUE"""),"Helena Silvia Mathei Sather")</f>
        <v>Helena Silvia Mathei Sather</v>
      </c>
      <c r="B826" s="390" t="str">
        <f>IFERROR(__xludf.DUMMYFUNCTION("""COMPUTED_VALUE"""),"2° Licenciatura")</f>
        <v>2° Licenciatura</v>
      </c>
      <c r="C826" s="390" t="str">
        <f>IFERROR(__xludf.DUMMYFUNCTION("""COMPUTED_VALUE"""),"Pedagogia")</f>
        <v>Pedagogia</v>
      </c>
      <c r="D826" s="390"/>
      <c r="E826" s="390"/>
      <c r="F826" s="390"/>
      <c r="G826" s="390"/>
      <c r="H826" s="390"/>
      <c r="I826" s="390"/>
      <c r="J826" s="390"/>
      <c r="K826" s="390"/>
      <c r="L826" s="390"/>
      <c r="M826" s="390"/>
      <c r="N826" s="390"/>
      <c r="O826" s="390"/>
      <c r="P826" s="390"/>
      <c r="Q826" s="390"/>
      <c r="R826" s="390"/>
      <c r="S826" s="390"/>
      <c r="T826" s="390"/>
      <c r="U826" s="390"/>
      <c r="V826" s="390"/>
      <c r="W826" s="390"/>
      <c r="X826" s="390"/>
      <c r="Y826" s="390"/>
    </row>
    <row r="827">
      <c r="A827" s="390" t="str">
        <f>IFERROR(__xludf.DUMMYFUNCTION("""COMPUTED_VALUE"""),"Amanda Velloso Nogueira Cordeiro ")</f>
        <v>Amanda Velloso Nogueira Cordeiro </v>
      </c>
      <c r="B827" s="390" t="str">
        <f>IFERROR(__xludf.DUMMYFUNCTION("""COMPUTED_VALUE"""),"2° Licenciatura")</f>
        <v>2° Licenciatura</v>
      </c>
      <c r="C827" s="390" t="str">
        <f>IFERROR(__xludf.DUMMYFUNCTION("""COMPUTED_VALUE"""),"Pedagogia")</f>
        <v>Pedagogia</v>
      </c>
      <c r="D827" s="390"/>
      <c r="E827" s="390"/>
      <c r="F827" s="390"/>
      <c r="G827" s="390"/>
      <c r="H827" s="390"/>
      <c r="I827" s="390"/>
      <c r="J827" s="390"/>
      <c r="K827" s="390"/>
      <c r="L827" s="390"/>
      <c r="M827" s="390"/>
      <c r="N827" s="390"/>
      <c r="O827" s="390"/>
      <c r="P827" s="390"/>
      <c r="Q827" s="390"/>
      <c r="R827" s="390"/>
      <c r="S827" s="390"/>
      <c r="T827" s="390"/>
      <c r="U827" s="390"/>
      <c r="V827" s="390"/>
      <c r="W827" s="390"/>
      <c r="X827" s="390"/>
      <c r="Y827" s="390"/>
    </row>
    <row r="828">
      <c r="A828" s="390" t="str">
        <f>IFERROR(__xludf.DUMMYFUNCTION("""COMPUTED_VALUE"""),"Alex Faria dos Santos")</f>
        <v>Alex Faria dos Santos</v>
      </c>
      <c r="B828" s="390" t="str">
        <f>IFERROR(__xludf.DUMMYFUNCTION("""COMPUTED_VALUE"""),"Form. Pedagógica")</f>
        <v>Form. Pedagógica</v>
      </c>
      <c r="C828" s="390" t="str">
        <f>IFERROR(__xludf.DUMMYFUNCTION("""COMPUTED_VALUE"""),"Pedagogia")</f>
        <v>Pedagogia</v>
      </c>
      <c r="D828" s="390"/>
      <c r="E828" s="390"/>
      <c r="F828" s="390"/>
      <c r="G828" s="390"/>
      <c r="H828" s="390"/>
      <c r="I828" s="390"/>
      <c r="J828" s="390"/>
      <c r="K828" s="390"/>
      <c r="L828" s="390"/>
      <c r="M828" s="390"/>
      <c r="N828" s="390"/>
      <c r="O828" s="390"/>
      <c r="P828" s="390"/>
      <c r="Q828" s="390"/>
      <c r="R828" s="390"/>
      <c r="S828" s="390"/>
      <c r="T828" s="390"/>
      <c r="U828" s="390"/>
      <c r="V828" s="390"/>
      <c r="W828" s="390"/>
      <c r="X828" s="390"/>
      <c r="Y828" s="390"/>
    </row>
    <row r="829">
      <c r="A829" s="390" t="str">
        <f>IFERROR(__xludf.DUMMYFUNCTION("""COMPUTED_VALUE"""),"Adilson Faria dos Santos")</f>
        <v>Adilson Faria dos Santos</v>
      </c>
      <c r="B829" s="390" t="str">
        <f>IFERROR(__xludf.DUMMYFUNCTION("""COMPUTED_VALUE"""),"Form. Pedagógica")</f>
        <v>Form. Pedagógica</v>
      </c>
      <c r="C829" s="390" t="str">
        <f>IFERROR(__xludf.DUMMYFUNCTION("""COMPUTED_VALUE"""),"Pedagogia")</f>
        <v>Pedagogia</v>
      </c>
      <c r="D829" s="390"/>
      <c r="E829" s="390"/>
      <c r="F829" s="390"/>
      <c r="G829" s="390"/>
      <c r="H829" s="390"/>
      <c r="I829" s="390"/>
      <c r="J829" s="390"/>
      <c r="K829" s="390"/>
      <c r="L829" s="390"/>
      <c r="M829" s="390"/>
      <c r="N829" s="390"/>
      <c r="O829" s="390"/>
      <c r="P829" s="390"/>
      <c r="Q829" s="390"/>
      <c r="R829" s="390"/>
      <c r="S829" s="390"/>
      <c r="T829" s="390"/>
      <c r="U829" s="390"/>
      <c r="V829" s="390"/>
      <c r="W829" s="390"/>
      <c r="X829" s="390"/>
      <c r="Y829" s="390"/>
    </row>
    <row r="830">
      <c r="A830" s="390" t="str">
        <f>IFERROR(__xludf.DUMMYFUNCTION("""COMPUTED_VALUE"""),"Sara Nikayse da Silva Marinho Mota")</f>
        <v>Sara Nikayse da Silva Marinho Mota</v>
      </c>
      <c r="B830" s="390" t="str">
        <f>IFERROR(__xludf.DUMMYFUNCTION("""COMPUTED_VALUE"""),"2° Licenciatura")</f>
        <v>2° Licenciatura</v>
      </c>
      <c r="C830" s="390" t="str">
        <f>IFERROR(__xludf.DUMMYFUNCTION("""COMPUTED_VALUE"""),"Pedagogia")</f>
        <v>Pedagogia</v>
      </c>
      <c r="D830" s="390"/>
      <c r="E830" s="390"/>
      <c r="F830" s="390"/>
      <c r="G830" s="390"/>
      <c r="H830" s="390"/>
      <c r="I830" s="390"/>
      <c r="J830" s="390"/>
      <c r="K830" s="390"/>
      <c r="L830" s="390"/>
      <c r="M830" s="390"/>
      <c r="N830" s="390"/>
      <c r="O830" s="390"/>
      <c r="P830" s="390"/>
      <c r="Q830" s="390"/>
      <c r="R830" s="390"/>
      <c r="S830" s="390"/>
      <c r="T830" s="390"/>
      <c r="U830" s="390"/>
      <c r="V830" s="390"/>
      <c r="W830" s="390"/>
      <c r="X830" s="390"/>
      <c r="Y830" s="390"/>
    </row>
    <row r="831">
      <c r="A831" s="390" t="str">
        <f>IFERROR(__xludf.DUMMYFUNCTION("""COMPUTED_VALUE"""),"Karla Patrícia Menezes Costa")</f>
        <v>Karla Patrícia Menezes Costa</v>
      </c>
      <c r="B831" s="390" t="str">
        <f>IFERROR(__xludf.DUMMYFUNCTION("""COMPUTED_VALUE"""),"2° Licenciatura")</f>
        <v>2° Licenciatura</v>
      </c>
      <c r="C831" s="390" t="str">
        <f>IFERROR(__xludf.DUMMYFUNCTION("""COMPUTED_VALUE"""),"Pedagogia")</f>
        <v>Pedagogia</v>
      </c>
      <c r="D831" s="390"/>
      <c r="E831" s="390"/>
      <c r="F831" s="390"/>
      <c r="G831" s="390"/>
      <c r="H831" s="390"/>
      <c r="I831" s="390"/>
      <c r="J831" s="390"/>
      <c r="K831" s="390"/>
      <c r="L831" s="390"/>
      <c r="M831" s="390"/>
      <c r="N831" s="390"/>
      <c r="O831" s="390"/>
      <c r="P831" s="390"/>
      <c r="Q831" s="390"/>
      <c r="R831" s="390"/>
      <c r="S831" s="390"/>
      <c r="T831" s="390"/>
      <c r="U831" s="390"/>
      <c r="V831" s="390"/>
      <c r="W831" s="390"/>
      <c r="X831" s="390"/>
      <c r="Y831" s="390"/>
    </row>
    <row r="832">
      <c r="A832" s="390" t="str">
        <f>IFERROR(__xludf.DUMMYFUNCTION("""COMPUTED_VALUE"""),"Jonnhy Pierri Oliveira Mota")</f>
        <v>Jonnhy Pierri Oliveira Mota</v>
      </c>
      <c r="B832" s="390" t="str">
        <f>IFERROR(__xludf.DUMMYFUNCTION("""COMPUTED_VALUE"""),"Form. Pedagógica")</f>
        <v>Form. Pedagógica</v>
      </c>
      <c r="C832" s="390" t="str">
        <f>IFERROR(__xludf.DUMMYFUNCTION("""COMPUTED_VALUE"""),"Pedagogia")</f>
        <v>Pedagogia</v>
      </c>
      <c r="D832" s="390"/>
      <c r="E832" s="390"/>
      <c r="F832" s="390"/>
      <c r="G832" s="390"/>
      <c r="H832" s="390"/>
      <c r="I832" s="390"/>
      <c r="J832" s="390"/>
      <c r="K832" s="390"/>
      <c r="L832" s="390"/>
      <c r="M832" s="390"/>
      <c r="N832" s="390"/>
      <c r="O832" s="390"/>
      <c r="P832" s="390"/>
      <c r="Q832" s="390"/>
      <c r="R832" s="390"/>
      <c r="S832" s="390"/>
      <c r="T832" s="390"/>
      <c r="U832" s="390"/>
      <c r="V832" s="390"/>
      <c r="W832" s="390"/>
      <c r="X832" s="390"/>
      <c r="Y832" s="390"/>
    </row>
    <row r="833">
      <c r="A833" s="390" t="str">
        <f>IFERROR(__xludf.DUMMYFUNCTION("""COMPUTED_VALUE"""),"Diego Rodrigues de Oliveira")</f>
        <v>Diego Rodrigues de Oliveira</v>
      </c>
      <c r="B833" s="390" t="str">
        <f>IFERROR(__xludf.DUMMYFUNCTION("""COMPUTED_VALUE"""),"Form. Pedagógica")</f>
        <v>Form. Pedagógica</v>
      </c>
      <c r="C833" s="390" t="str">
        <f>IFERROR(__xludf.DUMMYFUNCTION("""COMPUTED_VALUE"""),"Pedagogia")</f>
        <v>Pedagogia</v>
      </c>
      <c r="D833" s="390"/>
      <c r="E833" s="390"/>
      <c r="F833" s="390"/>
      <c r="G833" s="390"/>
      <c r="H833" s="390"/>
      <c r="I833" s="390"/>
      <c r="J833" s="390"/>
      <c r="K833" s="390"/>
      <c r="L833" s="390"/>
      <c r="M833" s="390"/>
      <c r="N833" s="390"/>
      <c r="O833" s="390"/>
      <c r="P833" s="390"/>
      <c r="Q833" s="390"/>
      <c r="R833" s="390"/>
      <c r="S833" s="390"/>
      <c r="T833" s="390"/>
      <c r="U833" s="390"/>
      <c r="V833" s="390"/>
      <c r="W833" s="390"/>
      <c r="X833" s="390"/>
      <c r="Y833" s="390"/>
    </row>
    <row r="834">
      <c r="A834" s="390" t="str">
        <f>IFERROR(__xludf.DUMMYFUNCTION("""COMPUTED_VALUE"""),"Madequier Jesus Naressi")</f>
        <v>Madequier Jesus Naressi</v>
      </c>
      <c r="B834" s="390" t="str">
        <f>IFERROR(__xludf.DUMMYFUNCTION("""COMPUTED_VALUE"""),"2° Licenciatura")</f>
        <v>2° Licenciatura</v>
      </c>
      <c r="C834" s="390" t="str">
        <f>IFERROR(__xludf.DUMMYFUNCTION("""COMPUTED_VALUE"""),"Pedagogia")</f>
        <v>Pedagogia</v>
      </c>
      <c r="D834" s="390"/>
      <c r="E834" s="390"/>
      <c r="F834" s="390"/>
      <c r="G834" s="390"/>
      <c r="H834" s="390"/>
      <c r="I834" s="390"/>
      <c r="J834" s="390"/>
      <c r="K834" s="390"/>
      <c r="L834" s="390"/>
      <c r="M834" s="390"/>
      <c r="N834" s="390"/>
      <c r="O834" s="390"/>
      <c r="P834" s="390"/>
      <c r="Q834" s="390"/>
      <c r="R834" s="390"/>
      <c r="S834" s="390"/>
      <c r="T834" s="390"/>
      <c r="U834" s="390"/>
      <c r="V834" s="390"/>
      <c r="W834" s="390"/>
      <c r="X834" s="390"/>
      <c r="Y834" s="390"/>
    </row>
    <row r="835">
      <c r="A835" s="390" t="str">
        <f>IFERROR(__xludf.DUMMYFUNCTION("""COMPUTED_VALUE"""),"Stela Paula Félix")</f>
        <v>Stela Paula Félix</v>
      </c>
      <c r="B835" s="390" t="str">
        <f>IFERROR(__xludf.DUMMYFUNCTION("""COMPUTED_VALUE"""),"2° Licenciatura")</f>
        <v>2° Licenciatura</v>
      </c>
      <c r="C835" s="390" t="str">
        <f>IFERROR(__xludf.DUMMYFUNCTION("""COMPUTED_VALUE"""),"Pedagogia")</f>
        <v>Pedagogia</v>
      </c>
      <c r="D835" s="390"/>
      <c r="E835" s="390"/>
      <c r="F835" s="390"/>
      <c r="G835" s="390"/>
      <c r="H835" s="390"/>
      <c r="I835" s="390"/>
      <c r="J835" s="390"/>
      <c r="K835" s="390"/>
      <c r="L835" s="390"/>
      <c r="M835" s="390"/>
      <c r="N835" s="390"/>
      <c r="O835" s="390"/>
      <c r="P835" s="390"/>
      <c r="Q835" s="390"/>
      <c r="R835" s="390"/>
      <c r="S835" s="390"/>
      <c r="T835" s="390"/>
      <c r="U835" s="390"/>
      <c r="V835" s="390"/>
      <c r="W835" s="390"/>
      <c r="X835" s="390"/>
      <c r="Y835" s="390"/>
    </row>
    <row r="836">
      <c r="A836" s="390" t="str">
        <f>IFERROR(__xludf.DUMMYFUNCTION("""COMPUTED_VALUE"""),"Lidia Santos Pereira")</f>
        <v>Lidia Santos Pereira</v>
      </c>
      <c r="B836" s="390" t="str">
        <f>IFERROR(__xludf.DUMMYFUNCTION("""COMPUTED_VALUE"""),"Form. Pedagógica")</f>
        <v>Form. Pedagógica</v>
      </c>
      <c r="C836" s="390" t="str">
        <f>IFERROR(__xludf.DUMMYFUNCTION("""COMPUTED_VALUE"""),"Pedagogia")</f>
        <v>Pedagogia</v>
      </c>
      <c r="D836" s="390"/>
      <c r="E836" s="390"/>
      <c r="F836" s="390"/>
      <c r="G836" s="390"/>
      <c r="H836" s="390"/>
      <c r="I836" s="390"/>
      <c r="J836" s="390"/>
      <c r="K836" s="390"/>
      <c r="L836" s="390"/>
      <c r="M836" s="390"/>
      <c r="N836" s="390"/>
      <c r="O836" s="390"/>
      <c r="P836" s="390"/>
      <c r="Q836" s="390"/>
      <c r="R836" s="390"/>
      <c r="S836" s="390"/>
      <c r="T836" s="390"/>
      <c r="U836" s="390"/>
      <c r="V836" s="390"/>
      <c r="W836" s="390"/>
      <c r="X836" s="390"/>
      <c r="Y836" s="390"/>
    </row>
    <row r="837">
      <c r="A837" s="390" t="str">
        <f>IFERROR(__xludf.DUMMYFUNCTION("""COMPUTED_VALUE"""),"Alessandra Bento da Silva dos Santos")</f>
        <v>Alessandra Bento da Silva dos Santos</v>
      </c>
      <c r="B837" s="390" t="str">
        <f>IFERROR(__xludf.DUMMYFUNCTION("""COMPUTED_VALUE"""),"Form. Pedagógica")</f>
        <v>Form. Pedagógica</v>
      </c>
      <c r="C837" s="390" t="str">
        <f>IFERROR(__xludf.DUMMYFUNCTION("""COMPUTED_VALUE"""),"Pedagogia")</f>
        <v>Pedagogia</v>
      </c>
      <c r="D837" s="390"/>
      <c r="E837" s="390"/>
      <c r="F837" s="390"/>
      <c r="G837" s="390"/>
      <c r="H837" s="390"/>
      <c r="I837" s="390"/>
      <c r="J837" s="390"/>
      <c r="K837" s="390"/>
      <c r="L837" s="390"/>
      <c r="M837" s="390"/>
      <c r="N837" s="390"/>
      <c r="O837" s="390"/>
      <c r="P837" s="390"/>
      <c r="Q837" s="390"/>
      <c r="R837" s="390"/>
      <c r="S837" s="390"/>
      <c r="T837" s="390"/>
      <c r="U837" s="390"/>
      <c r="V837" s="390"/>
      <c r="W837" s="390"/>
      <c r="X837" s="390"/>
      <c r="Y837" s="390"/>
    </row>
    <row r="838">
      <c r="A838" s="390" t="str">
        <f>IFERROR(__xludf.DUMMYFUNCTION("""COMPUTED_VALUE"""),"Alison Rosado Pinheiro")</f>
        <v>Alison Rosado Pinheiro</v>
      </c>
      <c r="B838" s="390" t="str">
        <f>IFERROR(__xludf.DUMMYFUNCTION("""COMPUTED_VALUE"""),"2° Licenciatura")</f>
        <v>2° Licenciatura</v>
      </c>
      <c r="C838" s="390" t="str">
        <f>IFERROR(__xludf.DUMMYFUNCTION("""COMPUTED_VALUE"""),"Pedagogia")</f>
        <v>Pedagogia</v>
      </c>
      <c r="D838" s="390"/>
      <c r="E838" s="390"/>
      <c r="F838" s="390"/>
      <c r="G838" s="390"/>
      <c r="H838" s="390"/>
      <c r="I838" s="390"/>
      <c r="J838" s="390"/>
      <c r="K838" s="390"/>
      <c r="L838" s="390"/>
      <c r="M838" s="390"/>
      <c r="N838" s="390"/>
      <c r="O838" s="390"/>
      <c r="P838" s="390"/>
      <c r="Q838" s="390"/>
      <c r="R838" s="390"/>
      <c r="S838" s="390"/>
      <c r="T838" s="390"/>
      <c r="U838" s="390"/>
      <c r="V838" s="390"/>
      <c r="W838" s="390"/>
      <c r="X838" s="390"/>
      <c r="Y838" s="390"/>
    </row>
    <row r="839">
      <c r="A839" s="390" t="str">
        <f>IFERROR(__xludf.DUMMYFUNCTION("""COMPUTED_VALUE"""),"Beatriz de Godoi Impallatore")</f>
        <v>Beatriz de Godoi Impallatore</v>
      </c>
      <c r="B839" s="390" t="str">
        <f>IFERROR(__xludf.DUMMYFUNCTION("""COMPUTED_VALUE"""),"2° Licenciatura")</f>
        <v>2° Licenciatura</v>
      </c>
      <c r="C839" s="390" t="str">
        <f>IFERROR(__xludf.DUMMYFUNCTION("""COMPUTED_VALUE"""),"Pedagogia")</f>
        <v>Pedagogia</v>
      </c>
      <c r="D839" s="390"/>
      <c r="E839" s="390"/>
      <c r="F839" s="390"/>
      <c r="G839" s="390"/>
      <c r="H839" s="390"/>
      <c r="I839" s="390"/>
      <c r="J839" s="390"/>
      <c r="K839" s="390"/>
      <c r="L839" s="390"/>
      <c r="M839" s="390"/>
      <c r="N839" s="390"/>
      <c r="O839" s="390"/>
      <c r="P839" s="390"/>
      <c r="Q839" s="390"/>
      <c r="R839" s="390"/>
      <c r="S839" s="390"/>
      <c r="T839" s="390"/>
      <c r="U839" s="390"/>
      <c r="V839" s="390"/>
      <c r="W839" s="390"/>
      <c r="X839" s="390"/>
      <c r="Y839" s="390"/>
    </row>
    <row r="840">
      <c r="A840" s="390" t="str">
        <f>IFERROR(__xludf.DUMMYFUNCTION("""COMPUTED_VALUE"""),"Silvana Campos de Faria")</f>
        <v>Silvana Campos de Faria</v>
      </c>
      <c r="B840" s="390" t="str">
        <f>IFERROR(__xludf.DUMMYFUNCTION("""COMPUTED_VALUE"""),"Form. Pedagógica")</f>
        <v>Form. Pedagógica</v>
      </c>
      <c r="C840" s="390" t="str">
        <f>IFERROR(__xludf.DUMMYFUNCTION("""COMPUTED_VALUE"""),"Pedagogia")</f>
        <v>Pedagogia</v>
      </c>
      <c r="D840" s="390"/>
      <c r="E840" s="390"/>
      <c r="F840" s="390"/>
      <c r="G840" s="390"/>
      <c r="H840" s="390"/>
      <c r="I840" s="390"/>
      <c r="J840" s="390"/>
      <c r="K840" s="390"/>
      <c r="L840" s="390"/>
      <c r="M840" s="390"/>
      <c r="N840" s="390"/>
      <c r="O840" s="390"/>
      <c r="P840" s="390"/>
      <c r="Q840" s="390"/>
      <c r="R840" s="390"/>
      <c r="S840" s="390"/>
      <c r="T840" s="390"/>
      <c r="U840" s="390"/>
      <c r="V840" s="390"/>
      <c r="W840" s="390"/>
      <c r="X840" s="390"/>
      <c r="Y840" s="390"/>
    </row>
    <row r="841">
      <c r="A841" s="390" t="str">
        <f>IFERROR(__xludf.DUMMYFUNCTION("""COMPUTED_VALUE"""),"Rodrigo Maciel Capanema")</f>
        <v>Rodrigo Maciel Capanema</v>
      </c>
      <c r="B841" s="390" t="str">
        <f>IFERROR(__xludf.DUMMYFUNCTION("""COMPUTED_VALUE"""),"2° Licenciatura")</f>
        <v>2° Licenciatura</v>
      </c>
      <c r="C841" s="390" t="str">
        <f>IFERROR(__xludf.DUMMYFUNCTION("""COMPUTED_VALUE"""),"Pedagogia")</f>
        <v>Pedagogia</v>
      </c>
      <c r="D841" s="390"/>
      <c r="E841" s="390"/>
      <c r="F841" s="390"/>
      <c r="G841" s="390"/>
      <c r="H841" s="390"/>
      <c r="I841" s="390"/>
      <c r="J841" s="390"/>
      <c r="K841" s="390"/>
      <c r="L841" s="390"/>
      <c r="M841" s="390"/>
      <c r="N841" s="390"/>
      <c r="O841" s="390"/>
      <c r="P841" s="390"/>
      <c r="Q841" s="390"/>
      <c r="R841" s="390"/>
      <c r="S841" s="390"/>
      <c r="T841" s="390"/>
      <c r="U841" s="390"/>
      <c r="V841" s="390"/>
      <c r="W841" s="390"/>
      <c r="X841" s="390"/>
      <c r="Y841" s="390"/>
    </row>
    <row r="842">
      <c r="A842" s="390" t="str">
        <f>IFERROR(__xludf.DUMMYFUNCTION("""COMPUTED_VALUE"""),"Francimara de Sousa Lima")</f>
        <v>Francimara de Sousa Lima</v>
      </c>
      <c r="B842" s="390" t="str">
        <f>IFERROR(__xludf.DUMMYFUNCTION("""COMPUTED_VALUE"""),"2° Licenciatura")</f>
        <v>2° Licenciatura</v>
      </c>
      <c r="C842" s="390" t="str">
        <f>IFERROR(__xludf.DUMMYFUNCTION("""COMPUTED_VALUE"""),"Pedagogia")</f>
        <v>Pedagogia</v>
      </c>
      <c r="D842" s="390"/>
      <c r="E842" s="390"/>
      <c r="F842" s="390"/>
      <c r="G842" s="390"/>
      <c r="H842" s="390"/>
      <c r="I842" s="390"/>
      <c r="J842" s="390"/>
      <c r="K842" s="390"/>
      <c r="L842" s="390"/>
      <c r="M842" s="390"/>
      <c r="N842" s="390"/>
      <c r="O842" s="390"/>
      <c r="P842" s="390"/>
      <c r="Q842" s="390"/>
      <c r="R842" s="390"/>
      <c r="S842" s="390"/>
      <c r="T842" s="390"/>
      <c r="U842" s="390"/>
      <c r="V842" s="390"/>
      <c r="W842" s="390"/>
      <c r="X842" s="390"/>
      <c r="Y842" s="390"/>
    </row>
    <row r="843">
      <c r="A843" s="390" t="str">
        <f>IFERROR(__xludf.DUMMYFUNCTION("""COMPUTED_VALUE"""),"Dileide Ferreira Camilo")</f>
        <v>Dileide Ferreira Camilo</v>
      </c>
      <c r="B843" s="390" t="str">
        <f>IFERROR(__xludf.DUMMYFUNCTION("""COMPUTED_VALUE"""),"2° Licenciatura")</f>
        <v>2° Licenciatura</v>
      </c>
      <c r="C843" s="390" t="str">
        <f>IFERROR(__xludf.DUMMYFUNCTION("""COMPUTED_VALUE"""),"Pedagogia")</f>
        <v>Pedagogia</v>
      </c>
      <c r="D843" s="390"/>
      <c r="E843" s="390"/>
      <c r="F843" s="390"/>
      <c r="G843" s="390"/>
      <c r="H843" s="390"/>
      <c r="I843" s="390"/>
      <c r="J843" s="390"/>
      <c r="K843" s="390"/>
      <c r="L843" s="390"/>
      <c r="M843" s="390"/>
      <c r="N843" s="390"/>
      <c r="O843" s="390"/>
      <c r="P843" s="390"/>
      <c r="Q843" s="390"/>
      <c r="R843" s="390"/>
      <c r="S843" s="390"/>
      <c r="T843" s="390"/>
      <c r="U843" s="390"/>
      <c r="V843" s="390"/>
      <c r="W843" s="390"/>
      <c r="X843" s="390"/>
      <c r="Y843" s="390"/>
    </row>
    <row r="844">
      <c r="A844" s="390" t="str">
        <f>IFERROR(__xludf.DUMMYFUNCTION("""COMPUTED_VALUE"""),"Francisca Dantas de Almeida (Solicitar comprovante de endereço)")</f>
        <v>Francisca Dantas de Almeida (Solicitar comprovante de endereço)</v>
      </c>
      <c r="B844" s="390" t="str">
        <f>IFERROR(__xludf.DUMMYFUNCTION("""COMPUTED_VALUE"""),"2° Licenciatura")</f>
        <v>2° Licenciatura</v>
      </c>
      <c r="C844" s="390" t="str">
        <f>IFERROR(__xludf.DUMMYFUNCTION("""COMPUTED_VALUE"""),"Pedagogia")</f>
        <v>Pedagogia</v>
      </c>
      <c r="D844" s="390"/>
      <c r="E844" s="390"/>
      <c r="F844" s="390"/>
      <c r="G844" s="390"/>
      <c r="H844" s="390"/>
      <c r="I844" s="390"/>
      <c r="J844" s="390"/>
      <c r="K844" s="390"/>
      <c r="L844" s="390"/>
      <c r="M844" s="390"/>
      <c r="N844" s="390"/>
      <c r="O844" s="390"/>
      <c r="P844" s="390"/>
      <c r="Q844" s="390"/>
      <c r="R844" s="390"/>
      <c r="S844" s="390"/>
      <c r="T844" s="390"/>
      <c r="U844" s="390"/>
      <c r="V844" s="390"/>
      <c r="W844" s="390"/>
      <c r="X844" s="390"/>
      <c r="Y844" s="390"/>
    </row>
    <row r="845">
      <c r="A845" s="390" t="str">
        <f>IFERROR(__xludf.DUMMYFUNCTION("""COMPUTED_VALUE"""),"Patrícia de Cássia Ramos Barbosa (DOCUMENTOS NÃO ENCONTRADOS)")</f>
        <v>Patrícia de Cássia Ramos Barbosa (DOCUMENTOS NÃO ENCONTRADOS)</v>
      </c>
      <c r="B845" s="390" t="str">
        <f>IFERROR(__xludf.DUMMYFUNCTION("""COMPUTED_VALUE"""),"2° Licenciatura")</f>
        <v>2° Licenciatura</v>
      </c>
      <c r="C845" s="390" t="str">
        <f>IFERROR(__xludf.DUMMYFUNCTION("""COMPUTED_VALUE"""),"Pedagogia")</f>
        <v>Pedagogia</v>
      </c>
      <c r="D845" s="390"/>
      <c r="E845" s="390"/>
      <c r="F845" s="390"/>
      <c r="G845" s="390"/>
      <c r="H845" s="390"/>
      <c r="I845" s="390"/>
      <c r="J845" s="390"/>
      <c r="K845" s="390"/>
      <c r="L845" s="390"/>
      <c r="M845" s="390"/>
      <c r="N845" s="390"/>
      <c r="O845" s="390"/>
      <c r="P845" s="390"/>
      <c r="Q845" s="390"/>
      <c r="R845" s="390"/>
      <c r="S845" s="390"/>
      <c r="T845" s="390"/>
      <c r="U845" s="390"/>
      <c r="V845" s="390"/>
      <c r="W845" s="390"/>
      <c r="X845" s="390"/>
      <c r="Y845" s="390"/>
    </row>
    <row r="846">
      <c r="A846" s="390" t="str">
        <f>IFERROR(__xludf.DUMMYFUNCTION("""COMPUTED_VALUE"""),"Ricardo Luiz Rodrigues")</f>
        <v>Ricardo Luiz Rodrigues</v>
      </c>
      <c r="B846" s="390" t="str">
        <f>IFERROR(__xludf.DUMMYFUNCTION("""COMPUTED_VALUE"""),"2° Licenciatura")</f>
        <v>2° Licenciatura</v>
      </c>
      <c r="C846" s="390" t="str">
        <f>IFERROR(__xludf.DUMMYFUNCTION("""COMPUTED_VALUE"""),"Pedagogia")</f>
        <v>Pedagogia</v>
      </c>
      <c r="D846" s="390"/>
      <c r="E846" s="390"/>
      <c r="F846" s="390"/>
      <c r="G846" s="390"/>
      <c r="H846" s="390"/>
      <c r="I846" s="390"/>
      <c r="J846" s="390"/>
      <c r="K846" s="390"/>
      <c r="L846" s="390"/>
      <c r="M846" s="390"/>
      <c r="N846" s="390"/>
      <c r="O846" s="390"/>
      <c r="P846" s="390"/>
      <c r="Q846" s="390"/>
      <c r="R846" s="390"/>
      <c r="S846" s="390"/>
      <c r="T846" s="390"/>
      <c r="U846" s="390"/>
      <c r="V846" s="390"/>
      <c r="W846" s="390"/>
      <c r="X846" s="390"/>
      <c r="Y846" s="390"/>
    </row>
    <row r="847">
      <c r="A847" s="390" t="str">
        <f>IFERROR(__xludf.DUMMYFUNCTION("""COMPUTED_VALUE"""),"Marina de Freitas Rodrigues Andrade")</f>
        <v>Marina de Freitas Rodrigues Andrade</v>
      </c>
      <c r="B847" s="390" t="str">
        <f>IFERROR(__xludf.DUMMYFUNCTION("""COMPUTED_VALUE"""),"Form. Pedagógica")</f>
        <v>Form. Pedagógica</v>
      </c>
      <c r="C847" s="390" t="str">
        <f>IFERROR(__xludf.DUMMYFUNCTION("""COMPUTED_VALUE"""),"Pedagogia")</f>
        <v>Pedagogia</v>
      </c>
      <c r="D847" s="390"/>
      <c r="E847" s="390"/>
      <c r="F847" s="390"/>
      <c r="G847" s="390"/>
      <c r="H847" s="390"/>
      <c r="I847" s="390"/>
      <c r="J847" s="390"/>
      <c r="K847" s="390"/>
      <c r="L847" s="390"/>
      <c r="M847" s="390"/>
      <c r="N847" s="390"/>
      <c r="O847" s="390"/>
      <c r="P847" s="390"/>
      <c r="Q847" s="390"/>
      <c r="R847" s="390"/>
      <c r="S847" s="390"/>
      <c r="T847" s="390"/>
      <c r="U847" s="390"/>
      <c r="V847" s="390"/>
      <c r="W847" s="390"/>
      <c r="X847" s="390"/>
      <c r="Y847" s="390"/>
    </row>
    <row r="848">
      <c r="A848" s="390" t="str">
        <f>IFERROR(__xludf.DUMMYFUNCTION("""COMPUTED_VALUE"""),"Maria dos Santos Cardoso")</f>
        <v>Maria dos Santos Cardoso</v>
      </c>
      <c r="B848" s="390" t="str">
        <f>IFERROR(__xludf.DUMMYFUNCTION("""COMPUTED_VALUE"""),"2° Licenciatura")</f>
        <v>2° Licenciatura</v>
      </c>
      <c r="C848" s="390" t="str">
        <f>IFERROR(__xludf.DUMMYFUNCTION("""COMPUTED_VALUE"""),"Pedagogia")</f>
        <v>Pedagogia</v>
      </c>
      <c r="D848" s="390"/>
      <c r="E848" s="390"/>
      <c r="F848" s="390"/>
      <c r="G848" s="390"/>
      <c r="H848" s="390"/>
      <c r="I848" s="390"/>
      <c r="J848" s="390"/>
      <c r="K848" s="390"/>
      <c r="L848" s="390"/>
      <c r="M848" s="390"/>
      <c r="N848" s="390"/>
      <c r="O848" s="390"/>
      <c r="P848" s="390"/>
      <c r="Q848" s="390"/>
      <c r="R848" s="390"/>
      <c r="S848" s="390"/>
      <c r="T848" s="390"/>
      <c r="U848" s="390"/>
      <c r="V848" s="390"/>
      <c r="W848" s="390"/>
      <c r="X848" s="390"/>
      <c r="Y848" s="390"/>
    </row>
    <row r="849">
      <c r="A849" s="390" t="str">
        <f>IFERROR(__xludf.DUMMYFUNCTION("""COMPUTED_VALUE"""),"Cleverson Moreira Lino")</f>
        <v>Cleverson Moreira Lino</v>
      </c>
      <c r="B849" s="390" t="str">
        <f>IFERROR(__xludf.DUMMYFUNCTION("""COMPUTED_VALUE"""),"2° Licenciatura")</f>
        <v>2° Licenciatura</v>
      </c>
      <c r="C849" s="390" t="str">
        <f>IFERROR(__xludf.DUMMYFUNCTION("""COMPUTED_VALUE"""),"Pedagogia")</f>
        <v>Pedagogia</v>
      </c>
      <c r="D849" s="390"/>
      <c r="E849" s="390"/>
      <c r="F849" s="390"/>
      <c r="G849" s="390"/>
      <c r="H849" s="390"/>
      <c r="I849" s="390"/>
      <c r="J849" s="390"/>
      <c r="K849" s="390"/>
      <c r="L849" s="390"/>
      <c r="M849" s="390"/>
      <c r="N849" s="390"/>
      <c r="O849" s="390"/>
      <c r="P849" s="390"/>
      <c r="Q849" s="390"/>
      <c r="R849" s="390"/>
      <c r="S849" s="390"/>
      <c r="T849" s="390"/>
      <c r="U849" s="390"/>
      <c r="V849" s="390"/>
      <c r="W849" s="390"/>
      <c r="X849" s="390"/>
      <c r="Y849" s="390"/>
    </row>
    <row r="850">
      <c r="A850" s="390" t="str">
        <f>IFERROR(__xludf.DUMMYFUNCTION("""COMPUTED_VALUE"""),"Alessandra Bento da Silva dos Santos")</f>
        <v>Alessandra Bento da Silva dos Santos</v>
      </c>
      <c r="B850" s="390" t="str">
        <f>IFERROR(__xludf.DUMMYFUNCTION("""COMPUTED_VALUE"""),"Form. Pedagógica")</f>
        <v>Form. Pedagógica</v>
      </c>
      <c r="C850" s="390" t="str">
        <f>IFERROR(__xludf.DUMMYFUNCTION("""COMPUTED_VALUE"""),"Pedagogia")</f>
        <v>Pedagogia</v>
      </c>
      <c r="D850" s="390"/>
      <c r="E850" s="390"/>
      <c r="F850" s="390"/>
      <c r="G850" s="390"/>
      <c r="H850" s="390"/>
      <c r="I850" s="390"/>
      <c r="J850" s="390"/>
      <c r="K850" s="390"/>
      <c r="L850" s="390"/>
      <c r="M850" s="390"/>
      <c r="N850" s="390"/>
      <c r="O850" s="390"/>
      <c r="P850" s="390"/>
      <c r="Q850" s="390"/>
      <c r="R850" s="390"/>
      <c r="S850" s="390"/>
      <c r="T850" s="390"/>
      <c r="U850" s="390"/>
      <c r="V850" s="390"/>
      <c r="W850" s="390"/>
      <c r="X850" s="390"/>
      <c r="Y850" s="390"/>
    </row>
    <row r="851">
      <c r="A851" s="390" t="str">
        <f>IFERROR(__xludf.DUMMYFUNCTION("""COMPUTED_VALUE"""),"Viviane Márcia Gonçalves Silva")</f>
        <v>Viviane Márcia Gonçalves Silva</v>
      </c>
      <c r="B851" s="390" t="str">
        <f>IFERROR(__xludf.DUMMYFUNCTION("""COMPUTED_VALUE"""),"Form. Pedagógica")</f>
        <v>Form. Pedagógica</v>
      </c>
      <c r="C851" s="390" t="str">
        <f>IFERROR(__xludf.DUMMYFUNCTION("""COMPUTED_VALUE"""),"Pedagogia")</f>
        <v>Pedagogia</v>
      </c>
      <c r="D851" s="390"/>
      <c r="E851" s="390"/>
      <c r="F851" s="390"/>
      <c r="G851" s="390"/>
      <c r="H851" s="390"/>
      <c r="I851" s="390"/>
      <c r="J851" s="390"/>
      <c r="K851" s="390"/>
      <c r="L851" s="390"/>
      <c r="M851" s="390"/>
      <c r="N851" s="390"/>
      <c r="O851" s="390"/>
      <c r="P851" s="390"/>
      <c r="Q851" s="390"/>
      <c r="R851" s="390"/>
      <c r="S851" s="390"/>
      <c r="T851" s="390"/>
      <c r="U851" s="390"/>
      <c r="V851" s="390"/>
      <c r="W851" s="390"/>
      <c r="X851" s="390"/>
      <c r="Y851" s="390"/>
    </row>
    <row r="852">
      <c r="A852" s="390" t="str">
        <f>IFERROR(__xludf.DUMMYFUNCTION("""COMPUTED_VALUE"""),"Benedito Garcia Reboucas Filho")</f>
        <v>Benedito Garcia Reboucas Filho</v>
      </c>
      <c r="B852" s="390" t="str">
        <f>IFERROR(__xludf.DUMMYFUNCTION("""COMPUTED_VALUE"""),"2° Licenciatura")</f>
        <v>2° Licenciatura</v>
      </c>
      <c r="C852" s="390" t="str">
        <f>IFERROR(__xludf.DUMMYFUNCTION("""COMPUTED_VALUE"""),"Pedagogia")</f>
        <v>Pedagogia</v>
      </c>
      <c r="D852" s="390"/>
      <c r="E852" s="390"/>
      <c r="F852" s="390"/>
      <c r="G852" s="390"/>
      <c r="H852" s="390"/>
      <c r="I852" s="390"/>
      <c r="J852" s="390"/>
      <c r="K852" s="390"/>
      <c r="L852" s="390"/>
      <c r="M852" s="390"/>
      <c r="N852" s="390"/>
      <c r="O852" s="390"/>
      <c r="P852" s="390"/>
      <c r="Q852" s="390"/>
      <c r="R852" s="390"/>
      <c r="S852" s="390"/>
      <c r="T852" s="390"/>
      <c r="U852" s="390"/>
      <c r="V852" s="390"/>
      <c r="W852" s="390"/>
      <c r="X852" s="390"/>
      <c r="Y852" s="390"/>
    </row>
    <row r="853">
      <c r="A853" s="390" t="str">
        <f>IFERROR(__xludf.DUMMYFUNCTION("""COMPUTED_VALUE"""),"Janaciara Moreira Ribas")</f>
        <v>Janaciara Moreira Ribas</v>
      </c>
      <c r="B853" s="390" t="str">
        <f>IFERROR(__xludf.DUMMYFUNCTION("""COMPUTED_VALUE"""),"Form. Pedagógica")</f>
        <v>Form. Pedagógica</v>
      </c>
      <c r="C853" s="390" t="str">
        <f>IFERROR(__xludf.DUMMYFUNCTION("""COMPUTED_VALUE"""),"Pedagogia")</f>
        <v>Pedagogia</v>
      </c>
      <c r="D853" s="390"/>
      <c r="E853" s="390"/>
      <c r="F853" s="390"/>
      <c r="G853" s="390"/>
      <c r="H853" s="390"/>
      <c r="I853" s="390"/>
      <c r="J853" s="390"/>
      <c r="K853" s="390"/>
      <c r="L853" s="390"/>
      <c r="M853" s="390"/>
      <c r="N853" s="390"/>
      <c r="O853" s="390"/>
      <c r="P853" s="390"/>
      <c r="Q853" s="390"/>
      <c r="R853" s="390"/>
      <c r="S853" s="390"/>
      <c r="T853" s="390"/>
      <c r="U853" s="390"/>
      <c r="V853" s="390"/>
      <c r="W853" s="390"/>
      <c r="X853" s="390"/>
      <c r="Y853" s="390"/>
    </row>
    <row r="854">
      <c r="A854" s="390" t="str">
        <f>IFERROR(__xludf.DUMMYFUNCTION("""COMPUTED_VALUE"""),"Marinete Dos Santos Pereira")</f>
        <v>Marinete Dos Santos Pereira</v>
      </c>
      <c r="B854" s="390" t="str">
        <f>IFERROR(__xludf.DUMMYFUNCTION("""COMPUTED_VALUE"""),"2° Licenciatura")</f>
        <v>2° Licenciatura</v>
      </c>
      <c r="C854" s="390" t="str">
        <f>IFERROR(__xludf.DUMMYFUNCTION("""COMPUTED_VALUE"""),"Pedagogia")</f>
        <v>Pedagogia</v>
      </c>
      <c r="D854" s="390"/>
      <c r="E854" s="390"/>
      <c r="F854" s="390"/>
      <c r="G854" s="390"/>
      <c r="H854" s="390"/>
      <c r="I854" s="390"/>
      <c r="J854" s="390"/>
      <c r="K854" s="390"/>
      <c r="L854" s="390"/>
      <c r="M854" s="390"/>
      <c r="N854" s="390"/>
      <c r="O854" s="390"/>
      <c r="P854" s="390"/>
      <c r="Q854" s="390"/>
      <c r="R854" s="390"/>
      <c r="S854" s="390"/>
      <c r="T854" s="390"/>
      <c r="U854" s="390"/>
      <c r="V854" s="390"/>
      <c r="W854" s="390"/>
      <c r="X854" s="390"/>
      <c r="Y854" s="390"/>
    </row>
    <row r="855">
      <c r="A855" s="390" t="str">
        <f>IFERROR(__xludf.DUMMYFUNCTION("""COMPUTED_VALUE"""),"Amanda Gusmão de Souza Goebel")</f>
        <v>Amanda Gusmão de Souza Goebel</v>
      </c>
      <c r="B855" s="390" t="str">
        <f>IFERROR(__xludf.DUMMYFUNCTION("""COMPUTED_VALUE"""),"Form. Pedagógica")</f>
        <v>Form. Pedagógica</v>
      </c>
      <c r="C855" s="390" t="str">
        <f>IFERROR(__xludf.DUMMYFUNCTION("""COMPUTED_VALUE"""),"Pedagogia")</f>
        <v>Pedagogia</v>
      </c>
      <c r="D855" s="390"/>
      <c r="E855" s="390"/>
      <c r="F855" s="390"/>
      <c r="G855" s="390"/>
      <c r="H855" s="390"/>
      <c r="I855" s="390"/>
      <c r="J855" s="390"/>
      <c r="K855" s="390"/>
      <c r="L855" s="390"/>
      <c r="M855" s="390"/>
      <c r="N855" s="390"/>
      <c r="O855" s="390"/>
      <c r="P855" s="390"/>
      <c r="Q855" s="390"/>
      <c r="R855" s="390"/>
      <c r="S855" s="390"/>
      <c r="T855" s="390"/>
      <c r="U855" s="390"/>
      <c r="V855" s="390"/>
      <c r="W855" s="390"/>
      <c r="X855" s="390"/>
      <c r="Y855" s="390"/>
    </row>
    <row r="856">
      <c r="A856" s="390" t="str">
        <f>IFERROR(__xludf.DUMMYFUNCTION("""COMPUTED_VALUE"""),"Vanessa Machado de Sousa de Lima")</f>
        <v>Vanessa Machado de Sousa de Lima</v>
      </c>
      <c r="B856" s="390" t="str">
        <f>IFERROR(__xludf.DUMMYFUNCTION("""COMPUTED_VALUE"""),"2° Licenciatura")</f>
        <v>2° Licenciatura</v>
      </c>
      <c r="C856" s="390" t="str">
        <f>IFERROR(__xludf.DUMMYFUNCTION("""COMPUTED_VALUE"""),"Pedagogia")</f>
        <v>Pedagogia</v>
      </c>
      <c r="D856" s="390"/>
      <c r="E856" s="390"/>
      <c r="F856" s="390"/>
      <c r="G856" s="390"/>
      <c r="H856" s="390"/>
      <c r="I856" s="390"/>
      <c r="J856" s="390"/>
      <c r="K856" s="390"/>
      <c r="L856" s="390"/>
      <c r="M856" s="390"/>
      <c r="N856" s="390"/>
      <c r="O856" s="390"/>
      <c r="P856" s="390"/>
      <c r="Q856" s="390"/>
      <c r="R856" s="390"/>
      <c r="S856" s="390"/>
      <c r="T856" s="390"/>
      <c r="U856" s="390"/>
      <c r="V856" s="390"/>
      <c r="W856" s="390"/>
      <c r="X856" s="390"/>
      <c r="Y856" s="390"/>
    </row>
    <row r="857">
      <c r="A857" s="390" t="str">
        <f>IFERROR(__xludf.DUMMYFUNCTION("""COMPUTED_VALUE"""),"Aline de Fátima Borges Martins")</f>
        <v>Aline de Fátima Borges Martins</v>
      </c>
      <c r="B857" s="390" t="str">
        <f>IFERROR(__xludf.DUMMYFUNCTION("""COMPUTED_VALUE"""),"2° Licenciatura")</f>
        <v>2° Licenciatura</v>
      </c>
      <c r="C857" s="390" t="str">
        <f>IFERROR(__xludf.DUMMYFUNCTION("""COMPUTED_VALUE"""),"Pedagogia")</f>
        <v>Pedagogia</v>
      </c>
      <c r="D857" s="390"/>
      <c r="E857" s="390"/>
      <c r="F857" s="390"/>
      <c r="G857" s="390"/>
      <c r="H857" s="390"/>
      <c r="I857" s="390"/>
      <c r="J857" s="390"/>
      <c r="K857" s="390"/>
      <c r="L857" s="390"/>
      <c r="M857" s="390"/>
      <c r="N857" s="390"/>
      <c r="O857" s="390"/>
      <c r="P857" s="390"/>
      <c r="Q857" s="390"/>
      <c r="R857" s="390"/>
      <c r="S857" s="390"/>
      <c r="T857" s="390"/>
      <c r="U857" s="390"/>
      <c r="V857" s="390"/>
      <c r="W857" s="390"/>
      <c r="X857" s="390"/>
      <c r="Y857" s="390"/>
    </row>
    <row r="858">
      <c r="A858" s="390" t="str">
        <f>IFERROR(__xludf.DUMMYFUNCTION("""COMPUTED_VALUE"""),"Alexandre Lessa Pereira da Silva")</f>
        <v>Alexandre Lessa Pereira da Silva</v>
      </c>
      <c r="B858" s="390" t="str">
        <f>IFERROR(__xludf.DUMMYFUNCTION("""COMPUTED_VALUE"""),"Form. Pedagógica")</f>
        <v>Form. Pedagógica</v>
      </c>
      <c r="C858" s="390" t="str">
        <f>IFERROR(__xludf.DUMMYFUNCTION("""COMPUTED_VALUE"""),"Pedagogia")</f>
        <v>Pedagogia</v>
      </c>
      <c r="D858" s="390"/>
      <c r="E858" s="390"/>
      <c r="F858" s="390"/>
      <c r="G858" s="390"/>
      <c r="H858" s="390"/>
      <c r="I858" s="390"/>
      <c r="J858" s="390"/>
      <c r="K858" s="390"/>
      <c r="L858" s="390"/>
      <c r="M858" s="390"/>
      <c r="N858" s="390"/>
      <c r="O858" s="390"/>
      <c r="P858" s="390"/>
      <c r="Q858" s="390"/>
      <c r="R858" s="390"/>
      <c r="S858" s="390"/>
      <c r="T858" s="390"/>
      <c r="U858" s="390"/>
      <c r="V858" s="390"/>
      <c r="W858" s="390"/>
      <c r="X858" s="390"/>
      <c r="Y858" s="390"/>
    </row>
    <row r="859">
      <c r="A859" s="390" t="str">
        <f>IFERROR(__xludf.DUMMYFUNCTION("""COMPUTED_VALUE"""),"Gabriela Queiroz Saraiva")</f>
        <v>Gabriela Queiroz Saraiva</v>
      </c>
      <c r="B859" s="390" t="str">
        <f>IFERROR(__xludf.DUMMYFUNCTION("""COMPUTED_VALUE"""),"2° Licenciatura")</f>
        <v>2° Licenciatura</v>
      </c>
      <c r="C859" s="390" t="str">
        <f>IFERROR(__xludf.DUMMYFUNCTION("""COMPUTED_VALUE"""),"Pedagogia")</f>
        <v>Pedagogia</v>
      </c>
      <c r="D859" s="390"/>
      <c r="E859" s="390"/>
      <c r="F859" s="390"/>
      <c r="G859" s="390"/>
      <c r="H859" s="390"/>
      <c r="I859" s="390"/>
      <c r="J859" s="390"/>
      <c r="K859" s="390"/>
      <c r="L859" s="390"/>
      <c r="M859" s="390"/>
      <c r="N859" s="390"/>
      <c r="O859" s="390"/>
      <c r="P859" s="390"/>
      <c r="Q859" s="390"/>
      <c r="R859" s="390"/>
      <c r="S859" s="390"/>
      <c r="T859" s="390"/>
      <c r="U859" s="390"/>
      <c r="V859" s="390"/>
      <c r="W859" s="390"/>
      <c r="X859" s="390"/>
      <c r="Y859" s="390"/>
    </row>
    <row r="860">
      <c r="A860" s="390" t="str">
        <f>IFERROR(__xludf.DUMMYFUNCTION("""COMPUTED_VALUE"""),"Fernanda Viana Azevedo Protasio")</f>
        <v>Fernanda Viana Azevedo Protasio</v>
      </c>
      <c r="B860" s="390" t="str">
        <f>IFERROR(__xludf.DUMMYFUNCTION("""COMPUTED_VALUE"""),"2° Licenciatura")</f>
        <v>2° Licenciatura</v>
      </c>
      <c r="C860" s="390" t="str">
        <f>IFERROR(__xludf.DUMMYFUNCTION("""COMPUTED_VALUE"""),"Pedagogia")</f>
        <v>Pedagogia</v>
      </c>
      <c r="D860" s="390"/>
      <c r="E860" s="390"/>
      <c r="F860" s="390"/>
      <c r="G860" s="390"/>
      <c r="H860" s="390"/>
      <c r="I860" s="390"/>
      <c r="J860" s="390"/>
      <c r="K860" s="390"/>
      <c r="L860" s="390"/>
      <c r="M860" s="390"/>
      <c r="N860" s="390"/>
      <c r="O860" s="390"/>
      <c r="P860" s="390"/>
      <c r="Q860" s="390"/>
      <c r="R860" s="390"/>
      <c r="S860" s="390"/>
      <c r="T860" s="390"/>
      <c r="U860" s="390"/>
      <c r="V860" s="390"/>
      <c r="W860" s="390"/>
      <c r="X860" s="390"/>
      <c r="Y860" s="390"/>
    </row>
    <row r="861">
      <c r="A861" s="390" t="str">
        <f>IFERROR(__xludf.DUMMYFUNCTION("""COMPUTED_VALUE"""),"Hitalo Wedemberg de Andrade Santos")</f>
        <v>Hitalo Wedemberg de Andrade Santos</v>
      </c>
      <c r="B861" s="390" t="str">
        <f>IFERROR(__xludf.DUMMYFUNCTION("""COMPUTED_VALUE"""),"2° Licenciatura")</f>
        <v>2° Licenciatura</v>
      </c>
      <c r="C861" s="390" t="str">
        <f>IFERROR(__xludf.DUMMYFUNCTION("""COMPUTED_VALUE"""),"Pedagogia")</f>
        <v>Pedagogia</v>
      </c>
      <c r="D861" s="390"/>
      <c r="E861" s="390"/>
      <c r="F861" s="390"/>
      <c r="G861" s="390"/>
      <c r="H861" s="390"/>
      <c r="I861" s="390"/>
      <c r="J861" s="390"/>
      <c r="K861" s="390"/>
      <c r="L861" s="390"/>
      <c r="M861" s="390"/>
      <c r="N861" s="390"/>
      <c r="O861" s="390"/>
      <c r="P861" s="390"/>
      <c r="Q861" s="390"/>
      <c r="R861" s="390"/>
      <c r="S861" s="390"/>
      <c r="T861" s="390"/>
      <c r="U861" s="390"/>
      <c r="V861" s="390"/>
      <c r="W861" s="390"/>
      <c r="X861" s="390"/>
      <c r="Y861" s="390"/>
    </row>
    <row r="862">
      <c r="A862" s="390" t="str">
        <f>IFERROR(__xludf.DUMMYFUNCTION("""COMPUTED_VALUE"""),"Olandim de Sousa Sueth")</f>
        <v>Olandim de Sousa Sueth</v>
      </c>
      <c r="B862" s="390" t="str">
        <f>IFERROR(__xludf.DUMMYFUNCTION("""COMPUTED_VALUE"""),"2° Licenciatura")</f>
        <v>2° Licenciatura</v>
      </c>
      <c r="C862" s="390" t="str">
        <f>IFERROR(__xludf.DUMMYFUNCTION("""COMPUTED_VALUE"""),"Pedagogia")</f>
        <v>Pedagogia</v>
      </c>
      <c r="D862" s="390"/>
      <c r="E862" s="390"/>
      <c r="F862" s="390"/>
      <c r="G862" s="390"/>
      <c r="H862" s="390"/>
      <c r="I862" s="390"/>
      <c r="J862" s="390"/>
      <c r="K862" s="390"/>
      <c r="L862" s="390"/>
      <c r="M862" s="390"/>
      <c r="N862" s="390"/>
      <c r="O862" s="390"/>
      <c r="P862" s="390"/>
      <c r="Q862" s="390"/>
      <c r="R862" s="390"/>
      <c r="S862" s="390"/>
      <c r="T862" s="390"/>
      <c r="U862" s="390"/>
      <c r="V862" s="390"/>
      <c r="W862" s="390"/>
      <c r="X862" s="390"/>
      <c r="Y862" s="390"/>
    </row>
    <row r="863">
      <c r="A863" s="390" t="str">
        <f>IFERROR(__xludf.DUMMYFUNCTION("""COMPUTED_VALUE"""),"Cristiane Giamberardino Rochavetz Rosa")</f>
        <v>Cristiane Giamberardino Rochavetz Rosa</v>
      </c>
      <c r="B863" s="390" t="str">
        <f>IFERROR(__xludf.DUMMYFUNCTION("""COMPUTED_VALUE"""),"Form. Pedagógica")</f>
        <v>Form. Pedagógica</v>
      </c>
      <c r="C863" s="390" t="str">
        <f>IFERROR(__xludf.DUMMYFUNCTION("""COMPUTED_VALUE"""),"Pedagogia")</f>
        <v>Pedagogia</v>
      </c>
      <c r="D863" s="390"/>
      <c r="E863" s="390"/>
      <c r="F863" s="390"/>
      <c r="G863" s="390"/>
      <c r="H863" s="390"/>
      <c r="I863" s="390"/>
      <c r="J863" s="390"/>
      <c r="K863" s="390"/>
      <c r="L863" s="390"/>
      <c r="M863" s="390"/>
      <c r="N863" s="390"/>
      <c r="O863" s="390"/>
      <c r="P863" s="390"/>
      <c r="Q863" s="390"/>
      <c r="R863" s="390"/>
      <c r="S863" s="390"/>
      <c r="T863" s="390"/>
      <c r="U863" s="390"/>
      <c r="V863" s="390"/>
      <c r="W863" s="390"/>
      <c r="X863" s="390"/>
      <c r="Y863" s="390"/>
    </row>
    <row r="864">
      <c r="A864" s="390" t="str">
        <f>IFERROR(__xludf.DUMMYFUNCTION("""COMPUTED_VALUE"""),"Amanda Cristina Reis Clauzen")</f>
        <v>Amanda Cristina Reis Clauzen</v>
      </c>
      <c r="B864" s="390" t="str">
        <f>IFERROR(__xludf.DUMMYFUNCTION("""COMPUTED_VALUE"""),"Form. Pedagógica")</f>
        <v>Form. Pedagógica</v>
      </c>
      <c r="C864" s="390" t="str">
        <f>IFERROR(__xludf.DUMMYFUNCTION("""COMPUTED_VALUE"""),"Pedagogia")</f>
        <v>Pedagogia</v>
      </c>
      <c r="D864" s="390"/>
      <c r="E864" s="390"/>
      <c r="F864" s="390"/>
      <c r="G864" s="390"/>
      <c r="H864" s="390"/>
      <c r="I864" s="390"/>
      <c r="J864" s="390"/>
      <c r="K864" s="390"/>
      <c r="L864" s="390"/>
      <c r="M864" s="390"/>
      <c r="N864" s="390"/>
      <c r="O864" s="390"/>
      <c r="P864" s="390"/>
      <c r="Q864" s="390"/>
      <c r="R864" s="390"/>
      <c r="S864" s="390"/>
      <c r="T864" s="390"/>
      <c r="U864" s="390"/>
      <c r="V864" s="390"/>
      <c r="W864" s="390"/>
      <c r="X864" s="390"/>
      <c r="Y864" s="390"/>
    </row>
    <row r="865">
      <c r="A865" s="390" t="str">
        <f>IFERROR(__xludf.DUMMYFUNCTION("""COMPUTED_VALUE"""),"Marcus Wilson Seixas do Nascimento")</f>
        <v>Marcus Wilson Seixas do Nascimento</v>
      </c>
      <c r="B865" s="390" t="str">
        <f>IFERROR(__xludf.DUMMYFUNCTION("""COMPUTED_VALUE"""),"2° Licenciatura")</f>
        <v>2° Licenciatura</v>
      </c>
      <c r="C865" s="390" t="str">
        <f>IFERROR(__xludf.DUMMYFUNCTION("""COMPUTED_VALUE"""),"Pedagogia")</f>
        <v>Pedagogia</v>
      </c>
      <c r="D865" s="390"/>
      <c r="E865" s="390"/>
      <c r="F865" s="390"/>
      <c r="G865" s="390"/>
      <c r="H865" s="390"/>
      <c r="I865" s="390"/>
      <c r="J865" s="390"/>
      <c r="K865" s="390"/>
      <c r="L865" s="390"/>
      <c r="M865" s="390"/>
      <c r="N865" s="390"/>
      <c r="O865" s="390"/>
      <c r="P865" s="390"/>
      <c r="Q865" s="390"/>
      <c r="R865" s="390"/>
      <c r="S865" s="390"/>
      <c r="T865" s="390"/>
      <c r="U865" s="390"/>
      <c r="V865" s="390"/>
      <c r="W865" s="390"/>
      <c r="X865" s="390"/>
      <c r="Y865" s="390"/>
    </row>
    <row r="866">
      <c r="A866" s="390" t="str">
        <f>IFERROR(__xludf.DUMMYFUNCTION("""COMPUTED_VALUE"""),"Maria Victoria González Peña")</f>
        <v>Maria Victoria González Peña</v>
      </c>
      <c r="B866" s="390" t="str">
        <f>IFERROR(__xludf.DUMMYFUNCTION("""COMPUTED_VALUE"""),"2° Licenciatura")</f>
        <v>2° Licenciatura</v>
      </c>
      <c r="C866" s="390" t="str">
        <f>IFERROR(__xludf.DUMMYFUNCTION("""COMPUTED_VALUE"""),"Pedagogia")</f>
        <v>Pedagogia</v>
      </c>
      <c r="D866" s="390"/>
      <c r="E866" s="390"/>
      <c r="F866" s="390"/>
      <c r="G866" s="390"/>
      <c r="H866" s="390"/>
      <c r="I866" s="390"/>
      <c r="J866" s="390"/>
      <c r="K866" s="390"/>
      <c r="L866" s="390"/>
      <c r="M866" s="390"/>
      <c r="N866" s="390"/>
      <c r="O866" s="390"/>
      <c r="P866" s="390"/>
      <c r="Q866" s="390"/>
      <c r="R866" s="390"/>
      <c r="S866" s="390"/>
      <c r="T866" s="390"/>
      <c r="U866" s="390"/>
      <c r="V866" s="390"/>
      <c r="W866" s="390"/>
      <c r="X866" s="390"/>
      <c r="Y866" s="390"/>
    </row>
    <row r="867">
      <c r="A867" s="390" t="str">
        <f>IFERROR(__xludf.DUMMYFUNCTION("""COMPUTED_VALUE"""),"Edilson Furtado Farias")</f>
        <v>Edilson Furtado Farias</v>
      </c>
      <c r="B867" s="390" t="str">
        <f>IFERROR(__xludf.DUMMYFUNCTION("""COMPUTED_VALUE"""),"2° Licenciatura")</f>
        <v>2° Licenciatura</v>
      </c>
      <c r="C867" s="390" t="str">
        <f>IFERROR(__xludf.DUMMYFUNCTION("""COMPUTED_VALUE"""),"Pedagogia")</f>
        <v>Pedagogia</v>
      </c>
      <c r="D867" s="390"/>
      <c r="E867" s="390"/>
      <c r="F867" s="390"/>
      <c r="G867" s="390"/>
      <c r="H867" s="390"/>
      <c r="I867" s="390"/>
      <c r="J867" s="390"/>
      <c r="K867" s="390"/>
      <c r="L867" s="390"/>
      <c r="M867" s="390"/>
      <c r="N867" s="390"/>
      <c r="O867" s="390"/>
      <c r="P867" s="390"/>
      <c r="Q867" s="390"/>
      <c r="R867" s="390"/>
      <c r="S867" s="390"/>
      <c r="T867" s="390"/>
      <c r="U867" s="390"/>
      <c r="V867" s="390"/>
      <c r="W867" s="390"/>
      <c r="X867" s="390"/>
      <c r="Y867" s="390"/>
    </row>
    <row r="868">
      <c r="A868" s="390" t="str">
        <f>IFERROR(__xludf.DUMMYFUNCTION("""COMPUTED_VALUE"""),"Marina Nunes Batista")</f>
        <v>Marina Nunes Batista</v>
      </c>
      <c r="B868" s="390" t="str">
        <f>IFERROR(__xludf.DUMMYFUNCTION("""COMPUTED_VALUE"""),"2° Licenciatura")</f>
        <v>2° Licenciatura</v>
      </c>
      <c r="C868" s="390" t="str">
        <f>IFERROR(__xludf.DUMMYFUNCTION("""COMPUTED_VALUE"""),"Pedagogia")</f>
        <v>Pedagogia</v>
      </c>
      <c r="D868" s="390"/>
      <c r="E868" s="390"/>
      <c r="F868" s="390"/>
      <c r="G868" s="390"/>
      <c r="H868" s="390"/>
      <c r="I868" s="390"/>
      <c r="J868" s="390"/>
      <c r="K868" s="390"/>
      <c r="L868" s="390"/>
      <c r="M868" s="390"/>
      <c r="N868" s="390"/>
      <c r="O868" s="390"/>
      <c r="P868" s="390"/>
      <c r="Q868" s="390"/>
      <c r="R868" s="390"/>
      <c r="S868" s="390"/>
      <c r="T868" s="390"/>
      <c r="U868" s="390"/>
      <c r="V868" s="390"/>
      <c r="W868" s="390"/>
      <c r="X868" s="390"/>
      <c r="Y868" s="390"/>
    </row>
    <row r="869">
      <c r="A869" s="390" t="str">
        <f>IFERROR(__xludf.DUMMYFUNCTION("""COMPUTED_VALUE"""),"Samuel Elói dos Santos")</f>
        <v>Samuel Elói dos Santos</v>
      </c>
      <c r="B869" s="390" t="str">
        <f>IFERROR(__xludf.DUMMYFUNCTION("""COMPUTED_VALUE"""),"2° Licenciatura")</f>
        <v>2° Licenciatura</v>
      </c>
      <c r="C869" s="390" t="str">
        <f>IFERROR(__xludf.DUMMYFUNCTION("""COMPUTED_VALUE"""),"Pedagogia")</f>
        <v>Pedagogia</v>
      </c>
      <c r="D869" s="390"/>
      <c r="E869" s="390"/>
      <c r="F869" s="390"/>
      <c r="G869" s="390"/>
      <c r="H869" s="390"/>
      <c r="I869" s="390"/>
      <c r="J869" s="390"/>
      <c r="K869" s="390"/>
      <c r="L869" s="390"/>
      <c r="M869" s="390"/>
      <c r="N869" s="390"/>
      <c r="O869" s="390"/>
      <c r="P869" s="390"/>
      <c r="Q869" s="390"/>
      <c r="R869" s="390"/>
      <c r="S869" s="390"/>
      <c r="T869" s="390"/>
      <c r="U869" s="390"/>
      <c r="V869" s="390"/>
      <c r="W869" s="390"/>
      <c r="X869" s="390"/>
      <c r="Y869" s="390"/>
    </row>
    <row r="870">
      <c r="A870" s="390" t="str">
        <f>IFERROR(__xludf.DUMMYFUNCTION("""COMPUTED_VALUE"""),"Wilson Roberto Diamente")</f>
        <v>Wilson Roberto Diamente</v>
      </c>
      <c r="B870" s="390" t="str">
        <f>IFERROR(__xludf.DUMMYFUNCTION("""COMPUTED_VALUE"""),"2° Licenciatura")</f>
        <v>2° Licenciatura</v>
      </c>
      <c r="C870" s="390" t="str">
        <f>IFERROR(__xludf.DUMMYFUNCTION("""COMPUTED_VALUE"""),"Pedagogia")</f>
        <v>Pedagogia</v>
      </c>
      <c r="D870" s="390"/>
      <c r="E870" s="390"/>
      <c r="F870" s="390"/>
      <c r="G870" s="390"/>
      <c r="H870" s="390"/>
      <c r="I870" s="390"/>
      <c r="J870" s="390"/>
      <c r="K870" s="390"/>
      <c r="L870" s="390"/>
      <c r="M870" s="390"/>
      <c r="N870" s="390"/>
      <c r="O870" s="390"/>
      <c r="P870" s="390"/>
      <c r="Q870" s="390"/>
      <c r="R870" s="390"/>
      <c r="S870" s="390"/>
      <c r="T870" s="390"/>
      <c r="U870" s="390"/>
      <c r="V870" s="390"/>
      <c r="W870" s="390"/>
      <c r="X870" s="390"/>
      <c r="Y870" s="390"/>
    </row>
    <row r="871">
      <c r="A871" s="390" t="str">
        <f>IFERROR(__xludf.DUMMYFUNCTION("""COMPUTED_VALUE"""),"Maria Elvira Pereira Tremonte")</f>
        <v>Maria Elvira Pereira Tremonte</v>
      </c>
      <c r="B871" s="390" t="str">
        <f>IFERROR(__xludf.DUMMYFUNCTION("""COMPUTED_VALUE"""),"2° Licenciatura")</f>
        <v>2° Licenciatura</v>
      </c>
      <c r="C871" s="390" t="str">
        <f>IFERROR(__xludf.DUMMYFUNCTION("""COMPUTED_VALUE"""),"Pedagogia")</f>
        <v>Pedagogia</v>
      </c>
      <c r="D871" s="390"/>
      <c r="E871" s="390"/>
      <c r="F871" s="390"/>
      <c r="G871" s="390"/>
      <c r="H871" s="390"/>
      <c r="I871" s="390"/>
      <c r="J871" s="390"/>
      <c r="K871" s="390"/>
      <c r="L871" s="390"/>
      <c r="M871" s="390"/>
      <c r="N871" s="390"/>
      <c r="O871" s="390"/>
      <c r="P871" s="390"/>
      <c r="Q871" s="390"/>
      <c r="R871" s="390"/>
      <c r="S871" s="390"/>
      <c r="T871" s="390"/>
      <c r="U871" s="390"/>
      <c r="V871" s="390"/>
      <c r="W871" s="390"/>
      <c r="X871" s="390"/>
      <c r="Y871" s="390"/>
    </row>
    <row r="872">
      <c r="A872" s="390" t="str">
        <f>IFERROR(__xludf.DUMMYFUNCTION("""COMPUTED_VALUE"""),"Rosalita Ferreira Melo")</f>
        <v>Rosalita Ferreira Melo</v>
      </c>
      <c r="B872" s="390" t="str">
        <f>IFERROR(__xludf.DUMMYFUNCTION("""COMPUTED_VALUE"""),"2° Licenciatura")</f>
        <v>2° Licenciatura</v>
      </c>
      <c r="C872" s="390" t="str">
        <f>IFERROR(__xludf.DUMMYFUNCTION("""COMPUTED_VALUE"""),"Pedagogia")</f>
        <v>Pedagogia</v>
      </c>
      <c r="D872" s="390"/>
      <c r="E872" s="390"/>
      <c r="F872" s="390"/>
      <c r="G872" s="390"/>
      <c r="H872" s="390"/>
      <c r="I872" s="390"/>
      <c r="J872" s="390"/>
      <c r="K872" s="390"/>
      <c r="L872" s="390"/>
      <c r="M872" s="390"/>
      <c r="N872" s="390"/>
      <c r="O872" s="390"/>
      <c r="P872" s="390"/>
      <c r="Q872" s="390"/>
      <c r="R872" s="390"/>
      <c r="S872" s="390"/>
      <c r="T872" s="390"/>
      <c r="U872" s="390"/>
      <c r="V872" s="390"/>
      <c r="W872" s="390"/>
      <c r="X872" s="390"/>
      <c r="Y872" s="390"/>
    </row>
    <row r="873">
      <c r="A873" s="390" t="str">
        <f>IFERROR(__xludf.DUMMYFUNCTION("""COMPUTED_VALUE"""),"Iara Lázara Batista de Souza")</f>
        <v>Iara Lázara Batista de Souza</v>
      </c>
      <c r="B873" s="390" t="str">
        <f>IFERROR(__xludf.DUMMYFUNCTION("""COMPUTED_VALUE"""),"2° Licenciatura")</f>
        <v>2° Licenciatura</v>
      </c>
      <c r="C873" s="390" t="str">
        <f>IFERROR(__xludf.DUMMYFUNCTION("""COMPUTED_VALUE"""),"Pedagogia")</f>
        <v>Pedagogia</v>
      </c>
      <c r="D873" s="390"/>
      <c r="E873" s="390"/>
      <c r="F873" s="390"/>
      <c r="G873" s="390"/>
      <c r="H873" s="390"/>
      <c r="I873" s="390"/>
      <c r="J873" s="390"/>
      <c r="K873" s="390"/>
      <c r="L873" s="390"/>
      <c r="M873" s="390"/>
      <c r="N873" s="390"/>
      <c r="O873" s="390"/>
      <c r="P873" s="390"/>
      <c r="Q873" s="390"/>
      <c r="R873" s="390"/>
      <c r="S873" s="390"/>
      <c r="T873" s="390"/>
      <c r="U873" s="390"/>
      <c r="V873" s="390"/>
      <c r="W873" s="390"/>
      <c r="X873" s="390"/>
      <c r="Y873" s="390"/>
    </row>
    <row r="874">
      <c r="A874" s="390" t="str">
        <f>IFERROR(__xludf.DUMMYFUNCTION("""COMPUTED_VALUE"""),"Breno Sozinho Pinheiro")</f>
        <v>Breno Sozinho Pinheiro</v>
      </c>
      <c r="B874" s="390" t="str">
        <f>IFERROR(__xludf.DUMMYFUNCTION("""COMPUTED_VALUE"""),"2° Licenciatura")</f>
        <v>2° Licenciatura</v>
      </c>
      <c r="C874" s="390" t="str">
        <f>IFERROR(__xludf.DUMMYFUNCTION("""COMPUTED_VALUE"""),"Pedagogia")</f>
        <v>Pedagogia</v>
      </c>
      <c r="D874" s="390"/>
      <c r="E874" s="390"/>
      <c r="F874" s="390"/>
      <c r="G874" s="390"/>
      <c r="H874" s="390"/>
      <c r="I874" s="390"/>
      <c r="J874" s="390"/>
      <c r="K874" s="390"/>
      <c r="L874" s="390"/>
      <c r="M874" s="390"/>
      <c r="N874" s="390"/>
      <c r="O874" s="390"/>
      <c r="P874" s="390"/>
      <c r="Q874" s="390"/>
      <c r="R874" s="390"/>
      <c r="S874" s="390"/>
      <c r="T874" s="390"/>
      <c r="U874" s="390"/>
      <c r="V874" s="390"/>
      <c r="W874" s="390"/>
      <c r="X874" s="390"/>
      <c r="Y874" s="390"/>
    </row>
    <row r="875">
      <c r="A875" s="390" t="str">
        <f>IFERROR(__xludf.DUMMYFUNCTION("""COMPUTED_VALUE"""),"Edlenne Cristina Pereira Rodrigues dos Santos")</f>
        <v>Edlenne Cristina Pereira Rodrigues dos Santos</v>
      </c>
      <c r="B875" s="390" t="str">
        <f>IFERROR(__xludf.DUMMYFUNCTION("""COMPUTED_VALUE"""),"2° Licenciatura")</f>
        <v>2° Licenciatura</v>
      </c>
      <c r="C875" s="390" t="str">
        <f>IFERROR(__xludf.DUMMYFUNCTION("""COMPUTED_VALUE"""),"Pedagogia")</f>
        <v>Pedagogia</v>
      </c>
      <c r="D875" s="390"/>
      <c r="E875" s="390"/>
      <c r="F875" s="390"/>
      <c r="G875" s="390"/>
      <c r="H875" s="390"/>
      <c r="I875" s="390"/>
      <c r="J875" s="390"/>
      <c r="K875" s="390"/>
      <c r="L875" s="390"/>
      <c r="M875" s="390"/>
      <c r="N875" s="390"/>
      <c r="O875" s="390"/>
      <c r="P875" s="390"/>
      <c r="Q875" s="390"/>
      <c r="R875" s="390"/>
      <c r="S875" s="390"/>
      <c r="T875" s="390"/>
      <c r="U875" s="390"/>
      <c r="V875" s="390"/>
      <c r="W875" s="390"/>
      <c r="X875" s="390"/>
      <c r="Y875" s="390"/>
    </row>
    <row r="876">
      <c r="A876" s="390" t="str">
        <f>IFERROR(__xludf.DUMMYFUNCTION("""COMPUTED_VALUE"""),"Luis Eduardo Kreling Vanzella")</f>
        <v>Luis Eduardo Kreling Vanzella</v>
      </c>
      <c r="B876" s="390" t="str">
        <f>IFERROR(__xludf.DUMMYFUNCTION("""COMPUTED_VALUE"""),"Form. Pedagógica")</f>
        <v>Form. Pedagógica</v>
      </c>
      <c r="C876" s="390" t="str">
        <f>IFERROR(__xludf.DUMMYFUNCTION("""COMPUTED_VALUE"""),"Pedagogia")</f>
        <v>Pedagogia</v>
      </c>
      <c r="D876" s="390"/>
      <c r="E876" s="390"/>
      <c r="F876" s="390"/>
      <c r="G876" s="390"/>
      <c r="H876" s="390"/>
      <c r="I876" s="390"/>
      <c r="J876" s="390"/>
      <c r="K876" s="390"/>
      <c r="L876" s="390"/>
      <c r="M876" s="390"/>
      <c r="N876" s="390"/>
      <c r="O876" s="390"/>
      <c r="P876" s="390"/>
      <c r="Q876" s="390"/>
      <c r="R876" s="390"/>
      <c r="S876" s="390"/>
      <c r="T876" s="390"/>
      <c r="U876" s="390"/>
      <c r="V876" s="390"/>
      <c r="W876" s="390"/>
      <c r="X876" s="390"/>
      <c r="Y876" s="390"/>
    </row>
    <row r="877">
      <c r="A877" s="390" t="str">
        <f>IFERROR(__xludf.DUMMYFUNCTION("""COMPUTED_VALUE"""),"Igor Tavares farias costa")</f>
        <v>Igor Tavares farias costa</v>
      </c>
      <c r="B877" s="390" t="str">
        <f>IFERROR(__xludf.DUMMYFUNCTION("""COMPUTED_VALUE"""),"2° Licenciatura")</f>
        <v>2° Licenciatura</v>
      </c>
      <c r="C877" s="390" t="str">
        <f>IFERROR(__xludf.DUMMYFUNCTION("""COMPUTED_VALUE"""),"Pedagogia")</f>
        <v>Pedagogia</v>
      </c>
      <c r="D877" s="390"/>
      <c r="E877" s="390"/>
      <c r="F877" s="390"/>
      <c r="G877" s="390"/>
      <c r="H877" s="390"/>
      <c r="I877" s="390"/>
      <c r="J877" s="390"/>
      <c r="K877" s="390"/>
      <c r="L877" s="390"/>
      <c r="M877" s="390"/>
      <c r="N877" s="390"/>
      <c r="O877" s="390"/>
      <c r="P877" s="390"/>
      <c r="Q877" s="390"/>
      <c r="R877" s="390"/>
      <c r="S877" s="390"/>
      <c r="T877" s="390"/>
      <c r="U877" s="390"/>
      <c r="V877" s="390"/>
      <c r="W877" s="390"/>
      <c r="X877" s="390"/>
      <c r="Y877" s="390"/>
    </row>
    <row r="878">
      <c r="A878" s="390" t="str">
        <f>IFERROR(__xludf.DUMMYFUNCTION("""COMPUTED_VALUE"""),"Jhonathan Antonny de Sousa Santos Machado")</f>
        <v>Jhonathan Antonny de Sousa Santos Machado</v>
      </c>
      <c r="B878" s="390" t="str">
        <f>IFERROR(__xludf.DUMMYFUNCTION("""COMPUTED_VALUE"""),"2° Licenciatura")</f>
        <v>2° Licenciatura</v>
      </c>
      <c r="C878" s="390" t="str">
        <f>IFERROR(__xludf.DUMMYFUNCTION("""COMPUTED_VALUE"""),"Pedagogia")</f>
        <v>Pedagogia</v>
      </c>
      <c r="D878" s="390"/>
      <c r="E878" s="390"/>
      <c r="F878" s="390"/>
      <c r="G878" s="390"/>
      <c r="H878" s="390"/>
      <c r="I878" s="390"/>
      <c r="J878" s="390"/>
      <c r="K878" s="390"/>
      <c r="L878" s="390"/>
      <c r="M878" s="390"/>
      <c r="N878" s="390"/>
      <c r="O878" s="390"/>
      <c r="P878" s="390"/>
      <c r="Q878" s="390"/>
      <c r="R878" s="390"/>
      <c r="S878" s="390"/>
      <c r="T878" s="390"/>
      <c r="U878" s="390"/>
      <c r="V878" s="390"/>
      <c r="W878" s="390"/>
      <c r="X878" s="390"/>
      <c r="Y878" s="390"/>
    </row>
    <row r="879">
      <c r="A879" s="390" t="str">
        <f>IFERROR(__xludf.DUMMYFUNCTION("""COMPUTED_VALUE"""),"Patrícia Costa Almeida ")</f>
        <v>Patrícia Costa Almeida </v>
      </c>
      <c r="B879" s="390" t="str">
        <f>IFERROR(__xludf.DUMMYFUNCTION("""COMPUTED_VALUE"""),"Diplomação por competência")</f>
        <v>Diplomação por competência</v>
      </c>
      <c r="C879" s="390" t="str">
        <f>IFERROR(__xludf.DUMMYFUNCTION("""COMPUTED_VALUE"""),"Pedagogia")</f>
        <v>Pedagogia</v>
      </c>
      <c r="D879" s="390"/>
      <c r="E879" s="390"/>
      <c r="F879" s="390"/>
      <c r="G879" s="390"/>
      <c r="H879" s="390"/>
      <c r="I879" s="390"/>
      <c r="J879" s="390"/>
      <c r="K879" s="390"/>
      <c r="L879" s="390"/>
      <c r="M879" s="390"/>
      <c r="N879" s="390"/>
      <c r="O879" s="390"/>
      <c r="P879" s="390"/>
      <c r="Q879" s="390"/>
      <c r="R879" s="390"/>
      <c r="S879" s="390"/>
      <c r="T879" s="390"/>
      <c r="U879" s="390"/>
      <c r="V879" s="390"/>
      <c r="W879" s="390"/>
      <c r="X879" s="390"/>
      <c r="Y879" s="390"/>
    </row>
    <row r="880">
      <c r="A880" s="390" t="str">
        <f>IFERROR(__xludf.DUMMYFUNCTION("""COMPUTED_VALUE"""),"Raphael Oliveira de Lima")</f>
        <v>Raphael Oliveira de Lima</v>
      </c>
      <c r="B880" s="390" t="str">
        <f>IFERROR(__xludf.DUMMYFUNCTION("""COMPUTED_VALUE"""),"2° Licenciatura")</f>
        <v>2° Licenciatura</v>
      </c>
      <c r="C880" s="390" t="str">
        <f>IFERROR(__xludf.DUMMYFUNCTION("""COMPUTED_VALUE"""),"Pedagogia")</f>
        <v>Pedagogia</v>
      </c>
      <c r="D880" s="390"/>
      <c r="E880" s="390"/>
      <c r="F880" s="390"/>
      <c r="G880" s="390"/>
      <c r="H880" s="390"/>
      <c r="I880" s="390"/>
      <c r="J880" s="390"/>
      <c r="K880" s="390"/>
      <c r="L880" s="390"/>
      <c r="M880" s="390"/>
      <c r="N880" s="390"/>
      <c r="O880" s="390"/>
      <c r="P880" s="390"/>
      <c r="Q880" s="390"/>
      <c r="R880" s="390"/>
      <c r="S880" s="390"/>
      <c r="T880" s="390"/>
      <c r="U880" s="390"/>
      <c r="V880" s="390"/>
      <c r="W880" s="390"/>
      <c r="X880" s="390"/>
      <c r="Y880" s="390"/>
    </row>
    <row r="881">
      <c r="A881" s="390" t="str">
        <f>IFERROR(__xludf.DUMMYFUNCTION("""COMPUTED_VALUE"""),"Dejivane Marla Lúcia dos Santos")</f>
        <v>Dejivane Marla Lúcia dos Santos</v>
      </c>
      <c r="B881" s="390" t="str">
        <f>IFERROR(__xludf.DUMMYFUNCTION("""COMPUTED_VALUE"""),"Form. Pedagógica")</f>
        <v>Form. Pedagógica</v>
      </c>
      <c r="C881" s="390" t="str">
        <f>IFERROR(__xludf.DUMMYFUNCTION("""COMPUTED_VALUE"""),"Pedagogia")</f>
        <v>Pedagogia</v>
      </c>
      <c r="D881" s="390"/>
      <c r="E881" s="390"/>
      <c r="F881" s="390"/>
      <c r="G881" s="390"/>
      <c r="H881" s="390"/>
      <c r="I881" s="390"/>
      <c r="J881" s="390"/>
      <c r="K881" s="390"/>
      <c r="L881" s="390"/>
      <c r="M881" s="390"/>
      <c r="N881" s="390"/>
      <c r="O881" s="390"/>
      <c r="P881" s="390"/>
      <c r="Q881" s="390"/>
      <c r="R881" s="390"/>
      <c r="S881" s="390"/>
      <c r="T881" s="390"/>
      <c r="U881" s="390"/>
      <c r="V881" s="390"/>
      <c r="W881" s="390"/>
      <c r="X881" s="390"/>
      <c r="Y881" s="390"/>
    </row>
    <row r="882">
      <c r="A882" s="390" t="str">
        <f>IFERROR(__xludf.DUMMYFUNCTION("""COMPUTED_VALUE"""),"Fernanda Ferreira Lima")</f>
        <v>Fernanda Ferreira Lima</v>
      </c>
      <c r="B882" s="390" t="str">
        <f>IFERROR(__xludf.DUMMYFUNCTION("""COMPUTED_VALUE"""),"2° Licenciatura")</f>
        <v>2° Licenciatura</v>
      </c>
      <c r="C882" s="390" t="str">
        <f>IFERROR(__xludf.DUMMYFUNCTION("""COMPUTED_VALUE"""),"Pedagogia")</f>
        <v>Pedagogia</v>
      </c>
      <c r="D882" s="390"/>
      <c r="E882" s="390"/>
      <c r="F882" s="390"/>
      <c r="G882" s="390"/>
      <c r="H882" s="390"/>
      <c r="I882" s="390"/>
      <c r="J882" s="390"/>
      <c r="K882" s="390"/>
      <c r="L882" s="390"/>
      <c r="M882" s="390"/>
      <c r="N882" s="390"/>
      <c r="O882" s="390"/>
      <c r="P882" s="390"/>
      <c r="Q882" s="390"/>
      <c r="R882" s="390"/>
      <c r="S882" s="390"/>
      <c r="T882" s="390"/>
      <c r="U882" s="390"/>
      <c r="V882" s="390"/>
      <c r="W882" s="390"/>
      <c r="X882" s="390"/>
      <c r="Y882" s="390"/>
    </row>
    <row r="883">
      <c r="A883" s="390" t="str">
        <f>IFERROR(__xludf.DUMMYFUNCTION("""COMPUTED_VALUE"""),"Márcia Pires de Almeida Santos")</f>
        <v>Márcia Pires de Almeida Santos</v>
      </c>
      <c r="B883" s="390" t="str">
        <f>IFERROR(__xludf.DUMMYFUNCTION("""COMPUTED_VALUE"""),"2° Licenciatura")</f>
        <v>2° Licenciatura</v>
      </c>
      <c r="C883" s="390" t="str">
        <f>IFERROR(__xludf.DUMMYFUNCTION("""COMPUTED_VALUE"""),"Pedagogia")</f>
        <v>Pedagogia</v>
      </c>
      <c r="D883" s="390"/>
      <c r="E883" s="390"/>
      <c r="F883" s="390"/>
      <c r="G883" s="390"/>
      <c r="H883" s="390"/>
      <c r="I883" s="390"/>
      <c r="J883" s="390"/>
      <c r="K883" s="390"/>
      <c r="L883" s="390"/>
      <c r="M883" s="390"/>
      <c r="N883" s="390"/>
      <c r="O883" s="390"/>
      <c r="P883" s="390"/>
      <c r="Q883" s="390"/>
      <c r="R883" s="390"/>
      <c r="S883" s="390"/>
      <c r="T883" s="390"/>
      <c r="U883" s="390"/>
      <c r="V883" s="390"/>
      <c r="W883" s="390"/>
      <c r="X883" s="390"/>
      <c r="Y883" s="390"/>
    </row>
    <row r="884">
      <c r="A884" s="390" t="str">
        <f>IFERROR(__xludf.DUMMYFUNCTION("""COMPUTED_VALUE"""),"Letícia Aparecida dos Reis e Silva David")</f>
        <v>Letícia Aparecida dos Reis e Silva David</v>
      </c>
      <c r="B884" s="390" t="str">
        <f>IFERROR(__xludf.DUMMYFUNCTION("""COMPUTED_VALUE"""),"2° Licenciatura")</f>
        <v>2° Licenciatura</v>
      </c>
      <c r="C884" s="390" t="str">
        <f>IFERROR(__xludf.DUMMYFUNCTION("""COMPUTED_VALUE"""),"Pedagogia")</f>
        <v>Pedagogia</v>
      </c>
      <c r="D884" s="390"/>
      <c r="E884" s="390"/>
      <c r="F884" s="390"/>
      <c r="G884" s="390"/>
      <c r="H884" s="390"/>
      <c r="I884" s="390"/>
      <c r="J884" s="390"/>
      <c r="K884" s="390"/>
      <c r="L884" s="390"/>
      <c r="M884" s="390"/>
      <c r="N884" s="390"/>
      <c r="O884" s="390"/>
      <c r="P884" s="390"/>
      <c r="Q884" s="390"/>
      <c r="R884" s="390"/>
      <c r="S884" s="390"/>
      <c r="T884" s="390"/>
      <c r="U884" s="390"/>
      <c r="V884" s="390"/>
      <c r="W884" s="390"/>
      <c r="X884" s="390"/>
      <c r="Y884" s="390"/>
    </row>
    <row r="885">
      <c r="A885" s="390" t="str">
        <f>IFERROR(__xludf.DUMMYFUNCTION("""COMPUTED_VALUE"""),"Andhrew Raphael Nunes Dos Santos")</f>
        <v>Andhrew Raphael Nunes Dos Santos</v>
      </c>
      <c r="B885" s="390" t="str">
        <f>IFERROR(__xludf.DUMMYFUNCTION("""COMPUTED_VALUE"""),"Formação Pedagógica em Música 1200Horas")</f>
        <v>Formação Pedagógica em Música 1200Horas</v>
      </c>
      <c r="C885" s="390" t="str">
        <f>IFERROR(__xludf.DUMMYFUNCTION("""COMPUTED_VALUE"""),"Música")</f>
        <v>Música</v>
      </c>
      <c r="D885" s="390"/>
      <c r="E885" s="390"/>
      <c r="F885" s="390"/>
      <c r="G885" s="390"/>
      <c r="H885" s="390"/>
      <c r="I885" s="390"/>
      <c r="J885" s="390"/>
      <c r="K885" s="390"/>
      <c r="L885" s="390"/>
      <c r="M885" s="390"/>
      <c r="N885" s="390"/>
      <c r="O885" s="390"/>
      <c r="P885" s="390"/>
      <c r="Q885" s="390"/>
      <c r="R885" s="390"/>
      <c r="S885" s="390"/>
      <c r="T885" s="390"/>
      <c r="U885" s="390"/>
      <c r="V885" s="390"/>
      <c r="W885" s="390"/>
      <c r="X885" s="390"/>
      <c r="Y885" s="390"/>
    </row>
    <row r="886">
      <c r="A886" s="390" t="str">
        <f>IFERROR(__xludf.DUMMYFUNCTION("""COMPUTED_VALUE"""),"Antônio José Roque")</f>
        <v>Antônio José Roque</v>
      </c>
      <c r="B886" s="390" t="str">
        <f>IFERROR(__xludf.DUMMYFUNCTION("""COMPUTED_VALUE"""),"Formação Pedagógica em Música 1200Horas")</f>
        <v>Formação Pedagógica em Música 1200Horas</v>
      </c>
      <c r="C886" s="390" t="str">
        <f>IFERROR(__xludf.DUMMYFUNCTION("""COMPUTED_VALUE"""),"Música")</f>
        <v>Música</v>
      </c>
      <c r="D886" s="390"/>
      <c r="E886" s="390"/>
      <c r="F886" s="390"/>
      <c r="G886" s="390"/>
      <c r="H886" s="390"/>
      <c r="I886" s="390"/>
      <c r="J886" s="390"/>
      <c r="K886" s="390"/>
      <c r="L886" s="390"/>
      <c r="M886" s="390"/>
      <c r="N886" s="390"/>
      <c r="O886" s="390"/>
      <c r="P886" s="390"/>
      <c r="Q886" s="390"/>
      <c r="R886" s="390"/>
      <c r="S886" s="390"/>
      <c r="T886" s="390"/>
      <c r="U886" s="390"/>
      <c r="V886" s="390"/>
      <c r="W886" s="390"/>
      <c r="X886" s="390"/>
      <c r="Y886" s="390"/>
    </row>
    <row r="887">
      <c r="A887" s="390" t="str">
        <f>IFERROR(__xludf.DUMMYFUNCTION("""COMPUTED_VALUE"""),"Lindonjonhson Romualdo de França Lima")</f>
        <v>Lindonjonhson Romualdo de França Lima</v>
      </c>
      <c r="B887" s="390" t="str">
        <f>IFERROR(__xludf.DUMMYFUNCTION("""COMPUTED_VALUE"""),"Segunda Licenciatura em Música 1200Horas")</f>
        <v>Segunda Licenciatura em Música 1200Horas</v>
      </c>
      <c r="C887" s="390" t="str">
        <f>IFERROR(__xludf.DUMMYFUNCTION("""COMPUTED_VALUE"""),"Música")</f>
        <v>Música</v>
      </c>
      <c r="D887" s="390"/>
      <c r="E887" s="390"/>
      <c r="F887" s="390"/>
      <c r="G887" s="390"/>
      <c r="H887" s="390"/>
      <c r="I887" s="390"/>
      <c r="J887" s="390"/>
      <c r="K887" s="390"/>
      <c r="L887" s="390"/>
      <c r="M887" s="390"/>
      <c r="N887" s="390"/>
      <c r="O887" s="390"/>
      <c r="P887" s="390"/>
      <c r="Q887" s="390"/>
      <c r="R887" s="390"/>
      <c r="S887" s="390"/>
      <c r="T887" s="390"/>
      <c r="U887" s="390"/>
      <c r="V887" s="390"/>
      <c r="W887" s="390"/>
      <c r="X887" s="390"/>
      <c r="Y887" s="390"/>
    </row>
    <row r="888">
      <c r="A888" s="390" t="str">
        <f>IFERROR(__xludf.DUMMYFUNCTION("""COMPUTED_VALUE"""),"Alexandre Cardoso de Sousa ")</f>
        <v>Alexandre Cardoso de Sousa </v>
      </c>
      <c r="B888" s="390" t="str">
        <f>IFERROR(__xludf.DUMMYFUNCTION("""COMPUTED_VALUE"""),"Segunda Licenciatura em Música 1200Horas")</f>
        <v>Segunda Licenciatura em Música 1200Horas</v>
      </c>
      <c r="C888" s="390" t="str">
        <f>IFERROR(__xludf.DUMMYFUNCTION("""COMPUTED_VALUE"""),"Música")</f>
        <v>Música</v>
      </c>
      <c r="D888" s="390"/>
      <c r="E888" s="390"/>
      <c r="F888" s="390"/>
      <c r="G888" s="390"/>
      <c r="H888" s="390"/>
      <c r="I888" s="390"/>
      <c r="J888" s="390"/>
      <c r="K888" s="390"/>
      <c r="L888" s="390"/>
      <c r="M888" s="390"/>
      <c r="N888" s="390"/>
      <c r="O888" s="390"/>
      <c r="P888" s="390"/>
      <c r="Q888" s="390"/>
      <c r="R888" s="390"/>
      <c r="S888" s="390"/>
      <c r="T888" s="390"/>
      <c r="U888" s="390"/>
      <c r="V888" s="390"/>
      <c r="W888" s="390"/>
      <c r="X888" s="390"/>
      <c r="Y888" s="390"/>
    </row>
    <row r="889">
      <c r="A889" s="390" t="str">
        <f>IFERROR(__xludf.DUMMYFUNCTION("""COMPUTED_VALUE"""),"Ataildo Ferreira Barbosa")</f>
        <v>Ataildo Ferreira Barbosa</v>
      </c>
      <c r="B889" s="390" t="str">
        <f>IFERROR(__xludf.DUMMYFUNCTION("""COMPUTED_VALUE"""),"Segunda Licenciatura em Música 1200Horas")</f>
        <v>Segunda Licenciatura em Música 1200Horas</v>
      </c>
      <c r="C889" s="390" t="str">
        <f>IFERROR(__xludf.DUMMYFUNCTION("""COMPUTED_VALUE"""),"Música")</f>
        <v>Música</v>
      </c>
      <c r="D889" s="390"/>
      <c r="E889" s="390"/>
      <c r="F889" s="390"/>
      <c r="G889" s="390"/>
      <c r="H889" s="390"/>
      <c r="I889" s="390"/>
      <c r="J889" s="390"/>
      <c r="K889" s="390"/>
      <c r="L889" s="390"/>
      <c r="M889" s="390"/>
      <c r="N889" s="390"/>
      <c r="O889" s="390"/>
      <c r="P889" s="390"/>
      <c r="Q889" s="390"/>
      <c r="R889" s="390"/>
      <c r="S889" s="390"/>
      <c r="T889" s="390"/>
      <c r="U889" s="390"/>
      <c r="V889" s="390"/>
      <c r="W889" s="390"/>
      <c r="X889" s="390"/>
      <c r="Y889" s="390"/>
    </row>
    <row r="890">
      <c r="A890" s="390" t="str">
        <f>IFERROR(__xludf.DUMMYFUNCTION("""COMPUTED_VALUE"""),"Luciana Muniz Lomba Modolo")</f>
        <v>Luciana Muniz Lomba Modolo</v>
      </c>
      <c r="B890" s="390" t="str">
        <f>IFERROR(__xludf.DUMMYFUNCTION("""COMPUTED_VALUE"""),"Segunda Licenciatura em Música 1200Horas")</f>
        <v>Segunda Licenciatura em Música 1200Horas</v>
      </c>
      <c r="C890" s="390" t="str">
        <f>IFERROR(__xludf.DUMMYFUNCTION("""COMPUTED_VALUE"""),"Música")</f>
        <v>Música</v>
      </c>
      <c r="D890" s="390"/>
      <c r="E890" s="390"/>
      <c r="F890" s="390"/>
      <c r="G890" s="390"/>
      <c r="H890" s="390"/>
      <c r="I890" s="390"/>
      <c r="J890" s="390"/>
      <c r="K890" s="390"/>
      <c r="L890" s="390"/>
      <c r="M890" s="390"/>
      <c r="N890" s="390"/>
      <c r="O890" s="390"/>
      <c r="P890" s="390"/>
      <c r="Q890" s="390"/>
      <c r="R890" s="390"/>
      <c r="S890" s="390"/>
      <c r="T890" s="390"/>
      <c r="U890" s="390"/>
      <c r="V890" s="390"/>
      <c r="W890" s="390"/>
      <c r="X890" s="390"/>
      <c r="Y890" s="390"/>
    </row>
    <row r="891">
      <c r="A891" s="414" t="str">
        <f>IFERROR(__xludf.DUMMYFUNCTION("""COMPUTED_VALUE"""),"Cláudio Justiniano Gomes")</f>
        <v>Cláudio Justiniano Gomes</v>
      </c>
      <c r="B891" s="390" t="str">
        <f>IFERROR(__xludf.DUMMYFUNCTION("""COMPUTED_VALUE"""),"Segunda Licenciatura em Música -2022")</f>
        <v>Segunda Licenciatura em Música -2022</v>
      </c>
      <c r="C891" s="390" t="str">
        <f>IFERROR(__xludf.DUMMYFUNCTION("""COMPUTED_VALUE"""),"Música")</f>
        <v>Música</v>
      </c>
      <c r="D891" s="390"/>
      <c r="E891" s="390"/>
      <c r="F891" s="390"/>
      <c r="G891" s="390"/>
      <c r="H891" s="390"/>
      <c r="I891" s="390"/>
      <c r="J891" s="390"/>
      <c r="K891" s="390"/>
      <c r="L891" s="390"/>
      <c r="M891" s="390"/>
      <c r="N891" s="390"/>
      <c r="O891" s="390"/>
      <c r="P891" s="390"/>
      <c r="Q891" s="390"/>
      <c r="R891" s="390"/>
      <c r="S891" s="390"/>
      <c r="T891" s="390"/>
      <c r="U891" s="390"/>
      <c r="V891" s="390"/>
      <c r="W891" s="390"/>
      <c r="X891" s="390"/>
      <c r="Y891" s="390"/>
    </row>
    <row r="892">
      <c r="A892" s="414" t="str">
        <f>IFERROR(__xludf.DUMMYFUNCTION("""COMPUTED_VALUE"""),"Genivan Belo Jesus")</f>
        <v>Genivan Belo Jesus</v>
      </c>
      <c r="B892" s="390" t="str">
        <f>IFERROR(__xludf.DUMMYFUNCTION("""COMPUTED_VALUE"""),"Segunda Licenciatura em Música 1200Horas")</f>
        <v>Segunda Licenciatura em Música 1200Horas</v>
      </c>
      <c r="C892" s="390" t="str">
        <f>IFERROR(__xludf.DUMMYFUNCTION("""COMPUTED_VALUE"""),"Música")</f>
        <v>Música</v>
      </c>
      <c r="D892" s="390"/>
      <c r="E892" s="390"/>
      <c r="F892" s="390"/>
      <c r="G892" s="390"/>
      <c r="H892" s="390"/>
      <c r="I892" s="390"/>
      <c r="J892" s="390"/>
      <c r="K892" s="390"/>
      <c r="L892" s="390"/>
      <c r="M892" s="390"/>
      <c r="N892" s="390"/>
      <c r="O892" s="390"/>
      <c r="P892" s="390"/>
      <c r="Q892" s="390"/>
      <c r="R892" s="390"/>
      <c r="S892" s="390"/>
      <c r="T892" s="390"/>
      <c r="U892" s="390"/>
      <c r="V892" s="390"/>
      <c r="W892" s="390"/>
      <c r="X892" s="390"/>
      <c r="Y892" s="390"/>
    </row>
    <row r="893">
      <c r="A893" s="414" t="str">
        <f>IFERROR(__xludf.DUMMYFUNCTION("""COMPUTED_VALUE"""),"Elizeu Mendes Silva")</f>
        <v>Elizeu Mendes Silva</v>
      </c>
      <c r="B893" s="390" t="str">
        <f>IFERROR(__xludf.DUMMYFUNCTION("""COMPUTED_VALUE"""),"Segunda Licenciatura em Música 1200Horas")</f>
        <v>Segunda Licenciatura em Música 1200Horas</v>
      </c>
      <c r="C893" s="390" t="str">
        <f>IFERROR(__xludf.DUMMYFUNCTION("""COMPUTED_VALUE"""),"Música")</f>
        <v>Música</v>
      </c>
      <c r="D893" s="390"/>
      <c r="E893" s="390"/>
      <c r="F893" s="390"/>
      <c r="G893" s="390"/>
      <c r="H893" s="390"/>
      <c r="I893" s="390"/>
      <c r="J893" s="390"/>
      <c r="K893" s="390"/>
      <c r="L893" s="390"/>
      <c r="M893" s="390"/>
      <c r="N893" s="390"/>
      <c r="O893" s="390"/>
      <c r="P893" s="390"/>
      <c r="Q893" s="390"/>
      <c r="R893" s="390"/>
      <c r="S893" s="390"/>
      <c r="T893" s="390"/>
      <c r="U893" s="390"/>
      <c r="V893" s="390"/>
      <c r="W893" s="390"/>
      <c r="X893" s="390"/>
      <c r="Y893" s="390"/>
    </row>
    <row r="894">
      <c r="A894" s="390" t="str">
        <f>IFERROR(__xludf.DUMMYFUNCTION("""COMPUTED_VALUE"""),"Dailson Elvis Lima Silva")</f>
        <v>Dailson Elvis Lima Silva</v>
      </c>
      <c r="B894" s="390" t="str">
        <f>IFERROR(__xludf.DUMMYFUNCTION("""COMPUTED_VALUE"""),"Segunda Licenciatura em Música 1200Horas")</f>
        <v>Segunda Licenciatura em Música 1200Horas</v>
      </c>
      <c r="C894" s="390" t="str">
        <f>IFERROR(__xludf.DUMMYFUNCTION("""COMPUTED_VALUE"""),"Música")</f>
        <v>Música</v>
      </c>
      <c r="D894" s="390"/>
      <c r="E894" s="390"/>
      <c r="F894" s="390"/>
      <c r="G894" s="390"/>
      <c r="H894" s="390"/>
      <c r="I894" s="390"/>
      <c r="J894" s="390"/>
      <c r="K894" s="390"/>
      <c r="L894" s="390"/>
      <c r="M894" s="390"/>
      <c r="N894" s="390"/>
      <c r="O894" s="390"/>
      <c r="P894" s="390"/>
      <c r="Q894" s="390"/>
      <c r="R894" s="390"/>
      <c r="S894" s="390"/>
      <c r="T894" s="390"/>
      <c r="U894" s="390"/>
      <c r="V894" s="390"/>
      <c r="W894" s="390"/>
      <c r="X894" s="390"/>
      <c r="Y894" s="390"/>
    </row>
    <row r="895">
      <c r="A895" s="390" t="str">
        <f>IFERROR(__xludf.DUMMYFUNCTION("""COMPUTED_VALUE"""),"Leandro Figueiredo Pereira")</f>
        <v>Leandro Figueiredo Pereira</v>
      </c>
      <c r="B895" s="390" t="str">
        <f>IFERROR(__xludf.DUMMYFUNCTION("""COMPUTED_VALUE"""),"Formação Pedagógica em Música 1200Horas")</f>
        <v>Formação Pedagógica em Música 1200Horas</v>
      </c>
      <c r="C895" s="390" t="str">
        <f>IFERROR(__xludf.DUMMYFUNCTION("""COMPUTED_VALUE"""),"Música")</f>
        <v>Música</v>
      </c>
      <c r="D895" s="390"/>
      <c r="E895" s="390"/>
      <c r="F895" s="390"/>
      <c r="G895" s="390"/>
      <c r="H895" s="390"/>
      <c r="I895" s="390"/>
      <c r="J895" s="390"/>
      <c r="K895" s="390"/>
      <c r="L895" s="390"/>
      <c r="M895" s="390"/>
      <c r="N895" s="390"/>
      <c r="O895" s="390"/>
      <c r="P895" s="390"/>
      <c r="Q895" s="390"/>
      <c r="R895" s="390"/>
      <c r="S895" s="390"/>
      <c r="T895" s="390"/>
      <c r="U895" s="390"/>
      <c r="V895" s="390"/>
      <c r="W895" s="390"/>
      <c r="X895" s="390"/>
      <c r="Y895" s="390"/>
    </row>
    <row r="896">
      <c r="A896" s="390" t="str">
        <f>IFERROR(__xludf.DUMMYFUNCTION("""COMPUTED_VALUE"""),"Sergio Henrique Barros Corrêa")</f>
        <v>Sergio Henrique Barros Corrêa</v>
      </c>
      <c r="B896" s="390" t="str">
        <f>IFERROR(__xludf.DUMMYFUNCTION("""COMPUTED_VALUE"""),"Formação Pedagógica em Música 1200Horas")</f>
        <v>Formação Pedagógica em Música 1200Horas</v>
      </c>
      <c r="C896" s="390" t="str">
        <f>IFERROR(__xludf.DUMMYFUNCTION("""COMPUTED_VALUE"""),"Música")</f>
        <v>Música</v>
      </c>
      <c r="D896" s="390"/>
      <c r="E896" s="390"/>
      <c r="F896" s="390"/>
      <c r="G896" s="390"/>
      <c r="H896" s="390"/>
      <c r="I896" s="390"/>
      <c r="J896" s="390"/>
      <c r="K896" s="390"/>
      <c r="L896" s="390"/>
      <c r="M896" s="390"/>
      <c r="N896" s="390"/>
      <c r="O896" s="390"/>
      <c r="P896" s="390"/>
      <c r="Q896" s="390"/>
      <c r="R896" s="390"/>
      <c r="S896" s="390"/>
      <c r="T896" s="390"/>
      <c r="U896" s="390"/>
      <c r="V896" s="390"/>
      <c r="W896" s="390"/>
      <c r="X896" s="390"/>
      <c r="Y896" s="390"/>
    </row>
    <row r="897">
      <c r="A897" s="390" t="str">
        <f>IFERROR(__xludf.DUMMYFUNCTION("""COMPUTED_VALUE"""),"João Mateus Issa Felipe ")</f>
        <v>João Mateus Issa Felipe </v>
      </c>
      <c r="B897" s="390" t="str">
        <f>IFERROR(__xludf.DUMMYFUNCTION("""COMPUTED_VALUE"""),"Segunda Licenciatura em Música ( 1200 horas)")</f>
        <v>Segunda Licenciatura em Música ( 1200 horas)</v>
      </c>
      <c r="C897" s="390" t="str">
        <f>IFERROR(__xludf.DUMMYFUNCTION("""COMPUTED_VALUE"""),"Música")</f>
        <v>Música</v>
      </c>
      <c r="D897" s="390"/>
      <c r="E897" s="390"/>
      <c r="F897" s="390"/>
      <c r="G897" s="390"/>
      <c r="H897" s="390"/>
      <c r="I897" s="390"/>
      <c r="J897" s="390"/>
      <c r="K897" s="390"/>
      <c r="L897" s="390"/>
      <c r="M897" s="390"/>
      <c r="N897" s="390"/>
      <c r="O897" s="390"/>
      <c r="P897" s="390"/>
      <c r="Q897" s="390"/>
      <c r="R897" s="390"/>
      <c r="S897" s="390"/>
      <c r="T897" s="390"/>
      <c r="U897" s="390"/>
      <c r="V897" s="390"/>
      <c r="W897" s="390"/>
      <c r="X897" s="390"/>
      <c r="Y897" s="390"/>
    </row>
    <row r="898">
      <c r="A898" s="390" t="str">
        <f>IFERROR(__xludf.DUMMYFUNCTION("""COMPUTED_VALUE"""),"Ricardo Augusto de Lima Fenerich ")</f>
        <v>Ricardo Augusto de Lima Fenerich </v>
      </c>
      <c r="B898" s="390" t="str">
        <f>IFERROR(__xludf.DUMMYFUNCTION("""COMPUTED_VALUE"""),"Segunda Licenciatura em Música")</f>
        <v>Segunda Licenciatura em Música</v>
      </c>
      <c r="C898" s="390" t="str">
        <f>IFERROR(__xludf.DUMMYFUNCTION("""COMPUTED_VALUE"""),"Música")</f>
        <v>Música</v>
      </c>
      <c r="D898" s="390"/>
      <c r="E898" s="390"/>
      <c r="F898" s="390"/>
      <c r="G898" s="390"/>
      <c r="H898" s="390"/>
      <c r="I898" s="390"/>
      <c r="J898" s="390"/>
      <c r="K898" s="390"/>
      <c r="L898" s="390"/>
      <c r="M898" s="390"/>
      <c r="N898" s="390"/>
      <c r="O898" s="390"/>
      <c r="P898" s="390"/>
      <c r="Q898" s="390"/>
      <c r="R898" s="390"/>
      <c r="S898" s="390"/>
      <c r="T898" s="390"/>
      <c r="U898" s="390"/>
      <c r="V898" s="390"/>
      <c r="W898" s="390"/>
      <c r="X898" s="390"/>
      <c r="Y898" s="390"/>
    </row>
    <row r="899">
      <c r="A899" s="390" t="str">
        <f>IFERROR(__xludf.DUMMYFUNCTION("""COMPUTED_VALUE"""),"Nórton Zimmermann de Souza")</f>
        <v>Nórton Zimmermann de Souza</v>
      </c>
      <c r="B899" s="390" t="str">
        <f>IFERROR(__xludf.DUMMYFUNCTION("""COMPUTED_VALUE"""),"Segunda Licenciatura em Música 1200Horas")</f>
        <v>Segunda Licenciatura em Música 1200Horas</v>
      </c>
      <c r="C899" s="390" t="str">
        <f>IFERROR(__xludf.DUMMYFUNCTION("""COMPUTED_VALUE"""),"Música")</f>
        <v>Música</v>
      </c>
      <c r="D899" s="390"/>
      <c r="E899" s="390"/>
      <c r="F899" s="390"/>
      <c r="G899" s="390"/>
      <c r="H899" s="390"/>
      <c r="I899" s="390"/>
      <c r="J899" s="390"/>
      <c r="K899" s="390"/>
      <c r="L899" s="390"/>
      <c r="M899" s="390"/>
      <c r="N899" s="390"/>
      <c r="O899" s="390"/>
      <c r="P899" s="390"/>
      <c r="Q899" s="390"/>
      <c r="R899" s="390"/>
      <c r="S899" s="390"/>
      <c r="T899" s="390"/>
      <c r="U899" s="390"/>
      <c r="V899" s="390"/>
      <c r="W899" s="390"/>
      <c r="X899" s="390"/>
      <c r="Y899" s="390"/>
    </row>
    <row r="900">
      <c r="A900" s="390" t="str">
        <f>IFERROR(__xludf.DUMMYFUNCTION("""COMPUTED_VALUE"""),"Simonal dos santos Silva")</f>
        <v>Simonal dos santos Silva</v>
      </c>
      <c r="B900" s="390" t="str">
        <f>IFERROR(__xludf.DUMMYFUNCTION("""COMPUTED_VALUE"""),"Segunda Licenciatura em Música 1200Horas")</f>
        <v>Segunda Licenciatura em Música 1200Horas</v>
      </c>
      <c r="C900" s="390" t="str">
        <f>IFERROR(__xludf.DUMMYFUNCTION("""COMPUTED_VALUE"""),"Música")</f>
        <v>Música</v>
      </c>
      <c r="D900" s="390"/>
      <c r="E900" s="390"/>
      <c r="F900" s="390"/>
      <c r="G900" s="390"/>
      <c r="H900" s="390"/>
      <c r="I900" s="390"/>
      <c r="J900" s="390"/>
      <c r="K900" s="390"/>
      <c r="L900" s="390"/>
      <c r="M900" s="390"/>
      <c r="N900" s="390"/>
      <c r="O900" s="390"/>
      <c r="P900" s="390"/>
      <c r="Q900" s="390"/>
      <c r="R900" s="390"/>
      <c r="S900" s="390"/>
      <c r="T900" s="390"/>
      <c r="U900" s="390"/>
      <c r="V900" s="390"/>
      <c r="W900" s="390"/>
      <c r="X900" s="390"/>
      <c r="Y900" s="390"/>
    </row>
    <row r="901">
      <c r="A901" s="390" t="str">
        <f>IFERROR(__xludf.DUMMYFUNCTION("""COMPUTED_VALUE"""),"Ricardo da Costa Ferlin")</f>
        <v>Ricardo da Costa Ferlin</v>
      </c>
      <c r="B901" s="390" t="str">
        <f>IFERROR(__xludf.DUMMYFUNCTION("""COMPUTED_VALUE"""),"Segunda Licenciatura em Música 1200Horas")</f>
        <v>Segunda Licenciatura em Música 1200Horas</v>
      </c>
      <c r="C901" s="390" t="str">
        <f>IFERROR(__xludf.DUMMYFUNCTION("""COMPUTED_VALUE"""),"Música")</f>
        <v>Música</v>
      </c>
      <c r="D901" s="390"/>
      <c r="E901" s="390"/>
      <c r="F901" s="390"/>
      <c r="G901" s="390"/>
      <c r="H901" s="390"/>
      <c r="I901" s="390"/>
      <c r="J901" s="390"/>
      <c r="K901" s="390"/>
      <c r="L901" s="390"/>
      <c r="M901" s="390"/>
      <c r="N901" s="390"/>
      <c r="O901" s="390"/>
      <c r="P901" s="390"/>
      <c r="Q901" s="390"/>
      <c r="R901" s="390"/>
      <c r="S901" s="390"/>
      <c r="T901" s="390"/>
      <c r="U901" s="390"/>
      <c r="V901" s="390"/>
      <c r="W901" s="390"/>
      <c r="X901" s="390"/>
      <c r="Y901" s="390"/>
    </row>
    <row r="902">
      <c r="A902" s="390" t="str">
        <f>IFERROR(__xludf.DUMMYFUNCTION("""COMPUTED_VALUE"""),"Naftali da Silva Sena Santos")</f>
        <v>Naftali da Silva Sena Santos</v>
      </c>
      <c r="B902" s="390" t="str">
        <f>IFERROR(__xludf.DUMMYFUNCTION("""COMPUTED_VALUE"""),"Formação Pedagógica em Música 1200Horas")</f>
        <v>Formação Pedagógica em Música 1200Horas</v>
      </c>
      <c r="C902" s="390" t="str">
        <f>IFERROR(__xludf.DUMMYFUNCTION("""COMPUTED_VALUE"""),"Música")</f>
        <v>Música</v>
      </c>
      <c r="D902" s="390"/>
      <c r="E902" s="390"/>
      <c r="F902" s="390"/>
      <c r="G902" s="390"/>
      <c r="H902" s="390"/>
      <c r="I902" s="390"/>
      <c r="J902" s="390"/>
      <c r="K902" s="390"/>
      <c r="L902" s="390"/>
      <c r="M902" s="390"/>
      <c r="N902" s="390"/>
      <c r="O902" s="390"/>
      <c r="P902" s="390"/>
      <c r="Q902" s="390"/>
      <c r="R902" s="390"/>
      <c r="S902" s="390"/>
      <c r="T902" s="390"/>
      <c r="U902" s="390"/>
      <c r="V902" s="390"/>
      <c r="W902" s="390"/>
      <c r="X902" s="390"/>
      <c r="Y902" s="390"/>
    </row>
    <row r="903">
      <c r="A903" s="390" t="str">
        <f>IFERROR(__xludf.DUMMYFUNCTION("""COMPUTED_VALUE"""),"Fabio Maurício Fanini *")</f>
        <v>Fabio Maurício Fanini *</v>
      </c>
      <c r="B903" s="390" t="str">
        <f>IFERROR(__xludf.DUMMYFUNCTION("""COMPUTED_VALUE"""),"Formação Pedagógica em Música 1200Horas")</f>
        <v>Formação Pedagógica em Música 1200Horas</v>
      </c>
      <c r="C903" s="390" t="str">
        <f>IFERROR(__xludf.DUMMYFUNCTION("""COMPUTED_VALUE"""),"Música")</f>
        <v>Música</v>
      </c>
      <c r="D903" s="390"/>
      <c r="E903" s="390"/>
      <c r="F903" s="390"/>
      <c r="G903" s="390"/>
      <c r="H903" s="390"/>
      <c r="I903" s="390"/>
      <c r="J903" s="390"/>
      <c r="K903" s="390"/>
      <c r="L903" s="390"/>
      <c r="M903" s="390"/>
      <c r="N903" s="390"/>
      <c r="O903" s="390"/>
      <c r="P903" s="390"/>
      <c r="Q903" s="390"/>
      <c r="R903" s="390"/>
      <c r="S903" s="390"/>
      <c r="T903" s="390"/>
      <c r="U903" s="390"/>
      <c r="V903" s="390"/>
      <c r="W903" s="390"/>
      <c r="X903" s="390"/>
      <c r="Y903" s="390"/>
    </row>
    <row r="904">
      <c r="A904" s="390" t="str">
        <f>IFERROR(__xludf.DUMMYFUNCTION("""COMPUTED_VALUE"""),"Maurício da Costa Lyra")</f>
        <v>Maurício da Costa Lyra</v>
      </c>
      <c r="B904" s="390" t="str">
        <f>IFERROR(__xludf.DUMMYFUNCTION("""COMPUTED_VALUE"""),"Formação Pedagógica em Música 1200Horas")</f>
        <v>Formação Pedagógica em Música 1200Horas</v>
      </c>
      <c r="C904" s="390" t="str">
        <f>IFERROR(__xludf.DUMMYFUNCTION("""COMPUTED_VALUE"""),"Música")</f>
        <v>Música</v>
      </c>
      <c r="D904" s="390"/>
      <c r="E904" s="390"/>
      <c r="F904" s="390"/>
      <c r="G904" s="390"/>
      <c r="H904" s="390"/>
      <c r="I904" s="390"/>
      <c r="J904" s="390"/>
      <c r="K904" s="390"/>
      <c r="L904" s="390"/>
      <c r="M904" s="390"/>
      <c r="N904" s="390"/>
      <c r="O904" s="390"/>
      <c r="P904" s="390"/>
      <c r="Q904" s="390"/>
      <c r="R904" s="390"/>
      <c r="S904" s="390"/>
      <c r="T904" s="390"/>
      <c r="U904" s="390"/>
      <c r="V904" s="390"/>
      <c r="W904" s="390"/>
      <c r="X904" s="390"/>
      <c r="Y904" s="390"/>
    </row>
    <row r="905">
      <c r="A905" s="390" t="str">
        <f>IFERROR(__xludf.DUMMYFUNCTION("""COMPUTED_VALUE"""),"Wellington Luiz Zoca")</f>
        <v>Wellington Luiz Zoca</v>
      </c>
      <c r="B905" s="390" t="str">
        <f>IFERROR(__xludf.DUMMYFUNCTION("""COMPUTED_VALUE"""),"Formação Pedagógica em Música 1200Horas")</f>
        <v>Formação Pedagógica em Música 1200Horas</v>
      </c>
      <c r="C905" s="390" t="str">
        <f>IFERROR(__xludf.DUMMYFUNCTION("""COMPUTED_VALUE"""),"Música")</f>
        <v>Música</v>
      </c>
      <c r="D905" s="390"/>
      <c r="E905" s="390"/>
      <c r="F905" s="390"/>
      <c r="G905" s="390"/>
      <c r="H905" s="390"/>
      <c r="I905" s="390"/>
      <c r="J905" s="390"/>
      <c r="K905" s="390"/>
      <c r="L905" s="390"/>
      <c r="M905" s="390"/>
      <c r="N905" s="390"/>
      <c r="O905" s="390"/>
      <c r="P905" s="390"/>
      <c r="Q905" s="390"/>
      <c r="R905" s="390"/>
      <c r="S905" s="390"/>
      <c r="T905" s="390"/>
      <c r="U905" s="390"/>
      <c r="V905" s="390"/>
      <c r="W905" s="390"/>
      <c r="X905" s="390"/>
      <c r="Y905" s="390"/>
    </row>
    <row r="906">
      <c r="A906" s="390" t="str">
        <f>IFERROR(__xludf.DUMMYFUNCTION("""COMPUTED_VALUE"""),"Bruno César Borges da Penha")</f>
        <v>Bruno César Borges da Penha</v>
      </c>
      <c r="B906" s="390" t="str">
        <f>IFERROR(__xludf.DUMMYFUNCTION("""COMPUTED_VALUE"""),"Segunda Licenciatura em Música 1200Horas")</f>
        <v>Segunda Licenciatura em Música 1200Horas</v>
      </c>
      <c r="C906" s="390" t="str">
        <f>IFERROR(__xludf.DUMMYFUNCTION("""COMPUTED_VALUE"""),"Música")</f>
        <v>Música</v>
      </c>
      <c r="D906" s="390"/>
      <c r="E906" s="390"/>
      <c r="F906" s="390"/>
      <c r="G906" s="390"/>
      <c r="H906" s="390"/>
      <c r="I906" s="390"/>
      <c r="J906" s="390"/>
      <c r="K906" s="390"/>
      <c r="L906" s="390"/>
      <c r="M906" s="390"/>
      <c r="N906" s="390"/>
      <c r="O906" s="390"/>
      <c r="P906" s="390"/>
      <c r="Q906" s="390"/>
      <c r="R906" s="390"/>
      <c r="S906" s="390"/>
      <c r="T906" s="390"/>
      <c r="U906" s="390"/>
      <c r="V906" s="390"/>
      <c r="W906" s="390"/>
      <c r="X906" s="390"/>
      <c r="Y906" s="390"/>
    </row>
    <row r="907">
      <c r="A907" s="390" t="str">
        <f>IFERROR(__xludf.DUMMYFUNCTION("""COMPUTED_VALUE"""),"Juliana Machado")</f>
        <v>Juliana Machado</v>
      </c>
      <c r="B907" s="390" t="str">
        <f>IFERROR(__xludf.DUMMYFUNCTION("""COMPUTED_VALUE"""),"Formação Pedagógica em Música 1200Horas")</f>
        <v>Formação Pedagógica em Música 1200Horas</v>
      </c>
      <c r="C907" s="390" t="str">
        <f>IFERROR(__xludf.DUMMYFUNCTION("""COMPUTED_VALUE"""),"Música")</f>
        <v>Música</v>
      </c>
      <c r="D907" s="390"/>
      <c r="E907" s="390"/>
      <c r="F907" s="390"/>
      <c r="G907" s="390"/>
      <c r="H907" s="390"/>
      <c r="I907" s="390"/>
      <c r="J907" s="390"/>
      <c r="K907" s="390"/>
      <c r="L907" s="390"/>
      <c r="M907" s="390"/>
      <c r="N907" s="390"/>
      <c r="O907" s="390"/>
      <c r="P907" s="390"/>
      <c r="Q907" s="390"/>
      <c r="R907" s="390"/>
      <c r="S907" s="390"/>
      <c r="T907" s="390"/>
      <c r="U907" s="390"/>
      <c r="V907" s="390"/>
      <c r="W907" s="390"/>
      <c r="X907" s="390"/>
      <c r="Y907" s="390"/>
    </row>
    <row r="908">
      <c r="A908" s="390" t="str">
        <f>IFERROR(__xludf.DUMMYFUNCTION("""COMPUTED_VALUE"""),"Ederson Farley Riedel")</f>
        <v>Ederson Farley Riedel</v>
      </c>
      <c r="B908" s="390" t="str">
        <f>IFERROR(__xludf.DUMMYFUNCTION("""COMPUTED_VALUE"""),"Formação Pedagógica em Música 1200Horas")</f>
        <v>Formação Pedagógica em Música 1200Horas</v>
      </c>
      <c r="C908" s="390" t="str">
        <f>IFERROR(__xludf.DUMMYFUNCTION("""COMPUTED_VALUE"""),"Música")</f>
        <v>Música</v>
      </c>
      <c r="D908" s="390"/>
      <c r="E908" s="390"/>
      <c r="F908" s="390"/>
      <c r="G908" s="390"/>
      <c r="H908" s="390"/>
      <c r="I908" s="390"/>
      <c r="J908" s="390"/>
      <c r="K908" s="390"/>
      <c r="L908" s="390"/>
      <c r="M908" s="390"/>
      <c r="N908" s="390"/>
      <c r="O908" s="390"/>
      <c r="P908" s="390"/>
      <c r="Q908" s="390"/>
      <c r="R908" s="390"/>
      <c r="S908" s="390"/>
      <c r="T908" s="390"/>
      <c r="U908" s="390"/>
      <c r="V908" s="390"/>
      <c r="W908" s="390"/>
      <c r="X908" s="390"/>
      <c r="Y908" s="390"/>
    </row>
    <row r="909">
      <c r="A909" s="390" t="str">
        <f>IFERROR(__xludf.DUMMYFUNCTION("""COMPUTED_VALUE"""),"Darques Celso Domingues Leite")</f>
        <v>Darques Celso Domingues Leite</v>
      </c>
      <c r="B909" s="390" t="str">
        <f>IFERROR(__xludf.DUMMYFUNCTION("""COMPUTED_VALUE"""),"Segunda Licenciatura em Música 1200 Horas")</f>
        <v>Segunda Licenciatura em Música 1200 Horas</v>
      </c>
      <c r="C909" s="390" t="str">
        <f>IFERROR(__xludf.DUMMYFUNCTION("""COMPUTED_VALUE"""),"Música")</f>
        <v>Música</v>
      </c>
      <c r="D909" s="390"/>
      <c r="E909" s="390"/>
      <c r="F909" s="390"/>
      <c r="G909" s="390"/>
      <c r="H909" s="390"/>
      <c r="I909" s="390"/>
      <c r="J909" s="390"/>
      <c r="K909" s="390"/>
      <c r="L909" s="390"/>
      <c r="M909" s="390"/>
      <c r="N909" s="390"/>
      <c r="O909" s="390"/>
      <c r="P909" s="390"/>
      <c r="Q909" s="390"/>
      <c r="R909" s="390"/>
      <c r="S909" s="390"/>
      <c r="T909" s="390"/>
      <c r="U909" s="390"/>
      <c r="V909" s="390"/>
      <c r="W909" s="390"/>
      <c r="X909" s="390"/>
      <c r="Y909" s="390"/>
    </row>
    <row r="910">
      <c r="A910" s="390" t="str">
        <f>IFERROR(__xludf.DUMMYFUNCTION("""COMPUTED_VALUE"""),"Adriano Borges Botura")</f>
        <v>Adriano Borges Botura</v>
      </c>
      <c r="B910" s="390" t="str">
        <f>IFERROR(__xludf.DUMMYFUNCTION("""COMPUTED_VALUE"""),"Segunda Licenciatura em Música 1200Horas")</f>
        <v>Segunda Licenciatura em Música 1200Horas</v>
      </c>
      <c r="C910" s="390" t="str">
        <f>IFERROR(__xludf.DUMMYFUNCTION("""COMPUTED_VALUE"""),"Música")</f>
        <v>Música</v>
      </c>
      <c r="D910" s="390"/>
      <c r="E910" s="390"/>
      <c r="F910" s="390"/>
      <c r="G910" s="390"/>
      <c r="H910" s="390"/>
      <c r="I910" s="390"/>
      <c r="J910" s="390"/>
      <c r="K910" s="390"/>
      <c r="L910" s="390"/>
      <c r="M910" s="390"/>
      <c r="N910" s="390"/>
      <c r="O910" s="390"/>
      <c r="P910" s="390"/>
      <c r="Q910" s="390"/>
      <c r="R910" s="390"/>
      <c r="S910" s="390"/>
      <c r="T910" s="390"/>
      <c r="U910" s="390"/>
      <c r="V910" s="390"/>
      <c r="W910" s="390"/>
      <c r="X910" s="390"/>
      <c r="Y910" s="390"/>
    </row>
    <row r="911">
      <c r="A911" s="390" t="str">
        <f>IFERROR(__xludf.DUMMYFUNCTION("""COMPUTED_VALUE"""),"Arissérgio de Melo")</f>
        <v>Arissérgio de Melo</v>
      </c>
      <c r="B911" s="390" t="str">
        <f>IFERROR(__xludf.DUMMYFUNCTION("""COMPUTED_VALUE"""),"Segunda Licenciatura em Música 880Horas")</f>
        <v>Segunda Licenciatura em Música 880Horas</v>
      </c>
      <c r="C911" s="390" t="str">
        <f>IFERROR(__xludf.DUMMYFUNCTION("""COMPUTED_VALUE"""),"Música")</f>
        <v>Música</v>
      </c>
      <c r="D911" s="390"/>
      <c r="E911" s="390"/>
      <c r="F911" s="390"/>
      <c r="G911" s="390"/>
      <c r="H911" s="390"/>
      <c r="I911" s="390"/>
      <c r="J911" s="390"/>
      <c r="K911" s="390"/>
      <c r="L911" s="390"/>
      <c r="M911" s="390"/>
      <c r="N911" s="390"/>
      <c r="O911" s="390"/>
      <c r="P911" s="390"/>
      <c r="Q911" s="390"/>
      <c r="R911" s="390"/>
      <c r="S911" s="390"/>
      <c r="T911" s="390"/>
      <c r="U911" s="390"/>
      <c r="V911" s="390"/>
      <c r="W911" s="390"/>
      <c r="X911" s="390"/>
      <c r="Y911" s="390"/>
    </row>
    <row r="912">
      <c r="A912" s="390" t="str">
        <f>IFERROR(__xludf.DUMMYFUNCTION("""COMPUTED_VALUE"""),"Roberto Carlos de Souza Silva ")</f>
        <v>Roberto Carlos de Souza Silva </v>
      </c>
      <c r="B912" s="390" t="str">
        <f>IFERROR(__xludf.DUMMYFUNCTION("""COMPUTED_VALUE"""),"Segunda Licenciatura em Música")</f>
        <v>Segunda Licenciatura em Música</v>
      </c>
      <c r="C912" s="390" t="str">
        <f>IFERROR(__xludf.DUMMYFUNCTION("""COMPUTED_VALUE"""),"Música")</f>
        <v>Música</v>
      </c>
      <c r="D912" s="390"/>
      <c r="E912" s="390"/>
      <c r="F912" s="390"/>
      <c r="G912" s="390"/>
      <c r="H912" s="390"/>
      <c r="I912" s="390"/>
      <c r="J912" s="390"/>
      <c r="K912" s="390"/>
      <c r="L912" s="390"/>
      <c r="M912" s="390"/>
      <c r="N912" s="390"/>
      <c r="O912" s="390"/>
      <c r="P912" s="390"/>
      <c r="Q912" s="390"/>
      <c r="R912" s="390"/>
      <c r="S912" s="390"/>
      <c r="T912" s="390"/>
      <c r="U912" s="390"/>
      <c r="V912" s="390"/>
      <c r="W912" s="390"/>
      <c r="X912" s="390"/>
      <c r="Y912" s="390"/>
    </row>
    <row r="913">
      <c r="A913" s="390" t="str">
        <f>IFERROR(__xludf.DUMMYFUNCTION("""COMPUTED_VALUE"""),"Relbert Rógeres Rosa Dias")</f>
        <v>Relbert Rógeres Rosa Dias</v>
      </c>
      <c r="B913" s="390" t="str">
        <f>IFERROR(__xludf.DUMMYFUNCTION("""COMPUTED_VALUE"""),"Segunda Licenciatura em Música")</f>
        <v>Segunda Licenciatura em Música</v>
      </c>
      <c r="C913" s="390" t="str">
        <f>IFERROR(__xludf.DUMMYFUNCTION("""COMPUTED_VALUE"""),"Música")</f>
        <v>Música</v>
      </c>
      <c r="D913" s="390"/>
      <c r="E913" s="390"/>
      <c r="F913" s="390"/>
      <c r="G913" s="390"/>
      <c r="H913" s="390"/>
      <c r="I913" s="390"/>
      <c r="J913" s="390"/>
      <c r="K913" s="390"/>
      <c r="L913" s="390"/>
      <c r="M913" s="390"/>
      <c r="N913" s="390"/>
      <c r="O913" s="390"/>
      <c r="P913" s="390"/>
      <c r="Q913" s="390"/>
      <c r="R913" s="390"/>
      <c r="S913" s="390"/>
      <c r="T913" s="390"/>
      <c r="U913" s="390"/>
      <c r="V913" s="390"/>
      <c r="W913" s="390"/>
      <c r="X913" s="390"/>
      <c r="Y913" s="390"/>
    </row>
    <row r="914">
      <c r="A914" s="390" t="str">
        <f>IFERROR(__xludf.DUMMYFUNCTION("""COMPUTED_VALUE"""),"Airton Gehlen do Amaral ")</f>
        <v>Airton Gehlen do Amaral </v>
      </c>
      <c r="B914" s="390" t="str">
        <f>IFERROR(__xludf.DUMMYFUNCTION("""COMPUTED_VALUE"""),"Segunda Licenciatura em Música 880Horas")</f>
        <v>Segunda Licenciatura em Música 880Horas</v>
      </c>
      <c r="C914" s="390" t="str">
        <f>IFERROR(__xludf.DUMMYFUNCTION("""COMPUTED_VALUE"""),"Música")</f>
        <v>Música</v>
      </c>
      <c r="D914" s="390"/>
      <c r="E914" s="390"/>
      <c r="F914" s="390"/>
      <c r="G914" s="390"/>
      <c r="H914" s="390"/>
      <c r="I914" s="390"/>
      <c r="J914" s="390"/>
      <c r="K914" s="390"/>
      <c r="L914" s="390"/>
      <c r="M914" s="390"/>
      <c r="N914" s="390"/>
      <c r="O914" s="390"/>
      <c r="P914" s="390"/>
      <c r="Q914" s="390"/>
      <c r="R914" s="390"/>
      <c r="S914" s="390"/>
      <c r="T914" s="390"/>
      <c r="U914" s="390"/>
      <c r="V914" s="390"/>
      <c r="W914" s="390"/>
      <c r="X914" s="390"/>
      <c r="Y914" s="390"/>
    </row>
    <row r="915">
      <c r="A915" s="390" t="str">
        <f>IFERROR(__xludf.DUMMYFUNCTION("""COMPUTED_VALUE"""),"Francisco Evandro Pinheiro Mota")</f>
        <v>Francisco Evandro Pinheiro Mota</v>
      </c>
      <c r="B915" s="390" t="str">
        <f>IFERROR(__xludf.DUMMYFUNCTION("""COMPUTED_VALUE"""),"Segunda Licenciatura em Música 1200Horas")</f>
        <v>Segunda Licenciatura em Música 1200Horas</v>
      </c>
      <c r="C915" s="390" t="str">
        <f>IFERROR(__xludf.DUMMYFUNCTION("""COMPUTED_VALUE"""),"Música")</f>
        <v>Música</v>
      </c>
      <c r="D915" s="390"/>
      <c r="E915" s="390"/>
      <c r="F915" s="390"/>
      <c r="G915" s="390"/>
      <c r="H915" s="390"/>
      <c r="I915" s="390"/>
      <c r="J915" s="390"/>
      <c r="K915" s="390"/>
      <c r="L915" s="390"/>
      <c r="M915" s="390"/>
      <c r="N915" s="390"/>
      <c r="O915" s="390"/>
      <c r="P915" s="390"/>
      <c r="Q915" s="390"/>
      <c r="R915" s="390"/>
      <c r="S915" s="390"/>
      <c r="T915" s="390"/>
      <c r="U915" s="390"/>
      <c r="V915" s="390"/>
      <c r="W915" s="390"/>
      <c r="X915" s="390"/>
      <c r="Y915" s="390"/>
    </row>
    <row r="916">
      <c r="A916" s="390" t="str">
        <f>IFERROR(__xludf.DUMMYFUNCTION("""COMPUTED_VALUE"""),"Leandro Figueiredo Pereira")</f>
        <v>Leandro Figueiredo Pereira</v>
      </c>
      <c r="B916" s="390" t="str">
        <f>IFERROR(__xludf.DUMMYFUNCTION("""COMPUTED_VALUE"""),"Segunda Licenciatura em Música 1200Horas")</f>
        <v>Segunda Licenciatura em Música 1200Horas</v>
      </c>
      <c r="C916" s="390" t="str">
        <f>IFERROR(__xludf.DUMMYFUNCTION("""COMPUTED_VALUE"""),"Música")</f>
        <v>Música</v>
      </c>
      <c r="D916" s="390"/>
      <c r="E916" s="390"/>
      <c r="F916" s="390"/>
      <c r="G916" s="390"/>
      <c r="H916" s="390"/>
      <c r="I916" s="390"/>
      <c r="J916" s="390"/>
      <c r="K916" s="390"/>
      <c r="L916" s="390"/>
      <c r="M916" s="390"/>
      <c r="N916" s="390"/>
      <c r="O916" s="390"/>
      <c r="P916" s="390"/>
      <c r="Q916" s="390"/>
      <c r="R916" s="390"/>
      <c r="S916" s="390"/>
      <c r="T916" s="390"/>
      <c r="U916" s="390"/>
      <c r="V916" s="390"/>
      <c r="W916" s="390"/>
      <c r="X916" s="390"/>
      <c r="Y916" s="390"/>
    </row>
    <row r="917">
      <c r="A917" s="390" t="str">
        <f>IFERROR(__xludf.DUMMYFUNCTION("""COMPUTED_VALUE"""),"Fabrício dos Santos Pompeu")</f>
        <v>Fabrício dos Santos Pompeu</v>
      </c>
      <c r="B917" s="390" t="str">
        <f>IFERROR(__xludf.DUMMYFUNCTION("""COMPUTED_VALUE"""),"Segunda Licenciatura em Música 1200Horas")</f>
        <v>Segunda Licenciatura em Música 1200Horas</v>
      </c>
      <c r="C917" s="390" t="str">
        <f>IFERROR(__xludf.DUMMYFUNCTION("""COMPUTED_VALUE"""),"Música")</f>
        <v>Música</v>
      </c>
      <c r="D917" s="390"/>
      <c r="E917" s="390"/>
      <c r="F917" s="390"/>
      <c r="G917" s="390"/>
      <c r="H917" s="390"/>
      <c r="I917" s="390"/>
      <c r="J917" s="390"/>
      <c r="K917" s="390"/>
      <c r="L917" s="390"/>
      <c r="M917" s="390"/>
      <c r="N917" s="390"/>
      <c r="O917" s="390"/>
      <c r="P917" s="390"/>
      <c r="Q917" s="390"/>
      <c r="R917" s="390"/>
      <c r="S917" s="390"/>
      <c r="T917" s="390"/>
      <c r="U917" s="390"/>
      <c r="V917" s="390"/>
      <c r="W917" s="390"/>
      <c r="X917" s="390"/>
      <c r="Y917" s="390"/>
    </row>
    <row r="918">
      <c r="A918" s="390" t="str">
        <f>IFERROR(__xludf.DUMMYFUNCTION("""COMPUTED_VALUE"""),"Éricson Fabrício Alves Vieira da Silva")</f>
        <v>Éricson Fabrício Alves Vieira da Silva</v>
      </c>
      <c r="B918" s="390" t="str">
        <f>IFERROR(__xludf.DUMMYFUNCTION("""COMPUTED_VALUE"""),"Segunda Licenciatura em Música")</f>
        <v>Segunda Licenciatura em Música</v>
      </c>
      <c r="C918" s="390" t="str">
        <f>IFERROR(__xludf.DUMMYFUNCTION("""COMPUTED_VALUE"""),"Música")</f>
        <v>Música</v>
      </c>
      <c r="D918" s="390"/>
      <c r="E918" s="390"/>
      <c r="F918" s="390"/>
      <c r="G918" s="390"/>
      <c r="H918" s="390"/>
      <c r="I918" s="390"/>
      <c r="J918" s="390"/>
      <c r="K918" s="390"/>
      <c r="L918" s="390"/>
      <c r="M918" s="390"/>
      <c r="N918" s="390"/>
      <c r="O918" s="390"/>
      <c r="P918" s="390"/>
      <c r="Q918" s="390"/>
      <c r="R918" s="390"/>
      <c r="S918" s="390"/>
      <c r="T918" s="390"/>
      <c r="U918" s="390"/>
      <c r="V918" s="390"/>
      <c r="W918" s="390"/>
      <c r="X918" s="390"/>
      <c r="Y918" s="390"/>
    </row>
    <row r="919">
      <c r="A919" s="390" t="str">
        <f>IFERROR(__xludf.DUMMYFUNCTION("""COMPUTED_VALUE"""),"Ana Amália Cavalcante de Araújo (urgente anexado certidão ao Drive)")</f>
        <v>Ana Amália Cavalcante de Araújo (urgente anexado certidão ao Drive)</v>
      </c>
      <c r="B919" s="390" t="str">
        <f>IFERROR(__xludf.DUMMYFUNCTION("""COMPUTED_VALUE"""),"Licenciatura em Música 1320Horas FP")</f>
        <v>Licenciatura em Música 1320Horas FP</v>
      </c>
      <c r="C919" s="390" t="str">
        <f>IFERROR(__xludf.DUMMYFUNCTION("""COMPUTED_VALUE"""),"Música")</f>
        <v>Música</v>
      </c>
      <c r="D919" s="390"/>
      <c r="E919" s="390"/>
      <c r="F919" s="390"/>
      <c r="G919" s="390"/>
      <c r="H919" s="390"/>
      <c r="I919" s="390"/>
      <c r="J919" s="390"/>
      <c r="K919" s="390"/>
      <c r="L919" s="390"/>
      <c r="M919" s="390"/>
      <c r="N919" s="390"/>
      <c r="O919" s="390"/>
      <c r="P919" s="390"/>
      <c r="Q919" s="390"/>
      <c r="R919" s="390"/>
      <c r="S919" s="390"/>
      <c r="T919" s="390"/>
      <c r="U919" s="390"/>
      <c r="V919" s="390"/>
      <c r="W919" s="390"/>
      <c r="X919" s="390"/>
      <c r="Y919" s="390"/>
    </row>
    <row r="920">
      <c r="A920" s="390" t="str">
        <f>IFERROR(__xludf.DUMMYFUNCTION("""COMPUTED_VALUE"""),"Marcos Soares da Silva ")</f>
        <v>Marcos Soares da Silva </v>
      </c>
      <c r="B920" s="390" t="str">
        <f>IFERROR(__xludf.DUMMYFUNCTION("""COMPUTED_VALUE"""),"Formação Pedagógica em Música 1200Horas")</f>
        <v>Formação Pedagógica em Música 1200Horas</v>
      </c>
      <c r="C920" s="390" t="str">
        <f>IFERROR(__xludf.DUMMYFUNCTION("""COMPUTED_VALUE"""),"Música")</f>
        <v>Música</v>
      </c>
      <c r="D920" s="390"/>
      <c r="E920" s="390"/>
      <c r="F920" s="390"/>
      <c r="G920" s="390"/>
      <c r="H920" s="390"/>
      <c r="I920" s="390"/>
      <c r="J920" s="390"/>
      <c r="K920" s="390"/>
      <c r="L920" s="390"/>
      <c r="M920" s="390"/>
      <c r="N920" s="390"/>
      <c r="O920" s="390"/>
      <c r="P920" s="390"/>
      <c r="Q920" s="390"/>
      <c r="R920" s="390"/>
      <c r="S920" s="390"/>
      <c r="T920" s="390"/>
      <c r="U920" s="390"/>
      <c r="V920" s="390"/>
      <c r="W920" s="390"/>
      <c r="X920" s="390"/>
      <c r="Y920" s="390"/>
    </row>
    <row r="921">
      <c r="A921" s="390" t="str">
        <f>IFERROR(__xludf.DUMMYFUNCTION("""COMPUTED_VALUE"""),"Valdinei Elias dos Santos ")</f>
        <v>Valdinei Elias dos Santos </v>
      </c>
      <c r="B921" s="390" t="str">
        <f>IFERROR(__xludf.DUMMYFUNCTION("""COMPUTED_VALUE"""),"Segunda Licenciatura em Música 880Horas")</f>
        <v>Segunda Licenciatura em Música 880Horas</v>
      </c>
      <c r="C921" s="390" t="str">
        <f>IFERROR(__xludf.DUMMYFUNCTION("""COMPUTED_VALUE"""),"Música")</f>
        <v>Música</v>
      </c>
      <c r="D921" s="390"/>
      <c r="E921" s="390"/>
      <c r="F921" s="390"/>
      <c r="G921" s="390"/>
      <c r="H921" s="390"/>
      <c r="I921" s="390"/>
      <c r="J921" s="390"/>
      <c r="K921" s="390"/>
      <c r="L921" s="390"/>
      <c r="M921" s="390"/>
      <c r="N921" s="390"/>
      <c r="O921" s="390"/>
      <c r="P921" s="390"/>
      <c r="Q921" s="390"/>
      <c r="R921" s="390"/>
      <c r="S921" s="390"/>
      <c r="T921" s="390"/>
      <c r="U921" s="390"/>
      <c r="V921" s="390"/>
      <c r="W921" s="390"/>
      <c r="X921" s="390"/>
      <c r="Y921" s="390"/>
    </row>
    <row r="922">
      <c r="A922" s="390" t="str">
        <f>IFERROR(__xludf.DUMMYFUNCTION("""COMPUTED_VALUE"""),"Sergio Luiz Augusto Dias")</f>
        <v>Sergio Luiz Augusto Dias</v>
      </c>
      <c r="B922" s="390" t="str">
        <f>IFERROR(__xludf.DUMMYFUNCTION("""COMPUTED_VALUE"""),"Formação Pedagógica em Música 1200Horas")</f>
        <v>Formação Pedagógica em Música 1200Horas</v>
      </c>
      <c r="C922" s="390" t="str">
        <f>IFERROR(__xludf.DUMMYFUNCTION("""COMPUTED_VALUE"""),"Música")</f>
        <v>Música</v>
      </c>
      <c r="D922" s="390"/>
      <c r="E922" s="390"/>
      <c r="F922" s="390"/>
      <c r="G922" s="390"/>
      <c r="H922" s="390"/>
      <c r="I922" s="390"/>
      <c r="J922" s="390"/>
      <c r="K922" s="390"/>
      <c r="L922" s="390"/>
      <c r="M922" s="390"/>
      <c r="N922" s="390"/>
      <c r="O922" s="390"/>
      <c r="P922" s="390"/>
      <c r="Q922" s="390"/>
      <c r="R922" s="390"/>
      <c r="S922" s="390"/>
      <c r="T922" s="390"/>
      <c r="U922" s="390"/>
      <c r="V922" s="390"/>
      <c r="W922" s="390"/>
      <c r="X922" s="390"/>
      <c r="Y922" s="390"/>
    </row>
    <row r="923">
      <c r="A923" s="390" t="str">
        <f>IFERROR(__xludf.DUMMYFUNCTION("""COMPUTED_VALUE"""),"Abimael Luiz De Oliveira")</f>
        <v>Abimael Luiz De Oliveira</v>
      </c>
      <c r="B923" s="390" t="str">
        <f>IFERROR(__xludf.DUMMYFUNCTION("""COMPUTED_VALUE"""),"Segunda Licenciatura em Música 1200Horas")</f>
        <v>Segunda Licenciatura em Música 1200Horas</v>
      </c>
      <c r="C923" s="390" t="str">
        <f>IFERROR(__xludf.DUMMYFUNCTION("""COMPUTED_VALUE"""),"Música")</f>
        <v>Música</v>
      </c>
      <c r="D923" s="390"/>
      <c r="E923" s="390"/>
      <c r="F923" s="390"/>
      <c r="G923" s="390"/>
      <c r="H923" s="390"/>
      <c r="I923" s="390"/>
      <c r="J923" s="390"/>
      <c r="K923" s="390"/>
      <c r="L923" s="390"/>
      <c r="M923" s="390"/>
      <c r="N923" s="390"/>
      <c r="O923" s="390"/>
      <c r="P923" s="390"/>
      <c r="Q923" s="390"/>
      <c r="R923" s="390"/>
      <c r="S923" s="390"/>
      <c r="T923" s="390"/>
      <c r="U923" s="390"/>
      <c r="V923" s="390"/>
      <c r="W923" s="390"/>
      <c r="X923" s="390"/>
      <c r="Y923" s="390"/>
    </row>
    <row r="924">
      <c r="A924" s="390" t="str">
        <f>IFERROR(__xludf.DUMMYFUNCTION("""COMPUTED_VALUE"""),"Alcélia Marinho de Souza Santana")</f>
        <v>Alcélia Marinho de Souza Santana</v>
      </c>
      <c r="B924" s="390" t="str">
        <f>IFERROR(__xludf.DUMMYFUNCTION("""COMPUTED_VALUE"""),"Segunda Licenciatura em Música 1200 Horas")</f>
        <v>Segunda Licenciatura em Música 1200 Horas</v>
      </c>
      <c r="C924" s="390" t="str">
        <f>IFERROR(__xludf.DUMMYFUNCTION("""COMPUTED_VALUE"""),"Música")</f>
        <v>Música</v>
      </c>
      <c r="D924" s="390"/>
      <c r="E924" s="390"/>
      <c r="F924" s="390"/>
      <c r="G924" s="390"/>
      <c r="H924" s="390"/>
      <c r="I924" s="390"/>
      <c r="J924" s="390"/>
      <c r="K924" s="390"/>
      <c r="L924" s="390"/>
      <c r="M924" s="390"/>
      <c r="N924" s="390"/>
      <c r="O924" s="390"/>
      <c r="P924" s="390"/>
      <c r="Q924" s="390"/>
      <c r="R924" s="390"/>
      <c r="S924" s="390"/>
      <c r="T924" s="390"/>
      <c r="U924" s="390"/>
      <c r="V924" s="390"/>
      <c r="W924" s="390"/>
      <c r="X924" s="390"/>
      <c r="Y924" s="390"/>
    </row>
    <row r="925">
      <c r="A925" s="390" t="str">
        <f>IFERROR(__xludf.DUMMYFUNCTION("""COMPUTED_VALUE"""),"Israel Mascarenhas")</f>
        <v>Israel Mascarenhas</v>
      </c>
      <c r="B925" s="390" t="str">
        <f>IFERROR(__xludf.DUMMYFUNCTION("""COMPUTED_VALUE"""),"Formação Pedagógica em Música 1200Horas")</f>
        <v>Formação Pedagógica em Música 1200Horas</v>
      </c>
      <c r="C925" s="390" t="str">
        <f>IFERROR(__xludf.DUMMYFUNCTION("""COMPUTED_VALUE"""),"Música")</f>
        <v>Música</v>
      </c>
      <c r="D925" s="390"/>
      <c r="E925" s="390"/>
      <c r="F925" s="390"/>
      <c r="G925" s="390"/>
      <c r="H925" s="390"/>
      <c r="I925" s="390"/>
      <c r="J925" s="390"/>
      <c r="K925" s="390"/>
      <c r="L925" s="390"/>
      <c r="M925" s="390"/>
      <c r="N925" s="390"/>
      <c r="O925" s="390"/>
      <c r="P925" s="390"/>
      <c r="Q925" s="390"/>
      <c r="R925" s="390"/>
      <c r="S925" s="390"/>
      <c r="T925" s="390"/>
      <c r="U925" s="390"/>
      <c r="V925" s="390"/>
      <c r="W925" s="390"/>
      <c r="X925" s="390"/>
      <c r="Y925" s="390"/>
    </row>
    <row r="926">
      <c r="A926" s="390" t="str">
        <f>IFERROR(__xludf.DUMMYFUNCTION("""COMPUTED_VALUE"""),"Wendel da Silva Manga  ")</f>
        <v>Wendel da Silva Manga  </v>
      </c>
      <c r="B926" s="390" t="str">
        <f>IFERROR(__xludf.DUMMYFUNCTION("""COMPUTED_VALUE"""),"Segunda Licenciatura em Música 1200Horas")</f>
        <v>Segunda Licenciatura em Música 1200Horas</v>
      </c>
      <c r="C926" s="390" t="str">
        <f>IFERROR(__xludf.DUMMYFUNCTION("""COMPUTED_VALUE"""),"Música")</f>
        <v>Música</v>
      </c>
      <c r="D926" s="390"/>
      <c r="E926" s="390"/>
      <c r="F926" s="390"/>
      <c r="G926" s="390"/>
      <c r="H926" s="390"/>
      <c r="I926" s="390"/>
      <c r="J926" s="390"/>
      <c r="K926" s="390"/>
      <c r="L926" s="390"/>
      <c r="M926" s="390"/>
      <c r="N926" s="390"/>
      <c r="O926" s="390"/>
      <c r="P926" s="390"/>
      <c r="Q926" s="390"/>
      <c r="R926" s="390"/>
      <c r="S926" s="390"/>
      <c r="T926" s="390"/>
      <c r="U926" s="390"/>
      <c r="V926" s="390"/>
      <c r="W926" s="390"/>
      <c r="X926" s="390"/>
      <c r="Y926" s="390"/>
    </row>
    <row r="927">
      <c r="A927" s="390" t="str">
        <f>IFERROR(__xludf.DUMMYFUNCTION("""COMPUTED_VALUE"""),"Vagner Procópio da Silva")</f>
        <v>Vagner Procópio da Silva</v>
      </c>
      <c r="B927" s="390" t="str">
        <f>IFERROR(__xludf.DUMMYFUNCTION("""COMPUTED_VALUE"""),"Segunda Licenciatura em Música 1200Horas")</f>
        <v>Segunda Licenciatura em Música 1200Horas</v>
      </c>
      <c r="C927" s="390" t="str">
        <f>IFERROR(__xludf.DUMMYFUNCTION("""COMPUTED_VALUE"""),"Música")</f>
        <v>Música</v>
      </c>
      <c r="D927" s="390"/>
      <c r="E927" s="390"/>
      <c r="F927" s="390"/>
      <c r="G927" s="390"/>
      <c r="H927" s="390"/>
      <c r="I927" s="390"/>
      <c r="J927" s="390"/>
      <c r="K927" s="390"/>
      <c r="L927" s="390"/>
      <c r="M927" s="390"/>
      <c r="N927" s="390"/>
      <c r="O927" s="390"/>
      <c r="P927" s="390"/>
      <c r="Q927" s="390"/>
      <c r="R927" s="390"/>
      <c r="S927" s="390"/>
      <c r="T927" s="390"/>
      <c r="U927" s="390"/>
      <c r="V927" s="390"/>
      <c r="W927" s="390"/>
      <c r="X927" s="390"/>
      <c r="Y927" s="390"/>
    </row>
    <row r="928">
      <c r="A928" s="390" t="str">
        <f>IFERROR(__xludf.DUMMYFUNCTION("""COMPUTED_VALUE"""),"Leandro Freitas dos Santos")</f>
        <v>Leandro Freitas dos Santos</v>
      </c>
      <c r="B928" s="390" t="str">
        <f>IFERROR(__xludf.DUMMYFUNCTION("""COMPUTED_VALUE"""),"Formação Pedagógica em Música 1200Horas")</f>
        <v>Formação Pedagógica em Música 1200Horas</v>
      </c>
      <c r="C928" s="390" t="str">
        <f>IFERROR(__xludf.DUMMYFUNCTION("""COMPUTED_VALUE"""),"Música")</f>
        <v>Música</v>
      </c>
      <c r="D928" s="390"/>
      <c r="E928" s="390"/>
      <c r="F928" s="390"/>
      <c r="G928" s="390"/>
      <c r="H928" s="390"/>
      <c r="I928" s="390"/>
      <c r="J928" s="390"/>
      <c r="K928" s="390"/>
      <c r="L928" s="390"/>
      <c r="M928" s="390"/>
      <c r="N928" s="390"/>
      <c r="O928" s="390"/>
      <c r="P928" s="390"/>
      <c r="Q928" s="390"/>
      <c r="R928" s="390"/>
      <c r="S928" s="390"/>
      <c r="T928" s="390"/>
      <c r="U928" s="390"/>
      <c r="V928" s="390"/>
      <c r="W928" s="390"/>
      <c r="X928" s="390"/>
      <c r="Y928" s="390"/>
    </row>
    <row r="929">
      <c r="A929" s="390" t="str">
        <f>IFERROR(__xludf.DUMMYFUNCTION("""COMPUTED_VALUE"""),"Jefferson Costa da Silva Moreira")</f>
        <v>Jefferson Costa da Silva Moreira</v>
      </c>
      <c r="B929" s="390" t="str">
        <f>IFERROR(__xludf.DUMMYFUNCTION("""COMPUTED_VALUE"""),"Formação Pedagógica em Música 1200Horas")</f>
        <v>Formação Pedagógica em Música 1200Horas</v>
      </c>
      <c r="C929" s="390" t="str">
        <f>IFERROR(__xludf.DUMMYFUNCTION("""COMPUTED_VALUE"""),"Música")</f>
        <v>Música</v>
      </c>
      <c r="D929" s="390"/>
      <c r="E929" s="390"/>
      <c r="F929" s="390"/>
      <c r="G929" s="390"/>
      <c r="H929" s="390"/>
      <c r="I929" s="390"/>
      <c r="J929" s="390"/>
      <c r="K929" s="390"/>
      <c r="L929" s="390"/>
      <c r="M929" s="390"/>
      <c r="N929" s="390"/>
      <c r="O929" s="390"/>
      <c r="P929" s="390"/>
      <c r="Q929" s="390"/>
      <c r="R929" s="390"/>
      <c r="S929" s="390"/>
      <c r="T929" s="390"/>
      <c r="U929" s="390"/>
      <c r="V929" s="390"/>
      <c r="W929" s="390"/>
      <c r="X929" s="390"/>
      <c r="Y929" s="390"/>
    </row>
    <row r="930">
      <c r="A930" s="390" t="str">
        <f>IFERROR(__xludf.DUMMYFUNCTION("""COMPUTED_VALUE"""),"Fernando Luis Da Silva (Apressamento)")</f>
        <v>Fernando Luis Da Silva (Apressamento)</v>
      </c>
      <c r="B930" s="390" t="str">
        <f>IFERROR(__xludf.DUMMYFUNCTION("""COMPUTED_VALUE"""),"Formação Pedagógica em Música 1200Horas")</f>
        <v>Formação Pedagógica em Música 1200Horas</v>
      </c>
      <c r="C930" s="390" t="str">
        <f>IFERROR(__xludf.DUMMYFUNCTION("""COMPUTED_VALUE"""),"Música")</f>
        <v>Música</v>
      </c>
      <c r="D930" s="390"/>
      <c r="E930" s="390"/>
      <c r="F930" s="390"/>
      <c r="G930" s="390"/>
      <c r="H930" s="390"/>
      <c r="I930" s="390"/>
      <c r="J930" s="390"/>
      <c r="K930" s="390"/>
      <c r="L930" s="390"/>
      <c r="M930" s="390"/>
      <c r="N930" s="390"/>
      <c r="O930" s="390"/>
      <c r="P930" s="390"/>
      <c r="Q930" s="390"/>
      <c r="R930" s="390"/>
      <c r="S930" s="390"/>
      <c r="T930" s="390"/>
      <c r="U930" s="390"/>
      <c r="V930" s="390"/>
      <c r="W930" s="390"/>
      <c r="X930" s="390"/>
      <c r="Y930" s="390"/>
    </row>
    <row r="931">
      <c r="A931" s="390" t="str">
        <f>IFERROR(__xludf.DUMMYFUNCTION("""COMPUTED_VALUE"""),"Flávio Fonseca da Silva")</f>
        <v>Flávio Fonseca da Silva</v>
      </c>
      <c r="B931" s="390" t="str">
        <f>IFERROR(__xludf.DUMMYFUNCTION("""COMPUTED_VALUE"""),"Segunda Licenciatura em Música 1200Horas")</f>
        <v>Segunda Licenciatura em Música 1200Horas</v>
      </c>
      <c r="C931" s="390" t="str">
        <f>IFERROR(__xludf.DUMMYFUNCTION("""COMPUTED_VALUE"""),"Música")</f>
        <v>Música</v>
      </c>
      <c r="D931" s="390"/>
      <c r="E931" s="390"/>
      <c r="F931" s="390"/>
      <c r="G931" s="390"/>
      <c r="H931" s="390"/>
      <c r="I931" s="390"/>
      <c r="J931" s="390"/>
      <c r="K931" s="390"/>
      <c r="L931" s="390"/>
      <c r="M931" s="390"/>
      <c r="N931" s="390"/>
      <c r="O931" s="390"/>
      <c r="P931" s="390"/>
      <c r="Q931" s="390"/>
      <c r="R931" s="390"/>
      <c r="S931" s="390"/>
      <c r="T931" s="390"/>
      <c r="U931" s="390"/>
      <c r="V931" s="390"/>
      <c r="W931" s="390"/>
      <c r="X931" s="390"/>
      <c r="Y931" s="390"/>
    </row>
    <row r="932">
      <c r="A932" s="390" t="str">
        <f>IFERROR(__xludf.DUMMYFUNCTION("""COMPUTED_VALUE"""),"Carlos Antonio do Nascimento Santos ")</f>
        <v>Carlos Antonio do Nascimento Santos </v>
      </c>
      <c r="B932" s="390" t="str">
        <f>IFERROR(__xludf.DUMMYFUNCTION("""COMPUTED_VALUE"""),"Segunda Licenciatura em Música 880Horas")</f>
        <v>Segunda Licenciatura em Música 880Horas</v>
      </c>
      <c r="C932" s="390" t="str">
        <f>IFERROR(__xludf.DUMMYFUNCTION("""COMPUTED_VALUE"""),"Música")</f>
        <v>Música</v>
      </c>
      <c r="D932" s="390"/>
      <c r="E932" s="390"/>
      <c r="F932" s="390"/>
      <c r="G932" s="390"/>
      <c r="H932" s="390"/>
      <c r="I932" s="390"/>
      <c r="J932" s="390"/>
      <c r="K932" s="390"/>
      <c r="L932" s="390"/>
      <c r="M932" s="390"/>
      <c r="N932" s="390"/>
      <c r="O932" s="390"/>
      <c r="P932" s="390"/>
      <c r="Q932" s="390"/>
      <c r="R932" s="390"/>
      <c r="S932" s="390"/>
      <c r="T932" s="390"/>
      <c r="U932" s="390"/>
      <c r="V932" s="390"/>
      <c r="W932" s="390"/>
      <c r="X932" s="390"/>
      <c r="Y932" s="390"/>
    </row>
    <row r="933">
      <c r="A933" s="390" t="str">
        <f>IFERROR(__xludf.DUMMYFUNCTION("""COMPUTED_VALUE"""),"Maria Isabel Cardoso Zattera Meira")</f>
        <v>Maria Isabel Cardoso Zattera Meira</v>
      </c>
      <c r="B933" s="390" t="str">
        <f>IFERROR(__xludf.DUMMYFUNCTION("""COMPUTED_VALUE"""),"Formação Pedagógica em Música 1200Horas")</f>
        <v>Formação Pedagógica em Música 1200Horas</v>
      </c>
      <c r="C933" s="390" t="str">
        <f>IFERROR(__xludf.DUMMYFUNCTION("""COMPUTED_VALUE"""),"Música")</f>
        <v>Música</v>
      </c>
      <c r="D933" s="390"/>
      <c r="E933" s="390"/>
      <c r="F933" s="390"/>
      <c r="G933" s="390"/>
      <c r="H933" s="390"/>
      <c r="I933" s="390"/>
      <c r="J933" s="390"/>
      <c r="K933" s="390"/>
      <c r="L933" s="390"/>
      <c r="M933" s="390"/>
      <c r="N933" s="390"/>
      <c r="O933" s="390"/>
      <c r="P933" s="390"/>
      <c r="Q933" s="390"/>
      <c r="R933" s="390"/>
      <c r="S933" s="390"/>
      <c r="T933" s="390"/>
      <c r="U933" s="390"/>
      <c r="V933" s="390"/>
      <c r="W933" s="390"/>
      <c r="X933" s="390"/>
      <c r="Y933" s="390"/>
    </row>
    <row r="934">
      <c r="A934" s="390" t="str">
        <f>IFERROR(__xludf.DUMMYFUNCTION("""COMPUTED_VALUE"""),"Wilson Raphael Monteiro da Silva")</f>
        <v>Wilson Raphael Monteiro da Silva</v>
      </c>
      <c r="B934" s="390" t="str">
        <f>IFERROR(__xludf.DUMMYFUNCTION("""COMPUTED_VALUE"""),"Segunda Licenciatura em Música 1200Horas")</f>
        <v>Segunda Licenciatura em Música 1200Horas</v>
      </c>
      <c r="C934" s="390" t="str">
        <f>IFERROR(__xludf.DUMMYFUNCTION("""COMPUTED_VALUE"""),"Música")</f>
        <v>Música</v>
      </c>
      <c r="D934" s="390"/>
      <c r="E934" s="390"/>
      <c r="F934" s="390"/>
      <c r="G934" s="390"/>
      <c r="H934" s="390"/>
      <c r="I934" s="390"/>
      <c r="J934" s="390"/>
      <c r="K934" s="390"/>
      <c r="L934" s="390"/>
      <c r="M934" s="390"/>
      <c r="N934" s="390"/>
      <c r="O934" s="390"/>
      <c r="P934" s="390"/>
      <c r="Q934" s="390"/>
      <c r="R934" s="390"/>
      <c r="S934" s="390"/>
      <c r="T934" s="390"/>
      <c r="U934" s="390"/>
      <c r="V934" s="390"/>
      <c r="W934" s="390"/>
      <c r="X934" s="390"/>
      <c r="Y934" s="390"/>
    </row>
    <row r="935">
      <c r="A935" s="390" t="str">
        <f>IFERROR(__xludf.DUMMYFUNCTION("""COMPUTED_VALUE"""),"Efrain Rael de Eron Silva de Azevedo")</f>
        <v>Efrain Rael de Eron Silva de Azevedo</v>
      </c>
      <c r="B935" s="390" t="str">
        <f>IFERROR(__xludf.DUMMYFUNCTION("""COMPUTED_VALUE"""),"Formação Pedagógica em Música 1200Horas")</f>
        <v>Formação Pedagógica em Música 1200Horas</v>
      </c>
      <c r="C935" s="390" t="str">
        <f>IFERROR(__xludf.DUMMYFUNCTION("""COMPUTED_VALUE"""),"Música")</f>
        <v>Música</v>
      </c>
      <c r="D935" s="390"/>
      <c r="E935" s="390"/>
      <c r="F935" s="390"/>
      <c r="G935" s="390"/>
      <c r="H935" s="390"/>
      <c r="I935" s="390"/>
      <c r="J935" s="390"/>
      <c r="K935" s="390"/>
      <c r="L935" s="390"/>
      <c r="M935" s="390"/>
      <c r="N935" s="390"/>
      <c r="O935" s="390"/>
      <c r="P935" s="390"/>
      <c r="Q935" s="390"/>
      <c r="R935" s="390"/>
      <c r="S935" s="390"/>
      <c r="T935" s="390"/>
      <c r="U935" s="390"/>
      <c r="V935" s="390"/>
      <c r="W935" s="390"/>
      <c r="X935" s="390"/>
      <c r="Y935" s="390"/>
    </row>
    <row r="936">
      <c r="A936" s="390" t="str">
        <f>IFERROR(__xludf.DUMMYFUNCTION("""COMPUTED_VALUE"""),"Elias Silva de Araújo")</f>
        <v>Elias Silva de Araújo</v>
      </c>
      <c r="B936" s="390" t="str">
        <f>IFERROR(__xludf.DUMMYFUNCTION("""COMPUTED_VALUE"""),"Formação Pedagógica em Música 1200Horas")</f>
        <v>Formação Pedagógica em Música 1200Horas</v>
      </c>
      <c r="C936" s="390" t="str">
        <f>IFERROR(__xludf.DUMMYFUNCTION("""COMPUTED_VALUE"""),"Música")</f>
        <v>Música</v>
      </c>
      <c r="D936" s="390"/>
      <c r="E936" s="390"/>
      <c r="F936" s="390"/>
      <c r="G936" s="390"/>
      <c r="H936" s="390"/>
      <c r="I936" s="390"/>
      <c r="J936" s="390"/>
      <c r="K936" s="390"/>
      <c r="L936" s="390"/>
      <c r="M936" s="390"/>
      <c r="N936" s="390"/>
      <c r="O936" s="390"/>
      <c r="P936" s="390"/>
      <c r="Q936" s="390"/>
      <c r="R936" s="390"/>
      <c r="S936" s="390"/>
      <c r="T936" s="390"/>
      <c r="U936" s="390"/>
      <c r="V936" s="390"/>
      <c r="W936" s="390"/>
      <c r="X936" s="390"/>
      <c r="Y936" s="390"/>
    </row>
    <row r="937">
      <c r="A937" s="390" t="str">
        <f>IFERROR(__xludf.DUMMYFUNCTION("""COMPUTED_VALUE"""),"Roberto Marcos Gomes de Onófrio ")</f>
        <v>Roberto Marcos Gomes de Onófrio </v>
      </c>
      <c r="B937" s="390" t="str">
        <f>IFERROR(__xludf.DUMMYFUNCTION("""COMPUTED_VALUE"""),"Formação Pedagógica em Música 1200Horas")</f>
        <v>Formação Pedagógica em Música 1200Horas</v>
      </c>
      <c r="C937" s="390" t="str">
        <f>IFERROR(__xludf.DUMMYFUNCTION("""COMPUTED_VALUE"""),"Música")</f>
        <v>Música</v>
      </c>
      <c r="D937" s="390"/>
      <c r="E937" s="390"/>
      <c r="F937" s="390"/>
      <c r="G937" s="390"/>
      <c r="H937" s="390"/>
      <c r="I937" s="390"/>
      <c r="J937" s="390"/>
      <c r="K937" s="390"/>
      <c r="L937" s="390"/>
      <c r="M937" s="390"/>
      <c r="N937" s="390"/>
      <c r="O937" s="390"/>
      <c r="P937" s="390"/>
      <c r="Q937" s="390"/>
      <c r="R937" s="390"/>
      <c r="S937" s="390"/>
      <c r="T937" s="390"/>
      <c r="U937" s="390"/>
      <c r="V937" s="390"/>
      <c r="W937" s="390"/>
      <c r="X937" s="390"/>
      <c r="Y937" s="390"/>
    </row>
    <row r="938">
      <c r="A938" s="390" t="str">
        <f>IFERROR(__xludf.DUMMYFUNCTION("""COMPUTED_VALUE"""),"Silvio Almeida de Moraes")</f>
        <v>Silvio Almeida de Moraes</v>
      </c>
      <c r="B938" s="390" t="str">
        <f>IFERROR(__xludf.DUMMYFUNCTION("""COMPUTED_VALUE"""),"Formação Pedagógica em Música 1200Horas")</f>
        <v>Formação Pedagógica em Música 1200Horas</v>
      </c>
      <c r="C938" s="390" t="str">
        <f>IFERROR(__xludf.DUMMYFUNCTION("""COMPUTED_VALUE"""),"Música")</f>
        <v>Música</v>
      </c>
      <c r="D938" s="390"/>
      <c r="E938" s="390"/>
      <c r="F938" s="390"/>
      <c r="G938" s="390"/>
      <c r="H938" s="390"/>
      <c r="I938" s="390"/>
      <c r="J938" s="390"/>
      <c r="K938" s="390"/>
      <c r="L938" s="390"/>
      <c r="M938" s="390"/>
      <c r="N938" s="390"/>
      <c r="O938" s="390"/>
      <c r="P938" s="390"/>
      <c r="Q938" s="390"/>
      <c r="R938" s="390"/>
      <c r="S938" s="390"/>
      <c r="T938" s="390"/>
      <c r="U938" s="390"/>
      <c r="V938" s="390"/>
      <c r="W938" s="390"/>
      <c r="X938" s="390"/>
      <c r="Y938" s="390"/>
    </row>
    <row r="939">
      <c r="A939" s="390" t="str">
        <f>IFERROR(__xludf.DUMMYFUNCTION("""COMPUTED_VALUE"""),"Alexandre Castro Silva")</f>
        <v>Alexandre Castro Silva</v>
      </c>
      <c r="B939" s="390" t="str">
        <f>IFERROR(__xludf.DUMMYFUNCTION("""COMPUTED_VALUE"""),"Segunda Licenciatura em Música 1200Horas")</f>
        <v>Segunda Licenciatura em Música 1200Horas</v>
      </c>
      <c r="C939" s="390" t="str">
        <f>IFERROR(__xludf.DUMMYFUNCTION("""COMPUTED_VALUE"""),"Música")</f>
        <v>Música</v>
      </c>
      <c r="D939" s="390"/>
      <c r="E939" s="390"/>
      <c r="F939" s="390"/>
      <c r="G939" s="390"/>
      <c r="H939" s="390"/>
      <c r="I939" s="390"/>
      <c r="J939" s="390"/>
      <c r="K939" s="390"/>
      <c r="L939" s="390"/>
      <c r="M939" s="390"/>
      <c r="N939" s="390"/>
      <c r="O939" s="390"/>
      <c r="P939" s="390"/>
      <c r="Q939" s="390"/>
      <c r="R939" s="390"/>
      <c r="S939" s="390"/>
      <c r="T939" s="390"/>
      <c r="U939" s="390"/>
      <c r="V939" s="390"/>
      <c r="W939" s="390"/>
      <c r="X939" s="390"/>
      <c r="Y939" s="390"/>
    </row>
    <row r="940">
      <c r="A940" s="390" t="str">
        <f>IFERROR(__xludf.DUMMYFUNCTION("""COMPUTED_VALUE"""),"Geraldo Dornelas de Assis Júnior ")</f>
        <v>Geraldo Dornelas de Assis Júnior </v>
      </c>
      <c r="B940" s="390" t="str">
        <f>IFERROR(__xludf.DUMMYFUNCTION("""COMPUTED_VALUE"""),"Formação Pedagógica em Música 1200Horas")</f>
        <v>Formação Pedagógica em Música 1200Horas</v>
      </c>
      <c r="C940" s="390" t="str">
        <f>IFERROR(__xludf.DUMMYFUNCTION("""COMPUTED_VALUE"""),"Música")</f>
        <v>Música</v>
      </c>
      <c r="D940" s="390"/>
      <c r="E940" s="390"/>
      <c r="F940" s="390"/>
      <c r="G940" s="390"/>
      <c r="H940" s="390"/>
      <c r="I940" s="390"/>
      <c r="J940" s="390"/>
      <c r="K940" s="390"/>
      <c r="L940" s="390"/>
      <c r="M940" s="390"/>
      <c r="N940" s="390"/>
      <c r="O940" s="390"/>
      <c r="P940" s="390"/>
      <c r="Q940" s="390"/>
      <c r="R940" s="390"/>
      <c r="S940" s="390"/>
      <c r="T940" s="390"/>
      <c r="U940" s="390"/>
      <c r="V940" s="390"/>
      <c r="W940" s="390"/>
      <c r="X940" s="390"/>
      <c r="Y940" s="390"/>
    </row>
    <row r="941">
      <c r="A941" s="390" t="str">
        <f>IFERROR(__xludf.DUMMYFUNCTION("""COMPUTED_VALUE"""),"Rafael Topázio Muricy ")</f>
        <v>Rafael Topázio Muricy </v>
      </c>
      <c r="B941" s="390" t="str">
        <f>IFERROR(__xludf.DUMMYFUNCTION("""COMPUTED_VALUE"""),"Segunda Licenciatura em Música 1200Horas")</f>
        <v>Segunda Licenciatura em Música 1200Horas</v>
      </c>
      <c r="C941" s="390" t="str">
        <f>IFERROR(__xludf.DUMMYFUNCTION("""COMPUTED_VALUE"""),"Música")</f>
        <v>Música</v>
      </c>
      <c r="D941" s="390"/>
      <c r="E941" s="390"/>
      <c r="F941" s="390"/>
      <c r="G941" s="390"/>
      <c r="H941" s="390"/>
      <c r="I941" s="390"/>
      <c r="J941" s="390"/>
      <c r="K941" s="390"/>
      <c r="L941" s="390"/>
      <c r="M941" s="390"/>
      <c r="N941" s="390"/>
      <c r="O941" s="390"/>
      <c r="P941" s="390"/>
      <c r="Q941" s="390"/>
      <c r="R941" s="390"/>
      <c r="S941" s="390"/>
      <c r="T941" s="390"/>
      <c r="U941" s="390"/>
      <c r="V941" s="390"/>
      <c r="W941" s="390"/>
      <c r="X941" s="390"/>
      <c r="Y941" s="390"/>
    </row>
    <row r="942">
      <c r="A942" s="390" t="str">
        <f>IFERROR(__xludf.DUMMYFUNCTION("""COMPUTED_VALUE"""),"Robson Mauricio Ventura Vieira ")</f>
        <v>Robson Mauricio Ventura Vieira </v>
      </c>
      <c r="B942" s="390" t="str">
        <f>IFERROR(__xludf.DUMMYFUNCTION("""COMPUTED_VALUE"""),"Segunda Licenciatura em Música 1200Horas")</f>
        <v>Segunda Licenciatura em Música 1200Horas</v>
      </c>
      <c r="C942" s="390" t="str">
        <f>IFERROR(__xludf.DUMMYFUNCTION("""COMPUTED_VALUE"""),"Música")</f>
        <v>Música</v>
      </c>
      <c r="D942" s="390"/>
      <c r="E942" s="390"/>
      <c r="F942" s="390"/>
      <c r="G942" s="390"/>
      <c r="H942" s="390"/>
      <c r="I942" s="390"/>
      <c r="J942" s="390"/>
      <c r="K942" s="390"/>
      <c r="L942" s="390"/>
      <c r="M942" s="390"/>
      <c r="N942" s="390"/>
      <c r="O942" s="390"/>
      <c r="P942" s="390"/>
      <c r="Q942" s="390"/>
      <c r="R942" s="390"/>
      <c r="S942" s="390"/>
      <c r="T942" s="390"/>
      <c r="U942" s="390"/>
      <c r="V942" s="390"/>
      <c r="W942" s="390"/>
      <c r="X942" s="390"/>
      <c r="Y942" s="390"/>
    </row>
    <row r="943">
      <c r="A943" s="390" t="str">
        <f>IFERROR(__xludf.DUMMYFUNCTION("""COMPUTED_VALUE"""),"Kione dos Santos Almeida")</f>
        <v>Kione dos Santos Almeida</v>
      </c>
      <c r="B943" s="390" t="str">
        <f>IFERROR(__xludf.DUMMYFUNCTION("""COMPUTED_VALUE"""),"Formação Pedagógica em Música 1200Horas")</f>
        <v>Formação Pedagógica em Música 1200Horas</v>
      </c>
      <c r="C943" s="390" t="str">
        <f>IFERROR(__xludf.DUMMYFUNCTION("""COMPUTED_VALUE"""),"Música")</f>
        <v>Música</v>
      </c>
      <c r="D943" s="390"/>
      <c r="E943" s="390"/>
      <c r="F943" s="390"/>
      <c r="G943" s="390"/>
      <c r="H943" s="390"/>
      <c r="I943" s="390"/>
      <c r="J943" s="390"/>
      <c r="K943" s="390"/>
      <c r="L943" s="390"/>
      <c r="M943" s="390"/>
      <c r="N943" s="390"/>
      <c r="O943" s="390"/>
      <c r="P943" s="390"/>
      <c r="Q943" s="390"/>
      <c r="R943" s="390"/>
      <c r="S943" s="390"/>
      <c r="T943" s="390"/>
      <c r="U943" s="390"/>
      <c r="V943" s="390"/>
      <c r="W943" s="390"/>
      <c r="X943" s="390"/>
      <c r="Y943" s="390"/>
    </row>
    <row r="944">
      <c r="A944" s="390" t="str">
        <f>IFERROR(__xludf.DUMMYFUNCTION("""COMPUTED_VALUE"""),"Waldemar Alvarenga Lapoente")</f>
        <v>Waldemar Alvarenga Lapoente</v>
      </c>
      <c r="B944" s="390" t="str">
        <f>IFERROR(__xludf.DUMMYFUNCTION("""COMPUTED_VALUE"""),"Segunda Licenciatura em Música 1200Horas")</f>
        <v>Segunda Licenciatura em Música 1200Horas</v>
      </c>
      <c r="C944" s="390" t="str">
        <f>IFERROR(__xludf.DUMMYFUNCTION("""COMPUTED_VALUE"""),"Música")</f>
        <v>Música</v>
      </c>
      <c r="D944" s="390"/>
      <c r="E944" s="390"/>
      <c r="F944" s="390"/>
      <c r="G944" s="390"/>
      <c r="H944" s="390"/>
      <c r="I944" s="390"/>
      <c r="J944" s="390"/>
      <c r="K944" s="390"/>
      <c r="L944" s="390"/>
      <c r="M944" s="390"/>
      <c r="N944" s="390"/>
      <c r="O944" s="390"/>
      <c r="P944" s="390"/>
      <c r="Q944" s="390"/>
      <c r="R944" s="390"/>
      <c r="S944" s="390"/>
      <c r="T944" s="390"/>
      <c r="U944" s="390"/>
      <c r="V944" s="390"/>
      <c r="W944" s="390"/>
      <c r="X944" s="390"/>
      <c r="Y944" s="390"/>
    </row>
    <row r="945">
      <c r="A945" s="390" t="str">
        <f>IFERROR(__xludf.DUMMYFUNCTION("""COMPUTED_VALUE"""),"Yago Frederico Salermo Dorneles ")</f>
        <v>Yago Frederico Salermo Dorneles </v>
      </c>
      <c r="B945" s="390" t="str">
        <f>IFERROR(__xludf.DUMMYFUNCTION("""COMPUTED_VALUE"""),"Segunda Licenciatura em Música 1200Horas")</f>
        <v>Segunda Licenciatura em Música 1200Horas</v>
      </c>
      <c r="C945" s="390" t="str">
        <f>IFERROR(__xludf.DUMMYFUNCTION("""COMPUTED_VALUE"""),"Música")</f>
        <v>Música</v>
      </c>
      <c r="D945" s="390"/>
      <c r="E945" s="390"/>
      <c r="F945" s="390"/>
      <c r="G945" s="390"/>
      <c r="H945" s="390"/>
      <c r="I945" s="390"/>
      <c r="J945" s="390"/>
      <c r="K945" s="390"/>
      <c r="L945" s="390"/>
      <c r="M945" s="390"/>
      <c r="N945" s="390"/>
      <c r="O945" s="390"/>
      <c r="P945" s="390"/>
      <c r="Q945" s="390"/>
      <c r="R945" s="390"/>
      <c r="S945" s="390"/>
      <c r="T945" s="390"/>
      <c r="U945" s="390"/>
      <c r="V945" s="390"/>
      <c r="W945" s="390"/>
      <c r="X945" s="390"/>
      <c r="Y945" s="390"/>
    </row>
    <row r="946">
      <c r="A946" s="390" t="str">
        <f>IFERROR(__xludf.DUMMYFUNCTION("""COMPUTED_VALUE"""),"Patrocinio Samtos de Souza")</f>
        <v>Patrocinio Samtos de Souza</v>
      </c>
      <c r="B946" s="390" t="str">
        <f>IFERROR(__xludf.DUMMYFUNCTION("""COMPUTED_VALUE"""),"Segunda Licenciatura em Música 1200Horas")</f>
        <v>Segunda Licenciatura em Música 1200Horas</v>
      </c>
      <c r="C946" s="390" t="str">
        <f>IFERROR(__xludf.DUMMYFUNCTION("""COMPUTED_VALUE"""),"Música")</f>
        <v>Música</v>
      </c>
      <c r="D946" s="390"/>
      <c r="E946" s="390"/>
      <c r="F946" s="390"/>
      <c r="G946" s="390"/>
      <c r="H946" s="390"/>
      <c r="I946" s="390"/>
      <c r="J946" s="390"/>
      <c r="K946" s="390"/>
      <c r="L946" s="390"/>
      <c r="M946" s="390"/>
      <c r="N946" s="390"/>
      <c r="O946" s="390"/>
      <c r="P946" s="390"/>
      <c r="Q946" s="390"/>
      <c r="R946" s="390"/>
      <c r="S946" s="390"/>
      <c r="T946" s="390"/>
      <c r="U946" s="390"/>
      <c r="V946" s="390"/>
      <c r="W946" s="390"/>
      <c r="X946" s="390"/>
      <c r="Y946" s="390"/>
    </row>
    <row r="947">
      <c r="A947" s="390" t="str">
        <f>IFERROR(__xludf.DUMMYFUNCTION("""COMPUTED_VALUE"""),"Milena Maimone Castilho ")</f>
        <v>Milena Maimone Castilho </v>
      </c>
      <c r="B947" s="390" t="str">
        <f>IFERROR(__xludf.DUMMYFUNCTION("""COMPUTED_VALUE"""),"Segunda Licenciatura em Música 1200Horas")</f>
        <v>Segunda Licenciatura em Música 1200Horas</v>
      </c>
      <c r="C947" s="390" t="str">
        <f>IFERROR(__xludf.DUMMYFUNCTION("""COMPUTED_VALUE"""),"Música")</f>
        <v>Música</v>
      </c>
      <c r="D947" s="390"/>
      <c r="E947" s="390"/>
      <c r="F947" s="390"/>
      <c r="G947" s="390"/>
      <c r="H947" s="390"/>
      <c r="I947" s="390"/>
      <c r="J947" s="390"/>
      <c r="K947" s="390"/>
      <c r="L947" s="390"/>
      <c r="M947" s="390"/>
      <c r="N947" s="390"/>
      <c r="O947" s="390"/>
      <c r="P947" s="390"/>
      <c r="Q947" s="390"/>
      <c r="R947" s="390"/>
      <c r="S947" s="390"/>
      <c r="T947" s="390"/>
      <c r="U947" s="390"/>
      <c r="V947" s="390"/>
      <c r="W947" s="390"/>
      <c r="X947" s="390"/>
      <c r="Y947" s="390"/>
    </row>
    <row r="948">
      <c r="A948" s="390" t="str">
        <f>IFERROR(__xludf.DUMMYFUNCTION("""COMPUTED_VALUE"""),"Christian Pierini Macena")</f>
        <v>Christian Pierini Macena</v>
      </c>
      <c r="B948" s="390" t="str">
        <f>IFERROR(__xludf.DUMMYFUNCTION("""COMPUTED_VALUE"""),"Formação Pedagógica em Música 1200Horas")</f>
        <v>Formação Pedagógica em Música 1200Horas</v>
      </c>
      <c r="C948" s="390" t="str">
        <f>IFERROR(__xludf.DUMMYFUNCTION("""COMPUTED_VALUE"""),"Música")</f>
        <v>Música</v>
      </c>
      <c r="D948" s="390"/>
      <c r="E948" s="390"/>
      <c r="F948" s="390"/>
      <c r="G948" s="390"/>
      <c r="H948" s="390"/>
      <c r="I948" s="390"/>
      <c r="J948" s="390"/>
      <c r="K948" s="390"/>
      <c r="L948" s="390"/>
      <c r="M948" s="390"/>
      <c r="N948" s="390"/>
      <c r="O948" s="390"/>
      <c r="P948" s="390"/>
      <c r="Q948" s="390"/>
      <c r="R948" s="390"/>
      <c r="S948" s="390"/>
      <c r="T948" s="390"/>
      <c r="U948" s="390"/>
      <c r="V948" s="390"/>
      <c r="W948" s="390"/>
      <c r="X948" s="390"/>
      <c r="Y948" s="390"/>
    </row>
    <row r="949">
      <c r="A949" s="390" t="str">
        <f>IFERROR(__xludf.DUMMYFUNCTION("""COMPUTED_VALUE"""),"Vandenilson Gomes da Paixão")</f>
        <v>Vandenilson Gomes da Paixão</v>
      </c>
      <c r="B949" s="390" t="str">
        <f>IFERROR(__xludf.DUMMYFUNCTION("""COMPUTED_VALUE"""),"Segunda Licenciatura em Música 1200Horas")</f>
        <v>Segunda Licenciatura em Música 1200Horas</v>
      </c>
      <c r="C949" s="390" t="str">
        <f>IFERROR(__xludf.DUMMYFUNCTION("""COMPUTED_VALUE"""),"Música")</f>
        <v>Música</v>
      </c>
      <c r="D949" s="390"/>
      <c r="E949" s="390"/>
      <c r="F949" s="390"/>
      <c r="G949" s="390"/>
      <c r="H949" s="390"/>
      <c r="I949" s="390"/>
      <c r="J949" s="390"/>
      <c r="K949" s="390"/>
      <c r="L949" s="390"/>
      <c r="M949" s="390"/>
      <c r="N949" s="390"/>
      <c r="O949" s="390"/>
      <c r="P949" s="390"/>
      <c r="Q949" s="390"/>
      <c r="R949" s="390"/>
      <c r="S949" s="390"/>
      <c r="T949" s="390"/>
      <c r="U949" s="390"/>
      <c r="V949" s="390"/>
      <c r="W949" s="390"/>
      <c r="X949" s="390"/>
      <c r="Y949" s="390"/>
    </row>
    <row r="950">
      <c r="A950" s="390" t="str">
        <f>IFERROR(__xludf.DUMMYFUNCTION("""COMPUTED_VALUE"""),"Sue Hellen Cristina Pereira Ferreira")</f>
        <v>Sue Hellen Cristina Pereira Ferreira</v>
      </c>
      <c r="B950" s="390" t="str">
        <f>IFERROR(__xludf.DUMMYFUNCTION("""COMPUTED_VALUE"""),"Segunda Licenciatura em Música 1200Horas")</f>
        <v>Segunda Licenciatura em Música 1200Horas</v>
      </c>
      <c r="C950" s="390" t="str">
        <f>IFERROR(__xludf.DUMMYFUNCTION("""COMPUTED_VALUE"""),"Música")</f>
        <v>Música</v>
      </c>
      <c r="D950" s="390"/>
      <c r="E950" s="390"/>
      <c r="F950" s="390"/>
      <c r="G950" s="390"/>
      <c r="H950" s="390"/>
      <c r="I950" s="390"/>
      <c r="J950" s="390"/>
      <c r="K950" s="390"/>
      <c r="L950" s="390"/>
      <c r="M950" s="390"/>
      <c r="N950" s="390"/>
      <c r="O950" s="390"/>
      <c r="P950" s="390"/>
      <c r="Q950" s="390"/>
      <c r="R950" s="390"/>
      <c r="S950" s="390"/>
      <c r="T950" s="390"/>
      <c r="U950" s="390"/>
      <c r="V950" s="390"/>
      <c r="W950" s="390"/>
      <c r="X950" s="390"/>
      <c r="Y950" s="390"/>
    </row>
    <row r="951">
      <c r="A951" s="390" t="str">
        <f>IFERROR(__xludf.DUMMYFUNCTION("""COMPUTED_VALUE"""),"Flávio Zancheta Faccioni")</f>
        <v>Flávio Zancheta Faccioni</v>
      </c>
      <c r="B951" s="390" t="str">
        <f>IFERROR(__xludf.DUMMYFUNCTION("""COMPUTED_VALUE"""),"Segunda Licenciatura em Música 1200Horas")</f>
        <v>Segunda Licenciatura em Música 1200Horas</v>
      </c>
      <c r="C951" s="390" t="str">
        <f>IFERROR(__xludf.DUMMYFUNCTION("""COMPUTED_VALUE"""),"Música")</f>
        <v>Música</v>
      </c>
      <c r="D951" s="390"/>
      <c r="E951" s="390"/>
      <c r="F951" s="390"/>
      <c r="G951" s="390"/>
      <c r="H951" s="390"/>
      <c r="I951" s="390"/>
      <c r="J951" s="390"/>
      <c r="K951" s="390"/>
      <c r="L951" s="390"/>
      <c r="M951" s="390"/>
      <c r="N951" s="390"/>
      <c r="O951" s="390"/>
      <c r="P951" s="390"/>
      <c r="Q951" s="390"/>
      <c r="R951" s="390"/>
      <c r="S951" s="390"/>
      <c r="T951" s="390"/>
      <c r="U951" s="390"/>
      <c r="V951" s="390"/>
      <c r="W951" s="390"/>
      <c r="X951" s="390"/>
      <c r="Y951" s="390"/>
    </row>
    <row r="952">
      <c r="A952" s="390" t="str">
        <f>IFERROR(__xludf.DUMMYFUNCTION("""COMPUTED_VALUE"""),"Joel Cordeiro de Souza")</f>
        <v>Joel Cordeiro de Souza</v>
      </c>
      <c r="B952" s="390" t="str">
        <f>IFERROR(__xludf.DUMMYFUNCTION("""COMPUTED_VALUE"""),"Formação Pedagógica em Música 1200Horas")</f>
        <v>Formação Pedagógica em Música 1200Horas</v>
      </c>
      <c r="C952" s="390" t="str">
        <f>IFERROR(__xludf.DUMMYFUNCTION("""COMPUTED_VALUE"""),"Música")</f>
        <v>Música</v>
      </c>
      <c r="D952" s="390"/>
      <c r="E952" s="390"/>
      <c r="F952" s="390"/>
      <c r="G952" s="390"/>
      <c r="H952" s="390"/>
      <c r="I952" s="390"/>
      <c r="J952" s="390"/>
      <c r="K952" s="390"/>
      <c r="L952" s="390"/>
      <c r="M952" s="390"/>
      <c r="N952" s="390"/>
      <c r="O952" s="390"/>
      <c r="P952" s="390"/>
      <c r="Q952" s="390"/>
      <c r="R952" s="390"/>
      <c r="S952" s="390"/>
      <c r="T952" s="390"/>
      <c r="U952" s="390"/>
      <c r="V952" s="390"/>
      <c r="W952" s="390"/>
      <c r="X952" s="390"/>
      <c r="Y952" s="390"/>
    </row>
    <row r="953">
      <c r="A953" s="390" t="str">
        <f>IFERROR(__xludf.DUMMYFUNCTION("""COMPUTED_VALUE"""),"Anderson Thiago Passos Veloso")</f>
        <v>Anderson Thiago Passos Veloso</v>
      </c>
      <c r="B953" s="390" t="str">
        <f>IFERROR(__xludf.DUMMYFUNCTION("""COMPUTED_VALUE"""),"Formação Pedagógica em Música 1200Horas")</f>
        <v>Formação Pedagógica em Música 1200Horas</v>
      </c>
      <c r="C953" s="390" t="str">
        <f>IFERROR(__xludf.DUMMYFUNCTION("""COMPUTED_VALUE"""),"Música")</f>
        <v>Música</v>
      </c>
      <c r="D953" s="390"/>
      <c r="E953" s="390"/>
      <c r="F953" s="390"/>
      <c r="G953" s="390"/>
      <c r="H953" s="390"/>
      <c r="I953" s="390"/>
      <c r="J953" s="390"/>
      <c r="K953" s="390"/>
      <c r="L953" s="390"/>
      <c r="M953" s="390"/>
      <c r="N953" s="390"/>
      <c r="O953" s="390"/>
      <c r="P953" s="390"/>
      <c r="Q953" s="390"/>
      <c r="R953" s="390"/>
      <c r="S953" s="390"/>
      <c r="T953" s="390"/>
      <c r="U953" s="390"/>
      <c r="V953" s="390"/>
      <c r="W953" s="390"/>
      <c r="X953" s="390"/>
      <c r="Y953" s="390"/>
    </row>
    <row r="954">
      <c r="A954" s="390" t="str">
        <f>IFERROR(__xludf.DUMMYFUNCTION("""COMPUTED_VALUE"""),"Adilson Norberto da Silva ")</f>
        <v>Adilson Norberto da Silva </v>
      </c>
      <c r="B954" s="390" t="str">
        <f>IFERROR(__xludf.DUMMYFUNCTION("""COMPUTED_VALUE"""),"Formação Pedagógica em Música 1200Horas")</f>
        <v>Formação Pedagógica em Música 1200Horas</v>
      </c>
      <c r="C954" s="390" t="str">
        <f>IFERROR(__xludf.DUMMYFUNCTION("""COMPUTED_VALUE"""),"Música")</f>
        <v>Música</v>
      </c>
      <c r="D954" s="390"/>
      <c r="E954" s="390"/>
      <c r="F954" s="390"/>
      <c r="G954" s="390"/>
      <c r="H954" s="390"/>
      <c r="I954" s="390"/>
      <c r="J954" s="390"/>
      <c r="K954" s="390"/>
      <c r="L954" s="390"/>
      <c r="M954" s="390"/>
      <c r="N954" s="390"/>
      <c r="O954" s="390"/>
      <c r="P954" s="390"/>
      <c r="Q954" s="390"/>
      <c r="R954" s="390"/>
      <c r="S954" s="390"/>
      <c r="T954" s="390"/>
      <c r="U954" s="390"/>
      <c r="V954" s="390"/>
      <c r="W954" s="390"/>
      <c r="X954" s="390"/>
      <c r="Y954" s="390"/>
    </row>
    <row r="955">
      <c r="A955" s="390" t="str">
        <f>IFERROR(__xludf.DUMMYFUNCTION("""COMPUTED_VALUE"""),"Marcelo Augusto da Silva Evangelista ")</f>
        <v>Marcelo Augusto da Silva Evangelista </v>
      </c>
      <c r="B955" s="390" t="str">
        <f>IFERROR(__xludf.DUMMYFUNCTION("""COMPUTED_VALUE"""),"Formação Pedagógica em Música 1200Horas")</f>
        <v>Formação Pedagógica em Música 1200Horas</v>
      </c>
      <c r="C955" s="390" t="str">
        <f>IFERROR(__xludf.DUMMYFUNCTION("""COMPUTED_VALUE"""),"Música")</f>
        <v>Música</v>
      </c>
      <c r="D955" s="390"/>
      <c r="E955" s="390"/>
      <c r="F955" s="390"/>
      <c r="G955" s="390"/>
      <c r="H955" s="390"/>
      <c r="I955" s="390"/>
      <c r="J955" s="390"/>
      <c r="K955" s="390"/>
      <c r="L955" s="390"/>
      <c r="M955" s="390"/>
      <c r="N955" s="390"/>
      <c r="O955" s="390"/>
      <c r="P955" s="390"/>
      <c r="Q955" s="390"/>
      <c r="R955" s="390"/>
      <c r="S955" s="390"/>
      <c r="T955" s="390"/>
      <c r="U955" s="390"/>
      <c r="V955" s="390"/>
      <c r="W955" s="390"/>
      <c r="X955" s="390"/>
      <c r="Y955" s="390"/>
    </row>
    <row r="956">
      <c r="A956" s="390" t="str">
        <f>IFERROR(__xludf.DUMMYFUNCTION("""COMPUTED_VALUE"""),"Marcos Silva Lima")</f>
        <v>Marcos Silva Lima</v>
      </c>
      <c r="B956" s="390" t="str">
        <f>IFERROR(__xludf.DUMMYFUNCTION("""COMPUTED_VALUE"""),"Segunda Licenciatura em Música 1320Horas")</f>
        <v>Segunda Licenciatura em Música 1320Horas</v>
      </c>
      <c r="C956" s="390" t="str">
        <f>IFERROR(__xludf.DUMMYFUNCTION("""COMPUTED_VALUE"""),"Música")</f>
        <v>Música</v>
      </c>
      <c r="D956" s="390"/>
      <c r="E956" s="390"/>
      <c r="F956" s="390"/>
      <c r="G956" s="390"/>
      <c r="H956" s="390"/>
      <c r="I956" s="390"/>
      <c r="J956" s="390"/>
      <c r="K956" s="390"/>
      <c r="L956" s="390"/>
      <c r="M956" s="390"/>
      <c r="N956" s="390"/>
      <c r="O956" s="390"/>
      <c r="P956" s="390"/>
      <c r="Q956" s="390"/>
      <c r="R956" s="390"/>
      <c r="S956" s="390"/>
      <c r="T956" s="390"/>
      <c r="U956" s="390"/>
      <c r="V956" s="390"/>
      <c r="W956" s="390"/>
      <c r="X956" s="390"/>
      <c r="Y956" s="390"/>
    </row>
    <row r="957">
      <c r="A957" s="390" t="str">
        <f>IFERROR(__xludf.DUMMYFUNCTION("""COMPUTED_VALUE"""),"Sergio da Silva Gonçalves")</f>
        <v>Sergio da Silva Gonçalves</v>
      </c>
      <c r="B957" s="390" t="str">
        <f>IFERROR(__xludf.DUMMYFUNCTION("""COMPUTED_VALUE"""),"Formação Pedagógica em Música 1200Horas")</f>
        <v>Formação Pedagógica em Música 1200Horas</v>
      </c>
      <c r="C957" s="390" t="str">
        <f>IFERROR(__xludf.DUMMYFUNCTION("""COMPUTED_VALUE"""),"Música")</f>
        <v>Música</v>
      </c>
      <c r="D957" s="390"/>
      <c r="E957" s="390"/>
      <c r="F957" s="390"/>
      <c r="G957" s="390"/>
      <c r="H957" s="390"/>
      <c r="I957" s="390"/>
      <c r="J957" s="390"/>
      <c r="K957" s="390"/>
      <c r="L957" s="390"/>
      <c r="M957" s="390"/>
      <c r="N957" s="390"/>
      <c r="O957" s="390"/>
      <c r="P957" s="390"/>
      <c r="Q957" s="390"/>
      <c r="R957" s="390"/>
      <c r="S957" s="390"/>
      <c r="T957" s="390"/>
      <c r="U957" s="390"/>
      <c r="V957" s="390"/>
      <c r="W957" s="390"/>
      <c r="X957" s="390"/>
      <c r="Y957" s="390"/>
    </row>
    <row r="958">
      <c r="A958" s="390" t="str">
        <f>IFERROR(__xludf.DUMMYFUNCTION("""COMPUTED_VALUE"""),"Douglas Felipe Nogueira Rocha ")</f>
        <v>Douglas Felipe Nogueira Rocha </v>
      </c>
      <c r="B958" s="390" t="str">
        <f>IFERROR(__xludf.DUMMYFUNCTION("""COMPUTED_VALUE"""),"Segunda Licenciatura em Música 1200Horas")</f>
        <v>Segunda Licenciatura em Música 1200Horas</v>
      </c>
      <c r="C958" s="390" t="str">
        <f>IFERROR(__xludf.DUMMYFUNCTION("""COMPUTED_VALUE"""),"Música")</f>
        <v>Música</v>
      </c>
      <c r="D958" s="390"/>
      <c r="E958" s="390"/>
      <c r="F958" s="390"/>
      <c r="G958" s="390"/>
      <c r="H958" s="390"/>
      <c r="I958" s="390"/>
      <c r="J958" s="390"/>
      <c r="K958" s="390"/>
      <c r="L958" s="390"/>
      <c r="M958" s="390"/>
      <c r="N958" s="390"/>
      <c r="O958" s="390"/>
      <c r="P958" s="390"/>
      <c r="Q958" s="390"/>
      <c r="R958" s="390"/>
      <c r="S958" s="390"/>
      <c r="T958" s="390"/>
      <c r="U958" s="390"/>
      <c r="V958" s="390"/>
      <c r="W958" s="390"/>
      <c r="X958" s="390"/>
      <c r="Y958" s="390"/>
    </row>
    <row r="959">
      <c r="A959" s="390" t="str">
        <f>IFERROR(__xludf.DUMMYFUNCTION("""COMPUTED_VALUE"""),"Romero João Bezerra")</f>
        <v>Romero João Bezerra</v>
      </c>
      <c r="B959" s="390" t="str">
        <f>IFERROR(__xludf.DUMMYFUNCTION("""COMPUTED_VALUE"""),"Segunda Licenciatura em Música 1200Horas")</f>
        <v>Segunda Licenciatura em Música 1200Horas</v>
      </c>
      <c r="C959" s="390" t="str">
        <f>IFERROR(__xludf.DUMMYFUNCTION("""COMPUTED_VALUE"""),"Música")</f>
        <v>Música</v>
      </c>
      <c r="D959" s="390"/>
      <c r="E959" s="390"/>
      <c r="F959" s="390"/>
      <c r="G959" s="390"/>
      <c r="H959" s="390"/>
      <c r="I959" s="390"/>
      <c r="J959" s="390"/>
      <c r="K959" s="390"/>
      <c r="L959" s="390"/>
      <c r="M959" s="390"/>
      <c r="N959" s="390"/>
      <c r="O959" s="390"/>
      <c r="P959" s="390"/>
      <c r="Q959" s="390"/>
      <c r="R959" s="390"/>
      <c r="S959" s="390"/>
      <c r="T959" s="390"/>
      <c r="U959" s="390"/>
      <c r="V959" s="390"/>
      <c r="W959" s="390"/>
      <c r="X959" s="390"/>
      <c r="Y959" s="390"/>
    </row>
    <row r="960">
      <c r="A960" s="390" t="str">
        <f>IFERROR(__xludf.DUMMYFUNCTION("""COMPUTED_VALUE"""),"João Acelino Barbosa Filho")</f>
        <v>João Acelino Barbosa Filho</v>
      </c>
      <c r="B960" s="390" t="str">
        <f>IFERROR(__xludf.DUMMYFUNCTION("""COMPUTED_VALUE"""),"Segunda Licenciatura em Música 1200Horas")</f>
        <v>Segunda Licenciatura em Música 1200Horas</v>
      </c>
      <c r="C960" s="390" t="str">
        <f>IFERROR(__xludf.DUMMYFUNCTION("""COMPUTED_VALUE"""),"Música")</f>
        <v>Música</v>
      </c>
      <c r="D960" s="390"/>
      <c r="E960" s="390"/>
      <c r="F960" s="390"/>
      <c r="G960" s="390"/>
      <c r="H960" s="390"/>
      <c r="I960" s="390"/>
      <c r="J960" s="390"/>
      <c r="K960" s="390"/>
      <c r="L960" s="390"/>
      <c r="M960" s="390"/>
      <c r="N960" s="390"/>
      <c r="O960" s="390"/>
      <c r="P960" s="390"/>
      <c r="Q960" s="390"/>
      <c r="R960" s="390"/>
      <c r="S960" s="390"/>
      <c r="T960" s="390"/>
      <c r="U960" s="390"/>
      <c r="V960" s="390"/>
      <c r="W960" s="390"/>
      <c r="X960" s="390"/>
      <c r="Y960" s="390"/>
    </row>
    <row r="961">
      <c r="A961" s="390" t="str">
        <f>IFERROR(__xludf.DUMMYFUNCTION("""COMPUTED_VALUE"""),"Talita De Gracia Borges")</f>
        <v>Talita De Gracia Borges</v>
      </c>
      <c r="B961" s="390" t="str">
        <f>IFERROR(__xludf.DUMMYFUNCTION("""COMPUTED_VALUE"""),"Formação Pedagógica em Música 1200Horas")</f>
        <v>Formação Pedagógica em Música 1200Horas</v>
      </c>
      <c r="C961" s="390" t="str">
        <f>IFERROR(__xludf.DUMMYFUNCTION("""COMPUTED_VALUE"""),"Música")</f>
        <v>Música</v>
      </c>
      <c r="D961" s="390"/>
      <c r="E961" s="390"/>
      <c r="F961" s="390"/>
      <c r="G961" s="390"/>
      <c r="H961" s="390"/>
      <c r="I961" s="390"/>
      <c r="J961" s="390"/>
      <c r="K961" s="390"/>
      <c r="L961" s="390"/>
      <c r="M961" s="390"/>
      <c r="N961" s="390"/>
      <c r="O961" s="390"/>
      <c r="P961" s="390"/>
      <c r="Q961" s="390"/>
      <c r="R961" s="390"/>
      <c r="S961" s="390"/>
      <c r="T961" s="390"/>
      <c r="U961" s="390"/>
      <c r="V961" s="390"/>
      <c r="W961" s="390"/>
      <c r="X961" s="390"/>
      <c r="Y961" s="390"/>
    </row>
    <row r="962">
      <c r="A962" s="390" t="str">
        <f>IFERROR(__xludf.DUMMYFUNCTION("""COMPUTED_VALUE"""),"William Gustavo Farias Viana (certificado no drive)(próximo ofício urgente)")</f>
        <v>William Gustavo Farias Viana (certificado no drive)(próximo ofício urgente)</v>
      </c>
      <c r="B962" s="390" t="str">
        <f>IFERROR(__xludf.DUMMYFUNCTION("""COMPUTED_VALUE"""),"Segunda Licenciatura em Música 1200Horas")</f>
        <v>Segunda Licenciatura em Música 1200Horas</v>
      </c>
      <c r="C962" s="390" t="str">
        <f>IFERROR(__xludf.DUMMYFUNCTION("""COMPUTED_VALUE"""),"Música")</f>
        <v>Música</v>
      </c>
      <c r="D962" s="390"/>
      <c r="E962" s="390"/>
      <c r="F962" s="390"/>
      <c r="G962" s="390"/>
      <c r="H962" s="390"/>
      <c r="I962" s="390"/>
      <c r="J962" s="390"/>
      <c r="K962" s="390"/>
      <c r="L962" s="390"/>
      <c r="M962" s="390"/>
      <c r="N962" s="390"/>
      <c r="O962" s="390"/>
      <c r="P962" s="390"/>
      <c r="Q962" s="390"/>
      <c r="R962" s="390"/>
      <c r="S962" s="390"/>
      <c r="T962" s="390"/>
      <c r="U962" s="390"/>
      <c r="V962" s="390"/>
      <c r="W962" s="390"/>
      <c r="X962" s="390"/>
      <c r="Y962" s="390"/>
    </row>
    <row r="963">
      <c r="A963" s="390" t="str">
        <f>IFERROR(__xludf.DUMMYFUNCTION("""COMPUTED_VALUE"""),"Graziela Zorzenon")</f>
        <v>Graziela Zorzenon</v>
      </c>
      <c r="B963" s="390" t="str">
        <f>IFERROR(__xludf.DUMMYFUNCTION("""COMPUTED_VALUE"""),"Formação Pedagógica em Música 1200Horas")</f>
        <v>Formação Pedagógica em Música 1200Horas</v>
      </c>
      <c r="C963" s="390" t="str">
        <f>IFERROR(__xludf.DUMMYFUNCTION("""COMPUTED_VALUE"""),"Música")</f>
        <v>Música</v>
      </c>
      <c r="D963" s="390"/>
      <c r="E963" s="390"/>
      <c r="F963" s="390"/>
      <c r="G963" s="390"/>
      <c r="H963" s="390"/>
      <c r="I963" s="390"/>
      <c r="J963" s="390"/>
      <c r="K963" s="390"/>
      <c r="L963" s="390"/>
      <c r="M963" s="390"/>
      <c r="N963" s="390"/>
      <c r="O963" s="390"/>
      <c r="P963" s="390"/>
      <c r="Q963" s="390"/>
      <c r="R963" s="390"/>
      <c r="S963" s="390"/>
      <c r="T963" s="390"/>
      <c r="U963" s="390"/>
      <c r="V963" s="390"/>
      <c r="W963" s="390"/>
      <c r="X963" s="390"/>
      <c r="Y963" s="390"/>
    </row>
    <row r="964">
      <c r="A964" s="390" t="str">
        <f>IFERROR(__xludf.DUMMYFUNCTION("""COMPUTED_VALUE"""),"Francisco Alves Farias ")</f>
        <v>Francisco Alves Farias </v>
      </c>
      <c r="B964" s="390" t="str">
        <f>IFERROR(__xludf.DUMMYFUNCTION("""COMPUTED_VALUE"""),"Segunda Licenciatura em Música 1200Horas")</f>
        <v>Segunda Licenciatura em Música 1200Horas</v>
      </c>
      <c r="C964" s="390" t="str">
        <f>IFERROR(__xludf.DUMMYFUNCTION("""COMPUTED_VALUE"""),"Música")</f>
        <v>Música</v>
      </c>
      <c r="D964" s="390"/>
      <c r="E964" s="390"/>
      <c r="F964" s="390"/>
      <c r="G964" s="390"/>
      <c r="H964" s="390"/>
      <c r="I964" s="390"/>
      <c r="J964" s="390"/>
      <c r="K964" s="390"/>
      <c r="L964" s="390"/>
      <c r="M964" s="390"/>
      <c r="N964" s="390"/>
      <c r="O964" s="390"/>
      <c r="P964" s="390"/>
      <c r="Q964" s="390"/>
      <c r="R964" s="390"/>
      <c r="S964" s="390"/>
      <c r="T964" s="390"/>
      <c r="U964" s="390"/>
      <c r="V964" s="390"/>
      <c r="W964" s="390"/>
      <c r="X964" s="390"/>
      <c r="Y964" s="390"/>
    </row>
    <row r="965">
      <c r="A965" s="390" t="str">
        <f>IFERROR(__xludf.DUMMYFUNCTION("""COMPUTED_VALUE"""),"Vinicius de Andrade Floriano (certificado emitido)")</f>
        <v>Vinicius de Andrade Floriano (certificado emitido)</v>
      </c>
      <c r="B965" s="390" t="str">
        <f>IFERROR(__xludf.DUMMYFUNCTION("""COMPUTED_VALUE"""),"Segunda Licenciatura em Música")</f>
        <v>Segunda Licenciatura em Música</v>
      </c>
      <c r="C965" s="390" t="str">
        <f>IFERROR(__xludf.DUMMYFUNCTION("""COMPUTED_VALUE"""),"Música")</f>
        <v>Música</v>
      </c>
      <c r="D965" s="390"/>
      <c r="E965" s="390"/>
      <c r="F965" s="390"/>
      <c r="G965" s="390"/>
      <c r="H965" s="390"/>
      <c r="I965" s="390"/>
      <c r="J965" s="390"/>
      <c r="K965" s="390"/>
      <c r="L965" s="390"/>
      <c r="M965" s="390"/>
      <c r="N965" s="390"/>
      <c r="O965" s="390"/>
      <c r="P965" s="390"/>
      <c r="Q965" s="390"/>
      <c r="R965" s="390"/>
      <c r="S965" s="390"/>
      <c r="T965" s="390"/>
      <c r="U965" s="390"/>
      <c r="V965" s="390"/>
      <c r="W965" s="390"/>
      <c r="X965" s="390"/>
      <c r="Y965" s="390"/>
    </row>
    <row r="966">
      <c r="A966" s="390" t="str">
        <f>IFERROR(__xludf.DUMMYFUNCTION("""COMPUTED_VALUE"""),"Cibele Regina Passio de Almeida (certificado emitido)")</f>
        <v>Cibele Regina Passio de Almeida (certificado emitido)</v>
      </c>
      <c r="B966" s="390" t="str">
        <f>IFERROR(__xludf.DUMMYFUNCTION("""COMPUTED_VALUE"""),"Formação Pedagógica em Música 1200Horas")</f>
        <v>Formação Pedagógica em Música 1200Horas</v>
      </c>
      <c r="C966" s="390" t="str">
        <f>IFERROR(__xludf.DUMMYFUNCTION("""COMPUTED_VALUE"""),"Música")</f>
        <v>Música</v>
      </c>
      <c r="D966" s="390"/>
      <c r="E966" s="390"/>
      <c r="F966" s="390"/>
      <c r="G966" s="390"/>
      <c r="H966" s="390"/>
      <c r="I966" s="390"/>
      <c r="J966" s="390"/>
      <c r="K966" s="390"/>
      <c r="L966" s="390"/>
      <c r="M966" s="390"/>
      <c r="N966" s="390"/>
      <c r="O966" s="390"/>
      <c r="P966" s="390"/>
      <c r="Q966" s="390"/>
      <c r="R966" s="390"/>
      <c r="S966" s="390"/>
      <c r="T966" s="390"/>
      <c r="U966" s="390"/>
      <c r="V966" s="390"/>
      <c r="W966" s="390"/>
      <c r="X966" s="390"/>
      <c r="Y966" s="390"/>
    </row>
    <row r="967">
      <c r="A967" s="390" t="str">
        <f>IFERROR(__xludf.DUMMYFUNCTION("""COMPUTED_VALUE"""),"João Marcos Brandet (certificado no Drive)")</f>
        <v>João Marcos Brandet (certificado no Drive)</v>
      </c>
      <c r="B967" s="390" t="str">
        <f>IFERROR(__xludf.DUMMYFUNCTION("""COMPUTED_VALUE"""),"Formação Pedagógica em Música 1200Horas")</f>
        <v>Formação Pedagógica em Música 1200Horas</v>
      </c>
      <c r="C967" s="390" t="str">
        <f>IFERROR(__xludf.DUMMYFUNCTION("""COMPUTED_VALUE"""),"Música")</f>
        <v>Música</v>
      </c>
      <c r="D967" s="390"/>
      <c r="E967" s="390"/>
      <c r="F967" s="390"/>
      <c r="G967" s="390"/>
      <c r="H967" s="390"/>
      <c r="I967" s="390"/>
      <c r="J967" s="390"/>
      <c r="K967" s="390"/>
      <c r="L967" s="390"/>
      <c r="M967" s="390"/>
      <c r="N967" s="390"/>
      <c r="O967" s="390"/>
      <c r="P967" s="390"/>
      <c r="Q967" s="390"/>
      <c r="R967" s="390"/>
      <c r="S967" s="390"/>
      <c r="T967" s="390"/>
      <c r="U967" s="390"/>
      <c r="V967" s="390"/>
      <c r="W967" s="390"/>
      <c r="X967" s="390"/>
      <c r="Y967" s="390"/>
    </row>
    <row r="968">
      <c r="A968" s="390" t="str">
        <f>IFERROR(__xludf.DUMMYFUNCTION("""COMPUTED_VALUE"""),"Carlos Henrique Fernandes (certificado no drive)")</f>
        <v>Carlos Henrique Fernandes (certificado no drive)</v>
      </c>
      <c r="B968" s="390" t="str">
        <f>IFERROR(__xludf.DUMMYFUNCTION("""COMPUTED_VALUE"""),"Segunda Licenciatura em Música 1200Horas")</f>
        <v>Segunda Licenciatura em Música 1200Horas</v>
      </c>
      <c r="C968" s="390" t="str">
        <f>IFERROR(__xludf.DUMMYFUNCTION("""COMPUTED_VALUE"""),"Música")</f>
        <v>Música</v>
      </c>
      <c r="D968" s="390"/>
      <c r="E968" s="390"/>
      <c r="F968" s="390"/>
      <c r="G968" s="390"/>
      <c r="H968" s="390"/>
      <c r="I968" s="390"/>
      <c r="J968" s="390"/>
      <c r="K968" s="390"/>
      <c r="L968" s="390"/>
      <c r="M968" s="390"/>
      <c r="N968" s="390"/>
      <c r="O968" s="390"/>
      <c r="P968" s="390"/>
      <c r="Q968" s="390"/>
      <c r="R968" s="390"/>
      <c r="S968" s="390"/>
      <c r="T968" s="390"/>
      <c r="U968" s="390"/>
      <c r="V968" s="390"/>
      <c r="W968" s="390"/>
      <c r="X968" s="390"/>
      <c r="Y968" s="390"/>
    </row>
    <row r="969">
      <c r="A969" s="390" t="str">
        <f>IFERROR(__xludf.DUMMYFUNCTION("""COMPUTED_VALUE"""),"Suzana Gomes Gabriel da Cruz")</f>
        <v>Suzana Gomes Gabriel da Cruz</v>
      </c>
      <c r="B969" s="390" t="str">
        <f>IFERROR(__xludf.DUMMYFUNCTION("""COMPUTED_VALUE"""),"Segunda Licenciatura em Música")</f>
        <v>Segunda Licenciatura em Música</v>
      </c>
      <c r="C969" s="390" t="str">
        <f>IFERROR(__xludf.DUMMYFUNCTION("""COMPUTED_VALUE"""),"Música")</f>
        <v>Música</v>
      </c>
      <c r="D969" s="390"/>
      <c r="E969" s="390"/>
      <c r="F969" s="390"/>
      <c r="G969" s="390"/>
      <c r="H969" s="390"/>
      <c r="I969" s="390"/>
      <c r="J969" s="390"/>
      <c r="K969" s="390"/>
      <c r="L969" s="390"/>
      <c r="M969" s="390"/>
      <c r="N969" s="390"/>
      <c r="O969" s="390"/>
      <c r="P969" s="390"/>
      <c r="Q969" s="390"/>
      <c r="R969" s="390"/>
      <c r="S969" s="390"/>
      <c r="T969" s="390"/>
      <c r="U969" s="390"/>
      <c r="V969" s="390"/>
      <c r="W969" s="390"/>
      <c r="X969" s="390"/>
      <c r="Y969" s="390"/>
    </row>
    <row r="970">
      <c r="A970" s="390" t="str">
        <f>IFERROR(__xludf.DUMMYFUNCTION("""COMPUTED_VALUE"""),"Charles Félix da Silva")</f>
        <v>Charles Félix da Silva</v>
      </c>
      <c r="B970" s="390" t="str">
        <f>IFERROR(__xludf.DUMMYFUNCTION("""COMPUTED_VALUE"""),"Segunda Licenciatura em Música")</f>
        <v>Segunda Licenciatura em Música</v>
      </c>
      <c r="C970" s="390" t="str">
        <f>IFERROR(__xludf.DUMMYFUNCTION("""COMPUTED_VALUE"""),"Música")</f>
        <v>Música</v>
      </c>
      <c r="D970" s="390"/>
      <c r="E970" s="390"/>
      <c r="F970" s="390"/>
      <c r="G970" s="390"/>
      <c r="H970" s="390"/>
      <c r="I970" s="390"/>
      <c r="J970" s="390"/>
      <c r="K970" s="390"/>
      <c r="L970" s="390"/>
      <c r="M970" s="390"/>
      <c r="N970" s="390"/>
      <c r="O970" s="390"/>
      <c r="P970" s="390"/>
      <c r="Q970" s="390"/>
      <c r="R970" s="390"/>
      <c r="S970" s="390"/>
      <c r="T970" s="390"/>
      <c r="U970" s="390"/>
      <c r="V970" s="390"/>
      <c r="W970" s="390"/>
      <c r="X970" s="390"/>
      <c r="Y970" s="390"/>
    </row>
    <row r="971">
      <c r="A971" s="390" t="str">
        <f>IFERROR(__xludf.DUMMYFUNCTION("""COMPUTED_VALUE"""),"Emerson Sousa de Holanda")</f>
        <v>Emerson Sousa de Holanda</v>
      </c>
      <c r="B971" s="390" t="str">
        <f>IFERROR(__xludf.DUMMYFUNCTION("""COMPUTED_VALUE"""),"Formação Pedagógica em Música 1200Horas")</f>
        <v>Formação Pedagógica em Música 1200Horas</v>
      </c>
      <c r="C971" s="390" t="str">
        <f>IFERROR(__xludf.DUMMYFUNCTION("""COMPUTED_VALUE"""),"Música")</f>
        <v>Música</v>
      </c>
      <c r="D971" s="390"/>
      <c r="E971" s="390"/>
      <c r="F971" s="390"/>
      <c r="G971" s="390"/>
      <c r="H971" s="390"/>
      <c r="I971" s="390"/>
      <c r="J971" s="390"/>
      <c r="K971" s="390"/>
      <c r="L971" s="390"/>
      <c r="M971" s="390"/>
      <c r="N971" s="390"/>
      <c r="O971" s="390"/>
      <c r="P971" s="390"/>
      <c r="Q971" s="390"/>
      <c r="R971" s="390"/>
      <c r="S971" s="390"/>
      <c r="T971" s="390"/>
      <c r="U971" s="390"/>
      <c r="V971" s="390"/>
      <c r="W971" s="390"/>
      <c r="X971" s="390"/>
      <c r="Y971" s="390"/>
    </row>
    <row r="972">
      <c r="A972" s="390" t="str">
        <f>IFERROR(__xludf.DUMMYFUNCTION("""COMPUTED_VALUE"""),"Luis Carlos Carneiro")</f>
        <v>Luis Carlos Carneiro</v>
      </c>
      <c r="B972" s="390" t="str">
        <f>IFERROR(__xludf.DUMMYFUNCTION("""COMPUTED_VALUE"""),"Segunda Licenciatura em Música 1200Horas")</f>
        <v>Segunda Licenciatura em Música 1200Horas</v>
      </c>
      <c r="C972" s="390" t="str">
        <f>IFERROR(__xludf.DUMMYFUNCTION("""COMPUTED_VALUE"""),"Música")</f>
        <v>Música</v>
      </c>
      <c r="D972" s="390"/>
      <c r="E972" s="390"/>
      <c r="F972" s="390"/>
      <c r="G972" s="390"/>
      <c r="H972" s="390"/>
      <c r="I972" s="390"/>
      <c r="J972" s="390"/>
      <c r="K972" s="390"/>
      <c r="L972" s="390"/>
      <c r="M972" s="390"/>
      <c r="N972" s="390"/>
      <c r="O972" s="390"/>
      <c r="P972" s="390"/>
      <c r="Q972" s="390"/>
      <c r="R972" s="390"/>
      <c r="S972" s="390"/>
      <c r="T972" s="390"/>
      <c r="U972" s="390"/>
      <c r="V972" s="390"/>
      <c r="W972" s="390"/>
      <c r="X972" s="390"/>
      <c r="Y972" s="390"/>
    </row>
    <row r="973">
      <c r="A973" s="390" t="str">
        <f>IFERROR(__xludf.DUMMYFUNCTION("""COMPUTED_VALUE"""),"Wanderson Fernandes Fonseca")</f>
        <v>Wanderson Fernandes Fonseca</v>
      </c>
      <c r="B973" s="390" t="str">
        <f>IFERROR(__xludf.DUMMYFUNCTION("""COMPUTED_VALUE"""),"Formação Pedagógica em Música 1200Horas")</f>
        <v>Formação Pedagógica em Música 1200Horas</v>
      </c>
      <c r="C973" s="390" t="str">
        <f>IFERROR(__xludf.DUMMYFUNCTION("""COMPUTED_VALUE"""),"Música")</f>
        <v>Música</v>
      </c>
      <c r="D973" s="390"/>
      <c r="E973" s="390"/>
      <c r="F973" s="390"/>
      <c r="G973" s="390"/>
      <c r="H973" s="390"/>
      <c r="I973" s="390"/>
      <c r="J973" s="390"/>
      <c r="K973" s="390"/>
      <c r="L973" s="390"/>
      <c r="M973" s="390"/>
      <c r="N973" s="390"/>
      <c r="O973" s="390"/>
      <c r="P973" s="390"/>
      <c r="Q973" s="390"/>
      <c r="R973" s="390"/>
      <c r="S973" s="390"/>
      <c r="T973" s="390"/>
      <c r="U973" s="390"/>
      <c r="V973" s="390"/>
      <c r="W973" s="390"/>
      <c r="X973" s="390"/>
      <c r="Y973" s="390"/>
    </row>
    <row r="974">
      <c r="A974" s="390" t="str">
        <f>IFERROR(__xludf.DUMMYFUNCTION("""COMPUTED_VALUE"""),"Marcos Aurelio Evangelista  (proximo oficio urgente) falta reservista")</f>
        <v>Marcos Aurelio Evangelista  (proximo oficio urgente) falta reservista</v>
      </c>
      <c r="B974" s="390" t="str">
        <f>IFERROR(__xludf.DUMMYFUNCTION("""COMPUTED_VALUE"""),"Formação Pedagógica em Música 1200Horas")</f>
        <v>Formação Pedagógica em Música 1200Horas</v>
      </c>
      <c r="C974" s="390" t="str">
        <f>IFERROR(__xludf.DUMMYFUNCTION("""COMPUTED_VALUE"""),"Música")</f>
        <v>Música</v>
      </c>
      <c r="D974" s="390"/>
      <c r="E974" s="390"/>
      <c r="F974" s="390"/>
      <c r="G974" s="390"/>
      <c r="H974" s="390"/>
      <c r="I974" s="390"/>
      <c r="J974" s="390"/>
      <c r="K974" s="390"/>
      <c r="L974" s="390"/>
      <c r="M974" s="390"/>
      <c r="N974" s="390"/>
      <c r="O974" s="390"/>
      <c r="P974" s="390"/>
      <c r="Q974" s="390"/>
      <c r="R974" s="390"/>
      <c r="S974" s="390"/>
      <c r="T974" s="390"/>
      <c r="U974" s="390"/>
      <c r="V974" s="390"/>
      <c r="W974" s="390"/>
      <c r="X974" s="390"/>
      <c r="Y974" s="390"/>
    </row>
    <row r="975">
      <c r="A975" s="390" t="str">
        <f>IFERROR(__xludf.DUMMYFUNCTION("""COMPUTED_VALUE"""),"Bruna Gomes Lovatti")</f>
        <v>Bruna Gomes Lovatti</v>
      </c>
      <c r="B975" s="390" t="str">
        <f>IFERROR(__xludf.DUMMYFUNCTION("""COMPUTED_VALUE"""),"Formação Pedagógica em Música 1200Horas")</f>
        <v>Formação Pedagógica em Música 1200Horas</v>
      </c>
      <c r="C975" s="390" t="str">
        <f>IFERROR(__xludf.DUMMYFUNCTION("""COMPUTED_VALUE"""),"Música")</f>
        <v>Música</v>
      </c>
      <c r="D975" s="390"/>
      <c r="E975" s="390"/>
      <c r="F975" s="390"/>
      <c r="G975" s="390"/>
      <c r="H975" s="390"/>
      <c r="I975" s="390"/>
      <c r="J975" s="390"/>
      <c r="K975" s="390"/>
      <c r="L975" s="390"/>
      <c r="M975" s="390"/>
      <c r="N975" s="390"/>
      <c r="O975" s="390"/>
      <c r="P975" s="390"/>
      <c r="Q975" s="390"/>
      <c r="R975" s="390"/>
      <c r="S975" s="390"/>
      <c r="T975" s="390"/>
      <c r="U975" s="390"/>
      <c r="V975" s="390"/>
      <c r="W975" s="390"/>
      <c r="X975" s="390"/>
      <c r="Y975" s="390"/>
    </row>
    <row r="976">
      <c r="A976" s="390" t="str">
        <f>IFERROR(__xludf.DUMMYFUNCTION("""COMPUTED_VALUE"""),"Tiago Fernandes Rosas")</f>
        <v>Tiago Fernandes Rosas</v>
      </c>
      <c r="B976" s="390" t="str">
        <f>IFERROR(__xludf.DUMMYFUNCTION("""COMPUTED_VALUE"""),"Segunda Licenciatura em Música 1200Horas")</f>
        <v>Segunda Licenciatura em Música 1200Horas</v>
      </c>
      <c r="C976" s="390" t="str">
        <f>IFERROR(__xludf.DUMMYFUNCTION("""COMPUTED_VALUE"""),"Música")</f>
        <v>Música</v>
      </c>
      <c r="D976" s="390"/>
      <c r="E976" s="390"/>
      <c r="F976" s="390"/>
      <c r="G976" s="390"/>
      <c r="H976" s="390"/>
      <c r="I976" s="390"/>
      <c r="J976" s="390"/>
      <c r="K976" s="390"/>
      <c r="L976" s="390"/>
      <c r="M976" s="390"/>
      <c r="N976" s="390"/>
      <c r="O976" s="390"/>
      <c r="P976" s="390"/>
      <c r="Q976" s="390"/>
      <c r="R976" s="390"/>
      <c r="S976" s="390"/>
      <c r="T976" s="390"/>
      <c r="U976" s="390"/>
      <c r="V976" s="390"/>
      <c r="W976" s="390"/>
      <c r="X976" s="390"/>
      <c r="Y976" s="390"/>
    </row>
    <row r="977">
      <c r="A977" s="390" t="str">
        <f>IFERROR(__xludf.DUMMYFUNCTION("""COMPUTED_VALUE"""),"Soraya Aboim Freire Pereira")</f>
        <v>Soraya Aboim Freire Pereira</v>
      </c>
      <c r="B977" s="390" t="str">
        <f>IFERROR(__xludf.DUMMYFUNCTION("""COMPUTED_VALUE"""),"Segunda Licenciatura em Música 1200Horas")</f>
        <v>Segunda Licenciatura em Música 1200Horas</v>
      </c>
      <c r="C977" s="390" t="str">
        <f>IFERROR(__xludf.DUMMYFUNCTION("""COMPUTED_VALUE"""),"Música")</f>
        <v>Música</v>
      </c>
      <c r="D977" s="390"/>
      <c r="E977" s="390"/>
      <c r="F977" s="390"/>
      <c r="G977" s="390"/>
      <c r="H977" s="390"/>
      <c r="I977" s="390"/>
      <c r="J977" s="390"/>
      <c r="K977" s="390"/>
      <c r="L977" s="390"/>
      <c r="M977" s="390"/>
      <c r="N977" s="390"/>
      <c r="O977" s="390"/>
      <c r="P977" s="390"/>
      <c r="Q977" s="390"/>
      <c r="R977" s="390"/>
      <c r="S977" s="390"/>
      <c r="T977" s="390"/>
      <c r="U977" s="390"/>
      <c r="V977" s="390"/>
      <c r="W977" s="390"/>
      <c r="X977" s="390"/>
      <c r="Y977" s="390"/>
    </row>
    <row r="978">
      <c r="A978" s="390" t="str">
        <f>IFERROR(__xludf.DUMMYFUNCTION("""COMPUTED_VALUE"""),"Claudio Aparecido de Oliveira (Proximo Ofício)")</f>
        <v>Claudio Aparecido de Oliveira (Proximo Ofício)</v>
      </c>
      <c r="B978" s="390" t="str">
        <f>IFERROR(__xludf.DUMMYFUNCTION("""COMPUTED_VALUE"""),"Formação Pedagógica em Música 1200Horas")</f>
        <v>Formação Pedagógica em Música 1200Horas</v>
      </c>
      <c r="C978" s="390" t="str">
        <f>IFERROR(__xludf.DUMMYFUNCTION("""COMPUTED_VALUE"""),"Música")</f>
        <v>Música</v>
      </c>
      <c r="D978" s="390"/>
      <c r="E978" s="390"/>
      <c r="F978" s="390"/>
      <c r="G978" s="390"/>
      <c r="H978" s="390"/>
      <c r="I978" s="390"/>
      <c r="J978" s="390"/>
      <c r="K978" s="390"/>
      <c r="L978" s="390"/>
      <c r="M978" s="390"/>
      <c r="N978" s="390"/>
      <c r="O978" s="390"/>
      <c r="P978" s="390"/>
      <c r="Q978" s="390"/>
      <c r="R978" s="390"/>
      <c r="S978" s="390"/>
      <c r="T978" s="390"/>
      <c r="U978" s="390"/>
      <c r="V978" s="390"/>
      <c r="W978" s="390"/>
      <c r="X978" s="390"/>
      <c r="Y978" s="390"/>
    </row>
    <row r="979">
      <c r="A979" s="390" t="str">
        <f>IFERROR(__xludf.DUMMYFUNCTION("""COMPUTED_VALUE"""),"Helder Bezerra Dos Santos (aguard. envio de docs) Proximo Oficio (iráprocessar)")</f>
        <v>Helder Bezerra Dos Santos (aguard. envio de docs) Proximo Oficio (iráprocessar)</v>
      </c>
      <c r="B979" s="390" t="str">
        <f>IFERROR(__xludf.DUMMYFUNCTION("""COMPUTED_VALUE"""),"Segunda Licenciatura em Música 1200Horas")</f>
        <v>Segunda Licenciatura em Música 1200Horas</v>
      </c>
      <c r="C979" s="390" t="str">
        <f>IFERROR(__xludf.DUMMYFUNCTION("""COMPUTED_VALUE"""),"Música")</f>
        <v>Música</v>
      </c>
      <c r="D979" s="390"/>
      <c r="E979" s="390"/>
      <c r="F979" s="390"/>
      <c r="G979" s="390"/>
      <c r="H979" s="390"/>
      <c r="I979" s="390"/>
      <c r="J979" s="390"/>
      <c r="K979" s="390"/>
      <c r="L979" s="390"/>
      <c r="M979" s="390"/>
      <c r="N979" s="390"/>
      <c r="O979" s="390"/>
      <c r="P979" s="390"/>
      <c r="Q979" s="390"/>
      <c r="R979" s="390"/>
      <c r="S979" s="390"/>
      <c r="T979" s="390"/>
      <c r="U979" s="390"/>
      <c r="V979" s="390"/>
      <c r="W979" s="390"/>
      <c r="X979" s="390"/>
      <c r="Y979" s="390"/>
    </row>
    <row r="980">
      <c r="A980" s="390" t="str">
        <f>IFERROR(__xludf.DUMMYFUNCTION("""COMPUTED_VALUE"""),"Odair Leandro de Matos")</f>
        <v>Odair Leandro de Matos</v>
      </c>
      <c r="B980" s="390" t="str">
        <f>IFERROR(__xludf.DUMMYFUNCTION("""COMPUTED_VALUE"""),"Segunda Licenciatura em Música 1200Horas")</f>
        <v>Segunda Licenciatura em Música 1200Horas</v>
      </c>
      <c r="C980" s="390" t="str">
        <f>IFERROR(__xludf.DUMMYFUNCTION("""COMPUTED_VALUE"""),"Música")</f>
        <v>Música</v>
      </c>
      <c r="D980" s="390"/>
      <c r="E980" s="390"/>
      <c r="F980" s="390"/>
      <c r="G980" s="390"/>
      <c r="H980" s="390"/>
      <c r="I980" s="390"/>
      <c r="J980" s="390"/>
      <c r="K980" s="390"/>
      <c r="L980" s="390"/>
      <c r="M980" s="390"/>
      <c r="N980" s="390"/>
      <c r="O980" s="390"/>
      <c r="P980" s="390"/>
      <c r="Q980" s="390"/>
      <c r="R980" s="390"/>
      <c r="S980" s="390"/>
      <c r="T980" s="390"/>
      <c r="U980" s="390"/>
      <c r="V980" s="390"/>
      <c r="W980" s="390"/>
      <c r="X980" s="390"/>
      <c r="Y980" s="390"/>
    </row>
    <row r="981">
      <c r="A981" s="390" t="str">
        <f>IFERROR(__xludf.DUMMYFUNCTION("""COMPUTED_VALUE"""),"Kety Adriana Bichet")</f>
        <v>Kety Adriana Bichet</v>
      </c>
      <c r="B981" s="390" t="str">
        <f>IFERROR(__xludf.DUMMYFUNCTION("""COMPUTED_VALUE"""),"Segunda Licenciatura em Música 1200Horas")</f>
        <v>Segunda Licenciatura em Música 1200Horas</v>
      </c>
      <c r="C981" s="390" t="str">
        <f>IFERROR(__xludf.DUMMYFUNCTION("""COMPUTED_VALUE"""),"Música")</f>
        <v>Música</v>
      </c>
      <c r="D981" s="390"/>
      <c r="E981" s="390"/>
      <c r="F981" s="390"/>
      <c r="G981" s="390"/>
      <c r="H981" s="390"/>
      <c r="I981" s="390"/>
      <c r="J981" s="390"/>
      <c r="K981" s="390"/>
      <c r="L981" s="390"/>
      <c r="M981" s="390"/>
      <c r="N981" s="390"/>
      <c r="O981" s="390"/>
      <c r="P981" s="390"/>
      <c r="Q981" s="390"/>
      <c r="R981" s="390"/>
      <c r="S981" s="390"/>
      <c r="T981" s="390"/>
      <c r="U981" s="390"/>
      <c r="V981" s="390"/>
      <c r="W981" s="390"/>
      <c r="X981" s="390"/>
      <c r="Y981" s="390"/>
    </row>
    <row r="982">
      <c r="A982" s="390" t="str">
        <f>IFERROR(__xludf.DUMMYFUNCTION("""COMPUTED_VALUE"""),"Sirlene de Aquino Brito")</f>
        <v>Sirlene de Aquino Brito</v>
      </c>
      <c r="B982" s="390" t="str">
        <f>IFERROR(__xludf.DUMMYFUNCTION("""COMPUTED_VALUE"""),"Formação Pedagógica em Música 1200Horas")</f>
        <v>Formação Pedagógica em Música 1200Horas</v>
      </c>
      <c r="C982" s="390" t="str">
        <f>IFERROR(__xludf.DUMMYFUNCTION("""COMPUTED_VALUE"""),"Música")</f>
        <v>Música</v>
      </c>
      <c r="D982" s="390"/>
      <c r="E982" s="390"/>
      <c r="F982" s="390"/>
      <c r="G982" s="390"/>
      <c r="H982" s="390"/>
      <c r="I982" s="390"/>
      <c r="J982" s="390"/>
      <c r="K982" s="390"/>
      <c r="L982" s="390"/>
      <c r="M982" s="390"/>
      <c r="N982" s="390"/>
      <c r="O982" s="390"/>
      <c r="P982" s="390"/>
      <c r="Q982" s="390"/>
      <c r="R982" s="390"/>
      <c r="S982" s="390"/>
      <c r="T982" s="390"/>
      <c r="U982" s="390"/>
      <c r="V982" s="390"/>
      <c r="W982" s="390"/>
      <c r="X982" s="390"/>
      <c r="Y982" s="390"/>
    </row>
    <row r="983">
      <c r="A983" s="390" t="str">
        <f>IFERROR(__xludf.DUMMYFUNCTION("""COMPUTED_VALUE"""),"Wlademir Aguiar Piva")</f>
        <v>Wlademir Aguiar Piva</v>
      </c>
      <c r="B983" s="390" t="str">
        <f>IFERROR(__xludf.DUMMYFUNCTION("""COMPUTED_VALUE"""),"Segunda Licenciatura em Música 1200Horas")</f>
        <v>Segunda Licenciatura em Música 1200Horas</v>
      </c>
      <c r="C983" s="390" t="str">
        <f>IFERROR(__xludf.DUMMYFUNCTION("""COMPUTED_VALUE"""),"Música")</f>
        <v>Música</v>
      </c>
      <c r="D983" s="390"/>
      <c r="E983" s="390"/>
      <c r="F983" s="390"/>
      <c r="G983" s="390"/>
      <c r="H983" s="390"/>
      <c r="I983" s="390"/>
      <c r="J983" s="390"/>
      <c r="K983" s="390"/>
      <c r="L983" s="390"/>
      <c r="M983" s="390"/>
      <c r="N983" s="390"/>
      <c r="O983" s="390"/>
      <c r="P983" s="390"/>
      <c r="Q983" s="390"/>
      <c r="R983" s="390"/>
      <c r="S983" s="390"/>
      <c r="T983" s="390"/>
      <c r="U983" s="390"/>
      <c r="V983" s="390"/>
      <c r="W983" s="390"/>
      <c r="X983" s="390"/>
      <c r="Y983" s="390"/>
    </row>
    <row r="984">
      <c r="A984" s="390" t="str">
        <f>IFERROR(__xludf.DUMMYFUNCTION("""COMPUTED_VALUE"""),"Fabio Ferreira de Alencar (próximo ofício) urgente")</f>
        <v>Fabio Ferreira de Alencar (próximo ofício) urgente</v>
      </c>
      <c r="B984" s="390" t="str">
        <f>IFERROR(__xludf.DUMMYFUNCTION("""COMPUTED_VALUE"""),"Formação Pedagógica em Música 1200Horas")</f>
        <v>Formação Pedagógica em Música 1200Horas</v>
      </c>
      <c r="C984" s="390" t="str">
        <f>IFERROR(__xludf.DUMMYFUNCTION("""COMPUTED_VALUE"""),"Música")</f>
        <v>Música</v>
      </c>
      <c r="D984" s="390"/>
      <c r="E984" s="390"/>
      <c r="F984" s="390"/>
      <c r="G984" s="390"/>
      <c r="H984" s="390"/>
      <c r="I984" s="390"/>
      <c r="J984" s="390"/>
      <c r="K984" s="390"/>
      <c r="L984" s="390"/>
      <c r="M984" s="390"/>
      <c r="N984" s="390"/>
      <c r="O984" s="390"/>
      <c r="P984" s="390"/>
      <c r="Q984" s="390"/>
      <c r="R984" s="390"/>
      <c r="S984" s="390"/>
      <c r="T984" s="390"/>
      <c r="U984" s="390"/>
      <c r="V984" s="390"/>
      <c r="W984" s="390"/>
      <c r="X984" s="390"/>
      <c r="Y984" s="390"/>
    </row>
    <row r="985">
      <c r="A985" s="390" t="str">
        <f>IFERROR(__xludf.DUMMYFUNCTION("""COMPUTED_VALUE"""),"Marco Aurélio Gomes Vilas Bôas (Proximo Oficio) urgente")</f>
        <v>Marco Aurélio Gomes Vilas Bôas (Proximo Oficio) urgente</v>
      </c>
      <c r="B985" s="390" t="str">
        <f>IFERROR(__xludf.DUMMYFUNCTION("""COMPUTED_VALUE"""),"Segunda Licenciatura em Música 1200Horas")</f>
        <v>Segunda Licenciatura em Música 1200Horas</v>
      </c>
      <c r="C985" s="390" t="str">
        <f>IFERROR(__xludf.DUMMYFUNCTION("""COMPUTED_VALUE"""),"Música")</f>
        <v>Música</v>
      </c>
      <c r="D985" s="390"/>
      <c r="E985" s="390"/>
      <c r="F985" s="390"/>
      <c r="G985" s="390"/>
      <c r="H985" s="390"/>
      <c r="I985" s="390"/>
      <c r="J985" s="390"/>
      <c r="K985" s="390"/>
      <c r="L985" s="390"/>
      <c r="M985" s="390"/>
      <c r="N985" s="390"/>
      <c r="O985" s="390"/>
      <c r="P985" s="390"/>
      <c r="Q985" s="390"/>
      <c r="R985" s="390"/>
      <c r="S985" s="390"/>
      <c r="T985" s="390"/>
      <c r="U985" s="390"/>
      <c r="V985" s="390"/>
      <c r="W985" s="390"/>
      <c r="X985" s="390"/>
      <c r="Y985" s="390"/>
    </row>
    <row r="986">
      <c r="A986" s="390" t="str">
        <f>IFERROR(__xludf.DUMMYFUNCTION("""COMPUTED_VALUE"""),"Fabricio Da Silva Miccichelli")</f>
        <v>Fabricio Da Silva Miccichelli</v>
      </c>
      <c r="B986" s="390" t="str">
        <f>IFERROR(__xludf.DUMMYFUNCTION("""COMPUTED_VALUE"""),"Segunda Licenciatura em Música 1200Horas")</f>
        <v>Segunda Licenciatura em Música 1200Horas</v>
      </c>
      <c r="C986" s="390" t="str">
        <f>IFERROR(__xludf.DUMMYFUNCTION("""COMPUTED_VALUE"""),"Música")</f>
        <v>Música</v>
      </c>
      <c r="D986" s="390"/>
      <c r="E986" s="390"/>
      <c r="F986" s="390"/>
      <c r="G986" s="390"/>
      <c r="H986" s="390"/>
      <c r="I986" s="390"/>
      <c r="J986" s="390"/>
      <c r="K986" s="390"/>
      <c r="L986" s="390"/>
      <c r="M986" s="390"/>
      <c r="N986" s="390"/>
      <c r="O986" s="390"/>
      <c r="P986" s="390"/>
      <c r="Q986" s="390"/>
      <c r="R986" s="390"/>
      <c r="S986" s="390"/>
      <c r="T986" s="390"/>
      <c r="U986" s="390"/>
      <c r="V986" s="390"/>
      <c r="W986" s="390"/>
      <c r="X986" s="390"/>
      <c r="Y986" s="390"/>
    </row>
    <row r="987">
      <c r="A987" s="390" t="str">
        <f>IFERROR(__xludf.DUMMYFUNCTION("""COMPUTED_VALUE"""),"Henrique Souza Pereira")</f>
        <v>Henrique Souza Pereira</v>
      </c>
      <c r="B987" s="390" t="str">
        <f>IFERROR(__xludf.DUMMYFUNCTION("""COMPUTED_VALUE"""),"Formação Pedagógica em Música 1200Horas")</f>
        <v>Formação Pedagógica em Música 1200Horas</v>
      </c>
      <c r="C987" s="390" t="str">
        <f>IFERROR(__xludf.DUMMYFUNCTION("""COMPUTED_VALUE"""),"Música")</f>
        <v>Música</v>
      </c>
      <c r="D987" s="390"/>
      <c r="E987" s="390"/>
      <c r="F987" s="390"/>
      <c r="G987" s="390"/>
      <c r="H987" s="390"/>
      <c r="I987" s="390"/>
      <c r="J987" s="390"/>
      <c r="K987" s="390"/>
      <c r="L987" s="390"/>
      <c r="M987" s="390"/>
      <c r="N987" s="390"/>
      <c r="O987" s="390"/>
      <c r="P987" s="390"/>
      <c r="Q987" s="390"/>
      <c r="R987" s="390"/>
      <c r="S987" s="390"/>
      <c r="T987" s="390"/>
      <c r="U987" s="390"/>
      <c r="V987" s="390"/>
      <c r="W987" s="390"/>
      <c r="X987" s="390"/>
      <c r="Y987" s="390"/>
    </row>
    <row r="988">
      <c r="A988" s="390" t="str">
        <f>IFERROR(__xludf.DUMMYFUNCTION("""COMPUTED_VALUE"""),"Marcus Valério de Oliveira Trancoso")</f>
        <v>Marcus Valério de Oliveira Trancoso</v>
      </c>
      <c r="B988" s="390" t="str">
        <f>IFERROR(__xludf.DUMMYFUNCTION("""COMPUTED_VALUE"""),"Segunda Licenciatura em Música 1200Horas")</f>
        <v>Segunda Licenciatura em Música 1200Horas</v>
      </c>
      <c r="C988" s="390" t="str">
        <f>IFERROR(__xludf.DUMMYFUNCTION("""COMPUTED_VALUE"""),"Música")</f>
        <v>Música</v>
      </c>
      <c r="D988" s="390"/>
      <c r="E988" s="390"/>
      <c r="F988" s="390"/>
      <c r="G988" s="390"/>
      <c r="H988" s="390"/>
      <c r="I988" s="390"/>
      <c r="J988" s="390"/>
      <c r="K988" s="390"/>
      <c r="L988" s="390"/>
      <c r="M988" s="390"/>
      <c r="N988" s="390"/>
      <c r="O988" s="390"/>
      <c r="P988" s="390"/>
      <c r="Q988" s="390"/>
      <c r="R988" s="390"/>
      <c r="S988" s="390"/>
      <c r="T988" s="390"/>
      <c r="U988" s="390"/>
      <c r="V988" s="390"/>
      <c r="W988" s="390"/>
      <c r="X988" s="390"/>
      <c r="Y988" s="390"/>
    </row>
    <row r="989">
      <c r="A989" s="390" t="str">
        <f>IFERROR(__xludf.DUMMYFUNCTION("""COMPUTED_VALUE"""),"Carlos Lucas de Souza Melo Braz")</f>
        <v>Carlos Lucas de Souza Melo Braz</v>
      </c>
      <c r="B989" s="390" t="str">
        <f>IFERROR(__xludf.DUMMYFUNCTION("""COMPUTED_VALUE"""),"Formação Pedagógica em Música 1200Horas")</f>
        <v>Formação Pedagógica em Música 1200Horas</v>
      </c>
      <c r="C989" s="390" t="str">
        <f>IFERROR(__xludf.DUMMYFUNCTION("""COMPUTED_VALUE"""),"Música")</f>
        <v>Música</v>
      </c>
      <c r="D989" s="390"/>
      <c r="E989" s="390"/>
      <c r="F989" s="390"/>
      <c r="G989" s="390"/>
      <c r="H989" s="390"/>
      <c r="I989" s="390"/>
      <c r="J989" s="390"/>
      <c r="K989" s="390"/>
      <c r="L989" s="390"/>
      <c r="M989" s="390"/>
      <c r="N989" s="390"/>
      <c r="O989" s="390"/>
      <c r="P989" s="390"/>
      <c r="Q989" s="390"/>
      <c r="R989" s="390"/>
      <c r="S989" s="390"/>
      <c r="T989" s="390"/>
      <c r="U989" s="390"/>
      <c r="V989" s="390"/>
      <c r="W989" s="390"/>
      <c r="X989" s="390"/>
      <c r="Y989" s="390"/>
    </row>
    <row r="990">
      <c r="A990" s="390" t="str">
        <f>IFERROR(__xludf.DUMMYFUNCTION("""COMPUTED_VALUE"""),"Teófilo Gonçalves Rafael da Silva")</f>
        <v>Teófilo Gonçalves Rafael da Silva</v>
      </c>
      <c r="B990" s="390" t="str">
        <f>IFERROR(__xludf.DUMMYFUNCTION("""COMPUTED_VALUE"""),"Segunda Licenciatura em Música 1200Horas")</f>
        <v>Segunda Licenciatura em Música 1200Horas</v>
      </c>
      <c r="C990" s="390" t="str">
        <f>IFERROR(__xludf.DUMMYFUNCTION("""COMPUTED_VALUE"""),"Música")</f>
        <v>Música</v>
      </c>
      <c r="D990" s="390"/>
      <c r="E990" s="390"/>
      <c r="F990" s="390"/>
      <c r="G990" s="390"/>
      <c r="H990" s="390"/>
      <c r="I990" s="390"/>
      <c r="J990" s="390"/>
      <c r="K990" s="390"/>
      <c r="L990" s="390"/>
      <c r="M990" s="390"/>
      <c r="N990" s="390"/>
      <c r="O990" s="390"/>
      <c r="P990" s="390"/>
      <c r="Q990" s="390"/>
      <c r="R990" s="390"/>
      <c r="S990" s="390"/>
      <c r="T990" s="390"/>
      <c r="U990" s="390"/>
      <c r="V990" s="390"/>
      <c r="W990" s="390"/>
      <c r="X990" s="390"/>
      <c r="Y990" s="390"/>
    </row>
    <row r="991">
      <c r="A991" s="390" t="str">
        <f>IFERROR(__xludf.DUMMYFUNCTION("""COMPUTED_VALUE"""),"Jenyffer Nicodemos Fraga")</f>
        <v>Jenyffer Nicodemos Fraga</v>
      </c>
      <c r="B991" s="390" t="str">
        <f>IFERROR(__xludf.DUMMYFUNCTION("""COMPUTED_VALUE"""),"Formação Pedagógica em Música 1200Horas")</f>
        <v>Formação Pedagógica em Música 1200Horas</v>
      </c>
      <c r="C991" s="390" t="str">
        <f>IFERROR(__xludf.DUMMYFUNCTION("""COMPUTED_VALUE"""),"Música")</f>
        <v>Música</v>
      </c>
      <c r="D991" s="390"/>
      <c r="E991" s="390"/>
      <c r="F991" s="390"/>
      <c r="G991" s="390"/>
      <c r="H991" s="390"/>
      <c r="I991" s="390"/>
      <c r="J991" s="390"/>
      <c r="K991" s="390"/>
      <c r="L991" s="390"/>
      <c r="M991" s="390"/>
      <c r="N991" s="390"/>
      <c r="O991" s="390"/>
      <c r="P991" s="390"/>
      <c r="Q991" s="390"/>
      <c r="R991" s="390"/>
      <c r="S991" s="390"/>
      <c r="T991" s="390"/>
      <c r="U991" s="390"/>
      <c r="V991" s="390"/>
      <c r="W991" s="390"/>
      <c r="X991" s="390"/>
      <c r="Y991" s="390"/>
    </row>
    <row r="992">
      <c r="A992" s="390" t="str">
        <f>IFERROR(__xludf.DUMMYFUNCTION("""COMPUTED_VALUE"""),"Fabiano Alves Veloso (Próximo Ofício)")</f>
        <v>Fabiano Alves Veloso (Próximo Ofício)</v>
      </c>
      <c r="B992" s="390" t="str">
        <f>IFERROR(__xludf.DUMMYFUNCTION("""COMPUTED_VALUE"""),"Segunda Licenciatura em Música 1200Horas")</f>
        <v>Segunda Licenciatura em Música 1200Horas</v>
      </c>
      <c r="C992" s="390" t="str">
        <f>IFERROR(__xludf.DUMMYFUNCTION("""COMPUTED_VALUE"""),"Música")</f>
        <v>Música</v>
      </c>
      <c r="D992" s="390"/>
      <c r="E992" s="390"/>
      <c r="F992" s="390"/>
      <c r="G992" s="390"/>
      <c r="H992" s="390"/>
      <c r="I992" s="390"/>
      <c r="J992" s="390"/>
      <c r="K992" s="390"/>
      <c r="L992" s="390"/>
      <c r="M992" s="390"/>
      <c r="N992" s="390"/>
      <c r="O992" s="390"/>
      <c r="P992" s="390"/>
      <c r="Q992" s="390"/>
      <c r="R992" s="390"/>
      <c r="S992" s="390"/>
      <c r="T992" s="390"/>
      <c r="U992" s="390"/>
      <c r="V992" s="390"/>
      <c r="W992" s="390"/>
      <c r="X992" s="390"/>
      <c r="Y992" s="390"/>
    </row>
    <row r="993">
      <c r="A993" s="390" t="str">
        <f>IFERROR(__xludf.DUMMYFUNCTION("""COMPUTED_VALUE"""),"Laura Maria De Carvalho Silva")</f>
        <v>Laura Maria De Carvalho Silva</v>
      </c>
      <c r="B993" s="390" t="str">
        <f>IFERROR(__xludf.DUMMYFUNCTION("""COMPUTED_VALUE"""),"Formação Pedagógica em Música 1200Horas")</f>
        <v>Formação Pedagógica em Música 1200Horas</v>
      </c>
      <c r="C993" s="390" t="str">
        <f>IFERROR(__xludf.DUMMYFUNCTION("""COMPUTED_VALUE"""),"Música")</f>
        <v>Música</v>
      </c>
      <c r="D993" s="390"/>
      <c r="E993" s="390"/>
      <c r="F993" s="390"/>
      <c r="G993" s="390"/>
      <c r="H993" s="390"/>
      <c r="I993" s="390"/>
      <c r="J993" s="390"/>
      <c r="K993" s="390"/>
      <c r="L993" s="390"/>
      <c r="M993" s="390"/>
      <c r="N993" s="390"/>
      <c r="O993" s="390"/>
      <c r="P993" s="390"/>
      <c r="Q993" s="390"/>
      <c r="R993" s="390"/>
      <c r="S993" s="390"/>
      <c r="T993" s="390"/>
      <c r="U993" s="390"/>
      <c r="V993" s="390"/>
      <c r="W993" s="390"/>
      <c r="X993" s="390"/>
      <c r="Y993" s="390"/>
    </row>
    <row r="994">
      <c r="A994" s="390" t="str">
        <f>IFERROR(__xludf.DUMMYFUNCTION("""COMPUTED_VALUE"""),"José Cavalcante Mineiro")</f>
        <v>José Cavalcante Mineiro</v>
      </c>
      <c r="B994" s="390" t="str">
        <f>IFERROR(__xludf.DUMMYFUNCTION("""COMPUTED_VALUE"""),"Segunda Licenciatura Música 1200Horas")</f>
        <v>Segunda Licenciatura Música 1200Horas</v>
      </c>
      <c r="C994" s="390" t="str">
        <f>IFERROR(__xludf.DUMMYFUNCTION("""COMPUTED_VALUE"""),"Música")</f>
        <v>Música</v>
      </c>
      <c r="D994" s="390"/>
      <c r="E994" s="390"/>
      <c r="F994" s="390"/>
      <c r="G994" s="390"/>
      <c r="H994" s="390"/>
      <c r="I994" s="390"/>
      <c r="J994" s="390"/>
      <c r="K994" s="390"/>
      <c r="L994" s="390"/>
      <c r="M994" s="390"/>
      <c r="N994" s="390"/>
      <c r="O994" s="390"/>
      <c r="P994" s="390"/>
      <c r="Q994" s="390"/>
      <c r="R994" s="390"/>
      <c r="S994" s="390"/>
      <c r="T994" s="390"/>
      <c r="U994" s="390"/>
      <c r="V994" s="390"/>
      <c r="W994" s="390"/>
      <c r="X994" s="390"/>
      <c r="Y994" s="390"/>
    </row>
    <row r="995">
      <c r="A995" s="390" t="str">
        <f>IFERROR(__xludf.DUMMYFUNCTION("""COMPUTED_VALUE"""),"Rita Coelho De Aguiar")</f>
        <v>Rita Coelho De Aguiar</v>
      </c>
      <c r="B995" s="390" t="str">
        <f>IFERROR(__xludf.DUMMYFUNCTION("""COMPUTED_VALUE"""),"Segunda Licenciatura em Música 1200Horas")</f>
        <v>Segunda Licenciatura em Música 1200Horas</v>
      </c>
      <c r="C995" s="390" t="str">
        <f>IFERROR(__xludf.DUMMYFUNCTION("""COMPUTED_VALUE"""),"Música")</f>
        <v>Música</v>
      </c>
      <c r="D995" s="390"/>
      <c r="E995" s="390"/>
      <c r="F995" s="390"/>
      <c r="G995" s="390"/>
      <c r="H995" s="390"/>
      <c r="I995" s="390"/>
      <c r="J995" s="390"/>
      <c r="K995" s="390"/>
      <c r="L995" s="390"/>
      <c r="M995" s="390"/>
      <c r="N995" s="390"/>
      <c r="O995" s="390"/>
      <c r="P995" s="390"/>
      <c r="Q995" s="390"/>
      <c r="R995" s="390"/>
      <c r="S995" s="390"/>
      <c r="T995" s="390"/>
      <c r="U995" s="390"/>
      <c r="V995" s="390"/>
      <c r="W995" s="390"/>
      <c r="X995" s="390"/>
      <c r="Y995" s="390"/>
    </row>
    <row r="996">
      <c r="A996" s="390" t="str">
        <f>IFERROR(__xludf.DUMMYFUNCTION("""COMPUTED_VALUE"""),"Derek Miranda de Souza")</f>
        <v>Derek Miranda de Souza</v>
      </c>
      <c r="B996" s="390" t="str">
        <f>IFERROR(__xludf.DUMMYFUNCTION("""COMPUTED_VALUE"""),"Segunda Licenciatura em Música 1200Horas")</f>
        <v>Segunda Licenciatura em Música 1200Horas</v>
      </c>
      <c r="C996" s="390" t="str">
        <f>IFERROR(__xludf.DUMMYFUNCTION("""COMPUTED_VALUE"""),"Música")</f>
        <v>Música</v>
      </c>
      <c r="D996" s="390"/>
      <c r="E996" s="390"/>
      <c r="F996" s="390"/>
      <c r="G996" s="390"/>
      <c r="H996" s="390"/>
      <c r="I996" s="390"/>
      <c r="J996" s="390"/>
      <c r="K996" s="390"/>
      <c r="L996" s="390"/>
      <c r="M996" s="390"/>
      <c r="N996" s="390"/>
      <c r="O996" s="390"/>
      <c r="P996" s="390"/>
      <c r="Q996" s="390"/>
      <c r="R996" s="390"/>
      <c r="S996" s="390"/>
      <c r="T996" s="390"/>
      <c r="U996" s="390"/>
      <c r="V996" s="390"/>
      <c r="W996" s="390"/>
      <c r="X996" s="390"/>
      <c r="Y996" s="390"/>
    </row>
    <row r="997">
      <c r="A997" s="390" t="str">
        <f>IFERROR(__xludf.DUMMYFUNCTION("""COMPUTED_VALUE"""),"Ericon Moura de Jesus (Próximo Ofício)")</f>
        <v>Ericon Moura de Jesus (Próximo Ofício)</v>
      </c>
      <c r="B997" s="390" t="str">
        <f>IFERROR(__xludf.DUMMYFUNCTION("""COMPUTED_VALUE"""),"Segunda Licenciatura em Música 1200Horas")</f>
        <v>Segunda Licenciatura em Música 1200Horas</v>
      </c>
      <c r="C997" s="390" t="str">
        <f>IFERROR(__xludf.DUMMYFUNCTION("""COMPUTED_VALUE"""),"Música")</f>
        <v>Música</v>
      </c>
      <c r="D997" s="390"/>
      <c r="E997" s="390"/>
      <c r="F997" s="390"/>
      <c r="G997" s="390"/>
      <c r="H997" s="390"/>
      <c r="I997" s="390"/>
      <c r="J997" s="390"/>
      <c r="K997" s="390"/>
      <c r="L997" s="390"/>
      <c r="M997" s="390"/>
      <c r="N997" s="390"/>
      <c r="O997" s="390"/>
      <c r="P997" s="390"/>
      <c r="Q997" s="390"/>
      <c r="R997" s="390"/>
      <c r="S997" s="390"/>
      <c r="T997" s="390"/>
      <c r="U997" s="390"/>
      <c r="V997" s="390"/>
      <c r="W997" s="390"/>
      <c r="X997" s="390"/>
      <c r="Y997" s="390"/>
    </row>
    <row r="998">
      <c r="A998" s="390" t="str">
        <f>IFERROR(__xludf.DUMMYFUNCTION("""COMPUTED_VALUE"""),"João Vicente Marques de Souza")</f>
        <v>João Vicente Marques de Souza</v>
      </c>
      <c r="B998" s="390" t="str">
        <f>IFERROR(__xludf.DUMMYFUNCTION("""COMPUTED_VALUE"""),"Formação Pedagógica em Música 1200Horas")</f>
        <v>Formação Pedagógica em Música 1200Horas</v>
      </c>
      <c r="C998" s="390" t="str">
        <f>IFERROR(__xludf.DUMMYFUNCTION("""COMPUTED_VALUE"""),"Música")</f>
        <v>Música</v>
      </c>
      <c r="D998" s="390"/>
      <c r="E998" s="390"/>
      <c r="F998" s="390"/>
      <c r="G998" s="390"/>
      <c r="H998" s="390"/>
      <c r="I998" s="390"/>
      <c r="J998" s="390"/>
      <c r="K998" s="390"/>
      <c r="L998" s="390"/>
      <c r="M998" s="390"/>
      <c r="N998" s="390"/>
      <c r="O998" s="390"/>
      <c r="P998" s="390"/>
      <c r="Q998" s="390"/>
      <c r="R998" s="390"/>
      <c r="S998" s="390"/>
      <c r="T998" s="390"/>
      <c r="U998" s="390"/>
      <c r="V998" s="390"/>
      <c r="W998" s="390"/>
      <c r="X998" s="390"/>
      <c r="Y998" s="390"/>
    </row>
    <row r="999">
      <c r="A999" s="390" t="str">
        <f>IFERROR(__xludf.DUMMYFUNCTION("""COMPUTED_VALUE"""),"Jonathas Reis de Moraes (próximo ofício) urgente")</f>
        <v>Jonathas Reis de Moraes (próximo ofício) urgente</v>
      </c>
      <c r="B999" s="390" t="str">
        <f>IFERROR(__xludf.DUMMYFUNCTION("""COMPUTED_VALUE"""),"SLMF - Segunda Licenciatura em Música 1200Horas")</f>
        <v>SLMF - Segunda Licenciatura em Música 1200Horas</v>
      </c>
      <c r="C999" s="390" t="str">
        <f>IFERROR(__xludf.DUMMYFUNCTION("""COMPUTED_VALUE"""),"Música")</f>
        <v>Música</v>
      </c>
      <c r="D999" s="390"/>
      <c r="E999" s="390"/>
      <c r="F999" s="390"/>
      <c r="G999" s="390"/>
      <c r="H999" s="390"/>
      <c r="I999" s="390"/>
      <c r="J999" s="390"/>
      <c r="K999" s="390"/>
      <c r="L999" s="390"/>
      <c r="M999" s="390"/>
      <c r="N999" s="390"/>
      <c r="O999" s="390"/>
      <c r="P999" s="390"/>
      <c r="Q999" s="390"/>
      <c r="R999" s="390"/>
      <c r="S999" s="390"/>
      <c r="T999" s="390"/>
      <c r="U999" s="390"/>
      <c r="V999" s="390"/>
      <c r="W999" s="390"/>
      <c r="X999" s="390"/>
      <c r="Y999" s="390"/>
    </row>
    <row r="1000">
      <c r="A1000" s="390" t="str">
        <f>IFERROR(__xludf.DUMMYFUNCTION("""COMPUTED_VALUE"""),"José Cavalcante Mineiro")</f>
        <v>José Cavalcante Mineiro</v>
      </c>
      <c r="B1000" s="390" t="str">
        <f>IFERROR(__xludf.DUMMYFUNCTION("""COMPUTED_VALUE"""),"Segunda Licenciatura em Música 1200Horas")</f>
        <v>Segunda Licenciatura em Música 1200Horas</v>
      </c>
      <c r="C1000" s="390" t="str">
        <f>IFERROR(__xludf.DUMMYFUNCTION("""COMPUTED_VALUE"""),"Música")</f>
        <v>Música</v>
      </c>
      <c r="D1000" s="390"/>
      <c r="E1000" s="390"/>
      <c r="F1000" s="390"/>
      <c r="G1000" s="390"/>
      <c r="H1000" s="390"/>
      <c r="I1000" s="390"/>
      <c r="J1000" s="390"/>
      <c r="K1000" s="390"/>
      <c r="L1000" s="390"/>
      <c r="M1000" s="390"/>
      <c r="N1000" s="390"/>
      <c r="O1000" s="390"/>
      <c r="P1000" s="390"/>
      <c r="Q1000" s="390"/>
      <c r="R1000" s="390"/>
      <c r="S1000" s="390"/>
      <c r="T1000" s="390"/>
      <c r="U1000" s="390"/>
      <c r="V1000" s="390"/>
      <c r="W1000" s="390"/>
      <c r="X1000" s="390"/>
      <c r="Y1000" s="390"/>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06666"/>
    <outlinePr summaryBelow="0" summaryRight="0"/>
  </sheetPr>
  <sheetViews>
    <sheetView workbookViewId="0"/>
  </sheetViews>
  <sheetFormatPr customHeight="1" defaultColWidth="12.63" defaultRowHeight="15.75"/>
  <cols>
    <col customWidth="1" min="1" max="1" width="39.13"/>
    <col customWidth="1" min="2" max="2" width="36.63"/>
    <col customWidth="1" min="3" max="5" width="18.25"/>
    <col customWidth="1" min="6" max="6" width="20.75"/>
  </cols>
  <sheetData>
    <row r="1" ht="27.75" customHeight="1">
      <c r="A1" s="415" t="s">
        <v>5669</v>
      </c>
      <c r="B1" s="415" t="s">
        <v>5670</v>
      </c>
      <c r="C1" s="415" t="s">
        <v>5671</v>
      </c>
      <c r="D1" s="415" t="s">
        <v>5672</v>
      </c>
      <c r="E1" s="415" t="s">
        <v>5673</v>
      </c>
      <c r="F1" s="415" t="s">
        <v>5674</v>
      </c>
    </row>
    <row r="2">
      <c r="A2" s="250" t="s">
        <v>5675</v>
      </c>
      <c r="B2" s="250" t="s">
        <v>5676</v>
      </c>
      <c r="C2" s="416">
        <v>45667.0</v>
      </c>
      <c r="D2" s="250" t="s">
        <v>5677</v>
      </c>
      <c r="E2" s="250" t="s">
        <v>5678</v>
      </c>
      <c r="F2" s="250" t="s">
        <v>5679</v>
      </c>
    </row>
    <row r="3">
      <c r="A3" s="250" t="s">
        <v>2168</v>
      </c>
      <c r="B3" s="250" t="s">
        <v>811</v>
      </c>
      <c r="C3" s="416">
        <v>45667.0</v>
      </c>
      <c r="D3" s="250" t="s">
        <v>5680</v>
      </c>
      <c r="E3" s="250" t="s">
        <v>5678</v>
      </c>
      <c r="F3" s="250" t="s">
        <v>5681</v>
      </c>
    </row>
    <row r="4">
      <c r="A4" s="250" t="s">
        <v>5682</v>
      </c>
      <c r="B4" s="250" t="s">
        <v>292</v>
      </c>
      <c r="C4" s="416">
        <v>45670.0</v>
      </c>
      <c r="D4" s="250" t="s">
        <v>5680</v>
      </c>
      <c r="E4" s="250" t="s">
        <v>5683</v>
      </c>
      <c r="F4" s="250" t="s">
        <v>5681</v>
      </c>
    </row>
    <row r="5">
      <c r="A5" s="250" t="s">
        <v>5684</v>
      </c>
      <c r="B5" s="250" t="s">
        <v>746</v>
      </c>
      <c r="C5" s="416">
        <v>45670.0</v>
      </c>
      <c r="D5" s="250" t="s">
        <v>5680</v>
      </c>
      <c r="E5" s="250" t="s">
        <v>5678</v>
      </c>
      <c r="F5" s="250" t="s">
        <v>5681</v>
      </c>
    </row>
    <row r="6">
      <c r="A6" s="250" t="s">
        <v>5685</v>
      </c>
      <c r="B6" s="250" t="s">
        <v>357</v>
      </c>
      <c r="C6" s="416">
        <v>45671.0</v>
      </c>
      <c r="D6" s="250"/>
      <c r="E6" s="250" t="s">
        <v>5678</v>
      </c>
      <c r="F6" s="250" t="s">
        <v>5679</v>
      </c>
    </row>
    <row r="7">
      <c r="A7" s="417" t="s">
        <v>1989</v>
      </c>
      <c r="B7" s="384"/>
      <c r="C7" s="418"/>
      <c r="D7" s="250" t="s">
        <v>5686</v>
      </c>
      <c r="E7" s="250"/>
      <c r="F7" s="384"/>
    </row>
    <row r="8">
      <c r="A8" s="250" t="s">
        <v>5687</v>
      </c>
      <c r="B8" s="250" t="s">
        <v>1024</v>
      </c>
      <c r="C8" s="416">
        <v>45673.0</v>
      </c>
      <c r="D8" s="250"/>
      <c r="E8" s="250"/>
      <c r="F8" s="384"/>
    </row>
    <row r="9">
      <c r="A9" s="417" t="s">
        <v>5688</v>
      </c>
      <c r="B9" s="250" t="s">
        <v>292</v>
      </c>
      <c r="C9" s="418"/>
      <c r="D9" s="250"/>
      <c r="E9" s="250"/>
      <c r="F9" s="384"/>
    </row>
    <row r="10">
      <c r="A10" s="384"/>
      <c r="B10" s="384"/>
      <c r="C10" s="418"/>
      <c r="D10" s="250"/>
      <c r="E10" s="250"/>
      <c r="F10" s="384"/>
    </row>
    <row r="11">
      <c r="A11" s="384"/>
      <c r="B11" s="384"/>
      <c r="C11" s="418"/>
      <c r="D11" s="250"/>
      <c r="E11" s="250"/>
      <c r="F11" s="384"/>
    </row>
    <row r="12">
      <c r="A12" s="384"/>
      <c r="B12" s="384"/>
      <c r="C12" s="418"/>
      <c r="D12" s="250"/>
      <c r="E12" s="250"/>
      <c r="F12" s="384"/>
    </row>
    <row r="13">
      <c r="A13" s="384"/>
      <c r="B13" s="384"/>
      <c r="C13" s="418"/>
      <c r="D13" s="250"/>
      <c r="E13" s="250"/>
      <c r="F13" s="384"/>
    </row>
    <row r="14">
      <c r="A14" s="384"/>
      <c r="B14" s="384"/>
      <c r="C14" s="418"/>
      <c r="D14" s="250"/>
      <c r="E14" s="250"/>
      <c r="F14" s="384"/>
    </row>
    <row r="15">
      <c r="A15" s="384"/>
      <c r="B15" s="384"/>
      <c r="C15" s="418"/>
      <c r="D15" s="250"/>
      <c r="E15" s="250"/>
      <c r="F15" s="384"/>
    </row>
    <row r="16">
      <c r="A16" s="384"/>
      <c r="B16" s="384"/>
      <c r="C16" s="418"/>
      <c r="D16" s="250"/>
      <c r="E16" s="250"/>
      <c r="F16" s="384"/>
    </row>
    <row r="17">
      <c r="A17" s="384"/>
      <c r="B17" s="384"/>
      <c r="C17" s="418"/>
      <c r="D17" s="250"/>
      <c r="E17" s="250"/>
      <c r="F17" s="384"/>
    </row>
    <row r="18">
      <c r="A18" s="384"/>
      <c r="B18" s="384"/>
      <c r="C18" s="418"/>
      <c r="D18" s="250"/>
      <c r="E18" s="250"/>
      <c r="F18" s="384"/>
    </row>
    <row r="19">
      <c r="A19" s="384"/>
      <c r="B19" s="384"/>
      <c r="C19" s="418"/>
      <c r="D19" s="250"/>
      <c r="E19" s="250"/>
      <c r="F19" s="384"/>
    </row>
    <row r="20">
      <c r="A20" s="384"/>
      <c r="B20" s="384"/>
      <c r="C20" s="418"/>
      <c r="D20" s="250"/>
      <c r="E20" s="250"/>
      <c r="F20" s="384"/>
    </row>
    <row r="21">
      <c r="A21" s="384"/>
      <c r="B21" s="384"/>
      <c r="C21" s="418"/>
      <c r="D21" s="250"/>
      <c r="E21" s="250"/>
      <c r="F21" s="384"/>
    </row>
    <row r="22">
      <c r="A22" s="384"/>
      <c r="B22" s="384"/>
      <c r="C22" s="418"/>
      <c r="D22" s="250"/>
      <c r="E22" s="250"/>
      <c r="F22" s="384"/>
    </row>
    <row r="23">
      <c r="A23" s="384"/>
      <c r="B23" s="384"/>
      <c r="C23" s="418"/>
      <c r="D23" s="250"/>
      <c r="E23" s="250"/>
      <c r="F23" s="384"/>
    </row>
    <row r="24">
      <c r="A24" s="384"/>
      <c r="B24" s="384"/>
      <c r="C24" s="418"/>
      <c r="D24" s="250"/>
      <c r="E24" s="250"/>
      <c r="F24" s="384"/>
    </row>
    <row r="25">
      <c r="A25" s="384"/>
      <c r="B25" s="384"/>
      <c r="C25" s="418"/>
      <c r="D25" s="250"/>
      <c r="E25" s="250"/>
      <c r="F25" s="384"/>
    </row>
    <row r="26">
      <c r="A26" s="384"/>
      <c r="B26" s="384"/>
      <c r="C26" s="418"/>
      <c r="D26" s="250"/>
      <c r="E26" s="250"/>
      <c r="F26" s="384"/>
    </row>
    <row r="27">
      <c r="A27" s="384"/>
      <c r="B27" s="384"/>
      <c r="C27" s="418"/>
      <c r="D27" s="250"/>
      <c r="E27" s="250"/>
      <c r="F27" s="384"/>
    </row>
    <row r="28">
      <c r="A28" s="384"/>
      <c r="B28" s="384"/>
      <c r="C28" s="418"/>
      <c r="D28" s="250"/>
      <c r="E28" s="250"/>
      <c r="F28" s="384"/>
    </row>
    <row r="29">
      <c r="A29" s="384"/>
      <c r="B29" s="384"/>
      <c r="C29" s="418"/>
      <c r="D29" s="250"/>
      <c r="E29" s="250"/>
      <c r="F29" s="384"/>
    </row>
    <row r="30">
      <c r="A30" s="384"/>
      <c r="B30" s="384"/>
      <c r="C30" s="418"/>
      <c r="D30" s="250"/>
      <c r="E30" s="250"/>
      <c r="F30" s="384"/>
    </row>
    <row r="31">
      <c r="A31" s="384"/>
      <c r="B31" s="384"/>
      <c r="C31" s="418"/>
      <c r="D31" s="250"/>
      <c r="E31" s="250"/>
      <c r="F31" s="384"/>
    </row>
    <row r="32">
      <c r="A32" s="384"/>
      <c r="B32" s="384"/>
      <c r="C32" s="418"/>
      <c r="D32" s="250"/>
      <c r="E32" s="250"/>
      <c r="F32" s="384"/>
    </row>
    <row r="33">
      <c r="A33" s="384"/>
      <c r="B33" s="384"/>
      <c r="C33" s="418"/>
      <c r="D33" s="250"/>
      <c r="E33" s="250"/>
      <c r="F33" s="384"/>
    </row>
    <row r="34">
      <c r="A34" s="384"/>
      <c r="B34" s="384"/>
      <c r="C34" s="418"/>
      <c r="D34" s="250"/>
      <c r="E34" s="250"/>
      <c r="F34" s="384"/>
    </row>
    <row r="35">
      <c r="A35" s="384"/>
      <c r="B35" s="384"/>
      <c r="C35" s="418"/>
      <c r="D35" s="250"/>
      <c r="E35" s="250"/>
      <c r="F35" s="384"/>
    </row>
    <row r="36">
      <c r="A36" s="384"/>
      <c r="B36" s="384"/>
      <c r="C36" s="418"/>
      <c r="D36" s="250"/>
      <c r="E36" s="250"/>
      <c r="F36" s="384"/>
    </row>
    <row r="37">
      <c r="A37" s="384"/>
      <c r="B37" s="384"/>
      <c r="C37" s="418"/>
      <c r="D37" s="250"/>
      <c r="E37" s="250"/>
      <c r="F37" s="384"/>
    </row>
    <row r="38">
      <c r="A38" s="384"/>
      <c r="B38" s="384"/>
      <c r="C38" s="418"/>
      <c r="D38" s="250"/>
      <c r="E38" s="250"/>
      <c r="F38" s="384"/>
    </row>
    <row r="39">
      <c r="A39" s="384"/>
      <c r="B39" s="384"/>
      <c r="C39" s="418"/>
      <c r="D39" s="250"/>
      <c r="E39" s="250"/>
      <c r="F39" s="384"/>
    </row>
    <row r="40">
      <c r="A40" s="384"/>
      <c r="B40" s="384"/>
      <c r="C40" s="418"/>
      <c r="D40" s="250"/>
      <c r="E40" s="250"/>
      <c r="F40" s="384"/>
    </row>
    <row r="41">
      <c r="A41" s="384"/>
      <c r="B41" s="384"/>
      <c r="C41" s="418"/>
      <c r="D41" s="250"/>
      <c r="E41" s="250"/>
      <c r="F41" s="384"/>
    </row>
    <row r="42">
      <c r="A42" s="384"/>
      <c r="B42" s="384"/>
      <c r="C42" s="418"/>
      <c r="D42" s="250"/>
      <c r="E42" s="250"/>
      <c r="F42" s="384"/>
    </row>
    <row r="43">
      <c r="A43" s="384"/>
      <c r="B43" s="384"/>
      <c r="C43" s="418"/>
      <c r="D43" s="250"/>
      <c r="E43" s="250"/>
      <c r="F43" s="384"/>
    </row>
    <row r="44">
      <c r="A44" s="384"/>
      <c r="B44" s="384"/>
      <c r="C44" s="418"/>
      <c r="D44" s="250"/>
      <c r="E44" s="250"/>
      <c r="F44" s="384"/>
    </row>
    <row r="45">
      <c r="A45" s="384"/>
      <c r="B45" s="384"/>
      <c r="C45" s="418"/>
      <c r="D45" s="250"/>
      <c r="E45" s="250"/>
      <c r="F45" s="384"/>
    </row>
    <row r="46">
      <c r="A46" s="384"/>
      <c r="B46" s="384"/>
      <c r="C46" s="418"/>
      <c r="D46" s="250"/>
      <c r="E46" s="250"/>
      <c r="F46" s="384"/>
    </row>
    <row r="47">
      <c r="A47" s="384"/>
      <c r="B47" s="384"/>
      <c r="C47" s="418"/>
      <c r="D47" s="250"/>
      <c r="E47" s="250"/>
      <c r="F47" s="384"/>
    </row>
    <row r="48">
      <c r="A48" s="384"/>
      <c r="B48" s="384"/>
      <c r="C48" s="418"/>
      <c r="D48" s="250"/>
      <c r="E48" s="250"/>
      <c r="F48" s="384"/>
    </row>
    <row r="49">
      <c r="A49" s="384"/>
      <c r="B49" s="384"/>
      <c r="C49" s="418"/>
      <c r="D49" s="250"/>
      <c r="E49" s="250"/>
      <c r="F49" s="384"/>
    </row>
    <row r="50">
      <c r="A50" s="384"/>
      <c r="B50" s="384"/>
      <c r="C50" s="418"/>
      <c r="D50" s="250"/>
      <c r="E50" s="250"/>
      <c r="F50" s="384"/>
    </row>
    <row r="51">
      <c r="A51" s="384"/>
      <c r="B51" s="384"/>
      <c r="C51" s="418"/>
      <c r="D51" s="250"/>
      <c r="E51" s="250"/>
      <c r="F51" s="384"/>
    </row>
    <row r="52">
      <c r="A52" s="384"/>
      <c r="B52" s="384"/>
      <c r="C52" s="418"/>
      <c r="D52" s="250"/>
      <c r="E52" s="250"/>
      <c r="F52" s="384"/>
    </row>
    <row r="53">
      <c r="A53" s="384"/>
      <c r="B53" s="384"/>
      <c r="C53" s="418"/>
      <c r="D53" s="250"/>
      <c r="E53" s="250"/>
      <c r="F53" s="384"/>
    </row>
    <row r="54">
      <c r="A54" s="384"/>
      <c r="B54" s="384"/>
      <c r="C54" s="418"/>
      <c r="D54" s="250"/>
      <c r="E54" s="250"/>
      <c r="F54" s="384"/>
    </row>
    <row r="55">
      <c r="A55" s="384"/>
      <c r="B55" s="384"/>
      <c r="C55" s="418"/>
      <c r="D55" s="250"/>
      <c r="E55" s="250"/>
      <c r="F55" s="384"/>
    </row>
    <row r="56">
      <c r="A56" s="384"/>
      <c r="B56" s="384"/>
      <c r="C56" s="418"/>
      <c r="D56" s="250"/>
      <c r="E56" s="250"/>
      <c r="F56" s="384"/>
    </row>
    <row r="57">
      <c r="A57" s="384"/>
      <c r="B57" s="384"/>
      <c r="C57" s="418"/>
      <c r="D57" s="250"/>
      <c r="E57" s="250"/>
      <c r="F57" s="384"/>
    </row>
    <row r="58">
      <c r="A58" s="384"/>
      <c r="B58" s="384"/>
      <c r="C58" s="418"/>
      <c r="D58" s="250"/>
      <c r="E58" s="250"/>
      <c r="F58" s="384"/>
    </row>
    <row r="59">
      <c r="A59" s="384"/>
      <c r="B59" s="384"/>
      <c r="C59" s="418"/>
      <c r="D59" s="250"/>
      <c r="E59" s="250"/>
      <c r="F59" s="384"/>
    </row>
    <row r="60">
      <c r="A60" s="384"/>
      <c r="B60" s="384"/>
      <c r="C60" s="418"/>
      <c r="D60" s="250"/>
      <c r="E60" s="250"/>
      <c r="F60" s="384"/>
    </row>
    <row r="61">
      <c r="A61" s="384"/>
      <c r="B61" s="384"/>
      <c r="C61" s="418"/>
      <c r="D61" s="250"/>
      <c r="E61" s="250"/>
      <c r="F61" s="384"/>
    </row>
    <row r="62">
      <c r="A62" s="384"/>
      <c r="B62" s="384"/>
      <c r="C62" s="418"/>
      <c r="D62" s="250"/>
      <c r="E62" s="250"/>
      <c r="F62" s="384"/>
    </row>
    <row r="63">
      <c r="A63" s="384"/>
      <c r="B63" s="384"/>
      <c r="C63" s="418"/>
      <c r="D63" s="250"/>
      <c r="E63" s="250"/>
      <c r="F63" s="384"/>
    </row>
    <row r="64">
      <c r="A64" s="384"/>
      <c r="B64" s="384"/>
      <c r="C64" s="418"/>
      <c r="D64" s="250"/>
      <c r="E64" s="250"/>
      <c r="F64" s="384"/>
    </row>
    <row r="65">
      <c r="A65" s="384"/>
      <c r="B65" s="384"/>
      <c r="C65" s="418"/>
      <c r="D65" s="250"/>
      <c r="E65" s="250"/>
      <c r="F65" s="384"/>
    </row>
    <row r="66">
      <c r="A66" s="384"/>
      <c r="B66" s="384"/>
      <c r="C66" s="418"/>
      <c r="D66" s="250"/>
      <c r="E66" s="250"/>
      <c r="F66" s="384"/>
    </row>
    <row r="67">
      <c r="A67" s="384"/>
      <c r="B67" s="384"/>
      <c r="C67" s="418"/>
      <c r="D67" s="250"/>
      <c r="E67" s="250"/>
      <c r="F67" s="384"/>
    </row>
    <row r="68">
      <c r="A68" s="384"/>
      <c r="B68" s="384"/>
      <c r="C68" s="418"/>
      <c r="D68" s="250"/>
      <c r="E68" s="250"/>
      <c r="F68" s="384"/>
    </row>
    <row r="69">
      <c r="A69" s="384"/>
      <c r="B69" s="384"/>
      <c r="C69" s="418"/>
      <c r="D69" s="250"/>
      <c r="E69" s="250"/>
      <c r="F69" s="384"/>
    </row>
    <row r="70">
      <c r="A70" s="384"/>
      <c r="B70" s="384"/>
      <c r="C70" s="418"/>
      <c r="D70" s="250"/>
      <c r="E70" s="250"/>
      <c r="F70" s="384"/>
    </row>
    <row r="71">
      <c r="A71" s="384"/>
      <c r="B71" s="384"/>
      <c r="C71" s="418"/>
      <c r="D71" s="250"/>
      <c r="E71" s="250"/>
      <c r="F71" s="384"/>
    </row>
    <row r="72">
      <c r="A72" s="384"/>
      <c r="B72" s="384"/>
      <c r="C72" s="418"/>
      <c r="D72" s="384"/>
      <c r="E72" s="384"/>
      <c r="F72" s="384"/>
    </row>
    <row r="73">
      <c r="A73" s="384"/>
      <c r="B73" s="384"/>
      <c r="C73" s="418"/>
      <c r="D73" s="384"/>
      <c r="E73" s="384"/>
      <c r="F73" s="384"/>
    </row>
    <row r="74">
      <c r="A74" s="384"/>
      <c r="B74" s="384"/>
      <c r="C74" s="418"/>
      <c r="D74" s="384"/>
      <c r="E74" s="384"/>
      <c r="F74" s="384"/>
    </row>
    <row r="75">
      <c r="A75" s="384"/>
      <c r="B75" s="384"/>
      <c r="C75" s="418"/>
      <c r="D75" s="384"/>
      <c r="E75" s="384"/>
      <c r="F75" s="384"/>
    </row>
    <row r="76">
      <c r="A76" s="384"/>
      <c r="B76" s="384"/>
      <c r="C76" s="418"/>
      <c r="D76" s="384"/>
      <c r="E76" s="384"/>
      <c r="F76" s="384"/>
    </row>
    <row r="77">
      <c r="A77" s="384"/>
      <c r="B77" s="384"/>
      <c r="C77" s="418"/>
      <c r="D77" s="384"/>
      <c r="E77" s="384"/>
      <c r="F77" s="384"/>
    </row>
    <row r="78">
      <c r="A78" s="384"/>
      <c r="B78" s="384"/>
      <c r="C78" s="418"/>
      <c r="D78" s="384"/>
      <c r="E78" s="384"/>
      <c r="F78" s="384"/>
    </row>
    <row r="79">
      <c r="A79" s="384"/>
      <c r="B79" s="384"/>
      <c r="C79" s="418"/>
      <c r="D79" s="384"/>
      <c r="E79" s="384"/>
      <c r="F79" s="384"/>
    </row>
    <row r="80">
      <c r="A80" s="384"/>
      <c r="B80" s="384"/>
      <c r="C80" s="418"/>
      <c r="D80" s="384"/>
      <c r="E80" s="384"/>
      <c r="F80" s="384"/>
    </row>
    <row r="81">
      <c r="A81" s="384"/>
      <c r="B81" s="384"/>
      <c r="C81" s="418"/>
      <c r="D81" s="384"/>
      <c r="E81" s="384"/>
      <c r="F81" s="384"/>
    </row>
    <row r="82">
      <c r="A82" s="384"/>
      <c r="B82" s="384"/>
      <c r="C82" s="418"/>
      <c r="D82" s="384"/>
      <c r="E82" s="384"/>
      <c r="F82" s="384"/>
    </row>
    <row r="83">
      <c r="A83" s="384"/>
      <c r="B83" s="384"/>
      <c r="C83" s="418"/>
      <c r="D83" s="384"/>
      <c r="E83" s="384"/>
      <c r="F83" s="384"/>
    </row>
    <row r="84">
      <c r="A84" s="384"/>
      <c r="B84" s="384"/>
      <c r="C84" s="418"/>
      <c r="D84" s="384"/>
      <c r="E84" s="384"/>
      <c r="F84" s="384"/>
    </row>
    <row r="85">
      <c r="A85" s="384"/>
      <c r="B85" s="384"/>
      <c r="C85" s="418"/>
      <c r="D85" s="384"/>
      <c r="E85" s="384"/>
      <c r="F85" s="384"/>
    </row>
    <row r="86">
      <c r="A86" s="384"/>
      <c r="B86" s="384"/>
      <c r="C86" s="418"/>
      <c r="D86" s="384"/>
      <c r="E86" s="384"/>
      <c r="F86" s="384"/>
    </row>
    <row r="87">
      <c r="A87" s="384"/>
      <c r="B87" s="384"/>
      <c r="C87" s="418"/>
      <c r="D87" s="384"/>
      <c r="E87" s="384"/>
      <c r="F87" s="384"/>
    </row>
    <row r="88">
      <c r="A88" s="384"/>
      <c r="B88" s="384"/>
      <c r="C88" s="418"/>
      <c r="D88" s="384"/>
      <c r="E88" s="384"/>
      <c r="F88" s="384"/>
    </row>
    <row r="89">
      <c r="A89" s="384"/>
      <c r="B89" s="384"/>
      <c r="C89" s="418"/>
      <c r="D89" s="384"/>
      <c r="E89" s="384"/>
      <c r="F89" s="384"/>
    </row>
    <row r="90">
      <c r="A90" s="384"/>
      <c r="B90" s="384"/>
      <c r="C90" s="418"/>
      <c r="D90" s="384"/>
      <c r="E90" s="384"/>
      <c r="F90" s="384"/>
    </row>
    <row r="91">
      <c r="A91" s="384"/>
      <c r="B91" s="384"/>
      <c r="C91" s="418"/>
      <c r="D91" s="384"/>
      <c r="E91" s="384"/>
      <c r="F91" s="384"/>
    </row>
    <row r="92">
      <c r="A92" s="384"/>
      <c r="B92" s="384"/>
      <c r="C92" s="418"/>
      <c r="D92" s="384"/>
      <c r="E92" s="384"/>
      <c r="F92" s="384"/>
    </row>
    <row r="93">
      <c r="A93" s="384"/>
      <c r="B93" s="384"/>
      <c r="C93" s="418"/>
      <c r="D93" s="384"/>
      <c r="E93" s="384"/>
      <c r="F93" s="384"/>
    </row>
    <row r="94">
      <c r="A94" s="384"/>
      <c r="B94" s="384"/>
      <c r="C94" s="418"/>
      <c r="D94" s="384"/>
      <c r="E94" s="384"/>
      <c r="F94" s="384"/>
    </row>
    <row r="95">
      <c r="A95" s="384"/>
      <c r="B95" s="384"/>
      <c r="C95" s="418"/>
      <c r="D95" s="384"/>
      <c r="E95" s="384"/>
      <c r="F95" s="384"/>
    </row>
    <row r="96">
      <c r="A96" s="384"/>
      <c r="B96" s="384"/>
      <c r="C96" s="418"/>
      <c r="D96" s="384"/>
      <c r="E96" s="384"/>
      <c r="F96" s="384"/>
    </row>
    <row r="97">
      <c r="A97" s="384"/>
      <c r="B97" s="384"/>
      <c r="C97" s="418"/>
      <c r="D97" s="384"/>
      <c r="E97" s="384"/>
      <c r="F97" s="384"/>
    </row>
    <row r="98">
      <c r="A98" s="384"/>
      <c r="B98" s="384"/>
      <c r="C98" s="418"/>
      <c r="D98" s="384"/>
      <c r="E98" s="384"/>
      <c r="F98" s="384"/>
    </row>
    <row r="99">
      <c r="A99" s="384"/>
      <c r="B99" s="384"/>
      <c r="C99" s="418"/>
      <c r="D99" s="384"/>
      <c r="E99" s="384"/>
      <c r="F99" s="384"/>
    </row>
    <row r="100">
      <c r="A100" s="384"/>
      <c r="B100" s="384"/>
      <c r="C100" s="418"/>
      <c r="D100" s="384"/>
      <c r="E100" s="384"/>
      <c r="F100" s="384"/>
    </row>
    <row r="101">
      <c r="A101" s="384"/>
      <c r="B101" s="384"/>
      <c r="C101" s="418"/>
      <c r="D101" s="384"/>
      <c r="E101" s="384"/>
      <c r="F101" s="384"/>
    </row>
    <row r="102">
      <c r="A102" s="384"/>
      <c r="B102" s="384"/>
      <c r="C102" s="418"/>
      <c r="D102" s="384"/>
      <c r="E102" s="384"/>
      <c r="F102" s="384"/>
    </row>
    <row r="103">
      <c r="A103" s="384"/>
      <c r="B103" s="384"/>
      <c r="C103" s="418"/>
      <c r="D103" s="384"/>
      <c r="E103" s="384"/>
      <c r="F103" s="384"/>
    </row>
    <row r="104">
      <c r="A104" s="384"/>
      <c r="B104" s="384"/>
      <c r="C104" s="418"/>
      <c r="D104" s="384"/>
      <c r="E104" s="384"/>
      <c r="F104" s="384"/>
    </row>
    <row r="105">
      <c r="A105" s="384"/>
      <c r="B105" s="384"/>
      <c r="C105" s="418"/>
      <c r="D105" s="384"/>
      <c r="E105" s="384"/>
      <c r="F105" s="384"/>
    </row>
    <row r="106">
      <c r="A106" s="384"/>
      <c r="B106" s="384"/>
      <c r="C106" s="418"/>
      <c r="D106" s="384"/>
      <c r="E106" s="384"/>
      <c r="F106" s="384"/>
    </row>
    <row r="107">
      <c r="A107" s="384"/>
      <c r="B107" s="384"/>
      <c r="C107" s="418"/>
      <c r="D107" s="384"/>
      <c r="E107" s="384"/>
      <c r="F107" s="384"/>
    </row>
    <row r="108">
      <c r="A108" s="384"/>
      <c r="B108" s="384"/>
      <c r="C108" s="418"/>
      <c r="D108" s="384"/>
      <c r="E108" s="384"/>
      <c r="F108" s="384"/>
    </row>
    <row r="109">
      <c r="A109" s="384"/>
      <c r="B109" s="384"/>
      <c r="C109" s="418"/>
      <c r="D109" s="384"/>
      <c r="E109" s="384"/>
      <c r="F109" s="384"/>
    </row>
    <row r="110">
      <c r="A110" s="384"/>
      <c r="B110" s="384"/>
      <c r="C110" s="418"/>
      <c r="D110" s="384"/>
      <c r="E110" s="384"/>
      <c r="F110" s="384"/>
    </row>
    <row r="111">
      <c r="A111" s="384"/>
      <c r="B111" s="384"/>
      <c r="C111" s="418"/>
      <c r="D111" s="384"/>
      <c r="E111" s="384"/>
      <c r="F111" s="384"/>
    </row>
    <row r="112">
      <c r="A112" s="384"/>
      <c r="B112" s="384"/>
      <c r="C112" s="418"/>
      <c r="D112" s="384"/>
      <c r="E112" s="384"/>
      <c r="F112" s="384"/>
    </row>
    <row r="113">
      <c r="A113" s="384"/>
      <c r="B113" s="384"/>
      <c r="C113" s="418"/>
      <c r="D113" s="384"/>
      <c r="E113" s="384"/>
      <c r="F113" s="384"/>
    </row>
    <row r="114">
      <c r="A114" s="384"/>
      <c r="B114" s="384"/>
      <c r="C114" s="418"/>
      <c r="D114" s="384"/>
      <c r="E114" s="384"/>
      <c r="F114" s="384"/>
    </row>
    <row r="115">
      <c r="A115" s="384"/>
      <c r="B115" s="384"/>
      <c r="C115" s="418"/>
      <c r="D115" s="384"/>
      <c r="E115" s="384"/>
      <c r="F115" s="384"/>
    </row>
    <row r="116">
      <c r="A116" s="384"/>
      <c r="B116" s="384"/>
      <c r="C116" s="418"/>
      <c r="D116" s="384"/>
      <c r="E116" s="384"/>
      <c r="F116" s="384"/>
    </row>
    <row r="117">
      <c r="A117" s="384"/>
      <c r="B117" s="384"/>
      <c r="C117" s="418"/>
      <c r="D117" s="384"/>
      <c r="E117" s="384"/>
      <c r="F117" s="384"/>
    </row>
    <row r="118">
      <c r="A118" s="384"/>
      <c r="B118" s="384"/>
      <c r="C118" s="418"/>
      <c r="D118" s="384"/>
      <c r="E118" s="384"/>
      <c r="F118" s="384"/>
    </row>
    <row r="119">
      <c r="A119" s="384"/>
      <c r="B119" s="384"/>
      <c r="C119" s="418"/>
      <c r="D119" s="384"/>
      <c r="E119" s="384"/>
      <c r="F119" s="384"/>
    </row>
    <row r="120">
      <c r="A120" s="384"/>
      <c r="B120" s="384"/>
      <c r="C120" s="418"/>
      <c r="D120" s="384"/>
      <c r="E120" s="384"/>
      <c r="F120" s="384"/>
    </row>
    <row r="121">
      <c r="A121" s="384"/>
      <c r="B121" s="384"/>
      <c r="C121" s="418"/>
      <c r="D121" s="384"/>
      <c r="E121" s="384"/>
      <c r="F121" s="384"/>
    </row>
    <row r="122">
      <c r="A122" s="384"/>
      <c r="B122" s="384"/>
      <c r="C122" s="418"/>
      <c r="D122" s="384"/>
      <c r="E122" s="384"/>
      <c r="F122" s="384"/>
    </row>
    <row r="123">
      <c r="A123" s="384"/>
      <c r="B123" s="384"/>
      <c r="C123" s="418"/>
      <c r="D123" s="384"/>
      <c r="E123" s="384"/>
      <c r="F123" s="384"/>
    </row>
    <row r="124">
      <c r="A124" s="384"/>
      <c r="B124" s="384"/>
      <c r="C124" s="418"/>
      <c r="D124" s="384"/>
      <c r="E124" s="384"/>
      <c r="F124" s="384"/>
    </row>
    <row r="125">
      <c r="A125" s="384"/>
      <c r="B125" s="384"/>
      <c r="C125" s="418"/>
      <c r="D125" s="384"/>
      <c r="E125" s="384"/>
      <c r="F125" s="384"/>
    </row>
    <row r="126">
      <c r="A126" s="384"/>
      <c r="B126" s="384"/>
      <c r="C126" s="418"/>
      <c r="D126" s="384"/>
      <c r="E126" s="384"/>
      <c r="F126" s="384"/>
    </row>
    <row r="127">
      <c r="A127" s="384"/>
      <c r="B127" s="384"/>
      <c r="C127" s="418"/>
      <c r="D127" s="384"/>
      <c r="E127" s="384"/>
      <c r="F127" s="384"/>
    </row>
    <row r="128">
      <c r="A128" s="384"/>
      <c r="B128" s="384"/>
      <c r="C128" s="418"/>
      <c r="D128" s="384"/>
      <c r="E128" s="384"/>
      <c r="F128" s="384"/>
    </row>
    <row r="129">
      <c r="A129" s="384"/>
      <c r="B129" s="384"/>
      <c r="C129" s="418"/>
      <c r="D129" s="384"/>
      <c r="E129" s="384"/>
      <c r="F129" s="384"/>
    </row>
    <row r="130">
      <c r="A130" s="384"/>
      <c r="B130" s="384"/>
      <c r="C130" s="418"/>
      <c r="D130" s="384"/>
      <c r="E130" s="384"/>
      <c r="F130" s="384"/>
    </row>
    <row r="131">
      <c r="A131" s="384"/>
      <c r="B131" s="384"/>
      <c r="C131" s="418"/>
      <c r="D131" s="384"/>
      <c r="E131" s="384"/>
      <c r="F131" s="384"/>
    </row>
    <row r="132">
      <c r="A132" s="384"/>
      <c r="B132" s="384"/>
      <c r="C132" s="418"/>
      <c r="D132" s="384"/>
      <c r="E132" s="384"/>
      <c r="F132" s="384"/>
    </row>
    <row r="133">
      <c r="A133" s="384"/>
      <c r="B133" s="384"/>
      <c r="C133" s="418"/>
      <c r="D133" s="384"/>
      <c r="E133" s="384"/>
      <c r="F133" s="384"/>
    </row>
    <row r="134">
      <c r="A134" s="384"/>
      <c r="B134" s="384"/>
      <c r="C134" s="418"/>
      <c r="D134" s="384"/>
      <c r="E134" s="384"/>
      <c r="F134" s="384"/>
    </row>
    <row r="135">
      <c r="A135" s="384"/>
      <c r="B135" s="384"/>
      <c r="C135" s="418"/>
      <c r="D135" s="384"/>
      <c r="E135" s="384"/>
      <c r="F135" s="384"/>
    </row>
    <row r="136">
      <c r="A136" s="384"/>
      <c r="B136" s="384"/>
      <c r="C136" s="418"/>
      <c r="D136" s="384"/>
      <c r="E136" s="384"/>
      <c r="F136" s="384"/>
    </row>
    <row r="137">
      <c r="A137" s="384"/>
      <c r="B137" s="384"/>
      <c r="C137" s="418"/>
      <c r="D137" s="384"/>
      <c r="E137" s="384"/>
      <c r="F137" s="384"/>
    </row>
    <row r="138">
      <c r="A138" s="384"/>
      <c r="B138" s="384"/>
      <c r="C138" s="418"/>
      <c r="D138" s="384"/>
      <c r="E138" s="384"/>
      <c r="F138" s="384"/>
    </row>
    <row r="139">
      <c r="A139" s="384"/>
      <c r="B139" s="384"/>
      <c r="C139" s="418"/>
      <c r="D139" s="384"/>
      <c r="E139" s="384"/>
      <c r="F139" s="384"/>
    </row>
    <row r="140">
      <c r="A140" s="384"/>
      <c r="B140" s="384"/>
      <c r="C140" s="418"/>
      <c r="D140" s="384"/>
      <c r="E140" s="384"/>
      <c r="F140" s="384"/>
    </row>
    <row r="141">
      <c r="A141" s="384"/>
      <c r="B141" s="384"/>
      <c r="C141" s="418"/>
      <c r="D141" s="384"/>
      <c r="E141" s="384"/>
      <c r="F141" s="384"/>
    </row>
    <row r="142">
      <c r="A142" s="384"/>
      <c r="B142" s="384"/>
      <c r="C142" s="418"/>
      <c r="D142" s="384"/>
      <c r="E142" s="384"/>
      <c r="F142" s="384"/>
    </row>
    <row r="143">
      <c r="A143" s="384"/>
      <c r="B143" s="384"/>
      <c r="C143" s="418"/>
      <c r="D143" s="384"/>
      <c r="E143" s="384"/>
      <c r="F143" s="384"/>
    </row>
    <row r="144">
      <c r="A144" s="384"/>
      <c r="B144" s="384"/>
      <c r="C144" s="418"/>
      <c r="D144" s="384"/>
      <c r="E144" s="384"/>
      <c r="F144" s="384"/>
    </row>
    <row r="145">
      <c r="A145" s="384"/>
      <c r="B145" s="384"/>
      <c r="C145" s="418"/>
      <c r="D145" s="384"/>
      <c r="E145" s="384"/>
      <c r="F145" s="384"/>
    </row>
    <row r="146">
      <c r="A146" s="384"/>
      <c r="B146" s="384"/>
      <c r="C146" s="418"/>
      <c r="D146" s="384"/>
      <c r="E146" s="384"/>
      <c r="F146" s="384"/>
    </row>
    <row r="147">
      <c r="A147" s="384"/>
      <c r="B147" s="384"/>
      <c r="C147" s="418"/>
      <c r="D147" s="384"/>
      <c r="E147" s="384"/>
      <c r="F147" s="384"/>
    </row>
    <row r="148">
      <c r="A148" s="384"/>
      <c r="B148" s="384"/>
      <c r="C148" s="418"/>
      <c r="D148" s="384"/>
      <c r="E148" s="384"/>
      <c r="F148" s="384"/>
    </row>
    <row r="149">
      <c r="A149" s="384"/>
      <c r="B149" s="384"/>
      <c r="C149" s="418"/>
      <c r="D149" s="384"/>
      <c r="E149" s="384"/>
      <c r="F149" s="384"/>
    </row>
    <row r="150">
      <c r="A150" s="384"/>
      <c r="B150" s="384"/>
      <c r="C150" s="418"/>
      <c r="D150" s="384"/>
      <c r="E150" s="384"/>
      <c r="F150" s="384"/>
    </row>
    <row r="151">
      <c r="A151" s="384"/>
      <c r="B151" s="384"/>
      <c r="C151" s="418"/>
      <c r="D151" s="384"/>
      <c r="E151" s="384"/>
      <c r="F151" s="384"/>
    </row>
    <row r="152">
      <c r="A152" s="384"/>
      <c r="B152" s="384"/>
      <c r="C152" s="418"/>
      <c r="D152" s="384"/>
      <c r="E152" s="384"/>
      <c r="F152" s="384"/>
    </row>
    <row r="153">
      <c r="A153" s="384"/>
      <c r="B153" s="384"/>
      <c r="C153" s="418"/>
      <c r="D153" s="384"/>
      <c r="E153" s="384"/>
      <c r="F153" s="384"/>
    </row>
    <row r="154">
      <c r="A154" s="384"/>
      <c r="B154" s="384"/>
      <c r="C154" s="418"/>
      <c r="D154" s="384"/>
      <c r="E154" s="384"/>
      <c r="F154" s="384"/>
    </row>
    <row r="155">
      <c r="A155" s="384"/>
      <c r="B155" s="384"/>
      <c r="C155" s="418"/>
      <c r="D155" s="384"/>
      <c r="E155" s="384"/>
      <c r="F155" s="384"/>
    </row>
    <row r="156">
      <c r="A156" s="384"/>
      <c r="B156" s="384"/>
      <c r="C156" s="418"/>
      <c r="D156" s="384"/>
      <c r="E156" s="384"/>
      <c r="F156" s="384"/>
    </row>
    <row r="157">
      <c r="A157" s="384"/>
      <c r="B157" s="384"/>
      <c r="C157" s="418"/>
      <c r="D157" s="384"/>
      <c r="E157" s="384"/>
      <c r="F157" s="384"/>
    </row>
    <row r="158">
      <c r="A158" s="384"/>
      <c r="B158" s="384"/>
      <c r="C158" s="418"/>
      <c r="D158" s="384"/>
      <c r="E158" s="384"/>
      <c r="F158" s="384"/>
    </row>
    <row r="159">
      <c r="A159" s="384"/>
      <c r="B159" s="384"/>
      <c r="C159" s="418"/>
      <c r="D159" s="384"/>
      <c r="E159" s="384"/>
      <c r="F159" s="384"/>
    </row>
    <row r="160">
      <c r="A160" s="384"/>
      <c r="B160" s="384"/>
      <c r="C160" s="418"/>
      <c r="D160" s="384"/>
      <c r="E160" s="384"/>
      <c r="F160" s="384"/>
    </row>
    <row r="161">
      <c r="A161" s="384"/>
      <c r="B161" s="384"/>
      <c r="C161" s="418"/>
      <c r="D161" s="384"/>
      <c r="E161" s="384"/>
      <c r="F161" s="384"/>
    </row>
    <row r="162">
      <c r="A162" s="384"/>
      <c r="B162" s="384"/>
      <c r="C162" s="418"/>
      <c r="D162" s="384"/>
      <c r="E162" s="384"/>
      <c r="F162" s="384"/>
    </row>
    <row r="163">
      <c r="A163" s="384"/>
      <c r="B163" s="384"/>
      <c r="C163" s="418"/>
      <c r="D163" s="384"/>
      <c r="E163" s="384"/>
      <c r="F163" s="384"/>
    </row>
    <row r="164">
      <c r="A164" s="384"/>
      <c r="B164" s="384"/>
      <c r="C164" s="418"/>
      <c r="D164" s="384"/>
      <c r="E164" s="384"/>
      <c r="F164" s="384"/>
    </row>
    <row r="165">
      <c r="A165" s="384"/>
      <c r="B165" s="384"/>
      <c r="C165" s="418"/>
      <c r="D165" s="384"/>
      <c r="E165" s="384"/>
      <c r="F165" s="384"/>
    </row>
    <row r="166">
      <c r="A166" s="384"/>
      <c r="B166" s="384"/>
      <c r="C166" s="418"/>
      <c r="D166" s="384"/>
      <c r="E166" s="384"/>
      <c r="F166" s="384"/>
    </row>
    <row r="167">
      <c r="A167" s="384"/>
      <c r="B167" s="384"/>
      <c r="C167" s="418"/>
      <c r="D167" s="384"/>
      <c r="E167" s="384"/>
      <c r="F167" s="384"/>
    </row>
    <row r="168">
      <c r="A168" s="384"/>
      <c r="B168" s="384"/>
      <c r="C168" s="418"/>
      <c r="D168" s="384"/>
      <c r="E168" s="384"/>
      <c r="F168" s="384"/>
    </row>
    <row r="169">
      <c r="A169" s="384"/>
      <c r="B169" s="384"/>
      <c r="C169" s="418"/>
      <c r="D169" s="384"/>
      <c r="E169" s="384"/>
      <c r="F169" s="384"/>
    </row>
    <row r="170">
      <c r="A170" s="384"/>
      <c r="B170" s="384"/>
      <c r="C170" s="418"/>
      <c r="D170" s="384"/>
      <c r="E170" s="384"/>
      <c r="F170" s="384"/>
    </row>
    <row r="171">
      <c r="A171" s="384"/>
      <c r="B171" s="384"/>
      <c r="C171" s="418"/>
      <c r="D171" s="384"/>
      <c r="E171" s="384"/>
      <c r="F171" s="384"/>
    </row>
    <row r="172">
      <c r="A172" s="384"/>
      <c r="B172" s="384"/>
      <c r="C172" s="418"/>
      <c r="D172" s="384"/>
      <c r="E172" s="384"/>
      <c r="F172" s="384"/>
    </row>
    <row r="173">
      <c r="A173" s="384"/>
      <c r="B173" s="384"/>
      <c r="C173" s="418"/>
      <c r="D173" s="384"/>
      <c r="E173" s="384"/>
      <c r="F173" s="384"/>
    </row>
    <row r="174">
      <c r="A174" s="384"/>
      <c r="B174" s="384"/>
      <c r="C174" s="418"/>
      <c r="D174" s="384"/>
      <c r="E174" s="384"/>
      <c r="F174" s="384"/>
    </row>
    <row r="175">
      <c r="A175" s="384"/>
      <c r="B175" s="384"/>
      <c r="C175" s="418"/>
      <c r="D175" s="384"/>
      <c r="E175" s="384"/>
      <c r="F175" s="384"/>
    </row>
    <row r="176">
      <c r="A176" s="384"/>
      <c r="B176" s="384"/>
      <c r="C176" s="418"/>
      <c r="D176" s="384"/>
      <c r="E176" s="384"/>
      <c r="F176" s="384"/>
    </row>
    <row r="177">
      <c r="A177" s="384"/>
      <c r="B177" s="384"/>
      <c r="C177" s="418"/>
      <c r="D177" s="384"/>
      <c r="E177" s="384"/>
      <c r="F177" s="384"/>
    </row>
    <row r="178">
      <c r="A178" s="384"/>
      <c r="B178" s="384"/>
      <c r="C178" s="418"/>
      <c r="D178" s="384"/>
      <c r="E178" s="384"/>
      <c r="F178" s="384"/>
    </row>
    <row r="179">
      <c r="A179" s="384"/>
      <c r="B179" s="384"/>
      <c r="C179" s="418"/>
      <c r="D179" s="384"/>
      <c r="E179" s="384"/>
      <c r="F179" s="384"/>
    </row>
    <row r="180">
      <c r="A180" s="384"/>
      <c r="B180" s="384"/>
      <c r="C180" s="418"/>
      <c r="D180" s="384"/>
      <c r="E180" s="384"/>
      <c r="F180" s="384"/>
    </row>
    <row r="181">
      <c r="A181" s="384"/>
      <c r="B181" s="384"/>
      <c r="C181" s="418"/>
      <c r="D181" s="384"/>
      <c r="E181" s="384"/>
      <c r="F181" s="384"/>
    </row>
    <row r="182">
      <c r="A182" s="384"/>
      <c r="B182" s="384"/>
      <c r="C182" s="418"/>
      <c r="D182" s="384"/>
      <c r="E182" s="384"/>
      <c r="F182" s="384"/>
    </row>
    <row r="183">
      <c r="A183" s="384"/>
      <c r="B183" s="384"/>
      <c r="C183" s="418"/>
      <c r="D183" s="384"/>
      <c r="E183" s="384"/>
      <c r="F183" s="384"/>
    </row>
    <row r="184">
      <c r="A184" s="384"/>
      <c r="B184" s="384"/>
      <c r="C184" s="418"/>
      <c r="D184" s="384"/>
      <c r="E184" s="384"/>
      <c r="F184" s="384"/>
    </row>
    <row r="185">
      <c r="A185" s="384"/>
      <c r="B185" s="384"/>
      <c r="C185" s="418"/>
      <c r="D185" s="384"/>
      <c r="E185" s="384"/>
      <c r="F185" s="384"/>
    </row>
    <row r="186">
      <c r="A186" s="384"/>
      <c r="B186" s="384"/>
      <c r="C186" s="418"/>
      <c r="D186" s="384"/>
      <c r="E186" s="384"/>
      <c r="F186" s="384"/>
    </row>
    <row r="187">
      <c r="A187" s="384"/>
      <c r="B187" s="384"/>
      <c r="C187" s="418"/>
      <c r="D187" s="384"/>
      <c r="E187" s="384"/>
      <c r="F187" s="384"/>
    </row>
    <row r="188">
      <c r="A188" s="384"/>
      <c r="B188" s="384"/>
      <c r="C188" s="418"/>
      <c r="D188" s="384"/>
      <c r="E188" s="384"/>
      <c r="F188" s="384"/>
    </row>
    <row r="189">
      <c r="A189" s="384"/>
      <c r="B189" s="384"/>
      <c r="C189" s="418"/>
      <c r="D189" s="384"/>
      <c r="E189" s="384"/>
      <c r="F189" s="384"/>
    </row>
    <row r="190">
      <c r="A190" s="384"/>
      <c r="B190" s="384"/>
      <c r="C190" s="418"/>
      <c r="D190" s="384"/>
      <c r="E190" s="384"/>
      <c r="F190" s="384"/>
    </row>
    <row r="191">
      <c r="A191" s="384"/>
      <c r="B191" s="384"/>
      <c r="C191" s="418"/>
      <c r="D191" s="384"/>
      <c r="E191" s="384"/>
      <c r="F191" s="384"/>
    </row>
    <row r="192">
      <c r="A192" s="384"/>
      <c r="B192" s="384"/>
      <c r="C192" s="418"/>
      <c r="D192" s="384"/>
      <c r="E192" s="384"/>
      <c r="F192" s="384"/>
    </row>
    <row r="193">
      <c r="A193" s="384"/>
      <c r="B193" s="384"/>
      <c r="C193" s="418"/>
      <c r="D193" s="384"/>
      <c r="E193" s="384"/>
      <c r="F193" s="384"/>
    </row>
    <row r="194">
      <c r="A194" s="384"/>
      <c r="B194" s="384"/>
      <c r="C194" s="418"/>
      <c r="D194" s="384"/>
      <c r="E194" s="384"/>
      <c r="F194" s="384"/>
    </row>
    <row r="195">
      <c r="A195" s="384"/>
      <c r="B195" s="384"/>
      <c r="C195" s="418"/>
      <c r="D195" s="384"/>
      <c r="E195" s="384"/>
      <c r="F195" s="384"/>
    </row>
    <row r="196">
      <c r="A196" s="384"/>
      <c r="B196" s="384"/>
      <c r="C196" s="418"/>
      <c r="D196" s="384"/>
      <c r="E196" s="384"/>
      <c r="F196" s="384"/>
    </row>
    <row r="197">
      <c r="A197" s="384"/>
      <c r="B197" s="384"/>
      <c r="C197" s="418"/>
      <c r="D197" s="384"/>
      <c r="E197" s="384"/>
      <c r="F197" s="384"/>
    </row>
    <row r="198">
      <c r="A198" s="384"/>
      <c r="B198" s="384"/>
      <c r="C198" s="418"/>
      <c r="D198" s="384"/>
      <c r="E198" s="384"/>
      <c r="F198" s="384"/>
    </row>
    <row r="199">
      <c r="A199" s="384"/>
      <c r="B199" s="384"/>
      <c r="C199" s="418"/>
      <c r="D199" s="384"/>
      <c r="E199" s="384"/>
      <c r="F199" s="384"/>
    </row>
    <row r="200">
      <c r="A200" s="384"/>
      <c r="B200" s="384"/>
      <c r="C200" s="418"/>
      <c r="D200" s="384"/>
      <c r="E200" s="384"/>
      <c r="F200" s="384"/>
    </row>
    <row r="201">
      <c r="A201" s="384"/>
      <c r="B201" s="384"/>
      <c r="C201" s="418"/>
      <c r="D201" s="384"/>
      <c r="E201" s="384"/>
      <c r="F201" s="384"/>
    </row>
    <row r="202">
      <c r="A202" s="384"/>
      <c r="B202" s="384"/>
      <c r="C202" s="418"/>
      <c r="D202" s="384"/>
      <c r="E202" s="384"/>
      <c r="F202" s="384"/>
    </row>
    <row r="203">
      <c r="A203" s="384"/>
      <c r="B203" s="384"/>
      <c r="C203" s="418"/>
      <c r="D203" s="384"/>
      <c r="E203" s="384"/>
      <c r="F203" s="384"/>
    </row>
    <row r="204">
      <c r="A204" s="384"/>
      <c r="B204" s="384"/>
      <c r="C204" s="418"/>
      <c r="D204" s="384"/>
      <c r="E204" s="384"/>
      <c r="F204" s="384"/>
    </row>
    <row r="205">
      <c r="A205" s="384"/>
      <c r="B205" s="384"/>
      <c r="C205" s="418"/>
      <c r="D205" s="384"/>
      <c r="E205" s="384"/>
      <c r="F205" s="384"/>
    </row>
    <row r="206">
      <c r="A206" s="384"/>
      <c r="B206" s="384"/>
      <c r="C206" s="418"/>
      <c r="D206" s="384"/>
      <c r="E206" s="384"/>
      <c r="F206" s="384"/>
    </row>
    <row r="207">
      <c r="A207" s="384"/>
      <c r="B207" s="384"/>
      <c r="C207" s="418"/>
      <c r="D207" s="384"/>
      <c r="E207" s="384"/>
      <c r="F207" s="384"/>
    </row>
    <row r="208">
      <c r="A208" s="384"/>
      <c r="B208" s="384"/>
      <c r="C208" s="418"/>
      <c r="D208" s="384"/>
      <c r="E208" s="384"/>
      <c r="F208" s="384"/>
    </row>
    <row r="209">
      <c r="A209" s="384"/>
      <c r="B209" s="384"/>
      <c r="C209" s="418"/>
      <c r="D209" s="384"/>
      <c r="E209" s="384"/>
      <c r="F209" s="384"/>
    </row>
    <row r="210">
      <c r="A210" s="384"/>
      <c r="B210" s="384"/>
      <c r="C210" s="418"/>
      <c r="D210" s="384"/>
      <c r="E210" s="384"/>
      <c r="F210" s="384"/>
    </row>
    <row r="211">
      <c r="A211" s="384"/>
      <c r="B211" s="384"/>
      <c r="C211" s="418"/>
      <c r="D211" s="384"/>
      <c r="E211" s="384"/>
      <c r="F211" s="384"/>
    </row>
    <row r="212">
      <c r="A212" s="384"/>
      <c r="B212" s="384"/>
      <c r="C212" s="418"/>
      <c r="D212" s="384"/>
      <c r="E212" s="384"/>
      <c r="F212" s="384"/>
    </row>
    <row r="213">
      <c r="A213" s="384"/>
      <c r="B213" s="384"/>
      <c r="C213" s="418"/>
      <c r="D213" s="384"/>
      <c r="E213" s="384"/>
      <c r="F213" s="384"/>
    </row>
    <row r="214">
      <c r="A214" s="384"/>
      <c r="B214" s="384"/>
      <c r="C214" s="418"/>
      <c r="D214" s="384"/>
      <c r="E214" s="384"/>
      <c r="F214" s="384"/>
    </row>
    <row r="215">
      <c r="A215" s="384"/>
      <c r="B215" s="384"/>
      <c r="C215" s="418"/>
      <c r="D215" s="384"/>
      <c r="E215" s="384"/>
      <c r="F215" s="384"/>
    </row>
    <row r="216">
      <c r="A216" s="384"/>
      <c r="B216" s="384"/>
      <c r="C216" s="418"/>
      <c r="D216" s="384"/>
      <c r="E216" s="384"/>
      <c r="F216" s="384"/>
    </row>
    <row r="217">
      <c r="A217" s="384"/>
      <c r="B217" s="384"/>
      <c r="C217" s="418"/>
      <c r="D217" s="384"/>
      <c r="E217" s="384"/>
      <c r="F217" s="384"/>
    </row>
    <row r="218">
      <c r="A218" s="384"/>
      <c r="B218" s="384"/>
      <c r="C218" s="418"/>
      <c r="D218" s="384"/>
      <c r="E218" s="384"/>
      <c r="F218" s="384"/>
    </row>
    <row r="219">
      <c r="A219" s="384"/>
      <c r="B219" s="384"/>
      <c r="C219" s="418"/>
      <c r="D219" s="384"/>
      <c r="E219" s="384"/>
      <c r="F219" s="384"/>
    </row>
    <row r="220">
      <c r="A220" s="384"/>
      <c r="B220" s="384"/>
      <c r="C220" s="418"/>
      <c r="D220" s="384"/>
      <c r="E220" s="384"/>
      <c r="F220" s="384"/>
    </row>
    <row r="221">
      <c r="A221" s="384"/>
      <c r="B221" s="384"/>
      <c r="C221" s="418"/>
      <c r="D221" s="384"/>
      <c r="E221" s="384"/>
      <c r="F221" s="384"/>
    </row>
    <row r="222">
      <c r="A222" s="384"/>
      <c r="B222" s="384"/>
      <c r="C222" s="418"/>
      <c r="D222" s="384"/>
      <c r="E222" s="384"/>
      <c r="F222" s="384"/>
    </row>
    <row r="223">
      <c r="A223" s="384"/>
      <c r="B223" s="384"/>
      <c r="C223" s="418"/>
      <c r="D223" s="384"/>
      <c r="E223" s="384"/>
      <c r="F223" s="384"/>
    </row>
    <row r="224">
      <c r="A224" s="384"/>
      <c r="B224" s="384"/>
      <c r="C224" s="418"/>
      <c r="D224" s="384"/>
      <c r="E224" s="384"/>
      <c r="F224" s="384"/>
    </row>
    <row r="225">
      <c r="A225" s="384"/>
      <c r="B225" s="384"/>
      <c r="C225" s="418"/>
      <c r="D225" s="384"/>
      <c r="E225" s="384"/>
      <c r="F225" s="384"/>
    </row>
    <row r="226">
      <c r="A226" s="384"/>
      <c r="B226" s="384"/>
      <c r="C226" s="418"/>
      <c r="D226" s="384"/>
      <c r="E226" s="384"/>
      <c r="F226" s="384"/>
    </row>
    <row r="227">
      <c r="A227" s="384"/>
      <c r="B227" s="384"/>
      <c r="C227" s="418"/>
      <c r="D227" s="384"/>
      <c r="E227" s="384"/>
      <c r="F227" s="384"/>
    </row>
    <row r="228">
      <c r="A228" s="384"/>
      <c r="B228" s="384"/>
      <c r="C228" s="418"/>
      <c r="D228" s="384"/>
      <c r="E228" s="384"/>
      <c r="F228" s="384"/>
    </row>
    <row r="229">
      <c r="A229" s="384"/>
      <c r="B229" s="384"/>
      <c r="C229" s="418"/>
      <c r="D229" s="384"/>
      <c r="E229" s="384"/>
      <c r="F229" s="384"/>
    </row>
    <row r="230">
      <c r="A230" s="384"/>
      <c r="B230" s="384"/>
      <c r="C230" s="418"/>
      <c r="D230" s="384"/>
      <c r="E230" s="384"/>
      <c r="F230" s="384"/>
    </row>
    <row r="231">
      <c r="A231" s="384"/>
      <c r="B231" s="384"/>
      <c r="C231" s="418"/>
      <c r="D231" s="384"/>
      <c r="E231" s="384"/>
      <c r="F231" s="384"/>
    </row>
    <row r="232">
      <c r="A232" s="384"/>
      <c r="B232" s="384"/>
      <c r="C232" s="418"/>
      <c r="D232" s="384"/>
      <c r="E232" s="384"/>
      <c r="F232" s="384"/>
    </row>
    <row r="233">
      <c r="A233" s="384"/>
      <c r="B233" s="384"/>
      <c r="C233" s="418"/>
      <c r="D233" s="384"/>
      <c r="E233" s="384"/>
      <c r="F233" s="384"/>
    </row>
    <row r="234">
      <c r="A234" s="384"/>
      <c r="B234" s="384"/>
      <c r="C234" s="418"/>
      <c r="D234" s="384"/>
      <c r="E234" s="384"/>
      <c r="F234" s="384"/>
    </row>
    <row r="235">
      <c r="A235" s="384"/>
      <c r="B235" s="384"/>
      <c r="C235" s="418"/>
      <c r="D235" s="384"/>
      <c r="E235" s="384"/>
      <c r="F235" s="384"/>
    </row>
    <row r="236">
      <c r="A236" s="384"/>
      <c r="B236" s="384"/>
      <c r="C236" s="418"/>
      <c r="D236" s="384"/>
      <c r="E236" s="384"/>
      <c r="F236" s="384"/>
    </row>
    <row r="237">
      <c r="A237" s="384"/>
      <c r="B237" s="384"/>
      <c r="C237" s="418"/>
      <c r="D237" s="384"/>
      <c r="E237" s="384"/>
      <c r="F237" s="384"/>
    </row>
    <row r="238">
      <c r="A238" s="384"/>
      <c r="B238" s="384"/>
      <c r="C238" s="418"/>
      <c r="D238" s="384"/>
      <c r="E238" s="384"/>
      <c r="F238" s="384"/>
    </row>
    <row r="239">
      <c r="A239" s="384"/>
      <c r="B239" s="384"/>
      <c r="C239" s="418"/>
      <c r="D239" s="384"/>
      <c r="E239" s="384"/>
      <c r="F239" s="384"/>
    </row>
    <row r="240">
      <c r="A240" s="384"/>
      <c r="B240" s="384"/>
      <c r="C240" s="418"/>
      <c r="D240" s="384"/>
      <c r="E240" s="384"/>
      <c r="F240" s="384"/>
    </row>
    <row r="241">
      <c r="A241" s="384"/>
      <c r="B241" s="384"/>
      <c r="C241" s="418"/>
      <c r="D241" s="384"/>
      <c r="E241" s="384"/>
      <c r="F241" s="384"/>
    </row>
    <row r="242">
      <c r="A242" s="384"/>
      <c r="B242" s="384"/>
      <c r="C242" s="418"/>
      <c r="D242" s="384"/>
      <c r="E242" s="384"/>
      <c r="F242" s="384"/>
    </row>
    <row r="243">
      <c r="A243" s="384"/>
      <c r="B243" s="384"/>
      <c r="C243" s="418"/>
      <c r="D243" s="384"/>
      <c r="E243" s="384"/>
      <c r="F243" s="384"/>
    </row>
    <row r="244">
      <c r="A244" s="384"/>
      <c r="B244" s="384"/>
      <c r="C244" s="418"/>
      <c r="D244" s="384"/>
      <c r="E244" s="384"/>
      <c r="F244" s="384"/>
    </row>
    <row r="245">
      <c r="A245" s="384"/>
      <c r="B245" s="384"/>
      <c r="C245" s="418"/>
      <c r="D245" s="384"/>
      <c r="E245" s="384"/>
      <c r="F245" s="384"/>
    </row>
    <row r="246">
      <c r="A246" s="384"/>
      <c r="B246" s="384"/>
      <c r="C246" s="418"/>
      <c r="D246" s="384"/>
      <c r="E246" s="384"/>
      <c r="F246" s="384"/>
    </row>
    <row r="247">
      <c r="A247" s="384"/>
      <c r="B247" s="384"/>
      <c r="C247" s="418"/>
      <c r="D247" s="384"/>
      <c r="E247" s="384"/>
      <c r="F247" s="384"/>
    </row>
    <row r="248">
      <c r="A248" s="384"/>
      <c r="B248" s="384"/>
      <c r="C248" s="418"/>
      <c r="D248" s="384"/>
      <c r="E248" s="384"/>
      <c r="F248" s="384"/>
    </row>
    <row r="249">
      <c r="A249" s="384"/>
      <c r="B249" s="384"/>
      <c r="C249" s="418"/>
      <c r="D249" s="384"/>
      <c r="E249" s="384"/>
      <c r="F249" s="384"/>
    </row>
    <row r="250">
      <c r="A250" s="384"/>
      <c r="B250" s="384"/>
      <c r="C250" s="418"/>
      <c r="D250" s="384"/>
      <c r="E250" s="384"/>
      <c r="F250" s="384"/>
    </row>
    <row r="251">
      <c r="A251" s="384"/>
      <c r="B251" s="384"/>
      <c r="C251" s="418"/>
      <c r="D251" s="384"/>
      <c r="E251" s="384"/>
      <c r="F251" s="384"/>
    </row>
    <row r="252">
      <c r="A252" s="384"/>
      <c r="B252" s="384"/>
      <c r="C252" s="418"/>
      <c r="D252" s="384"/>
      <c r="E252" s="384"/>
      <c r="F252" s="384"/>
    </row>
    <row r="253">
      <c r="A253" s="384"/>
      <c r="B253" s="384"/>
      <c r="C253" s="418"/>
      <c r="D253" s="384"/>
      <c r="E253" s="384"/>
      <c r="F253" s="384"/>
    </row>
    <row r="254">
      <c r="A254" s="384"/>
      <c r="B254" s="384"/>
      <c r="C254" s="418"/>
      <c r="D254" s="384"/>
      <c r="E254" s="384"/>
      <c r="F254" s="384"/>
    </row>
    <row r="255">
      <c r="A255" s="384"/>
      <c r="B255" s="384"/>
      <c r="C255" s="418"/>
      <c r="D255" s="384"/>
      <c r="E255" s="384"/>
      <c r="F255" s="384"/>
    </row>
    <row r="256">
      <c r="A256" s="384"/>
      <c r="B256" s="384"/>
      <c r="C256" s="418"/>
      <c r="D256" s="384"/>
      <c r="E256" s="384"/>
      <c r="F256" s="384"/>
    </row>
    <row r="257">
      <c r="A257" s="384"/>
      <c r="B257" s="384"/>
      <c r="C257" s="418"/>
      <c r="D257" s="384"/>
      <c r="E257" s="384"/>
      <c r="F257" s="384"/>
    </row>
    <row r="258">
      <c r="A258" s="384"/>
      <c r="B258" s="384"/>
      <c r="C258" s="418"/>
      <c r="D258" s="384"/>
      <c r="E258" s="384"/>
      <c r="F258" s="384"/>
    </row>
    <row r="259">
      <c r="A259" s="384"/>
      <c r="B259" s="384"/>
      <c r="C259" s="418"/>
      <c r="D259" s="384"/>
      <c r="E259" s="384"/>
      <c r="F259" s="384"/>
    </row>
    <row r="260">
      <c r="A260" s="384"/>
      <c r="B260" s="384"/>
      <c r="C260" s="418"/>
      <c r="D260" s="384"/>
      <c r="E260" s="384"/>
      <c r="F260" s="384"/>
    </row>
    <row r="261">
      <c r="A261" s="384"/>
      <c r="B261" s="384"/>
      <c r="C261" s="418"/>
      <c r="D261" s="384"/>
      <c r="E261" s="384"/>
      <c r="F261" s="384"/>
    </row>
    <row r="262">
      <c r="A262" s="384"/>
      <c r="B262" s="384"/>
      <c r="C262" s="418"/>
      <c r="D262" s="384"/>
      <c r="E262" s="384"/>
      <c r="F262" s="384"/>
    </row>
    <row r="263">
      <c r="A263" s="384"/>
      <c r="B263" s="384"/>
      <c r="C263" s="418"/>
      <c r="D263" s="384"/>
      <c r="E263" s="384"/>
      <c r="F263" s="384"/>
    </row>
    <row r="264">
      <c r="A264" s="384"/>
      <c r="B264" s="384"/>
      <c r="C264" s="418"/>
      <c r="D264" s="384"/>
      <c r="E264" s="384"/>
      <c r="F264" s="384"/>
    </row>
    <row r="265">
      <c r="A265" s="384"/>
      <c r="B265" s="384"/>
      <c r="C265" s="418"/>
      <c r="D265" s="384"/>
      <c r="E265" s="384"/>
      <c r="F265" s="384"/>
    </row>
    <row r="266">
      <c r="A266" s="384"/>
      <c r="B266" s="384"/>
      <c r="C266" s="418"/>
      <c r="D266" s="384"/>
      <c r="E266" s="384"/>
      <c r="F266" s="384"/>
    </row>
    <row r="267">
      <c r="A267" s="384"/>
      <c r="B267" s="384"/>
      <c r="C267" s="418"/>
      <c r="D267" s="384"/>
      <c r="E267" s="384"/>
      <c r="F267" s="384"/>
    </row>
    <row r="268">
      <c r="A268" s="384"/>
      <c r="B268" s="384"/>
      <c r="C268" s="418"/>
      <c r="D268" s="384"/>
      <c r="E268" s="384"/>
      <c r="F268" s="384"/>
    </row>
    <row r="269">
      <c r="A269" s="384"/>
      <c r="B269" s="384"/>
      <c r="C269" s="418"/>
      <c r="D269" s="384"/>
      <c r="E269" s="384"/>
      <c r="F269" s="384"/>
    </row>
    <row r="270">
      <c r="A270" s="384"/>
      <c r="B270" s="384"/>
      <c r="C270" s="418"/>
      <c r="D270" s="384"/>
      <c r="E270" s="384"/>
      <c r="F270" s="384"/>
    </row>
    <row r="271">
      <c r="A271" s="384"/>
      <c r="B271" s="384"/>
      <c r="C271" s="418"/>
      <c r="D271" s="384"/>
      <c r="E271" s="384"/>
      <c r="F271" s="384"/>
    </row>
    <row r="272">
      <c r="A272" s="384"/>
      <c r="B272" s="384"/>
      <c r="C272" s="418"/>
      <c r="D272" s="384"/>
      <c r="E272" s="384"/>
      <c r="F272" s="384"/>
    </row>
    <row r="273">
      <c r="A273" s="384"/>
      <c r="B273" s="384"/>
      <c r="C273" s="418"/>
      <c r="D273" s="384"/>
      <c r="E273" s="384"/>
      <c r="F273" s="384"/>
    </row>
    <row r="274">
      <c r="A274" s="384"/>
      <c r="B274" s="384"/>
      <c r="C274" s="418"/>
      <c r="D274" s="384"/>
      <c r="E274" s="384"/>
      <c r="F274" s="384"/>
    </row>
    <row r="275">
      <c r="A275" s="384"/>
      <c r="B275" s="384"/>
      <c r="C275" s="418"/>
      <c r="D275" s="384"/>
      <c r="E275" s="384"/>
      <c r="F275" s="384"/>
    </row>
    <row r="276">
      <c r="A276" s="384"/>
      <c r="B276" s="384"/>
      <c r="C276" s="418"/>
      <c r="D276" s="384"/>
      <c r="E276" s="384"/>
      <c r="F276" s="384"/>
    </row>
    <row r="277">
      <c r="A277" s="384"/>
      <c r="B277" s="384"/>
      <c r="C277" s="418"/>
      <c r="D277" s="384"/>
      <c r="E277" s="384"/>
      <c r="F277" s="384"/>
    </row>
    <row r="278">
      <c r="A278" s="384"/>
      <c r="B278" s="384"/>
      <c r="C278" s="418"/>
      <c r="D278" s="384"/>
      <c r="E278" s="384"/>
      <c r="F278" s="384"/>
    </row>
    <row r="279">
      <c r="A279" s="384"/>
      <c r="B279" s="384"/>
      <c r="C279" s="418"/>
      <c r="D279" s="384"/>
      <c r="E279" s="384"/>
      <c r="F279" s="384"/>
    </row>
    <row r="280">
      <c r="A280" s="384"/>
      <c r="B280" s="384"/>
      <c r="C280" s="418"/>
      <c r="D280" s="384"/>
      <c r="E280" s="384"/>
      <c r="F280" s="384"/>
    </row>
    <row r="281">
      <c r="A281" s="384"/>
      <c r="B281" s="384"/>
      <c r="C281" s="418"/>
      <c r="D281" s="384"/>
      <c r="E281" s="384"/>
      <c r="F281" s="384"/>
    </row>
    <row r="282">
      <c r="A282" s="384"/>
      <c r="B282" s="384"/>
      <c r="C282" s="418"/>
      <c r="D282" s="384"/>
      <c r="E282" s="384"/>
      <c r="F282" s="384"/>
    </row>
    <row r="283">
      <c r="A283" s="384"/>
      <c r="B283" s="384"/>
      <c r="C283" s="418"/>
      <c r="D283" s="384"/>
      <c r="E283" s="384"/>
      <c r="F283" s="384"/>
    </row>
    <row r="284">
      <c r="A284" s="384"/>
      <c r="B284" s="384"/>
      <c r="C284" s="418"/>
      <c r="D284" s="384"/>
      <c r="E284" s="384"/>
      <c r="F284" s="384"/>
    </row>
    <row r="285">
      <c r="A285" s="384"/>
      <c r="B285" s="384"/>
      <c r="C285" s="418"/>
      <c r="D285" s="384"/>
      <c r="E285" s="384"/>
      <c r="F285" s="384"/>
    </row>
    <row r="286">
      <c r="A286" s="384"/>
      <c r="B286" s="384"/>
      <c r="C286" s="418"/>
      <c r="D286" s="384"/>
      <c r="E286" s="384"/>
      <c r="F286" s="384"/>
    </row>
    <row r="287">
      <c r="A287" s="384"/>
      <c r="B287" s="384"/>
      <c r="C287" s="418"/>
      <c r="D287" s="384"/>
      <c r="E287" s="384"/>
      <c r="F287" s="384"/>
    </row>
    <row r="288">
      <c r="A288" s="384"/>
      <c r="B288" s="384"/>
      <c r="C288" s="418"/>
      <c r="D288" s="384"/>
      <c r="E288" s="384"/>
      <c r="F288" s="384"/>
    </row>
    <row r="289">
      <c r="A289" s="384"/>
      <c r="B289" s="384"/>
      <c r="C289" s="418"/>
      <c r="D289" s="384"/>
      <c r="E289" s="384"/>
      <c r="F289" s="384"/>
    </row>
    <row r="290">
      <c r="A290" s="384"/>
      <c r="B290" s="384"/>
      <c r="C290" s="418"/>
      <c r="D290" s="384"/>
      <c r="E290" s="384"/>
      <c r="F290" s="384"/>
    </row>
    <row r="291">
      <c r="A291" s="384"/>
      <c r="B291" s="384"/>
      <c r="C291" s="418"/>
      <c r="D291" s="384"/>
      <c r="E291" s="384"/>
      <c r="F291" s="384"/>
    </row>
    <row r="292">
      <c r="A292" s="384"/>
      <c r="B292" s="384"/>
      <c r="C292" s="418"/>
      <c r="D292" s="384"/>
      <c r="E292" s="384"/>
      <c r="F292" s="384"/>
    </row>
    <row r="293">
      <c r="A293" s="384"/>
      <c r="B293" s="384"/>
      <c r="C293" s="418"/>
      <c r="D293" s="384"/>
      <c r="E293" s="384"/>
      <c r="F293" s="384"/>
    </row>
    <row r="294">
      <c r="A294" s="384"/>
      <c r="B294" s="384"/>
      <c r="C294" s="418"/>
      <c r="D294" s="384"/>
      <c r="E294" s="384"/>
      <c r="F294" s="384"/>
    </row>
    <row r="295">
      <c r="A295" s="384"/>
      <c r="B295" s="384"/>
      <c r="C295" s="418"/>
      <c r="D295" s="384"/>
      <c r="E295" s="384"/>
      <c r="F295" s="384"/>
    </row>
    <row r="296">
      <c r="A296" s="384"/>
      <c r="B296" s="384"/>
      <c r="C296" s="418"/>
      <c r="D296" s="384"/>
      <c r="E296" s="384"/>
      <c r="F296" s="384"/>
    </row>
    <row r="297">
      <c r="A297" s="384"/>
      <c r="B297" s="384"/>
      <c r="C297" s="418"/>
      <c r="D297" s="384"/>
      <c r="E297" s="384"/>
      <c r="F297" s="384"/>
    </row>
    <row r="298">
      <c r="A298" s="384"/>
      <c r="B298" s="384"/>
      <c r="C298" s="418"/>
      <c r="D298" s="384"/>
      <c r="E298" s="384"/>
      <c r="F298" s="384"/>
    </row>
    <row r="299">
      <c r="A299" s="384"/>
      <c r="B299" s="384"/>
      <c r="C299" s="418"/>
      <c r="D299" s="384"/>
      <c r="E299" s="384"/>
      <c r="F299" s="384"/>
    </row>
    <row r="300">
      <c r="A300" s="384"/>
      <c r="B300" s="384"/>
      <c r="C300" s="418"/>
      <c r="D300" s="384"/>
      <c r="E300" s="384"/>
      <c r="F300" s="384"/>
    </row>
    <row r="301">
      <c r="A301" s="384"/>
      <c r="B301" s="384"/>
      <c r="C301" s="418"/>
      <c r="D301" s="384"/>
      <c r="E301" s="384"/>
      <c r="F301" s="384"/>
    </row>
    <row r="302">
      <c r="A302" s="384"/>
      <c r="B302" s="384"/>
      <c r="C302" s="418"/>
      <c r="D302" s="384"/>
      <c r="E302" s="384"/>
      <c r="F302" s="384"/>
    </row>
    <row r="303">
      <c r="A303" s="384"/>
      <c r="B303" s="384"/>
      <c r="C303" s="418"/>
      <c r="D303" s="384"/>
      <c r="E303" s="384"/>
      <c r="F303" s="384"/>
    </row>
    <row r="304">
      <c r="A304" s="384"/>
      <c r="B304" s="384"/>
      <c r="C304" s="418"/>
      <c r="D304" s="384"/>
      <c r="E304" s="384"/>
      <c r="F304" s="384"/>
    </row>
    <row r="305">
      <c r="A305" s="384"/>
      <c r="B305" s="384"/>
      <c r="C305" s="418"/>
      <c r="D305" s="384"/>
      <c r="E305" s="384"/>
      <c r="F305" s="384"/>
    </row>
    <row r="306">
      <c r="A306" s="384"/>
      <c r="B306" s="384"/>
      <c r="C306" s="418"/>
      <c r="D306" s="384"/>
      <c r="E306" s="384"/>
      <c r="F306" s="384"/>
    </row>
    <row r="307">
      <c r="A307" s="384"/>
      <c r="B307" s="384"/>
      <c r="C307" s="418"/>
      <c r="D307" s="384"/>
      <c r="E307" s="384"/>
      <c r="F307" s="384"/>
    </row>
    <row r="308">
      <c r="A308" s="384"/>
      <c r="B308" s="384"/>
      <c r="C308" s="418"/>
      <c r="D308" s="384"/>
      <c r="E308" s="384"/>
      <c r="F308" s="384"/>
    </row>
    <row r="309">
      <c r="A309" s="384"/>
      <c r="B309" s="384"/>
      <c r="C309" s="418"/>
      <c r="D309" s="384"/>
      <c r="E309" s="384"/>
      <c r="F309" s="384"/>
    </row>
    <row r="310">
      <c r="A310" s="384"/>
      <c r="B310" s="384"/>
      <c r="C310" s="418"/>
      <c r="D310" s="384"/>
      <c r="E310" s="384"/>
      <c r="F310" s="384"/>
    </row>
    <row r="311">
      <c r="A311" s="384"/>
      <c r="B311" s="384"/>
      <c r="C311" s="418"/>
      <c r="D311" s="384"/>
      <c r="E311" s="384"/>
      <c r="F311" s="384"/>
    </row>
    <row r="312">
      <c r="A312" s="384"/>
      <c r="B312" s="384"/>
      <c r="C312" s="418"/>
      <c r="D312" s="384"/>
      <c r="E312" s="384"/>
      <c r="F312" s="384"/>
    </row>
    <row r="313">
      <c r="A313" s="384"/>
      <c r="B313" s="384"/>
      <c r="C313" s="418"/>
      <c r="D313" s="384"/>
      <c r="E313" s="384"/>
      <c r="F313" s="384"/>
    </row>
    <row r="314">
      <c r="A314" s="384"/>
      <c r="B314" s="384"/>
      <c r="C314" s="418"/>
      <c r="D314" s="384"/>
      <c r="E314" s="384"/>
      <c r="F314" s="384"/>
    </row>
    <row r="315">
      <c r="A315" s="384"/>
      <c r="B315" s="384"/>
      <c r="C315" s="418"/>
      <c r="D315" s="384"/>
      <c r="E315" s="384"/>
      <c r="F315" s="384"/>
    </row>
    <row r="316">
      <c r="A316" s="384"/>
      <c r="B316" s="384"/>
      <c r="C316" s="418"/>
      <c r="D316" s="384"/>
      <c r="E316" s="384"/>
      <c r="F316" s="384"/>
    </row>
    <row r="317">
      <c r="A317" s="384"/>
      <c r="B317" s="384"/>
      <c r="C317" s="418"/>
      <c r="D317" s="384"/>
      <c r="E317" s="384"/>
      <c r="F317" s="384"/>
    </row>
    <row r="318">
      <c r="A318" s="384"/>
      <c r="B318" s="384"/>
      <c r="C318" s="418"/>
      <c r="D318" s="384"/>
      <c r="E318" s="384"/>
      <c r="F318" s="384"/>
    </row>
    <row r="319">
      <c r="A319" s="384"/>
      <c r="B319" s="384"/>
      <c r="C319" s="418"/>
      <c r="D319" s="384"/>
      <c r="E319" s="384"/>
      <c r="F319" s="384"/>
    </row>
    <row r="320">
      <c r="A320" s="384"/>
      <c r="B320" s="384"/>
      <c r="C320" s="418"/>
      <c r="D320" s="384"/>
      <c r="E320" s="384"/>
      <c r="F320" s="384"/>
    </row>
    <row r="321">
      <c r="A321" s="384"/>
      <c r="B321" s="384"/>
      <c r="C321" s="418"/>
      <c r="D321" s="384"/>
      <c r="E321" s="384"/>
      <c r="F321" s="384"/>
    </row>
    <row r="322">
      <c r="A322" s="384"/>
      <c r="B322" s="384"/>
      <c r="C322" s="418"/>
      <c r="D322" s="384"/>
      <c r="E322" s="384"/>
      <c r="F322" s="384"/>
    </row>
    <row r="323">
      <c r="A323" s="384"/>
      <c r="B323" s="384"/>
      <c r="C323" s="418"/>
      <c r="D323" s="384"/>
      <c r="E323" s="384"/>
      <c r="F323" s="384"/>
    </row>
    <row r="324">
      <c r="A324" s="384"/>
      <c r="B324" s="384"/>
      <c r="C324" s="418"/>
      <c r="D324" s="384"/>
      <c r="E324" s="384"/>
      <c r="F324" s="384"/>
    </row>
    <row r="325">
      <c r="A325" s="384"/>
      <c r="B325" s="384"/>
      <c r="C325" s="418"/>
      <c r="D325" s="384"/>
      <c r="E325" s="384"/>
      <c r="F325" s="384"/>
    </row>
    <row r="326">
      <c r="A326" s="384"/>
      <c r="B326" s="384"/>
      <c r="C326" s="418"/>
      <c r="D326" s="384"/>
      <c r="E326" s="384"/>
      <c r="F326" s="384"/>
    </row>
    <row r="327">
      <c r="A327" s="384"/>
      <c r="B327" s="384"/>
      <c r="C327" s="418"/>
      <c r="D327" s="384"/>
      <c r="E327" s="384"/>
      <c r="F327" s="384"/>
    </row>
    <row r="328">
      <c r="A328" s="384"/>
      <c r="B328" s="384"/>
      <c r="C328" s="418"/>
      <c r="D328" s="384"/>
      <c r="E328" s="384"/>
      <c r="F328" s="384"/>
    </row>
    <row r="329">
      <c r="A329" s="384"/>
      <c r="B329" s="384"/>
      <c r="C329" s="418"/>
      <c r="D329" s="384"/>
      <c r="E329" s="384"/>
      <c r="F329" s="384"/>
    </row>
    <row r="330">
      <c r="A330" s="384"/>
      <c r="B330" s="384"/>
      <c r="C330" s="418"/>
      <c r="D330" s="384"/>
      <c r="E330" s="384"/>
      <c r="F330" s="384"/>
    </row>
    <row r="331">
      <c r="A331" s="384"/>
      <c r="B331" s="384"/>
      <c r="C331" s="418"/>
      <c r="D331" s="384"/>
      <c r="E331" s="384"/>
      <c r="F331" s="384"/>
    </row>
    <row r="332">
      <c r="A332" s="384"/>
      <c r="B332" s="384"/>
      <c r="C332" s="418"/>
      <c r="D332" s="384"/>
      <c r="E332" s="384"/>
      <c r="F332" s="384"/>
    </row>
    <row r="333">
      <c r="A333" s="384"/>
      <c r="B333" s="384"/>
      <c r="C333" s="418"/>
      <c r="D333" s="384"/>
      <c r="E333" s="384"/>
      <c r="F333" s="384"/>
    </row>
    <row r="334">
      <c r="A334" s="384"/>
      <c r="B334" s="384"/>
      <c r="C334" s="418"/>
      <c r="D334" s="384"/>
      <c r="E334" s="384"/>
      <c r="F334" s="384"/>
    </row>
    <row r="335">
      <c r="A335" s="384"/>
      <c r="B335" s="384"/>
      <c r="C335" s="418"/>
      <c r="D335" s="384"/>
      <c r="E335" s="384"/>
      <c r="F335" s="384"/>
    </row>
    <row r="336">
      <c r="A336" s="384"/>
      <c r="B336" s="384"/>
      <c r="C336" s="418"/>
      <c r="D336" s="384"/>
      <c r="E336" s="384"/>
      <c r="F336" s="384"/>
    </row>
    <row r="337">
      <c r="A337" s="384"/>
      <c r="B337" s="384"/>
      <c r="C337" s="418"/>
      <c r="D337" s="384"/>
      <c r="E337" s="384"/>
      <c r="F337" s="384"/>
    </row>
    <row r="338">
      <c r="A338" s="384"/>
      <c r="B338" s="384"/>
      <c r="C338" s="418"/>
      <c r="D338" s="384"/>
      <c r="E338" s="384"/>
      <c r="F338" s="384"/>
    </row>
    <row r="339">
      <c r="A339" s="384"/>
      <c r="B339" s="384"/>
      <c r="C339" s="418"/>
      <c r="D339" s="384"/>
      <c r="E339" s="384"/>
      <c r="F339" s="384"/>
    </row>
    <row r="340">
      <c r="A340" s="384"/>
      <c r="B340" s="384"/>
      <c r="C340" s="418"/>
      <c r="D340" s="384"/>
      <c r="E340" s="384"/>
      <c r="F340" s="384"/>
    </row>
    <row r="341">
      <c r="A341" s="384"/>
      <c r="B341" s="384"/>
      <c r="C341" s="418"/>
      <c r="D341" s="384"/>
      <c r="E341" s="384"/>
      <c r="F341" s="384"/>
    </row>
    <row r="342">
      <c r="A342" s="384"/>
      <c r="B342" s="384"/>
      <c r="C342" s="418"/>
      <c r="D342" s="384"/>
      <c r="E342" s="384"/>
      <c r="F342" s="384"/>
    </row>
    <row r="343">
      <c r="A343" s="384"/>
      <c r="B343" s="384"/>
      <c r="C343" s="418"/>
      <c r="D343" s="384"/>
      <c r="E343" s="384"/>
      <c r="F343" s="384"/>
    </row>
    <row r="344">
      <c r="A344" s="384"/>
      <c r="B344" s="384"/>
      <c r="C344" s="418"/>
      <c r="D344" s="384"/>
      <c r="E344" s="384"/>
      <c r="F344" s="384"/>
    </row>
    <row r="345">
      <c r="A345" s="384"/>
      <c r="B345" s="384"/>
      <c r="C345" s="418"/>
      <c r="D345" s="384"/>
      <c r="E345" s="384"/>
      <c r="F345" s="384"/>
    </row>
    <row r="346">
      <c r="A346" s="384"/>
      <c r="B346" s="384"/>
      <c r="C346" s="418"/>
      <c r="D346" s="384"/>
      <c r="E346" s="384"/>
      <c r="F346" s="384"/>
    </row>
    <row r="347">
      <c r="A347" s="384"/>
      <c r="B347" s="384"/>
      <c r="C347" s="418"/>
      <c r="D347" s="384"/>
      <c r="E347" s="384"/>
      <c r="F347" s="384"/>
    </row>
    <row r="348">
      <c r="A348" s="384"/>
      <c r="B348" s="384"/>
      <c r="C348" s="418"/>
      <c r="D348" s="384"/>
      <c r="E348" s="384"/>
      <c r="F348" s="384"/>
    </row>
    <row r="349">
      <c r="A349" s="384"/>
      <c r="B349" s="384"/>
      <c r="C349" s="418"/>
      <c r="D349" s="384"/>
      <c r="E349" s="384"/>
      <c r="F349" s="384"/>
    </row>
    <row r="350">
      <c r="A350" s="384"/>
      <c r="B350" s="384"/>
      <c r="C350" s="418"/>
      <c r="D350" s="384"/>
      <c r="E350" s="384"/>
      <c r="F350" s="384"/>
    </row>
    <row r="351">
      <c r="A351" s="384"/>
      <c r="B351" s="384"/>
      <c r="C351" s="418"/>
      <c r="D351" s="384"/>
      <c r="E351" s="384"/>
      <c r="F351" s="384"/>
    </row>
    <row r="352">
      <c r="A352" s="384"/>
      <c r="B352" s="384"/>
      <c r="C352" s="418"/>
      <c r="D352" s="384"/>
      <c r="E352" s="384"/>
      <c r="F352" s="384"/>
    </row>
    <row r="353">
      <c r="A353" s="384"/>
      <c r="B353" s="384"/>
      <c r="C353" s="418"/>
      <c r="D353" s="384"/>
      <c r="E353" s="384"/>
      <c r="F353" s="384"/>
    </row>
    <row r="354">
      <c r="A354" s="384"/>
      <c r="B354" s="384"/>
      <c r="C354" s="418"/>
      <c r="D354" s="384"/>
      <c r="E354" s="384"/>
      <c r="F354" s="384"/>
    </row>
    <row r="355">
      <c r="A355" s="384"/>
      <c r="B355" s="384"/>
      <c r="C355" s="418"/>
      <c r="D355" s="384"/>
      <c r="E355" s="384"/>
      <c r="F355" s="384"/>
    </row>
    <row r="356">
      <c r="A356" s="384"/>
      <c r="B356" s="384"/>
      <c r="C356" s="418"/>
      <c r="D356" s="384"/>
      <c r="E356" s="384"/>
      <c r="F356" s="384"/>
    </row>
    <row r="357">
      <c r="A357" s="384"/>
      <c r="B357" s="384"/>
      <c r="C357" s="418"/>
      <c r="D357" s="384"/>
      <c r="E357" s="384"/>
      <c r="F357" s="384"/>
    </row>
    <row r="358">
      <c r="A358" s="384"/>
      <c r="B358" s="384"/>
      <c r="C358" s="418"/>
      <c r="D358" s="384"/>
      <c r="E358" s="384"/>
      <c r="F358" s="384"/>
    </row>
    <row r="359">
      <c r="A359" s="384"/>
      <c r="B359" s="384"/>
      <c r="C359" s="418"/>
      <c r="D359" s="384"/>
      <c r="E359" s="384"/>
      <c r="F359" s="384"/>
    </row>
    <row r="360">
      <c r="A360" s="384"/>
      <c r="B360" s="384"/>
      <c r="C360" s="418"/>
      <c r="D360" s="384"/>
      <c r="E360" s="384"/>
      <c r="F360" s="384"/>
    </row>
    <row r="361">
      <c r="A361" s="384"/>
      <c r="B361" s="384"/>
      <c r="C361" s="418"/>
      <c r="D361" s="384"/>
      <c r="E361" s="384"/>
      <c r="F361" s="384"/>
    </row>
    <row r="362">
      <c r="A362" s="384"/>
      <c r="B362" s="384"/>
      <c r="C362" s="418"/>
      <c r="D362" s="384"/>
      <c r="E362" s="384"/>
      <c r="F362" s="384"/>
    </row>
    <row r="363">
      <c r="A363" s="384"/>
      <c r="B363" s="384"/>
      <c r="C363" s="418"/>
      <c r="D363" s="384"/>
      <c r="E363" s="384"/>
      <c r="F363" s="384"/>
    </row>
    <row r="364">
      <c r="A364" s="384"/>
      <c r="B364" s="384"/>
      <c r="C364" s="418"/>
      <c r="D364" s="384"/>
      <c r="E364" s="384"/>
      <c r="F364" s="384"/>
    </row>
    <row r="365">
      <c r="A365" s="384"/>
      <c r="B365" s="384"/>
      <c r="C365" s="418"/>
      <c r="D365" s="384"/>
      <c r="E365" s="384"/>
      <c r="F365" s="384"/>
    </row>
    <row r="366">
      <c r="A366" s="384"/>
      <c r="B366" s="384"/>
      <c r="C366" s="418"/>
      <c r="D366" s="384"/>
      <c r="E366" s="384"/>
      <c r="F366" s="384"/>
    </row>
    <row r="367">
      <c r="A367" s="384"/>
      <c r="B367" s="384"/>
      <c r="C367" s="418"/>
      <c r="D367" s="384"/>
      <c r="E367" s="384"/>
      <c r="F367" s="384"/>
    </row>
    <row r="368">
      <c r="A368" s="384"/>
      <c r="B368" s="384"/>
      <c r="C368" s="418"/>
      <c r="D368" s="384"/>
      <c r="E368" s="384"/>
      <c r="F368" s="384"/>
    </row>
    <row r="369">
      <c r="A369" s="384"/>
      <c r="B369" s="384"/>
      <c r="C369" s="418"/>
      <c r="D369" s="384"/>
      <c r="E369" s="384"/>
      <c r="F369" s="384"/>
    </row>
    <row r="370">
      <c r="A370" s="384"/>
      <c r="B370" s="384"/>
      <c r="C370" s="418"/>
      <c r="D370" s="384"/>
      <c r="E370" s="384"/>
      <c r="F370" s="384"/>
    </row>
    <row r="371">
      <c r="A371" s="384"/>
      <c r="B371" s="384"/>
      <c r="C371" s="418"/>
      <c r="D371" s="384"/>
      <c r="E371" s="384"/>
      <c r="F371" s="384"/>
    </row>
    <row r="372">
      <c r="A372" s="384"/>
      <c r="B372" s="384"/>
      <c r="C372" s="418"/>
      <c r="D372" s="384"/>
      <c r="E372" s="384"/>
      <c r="F372" s="384"/>
    </row>
    <row r="373">
      <c r="A373" s="384"/>
      <c r="B373" s="384"/>
      <c r="C373" s="418"/>
      <c r="D373" s="384"/>
      <c r="E373" s="384"/>
      <c r="F373" s="384"/>
    </row>
    <row r="374">
      <c r="A374" s="384"/>
      <c r="B374" s="384"/>
      <c r="C374" s="418"/>
      <c r="D374" s="384"/>
      <c r="E374" s="384"/>
      <c r="F374" s="384"/>
    </row>
    <row r="375">
      <c r="A375" s="384"/>
      <c r="B375" s="384"/>
      <c r="C375" s="418"/>
      <c r="D375" s="384"/>
      <c r="E375" s="384"/>
      <c r="F375" s="384"/>
    </row>
    <row r="376">
      <c r="A376" s="384"/>
      <c r="B376" s="384"/>
      <c r="C376" s="418"/>
      <c r="D376" s="384"/>
      <c r="E376" s="384"/>
      <c r="F376" s="384"/>
    </row>
    <row r="377">
      <c r="A377" s="384"/>
      <c r="B377" s="384"/>
      <c r="C377" s="418"/>
      <c r="D377" s="384"/>
      <c r="E377" s="384"/>
      <c r="F377" s="384"/>
    </row>
    <row r="378">
      <c r="A378" s="384"/>
      <c r="B378" s="384"/>
      <c r="C378" s="418"/>
      <c r="D378" s="384"/>
      <c r="E378" s="384"/>
      <c r="F378" s="384"/>
    </row>
    <row r="379">
      <c r="A379" s="384"/>
      <c r="B379" s="384"/>
      <c r="C379" s="418"/>
      <c r="D379" s="384"/>
      <c r="E379" s="384"/>
      <c r="F379" s="384"/>
    </row>
    <row r="380">
      <c r="A380" s="384"/>
      <c r="B380" s="384"/>
      <c r="C380" s="418"/>
      <c r="D380" s="384"/>
      <c r="E380" s="384"/>
      <c r="F380" s="384"/>
    </row>
    <row r="381">
      <c r="A381" s="384"/>
      <c r="B381" s="384"/>
      <c r="C381" s="418"/>
      <c r="D381" s="384"/>
      <c r="E381" s="384"/>
      <c r="F381" s="384"/>
    </row>
    <row r="382">
      <c r="A382" s="384"/>
      <c r="B382" s="384"/>
      <c r="C382" s="418"/>
      <c r="D382" s="384"/>
      <c r="E382" s="384"/>
      <c r="F382" s="384"/>
    </row>
    <row r="383">
      <c r="A383" s="384"/>
      <c r="B383" s="384"/>
      <c r="C383" s="418"/>
      <c r="D383" s="384"/>
      <c r="E383" s="384"/>
      <c r="F383" s="384"/>
    </row>
    <row r="384">
      <c r="A384" s="384"/>
      <c r="B384" s="384"/>
      <c r="C384" s="418"/>
      <c r="D384" s="384"/>
      <c r="E384" s="384"/>
      <c r="F384" s="384"/>
    </row>
    <row r="385">
      <c r="A385" s="384"/>
      <c r="B385" s="384"/>
      <c r="C385" s="418"/>
      <c r="D385" s="384"/>
      <c r="E385" s="384"/>
      <c r="F385" s="384"/>
    </row>
    <row r="386">
      <c r="A386" s="384"/>
      <c r="B386" s="384"/>
      <c r="C386" s="418"/>
      <c r="D386" s="384"/>
      <c r="E386" s="384"/>
      <c r="F386" s="384"/>
    </row>
    <row r="387">
      <c r="A387" s="384"/>
      <c r="B387" s="384"/>
      <c r="C387" s="418"/>
      <c r="D387" s="384"/>
      <c r="E387" s="384"/>
      <c r="F387" s="384"/>
    </row>
    <row r="388">
      <c r="A388" s="384"/>
      <c r="B388" s="384"/>
      <c r="C388" s="418"/>
      <c r="D388" s="384"/>
      <c r="E388" s="384"/>
      <c r="F388" s="384"/>
    </row>
    <row r="389">
      <c r="A389" s="384"/>
      <c r="B389" s="384"/>
      <c r="C389" s="418"/>
      <c r="D389" s="384"/>
      <c r="E389" s="384"/>
      <c r="F389" s="384"/>
    </row>
    <row r="390">
      <c r="A390" s="384"/>
      <c r="B390" s="384"/>
      <c r="C390" s="418"/>
      <c r="D390" s="384"/>
      <c r="E390" s="384"/>
      <c r="F390" s="384"/>
    </row>
    <row r="391">
      <c r="A391" s="384"/>
      <c r="B391" s="384"/>
      <c r="C391" s="418"/>
      <c r="D391" s="384"/>
      <c r="E391" s="384"/>
      <c r="F391" s="384"/>
    </row>
    <row r="392">
      <c r="A392" s="384"/>
      <c r="B392" s="384"/>
      <c r="C392" s="418"/>
      <c r="D392" s="384"/>
      <c r="E392" s="384"/>
      <c r="F392" s="384"/>
    </row>
    <row r="393">
      <c r="A393" s="384"/>
      <c r="B393" s="384"/>
      <c r="C393" s="418"/>
      <c r="D393" s="384"/>
      <c r="E393" s="384"/>
      <c r="F393" s="384"/>
    </row>
    <row r="394">
      <c r="A394" s="384"/>
      <c r="B394" s="384"/>
      <c r="C394" s="418"/>
      <c r="D394" s="384"/>
      <c r="E394" s="384"/>
      <c r="F394" s="384"/>
    </row>
    <row r="395">
      <c r="A395" s="384"/>
      <c r="B395" s="384"/>
      <c r="C395" s="418"/>
      <c r="D395" s="384"/>
      <c r="E395" s="384"/>
      <c r="F395" s="384"/>
    </row>
    <row r="396">
      <c r="A396" s="384"/>
      <c r="B396" s="384"/>
      <c r="C396" s="418"/>
      <c r="D396" s="384"/>
      <c r="E396" s="384"/>
      <c r="F396" s="384"/>
    </row>
    <row r="397">
      <c r="A397" s="384"/>
      <c r="B397" s="384"/>
      <c r="C397" s="418"/>
      <c r="D397" s="384"/>
      <c r="E397" s="384"/>
      <c r="F397" s="384"/>
    </row>
    <row r="398">
      <c r="A398" s="384"/>
      <c r="B398" s="384"/>
      <c r="C398" s="418"/>
      <c r="D398" s="384"/>
      <c r="E398" s="384"/>
      <c r="F398" s="384"/>
    </row>
    <row r="399">
      <c r="A399" s="384"/>
      <c r="B399" s="384"/>
      <c r="C399" s="418"/>
      <c r="D399" s="384"/>
      <c r="E399" s="384"/>
      <c r="F399" s="384"/>
    </row>
    <row r="400">
      <c r="A400" s="384"/>
      <c r="B400" s="384"/>
      <c r="C400" s="418"/>
      <c r="D400" s="384"/>
      <c r="E400" s="384"/>
      <c r="F400" s="384"/>
    </row>
    <row r="401">
      <c r="A401" s="384"/>
      <c r="B401" s="384"/>
      <c r="C401" s="418"/>
      <c r="D401" s="384"/>
      <c r="E401" s="384"/>
      <c r="F401" s="384"/>
    </row>
    <row r="402">
      <c r="A402" s="384"/>
      <c r="B402" s="384"/>
      <c r="C402" s="418"/>
      <c r="D402" s="384"/>
      <c r="E402" s="384"/>
      <c r="F402" s="384"/>
    </row>
    <row r="403">
      <c r="A403" s="384"/>
      <c r="B403" s="384"/>
      <c r="C403" s="418"/>
      <c r="D403" s="384"/>
      <c r="E403" s="384"/>
      <c r="F403" s="384"/>
    </row>
    <row r="404">
      <c r="A404" s="384"/>
      <c r="B404" s="384"/>
      <c r="C404" s="418"/>
      <c r="D404" s="384"/>
      <c r="E404" s="384"/>
      <c r="F404" s="384"/>
    </row>
    <row r="405">
      <c r="A405" s="384"/>
      <c r="B405" s="384"/>
      <c r="C405" s="418"/>
      <c r="D405" s="384"/>
      <c r="E405" s="384"/>
      <c r="F405" s="384"/>
    </row>
    <row r="406">
      <c r="A406" s="384"/>
      <c r="B406" s="384"/>
      <c r="C406" s="418"/>
      <c r="D406" s="384"/>
      <c r="E406" s="384"/>
      <c r="F406" s="384"/>
    </row>
    <row r="407">
      <c r="A407" s="384"/>
      <c r="B407" s="384"/>
      <c r="C407" s="418"/>
      <c r="D407" s="384"/>
      <c r="E407" s="384"/>
      <c r="F407" s="384"/>
    </row>
    <row r="408">
      <c r="A408" s="384"/>
      <c r="B408" s="384"/>
      <c r="C408" s="418"/>
      <c r="D408" s="384"/>
      <c r="E408" s="384"/>
      <c r="F408" s="384"/>
    </row>
    <row r="409">
      <c r="A409" s="384"/>
      <c r="B409" s="384"/>
      <c r="C409" s="418"/>
      <c r="D409" s="384"/>
      <c r="E409" s="384"/>
      <c r="F409" s="384"/>
    </row>
    <row r="410">
      <c r="A410" s="384"/>
      <c r="B410" s="384"/>
      <c r="C410" s="418"/>
      <c r="D410" s="384"/>
      <c r="E410" s="384"/>
      <c r="F410" s="384"/>
    </row>
    <row r="411">
      <c r="A411" s="384"/>
      <c r="B411" s="384"/>
      <c r="C411" s="418"/>
      <c r="D411" s="384"/>
      <c r="E411" s="384"/>
      <c r="F411" s="384"/>
    </row>
    <row r="412">
      <c r="A412" s="384"/>
      <c r="B412" s="384"/>
      <c r="C412" s="418"/>
      <c r="D412" s="384"/>
      <c r="E412" s="384"/>
      <c r="F412" s="384"/>
    </row>
    <row r="413">
      <c r="A413" s="384"/>
      <c r="B413" s="384"/>
      <c r="C413" s="418"/>
      <c r="D413" s="384"/>
      <c r="E413" s="384"/>
      <c r="F413" s="384"/>
    </row>
    <row r="414">
      <c r="C414" s="93"/>
    </row>
    <row r="415">
      <c r="C415" s="93"/>
    </row>
    <row r="416">
      <c r="C416" s="93"/>
    </row>
    <row r="417">
      <c r="C417" s="93"/>
    </row>
    <row r="418">
      <c r="C418" s="93"/>
    </row>
    <row r="419">
      <c r="C419" s="93"/>
    </row>
    <row r="420">
      <c r="C420" s="93"/>
    </row>
    <row r="421">
      <c r="C421" s="93"/>
    </row>
    <row r="422">
      <c r="C422" s="93"/>
    </row>
    <row r="423">
      <c r="C423" s="93"/>
    </row>
    <row r="424">
      <c r="C424" s="93"/>
    </row>
    <row r="425">
      <c r="C425" s="93"/>
    </row>
    <row r="426">
      <c r="C426" s="93"/>
    </row>
    <row r="427">
      <c r="C427" s="93"/>
    </row>
    <row r="428">
      <c r="C428" s="93"/>
    </row>
    <row r="429">
      <c r="C429" s="93"/>
    </row>
    <row r="430">
      <c r="C430" s="93"/>
    </row>
    <row r="431">
      <c r="C431" s="93"/>
    </row>
    <row r="432">
      <c r="C432" s="93"/>
    </row>
    <row r="433">
      <c r="C433" s="93"/>
    </row>
    <row r="434">
      <c r="C434" s="93"/>
    </row>
    <row r="435">
      <c r="C435" s="93"/>
    </row>
    <row r="436">
      <c r="C436" s="93"/>
    </row>
    <row r="437">
      <c r="C437" s="93"/>
    </row>
    <row r="438">
      <c r="C438" s="93"/>
    </row>
    <row r="439">
      <c r="C439" s="93"/>
    </row>
    <row r="440">
      <c r="C440" s="93"/>
    </row>
    <row r="441">
      <c r="C441" s="93"/>
    </row>
    <row r="442">
      <c r="C442" s="93"/>
    </row>
    <row r="443">
      <c r="C443" s="93"/>
    </row>
    <row r="444">
      <c r="C444" s="93"/>
    </row>
    <row r="445">
      <c r="C445" s="93"/>
    </row>
    <row r="446">
      <c r="C446" s="93"/>
    </row>
    <row r="447">
      <c r="C447" s="93"/>
    </row>
    <row r="448">
      <c r="C448" s="93"/>
    </row>
    <row r="449">
      <c r="C449" s="93"/>
    </row>
    <row r="450">
      <c r="C450" s="93"/>
    </row>
    <row r="451">
      <c r="C451" s="93"/>
    </row>
    <row r="452">
      <c r="C452" s="93"/>
    </row>
    <row r="453">
      <c r="C453" s="93"/>
    </row>
    <row r="454">
      <c r="C454" s="93"/>
    </row>
    <row r="455">
      <c r="C455" s="93"/>
    </row>
    <row r="456">
      <c r="C456" s="93"/>
    </row>
    <row r="457">
      <c r="C457" s="93"/>
    </row>
    <row r="458">
      <c r="C458" s="93"/>
    </row>
    <row r="459">
      <c r="C459" s="93"/>
    </row>
    <row r="460">
      <c r="C460" s="93"/>
    </row>
    <row r="461">
      <c r="C461" s="93"/>
    </row>
    <row r="462">
      <c r="C462" s="93"/>
    </row>
    <row r="463">
      <c r="C463" s="93"/>
    </row>
    <row r="464">
      <c r="C464" s="93"/>
    </row>
    <row r="465">
      <c r="C465" s="93"/>
    </row>
    <row r="466">
      <c r="C466" s="93"/>
    </row>
    <row r="467">
      <c r="C467" s="93"/>
    </row>
    <row r="468">
      <c r="C468" s="93"/>
    </row>
    <row r="469">
      <c r="C469" s="93"/>
    </row>
    <row r="470">
      <c r="C470" s="93"/>
    </row>
    <row r="471">
      <c r="C471" s="93"/>
    </row>
    <row r="472">
      <c r="C472" s="93"/>
    </row>
    <row r="473">
      <c r="C473" s="93"/>
    </row>
    <row r="474">
      <c r="C474" s="93"/>
    </row>
    <row r="475">
      <c r="C475" s="93"/>
    </row>
    <row r="476">
      <c r="C476" s="93"/>
    </row>
    <row r="477">
      <c r="C477" s="93"/>
    </row>
    <row r="478">
      <c r="C478" s="93"/>
    </row>
    <row r="479">
      <c r="C479" s="93"/>
    </row>
    <row r="480">
      <c r="C480" s="93"/>
    </row>
    <row r="481">
      <c r="C481" s="93"/>
    </row>
    <row r="482">
      <c r="C482" s="93"/>
    </row>
    <row r="483">
      <c r="C483" s="93"/>
    </row>
    <row r="484">
      <c r="C484" s="93"/>
    </row>
    <row r="485">
      <c r="C485" s="93"/>
    </row>
    <row r="486">
      <c r="C486" s="93"/>
    </row>
    <row r="487">
      <c r="C487" s="93"/>
    </row>
    <row r="488">
      <c r="C488" s="93"/>
    </row>
    <row r="489">
      <c r="C489" s="93"/>
    </row>
    <row r="490">
      <c r="C490" s="93"/>
    </row>
    <row r="491">
      <c r="C491" s="93"/>
    </row>
    <row r="492">
      <c r="C492" s="93"/>
    </row>
    <row r="493">
      <c r="C493" s="93"/>
    </row>
    <row r="494">
      <c r="C494" s="93"/>
    </row>
    <row r="495">
      <c r="C495" s="93"/>
    </row>
    <row r="496">
      <c r="C496" s="93"/>
    </row>
    <row r="497">
      <c r="C497" s="93"/>
    </row>
    <row r="498">
      <c r="C498" s="93"/>
    </row>
    <row r="499">
      <c r="C499" s="93"/>
    </row>
    <row r="500">
      <c r="C500" s="93"/>
    </row>
    <row r="501">
      <c r="C501" s="93"/>
    </row>
    <row r="502">
      <c r="C502" s="93"/>
    </row>
    <row r="503">
      <c r="C503" s="93"/>
    </row>
    <row r="504">
      <c r="C504" s="93"/>
    </row>
    <row r="505">
      <c r="C505" s="93"/>
    </row>
    <row r="506">
      <c r="C506" s="93"/>
    </row>
    <row r="507">
      <c r="C507" s="93"/>
    </row>
    <row r="508">
      <c r="C508" s="93"/>
    </row>
    <row r="509">
      <c r="C509" s="93"/>
    </row>
    <row r="510">
      <c r="C510" s="93"/>
    </row>
    <row r="511">
      <c r="C511" s="93"/>
    </row>
    <row r="512">
      <c r="C512" s="93"/>
    </row>
    <row r="513">
      <c r="C513" s="93"/>
    </row>
    <row r="514">
      <c r="C514" s="93"/>
    </row>
    <row r="515">
      <c r="C515" s="93"/>
    </row>
    <row r="516">
      <c r="C516" s="93"/>
    </row>
    <row r="517">
      <c r="C517" s="93"/>
    </row>
    <row r="518">
      <c r="C518" s="93"/>
    </row>
    <row r="519">
      <c r="C519" s="93"/>
    </row>
    <row r="520">
      <c r="C520" s="93"/>
    </row>
    <row r="521">
      <c r="C521" s="93"/>
    </row>
    <row r="522">
      <c r="C522" s="93"/>
    </row>
    <row r="523">
      <c r="C523" s="93"/>
    </row>
    <row r="524">
      <c r="C524" s="93"/>
    </row>
    <row r="525">
      <c r="C525" s="93"/>
    </row>
    <row r="526">
      <c r="C526" s="93"/>
    </row>
    <row r="527">
      <c r="C527" s="93"/>
    </row>
    <row r="528">
      <c r="C528" s="93"/>
    </row>
    <row r="529">
      <c r="C529" s="93"/>
    </row>
    <row r="530">
      <c r="C530" s="93"/>
    </row>
    <row r="531">
      <c r="C531" s="93"/>
    </row>
    <row r="532">
      <c r="C532" s="93"/>
    </row>
    <row r="533">
      <c r="C533" s="93"/>
    </row>
    <row r="534">
      <c r="C534" s="93"/>
    </row>
    <row r="535">
      <c r="C535" s="93"/>
    </row>
    <row r="536">
      <c r="C536" s="93"/>
    </row>
    <row r="537">
      <c r="C537" s="93"/>
    </row>
    <row r="538">
      <c r="C538" s="93"/>
    </row>
    <row r="539">
      <c r="C539" s="93"/>
    </row>
    <row r="540">
      <c r="C540" s="93"/>
    </row>
    <row r="541">
      <c r="C541" s="93"/>
    </row>
    <row r="542">
      <c r="C542" s="93"/>
    </row>
    <row r="543">
      <c r="C543" s="93"/>
    </row>
    <row r="544">
      <c r="C544" s="93"/>
    </row>
    <row r="545">
      <c r="C545" s="93"/>
    </row>
    <row r="546">
      <c r="C546" s="93"/>
    </row>
    <row r="547">
      <c r="C547" s="93"/>
    </row>
    <row r="548">
      <c r="C548" s="93"/>
    </row>
    <row r="549">
      <c r="C549" s="93"/>
    </row>
    <row r="550">
      <c r="C550" s="93"/>
    </row>
    <row r="551">
      <c r="C551" s="93"/>
    </row>
    <row r="552">
      <c r="C552" s="93"/>
    </row>
    <row r="553">
      <c r="C553" s="93"/>
    </row>
    <row r="554">
      <c r="C554" s="93"/>
    </row>
    <row r="555">
      <c r="C555" s="93"/>
    </row>
    <row r="556">
      <c r="C556" s="93"/>
    </row>
    <row r="557">
      <c r="C557" s="93"/>
    </row>
    <row r="558">
      <c r="C558" s="93"/>
    </row>
    <row r="559">
      <c r="C559" s="93"/>
    </row>
    <row r="560">
      <c r="C560" s="93"/>
    </row>
    <row r="561">
      <c r="C561" s="93"/>
    </row>
    <row r="562">
      <c r="C562" s="93"/>
    </row>
    <row r="563">
      <c r="C563" s="93"/>
    </row>
    <row r="564">
      <c r="C564" s="93"/>
    </row>
    <row r="565">
      <c r="C565" s="93"/>
    </row>
    <row r="566">
      <c r="C566" s="93"/>
    </row>
    <row r="567">
      <c r="C567" s="93"/>
    </row>
    <row r="568">
      <c r="C568" s="93"/>
    </row>
    <row r="569">
      <c r="C569" s="93"/>
    </row>
    <row r="570">
      <c r="C570" s="93"/>
    </row>
    <row r="571">
      <c r="C571" s="93"/>
    </row>
    <row r="572">
      <c r="C572" s="93"/>
    </row>
    <row r="573">
      <c r="C573" s="93"/>
    </row>
    <row r="574">
      <c r="C574" s="93"/>
    </row>
    <row r="575">
      <c r="C575" s="93"/>
    </row>
    <row r="576">
      <c r="C576" s="93"/>
    </row>
    <row r="577">
      <c r="C577" s="93"/>
    </row>
    <row r="578">
      <c r="C578" s="93"/>
    </row>
    <row r="579">
      <c r="C579" s="93"/>
    </row>
    <row r="580">
      <c r="C580" s="93"/>
    </row>
    <row r="581">
      <c r="C581" s="93"/>
    </row>
    <row r="582">
      <c r="C582" s="93"/>
    </row>
    <row r="583">
      <c r="C583" s="93"/>
    </row>
    <row r="584">
      <c r="C584" s="93"/>
    </row>
    <row r="585">
      <c r="C585" s="93"/>
    </row>
    <row r="586">
      <c r="C586" s="93"/>
    </row>
    <row r="587">
      <c r="C587" s="93"/>
    </row>
    <row r="588">
      <c r="C588" s="93"/>
    </row>
    <row r="589">
      <c r="C589" s="93"/>
    </row>
    <row r="590">
      <c r="C590" s="93"/>
    </row>
    <row r="591">
      <c r="C591" s="93"/>
    </row>
    <row r="592">
      <c r="C592" s="93"/>
    </row>
    <row r="593">
      <c r="C593" s="93"/>
    </row>
    <row r="594">
      <c r="C594" s="93"/>
    </row>
    <row r="595">
      <c r="C595" s="93"/>
    </row>
    <row r="596">
      <c r="C596" s="93"/>
    </row>
    <row r="597">
      <c r="C597" s="93"/>
    </row>
    <row r="598">
      <c r="C598" s="93"/>
    </row>
    <row r="599">
      <c r="C599" s="93"/>
    </row>
    <row r="600">
      <c r="C600" s="93"/>
    </row>
    <row r="601">
      <c r="C601" s="93"/>
    </row>
    <row r="602">
      <c r="C602" s="93"/>
    </row>
    <row r="603">
      <c r="C603" s="93"/>
    </row>
    <row r="604">
      <c r="C604" s="93"/>
    </row>
    <row r="605">
      <c r="C605" s="93"/>
    </row>
    <row r="606">
      <c r="C606" s="93"/>
    </row>
    <row r="607">
      <c r="C607" s="93"/>
    </row>
    <row r="608">
      <c r="C608" s="93"/>
    </row>
    <row r="609">
      <c r="C609" s="93"/>
    </row>
    <row r="610">
      <c r="C610" s="93"/>
    </row>
    <row r="611">
      <c r="C611" s="93"/>
    </row>
    <row r="612">
      <c r="C612" s="93"/>
    </row>
    <row r="613">
      <c r="C613" s="93"/>
    </row>
    <row r="614">
      <c r="C614" s="93"/>
    </row>
    <row r="615">
      <c r="C615" s="93"/>
    </row>
    <row r="616">
      <c r="C616" s="93"/>
    </row>
    <row r="617">
      <c r="C617" s="93"/>
    </row>
    <row r="618">
      <c r="C618" s="93"/>
    </row>
    <row r="619">
      <c r="C619" s="93"/>
    </row>
    <row r="620">
      <c r="C620" s="93"/>
    </row>
    <row r="621">
      <c r="C621" s="93"/>
    </row>
    <row r="622">
      <c r="C622" s="93"/>
    </row>
    <row r="623">
      <c r="C623" s="93"/>
    </row>
    <row r="624">
      <c r="C624" s="93"/>
    </row>
    <row r="625">
      <c r="C625" s="93"/>
    </row>
    <row r="626">
      <c r="C626" s="93"/>
    </row>
    <row r="627">
      <c r="C627" s="93"/>
    </row>
    <row r="628">
      <c r="C628" s="93"/>
    </row>
    <row r="629">
      <c r="C629" s="93"/>
    </row>
    <row r="630">
      <c r="C630" s="93"/>
    </row>
    <row r="631">
      <c r="C631" s="93"/>
    </row>
    <row r="632">
      <c r="C632" s="93"/>
    </row>
    <row r="633">
      <c r="C633" s="93"/>
    </row>
    <row r="634">
      <c r="C634" s="93"/>
    </row>
    <row r="635">
      <c r="C635" s="93"/>
    </row>
    <row r="636">
      <c r="C636" s="93"/>
    </row>
    <row r="637">
      <c r="C637" s="93"/>
    </row>
    <row r="638">
      <c r="C638" s="93"/>
    </row>
    <row r="639">
      <c r="C639" s="93"/>
    </row>
    <row r="640">
      <c r="C640" s="93"/>
    </row>
    <row r="641">
      <c r="C641" s="93"/>
    </row>
    <row r="642">
      <c r="C642" s="93"/>
    </row>
    <row r="643">
      <c r="C643" s="93"/>
    </row>
    <row r="644">
      <c r="C644" s="93"/>
    </row>
    <row r="645">
      <c r="C645" s="93"/>
    </row>
    <row r="646">
      <c r="C646" s="93"/>
    </row>
    <row r="647">
      <c r="C647" s="93"/>
    </row>
    <row r="648">
      <c r="C648" s="93"/>
    </row>
    <row r="649">
      <c r="C649" s="93"/>
    </row>
    <row r="650">
      <c r="C650" s="93"/>
    </row>
    <row r="651">
      <c r="C651" s="93"/>
    </row>
    <row r="652">
      <c r="C652" s="93"/>
    </row>
    <row r="653">
      <c r="C653" s="93"/>
    </row>
    <row r="654">
      <c r="C654" s="93"/>
    </row>
    <row r="655">
      <c r="C655" s="93"/>
    </row>
    <row r="656">
      <c r="C656" s="93"/>
    </row>
    <row r="657">
      <c r="C657" s="93"/>
    </row>
    <row r="658">
      <c r="C658" s="93"/>
    </row>
    <row r="659">
      <c r="C659" s="93"/>
    </row>
    <row r="660">
      <c r="C660" s="93"/>
    </row>
    <row r="661">
      <c r="C661" s="93"/>
    </row>
    <row r="662">
      <c r="C662" s="93"/>
    </row>
    <row r="663">
      <c r="C663" s="93"/>
    </row>
    <row r="664">
      <c r="C664" s="93"/>
    </row>
    <row r="665">
      <c r="C665" s="93"/>
    </row>
    <row r="666">
      <c r="C666" s="93"/>
    </row>
    <row r="667">
      <c r="C667" s="93"/>
    </row>
    <row r="668">
      <c r="C668" s="93"/>
    </row>
    <row r="669">
      <c r="C669" s="93"/>
    </row>
    <row r="670">
      <c r="C670" s="93"/>
    </row>
    <row r="671">
      <c r="C671" s="93"/>
    </row>
    <row r="672">
      <c r="C672" s="93"/>
    </row>
    <row r="673">
      <c r="C673" s="93"/>
    </row>
    <row r="674">
      <c r="C674" s="93"/>
    </row>
    <row r="675">
      <c r="C675" s="93"/>
    </row>
    <row r="676">
      <c r="C676" s="93"/>
    </row>
    <row r="677">
      <c r="C677" s="93"/>
    </row>
    <row r="678">
      <c r="C678" s="93"/>
    </row>
    <row r="679">
      <c r="C679" s="93"/>
    </row>
    <row r="680">
      <c r="C680" s="93"/>
    </row>
    <row r="681">
      <c r="C681" s="93"/>
    </row>
    <row r="682">
      <c r="C682" s="93"/>
    </row>
    <row r="683">
      <c r="C683" s="93"/>
    </row>
    <row r="684">
      <c r="C684" s="93"/>
    </row>
    <row r="685">
      <c r="C685" s="93"/>
    </row>
    <row r="686">
      <c r="C686" s="93"/>
    </row>
    <row r="687">
      <c r="C687" s="93"/>
    </row>
    <row r="688">
      <c r="C688" s="93"/>
    </row>
    <row r="689">
      <c r="C689" s="93"/>
    </row>
    <row r="690">
      <c r="C690" s="93"/>
    </row>
    <row r="691">
      <c r="C691" s="93"/>
    </row>
    <row r="692">
      <c r="C692" s="93"/>
    </row>
    <row r="693">
      <c r="C693" s="93"/>
    </row>
    <row r="694">
      <c r="C694" s="93"/>
    </row>
    <row r="695">
      <c r="C695" s="93"/>
    </row>
    <row r="696">
      <c r="C696" s="93"/>
    </row>
    <row r="697">
      <c r="C697" s="93"/>
    </row>
    <row r="698">
      <c r="C698" s="93"/>
    </row>
    <row r="699">
      <c r="C699" s="93"/>
    </row>
    <row r="700">
      <c r="C700" s="93"/>
    </row>
    <row r="701">
      <c r="C701" s="93"/>
    </row>
    <row r="702">
      <c r="C702" s="93"/>
    </row>
    <row r="703">
      <c r="C703" s="93"/>
    </row>
    <row r="704">
      <c r="C704" s="93"/>
    </row>
    <row r="705">
      <c r="C705" s="93"/>
    </row>
    <row r="706">
      <c r="C706" s="93"/>
    </row>
    <row r="707">
      <c r="C707" s="93"/>
    </row>
    <row r="708">
      <c r="C708" s="93"/>
    </row>
    <row r="709">
      <c r="C709" s="93"/>
    </row>
    <row r="710">
      <c r="C710" s="93"/>
    </row>
    <row r="711">
      <c r="C711" s="93"/>
    </row>
    <row r="712">
      <c r="C712" s="93"/>
    </row>
    <row r="713">
      <c r="C713" s="93"/>
    </row>
    <row r="714">
      <c r="C714" s="93"/>
    </row>
    <row r="715">
      <c r="C715" s="93"/>
    </row>
    <row r="716">
      <c r="C716" s="93"/>
    </row>
    <row r="717">
      <c r="C717" s="93"/>
    </row>
    <row r="718">
      <c r="C718" s="93"/>
    </row>
    <row r="719">
      <c r="C719" s="93"/>
    </row>
    <row r="720">
      <c r="C720" s="93"/>
    </row>
    <row r="721">
      <c r="C721" s="93"/>
    </row>
    <row r="722">
      <c r="C722" s="93"/>
    </row>
    <row r="723">
      <c r="C723" s="93"/>
    </row>
    <row r="724">
      <c r="C724" s="93"/>
    </row>
    <row r="725">
      <c r="C725" s="93"/>
    </row>
    <row r="726">
      <c r="C726" s="93"/>
    </row>
    <row r="727">
      <c r="C727" s="93"/>
    </row>
    <row r="728">
      <c r="C728" s="93"/>
    </row>
    <row r="729">
      <c r="C729" s="93"/>
    </row>
    <row r="730">
      <c r="C730" s="93"/>
    </row>
    <row r="731">
      <c r="C731" s="93"/>
    </row>
    <row r="732">
      <c r="C732" s="93"/>
    </row>
    <row r="733">
      <c r="C733" s="93"/>
    </row>
    <row r="734">
      <c r="C734" s="93"/>
    </row>
    <row r="735">
      <c r="C735" s="93"/>
    </row>
    <row r="736">
      <c r="C736" s="93"/>
    </row>
    <row r="737">
      <c r="C737" s="93"/>
    </row>
    <row r="738">
      <c r="C738" s="93"/>
    </row>
    <row r="739">
      <c r="C739" s="93"/>
    </row>
    <row r="740">
      <c r="C740" s="93"/>
    </row>
    <row r="741">
      <c r="C741" s="93"/>
    </row>
    <row r="742">
      <c r="C742" s="93"/>
    </row>
    <row r="743">
      <c r="C743" s="93"/>
    </row>
    <row r="744">
      <c r="C744" s="93"/>
    </row>
    <row r="745">
      <c r="C745" s="93"/>
    </row>
    <row r="746">
      <c r="C746" s="93"/>
    </row>
    <row r="747">
      <c r="C747" s="93"/>
    </row>
    <row r="748">
      <c r="C748" s="93"/>
    </row>
    <row r="749">
      <c r="C749" s="93"/>
    </row>
    <row r="750">
      <c r="C750" s="93"/>
    </row>
    <row r="751">
      <c r="C751" s="93"/>
    </row>
    <row r="752">
      <c r="C752" s="93"/>
    </row>
    <row r="753">
      <c r="C753" s="93"/>
    </row>
    <row r="754">
      <c r="C754" s="93"/>
    </row>
    <row r="755">
      <c r="C755" s="93"/>
    </row>
    <row r="756">
      <c r="C756" s="93"/>
    </row>
    <row r="757">
      <c r="C757" s="93"/>
    </row>
    <row r="758">
      <c r="C758" s="93"/>
    </row>
    <row r="759">
      <c r="C759" s="93"/>
    </row>
    <row r="760">
      <c r="C760" s="93"/>
    </row>
    <row r="761">
      <c r="C761" s="93"/>
    </row>
    <row r="762">
      <c r="C762" s="93"/>
    </row>
    <row r="763">
      <c r="C763" s="93"/>
    </row>
    <row r="764">
      <c r="C764" s="93"/>
    </row>
    <row r="765">
      <c r="C765" s="93"/>
    </row>
    <row r="766">
      <c r="C766" s="93"/>
    </row>
    <row r="767">
      <c r="C767" s="93"/>
    </row>
    <row r="768">
      <c r="C768" s="93"/>
    </row>
    <row r="769">
      <c r="C769" s="93"/>
    </row>
    <row r="770">
      <c r="C770" s="93"/>
    </row>
    <row r="771">
      <c r="C771" s="93"/>
    </row>
    <row r="772">
      <c r="C772" s="93"/>
    </row>
    <row r="773">
      <c r="C773" s="93"/>
    </row>
    <row r="774">
      <c r="C774" s="93"/>
    </row>
    <row r="775">
      <c r="C775" s="93"/>
    </row>
    <row r="776">
      <c r="C776" s="93"/>
    </row>
    <row r="777">
      <c r="C777" s="93"/>
    </row>
    <row r="778">
      <c r="C778" s="93"/>
    </row>
    <row r="779">
      <c r="C779" s="93"/>
    </row>
    <row r="780">
      <c r="C780" s="93"/>
    </row>
    <row r="781">
      <c r="C781" s="93"/>
    </row>
    <row r="782">
      <c r="C782" s="93"/>
    </row>
    <row r="783">
      <c r="C783" s="93"/>
    </row>
    <row r="784">
      <c r="C784" s="93"/>
    </row>
    <row r="785">
      <c r="C785" s="93"/>
    </row>
    <row r="786">
      <c r="C786" s="93"/>
    </row>
    <row r="787">
      <c r="C787" s="93"/>
    </row>
    <row r="788">
      <c r="C788" s="93"/>
    </row>
    <row r="789">
      <c r="C789" s="93"/>
    </row>
    <row r="790">
      <c r="C790" s="93"/>
    </row>
    <row r="791">
      <c r="C791" s="93"/>
    </row>
    <row r="792">
      <c r="C792" s="93"/>
    </row>
    <row r="793">
      <c r="C793" s="93"/>
    </row>
    <row r="794">
      <c r="C794" s="93"/>
    </row>
    <row r="795">
      <c r="C795" s="93"/>
    </row>
    <row r="796">
      <c r="C796" s="93"/>
    </row>
    <row r="797">
      <c r="C797" s="93"/>
    </row>
    <row r="798">
      <c r="C798" s="93"/>
    </row>
    <row r="799">
      <c r="C799" s="93"/>
    </row>
    <row r="800">
      <c r="C800" s="93"/>
    </row>
    <row r="801">
      <c r="C801" s="93"/>
    </row>
    <row r="802">
      <c r="C802" s="93"/>
    </row>
    <row r="803">
      <c r="C803" s="93"/>
    </row>
    <row r="804">
      <c r="C804" s="93"/>
    </row>
    <row r="805">
      <c r="C805" s="93"/>
    </row>
    <row r="806">
      <c r="C806" s="93"/>
    </row>
    <row r="807">
      <c r="C807" s="93"/>
    </row>
    <row r="808">
      <c r="C808" s="93"/>
    </row>
    <row r="809">
      <c r="C809" s="93"/>
    </row>
    <row r="810">
      <c r="C810" s="93"/>
    </row>
    <row r="811">
      <c r="C811" s="93"/>
    </row>
    <row r="812">
      <c r="C812" s="93"/>
    </row>
    <row r="813">
      <c r="C813" s="93"/>
    </row>
    <row r="814">
      <c r="C814" s="93"/>
    </row>
    <row r="815">
      <c r="C815" s="93"/>
    </row>
    <row r="816">
      <c r="C816" s="93"/>
    </row>
    <row r="817">
      <c r="C817" s="93"/>
    </row>
    <row r="818">
      <c r="C818" s="93"/>
    </row>
    <row r="819">
      <c r="C819" s="93"/>
    </row>
    <row r="820">
      <c r="C820" s="93"/>
    </row>
    <row r="821">
      <c r="C821" s="93"/>
    </row>
    <row r="822">
      <c r="C822" s="93"/>
    </row>
    <row r="823">
      <c r="C823" s="93"/>
    </row>
    <row r="824">
      <c r="C824" s="93"/>
    </row>
    <row r="825">
      <c r="C825" s="93"/>
    </row>
    <row r="826">
      <c r="C826" s="93"/>
    </row>
    <row r="827">
      <c r="C827" s="93"/>
    </row>
    <row r="828">
      <c r="C828" s="93"/>
    </row>
    <row r="829">
      <c r="C829" s="93"/>
    </row>
    <row r="830">
      <c r="C830" s="93"/>
    </row>
    <row r="831">
      <c r="C831" s="93"/>
    </row>
    <row r="832">
      <c r="C832" s="93"/>
    </row>
    <row r="833">
      <c r="C833" s="93"/>
    </row>
    <row r="834">
      <c r="C834" s="93"/>
    </row>
    <row r="835">
      <c r="C835" s="93"/>
    </row>
    <row r="836">
      <c r="C836" s="93"/>
    </row>
    <row r="837">
      <c r="C837" s="93"/>
    </row>
    <row r="838">
      <c r="C838" s="93"/>
    </row>
    <row r="839">
      <c r="C839" s="93"/>
    </row>
    <row r="840">
      <c r="C840" s="93"/>
    </row>
    <row r="841">
      <c r="C841" s="93"/>
    </row>
    <row r="842">
      <c r="C842" s="93"/>
    </row>
    <row r="843">
      <c r="C843" s="93"/>
    </row>
    <row r="844">
      <c r="C844" s="93"/>
    </row>
    <row r="845">
      <c r="C845" s="93"/>
    </row>
    <row r="846">
      <c r="C846" s="93"/>
    </row>
    <row r="847">
      <c r="C847" s="93"/>
    </row>
    <row r="848">
      <c r="C848" s="93"/>
    </row>
    <row r="849">
      <c r="C849" s="93"/>
    </row>
    <row r="850">
      <c r="C850" s="93"/>
    </row>
    <row r="851">
      <c r="C851" s="93"/>
    </row>
    <row r="852">
      <c r="C852" s="93"/>
    </row>
    <row r="853">
      <c r="C853" s="93"/>
    </row>
    <row r="854">
      <c r="C854" s="93"/>
    </row>
    <row r="855">
      <c r="C855" s="93"/>
    </row>
    <row r="856">
      <c r="C856" s="93"/>
    </row>
    <row r="857">
      <c r="C857" s="93"/>
    </row>
    <row r="858">
      <c r="C858" s="93"/>
    </row>
    <row r="859">
      <c r="C859" s="93"/>
    </row>
    <row r="860">
      <c r="C860" s="93"/>
    </row>
    <row r="861">
      <c r="C861" s="93"/>
    </row>
    <row r="862">
      <c r="C862" s="93"/>
    </row>
    <row r="863">
      <c r="C863" s="93"/>
    </row>
    <row r="864">
      <c r="C864" s="93"/>
    </row>
    <row r="865">
      <c r="C865" s="93"/>
    </row>
    <row r="866">
      <c r="C866" s="93"/>
    </row>
    <row r="867">
      <c r="C867" s="93"/>
    </row>
    <row r="868">
      <c r="C868" s="93"/>
    </row>
    <row r="869">
      <c r="C869" s="93"/>
    </row>
    <row r="870">
      <c r="C870" s="93"/>
    </row>
    <row r="871">
      <c r="C871" s="93"/>
    </row>
    <row r="872">
      <c r="C872" s="93"/>
    </row>
    <row r="873">
      <c r="C873" s="93"/>
    </row>
    <row r="874">
      <c r="C874" s="93"/>
    </row>
    <row r="875">
      <c r="C875" s="93"/>
    </row>
    <row r="876">
      <c r="C876" s="93"/>
    </row>
    <row r="877">
      <c r="C877" s="93"/>
    </row>
    <row r="878">
      <c r="C878" s="93"/>
    </row>
    <row r="879">
      <c r="C879" s="93"/>
    </row>
    <row r="880">
      <c r="C880" s="93"/>
    </row>
    <row r="881">
      <c r="C881" s="93"/>
    </row>
    <row r="882">
      <c r="C882" s="93"/>
    </row>
    <row r="883">
      <c r="C883" s="93"/>
    </row>
    <row r="884">
      <c r="C884" s="93"/>
    </row>
    <row r="885">
      <c r="C885" s="93"/>
    </row>
    <row r="886">
      <c r="C886" s="93"/>
    </row>
    <row r="887">
      <c r="C887" s="93"/>
    </row>
    <row r="888">
      <c r="C888" s="93"/>
    </row>
    <row r="889">
      <c r="C889" s="93"/>
    </row>
    <row r="890">
      <c r="C890" s="93"/>
    </row>
    <row r="891">
      <c r="C891" s="93"/>
    </row>
    <row r="892">
      <c r="C892" s="93"/>
    </row>
    <row r="893">
      <c r="C893" s="93"/>
    </row>
    <row r="894">
      <c r="C894" s="93"/>
    </row>
    <row r="895">
      <c r="C895" s="93"/>
    </row>
    <row r="896">
      <c r="C896" s="93"/>
    </row>
    <row r="897">
      <c r="C897" s="93"/>
    </row>
    <row r="898">
      <c r="C898" s="93"/>
    </row>
    <row r="899">
      <c r="C899" s="93"/>
    </row>
    <row r="900">
      <c r="C900" s="93"/>
    </row>
    <row r="901">
      <c r="C901" s="93"/>
    </row>
    <row r="902">
      <c r="C902" s="93"/>
    </row>
    <row r="903">
      <c r="C903" s="93"/>
    </row>
    <row r="904">
      <c r="C904" s="93"/>
    </row>
    <row r="905">
      <c r="C905" s="93"/>
    </row>
    <row r="906">
      <c r="C906" s="93"/>
    </row>
    <row r="907">
      <c r="C907" s="93"/>
    </row>
    <row r="908">
      <c r="C908" s="93"/>
    </row>
    <row r="909">
      <c r="C909" s="93"/>
    </row>
    <row r="910">
      <c r="C910" s="93"/>
    </row>
    <row r="911">
      <c r="C911" s="93"/>
    </row>
    <row r="912">
      <c r="C912" s="93"/>
    </row>
    <row r="913">
      <c r="C913" s="93"/>
    </row>
    <row r="914">
      <c r="C914" s="93"/>
    </row>
    <row r="915">
      <c r="C915" s="93"/>
    </row>
    <row r="916">
      <c r="C916" s="93"/>
    </row>
    <row r="917">
      <c r="C917" s="93"/>
    </row>
    <row r="918">
      <c r="C918" s="93"/>
    </row>
    <row r="919">
      <c r="C919" s="93"/>
    </row>
    <row r="920">
      <c r="C920" s="93"/>
    </row>
    <row r="921">
      <c r="C921" s="93"/>
    </row>
    <row r="922">
      <c r="C922" s="93"/>
    </row>
    <row r="923">
      <c r="C923" s="93"/>
    </row>
    <row r="924">
      <c r="C924" s="93"/>
    </row>
    <row r="925">
      <c r="C925" s="93"/>
    </row>
    <row r="926">
      <c r="C926" s="93"/>
    </row>
    <row r="927">
      <c r="C927" s="93"/>
    </row>
    <row r="928">
      <c r="C928" s="93"/>
    </row>
    <row r="929">
      <c r="C929" s="93"/>
    </row>
    <row r="930">
      <c r="C930" s="93"/>
    </row>
    <row r="931">
      <c r="C931" s="93"/>
    </row>
    <row r="932">
      <c r="C932" s="93"/>
    </row>
    <row r="933">
      <c r="C933" s="93"/>
    </row>
    <row r="934">
      <c r="C934" s="93"/>
    </row>
    <row r="935">
      <c r="C935" s="93"/>
    </row>
    <row r="936">
      <c r="C936" s="93"/>
    </row>
    <row r="937">
      <c r="C937" s="93"/>
    </row>
    <row r="938">
      <c r="C938" s="93"/>
    </row>
    <row r="939">
      <c r="C939" s="93"/>
    </row>
    <row r="940">
      <c r="C940" s="93"/>
    </row>
    <row r="941">
      <c r="C941" s="93"/>
    </row>
    <row r="942">
      <c r="C942" s="93"/>
    </row>
    <row r="943">
      <c r="C943" s="93"/>
    </row>
    <row r="944">
      <c r="C944" s="93"/>
    </row>
    <row r="945">
      <c r="C945" s="93"/>
    </row>
    <row r="946">
      <c r="C946" s="93"/>
    </row>
    <row r="947">
      <c r="C947" s="93"/>
    </row>
    <row r="948">
      <c r="C948" s="93"/>
    </row>
    <row r="949">
      <c r="C949" s="93"/>
    </row>
    <row r="950">
      <c r="C950" s="93"/>
    </row>
    <row r="951">
      <c r="C951" s="93"/>
    </row>
    <row r="952">
      <c r="C952" s="93"/>
    </row>
    <row r="953">
      <c r="C953" s="93"/>
    </row>
    <row r="954">
      <c r="C954" s="93"/>
    </row>
    <row r="955">
      <c r="C955" s="93"/>
    </row>
    <row r="956">
      <c r="C956" s="93"/>
    </row>
    <row r="957">
      <c r="C957" s="93"/>
    </row>
    <row r="958">
      <c r="C958" s="93"/>
    </row>
    <row r="959">
      <c r="C959" s="93"/>
    </row>
    <row r="960">
      <c r="C960" s="93"/>
    </row>
    <row r="961">
      <c r="C961" s="93"/>
    </row>
    <row r="962">
      <c r="C962" s="93"/>
    </row>
    <row r="963">
      <c r="C963" s="93"/>
    </row>
    <row r="964">
      <c r="C964" s="93"/>
    </row>
    <row r="965">
      <c r="C965" s="93"/>
    </row>
    <row r="966">
      <c r="C966" s="93"/>
    </row>
    <row r="967">
      <c r="C967" s="93"/>
    </row>
    <row r="968">
      <c r="C968" s="93"/>
    </row>
    <row r="969">
      <c r="C969" s="93"/>
    </row>
    <row r="970">
      <c r="C970" s="93"/>
    </row>
    <row r="971">
      <c r="C971" s="93"/>
    </row>
    <row r="972">
      <c r="C972" s="93"/>
    </row>
    <row r="973">
      <c r="C973" s="93"/>
    </row>
    <row r="974">
      <c r="C974" s="93"/>
    </row>
    <row r="975">
      <c r="C975" s="93"/>
    </row>
    <row r="976">
      <c r="C976" s="93"/>
    </row>
    <row r="977">
      <c r="C977" s="93"/>
    </row>
    <row r="978">
      <c r="C978" s="93"/>
    </row>
    <row r="979">
      <c r="C979" s="93"/>
    </row>
    <row r="980">
      <c r="C980" s="93"/>
    </row>
    <row r="981">
      <c r="C981" s="93"/>
    </row>
    <row r="982">
      <c r="C982" s="93"/>
    </row>
    <row r="983">
      <c r="C983" s="93"/>
    </row>
    <row r="984">
      <c r="C984" s="93"/>
    </row>
    <row r="985">
      <c r="C985" s="93"/>
    </row>
    <row r="986">
      <c r="C986" s="93"/>
    </row>
    <row r="987">
      <c r="C987" s="93"/>
    </row>
    <row r="988">
      <c r="C988" s="93"/>
    </row>
    <row r="989">
      <c r="C989" s="93"/>
    </row>
    <row r="990">
      <c r="C990" s="93"/>
    </row>
    <row r="991">
      <c r="C991" s="93"/>
    </row>
    <row r="992">
      <c r="C992" s="93"/>
    </row>
    <row r="993">
      <c r="C993" s="93"/>
    </row>
    <row r="994">
      <c r="C994" s="93"/>
    </row>
    <row r="995">
      <c r="C995" s="93"/>
    </row>
    <row r="996">
      <c r="C996" s="93"/>
    </row>
    <row r="997">
      <c r="C997" s="93"/>
    </row>
    <row r="998">
      <c r="C998" s="93"/>
    </row>
    <row r="999">
      <c r="C999" s="93"/>
    </row>
    <row r="1000">
      <c r="C1000" s="93"/>
    </row>
  </sheetData>
  <dataValidations>
    <dataValidation type="list" allowBlank="1" showErrorMessage="1" sqref="F2:F413">
      <formula1>"Em Andamento,Entregue"</formula1>
    </dataValidation>
    <dataValidation type="list" allowBlank="1" showErrorMessage="1" sqref="E2:E71">
      <formula1>"ok,Não Localizado,Verificando"</formula1>
    </dataValidation>
    <dataValidation type="list" allowBlank="1" showErrorMessage="1" sqref="D2:D71">
      <formula1>"OK,Faltando,Verificar"</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47.0"/>
    <col customWidth="1" min="2" max="2" width="36.0"/>
    <col customWidth="1" min="3" max="3" width="33.0"/>
    <col customWidth="1" min="4" max="4" width="27.25"/>
    <col customWidth="1" min="5" max="5" width="106.13"/>
    <col customWidth="1" min="6" max="6" width="119.88"/>
    <col customWidth="1" min="7" max="7" width="81.0"/>
    <col customWidth="1" min="8" max="8" width="60.0"/>
    <col customWidth="1" min="9" max="9" width="59.13"/>
    <col customWidth="1" min="10" max="10" width="45.5"/>
    <col customWidth="1" min="11" max="11" width="67.25"/>
  </cols>
  <sheetData>
    <row r="1" ht="18.0" customHeight="1">
      <c r="A1" s="1" t="s">
        <v>0</v>
      </c>
      <c r="B1" s="1" t="s">
        <v>2</v>
      </c>
      <c r="C1" s="1" t="s">
        <v>1</v>
      </c>
      <c r="D1" s="1" t="s">
        <v>3</v>
      </c>
      <c r="E1" s="40" t="s">
        <v>4</v>
      </c>
      <c r="F1" s="41" t="s">
        <v>568</v>
      </c>
      <c r="G1" s="1" t="s">
        <v>569</v>
      </c>
      <c r="H1" s="1" t="s">
        <v>7</v>
      </c>
      <c r="I1" s="1" t="s">
        <v>570</v>
      </c>
      <c r="J1" s="1" t="s">
        <v>571</v>
      </c>
      <c r="K1" s="1" t="s">
        <v>572</v>
      </c>
      <c r="L1" s="42"/>
    </row>
    <row r="2" ht="18.0" customHeight="1">
      <c r="A2" s="43" t="s">
        <v>11</v>
      </c>
      <c r="B2" s="44" t="s">
        <v>573</v>
      </c>
      <c r="C2" s="45" t="s">
        <v>574</v>
      </c>
      <c r="D2" s="46">
        <v>44946.0</v>
      </c>
      <c r="E2" s="47" t="s">
        <v>575</v>
      </c>
      <c r="F2" s="48" t="s">
        <v>576</v>
      </c>
      <c r="G2" s="49" t="s">
        <v>577</v>
      </c>
      <c r="H2" s="44" t="s">
        <v>578</v>
      </c>
      <c r="I2" s="44" t="s">
        <v>579</v>
      </c>
      <c r="J2" s="50"/>
      <c r="K2" s="51" t="s">
        <v>46</v>
      </c>
      <c r="L2" s="50"/>
    </row>
    <row r="3" ht="18.0" customHeight="1">
      <c r="A3" s="43" t="s">
        <v>580</v>
      </c>
      <c r="B3" s="43" t="s">
        <v>581</v>
      </c>
      <c r="C3" s="45" t="s">
        <v>582</v>
      </c>
      <c r="D3" s="46">
        <v>45313.0</v>
      </c>
      <c r="E3" s="47" t="s">
        <v>583</v>
      </c>
      <c r="F3" s="44" t="s">
        <v>584</v>
      </c>
      <c r="G3" s="49" t="s">
        <v>577</v>
      </c>
      <c r="H3" s="44" t="s">
        <v>585</v>
      </c>
      <c r="I3" s="44" t="s">
        <v>579</v>
      </c>
      <c r="J3" s="50"/>
      <c r="K3" s="52"/>
      <c r="L3" s="50"/>
    </row>
    <row r="4" ht="18.0" customHeight="1">
      <c r="A4" s="43" t="s">
        <v>580</v>
      </c>
      <c r="B4" s="43" t="s">
        <v>581</v>
      </c>
      <c r="C4" s="45" t="s">
        <v>582</v>
      </c>
      <c r="D4" s="46">
        <v>45313.0</v>
      </c>
      <c r="E4" s="47" t="s">
        <v>586</v>
      </c>
      <c r="F4" s="44" t="s">
        <v>584</v>
      </c>
      <c r="G4" s="49" t="s">
        <v>577</v>
      </c>
      <c r="H4" s="44" t="s">
        <v>585</v>
      </c>
      <c r="I4" s="44" t="s">
        <v>579</v>
      </c>
      <c r="J4" s="50"/>
      <c r="K4" s="52"/>
      <c r="L4" s="50"/>
    </row>
    <row r="5" ht="18.0" customHeight="1">
      <c r="A5" s="43" t="s">
        <v>580</v>
      </c>
      <c r="B5" s="43" t="s">
        <v>581</v>
      </c>
      <c r="C5" s="45" t="s">
        <v>582</v>
      </c>
      <c r="D5" s="46">
        <v>45313.0</v>
      </c>
      <c r="E5" s="47" t="s">
        <v>587</v>
      </c>
      <c r="F5" s="44" t="s">
        <v>584</v>
      </c>
      <c r="G5" s="49" t="s">
        <v>577</v>
      </c>
      <c r="H5" s="44" t="s">
        <v>585</v>
      </c>
      <c r="I5" s="44" t="s">
        <v>579</v>
      </c>
      <c r="J5" s="50"/>
      <c r="K5" s="52"/>
      <c r="L5" s="50"/>
    </row>
    <row r="6" ht="18.0" customHeight="1">
      <c r="A6" s="43" t="s">
        <v>580</v>
      </c>
      <c r="B6" s="43" t="s">
        <v>581</v>
      </c>
      <c r="C6" s="45" t="s">
        <v>582</v>
      </c>
      <c r="D6" s="46">
        <v>45313.0</v>
      </c>
      <c r="E6" s="47" t="s">
        <v>588</v>
      </c>
      <c r="F6" s="44" t="s">
        <v>584</v>
      </c>
      <c r="G6" s="49" t="s">
        <v>577</v>
      </c>
      <c r="H6" s="44" t="s">
        <v>585</v>
      </c>
      <c r="I6" s="44" t="s">
        <v>579</v>
      </c>
      <c r="J6" s="50"/>
      <c r="K6" s="52"/>
      <c r="L6" s="50"/>
    </row>
    <row r="7" ht="18.0" customHeight="1">
      <c r="A7" s="43" t="s">
        <v>580</v>
      </c>
      <c r="B7" s="43" t="s">
        <v>581</v>
      </c>
      <c r="C7" s="45" t="s">
        <v>582</v>
      </c>
      <c r="D7" s="46">
        <v>45313.0</v>
      </c>
      <c r="E7" s="47" t="s">
        <v>589</v>
      </c>
      <c r="F7" s="44" t="s">
        <v>584</v>
      </c>
      <c r="G7" s="49" t="s">
        <v>577</v>
      </c>
      <c r="H7" s="44" t="s">
        <v>590</v>
      </c>
      <c r="I7" s="44" t="s">
        <v>579</v>
      </c>
      <c r="J7" s="50"/>
      <c r="K7" s="52"/>
      <c r="L7" s="50"/>
    </row>
    <row r="8" ht="18.0" customHeight="1">
      <c r="A8" s="43" t="s">
        <v>580</v>
      </c>
      <c r="B8" s="43" t="s">
        <v>581</v>
      </c>
      <c r="C8" s="45" t="s">
        <v>582</v>
      </c>
      <c r="D8" s="46">
        <v>45313.0</v>
      </c>
      <c r="E8" s="47" t="s">
        <v>591</v>
      </c>
      <c r="F8" s="44" t="s">
        <v>584</v>
      </c>
      <c r="G8" s="49" t="s">
        <v>577</v>
      </c>
      <c r="H8" s="44" t="s">
        <v>590</v>
      </c>
      <c r="I8" s="44" t="s">
        <v>579</v>
      </c>
      <c r="J8" s="50"/>
      <c r="K8" s="43"/>
      <c r="L8" s="50"/>
    </row>
    <row r="9" ht="18.0" customHeight="1">
      <c r="A9" s="43" t="s">
        <v>592</v>
      </c>
      <c r="B9" s="43" t="s">
        <v>581</v>
      </c>
      <c r="C9" s="45" t="s">
        <v>582</v>
      </c>
      <c r="D9" s="46">
        <v>45313.0</v>
      </c>
      <c r="E9" s="47" t="s">
        <v>593</v>
      </c>
      <c r="F9" s="43" t="s">
        <v>594</v>
      </c>
      <c r="G9" s="49" t="s">
        <v>577</v>
      </c>
      <c r="H9" s="44" t="s">
        <v>590</v>
      </c>
      <c r="I9" s="44" t="s">
        <v>579</v>
      </c>
      <c r="J9" s="50"/>
      <c r="K9" s="52"/>
      <c r="L9" s="50"/>
    </row>
    <row r="10" ht="18.0" customHeight="1">
      <c r="A10" s="43" t="s">
        <v>595</v>
      </c>
      <c r="B10" s="43" t="s">
        <v>596</v>
      </c>
      <c r="C10" s="45" t="s">
        <v>597</v>
      </c>
      <c r="D10" s="46">
        <v>45313.0</v>
      </c>
      <c r="E10" s="47" t="s">
        <v>357</v>
      </c>
      <c r="F10" s="43" t="s">
        <v>598</v>
      </c>
      <c r="G10" s="49" t="s">
        <v>577</v>
      </c>
      <c r="H10" s="44" t="s">
        <v>578</v>
      </c>
      <c r="I10" s="44" t="s">
        <v>18</v>
      </c>
      <c r="J10" s="50"/>
      <c r="K10" s="43" t="s">
        <v>599</v>
      </c>
      <c r="L10" s="50"/>
    </row>
    <row r="11" ht="18.0" customHeight="1">
      <c r="A11" s="43" t="s">
        <v>27</v>
      </c>
      <c r="B11" s="44" t="s">
        <v>307</v>
      </c>
      <c r="C11" s="45" t="s">
        <v>306</v>
      </c>
      <c r="D11" s="46">
        <v>45313.0</v>
      </c>
      <c r="E11" s="47" t="s">
        <v>188</v>
      </c>
      <c r="F11" s="43" t="s">
        <v>600</v>
      </c>
      <c r="G11" s="49" t="s">
        <v>577</v>
      </c>
      <c r="H11" s="44" t="s">
        <v>578</v>
      </c>
      <c r="I11" s="53" t="s">
        <v>601</v>
      </c>
      <c r="J11" s="50"/>
      <c r="K11" s="52"/>
      <c r="L11" s="50"/>
    </row>
    <row r="12" ht="18.0" customHeight="1">
      <c r="A12" s="43" t="s">
        <v>580</v>
      </c>
      <c r="B12" s="43" t="s">
        <v>602</v>
      </c>
      <c r="C12" s="45" t="s">
        <v>603</v>
      </c>
      <c r="D12" s="46">
        <v>45313.0</v>
      </c>
      <c r="E12" s="47" t="s">
        <v>604</v>
      </c>
      <c r="F12" s="52"/>
      <c r="G12" s="54"/>
      <c r="H12" s="50"/>
      <c r="I12" s="53" t="s">
        <v>601</v>
      </c>
      <c r="J12" s="50"/>
      <c r="K12" s="52"/>
      <c r="L12" s="50"/>
    </row>
    <row r="13" ht="18.0" customHeight="1">
      <c r="A13" s="43" t="s">
        <v>11</v>
      </c>
      <c r="B13" s="44" t="s">
        <v>605</v>
      </c>
      <c r="C13" s="45" t="s">
        <v>606</v>
      </c>
      <c r="D13" s="46">
        <v>45314.0</v>
      </c>
      <c r="E13" s="55" t="s">
        <v>357</v>
      </c>
      <c r="F13" s="52"/>
      <c r="G13" s="54"/>
      <c r="H13" s="50"/>
      <c r="I13" s="56"/>
      <c r="J13" s="50"/>
      <c r="K13" s="52"/>
      <c r="L13" s="50"/>
    </row>
    <row r="14" ht="18.0" customHeight="1">
      <c r="A14" s="43" t="s">
        <v>580</v>
      </c>
      <c r="B14" s="43" t="s">
        <v>607</v>
      </c>
      <c r="C14" s="45" t="s">
        <v>608</v>
      </c>
      <c r="D14" s="46">
        <v>45314.0</v>
      </c>
      <c r="E14" s="47" t="s">
        <v>609</v>
      </c>
      <c r="F14" s="43" t="s">
        <v>610</v>
      </c>
      <c r="G14" s="57" t="s">
        <v>611</v>
      </c>
      <c r="H14" s="44" t="s">
        <v>40</v>
      </c>
      <c r="I14" s="53" t="s">
        <v>612</v>
      </c>
      <c r="J14" s="50"/>
      <c r="K14" s="52"/>
      <c r="L14" s="50"/>
    </row>
    <row r="15" ht="18.0" customHeight="1">
      <c r="A15" s="43" t="s">
        <v>580</v>
      </c>
      <c r="B15" s="43" t="s">
        <v>613</v>
      </c>
      <c r="C15" s="45" t="s">
        <v>614</v>
      </c>
      <c r="D15" s="46">
        <v>45314.0</v>
      </c>
      <c r="E15" s="47" t="s">
        <v>451</v>
      </c>
      <c r="F15" s="43" t="s">
        <v>615</v>
      </c>
      <c r="G15" s="57" t="s">
        <v>611</v>
      </c>
      <c r="H15" s="44" t="s">
        <v>616</v>
      </c>
      <c r="I15" s="44" t="s">
        <v>579</v>
      </c>
      <c r="J15" s="50"/>
      <c r="K15" s="52"/>
      <c r="L15" s="50"/>
    </row>
    <row r="16" ht="18.0" customHeight="1">
      <c r="A16" s="43" t="s">
        <v>11</v>
      </c>
      <c r="B16" s="44" t="s">
        <v>617</v>
      </c>
      <c r="C16" s="45" t="s">
        <v>618</v>
      </c>
      <c r="D16" s="46">
        <v>45318.0</v>
      </c>
      <c r="E16" s="47" t="s">
        <v>357</v>
      </c>
      <c r="F16" s="43" t="s">
        <v>619</v>
      </c>
      <c r="G16" s="49" t="s">
        <v>620</v>
      </c>
      <c r="H16" s="44" t="s">
        <v>616</v>
      </c>
      <c r="I16" s="44" t="s">
        <v>579</v>
      </c>
      <c r="J16" s="50"/>
      <c r="K16" s="43" t="s">
        <v>621</v>
      </c>
      <c r="L16" s="50"/>
    </row>
    <row r="17" ht="18.0" customHeight="1">
      <c r="A17" s="43" t="s">
        <v>622</v>
      </c>
      <c r="B17" s="43" t="s">
        <v>623</v>
      </c>
      <c r="C17" s="45" t="s">
        <v>624</v>
      </c>
      <c r="D17" s="46">
        <v>45318.0</v>
      </c>
      <c r="E17" s="47" t="s">
        <v>625</v>
      </c>
      <c r="F17" s="52"/>
      <c r="G17" s="54"/>
      <c r="H17" s="50"/>
      <c r="I17" s="58" t="s">
        <v>626</v>
      </c>
      <c r="J17" s="50"/>
      <c r="K17" s="52"/>
      <c r="L17" s="50"/>
    </row>
    <row r="18" ht="18.0" customHeight="1">
      <c r="A18" s="43" t="s">
        <v>580</v>
      </c>
      <c r="B18" s="43" t="s">
        <v>627</v>
      </c>
      <c r="C18" s="45" t="s">
        <v>628</v>
      </c>
      <c r="D18" s="46">
        <v>45318.0</v>
      </c>
      <c r="E18" s="47" t="s">
        <v>629</v>
      </c>
      <c r="F18" s="43" t="s">
        <v>630</v>
      </c>
      <c r="G18" s="49" t="s">
        <v>631</v>
      </c>
      <c r="H18" s="53" t="s">
        <v>632</v>
      </c>
      <c r="I18" s="44" t="s">
        <v>633</v>
      </c>
      <c r="J18" s="50"/>
      <c r="K18" s="52"/>
      <c r="L18" s="50"/>
    </row>
    <row r="19" ht="18.0" customHeight="1">
      <c r="A19" s="43" t="s">
        <v>580</v>
      </c>
      <c r="B19" s="43" t="s">
        <v>634</v>
      </c>
      <c r="C19" s="45" t="s">
        <v>635</v>
      </c>
      <c r="D19" s="46">
        <v>45318.0</v>
      </c>
      <c r="E19" s="47" t="s">
        <v>440</v>
      </c>
      <c r="F19" s="43" t="s">
        <v>636</v>
      </c>
      <c r="G19" s="49" t="s">
        <v>631</v>
      </c>
      <c r="H19" s="44" t="s">
        <v>616</v>
      </c>
      <c r="I19" s="59" t="s">
        <v>637</v>
      </c>
      <c r="J19" s="50"/>
      <c r="K19" s="52"/>
      <c r="L19" s="50"/>
    </row>
    <row r="20" ht="18.0" customHeight="1">
      <c r="A20" s="43" t="s">
        <v>580</v>
      </c>
      <c r="B20" s="58" t="s">
        <v>638</v>
      </c>
      <c r="C20" s="60"/>
      <c r="D20" s="46">
        <v>45318.0</v>
      </c>
      <c r="E20" s="47" t="s">
        <v>440</v>
      </c>
      <c r="F20" s="52"/>
      <c r="G20" s="54"/>
      <c r="H20" s="50"/>
      <c r="I20" s="58" t="s">
        <v>639</v>
      </c>
      <c r="J20" s="50"/>
      <c r="K20" s="52"/>
      <c r="L20" s="50"/>
    </row>
    <row r="21" ht="18.0" customHeight="1">
      <c r="A21" s="43" t="s">
        <v>11</v>
      </c>
      <c r="B21" s="61" t="s">
        <v>617</v>
      </c>
      <c r="C21" s="45" t="s">
        <v>618</v>
      </c>
      <c r="D21" s="46">
        <v>45318.0</v>
      </c>
      <c r="E21" s="62" t="s">
        <v>640</v>
      </c>
      <c r="F21" s="43" t="s">
        <v>641</v>
      </c>
      <c r="G21" s="49" t="s">
        <v>642</v>
      </c>
      <c r="H21" s="44" t="s">
        <v>616</v>
      </c>
      <c r="I21" s="58" t="s">
        <v>643</v>
      </c>
      <c r="J21" s="50"/>
      <c r="K21" s="62"/>
      <c r="L21" s="50"/>
    </row>
    <row r="22" ht="18.0" customHeight="1">
      <c r="A22" s="43" t="s">
        <v>580</v>
      </c>
      <c r="B22" s="43" t="s">
        <v>644</v>
      </c>
      <c r="C22" s="45"/>
      <c r="D22" s="63">
        <v>45617.0</v>
      </c>
      <c r="E22" s="47" t="s">
        <v>645</v>
      </c>
      <c r="F22" s="43" t="s">
        <v>646</v>
      </c>
      <c r="G22" s="57" t="s">
        <v>647</v>
      </c>
      <c r="H22" s="44" t="s">
        <v>648</v>
      </c>
      <c r="I22" s="44" t="s">
        <v>649</v>
      </c>
      <c r="J22" s="50"/>
      <c r="K22" s="43"/>
      <c r="L22" s="50"/>
    </row>
    <row r="23" ht="18.0" customHeight="1">
      <c r="A23" s="43" t="s">
        <v>580</v>
      </c>
      <c r="B23" s="43" t="s">
        <v>650</v>
      </c>
      <c r="C23" s="45"/>
      <c r="D23" s="46">
        <v>45625.0</v>
      </c>
      <c r="E23" s="64" t="s">
        <v>651</v>
      </c>
      <c r="F23" s="43" t="s">
        <v>652</v>
      </c>
      <c r="G23" s="54"/>
      <c r="H23" s="44" t="s">
        <v>653</v>
      </c>
      <c r="I23" s="58" t="s">
        <v>654</v>
      </c>
      <c r="J23" s="50"/>
      <c r="K23" s="43"/>
      <c r="L23" s="50"/>
    </row>
    <row r="24" ht="18.0" customHeight="1">
      <c r="A24" s="43" t="s">
        <v>11</v>
      </c>
      <c r="B24" s="44" t="s">
        <v>655</v>
      </c>
      <c r="C24" s="45" t="s">
        <v>656</v>
      </c>
      <c r="D24" s="65">
        <v>45659.0</v>
      </c>
      <c r="E24" s="47" t="s">
        <v>38</v>
      </c>
      <c r="F24" s="43" t="s">
        <v>657</v>
      </c>
      <c r="G24" s="49" t="s">
        <v>577</v>
      </c>
      <c r="H24" s="44" t="s">
        <v>648</v>
      </c>
      <c r="I24" s="44" t="s">
        <v>658</v>
      </c>
      <c r="J24" s="50"/>
      <c r="K24" s="66"/>
      <c r="L24" s="50"/>
    </row>
    <row r="25" ht="18.0" customHeight="1">
      <c r="A25" s="43" t="s">
        <v>11</v>
      </c>
      <c r="B25" s="44" t="s">
        <v>659</v>
      </c>
      <c r="C25" s="45" t="s">
        <v>660</v>
      </c>
      <c r="D25" s="46">
        <v>45659.0</v>
      </c>
      <c r="E25" s="47" t="s">
        <v>661</v>
      </c>
      <c r="F25" s="43" t="s">
        <v>657</v>
      </c>
      <c r="G25" s="49" t="s">
        <v>577</v>
      </c>
      <c r="H25" s="44" t="s">
        <v>648</v>
      </c>
      <c r="I25" s="44" t="s">
        <v>662</v>
      </c>
      <c r="J25" s="50"/>
      <c r="K25" s="51" t="s">
        <v>46</v>
      </c>
      <c r="L25" s="50"/>
    </row>
    <row r="26" ht="18.0" customHeight="1">
      <c r="A26" s="43" t="s">
        <v>663</v>
      </c>
      <c r="B26" s="43" t="s">
        <v>664</v>
      </c>
      <c r="C26" s="45" t="s">
        <v>665</v>
      </c>
      <c r="D26" s="46">
        <v>45659.0</v>
      </c>
      <c r="E26" s="47" t="s">
        <v>357</v>
      </c>
      <c r="F26" s="43" t="s">
        <v>666</v>
      </c>
      <c r="G26" s="49" t="s">
        <v>577</v>
      </c>
      <c r="H26" s="44" t="s">
        <v>648</v>
      </c>
      <c r="I26" s="58" t="s">
        <v>667</v>
      </c>
      <c r="J26" s="50"/>
      <c r="K26" s="58"/>
      <c r="L26" s="50"/>
    </row>
    <row r="27" ht="18.0" customHeight="1">
      <c r="A27" s="43" t="s">
        <v>11</v>
      </c>
      <c r="B27" s="44" t="s">
        <v>668</v>
      </c>
      <c r="C27" s="45" t="s">
        <v>669</v>
      </c>
      <c r="D27" s="46">
        <v>45659.0</v>
      </c>
      <c r="E27" s="47" t="s">
        <v>670</v>
      </c>
      <c r="F27" s="43" t="s">
        <v>165</v>
      </c>
      <c r="G27" s="49" t="s">
        <v>577</v>
      </c>
      <c r="H27" s="44" t="s">
        <v>671</v>
      </c>
      <c r="I27" s="44" t="s">
        <v>672</v>
      </c>
      <c r="J27" s="44" t="s">
        <v>673</v>
      </c>
      <c r="K27" s="51"/>
      <c r="L27" s="50"/>
    </row>
    <row r="28" ht="18.0" customHeight="1">
      <c r="A28" s="43" t="s">
        <v>663</v>
      </c>
      <c r="B28" s="43" t="s">
        <v>674</v>
      </c>
      <c r="C28" s="45" t="s">
        <v>675</v>
      </c>
      <c r="D28" s="46">
        <v>45659.0</v>
      </c>
      <c r="E28" s="47" t="s">
        <v>676</v>
      </c>
      <c r="F28" s="43" t="s">
        <v>677</v>
      </c>
      <c r="G28" s="49" t="s">
        <v>577</v>
      </c>
      <c r="H28" s="44" t="s">
        <v>648</v>
      </c>
      <c r="I28" s="44" t="s">
        <v>678</v>
      </c>
      <c r="J28" s="50"/>
      <c r="K28" s="51"/>
      <c r="L28" s="50"/>
    </row>
    <row r="29" ht="18.0" customHeight="1">
      <c r="A29" s="43" t="s">
        <v>11</v>
      </c>
      <c r="B29" s="44" t="s">
        <v>679</v>
      </c>
      <c r="C29" s="45" t="s">
        <v>680</v>
      </c>
      <c r="D29" s="46">
        <v>45659.0</v>
      </c>
      <c r="E29" s="47" t="s">
        <v>38</v>
      </c>
      <c r="F29" s="43" t="s">
        <v>681</v>
      </c>
      <c r="G29" s="49" t="s">
        <v>682</v>
      </c>
      <c r="H29" s="44" t="s">
        <v>671</v>
      </c>
      <c r="I29" s="44" t="s">
        <v>103</v>
      </c>
      <c r="J29" s="44" t="s">
        <v>683</v>
      </c>
      <c r="K29" s="51" t="s">
        <v>46</v>
      </c>
      <c r="L29" s="50"/>
    </row>
    <row r="30" ht="18.0" customHeight="1">
      <c r="A30" s="43" t="s">
        <v>622</v>
      </c>
      <c r="B30" s="43" t="s">
        <v>684</v>
      </c>
      <c r="C30" s="45"/>
      <c r="D30" s="46">
        <v>45659.0</v>
      </c>
      <c r="E30" s="64" t="s">
        <v>463</v>
      </c>
      <c r="F30" s="43" t="s">
        <v>685</v>
      </c>
      <c r="G30" s="49" t="s">
        <v>686</v>
      </c>
      <c r="H30" s="44" t="s">
        <v>671</v>
      </c>
      <c r="I30" s="44" t="s">
        <v>687</v>
      </c>
      <c r="J30" s="50"/>
      <c r="K30" s="51"/>
      <c r="L30" s="50"/>
    </row>
    <row r="31" ht="18.0" customHeight="1">
      <c r="A31" s="43" t="s">
        <v>580</v>
      </c>
      <c r="B31" s="43" t="s">
        <v>688</v>
      </c>
      <c r="C31" s="45"/>
      <c r="D31" s="46">
        <v>45659.0</v>
      </c>
      <c r="E31" s="47" t="s">
        <v>278</v>
      </c>
      <c r="F31" s="43" t="s">
        <v>689</v>
      </c>
      <c r="G31" s="49" t="s">
        <v>686</v>
      </c>
      <c r="H31" s="44" t="s">
        <v>671</v>
      </c>
      <c r="I31" s="44" t="s">
        <v>690</v>
      </c>
      <c r="J31" s="50"/>
      <c r="K31" s="58"/>
      <c r="L31" s="50"/>
    </row>
    <row r="32" ht="18.0" customHeight="1">
      <c r="A32" s="43" t="s">
        <v>11</v>
      </c>
      <c r="B32" s="44" t="s">
        <v>691</v>
      </c>
      <c r="C32" s="45"/>
      <c r="D32" s="46">
        <v>45659.0</v>
      </c>
      <c r="E32" s="47" t="s">
        <v>357</v>
      </c>
      <c r="F32" s="43" t="s">
        <v>692</v>
      </c>
      <c r="G32" s="49" t="s">
        <v>686</v>
      </c>
      <c r="H32" s="44" t="s">
        <v>648</v>
      </c>
      <c r="I32" s="44" t="s">
        <v>693</v>
      </c>
      <c r="J32" s="50"/>
      <c r="K32" s="58" t="s">
        <v>694</v>
      </c>
      <c r="L32" s="50"/>
    </row>
    <row r="33" ht="18.0" customHeight="1">
      <c r="A33" s="43" t="s">
        <v>580</v>
      </c>
      <c r="B33" s="43" t="s">
        <v>695</v>
      </c>
      <c r="C33" s="45"/>
      <c r="D33" s="46">
        <v>45659.0</v>
      </c>
      <c r="E33" s="47" t="s">
        <v>696</v>
      </c>
      <c r="F33" s="43" t="s">
        <v>697</v>
      </c>
      <c r="G33" s="49" t="s">
        <v>686</v>
      </c>
      <c r="H33" s="67" t="s">
        <v>698</v>
      </c>
      <c r="I33" s="44" t="s">
        <v>699</v>
      </c>
      <c r="J33" s="50"/>
      <c r="K33" s="51"/>
      <c r="L33" s="50"/>
    </row>
    <row r="34" ht="18.0" customHeight="1">
      <c r="A34" s="43" t="s">
        <v>580</v>
      </c>
      <c r="B34" s="43" t="s">
        <v>695</v>
      </c>
      <c r="C34" s="45"/>
      <c r="D34" s="46">
        <v>45659.0</v>
      </c>
      <c r="E34" s="64" t="s">
        <v>700</v>
      </c>
      <c r="F34" s="43" t="s">
        <v>697</v>
      </c>
      <c r="G34" s="49" t="s">
        <v>686</v>
      </c>
      <c r="H34" s="44" t="s">
        <v>25</v>
      </c>
      <c r="I34" s="44" t="s">
        <v>699</v>
      </c>
      <c r="J34" s="50"/>
      <c r="K34" s="51"/>
      <c r="L34" s="50"/>
    </row>
    <row r="35" ht="18.0" customHeight="1">
      <c r="A35" s="43" t="s">
        <v>595</v>
      </c>
      <c r="B35" s="43" t="s">
        <v>701</v>
      </c>
      <c r="C35" s="45"/>
      <c r="D35" s="46">
        <v>45659.0</v>
      </c>
      <c r="E35" s="47" t="s">
        <v>565</v>
      </c>
      <c r="F35" s="43" t="s">
        <v>702</v>
      </c>
      <c r="G35" s="49" t="s">
        <v>703</v>
      </c>
      <c r="H35" s="44" t="s">
        <v>648</v>
      </c>
      <c r="I35" s="44" t="s">
        <v>103</v>
      </c>
      <c r="J35" s="50"/>
      <c r="K35" s="51" t="s">
        <v>704</v>
      </c>
      <c r="L35" s="50"/>
    </row>
    <row r="36" ht="18.0" customHeight="1">
      <c r="A36" s="43" t="s">
        <v>11</v>
      </c>
      <c r="B36" s="44" t="s">
        <v>705</v>
      </c>
      <c r="C36" s="45" t="s">
        <v>706</v>
      </c>
      <c r="D36" s="46">
        <v>45660.0</v>
      </c>
      <c r="E36" s="47" t="s">
        <v>362</v>
      </c>
      <c r="F36" s="43" t="s">
        <v>657</v>
      </c>
      <c r="G36" s="49" t="s">
        <v>682</v>
      </c>
      <c r="H36" s="44" t="s">
        <v>648</v>
      </c>
      <c r="I36" s="44" t="s">
        <v>707</v>
      </c>
      <c r="J36" s="50"/>
      <c r="K36" s="66"/>
      <c r="L36" s="50"/>
    </row>
    <row r="37" ht="18.0" customHeight="1">
      <c r="A37" s="43" t="s">
        <v>11</v>
      </c>
      <c r="B37" s="44" t="s">
        <v>708</v>
      </c>
      <c r="C37" s="45" t="s">
        <v>709</v>
      </c>
      <c r="D37" s="46">
        <v>45660.0</v>
      </c>
      <c r="E37" s="47" t="s">
        <v>357</v>
      </c>
      <c r="F37" s="43" t="s">
        <v>710</v>
      </c>
      <c r="G37" s="49" t="s">
        <v>682</v>
      </c>
      <c r="H37" s="44" t="s">
        <v>671</v>
      </c>
      <c r="I37" s="44" t="s">
        <v>711</v>
      </c>
      <c r="J37" s="50"/>
      <c r="K37" s="51"/>
      <c r="L37" s="50"/>
    </row>
    <row r="38" ht="18.0" customHeight="1">
      <c r="A38" s="43" t="s">
        <v>622</v>
      </c>
      <c r="B38" s="44" t="s">
        <v>712</v>
      </c>
      <c r="C38" s="45" t="s">
        <v>713</v>
      </c>
      <c r="D38" s="46">
        <v>45660.0</v>
      </c>
      <c r="E38" s="47" t="s">
        <v>357</v>
      </c>
      <c r="F38" s="43" t="s">
        <v>657</v>
      </c>
      <c r="G38" s="49" t="s">
        <v>682</v>
      </c>
      <c r="H38" s="44" t="s">
        <v>648</v>
      </c>
      <c r="I38" s="44" t="s">
        <v>714</v>
      </c>
      <c r="J38" s="50"/>
      <c r="K38" s="51"/>
      <c r="L38" s="50"/>
    </row>
    <row r="39" ht="18.0" customHeight="1">
      <c r="A39" s="43" t="s">
        <v>663</v>
      </c>
      <c r="B39" s="43" t="s">
        <v>715</v>
      </c>
      <c r="C39" s="45" t="s">
        <v>716</v>
      </c>
      <c r="D39" s="46">
        <v>45660.0</v>
      </c>
      <c r="E39" s="47" t="s">
        <v>717</v>
      </c>
      <c r="F39" s="43" t="s">
        <v>710</v>
      </c>
      <c r="G39" s="49" t="s">
        <v>682</v>
      </c>
      <c r="H39" s="44" t="s">
        <v>671</v>
      </c>
      <c r="I39" s="44" t="s">
        <v>718</v>
      </c>
      <c r="J39" s="50"/>
      <c r="K39" s="66"/>
      <c r="L39" s="50"/>
    </row>
    <row r="40" ht="18.0" customHeight="1">
      <c r="A40" s="43" t="s">
        <v>11</v>
      </c>
      <c r="B40" s="44" t="s">
        <v>719</v>
      </c>
      <c r="C40" s="68" t="s">
        <v>720</v>
      </c>
      <c r="D40" s="46">
        <v>45660.0</v>
      </c>
      <c r="E40" s="47" t="s">
        <v>38</v>
      </c>
      <c r="F40" s="43" t="s">
        <v>721</v>
      </c>
      <c r="G40" s="49" t="s">
        <v>682</v>
      </c>
      <c r="H40" s="44" t="s">
        <v>648</v>
      </c>
      <c r="I40" s="44" t="s">
        <v>714</v>
      </c>
      <c r="J40" s="50"/>
      <c r="K40" s="62"/>
      <c r="L40" s="50"/>
    </row>
    <row r="41" ht="18.0" customHeight="1">
      <c r="A41" s="43" t="s">
        <v>11</v>
      </c>
      <c r="B41" s="44" t="s">
        <v>722</v>
      </c>
      <c r="C41" s="45" t="s">
        <v>723</v>
      </c>
      <c r="D41" s="46">
        <v>45660.0</v>
      </c>
      <c r="E41" s="47" t="s">
        <v>724</v>
      </c>
      <c r="F41" s="43" t="s">
        <v>685</v>
      </c>
      <c r="G41" s="49" t="s">
        <v>682</v>
      </c>
      <c r="H41" s="44" t="s">
        <v>648</v>
      </c>
      <c r="I41" s="58"/>
      <c r="J41" s="50"/>
      <c r="K41" s="51"/>
      <c r="L41" s="50"/>
    </row>
    <row r="42" ht="18.0" customHeight="1">
      <c r="A42" s="43" t="s">
        <v>622</v>
      </c>
      <c r="B42" s="43" t="s">
        <v>725</v>
      </c>
      <c r="C42" s="45" t="s">
        <v>726</v>
      </c>
      <c r="D42" s="46">
        <v>45660.0</v>
      </c>
      <c r="E42" s="47" t="s">
        <v>727</v>
      </c>
      <c r="F42" s="69" t="s">
        <v>728</v>
      </c>
      <c r="G42" s="49" t="s">
        <v>682</v>
      </c>
      <c r="H42" s="44" t="s">
        <v>648</v>
      </c>
      <c r="I42" s="44" t="s">
        <v>729</v>
      </c>
      <c r="J42" s="50"/>
      <c r="K42" s="66"/>
      <c r="L42" s="50"/>
    </row>
    <row r="43" ht="18.0" customHeight="1">
      <c r="A43" s="43" t="s">
        <v>622</v>
      </c>
      <c r="B43" s="43" t="s">
        <v>725</v>
      </c>
      <c r="C43" s="45" t="s">
        <v>726</v>
      </c>
      <c r="D43" s="46">
        <v>45660.0</v>
      </c>
      <c r="E43" s="47" t="s">
        <v>331</v>
      </c>
      <c r="F43" s="43" t="s">
        <v>730</v>
      </c>
      <c r="G43" s="49" t="s">
        <v>682</v>
      </c>
      <c r="H43" s="67" t="s">
        <v>731</v>
      </c>
      <c r="I43" s="44" t="s">
        <v>732</v>
      </c>
      <c r="J43" s="50"/>
      <c r="K43" s="66"/>
      <c r="L43" s="50"/>
    </row>
    <row r="44" ht="18.0" customHeight="1">
      <c r="A44" s="43" t="s">
        <v>622</v>
      </c>
      <c r="B44" s="43" t="s">
        <v>725</v>
      </c>
      <c r="C44" s="45" t="s">
        <v>726</v>
      </c>
      <c r="D44" s="46">
        <v>45660.0</v>
      </c>
      <c r="E44" s="47" t="s">
        <v>733</v>
      </c>
      <c r="F44" s="43" t="s">
        <v>730</v>
      </c>
      <c r="G44" s="49" t="s">
        <v>682</v>
      </c>
      <c r="H44" s="67" t="s">
        <v>734</v>
      </c>
      <c r="I44" s="44" t="s">
        <v>732</v>
      </c>
      <c r="J44" s="50"/>
      <c r="K44" s="66"/>
      <c r="L44" s="50"/>
    </row>
    <row r="45" ht="18.0" customHeight="1">
      <c r="A45" s="43" t="s">
        <v>622</v>
      </c>
      <c r="B45" s="43" t="s">
        <v>725</v>
      </c>
      <c r="C45" s="45" t="s">
        <v>726</v>
      </c>
      <c r="D45" s="46">
        <v>45660.0</v>
      </c>
      <c r="E45" s="47" t="s">
        <v>735</v>
      </c>
      <c r="F45" s="43" t="s">
        <v>730</v>
      </c>
      <c r="G45" s="49" t="s">
        <v>682</v>
      </c>
      <c r="H45" s="67" t="s">
        <v>736</v>
      </c>
      <c r="I45" s="44" t="s">
        <v>732</v>
      </c>
      <c r="J45" s="50"/>
      <c r="K45" s="66"/>
      <c r="L45" s="50"/>
    </row>
    <row r="46" ht="18.0" customHeight="1">
      <c r="A46" s="43" t="s">
        <v>622</v>
      </c>
      <c r="B46" s="43" t="s">
        <v>737</v>
      </c>
      <c r="C46" s="45"/>
      <c r="D46" s="46">
        <v>45660.0</v>
      </c>
      <c r="E46" s="47" t="s">
        <v>738</v>
      </c>
      <c r="F46" s="43" t="s">
        <v>739</v>
      </c>
      <c r="G46" s="68" t="s">
        <v>740</v>
      </c>
      <c r="H46" s="44" t="s">
        <v>741</v>
      </c>
      <c r="I46" s="44" t="s">
        <v>742</v>
      </c>
      <c r="J46" s="50"/>
      <c r="K46" s="43"/>
      <c r="L46" s="50"/>
    </row>
    <row r="47" ht="18.0" customHeight="1">
      <c r="A47" s="43" t="s">
        <v>743</v>
      </c>
      <c r="B47" s="58" t="s">
        <v>744</v>
      </c>
      <c r="C47" s="45" t="s">
        <v>745</v>
      </c>
      <c r="D47" s="46">
        <v>45662.0</v>
      </c>
      <c r="E47" s="70" t="s">
        <v>746</v>
      </c>
      <c r="F47" s="43" t="s">
        <v>747</v>
      </c>
      <c r="G47" s="68" t="s">
        <v>748</v>
      </c>
      <c r="H47" s="44" t="s">
        <v>741</v>
      </c>
      <c r="I47" s="44" t="s">
        <v>18</v>
      </c>
      <c r="J47" s="50"/>
      <c r="K47" s="52"/>
      <c r="L47" s="50"/>
    </row>
    <row r="48" ht="18.0" customHeight="1">
      <c r="A48" s="43" t="s">
        <v>749</v>
      </c>
      <c r="B48" s="58" t="s">
        <v>744</v>
      </c>
      <c r="C48" s="45" t="s">
        <v>745</v>
      </c>
      <c r="D48" s="46">
        <v>45662.0</v>
      </c>
      <c r="E48" s="71" t="s">
        <v>750</v>
      </c>
      <c r="F48" s="43" t="s">
        <v>747</v>
      </c>
      <c r="G48" s="68" t="s">
        <v>748</v>
      </c>
      <c r="H48" s="67" t="s">
        <v>751</v>
      </c>
      <c r="I48" s="44" t="s">
        <v>752</v>
      </c>
      <c r="J48" s="50"/>
      <c r="K48" s="52"/>
      <c r="L48" s="50"/>
    </row>
    <row r="49" ht="18.0" customHeight="1">
      <c r="A49" s="43" t="s">
        <v>580</v>
      </c>
      <c r="B49" s="72" t="s">
        <v>753</v>
      </c>
      <c r="C49" s="73" t="s">
        <v>754</v>
      </c>
      <c r="D49" s="46">
        <v>45662.0</v>
      </c>
      <c r="E49" s="43" t="s">
        <v>755</v>
      </c>
      <c r="F49" s="43" t="s">
        <v>756</v>
      </c>
      <c r="G49" s="68" t="s">
        <v>757</v>
      </c>
      <c r="H49" s="50"/>
      <c r="I49" s="30" t="s">
        <v>758</v>
      </c>
      <c r="J49" s="50"/>
      <c r="K49" s="43" t="s">
        <v>759</v>
      </c>
      <c r="L49" s="50"/>
    </row>
    <row r="50" ht="18.0" customHeight="1">
      <c r="A50" s="43" t="s">
        <v>580</v>
      </c>
      <c r="B50" s="43" t="s">
        <v>760</v>
      </c>
      <c r="C50" s="45" t="s">
        <v>761</v>
      </c>
      <c r="D50" s="46">
        <v>45663.0</v>
      </c>
      <c r="E50" s="47" t="s">
        <v>762</v>
      </c>
      <c r="F50" s="43" t="s">
        <v>763</v>
      </c>
      <c r="G50" s="49" t="s">
        <v>682</v>
      </c>
      <c r="H50" s="44" t="s">
        <v>648</v>
      </c>
      <c r="I50" s="44" t="s">
        <v>732</v>
      </c>
      <c r="J50" s="50"/>
      <c r="K50" s="66"/>
      <c r="L50" s="50"/>
    </row>
    <row r="51" ht="18.0" customHeight="1">
      <c r="A51" s="43" t="s">
        <v>622</v>
      </c>
      <c r="B51" s="43" t="s">
        <v>764</v>
      </c>
      <c r="C51" s="45" t="s">
        <v>765</v>
      </c>
      <c r="D51" s="46">
        <v>45663.0</v>
      </c>
      <c r="E51" s="47" t="s">
        <v>766</v>
      </c>
      <c r="F51" s="43" t="s">
        <v>767</v>
      </c>
      <c r="G51" s="49" t="s">
        <v>682</v>
      </c>
      <c r="H51" s="44" t="s">
        <v>671</v>
      </c>
      <c r="I51" s="44" t="s">
        <v>732</v>
      </c>
      <c r="J51" s="50"/>
      <c r="K51" s="66"/>
      <c r="L51" s="50"/>
    </row>
    <row r="52" ht="18.0" customHeight="1">
      <c r="A52" s="43" t="s">
        <v>11</v>
      </c>
      <c r="B52" s="44" t="s">
        <v>768</v>
      </c>
      <c r="C52" s="45" t="s">
        <v>769</v>
      </c>
      <c r="D52" s="46">
        <v>45663.0</v>
      </c>
      <c r="E52" s="47" t="s">
        <v>770</v>
      </c>
      <c r="F52" s="43" t="s">
        <v>677</v>
      </c>
      <c r="G52" s="49" t="s">
        <v>682</v>
      </c>
      <c r="H52" s="44" t="s">
        <v>671</v>
      </c>
      <c r="I52" s="44" t="s">
        <v>771</v>
      </c>
      <c r="J52" s="50"/>
      <c r="K52" s="51"/>
      <c r="L52" s="50"/>
    </row>
    <row r="53" ht="18.0" customHeight="1">
      <c r="A53" s="43" t="s">
        <v>663</v>
      </c>
      <c r="B53" s="74" t="s">
        <v>581</v>
      </c>
      <c r="C53" s="75" t="s">
        <v>582</v>
      </c>
      <c r="D53" s="46">
        <v>45663.0</v>
      </c>
      <c r="E53" s="47" t="s">
        <v>772</v>
      </c>
      <c r="F53" s="43" t="s">
        <v>165</v>
      </c>
      <c r="G53" s="49" t="s">
        <v>682</v>
      </c>
      <c r="H53" s="44" t="s">
        <v>671</v>
      </c>
      <c r="I53" s="76" t="s">
        <v>773</v>
      </c>
      <c r="J53" s="50"/>
      <c r="K53" s="66"/>
      <c r="L53" s="50"/>
    </row>
    <row r="54" ht="18.0" customHeight="1">
      <c r="A54" s="43" t="s">
        <v>663</v>
      </c>
      <c r="B54" s="74" t="s">
        <v>581</v>
      </c>
      <c r="C54" s="75" t="s">
        <v>582</v>
      </c>
      <c r="D54" s="46">
        <v>45663.0</v>
      </c>
      <c r="E54" s="47" t="s">
        <v>774</v>
      </c>
      <c r="F54" s="43" t="s">
        <v>775</v>
      </c>
      <c r="G54" s="49" t="s">
        <v>682</v>
      </c>
      <c r="H54" s="44" t="s">
        <v>671</v>
      </c>
      <c r="I54" s="44" t="s">
        <v>732</v>
      </c>
      <c r="J54" s="50"/>
      <c r="K54" s="66"/>
      <c r="L54" s="50"/>
    </row>
    <row r="55" ht="18.0" customHeight="1">
      <c r="A55" s="43" t="s">
        <v>663</v>
      </c>
      <c r="B55" s="74" t="s">
        <v>581</v>
      </c>
      <c r="C55" s="75" t="s">
        <v>582</v>
      </c>
      <c r="D55" s="46">
        <v>45663.0</v>
      </c>
      <c r="E55" s="47" t="s">
        <v>776</v>
      </c>
      <c r="F55" s="43" t="s">
        <v>775</v>
      </c>
      <c r="G55" s="49" t="s">
        <v>682</v>
      </c>
      <c r="H55" s="67" t="s">
        <v>777</v>
      </c>
      <c r="I55" s="44" t="s">
        <v>732</v>
      </c>
      <c r="J55" s="50"/>
      <c r="K55" s="51"/>
      <c r="L55" s="50"/>
    </row>
    <row r="56" ht="18.0" customHeight="1">
      <c r="A56" s="43" t="s">
        <v>663</v>
      </c>
      <c r="B56" s="74" t="s">
        <v>581</v>
      </c>
      <c r="C56" s="75" t="s">
        <v>582</v>
      </c>
      <c r="D56" s="46">
        <v>45663.0</v>
      </c>
      <c r="E56" s="47" t="s">
        <v>778</v>
      </c>
      <c r="F56" s="43" t="s">
        <v>779</v>
      </c>
      <c r="G56" s="49" t="s">
        <v>682</v>
      </c>
      <c r="H56" s="76" t="s">
        <v>741</v>
      </c>
      <c r="I56" s="76" t="s">
        <v>780</v>
      </c>
      <c r="J56" s="50"/>
      <c r="K56" s="43"/>
      <c r="L56" s="50"/>
    </row>
    <row r="57" ht="18.0" customHeight="1">
      <c r="A57" s="43" t="s">
        <v>663</v>
      </c>
      <c r="B57" s="74" t="s">
        <v>581</v>
      </c>
      <c r="C57" s="75" t="s">
        <v>582</v>
      </c>
      <c r="D57" s="46">
        <v>45663.0</v>
      </c>
      <c r="E57" s="47" t="s">
        <v>781</v>
      </c>
      <c r="F57" s="76" t="s">
        <v>782</v>
      </c>
      <c r="G57" s="49" t="s">
        <v>682</v>
      </c>
      <c r="H57" s="44" t="s">
        <v>783</v>
      </c>
      <c r="I57" s="76" t="s">
        <v>780</v>
      </c>
      <c r="J57" s="50"/>
      <c r="K57" s="52"/>
      <c r="L57" s="50"/>
    </row>
    <row r="58" ht="18.0" customHeight="1">
      <c r="A58" s="43" t="s">
        <v>663</v>
      </c>
      <c r="B58" s="74" t="s">
        <v>581</v>
      </c>
      <c r="C58" s="75" t="s">
        <v>582</v>
      </c>
      <c r="D58" s="46">
        <v>45663.0</v>
      </c>
      <c r="E58" s="47" t="s">
        <v>784</v>
      </c>
      <c r="F58" s="76" t="s">
        <v>782</v>
      </c>
      <c r="G58" s="49" t="s">
        <v>682</v>
      </c>
      <c r="H58" s="44" t="s">
        <v>783</v>
      </c>
      <c r="I58" s="76" t="s">
        <v>780</v>
      </c>
      <c r="J58" s="50"/>
      <c r="K58" s="43"/>
      <c r="L58" s="50"/>
    </row>
    <row r="59" ht="18.0" customHeight="1">
      <c r="A59" s="43" t="s">
        <v>663</v>
      </c>
      <c r="B59" s="74" t="s">
        <v>581</v>
      </c>
      <c r="C59" s="75" t="s">
        <v>582</v>
      </c>
      <c r="D59" s="46">
        <v>45663.0</v>
      </c>
      <c r="E59" s="47" t="s">
        <v>785</v>
      </c>
      <c r="F59" s="76" t="s">
        <v>782</v>
      </c>
      <c r="G59" s="49" t="s">
        <v>682</v>
      </c>
      <c r="H59" s="44" t="s">
        <v>786</v>
      </c>
      <c r="I59" s="76" t="s">
        <v>780</v>
      </c>
      <c r="J59" s="50"/>
      <c r="K59" s="43"/>
      <c r="L59" s="50"/>
    </row>
    <row r="60" ht="18.0" customHeight="1">
      <c r="A60" s="43" t="s">
        <v>663</v>
      </c>
      <c r="B60" s="43" t="s">
        <v>787</v>
      </c>
      <c r="C60" s="45" t="s">
        <v>788</v>
      </c>
      <c r="D60" s="46">
        <v>45663.0</v>
      </c>
      <c r="E60" s="47" t="s">
        <v>789</v>
      </c>
      <c r="F60" s="43" t="s">
        <v>790</v>
      </c>
      <c r="G60" s="54"/>
      <c r="H60" s="44" t="s">
        <v>671</v>
      </c>
      <c r="I60" s="58" t="s">
        <v>791</v>
      </c>
      <c r="J60" s="50"/>
      <c r="K60" s="66"/>
      <c r="L60" s="50"/>
    </row>
    <row r="61" ht="18.0" customHeight="1">
      <c r="A61" s="43" t="s">
        <v>663</v>
      </c>
      <c r="B61" s="74" t="s">
        <v>581</v>
      </c>
      <c r="C61" s="75" t="s">
        <v>582</v>
      </c>
      <c r="D61" s="46">
        <v>45663.0</v>
      </c>
      <c r="E61" s="47" t="s">
        <v>792</v>
      </c>
      <c r="F61" s="43" t="s">
        <v>793</v>
      </c>
      <c r="G61" s="49" t="s">
        <v>682</v>
      </c>
      <c r="H61" s="76" t="s">
        <v>40</v>
      </c>
      <c r="I61" s="76" t="s">
        <v>780</v>
      </c>
      <c r="J61" s="50"/>
      <c r="K61" s="43"/>
      <c r="L61" s="50"/>
    </row>
    <row r="62" ht="18.0" customHeight="1">
      <c r="A62" s="43" t="s">
        <v>663</v>
      </c>
      <c r="B62" s="74" t="s">
        <v>581</v>
      </c>
      <c r="C62" s="75" t="s">
        <v>582</v>
      </c>
      <c r="D62" s="46">
        <v>45663.0</v>
      </c>
      <c r="E62" s="47" t="s">
        <v>794</v>
      </c>
      <c r="F62" s="43" t="s">
        <v>793</v>
      </c>
      <c r="G62" s="49" t="s">
        <v>682</v>
      </c>
      <c r="H62" s="76" t="s">
        <v>40</v>
      </c>
      <c r="I62" s="76" t="s">
        <v>780</v>
      </c>
      <c r="J62" s="50"/>
      <c r="K62" s="52"/>
      <c r="L62" s="50"/>
    </row>
    <row r="63" ht="18.0" customHeight="1">
      <c r="A63" s="43" t="s">
        <v>663</v>
      </c>
      <c r="B63" s="74" t="s">
        <v>581</v>
      </c>
      <c r="C63" s="75" t="s">
        <v>582</v>
      </c>
      <c r="D63" s="46">
        <v>45663.0</v>
      </c>
      <c r="E63" s="47" t="s">
        <v>795</v>
      </c>
      <c r="F63" s="43" t="s">
        <v>793</v>
      </c>
      <c r="G63" s="49" t="s">
        <v>682</v>
      </c>
      <c r="H63" s="76" t="s">
        <v>40</v>
      </c>
      <c r="I63" s="76" t="s">
        <v>780</v>
      </c>
      <c r="J63" s="50"/>
      <c r="K63" s="43"/>
      <c r="L63" s="50"/>
    </row>
    <row r="64" ht="18.0" customHeight="1">
      <c r="A64" s="43" t="s">
        <v>663</v>
      </c>
      <c r="B64" s="74" t="s">
        <v>581</v>
      </c>
      <c r="C64" s="75" t="s">
        <v>582</v>
      </c>
      <c r="D64" s="46">
        <v>45663.0</v>
      </c>
      <c r="E64" s="47" t="s">
        <v>796</v>
      </c>
      <c r="F64" s="43" t="s">
        <v>775</v>
      </c>
      <c r="G64" s="49" t="s">
        <v>682</v>
      </c>
      <c r="H64" s="44" t="s">
        <v>783</v>
      </c>
      <c r="I64" s="44" t="s">
        <v>732</v>
      </c>
      <c r="J64" s="50"/>
      <c r="K64" s="52"/>
      <c r="L64" s="50"/>
    </row>
    <row r="65" ht="18.0" customHeight="1">
      <c r="A65" s="43" t="s">
        <v>580</v>
      </c>
      <c r="B65" s="43" t="s">
        <v>797</v>
      </c>
      <c r="C65" s="45"/>
      <c r="D65" s="46">
        <v>45663.0</v>
      </c>
      <c r="E65" s="47" t="s">
        <v>357</v>
      </c>
      <c r="F65" s="43" t="s">
        <v>697</v>
      </c>
      <c r="G65" s="57" t="s">
        <v>798</v>
      </c>
      <c r="H65" s="44" t="s">
        <v>671</v>
      </c>
      <c r="I65" s="58" t="s">
        <v>799</v>
      </c>
      <c r="J65" s="50"/>
      <c r="K65" s="66"/>
      <c r="L65" s="50"/>
    </row>
    <row r="66" ht="18.0" customHeight="1">
      <c r="A66" s="43" t="s">
        <v>11</v>
      </c>
      <c r="B66" s="44" t="s">
        <v>800</v>
      </c>
      <c r="C66" s="45"/>
      <c r="D66" s="46">
        <v>45663.0</v>
      </c>
      <c r="E66" s="47" t="s">
        <v>292</v>
      </c>
      <c r="F66" s="43" t="s">
        <v>801</v>
      </c>
      <c r="G66" s="54"/>
      <c r="H66" s="44" t="s">
        <v>741</v>
      </c>
      <c r="I66" s="77"/>
      <c r="J66" s="50"/>
      <c r="K66" s="52"/>
      <c r="L66" s="50"/>
    </row>
    <row r="67" ht="18.0" customHeight="1">
      <c r="A67" s="43" t="s">
        <v>580</v>
      </c>
      <c r="B67" s="43" t="s">
        <v>802</v>
      </c>
      <c r="C67" s="45" t="s">
        <v>803</v>
      </c>
      <c r="D67" s="46">
        <v>45664.0</v>
      </c>
      <c r="E67" s="47" t="s">
        <v>463</v>
      </c>
      <c r="F67" s="43" t="s">
        <v>710</v>
      </c>
      <c r="G67" s="45" t="s">
        <v>804</v>
      </c>
      <c r="H67" s="67" t="s">
        <v>805</v>
      </c>
      <c r="I67" s="43" t="s">
        <v>556</v>
      </c>
      <c r="J67" s="44" t="s">
        <v>59</v>
      </c>
      <c r="K67" s="52"/>
      <c r="L67" s="50"/>
    </row>
    <row r="68" ht="18.0" customHeight="1">
      <c r="A68" s="43" t="s">
        <v>622</v>
      </c>
      <c r="B68" s="43" t="s">
        <v>806</v>
      </c>
      <c r="C68" s="45"/>
      <c r="D68" s="46">
        <v>45664.0</v>
      </c>
      <c r="E68" s="47" t="s">
        <v>188</v>
      </c>
      <c r="F68" s="43" t="s">
        <v>710</v>
      </c>
      <c r="G68" s="49" t="s">
        <v>682</v>
      </c>
      <c r="H68" s="67" t="s">
        <v>807</v>
      </c>
      <c r="I68" s="43" t="s">
        <v>556</v>
      </c>
      <c r="J68" s="50"/>
      <c r="K68" s="52"/>
      <c r="L68" s="50"/>
    </row>
    <row r="69" ht="18.0" customHeight="1">
      <c r="A69" s="43" t="s">
        <v>663</v>
      </c>
      <c r="B69" s="43" t="s">
        <v>808</v>
      </c>
      <c r="C69" s="45"/>
      <c r="D69" s="46">
        <v>45664.0</v>
      </c>
      <c r="E69" s="47" t="s">
        <v>107</v>
      </c>
      <c r="F69" s="43" t="s">
        <v>710</v>
      </c>
      <c r="G69" s="49" t="s">
        <v>682</v>
      </c>
      <c r="H69" s="44" t="s">
        <v>648</v>
      </c>
      <c r="I69" s="44" t="s">
        <v>732</v>
      </c>
      <c r="J69" s="50"/>
      <c r="K69" s="52"/>
      <c r="L69" s="50"/>
    </row>
    <row r="70" ht="18.0" customHeight="1">
      <c r="A70" s="43" t="s">
        <v>663</v>
      </c>
      <c r="B70" s="43" t="s">
        <v>808</v>
      </c>
      <c r="C70" s="45"/>
      <c r="D70" s="46">
        <v>45664.0</v>
      </c>
      <c r="E70" s="47" t="s">
        <v>130</v>
      </c>
      <c r="F70" s="43" t="s">
        <v>710</v>
      </c>
      <c r="G70" s="49" t="s">
        <v>682</v>
      </c>
      <c r="H70" s="67" t="s">
        <v>809</v>
      </c>
      <c r="I70" s="43" t="s">
        <v>556</v>
      </c>
      <c r="J70" s="52"/>
      <c r="K70" s="52"/>
      <c r="L70" s="50"/>
    </row>
    <row r="71" ht="18.0" customHeight="1">
      <c r="A71" s="43" t="s">
        <v>11</v>
      </c>
      <c r="B71" s="44" t="s">
        <v>810</v>
      </c>
      <c r="C71" s="45"/>
      <c r="D71" s="46">
        <v>45664.0</v>
      </c>
      <c r="E71" s="47" t="s">
        <v>811</v>
      </c>
      <c r="F71" s="43" t="s">
        <v>165</v>
      </c>
      <c r="G71" s="49" t="s">
        <v>682</v>
      </c>
      <c r="H71" s="44" t="s">
        <v>812</v>
      </c>
      <c r="I71" s="44" t="s">
        <v>813</v>
      </c>
      <c r="J71" s="43"/>
      <c r="K71" s="43"/>
      <c r="L71" s="50"/>
    </row>
    <row r="72" ht="18.0" customHeight="1">
      <c r="A72" s="43" t="s">
        <v>11</v>
      </c>
      <c r="B72" s="44" t="s">
        <v>810</v>
      </c>
      <c r="C72" s="45"/>
      <c r="D72" s="46">
        <v>45664.0</v>
      </c>
      <c r="E72" s="47" t="s">
        <v>814</v>
      </c>
      <c r="F72" s="43" t="s">
        <v>165</v>
      </c>
      <c r="G72" s="49" t="s">
        <v>682</v>
      </c>
      <c r="H72" s="44" t="s">
        <v>812</v>
      </c>
      <c r="I72" s="44" t="s">
        <v>813</v>
      </c>
      <c r="J72" s="50"/>
      <c r="K72" s="43"/>
      <c r="L72" s="50"/>
    </row>
    <row r="73" ht="18.0" customHeight="1">
      <c r="A73" s="43" t="s">
        <v>580</v>
      </c>
      <c r="B73" s="78" t="s">
        <v>815</v>
      </c>
      <c r="C73" s="45"/>
      <c r="D73" s="46">
        <v>45664.0</v>
      </c>
      <c r="E73" s="47" t="s">
        <v>816</v>
      </c>
      <c r="F73" s="43" t="s">
        <v>710</v>
      </c>
      <c r="G73" s="49" t="s">
        <v>682</v>
      </c>
      <c r="H73" s="44" t="s">
        <v>648</v>
      </c>
      <c r="I73" s="44" t="s">
        <v>817</v>
      </c>
      <c r="J73" s="50"/>
      <c r="K73" s="43"/>
      <c r="L73" s="50"/>
    </row>
    <row r="74" ht="18.0" customHeight="1">
      <c r="A74" s="43" t="s">
        <v>11</v>
      </c>
      <c r="B74" s="44" t="s">
        <v>818</v>
      </c>
      <c r="C74" s="45"/>
      <c r="D74" s="46">
        <v>45664.0</v>
      </c>
      <c r="E74" s="47" t="s">
        <v>38</v>
      </c>
      <c r="F74" s="43" t="s">
        <v>819</v>
      </c>
      <c r="G74" s="49" t="s">
        <v>686</v>
      </c>
      <c r="H74" s="44" t="s">
        <v>783</v>
      </c>
      <c r="I74" s="44" t="s">
        <v>103</v>
      </c>
      <c r="J74" s="44" t="s">
        <v>673</v>
      </c>
      <c r="K74" s="52"/>
      <c r="L74" s="50"/>
    </row>
    <row r="75" ht="18.0" customHeight="1">
      <c r="A75" s="43" t="s">
        <v>663</v>
      </c>
      <c r="B75" s="43" t="s">
        <v>820</v>
      </c>
      <c r="C75" s="45"/>
      <c r="D75" s="46">
        <v>45664.0</v>
      </c>
      <c r="E75" s="47" t="s">
        <v>821</v>
      </c>
      <c r="F75" s="43" t="s">
        <v>710</v>
      </c>
      <c r="G75" s="49" t="s">
        <v>682</v>
      </c>
      <c r="H75" s="44" t="s">
        <v>648</v>
      </c>
      <c r="I75" s="44" t="s">
        <v>732</v>
      </c>
      <c r="J75" s="58" t="s">
        <v>59</v>
      </c>
      <c r="K75" s="52"/>
      <c r="L75" s="50"/>
    </row>
    <row r="76" ht="18.0" customHeight="1">
      <c r="A76" s="43" t="s">
        <v>663</v>
      </c>
      <c r="B76" s="43" t="s">
        <v>822</v>
      </c>
      <c r="C76" s="45"/>
      <c r="D76" s="46">
        <v>45664.0</v>
      </c>
      <c r="E76" s="47" t="s">
        <v>107</v>
      </c>
      <c r="F76" s="43" t="s">
        <v>823</v>
      </c>
      <c r="G76" s="49" t="s">
        <v>682</v>
      </c>
      <c r="H76" s="67" t="s">
        <v>824</v>
      </c>
      <c r="I76" s="44" t="s">
        <v>732</v>
      </c>
      <c r="J76" s="44" t="s">
        <v>626</v>
      </c>
      <c r="K76" s="52"/>
      <c r="L76" s="50"/>
    </row>
    <row r="77" ht="18.0" customHeight="1">
      <c r="A77" s="43" t="s">
        <v>663</v>
      </c>
      <c r="B77" s="43" t="s">
        <v>822</v>
      </c>
      <c r="C77" s="45"/>
      <c r="D77" s="46">
        <v>45664.0</v>
      </c>
      <c r="E77" s="47" t="s">
        <v>825</v>
      </c>
      <c r="F77" s="43" t="s">
        <v>826</v>
      </c>
      <c r="G77" s="49" t="s">
        <v>682</v>
      </c>
      <c r="H77" s="44" t="s">
        <v>827</v>
      </c>
      <c r="I77" s="44" t="s">
        <v>732</v>
      </c>
      <c r="J77" s="44" t="s">
        <v>626</v>
      </c>
      <c r="K77" s="52"/>
      <c r="L77" s="50"/>
    </row>
    <row r="78" ht="18.0" customHeight="1">
      <c r="A78" s="43" t="s">
        <v>663</v>
      </c>
      <c r="B78" s="43" t="s">
        <v>828</v>
      </c>
      <c r="C78" s="45"/>
      <c r="D78" s="46">
        <v>45664.0</v>
      </c>
      <c r="E78" s="47" t="s">
        <v>188</v>
      </c>
      <c r="F78" s="43" t="s">
        <v>829</v>
      </c>
      <c r="G78" s="57" t="s">
        <v>830</v>
      </c>
      <c r="H78" s="67" t="s">
        <v>824</v>
      </c>
      <c r="I78" s="58" t="s">
        <v>556</v>
      </c>
      <c r="J78" s="50"/>
      <c r="K78" s="52"/>
      <c r="L78" s="50"/>
    </row>
    <row r="79" ht="18.0" customHeight="1">
      <c r="A79" s="43" t="s">
        <v>663</v>
      </c>
      <c r="B79" s="43" t="s">
        <v>831</v>
      </c>
      <c r="C79" s="45"/>
      <c r="D79" s="46">
        <v>45664.0</v>
      </c>
      <c r="E79" s="47" t="s">
        <v>107</v>
      </c>
      <c r="F79" s="43" t="s">
        <v>832</v>
      </c>
      <c r="G79" s="49" t="s">
        <v>686</v>
      </c>
      <c r="H79" s="67" t="s">
        <v>833</v>
      </c>
      <c r="I79" s="50"/>
      <c r="J79" s="50"/>
      <c r="K79" s="43"/>
      <c r="L79" s="50"/>
    </row>
    <row r="80" ht="18.0" customHeight="1">
      <c r="A80" s="43" t="s">
        <v>663</v>
      </c>
      <c r="B80" s="43" t="s">
        <v>834</v>
      </c>
      <c r="C80" s="45"/>
      <c r="D80" s="46">
        <v>45664.0</v>
      </c>
      <c r="E80" s="64" t="s">
        <v>835</v>
      </c>
      <c r="F80" s="43" t="s">
        <v>836</v>
      </c>
      <c r="G80" s="49" t="s">
        <v>837</v>
      </c>
      <c r="H80" s="44" t="s">
        <v>648</v>
      </c>
      <c r="I80" s="50"/>
      <c r="J80" s="50"/>
      <c r="K80" s="43"/>
      <c r="L80" s="50"/>
    </row>
    <row r="81" ht="18.0" customHeight="1">
      <c r="A81" s="43" t="s">
        <v>663</v>
      </c>
      <c r="B81" s="43" t="s">
        <v>834</v>
      </c>
      <c r="C81" s="45"/>
      <c r="D81" s="46">
        <v>45664.0</v>
      </c>
      <c r="E81" s="64" t="s">
        <v>838</v>
      </c>
      <c r="F81" s="43" t="s">
        <v>836</v>
      </c>
      <c r="G81" s="49" t="s">
        <v>837</v>
      </c>
      <c r="H81" s="44" t="s">
        <v>648</v>
      </c>
      <c r="I81" s="50"/>
      <c r="J81" s="50"/>
      <c r="K81" s="43"/>
      <c r="L81" s="50"/>
    </row>
    <row r="82" ht="18.0" customHeight="1">
      <c r="A82" s="43" t="s">
        <v>580</v>
      </c>
      <c r="B82" s="43" t="s">
        <v>623</v>
      </c>
      <c r="C82" s="45"/>
      <c r="D82" s="46">
        <v>45664.0</v>
      </c>
      <c r="E82" s="47" t="s">
        <v>625</v>
      </c>
      <c r="F82" s="43" t="s">
        <v>839</v>
      </c>
      <c r="G82" s="49" t="s">
        <v>686</v>
      </c>
      <c r="H82" s="44" t="s">
        <v>25</v>
      </c>
      <c r="I82" s="44" t="s">
        <v>687</v>
      </c>
      <c r="J82" s="58" t="s">
        <v>840</v>
      </c>
      <c r="K82" s="43"/>
      <c r="L82" s="50"/>
    </row>
    <row r="83" ht="18.0" customHeight="1">
      <c r="A83" s="43" t="s">
        <v>580</v>
      </c>
      <c r="B83" s="43" t="s">
        <v>841</v>
      </c>
      <c r="C83" s="45"/>
      <c r="D83" s="46">
        <v>45664.0</v>
      </c>
      <c r="E83" s="47" t="s">
        <v>188</v>
      </c>
      <c r="F83" s="43" t="s">
        <v>842</v>
      </c>
      <c r="G83" s="49" t="s">
        <v>686</v>
      </c>
      <c r="H83" s="44" t="s">
        <v>648</v>
      </c>
      <c r="I83" s="44" t="s">
        <v>687</v>
      </c>
      <c r="J83" s="50"/>
      <c r="K83" s="43"/>
      <c r="L83" s="50"/>
    </row>
    <row r="84" ht="18.0" customHeight="1">
      <c r="A84" s="43" t="s">
        <v>580</v>
      </c>
      <c r="B84" s="43" t="s">
        <v>843</v>
      </c>
      <c r="C84" s="45"/>
      <c r="D84" s="46">
        <v>45664.0</v>
      </c>
      <c r="E84" s="47" t="s">
        <v>565</v>
      </c>
      <c r="F84" s="43" t="s">
        <v>844</v>
      </c>
      <c r="G84" s="49" t="s">
        <v>686</v>
      </c>
      <c r="H84" s="44" t="s">
        <v>648</v>
      </c>
      <c r="I84" s="58" t="s">
        <v>845</v>
      </c>
      <c r="J84" s="50"/>
      <c r="K84" s="52"/>
      <c r="L84" s="50"/>
    </row>
    <row r="85" ht="18.0" customHeight="1">
      <c r="A85" s="43" t="s">
        <v>580</v>
      </c>
      <c r="B85" s="43" t="s">
        <v>846</v>
      </c>
      <c r="C85" s="45"/>
      <c r="D85" s="46">
        <v>45664.0</v>
      </c>
      <c r="E85" s="47" t="s">
        <v>107</v>
      </c>
      <c r="F85" s="43" t="s">
        <v>710</v>
      </c>
      <c r="G85" s="49" t="s">
        <v>686</v>
      </c>
      <c r="H85" s="67" t="s">
        <v>847</v>
      </c>
      <c r="I85" s="44" t="s">
        <v>687</v>
      </c>
      <c r="J85" s="50"/>
      <c r="K85" s="52"/>
      <c r="L85" s="50"/>
    </row>
    <row r="86" ht="18.0" customHeight="1">
      <c r="A86" s="43" t="s">
        <v>622</v>
      </c>
      <c r="B86" s="43" t="s">
        <v>848</v>
      </c>
      <c r="C86" s="45" t="s">
        <v>849</v>
      </c>
      <c r="D86" s="46">
        <v>45664.0</v>
      </c>
      <c r="E86" s="47" t="s">
        <v>850</v>
      </c>
      <c r="F86" s="43" t="s">
        <v>851</v>
      </c>
      <c r="G86" s="45" t="s">
        <v>852</v>
      </c>
      <c r="H86" s="44" t="s">
        <v>648</v>
      </c>
      <c r="I86" s="44" t="s">
        <v>687</v>
      </c>
      <c r="J86" s="50"/>
      <c r="K86" s="43"/>
      <c r="L86" s="50"/>
    </row>
    <row r="87" ht="18.0" customHeight="1">
      <c r="A87" s="43" t="s">
        <v>11</v>
      </c>
      <c r="B87" s="44" t="s">
        <v>853</v>
      </c>
      <c r="C87" s="45"/>
      <c r="D87" s="46">
        <v>45664.0</v>
      </c>
      <c r="E87" s="47" t="s">
        <v>854</v>
      </c>
      <c r="F87" s="43" t="s">
        <v>710</v>
      </c>
      <c r="G87" s="49" t="s">
        <v>686</v>
      </c>
      <c r="H87" s="44" t="s">
        <v>805</v>
      </c>
      <c r="I87" s="58" t="s">
        <v>855</v>
      </c>
      <c r="J87" s="50"/>
      <c r="K87" s="43"/>
      <c r="L87" s="50"/>
    </row>
    <row r="88" ht="18.0" customHeight="1">
      <c r="A88" s="43" t="s">
        <v>11</v>
      </c>
      <c r="B88" s="44" t="s">
        <v>856</v>
      </c>
      <c r="C88" s="45"/>
      <c r="D88" s="46">
        <v>45664.0</v>
      </c>
      <c r="E88" s="47" t="s">
        <v>811</v>
      </c>
      <c r="F88" s="43" t="s">
        <v>857</v>
      </c>
      <c r="G88" s="49" t="s">
        <v>858</v>
      </c>
      <c r="H88" s="44" t="s">
        <v>653</v>
      </c>
      <c r="I88" s="44" t="s">
        <v>859</v>
      </c>
      <c r="J88" s="50"/>
      <c r="K88" s="52"/>
      <c r="L88" s="50"/>
    </row>
    <row r="89" ht="18.0" customHeight="1">
      <c r="A89" s="43" t="s">
        <v>663</v>
      </c>
      <c r="B89" s="43" t="s">
        <v>860</v>
      </c>
      <c r="C89" s="45"/>
      <c r="D89" s="46">
        <v>45665.0</v>
      </c>
      <c r="E89" s="47" t="s">
        <v>814</v>
      </c>
      <c r="F89" s="43" t="s">
        <v>819</v>
      </c>
      <c r="G89" s="49" t="s">
        <v>686</v>
      </c>
      <c r="H89" s="44" t="s">
        <v>783</v>
      </c>
      <c r="I89" s="50"/>
      <c r="J89" s="50"/>
      <c r="K89" s="52"/>
      <c r="L89" s="50"/>
    </row>
    <row r="90" ht="18.0" customHeight="1">
      <c r="A90" s="43" t="s">
        <v>622</v>
      </c>
      <c r="B90" s="43" t="s">
        <v>861</v>
      </c>
      <c r="C90" s="45"/>
      <c r="D90" s="46">
        <v>45665.0</v>
      </c>
      <c r="E90" s="47" t="s">
        <v>862</v>
      </c>
      <c r="F90" s="43" t="s">
        <v>657</v>
      </c>
      <c r="G90" s="49" t="s">
        <v>686</v>
      </c>
      <c r="H90" s="44" t="s">
        <v>671</v>
      </c>
      <c r="I90" s="50"/>
      <c r="J90" s="58" t="s">
        <v>863</v>
      </c>
      <c r="K90" s="43"/>
      <c r="L90" s="50"/>
    </row>
    <row r="91" ht="18.0" customHeight="1">
      <c r="A91" s="43" t="s">
        <v>864</v>
      </c>
      <c r="B91" s="44" t="s">
        <v>865</v>
      </c>
      <c r="C91" s="45"/>
      <c r="D91" s="46">
        <v>45665.0</v>
      </c>
      <c r="E91" s="47" t="s">
        <v>38</v>
      </c>
      <c r="F91" s="43" t="s">
        <v>866</v>
      </c>
      <c r="G91" s="57" t="s">
        <v>867</v>
      </c>
      <c r="H91" s="44" t="s">
        <v>648</v>
      </c>
      <c r="I91" s="79" t="s">
        <v>868</v>
      </c>
      <c r="J91" s="50"/>
      <c r="K91" s="43"/>
      <c r="L91" s="50"/>
    </row>
    <row r="92" ht="18.0" customHeight="1">
      <c r="A92" s="43" t="s">
        <v>622</v>
      </c>
      <c r="B92" s="43" t="s">
        <v>550</v>
      </c>
      <c r="C92" s="45"/>
      <c r="D92" s="46">
        <v>45665.0</v>
      </c>
      <c r="E92" s="47" t="s">
        <v>869</v>
      </c>
      <c r="F92" s="43" t="s">
        <v>870</v>
      </c>
      <c r="G92" s="45" t="s">
        <v>871</v>
      </c>
      <c r="H92" s="44" t="s">
        <v>648</v>
      </c>
      <c r="I92" s="44" t="s">
        <v>687</v>
      </c>
      <c r="J92" s="50"/>
      <c r="K92" s="43"/>
      <c r="L92" s="50"/>
    </row>
    <row r="93" ht="18.0" customHeight="1">
      <c r="A93" s="43" t="s">
        <v>663</v>
      </c>
      <c r="B93" s="43" t="s">
        <v>413</v>
      </c>
      <c r="C93" s="45"/>
      <c r="D93" s="46">
        <v>45665.0</v>
      </c>
      <c r="E93" s="47" t="s">
        <v>234</v>
      </c>
      <c r="F93" s="43" t="s">
        <v>657</v>
      </c>
      <c r="G93" s="57" t="s">
        <v>872</v>
      </c>
      <c r="H93" s="44" t="s">
        <v>648</v>
      </c>
      <c r="I93" s="30" t="s">
        <v>873</v>
      </c>
      <c r="J93" s="50"/>
      <c r="K93" s="52"/>
      <c r="L93" s="50"/>
    </row>
    <row r="94" ht="18.0" customHeight="1">
      <c r="A94" s="43" t="s">
        <v>580</v>
      </c>
      <c r="B94" s="43" t="s">
        <v>874</v>
      </c>
      <c r="C94" s="45"/>
      <c r="D94" s="46">
        <v>45665.0</v>
      </c>
      <c r="E94" s="47" t="s">
        <v>107</v>
      </c>
      <c r="F94" s="43" t="s">
        <v>875</v>
      </c>
      <c r="G94" s="49" t="s">
        <v>686</v>
      </c>
      <c r="H94" s="44" t="s">
        <v>648</v>
      </c>
      <c r="I94" s="44" t="s">
        <v>687</v>
      </c>
      <c r="J94" s="50"/>
      <c r="K94" s="52"/>
      <c r="L94" s="50"/>
    </row>
    <row r="95" ht="18.0" customHeight="1">
      <c r="A95" s="43" t="s">
        <v>11</v>
      </c>
      <c r="B95" s="44" t="s">
        <v>876</v>
      </c>
      <c r="C95" s="45"/>
      <c r="D95" s="46">
        <v>45665.0</v>
      </c>
      <c r="E95" s="47" t="s">
        <v>575</v>
      </c>
      <c r="F95" s="43" t="s">
        <v>877</v>
      </c>
      <c r="G95" s="54"/>
      <c r="H95" s="44" t="s">
        <v>827</v>
      </c>
      <c r="I95" s="44" t="s">
        <v>878</v>
      </c>
      <c r="J95" s="50"/>
      <c r="K95" s="43"/>
      <c r="L95" s="50"/>
    </row>
    <row r="96" ht="18.0" customHeight="1">
      <c r="A96" s="43" t="s">
        <v>11</v>
      </c>
      <c r="B96" s="44" t="s">
        <v>550</v>
      </c>
      <c r="C96" s="45"/>
      <c r="D96" s="46">
        <v>45665.0</v>
      </c>
      <c r="E96" s="47" t="s">
        <v>879</v>
      </c>
      <c r="F96" s="43" t="s">
        <v>880</v>
      </c>
      <c r="G96" s="49" t="s">
        <v>682</v>
      </c>
      <c r="H96" s="44" t="s">
        <v>827</v>
      </c>
      <c r="I96" s="44" t="s">
        <v>881</v>
      </c>
      <c r="J96" s="50"/>
      <c r="K96" s="43" t="s">
        <v>882</v>
      </c>
      <c r="L96" s="50"/>
    </row>
    <row r="97" ht="18.0" customHeight="1">
      <c r="A97" s="43" t="s">
        <v>11</v>
      </c>
      <c r="B97" s="44" t="s">
        <v>883</v>
      </c>
      <c r="C97" s="45" t="s">
        <v>884</v>
      </c>
      <c r="D97" s="46">
        <v>45665.0</v>
      </c>
      <c r="E97" s="47" t="s">
        <v>292</v>
      </c>
      <c r="F97" s="43" t="s">
        <v>885</v>
      </c>
      <c r="G97" s="49" t="s">
        <v>682</v>
      </c>
      <c r="H97" s="44" t="s">
        <v>827</v>
      </c>
      <c r="I97" s="44" t="s">
        <v>567</v>
      </c>
      <c r="J97" s="50"/>
      <c r="K97" s="52"/>
      <c r="L97" s="50"/>
    </row>
    <row r="98" ht="18.0" customHeight="1">
      <c r="A98" s="43" t="s">
        <v>663</v>
      </c>
      <c r="B98" s="43" t="s">
        <v>886</v>
      </c>
      <c r="C98" s="45"/>
      <c r="D98" s="46">
        <v>45666.0</v>
      </c>
      <c r="E98" s="47" t="s">
        <v>887</v>
      </c>
      <c r="F98" s="43" t="s">
        <v>888</v>
      </c>
      <c r="G98" s="49" t="s">
        <v>686</v>
      </c>
      <c r="H98" s="44" t="s">
        <v>671</v>
      </c>
      <c r="I98" s="44" t="s">
        <v>103</v>
      </c>
      <c r="J98" s="50"/>
      <c r="K98" s="43"/>
      <c r="L98" s="50"/>
    </row>
    <row r="99" ht="18.0" customHeight="1">
      <c r="A99" s="43" t="s">
        <v>663</v>
      </c>
      <c r="B99" s="43" t="s">
        <v>889</v>
      </c>
      <c r="C99" s="45">
        <v>8.6667211204E10</v>
      </c>
      <c r="D99" s="46">
        <v>45666.0</v>
      </c>
      <c r="E99" s="47" t="s">
        <v>890</v>
      </c>
      <c r="F99" s="43" t="s">
        <v>891</v>
      </c>
      <c r="G99" s="49" t="s">
        <v>686</v>
      </c>
      <c r="H99" s="44" t="s">
        <v>671</v>
      </c>
      <c r="I99" s="44" t="s">
        <v>687</v>
      </c>
      <c r="J99" s="50"/>
      <c r="K99" s="52"/>
      <c r="L99" s="50"/>
    </row>
    <row r="100" ht="18.0" customHeight="1">
      <c r="A100" s="43" t="s">
        <v>580</v>
      </c>
      <c r="B100" s="43" t="s">
        <v>892</v>
      </c>
      <c r="C100" s="45"/>
      <c r="D100" s="46">
        <v>45666.0</v>
      </c>
      <c r="E100" s="47" t="s">
        <v>893</v>
      </c>
      <c r="F100" s="43" t="s">
        <v>839</v>
      </c>
      <c r="G100" s="49" t="s">
        <v>686</v>
      </c>
      <c r="H100" s="44" t="s">
        <v>671</v>
      </c>
      <c r="I100" s="44" t="s">
        <v>894</v>
      </c>
      <c r="J100" s="50"/>
      <c r="K100" s="52"/>
      <c r="L100" s="50"/>
    </row>
    <row r="101" ht="18.0" customHeight="1">
      <c r="A101" s="43" t="s">
        <v>895</v>
      </c>
      <c r="B101" s="43" t="s">
        <v>896</v>
      </c>
      <c r="C101" s="45"/>
      <c r="D101" s="46">
        <v>45666.0</v>
      </c>
      <c r="E101" s="47" t="s">
        <v>451</v>
      </c>
      <c r="F101" s="76" t="s">
        <v>897</v>
      </c>
      <c r="G101" s="80" t="s">
        <v>898</v>
      </c>
      <c r="H101" s="44" t="s">
        <v>827</v>
      </c>
      <c r="I101" s="43"/>
      <c r="J101" s="50"/>
      <c r="K101" s="52"/>
      <c r="L101" s="50"/>
    </row>
    <row r="102" ht="18.0" customHeight="1">
      <c r="A102" s="43" t="s">
        <v>622</v>
      </c>
      <c r="B102" s="43" t="s">
        <v>899</v>
      </c>
      <c r="C102" s="45"/>
      <c r="D102" s="46">
        <v>45666.0</v>
      </c>
      <c r="E102" s="47" t="s">
        <v>900</v>
      </c>
      <c r="F102" s="43" t="s">
        <v>901</v>
      </c>
      <c r="G102" s="81"/>
      <c r="H102" s="67" t="s">
        <v>901</v>
      </c>
      <c r="I102" s="50"/>
      <c r="J102" s="50"/>
      <c r="K102" s="52"/>
      <c r="L102" s="50"/>
    </row>
    <row r="103" ht="18.0" customHeight="1">
      <c r="A103" s="43" t="s">
        <v>663</v>
      </c>
      <c r="B103" s="43" t="s">
        <v>222</v>
      </c>
      <c r="C103" s="45"/>
      <c r="D103" s="46">
        <v>45666.0</v>
      </c>
      <c r="E103" s="47" t="s">
        <v>38</v>
      </c>
      <c r="F103" s="43" t="s">
        <v>223</v>
      </c>
      <c r="G103" s="49" t="s">
        <v>686</v>
      </c>
      <c r="H103" s="44" t="s">
        <v>827</v>
      </c>
      <c r="I103" s="44" t="s">
        <v>567</v>
      </c>
      <c r="J103" s="50"/>
      <c r="K103" s="43"/>
      <c r="L103" s="50"/>
    </row>
    <row r="104" ht="18.0" customHeight="1">
      <c r="A104" s="43" t="s">
        <v>580</v>
      </c>
      <c r="B104" s="43" t="s">
        <v>902</v>
      </c>
      <c r="C104" s="45"/>
      <c r="D104" s="46">
        <v>45666.0</v>
      </c>
      <c r="E104" s="47" t="s">
        <v>811</v>
      </c>
      <c r="F104" s="43" t="s">
        <v>903</v>
      </c>
      <c r="G104" s="54"/>
      <c r="H104" s="44" t="s">
        <v>648</v>
      </c>
      <c r="I104" s="44" t="s">
        <v>859</v>
      </c>
      <c r="J104" s="58" t="s">
        <v>46</v>
      </c>
      <c r="K104" s="52"/>
      <c r="L104" s="50"/>
    </row>
    <row r="105" ht="18.0" customHeight="1">
      <c r="A105" s="43" t="s">
        <v>622</v>
      </c>
      <c r="B105" s="43" t="s">
        <v>904</v>
      </c>
      <c r="C105" s="45"/>
      <c r="D105" s="46">
        <v>45666.0</v>
      </c>
      <c r="E105" s="47" t="s">
        <v>905</v>
      </c>
      <c r="F105" s="43" t="s">
        <v>906</v>
      </c>
      <c r="G105" s="54"/>
      <c r="H105" s="44" t="s">
        <v>907</v>
      </c>
      <c r="I105" s="50"/>
      <c r="J105" s="50"/>
      <c r="K105" s="52"/>
      <c r="L105" s="50"/>
    </row>
    <row r="106" ht="18.0" customHeight="1">
      <c r="A106" s="43" t="s">
        <v>622</v>
      </c>
      <c r="B106" s="43" t="s">
        <v>908</v>
      </c>
      <c r="C106" s="45"/>
      <c r="D106" s="46">
        <v>45666.0</v>
      </c>
      <c r="E106" s="47" t="s">
        <v>811</v>
      </c>
      <c r="F106" s="43" t="s">
        <v>909</v>
      </c>
      <c r="G106" s="49" t="s">
        <v>682</v>
      </c>
      <c r="H106" s="44" t="s">
        <v>783</v>
      </c>
      <c r="I106" s="44" t="s">
        <v>910</v>
      </c>
      <c r="J106" s="50"/>
      <c r="K106" s="52"/>
      <c r="L106" s="50"/>
    </row>
    <row r="107" ht="18.0" customHeight="1">
      <c r="A107" s="43" t="s">
        <v>622</v>
      </c>
      <c r="B107" s="43" t="s">
        <v>911</v>
      </c>
      <c r="C107" s="45"/>
      <c r="D107" s="46">
        <v>45666.0</v>
      </c>
      <c r="E107" s="47" t="s">
        <v>38</v>
      </c>
      <c r="F107" s="43" t="s">
        <v>912</v>
      </c>
      <c r="G107" s="49" t="s">
        <v>913</v>
      </c>
      <c r="H107" s="44" t="s">
        <v>783</v>
      </c>
      <c r="I107" s="44" t="s">
        <v>771</v>
      </c>
      <c r="J107" s="50"/>
      <c r="K107" s="43"/>
      <c r="L107" s="50"/>
    </row>
    <row r="108" ht="18.0" customHeight="1">
      <c r="A108" s="43" t="s">
        <v>663</v>
      </c>
      <c r="B108" s="43" t="s">
        <v>914</v>
      </c>
      <c r="C108" s="45"/>
      <c r="D108" s="46">
        <v>45666.0</v>
      </c>
      <c r="E108" s="64" t="s">
        <v>73</v>
      </c>
      <c r="F108" s="43" t="s">
        <v>165</v>
      </c>
      <c r="G108" s="49" t="s">
        <v>686</v>
      </c>
      <c r="H108" s="44" t="s">
        <v>783</v>
      </c>
      <c r="I108" s="58" t="s">
        <v>915</v>
      </c>
      <c r="J108" s="50"/>
      <c r="K108" s="52"/>
      <c r="L108" s="50"/>
    </row>
    <row r="109" ht="18.0" customHeight="1">
      <c r="A109" s="43" t="s">
        <v>622</v>
      </c>
      <c r="B109" s="43" t="s">
        <v>916</v>
      </c>
      <c r="C109" s="45"/>
      <c r="D109" s="46">
        <v>45666.0</v>
      </c>
      <c r="E109" s="47" t="s">
        <v>917</v>
      </c>
      <c r="F109" s="43" t="s">
        <v>710</v>
      </c>
      <c r="G109" s="54"/>
      <c r="H109" s="44" t="s">
        <v>648</v>
      </c>
      <c r="I109" s="44" t="s">
        <v>918</v>
      </c>
      <c r="J109" s="50"/>
      <c r="K109" s="52"/>
      <c r="L109" s="50"/>
    </row>
    <row r="110" ht="18.0" customHeight="1">
      <c r="A110" s="43" t="s">
        <v>919</v>
      </c>
      <c r="B110" s="43" t="s">
        <v>245</v>
      </c>
      <c r="C110" s="45" t="s">
        <v>244</v>
      </c>
      <c r="D110" s="46">
        <v>45667.0</v>
      </c>
      <c r="E110" s="47" t="s">
        <v>97</v>
      </c>
      <c r="F110" s="43" t="s">
        <v>920</v>
      </c>
      <c r="G110" s="49" t="s">
        <v>686</v>
      </c>
      <c r="H110" s="44" t="s">
        <v>653</v>
      </c>
      <c r="I110" s="44" t="s">
        <v>732</v>
      </c>
      <c r="J110" s="44" t="s">
        <v>65</v>
      </c>
      <c r="K110" s="43" t="s">
        <v>921</v>
      </c>
      <c r="L110" s="50"/>
    </row>
    <row r="111" ht="18.0" customHeight="1">
      <c r="A111" s="43" t="s">
        <v>622</v>
      </c>
      <c r="B111" s="43" t="s">
        <v>922</v>
      </c>
      <c r="C111" s="45"/>
      <c r="D111" s="46">
        <v>45667.0</v>
      </c>
      <c r="E111" s="47" t="s">
        <v>923</v>
      </c>
      <c r="F111" s="43" t="s">
        <v>924</v>
      </c>
      <c r="G111" s="49" t="s">
        <v>682</v>
      </c>
      <c r="H111" s="44" t="s">
        <v>783</v>
      </c>
      <c r="I111" s="44" t="s">
        <v>732</v>
      </c>
      <c r="J111" s="50"/>
      <c r="K111" s="52"/>
      <c r="L111" s="50"/>
    </row>
    <row r="112" ht="18.0" customHeight="1">
      <c r="A112" s="43" t="s">
        <v>580</v>
      </c>
      <c r="B112" s="43" t="s">
        <v>925</v>
      </c>
      <c r="C112" s="45"/>
      <c r="D112" s="46">
        <v>45667.0</v>
      </c>
      <c r="E112" s="47" t="s">
        <v>107</v>
      </c>
      <c r="F112" s="43" t="s">
        <v>926</v>
      </c>
      <c r="G112" s="49" t="s">
        <v>686</v>
      </c>
      <c r="H112" s="44" t="s">
        <v>648</v>
      </c>
      <c r="I112" s="44" t="s">
        <v>927</v>
      </c>
      <c r="J112" s="50"/>
      <c r="K112" s="52"/>
      <c r="L112" s="50"/>
    </row>
    <row r="113" ht="18.0" customHeight="1">
      <c r="A113" s="43" t="s">
        <v>663</v>
      </c>
      <c r="B113" s="43" t="s">
        <v>928</v>
      </c>
      <c r="C113" s="45"/>
      <c r="D113" s="46">
        <v>45667.0</v>
      </c>
      <c r="E113" s="47" t="s">
        <v>929</v>
      </c>
      <c r="F113" s="43" t="s">
        <v>930</v>
      </c>
      <c r="G113" s="49" t="s">
        <v>686</v>
      </c>
      <c r="H113" s="44" t="s">
        <v>648</v>
      </c>
      <c r="I113" s="44" t="s">
        <v>931</v>
      </c>
      <c r="J113" s="50"/>
      <c r="K113" s="52"/>
      <c r="L113" s="50"/>
    </row>
    <row r="114" ht="18.0" customHeight="1">
      <c r="A114" s="43" t="s">
        <v>580</v>
      </c>
      <c r="B114" s="43" t="s">
        <v>932</v>
      </c>
      <c r="C114" s="45"/>
      <c r="D114" s="46">
        <v>45667.0</v>
      </c>
      <c r="E114" s="47" t="s">
        <v>929</v>
      </c>
      <c r="F114" s="43" t="s">
        <v>933</v>
      </c>
      <c r="G114" s="49" t="s">
        <v>686</v>
      </c>
      <c r="H114" s="44" t="s">
        <v>648</v>
      </c>
      <c r="I114" s="44" t="s">
        <v>103</v>
      </c>
      <c r="J114" s="50"/>
      <c r="K114" s="52"/>
      <c r="L114" s="50"/>
    </row>
    <row r="115" ht="18.0" customHeight="1">
      <c r="A115" s="43" t="s">
        <v>27</v>
      </c>
      <c r="B115" s="44" t="s">
        <v>934</v>
      </c>
      <c r="C115" s="82" t="s">
        <v>935</v>
      </c>
      <c r="D115" s="46">
        <v>45669.0</v>
      </c>
      <c r="E115" s="47" t="s">
        <v>575</v>
      </c>
      <c r="F115" s="43" t="s">
        <v>936</v>
      </c>
      <c r="G115" s="49" t="s">
        <v>686</v>
      </c>
      <c r="H115" s="44" t="s">
        <v>653</v>
      </c>
      <c r="I115" s="44" t="s">
        <v>859</v>
      </c>
      <c r="J115" s="50"/>
      <c r="K115" s="43" t="s">
        <v>921</v>
      </c>
      <c r="L115" s="50"/>
    </row>
    <row r="116" ht="18.0" customHeight="1">
      <c r="A116" s="43" t="s">
        <v>663</v>
      </c>
      <c r="B116" s="43" t="s">
        <v>937</v>
      </c>
      <c r="C116" s="45"/>
      <c r="D116" s="46">
        <v>45670.0</v>
      </c>
      <c r="E116" s="47" t="s">
        <v>324</v>
      </c>
      <c r="F116" s="43" t="s">
        <v>938</v>
      </c>
      <c r="G116" s="49" t="s">
        <v>686</v>
      </c>
      <c r="H116" s="44" t="s">
        <v>671</v>
      </c>
      <c r="I116" s="44" t="s">
        <v>567</v>
      </c>
      <c r="J116" s="50"/>
      <c r="K116" s="52"/>
      <c r="L116" s="50"/>
    </row>
    <row r="117" ht="18.0" customHeight="1">
      <c r="A117" s="43" t="s">
        <v>663</v>
      </c>
      <c r="B117" s="43" t="s">
        <v>939</v>
      </c>
      <c r="C117" s="45"/>
      <c r="D117" s="46">
        <v>45670.0</v>
      </c>
      <c r="E117" s="64" t="s">
        <v>940</v>
      </c>
      <c r="F117" s="43" t="s">
        <v>941</v>
      </c>
      <c r="G117" s="49" t="s">
        <v>686</v>
      </c>
      <c r="H117" s="44" t="s">
        <v>942</v>
      </c>
      <c r="I117" s="44" t="s">
        <v>687</v>
      </c>
      <c r="J117" s="50"/>
      <c r="K117" s="52"/>
      <c r="L117" s="50"/>
    </row>
    <row r="118" ht="18.0" customHeight="1">
      <c r="A118" s="43" t="s">
        <v>663</v>
      </c>
      <c r="B118" s="43" t="s">
        <v>939</v>
      </c>
      <c r="C118" s="45"/>
      <c r="D118" s="46">
        <v>45670.0</v>
      </c>
      <c r="E118" s="64" t="s">
        <v>733</v>
      </c>
      <c r="F118" s="83" t="s">
        <v>943</v>
      </c>
      <c r="G118" s="49" t="s">
        <v>686</v>
      </c>
      <c r="H118" s="44" t="s">
        <v>942</v>
      </c>
      <c r="I118" s="44" t="s">
        <v>687</v>
      </c>
      <c r="J118" s="50"/>
      <c r="K118" s="43"/>
      <c r="L118" s="50"/>
    </row>
    <row r="119" ht="18.0" customHeight="1">
      <c r="A119" s="43" t="s">
        <v>622</v>
      </c>
      <c r="B119" s="43" t="s">
        <v>255</v>
      </c>
      <c r="C119" s="45"/>
      <c r="D119" s="46">
        <v>45670.0</v>
      </c>
      <c r="E119" s="47" t="s">
        <v>944</v>
      </c>
      <c r="F119" s="43" t="s">
        <v>945</v>
      </c>
      <c r="G119" s="49" t="s">
        <v>686</v>
      </c>
      <c r="H119" s="44" t="s">
        <v>648</v>
      </c>
      <c r="I119" s="50"/>
      <c r="J119" s="50"/>
      <c r="K119" s="52"/>
      <c r="L119" s="50"/>
    </row>
    <row r="120" ht="18.0" customHeight="1">
      <c r="A120" s="43" t="s">
        <v>622</v>
      </c>
      <c r="B120" s="43" t="s">
        <v>946</v>
      </c>
      <c r="C120" s="45"/>
      <c r="D120" s="46">
        <v>45670.0</v>
      </c>
      <c r="E120" s="47" t="s">
        <v>947</v>
      </c>
      <c r="F120" s="43" t="s">
        <v>948</v>
      </c>
      <c r="G120" s="54"/>
      <c r="H120" s="44" t="s">
        <v>671</v>
      </c>
      <c r="I120" s="50"/>
      <c r="J120" s="50"/>
      <c r="K120" s="52"/>
      <c r="L120" s="50"/>
    </row>
    <row r="121" ht="18.0" customHeight="1">
      <c r="A121" s="43" t="s">
        <v>580</v>
      </c>
      <c r="B121" s="43" t="s">
        <v>949</v>
      </c>
      <c r="C121" s="45"/>
      <c r="D121" s="46">
        <v>45670.0</v>
      </c>
      <c r="E121" s="47" t="s">
        <v>210</v>
      </c>
      <c r="F121" s="43" t="s">
        <v>950</v>
      </c>
      <c r="G121" s="57" t="s">
        <v>951</v>
      </c>
      <c r="H121" s="44" t="s">
        <v>671</v>
      </c>
      <c r="I121" s="50"/>
      <c r="J121" s="50"/>
      <c r="K121" s="52"/>
      <c r="L121" s="50"/>
    </row>
    <row r="122" ht="18.0" customHeight="1">
      <c r="A122" s="43" t="s">
        <v>580</v>
      </c>
      <c r="B122" s="43" t="s">
        <v>952</v>
      </c>
      <c r="C122" s="45"/>
      <c r="D122" s="46">
        <v>45670.0</v>
      </c>
      <c r="E122" s="47" t="s">
        <v>953</v>
      </c>
      <c r="F122" s="43" t="s">
        <v>954</v>
      </c>
      <c r="G122" s="54"/>
      <c r="H122" s="44" t="s">
        <v>783</v>
      </c>
      <c r="I122" s="44" t="s">
        <v>955</v>
      </c>
      <c r="J122" s="50"/>
      <c r="K122" s="52"/>
      <c r="L122" s="50"/>
    </row>
    <row r="123" ht="18.0" customHeight="1">
      <c r="A123" s="43" t="s">
        <v>663</v>
      </c>
      <c r="B123" s="43" t="s">
        <v>956</v>
      </c>
      <c r="C123" s="45"/>
      <c r="D123" s="46">
        <v>45670.0</v>
      </c>
      <c r="E123" s="47" t="s">
        <v>957</v>
      </c>
      <c r="F123" s="43" t="s">
        <v>875</v>
      </c>
      <c r="G123" s="54"/>
      <c r="H123" s="44" t="s">
        <v>783</v>
      </c>
      <c r="I123" s="50"/>
      <c r="J123" s="50"/>
      <c r="K123" s="52"/>
      <c r="L123" s="50"/>
    </row>
    <row r="124" ht="18.0" customHeight="1">
      <c r="A124" s="43" t="s">
        <v>622</v>
      </c>
      <c r="B124" s="43" t="s">
        <v>958</v>
      </c>
      <c r="C124" s="45"/>
      <c r="D124" s="46">
        <v>45670.0</v>
      </c>
      <c r="E124" s="47" t="s">
        <v>73</v>
      </c>
      <c r="F124" s="43" t="s">
        <v>959</v>
      </c>
      <c r="G124" s="49" t="s">
        <v>686</v>
      </c>
      <c r="H124" s="44" t="s">
        <v>783</v>
      </c>
      <c r="I124" s="44" t="s">
        <v>960</v>
      </c>
      <c r="J124" s="50"/>
      <c r="K124" s="43"/>
      <c r="L124" s="50"/>
    </row>
    <row r="125" ht="18.0" customHeight="1">
      <c r="A125" s="43" t="s">
        <v>580</v>
      </c>
      <c r="B125" s="43" t="s">
        <v>961</v>
      </c>
      <c r="C125" s="45"/>
      <c r="D125" s="46">
        <v>45670.0</v>
      </c>
      <c r="E125" s="47" t="s">
        <v>357</v>
      </c>
      <c r="F125" s="43" t="s">
        <v>962</v>
      </c>
      <c r="G125" s="54"/>
      <c r="H125" s="67" t="s">
        <v>963</v>
      </c>
      <c r="I125" s="50"/>
      <c r="J125" s="50"/>
      <c r="K125" s="43"/>
      <c r="L125" s="50"/>
    </row>
    <row r="126" ht="18.0" customHeight="1">
      <c r="A126" s="43" t="s">
        <v>663</v>
      </c>
      <c r="B126" s="43" t="s">
        <v>964</v>
      </c>
      <c r="C126" s="45"/>
      <c r="D126" s="46">
        <v>45670.0</v>
      </c>
      <c r="E126" s="47" t="s">
        <v>357</v>
      </c>
      <c r="F126" s="43" t="s">
        <v>965</v>
      </c>
      <c r="G126" s="57" t="s">
        <v>966</v>
      </c>
      <c r="H126" s="44" t="s">
        <v>648</v>
      </c>
      <c r="I126" s="58" t="s">
        <v>567</v>
      </c>
      <c r="J126" s="50"/>
      <c r="K126" s="52"/>
      <c r="L126" s="50"/>
    </row>
    <row r="127" ht="18.0" customHeight="1">
      <c r="A127" s="43" t="s">
        <v>171</v>
      </c>
      <c r="B127" s="43" t="s">
        <v>967</v>
      </c>
      <c r="C127" s="45" t="s">
        <v>968</v>
      </c>
      <c r="D127" s="46">
        <v>45670.0</v>
      </c>
      <c r="E127" s="47" t="s">
        <v>357</v>
      </c>
      <c r="F127" s="69" t="s">
        <v>969</v>
      </c>
      <c r="G127" s="84" t="s">
        <v>24</v>
      </c>
      <c r="H127" s="44" t="s">
        <v>648</v>
      </c>
      <c r="I127" s="44" t="s">
        <v>567</v>
      </c>
      <c r="J127" s="50"/>
      <c r="K127" s="43" t="s">
        <v>970</v>
      </c>
      <c r="L127" s="50"/>
    </row>
    <row r="128" ht="18.0" customHeight="1">
      <c r="A128" s="43" t="s">
        <v>622</v>
      </c>
      <c r="B128" s="43" t="s">
        <v>971</v>
      </c>
      <c r="C128" s="45"/>
      <c r="D128" s="46">
        <v>45670.0</v>
      </c>
      <c r="E128" s="47" t="s">
        <v>101</v>
      </c>
      <c r="F128" s="43" t="s">
        <v>972</v>
      </c>
      <c r="G128" s="54"/>
      <c r="H128" s="44" t="s">
        <v>741</v>
      </c>
      <c r="I128" s="44" t="s">
        <v>973</v>
      </c>
      <c r="J128" s="50"/>
      <c r="K128" s="52"/>
      <c r="L128" s="50"/>
    </row>
    <row r="129" ht="18.0" customHeight="1">
      <c r="A129" s="43" t="s">
        <v>622</v>
      </c>
      <c r="B129" s="43" t="s">
        <v>974</v>
      </c>
      <c r="C129" s="45"/>
      <c r="D129" s="46">
        <v>45670.0</v>
      </c>
      <c r="E129" s="47" t="s">
        <v>107</v>
      </c>
      <c r="F129" s="43" t="s">
        <v>975</v>
      </c>
      <c r="G129" s="54"/>
      <c r="H129" s="44" t="s">
        <v>741</v>
      </c>
      <c r="I129" s="44" t="s">
        <v>976</v>
      </c>
      <c r="J129" s="50"/>
      <c r="K129" s="52"/>
      <c r="L129" s="50"/>
    </row>
    <row r="130" ht="18.0" customHeight="1">
      <c r="A130" s="43" t="s">
        <v>622</v>
      </c>
      <c r="B130" s="43" t="s">
        <v>974</v>
      </c>
      <c r="C130" s="45"/>
      <c r="D130" s="46">
        <v>45670.0</v>
      </c>
      <c r="E130" s="47" t="s">
        <v>977</v>
      </c>
      <c r="F130" s="43" t="s">
        <v>975</v>
      </c>
      <c r="G130" s="54"/>
      <c r="H130" s="67" t="s">
        <v>978</v>
      </c>
      <c r="I130" s="50"/>
      <c r="J130" s="50"/>
      <c r="K130" s="52"/>
      <c r="L130" s="50"/>
    </row>
    <row r="131" ht="18.0" customHeight="1">
      <c r="A131" s="43" t="s">
        <v>580</v>
      </c>
      <c r="B131" s="43" t="s">
        <v>979</v>
      </c>
      <c r="C131" s="45"/>
      <c r="D131" s="46">
        <v>45670.0</v>
      </c>
      <c r="E131" s="47" t="s">
        <v>188</v>
      </c>
      <c r="F131" s="43" t="s">
        <v>980</v>
      </c>
      <c r="G131" s="49" t="s">
        <v>686</v>
      </c>
      <c r="H131" s="44" t="s">
        <v>741</v>
      </c>
      <c r="I131" s="58" t="s">
        <v>981</v>
      </c>
      <c r="J131" s="50"/>
      <c r="K131" s="58"/>
      <c r="L131" s="50"/>
    </row>
    <row r="132" ht="18.0" customHeight="1">
      <c r="A132" s="43" t="s">
        <v>663</v>
      </c>
      <c r="B132" s="43" t="s">
        <v>982</v>
      </c>
      <c r="C132" s="45"/>
      <c r="D132" s="46">
        <v>45670.0</v>
      </c>
      <c r="E132" s="64" t="s">
        <v>811</v>
      </c>
      <c r="F132" s="43" t="s">
        <v>983</v>
      </c>
      <c r="G132" s="49" t="s">
        <v>686</v>
      </c>
      <c r="H132" s="44" t="s">
        <v>741</v>
      </c>
      <c r="I132" s="44" t="s">
        <v>984</v>
      </c>
      <c r="J132" s="50"/>
      <c r="K132" s="43"/>
      <c r="L132" s="50"/>
    </row>
    <row r="133" ht="18.0" customHeight="1">
      <c r="A133" s="43" t="s">
        <v>622</v>
      </c>
      <c r="B133" s="43" t="s">
        <v>985</v>
      </c>
      <c r="C133" s="45"/>
      <c r="D133" s="46">
        <v>45670.0</v>
      </c>
      <c r="E133" s="47" t="s">
        <v>357</v>
      </c>
      <c r="F133" s="43" t="s">
        <v>986</v>
      </c>
      <c r="G133" s="49" t="s">
        <v>987</v>
      </c>
      <c r="H133" s="44" t="s">
        <v>741</v>
      </c>
      <c r="I133" s="58" t="s">
        <v>988</v>
      </c>
      <c r="J133" s="50"/>
      <c r="K133" s="52"/>
      <c r="L133" s="50"/>
    </row>
    <row r="134" ht="18.0" customHeight="1">
      <c r="A134" s="43" t="s">
        <v>663</v>
      </c>
      <c r="B134" s="43" t="s">
        <v>989</v>
      </c>
      <c r="C134" s="45"/>
      <c r="D134" s="46">
        <v>45670.0</v>
      </c>
      <c r="E134" s="47" t="s">
        <v>990</v>
      </c>
      <c r="F134" s="43" t="s">
        <v>991</v>
      </c>
      <c r="G134" s="49" t="s">
        <v>24</v>
      </c>
      <c r="H134" s="44" t="s">
        <v>741</v>
      </c>
      <c r="I134" s="43" t="s">
        <v>567</v>
      </c>
      <c r="J134" s="50"/>
      <c r="K134" s="52"/>
      <c r="L134" s="50"/>
    </row>
    <row r="135" ht="18.0" customHeight="1">
      <c r="A135" s="43" t="s">
        <v>663</v>
      </c>
      <c r="B135" s="43" t="s">
        <v>992</v>
      </c>
      <c r="C135" s="45"/>
      <c r="D135" s="46">
        <v>45670.0</v>
      </c>
      <c r="E135" s="47" t="s">
        <v>993</v>
      </c>
      <c r="F135" s="43" t="s">
        <v>994</v>
      </c>
      <c r="G135" s="54"/>
      <c r="H135" s="44" t="s">
        <v>741</v>
      </c>
      <c r="I135" s="58" t="s">
        <v>988</v>
      </c>
      <c r="J135" s="50"/>
      <c r="K135" s="43"/>
      <c r="L135" s="50"/>
    </row>
    <row r="136" ht="18.0" customHeight="1">
      <c r="A136" s="43" t="s">
        <v>622</v>
      </c>
      <c r="B136" s="43" t="s">
        <v>995</v>
      </c>
      <c r="C136" s="45"/>
      <c r="D136" s="46">
        <v>45670.0</v>
      </c>
      <c r="E136" s="47" t="s">
        <v>996</v>
      </c>
      <c r="F136" s="43" t="s">
        <v>997</v>
      </c>
      <c r="G136" s="54"/>
      <c r="H136" s="44" t="s">
        <v>998</v>
      </c>
      <c r="I136" s="50"/>
      <c r="J136" s="50"/>
      <c r="K136" s="43"/>
      <c r="L136" s="50"/>
    </row>
    <row r="137" ht="18.0" customHeight="1">
      <c r="A137" s="43" t="s">
        <v>622</v>
      </c>
      <c r="B137" s="43" t="s">
        <v>995</v>
      </c>
      <c r="C137" s="45"/>
      <c r="D137" s="46">
        <v>45670.0</v>
      </c>
      <c r="E137" s="47" t="s">
        <v>999</v>
      </c>
      <c r="F137" s="43" t="s">
        <v>1000</v>
      </c>
      <c r="G137" s="54"/>
      <c r="H137" s="44" t="s">
        <v>998</v>
      </c>
      <c r="I137" s="50"/>
      <c r="J137" s="50"/>
      <c r="K137" s="52"/>
      <c r="L137" s="50"/>
    </row>
    <row r="138" ht="18.0" customHeight="1">
      <c r="A138" s="43" t="s">
        <v>622</v>
      </c>
      <c r="B138" s="43" t="s">
        <v>1001</v>
      </c>
      <c r="C138" s="45"/>
      <c r="D138" s="46">
        <v>45670.0</v>
      </c>
      <c r="E138" s="64" t="s">
        <v>727</v>
      </c>
      <c r="F138" s="43" t="s">
        <v>1002</v>
      </c>
      <c r="G138" s="54"/>
      <c r="H138" s="44" t="s">
        <v>741</v>
      </c>
      <c r="I138" s="58" t="s">
        <v>1003</v>
      </c>
      <c r="J138" s="50"/>
      <c r="K138" s="43"/>
      <c r="L138" s="50"/>
    </row>
    <row r="139" ht="18.0" customHeight="1">
      <c r="A139" s="43" t="s">
        <v>580</v>
      </c>
      <c r="B139" s="43" t="s">
        <v>1004</v>
      </c>
      <c r="C139" s="45"/>
      <c r="D139" s="46">
        <v>45671.0</v>
      </c>
      <c r="E139" s="47" t="s">
        <v>107</v>
      </c>
      <c r="F139" s="43" t="s">
        <v>1005</v>
      </c>
      <c r="G139" s="49" t="s">
        <v>686</v>
      </c>
      <c r="H139" s="44" t="s">
        <v>741</v>
      </c>
      <c r="I139" s="50"/>
      <c r="J139" s="50"/>
      <c r="K139" s="43"/>
      <c r="L139" s="50"/>
    </row>
    <row r="140" ht="18.0" customHeight="1">
      <c r="A140" s="43" t="s">
        <v>580</v>
      </c>
      <c r="B140" s="43" t="s">
        <v>1006</v>
      </c>
      <c r="C140" s="45"/>
      <c r="D140" s="46">
        <v>45671.0</v>
      </c>
      <c r="E140" s="47" t="s">
        <v>135</v>
      </c>
      <c r="F140" s="43" t="s">
        <v>1007</v>
      </c>
      <c r="G140" s="54"/>
      <c r="H140" s="44" t="s">
        <v>741</v>
      </c>
      <c r="I140" s="50"/>
      <c r="J140" s="50"/>
      <c r="K140" s="52"/>
      <c r="L140" s="50"/>
    </row>
    <row r="141" ht="18.0" customHeight="1">
      <c r="A141" s="43" t="s">
        <v>580</v>
      </c>
      <c r="B141" s="43" t="s">
        <v>1008</v>
      </c>
      <c r="C141" s="45"/>
      <c r="D141" s="46">
        <v>45671.0</v>
      </c>
      <c r="E141" s="47" t="s">
        <v>1009</v>
      </c>
      <c r="F141" s="43" t="s">
        <v>1010</v>
      </c>
      <c r="G141" s="49" t="s">
        <v>686</v>
      </c>
      <c r="H141" s="44" t="s">
        <v>741</v>
      </c>
      <c r="I141" s="58" t="s">
        <v>1011</v>
      </c>
      <c r="J141" s="50"/>
      <c r="K141" s="52"/>
      <c r="L141" s="50"/>
    </row>
    <row r="142" ht="18.0" customHeight="1">
      <c r="A142" s="43" t="s">
        <v>622</v>
      </c>
      <c r="B142" s="43" t="s">
        <v>1012</v>
      </c>
      <c r="C142" s="45"/>
      <c r="D142" s="46">
        <v>45671.0</v>
      </c>
      <c r="E142" s="47" t="s">
        <v>357</v>
      </c>
      <c r="F142" s="43" t="s">
        <v>1013</v>
      </c>
      <c r="G142" s="49" t="s">
        <v>686</v>
      </c>
      <c r="H142" s="44" t="s">
        <v>741</v>
      </c>
      <c r="I142" s="44" t="s">
        <v>1014</v>
      </c>
      <c r="J142" s="50"/>
      <c r="K142" s="43"/>
      <c r="L142" s="50"/>
    </row>
    <row r="143" ht="18.0" customHeight="1">
      <c r="A143" s="43" t="s">
        <v>580</v>
      </c>
      <c r="B143" s="43" t="s">
        <v>424</v>
      </c>
      <c r="C143" s="45"/>
      <c r="D143" s="46">
        <v>45671.0</v>
      </c>
      <c r="E143" s="85"/>
      <c r="F143" s="43" t="s">
        <v>1015</v>
      </c>
      <c r="G143" s="54"/>
      <c r="H143" s="44" t="s">
        <v>963</v>
      </c>
      <c r="I143" s="50"/>
      <c r="J143" s="50"/>
      <c r="K143" s="52"/>
      <c r="L143" s="50"/>
    </row>
    <row r="144" ht="18.0" customHeight="1">
      <c r="A144" s="58" t="s">
        <v>580</v>
      </c>
      <c r="B144" s="43" t="s">
        <v>1016</v>
      </c>
      <c r="C144" s="45"/>
      <c r="D144" s="46">
        <v>45671.0</v>
      </c>
      <c r="E144" s="47" t="s">
        <v>1017</v>
      </c>
      <c r="F144" s="43" t="s">
        <v>1018</v>
      </c>
      <c r="G144" s="54"/>
      <c r="H144" s="44" t="s">
        <v>1019</v>
      </c>
      <c r="I144" s="50"/>
      <c r="J144" s="50"/>
      <c r="K144" s="58"/>
      <c r="L144" s="50"/>
    </row>
    <row r="145" ht="18.0" customHeight="1">
      <c r="A145" s="58" t="s">
        <v>580</v>
      </c>
      <c r="B145" s="43" t="s">
        <v>1016</v>
      </c>
      <c r="C145" s="45"/>
      <c r="D145" s="46">
        <v>45671.0</v>
      </c>
      <c r="E145" s="47" t="s">
        <v>1020</v>
      </c>
      <c r="F145" s="43" t="s">
        <v>1021</v>
      </c>
      <c r="G145" s="54"/>
      <c r="H145" s="44" t="s">
        <v>1022</v>
      </c>
      <c r="I145" s="50"/>
      <c r="J145" s="50"/>
      <c r="K145" s="58"/>
      <c r="L145" s="50"/>
    </row>
    <row r="146" ht="18.0" customHeight="1">
      <c r="A146" s="43" t="s">
        <v>580</v>
      </c>
      <c r="B146" s="43" t="s">
        <v>1023</v>
      </c>
      <c r="C146" s="45"/>
      <c r="D146" s="46">
        <v>45671.0</v>
      </c>
      <c r="E146" s="47" t="s">
        <v>1024</v>
      </c>
      <c r="F146" s="43" t="s">
        <v>1025</v>
      </c>
      <c r="G146" s="54"/>
      <c r="H146" s="44" t="s">
        <v>1026</v>
      </c>
      <c r="I146" s="50"/>
      <c r="J146" s="50"/>
      <c r="K146" s="43"/>
      <c r="L146" s="50"/>
    </row>
    <row r="147" ht="18.0" customHeight="1">
      <c r="A147" s="43" t="s">
        <v>580</v>
      </c>
      <c r="B147" s="43" t="s">
        <v>1027</v>
      </c>
      <c r="C147" s="45"/>
      <c r="D147" s="46">
        <v>45671.0</v>
      </c>
      <c r="E147" s="47" t="s">
        <v>158</v>
      </c>
      <c r="F147" s="43" t="s">
        <v>1028</v>
      </c>
      <c r="G147" s="54"/>
      <c r="H147" s="44" t="s">
        <v>741</v>
      </c>
      <c r="I147" s="50"/>
      <c r="J147" s="50"/>
      <c r="K147" s="43"/>
      <c r="L147" s="50"/>
    </row>
    <row r="148" ht="18.0" customHeight="1">
      <c r="A148" s="43" t="s">
        <v>622</v>
      </c>
      <c r="B148" s="43" t="s">
        <v>1027</v>
      </c>
      <c r="C148" s="45"/>
      <c r="D148" s="46">
        <v>45671.0</v>
      </c>
      <c r="E148" s="47" t="s">
        <v>97</v>
      </c>
      <c r="F148" s="43" t="s">
        <v>1029</v>
      </c>
      <c r="G148" s="54"/>
      <c r="H148" s="44" t="s">
        <v>741</v>
      </c>
      <c r="I148" s="50"/>
      <c r="J148" s="50"/>
      <c r="K148" s="43"/>
      <c r="L148" s="50"/>
    </row>
    <row r="149" ht="18.0" customHeight="1">
      <c r="A149" s="43" t="s">
        <v>171</v>
      </c>
      <c r="B149" s="43" t="s">
        <v>1030</v>
      </c>
      <c r="C149" s="45" t="s">
        <v>1031</v>
      </c>
      <c r="D149" s="46">
        <v>45671.0</v>
      </c>
      <c r="E149" s="47" t="s">
        <v>357</v>
      </c>
      <c r="F149" s="43" t="s">
        <v>1032</v>
      </c>
      <c r="G149" s="49" t="s">
        <v>686</v>
      </c>
      <c r="H149" s="44" t="s">
        <v>741</v>
      </c>
      <c r="I149" s="44" t="s">
        <v>18</v>
      </c>
      <c r="J149" s="50"/>
      <c r="K149" s="43"/>
      <c r="L149" s="50"/>
    </row>
    <row r="150" ht="18.0" customHeight="1">
      <c r="A150" s="43" t="s">
        <v>11</v>
      </c>
      <c r="B150" s="44" t="s">
        <v>1033</v>
      </c>
      <c r="C150" s="45" t="s">
        <v>1034</v>
      </c>
      <c r="D150" s="46">
        <v>45671.0</v>
      </c>
      <c r="E150" s="47" t="s">
        <v>1035</v>
      </c>
      <c r="F150" s="43" t="s">
        <v>1036</v>
      </c>
      <c r="G150" s="49" t="s">
        <v>1037</v>
      </c>
      <c r="H150" s="44" t="s">
        <v>303</v>
      </c>
      <c r="I150" s="44" t="s">
        <v>881</v>
      </c>
      <c r="J150" s="50"/>
      <c r="K150" s="43" t="s">
        <v>1038</v>
      </c>
      <c r="L150" s="50"/>
    </row>
    <row r="151" ht="18.0" customHeight="1">
      <c r="A151" s="43" t="s">
        <v>663</v>
      </c>
      <c r="B151" s="43" t="s">
        <v>1039</v>
      </c>
      <c r="C151" s="45"/>
      <c r="D151" s="46">
        <v>45671.0</v>
      </c>
      <c r="E151" s="47" t="s">
        <v>1040</v>
      </c>
      <c r="F151" s="43" t="s">
        <v>1041</v>
      </c>
      <c r="G151" s="54"/>
      <c r="H151" s="44" t="s">
        <v>741</v>
      </c>
      <c r="I151" s="44" t="s">
        <v>1042</v>
      </c>
      <c r="J151" s="50"/>
      <c r="K151" s="52"/>
      <c r="L151" s="50"/>
    </row>
    <row r="152" ht="18.0" customHeight="1">
      <c r="A152" s="43" t="s">
        <v>580</v>
      </c>
      <c r="B152" s="43" t="s">
        <v>1043</v>
      </c>
      <c r="C152" s="45"/>
      <c r="D152" s="46">
        <v>45671.0</v>
      </c>
      <c r="E152" s="47" t="s">
        <v>107</v>
      </c>
      <c r="F152" s="43" t="s">
        <v>1044</v>
      </c>
      <c r="G152" s="49" t="s">
        <v>686</v>
      </c>
      <c r="H152" s="44" t="s">
        <v>741</v>
      </c>
      <c r="I152" s="44" t="s">
        <v>1045</v>
      </c>
      <c r="J152" s="50"/>
      <c r="K152" s="52"/>
      <c r="L152" s="50"/>
    </row>
    <row r="153" ht="18.0" customHeight="1">
      <c r="A153" s="43" t="s">
        <v>622</v>
      </c>
      <c r="B153" s="43" t="s">
        <v>1046</v>
      </c>
      <c r="C153" s="45"/>
      <c r="D153" s="46">
        <v>45671.0</v>
      </c>
      <c r="E153" s="47" t="s">
        <v>357</v>
      </c>
      <c r="F153" s="43" t="s">
        <v>1047</v>
      </c>
      <c r="G153" s="54"/>
      <c r="H153" s="44" t="s">
        <v>303</v>
      </c>
      <c r="I153" s="50"/>
      <c r="J153" s="50"/>
      <c r="K153" s="52"/>
      <c r="L153" s="50"/>
    </row>
    <row r="154" ht="18.0" customHeight="1">
      <c r="A154" s="43" t="s">
        <v>580</v>
      </c>
      <c r="B154" s="43" t="s">
        <v>659</v>
      </c>
      <c r="C154" s="45"/>
      <c r="D154" s="46">
        <v>45671.0</v>
      </c>
      <c r="E154" s="86" t="s">
        <v>551</v>
      </c>
      <c r="F154" s="43" t="s">
        <v>1048</v>
      </c>
      <c r="G154" s="54"/>
      <c r="H154" s="44" t="s">
        <v>741</v>
      </c>
      <c r="I154" s="50"/>
      <c r="J154" s="50"/>
      <c r="K154" s="52"/>
      <c r="L154" s="50"/>
    </row>
    <row r="155" ht="18.0" customHeight="1">
      <c r="A155" s="43" t="s">
        <v>580</v>
      </c>
      <c r="B155" s="43" t="s">
        <v>937</v>
      </c>
      <c r="C155" s="45"/>
      <c r="D155" s="46">
        <v>45671.0</v>
      </c>
      <c r="E155" s="47" t="s">
        <v>1049</v>
      </c>
      <c r="F155" s="43" t="s">
        <v>1050</v>
      </c>
      <c r="G155" s="54"/>
      <c r="H155" s="44" t="s">
        <v>741</v>
      </c>
      <c r="I155" s="50"/>
      <c r="J155" s="50"/>
      <c r="K155" s="52"/>
      <c r="L155" s="50"/>
    </row>
    <row r="156" ht="18.0" customHeight="1">
      <c r="A156" s="43" t="s">
        <v>663</v>
      </c>
      <c r="B156" s="43" t="s">
        <v>1051</v>
      </c>
      <c r="C156" s="45"/>
      <c r="D156" s="46">
        <v>45671.0</v>
      </c>
      <c r="E156" s="47" t="s">
        <v>1052</v>
      </c>
      <c r="F156" s="43" t="s">
        <v>1053</v>
      </c>
      <c r="G156" s="49" t="s">
        <v>686</v>
      </c>
      <c r="H156" s="44" t="s">
        <v>741</v>
      </c>
      <c r="I156" s="87" t="s">
        <v>1054</v>
      </c>
      <c r="J156" s="50"/>
      <c r="K156" s="43"/>
      <c r="L156" s="50"/>
    </row>
    <row r="157" ht="18.0" customHeight="1">
      <c r="A157" s="43" t="s">
        <v>622</v>
      </c>
      <c r="B157" s="43" t="s">
        <v>1055</v>
      </c>
      <c r="C157" s="45"/>
      <c r="D157" s="46">
        <v>45672.0</v>
      </c>
      <c r="E157" s="47" t="s">
        <v>1056</v>
      </c>
      <c r="F157" s="43" t="s">
        <v>1057</v>
      </c>
      <c r="G157" s="54"/>
      <c r="H157" s="44" t="s">
        <v>741</v>
      </c>
      <c r="I157" s="50"/>
      <c r="J157" s="50"/>
      <c r="K157" s="43"/>
      <c r="L157" s="50"/>
    </row>
    <row r="158" ht="18.0" customHeight="1">
      <c r="A158" s="43" t="s">
        <v>622</v>
      </c>
      <c r="B158" s="43" t="s">
        <v>1058</v>
      </c>
      <c r="C158" s="45"/>
      <c r="D158" s="46">
        <v>45672.0</v>
      </c>
      <c r="E158" s="47" t="s">
        <v>1059</v>
      </c>
      <c r="F158" s="43" t="s">
        <v>1060</v>
      </c>
      <c r="G158" s="54"/>
      <c r="H158" s="44" t="s">
        <v>741</v>
      </c>
      <c r="I158" s="50"/>
      <c r="J158" s="44" t="s">
        <v>59</v>
      </c>
      <c r="K158" s="52"/>
      <c r="L158" s="50"/>
    </row>
    <row r="159" ht="18.0" customHeight="1">
      <c r="A159" s="43" t="s">
        <v>622</v>
      </c>
      <c r="B159" s="43" t="s">
        <v>1058</v>
      </c>
      <c r="C159" s="45"/>
      <c r="D159" s="46">
        <v>45672.0</v>
      </c>
      <c r="E159" s="47" t="s">
        <v>1061</v>
      </c>
      <c r="F159" s="43" t="s">
        <v>1060</v>
      </c>
      <c r="G159" s="54"/>
      <c r="H159" s="44" t="s">
        <v>741</v>
      </c>
      <c r="I159" s="50"/>
      <c r="J159" s="44" t="s">
        <v>59</v>
      </c>
      <c r="K159" s="52"/>
      <c r="L159" s="50"/>
    </row>
    <row r="160" ht="18.0" customHeight="1">
      <c r="A160" s="43" t="s">
        <v>622</v>
      </c>
      <c r="B160" s="43" t="s">
        <v>1062</v>
      </c>
      <c r="C160" s="45"/>
      <c r="D160" s="46">
        <v>45672.0</v>
      </c>
      <c r="E160" s="47" t="s">
        <v>188</v>
      </c>
      <c r="F160" s="43" t="s">
        <v>1063</v>
      </c>
      <c r="G160" s="54"/>
      <c r="H160" s="67" t="s">
        <v>1019</v>
      </c>
      <c r="I160" s="50"/>
      <c r="J160" s="50"/>
      <c r="K160" s="52"/>
      <c r="L160" s="50"/>
    </row>
    <row r="161" ht="18.0" customHeight="1">
      <c r="A161" s="43" t="s">
        <v>622</v>
      </c>
      <c r="B161" s="43" t="s">
        <v>1064</v>
      </c>
      <c r="C161" s="45"/>
      <c r="D161" s="46">
        <v>45672.0</v>
      </c>
      <c r="E161" s="47" t="s">
        <v>1065</v>
      </c>
      <c r="F161" s="43" t="s">
        <v>1066</v>
      </c>
      <c r="G161" s="54"/>
      <c r="H161" s="44" t="s">
        <v>741</v>
      </c>
      <c r="I161" s="30" t="s">
        <v>1067</v>
      </c>
      <c r="J161" s="50"/>
      <c r="K161" s="52"/>
      <c r="L161" s="50"/>
    </row>
    <row r="162" ht="18.0" customHeight="1">
      <c r="A162" s="43" t="s">
        <v>580</v>
      </c>
      <c r="B162" s="43" t="s">
        <v>1068</v>
      </c>
      <c r="C162" s="45"/>
      <c r="D162" s="46">
        <v>45672.0</v>
      </c>
      <c r="E162" s="47" t="s">
        <v>1069</v>
      </c>
      <c r="F162" s="43" t="s">
        <v>1070</v>
      </c>
      <c r="G162" s="54"/>
      <c r="H162" s="67" t="s">
        <v>1019</v>
      </c>
      <c r="I162" s="50"/>
      <c r="J162" s="50"/>
      <c r="K162" s="52"/>
      <c r="L162" s="50"/>
    </row>
    <row r="163" ht="18.0" customHeight="1">
      <c r="A163" s="43" t="s">
        <v>580</v>
      </c>
      <c r="B163" s="43" t="s">
        <v>708</v>
      </c>
      <c r="C163" s="45"/>
      <c r="D163" s="46">
        <v>45672.0</v>
      </c>
      <c r="E163" s="47" t="s">
        <v>1071</v>
      </c>
      <c r="F163" s="43" t="s">
        <v>1072</v>
      </c>
      <c r="G163" s="54"/>
      <c r="H163" s="44" t="s">
        <v>741</v>
      </c>
      <c r="I163" s="50"/>
      <c r="J163" s="50"/>
      <c r="K163" s="52"/>
      <c r="L163" s="50"/>
    </row>
    <row r="164" ht="18.0" customHeight="1">
      <c r="A164" s="43" t="s">
        <v>580</v>
      </c>
      <c r="B164" s="43" t="s">
        <v>708</v>
      </c>
      <c r="C164" s="45"/>
      <c r="D164" s="46">
        <v>45672.0</v>
      </c>
      <c r="E164" s="47" t="s">
        <v>357</v>
      </c>
      <c r="F164" s="43" t="s">
        <v>1073</v>
      </c>
      <c r="G164" s="54"/>
      <c r="H164" s="44" t="s">
        <v>741</v>
      </c>
      <c r="I164" s="58" t="s">
        <v>1074</v>
      </c>
      <c r="J164" s="50"/>
      <c r="K164" s="52"/>
      <c r="L164" s="50"/>
    </row>
    <row r="165" ht="18.0" customHeight="1">
      <c r="A165" s="43" t="s">
        <v>622</v>
      </c>
      <c r="B165" s="43" t="s">
        <v>1075</v>
      </c>
      <c r="C165" s="45"/>
      <c r="D165" s="46">
        <v>45672.0</v>
      </c>
      <c r="E165" s="47" t="s">
        <v>854</v>
      </c>
      <c r="F165" s="43" t="s">
        <v>1073</v>
      </c>
      <c r="G165" s="49" t="s">
        <v>686</v>
      </c>
      <c r="H165" s="44" t="s">
        <v>741</v>
      </c>
      <c r="I165" s="44" t="s">
        <v>1042</v>
      </c>
      <c r="J165" s="50"/>
      <c r="K165" s="43"/>
      <c r="L165" s="50"/>
    </row>
    <row r="166" ht="18.0" customHeight="1">
      <c r="A166" s="43" t="s">
        <v>622</v>
      </c>
      <c r="B166" s="43" t="s">
        <v>1076</v>
      </c>
      <c r="C166" s="45" t="s">
        <v>1077</v>
      </c>
      <c r="D166" s="46">
        <v>45672.0</v>
      </c>
      <c r="E166" s="47" t="s">
        <v>854</v>
      </c>
      <c r="F166" s="43" t="s">
        <v>1078</v>
      </c>
      <c r="G166" s="49" t="s">
        <v>686</v>
      </c>
      <c r="H166" s="44" t="s">
        <v>741</v>
      </c>
      <c r="I166" s="44" t="s">
        <v>1042</v>
      </c>
      <c r="J166" s="50"/>
      <c r="K166" s="52"/>
      <c r="L166" s="50"/>
    </row>
    <row r="167" ht="18.0" customHeight="1">
      <c r="A167" s="43" t="s">
        <v>622</v>
      </c>
      <c r="B167" s="43" t="s">
        <v>1079</v>
      </c>
      <c r="C167" s="45"/>
      <c r="D167" s="46">
        <v>45672.0</v>
      </c>
      <c r="E167" s="47" t="s">
        <v>854</v>
      </c>
      <c r="F167" s="43" t="s">
        <v>1080</v>
      </c>
      <c r="G167" s="49" t="s">
        <v>686</v>
      </c>
      <c r="H167" s="44" t="s">
        <v>741</v>
      </c>
      <c r="I167" s="44" t="s">
        <v>1042</v>
      </c>
      <c r="J167" s="50"/>
      <c r="K167" s="52"/>
      <c r="L167" s="50"/>
    </row>
    <row r="168" ht="18.0" customHeight="1">
      <c r="A168" s="43" t="s">
        <v>622</v>
      </c>
      <c r="B168" s="43" t="s">
        <v>1081</v>
      </c>
      <c r="C168" s="45"/>
      <c r="D168" s="46">
        <v>45672.0</v>
      </c>
      <c r="E168" s="47" t="s">
        <v>746</v>
      </c>
      <c r="F168" s="43" t="s">
        <v>1082</v>
      </c>
      <c r="G168" s="49" t="s">
        <v>686</v>
      </c>
      <c r="H168" s="44" t="s">
        <v>741</v>
      </c>
      <c r="I168" s="44" t="s">
        <v>1042</v>
      </c>
      <c r="J168" s="50"/>
      <c r="K168" s="52"/>
      <c r="L168" s="50"/>
    </row>
    <row r="169" ht="18.0" customHeight="1">
      <c r="A169" s="43" t="s">
        <v>580</v>
      </c>
      <c r="B169" s="43" t="s">
        <v>1083</v>
      </c>
      <c r="C169" s="45"/>
      <c r="D169" s="46">
        <v>45672.0</v>
      </c>
      <c r="E169" s="47" t="s">
        <v>357</v>
      </c>
      <c r="F169" s="43" t="s">
        <v>1084</v>
      </c>
      <c r="G169" s="54"/>
      <c r="H169" s="44" t="s">
        <v>741</v>
      </c>
      <c r="I169" s="44" t="s">
        <v>1085</v>
      </c>
      <c r="J169" s="50"/>
      <c r="K169" s="52"/>
      <c r="L169" s="50"/>
    </row>
    <row r="170" ht="18.0" customHeight="1">
      <c r="A170" s="43" t="s">
        <v>622</v>
      </c>
      <c r="B170" s="43" t="s">
        <v>1086</v>
      </c>
      <c r="C170" s="45"/>
      <c r="D170" s="46">
        <v>45673.0</v>
      </c>
      <c r="E170" s="47" t="s">
        <v>1087</v>
      </c>
      <c r="F170" s="43" t="s">
        <v>1088</v>
      </c>
      <c r="G170" s="49" t="s">
        <v>686</v>
      </c>
      <c r="H170" s="44" t="s">
        <v>741</v>
      </c>
      <c r="I170" s="44" t="s">
        <v>1042</v>
      </c>
      <c r="J170" s="50"/>
      <c r="K170" s="43" t="s">
        <v>1089</v>
      </c>
      <c r="L170" s="50"/>
    </row>
    <row r="171" ht="18.0" customHeight="1">
      <c r="A171" s="43" t="s">
        <v>580</v>
      </c>
      <c r="B171" s="43" t="s">
        <v>908</v>
      </c>
      <c r="C171" s="45"/>
      <c r="D171" s="46">
        <v>45673.0</v>
      </c>
      <c r="E171" s="47" t="s">
        <v>1090</v>
      </c>
      <c r="F171" s="43" t="s">
        <v>1091</v>
      </c>
      <c r="G171" s="54"/>
      <c r="H171" s="44" t="s">
        <v>741</v>
      </c>
      <c r="I171" s="58" t="s">
        <v>1092</v>
      </c>
      <c r="J171" s="50"/>
      <c r="K171" s="52"/>
      <c r="L171" s="50"/>
    </row>
    <row r="172" ht="18.0" customHeight="1">
      <c r="A172" s="43" t="s">
        <v>580</v>
      </c>
      <c r="B172" s="43" t="s">
        <v>1093</v>
      </c>
      <c r="C172" s="45"/>
      <c r="D172" s="46">
        <v>45673.0</v>
      </c>
      <c r="E172" s="47" t="s">
        <v>1094</v>
      </c>
      <c r="F172" s="43" t="s">
        <v>1095</v>
      </c>
      <c r="G172" s="54"/>
      <c r="H172" s="44" t="s">
        <v>741</v>
      </c>
      <c r="I172" s="44" t="s">
        <v>567</v>
      </c>
      <c r="J172" s="50"/>
      <c r="K172" s="52"/>
      <c r="L172" s="50"/>
    </row>
    <row r="173" ht="18.0" customHeight="1">
      <c r="A173" s="43" t="s">
        <v>580</v>
      </c>
      <c r="B173" s="43" t="s">
        <v>1096</v>
      </c>
      <c r="C173" s="45"/>
      <c r="D173" s="46">
        <v>45673.0</v>
      </c>
      <c r="E173" s="47" t="s">
        <v>766</v>
      </c>
      <c r="F173" s="43" t="s">
        <v>1097</v>
      </c>
      <c r="G173" s="54"/>
      <c r="H173" s="67" t="s">
        <v>1098</v>
      </c>
      <c r="I173" s="50"/>
      <c r="J173" s="50"/>
      <c r="K173" s="52"/>
      <c r="L173" s="50"/>
    </row>
    <row r="174" ht="18.0" customHeight="1">
      <c r="A174" s="43" t="s">
        <v>580</v>
      </c>
      <c r="B174" s="43" t="s">
        <v>1099</v>
      </c>
      <c r="C174" s="45"/>
      <c r="D174" s="46">
        <v>45673.0</v>
      </c>
      <c r="E174" s="47" t="s">
        <v>1100</v>
      </c>
      <c r="F174" s="43" t="s">
        <v>1101</v>
      </c>
      <c r="G174" s="49" t="s">
        <v>686</v>
      </c>
      <c r="H174" s="44" t="s">
        <v>741</v>
      </c>
      <c r="I174" s="50"/>
      <c r="J174" s="50"/>
      <c r="K174" s="52"/>
      <c r="L174" s="50"/>
    </row>
    <row r="175" ht="18.0" customHeight="1">
      <c r="A175" s="43" t="s">
        <v>622</v>
      </c>
      <c r="B175" s="43" t="s">
        <v>1102</v>
      </c>
      <c r="C175" s="45" t="s">
        <v>1103</v>
      </c>
      <c r="D175" s="46">
        <v>45674.0</v>
      </c>
      <c r="E175" s="47" t="s">
        <v>772</v>
      </c>
      <c r="F175" s="43" t="s">
        <v>1104</v>
      </c>
      <c r="G175" s="49" t="s">
        <v>686</v>
      </c>
      <c r="H175" s="44" t="s">
        <v>741</v>
      </c>
      <c r="I175" s="44" t="s">
        <v>18</v>
      </c>
      <c r="J175" s="50"/>
      <c r="K175" s="52"/>
      <c r="L175" s="50"/>
    </row>
    <row r="176" ht="18.0" customHeight="1">
      <c r="A176" s="43" t="s">
        <v>580</v>
      </c>
      <c r="B176" s="43" t="s">
        <v>1105</v>
      </c>
      <c r="C176" s="45"/>
      <c r="D176" s="46">
        <v>45674.0</v>
      </c>
      <c r="E176" s="47" t="s">
        <v>130</v>
      </c>
      <c r="F176" s="43" t="s">
        <v>1106</v>
      </c>
      <c r="G176" s="54"/>
      <c r="H176" s="44" t="s">
        <v>741</v>
      </c>
      <c r="I176" s="58" t="s">
        <v>1107</v>
      </c>
      <c r="J176" s="50"/>
      <c r="K176" s="43"/>
      <c r="L176" s="50"/>
    </row>
    <row r="177" ht="18.0" customHeight="1">
      <c r="A177" s="43" t="s">
        <v>622</v>
      </c>
      <c r="B177" s="43" t="s">
        <v>1108</v>
      </c>
      <c r="C177" s="45"/>
      <c r="D177" s="46">
        <v>45674.0</v>
      </c>
      <c r="E177" s="47" t="s">
        <v>1109</v>
      </c>
      <c r="F177" s="43" t="s">
        <v>1110</v>
      </c>
      <c r="G177" s="54"/>
      <c r="H177" s="67" t="s">
        <v>1111</v>
      </c>
      <c r="I177" s="50"/>
      <c r="J177" s="50"/>
      <c r="K177" s="52"/>
      <c r="L177" s="50"/>
    </row>
    <row r="178" ht="18.0" customHeight="1">
      <c r="A178" s="43" t="s">
        <v>354</v>
      </c>
      <c r="B178" s="43" t="s">
        <v>1112</v>
      </c>
      <c r="C178" s="45"/>
      <c r="D178" s="46">
        <v>45674.0</v>
      </c>
      <c r="E178" s="47" t="s">
        <v>357</v>
      </c>
      <c r="F178" s="43" t="s">
        <v>1113</v>
      </c>
      <c r="G178" s="49" t="s">
        <v>686</v>
      </c>
      <c r="H178" s="44" t="s">
        <v>741</v>
      </c>
      <c r="I178" s="53" t="s">
        <v>1114</v>
      </c>
      <c r="J178" s="50"/>
      <c r="K178" s="52"/>
      <c r="L178" s="50"/>
    </row>
    <row r="179" ht="18.0" customHeight="1">
      <c r="A179" s="43" t="s">
        <v>580</v>
      </c>
      <c r="B179" s="43" t="s">
        <v>1115</v>
      </c>
      <c r="C179" s="45"/>
      <c r="D179" s="46">
        <v>45674.0</v>
      </c>
      <c r="E179" s="47" t="s">
        <v>357</v>
      </c>
      <c r="F179" s="43" t="s">
        <v>1116</v>
      </c>
      <c r="G179" s="49" t="s">
        <v>686</v>
      </c>
      <c r="H179" s="44" t="s">
        <v>741</v>
      </c>
      <c r="I179" s="58" t="s">
        <v>1117</v>
      </c>
      <c r="J179" s="50"/>
      <c r="K179" s="43"/>
      <c r="L179" s="50"/>
    </row>
    <row r="180" ht="18.0" customHeight="1">
      <c r="A180" s="43" t="s">
        <v>622</v>
      </c>
      <c r="B180" s="43" t="s">
        <v>1118</v>
      </c>
      <c r="C180" s="45"/>
      <c r="D180" s="46">
        <v>45674.0</v>
      </c>
      <c r="E180" s="47" t="s">
        <v>38</v>
      </c>
      <c r="F180" s="43" t="s">
        <v>1119</v>
      </c>
      <c r="G180" s="49" t="s">
        <v>686</v>
      </c>
      <c r="H180" s="44" t="s">
        <v>741</v>
      </c>
      <c r="I180" s="44" t="s">
        <v>881</v>
      </c>
      <c r="J180" s="44" t="s">
        <v>1119</v>
      </c>
      <c r="K180" s="52"/>
      <c r="L180" s="50"/>
    </row>
    <row r="181" ht="18.0" customHeight="1">
      <c r="A181" s="43" t="s">
        <v>622</v>
      </c>
      <c r="B181" s="43" t="s">
        <v>1118</v>
      </c>
      <c r="C181" s="45"/>
      <c r="D181" s="46">
        <v>45674.0</v>
      </c>
      <c r="E181" s="47" t="s">
        <v>73</v>
      </c>
      <c r="F181" s="43" t="s">
        <v>1120</v>
      </c>
      <c r="G181" s="49" t="s">
        <v>686</v>
      </c>
      <c r="H181" s="44" t="s">
        <v>741</v>
      </c>
      <c r="I181" s="43" t="s">
        <v>915</v>
      </c>
      <c r="J181" s="50"/>
      <c r="K181" s="52"/>
      <c r="L181" s="50"/>
    </row>
    <row r="182" ht="18.0" customHeight="1">
      <c r="A182" s="43" t="s">
        <v>580</v>
      </c>
      <c r="B182" s="43" t="s">
        <v>1121</v>
      </c>
      <c r="C182" s="45" t="s">
        <v>470</v>
      </c>
      <c r="D182" s="46">
        <v>45674.0</v>
      </c>
      <c r="E182" s="47" t="s">
        <v>1122</v>
      </c>
      <c r="F182" s="43" t="s">
        <v>1123</v>
      </c>
      <c r="G182" s="49" t="s">
        <v>577</v>
      </c>
      <c r="H182" s="67" t="s">
        <v>1124</v>
      </c>
      <c r="I182" s="50"/>
      <c r="J182" s="50"/>
      <c r="K182" s="52"/>
      <c r="L182" s="50"/>
    </row>
    <row r="183" ht="18.0" customHeight="1">
      <c r="A183" s="43" t="s">
        <v>1125</v>
      </c>
      <c r="B183" s="43" t="s">
        <v>1126</v>
      </c>
      <c r="C183" s="45" t="s">
        <v>1127</v>
      </c>
      <c r="D183" s="46">
        <v>45677.0</v>
      </c>
      <c r="E183" s="47" t="s">
        <v>1128</v>
      </c>
      <c r="F183" s="43" t="s">
        <v>1129</v>
      </c>
      <c r="G183" s="54"/>
      <c r="H183" s="67" t="s">
        <v>1130</v>
      </c>
      <c r="I183" s="50"/>
      <c r="J183" s="50"/>
      <c r="K183" s="52"/>
      <c r="L183" s="50"/>
    </row>
    <row r="184" ht="18.0" customHeight="1">
      <c r="A184" s="43" t="s">
        <v>743</v>
      </c>
      <c r="B184" s="43" t="s">
        <v>1126</v>
      </c>
      <c r="C184" s="45" t="s">
        <v>1127</v>
      </c>
      <c r="D184" s="46">
        <v>45677.0</v>
      </c>
      <c r="E184" s="62" t="s">
        <v>1131</v>
      </c>
      <c r="F184" s="43" t="s">
        <v>1132</v>
      </c>
      <c r="G184" s="54"/>
      <c r="H184" s="44" t="s">
        <v>741</v>
      </c>
      <c r="I184" s="44" t="s">
        <v>881</v>
      </c>
      <c r="J184" s="50"/>
      <c r="K184" s="52"/>
      <c r="L184" s="50"/>
    </row>
    <row r="185" ht="18.0" customHeight="1">
      <c r="A185" s="43" t="s">
        <v>622</v>
      </c>
      <c r="B185" s="43" t="s">
        <v>193</v>
      </c>
      <c r="C185" s="45"/>
      <c r="D185" s="46">
        <v>45677.0</v>
      </c>
      <c r="E185" s="47" t="s">
        <v>194</v>
      </c>
      <c r="F185" s="43" t="s">
        <v>1133</v>
      </c>
      <c r="G185" s="49" t="s">
        <v>686</v>
      </c>
      <c r="H185" s="44" t="s">
        <v>741</v>
      </c>
      <c r="I185" s="50"/>
      <c r="J185" s="44" t="s">
        <v>179</v>
      </c>
      <c r="K185" s="52"/>
      <c r="L185" s="50"/>
    </row>
    <row r="186" ht="18.0" customHeight="1">
      <c r="A186" s="43" t="s">
        <v>622</v>
      </c>
      <c r="B186" s="43" t="s">
        <v>193</v>
      </c>
      <c r="C186" s="45"/>
      <c r="D186" s="46">
        <v>45677.0</v>
      </c>
      <c r="E186" s="47" t="s">
        <v>676</v>
      </c>
      <c r="F186" s="43" t="s">
        <v>1133</v>
      </c>
      <c r="G186" s="49" t="s">
        <v>686</v>
      </c>
      <c r="H186" s="44" t="s">
        <v>741</v>
      </c>
      <c r="I186" s="44" t="s">
        <v>881</v>
      </c>
      <c r="J186" s="50"/>
      <c r="K186" s="52"/>
      <c r="L186" s="50"/>
    </row>
    <row r="187" ht="18.0" customHeight="1">
      <c r="A187" s="43" t="s">
        <v>622</v>
      </c>
      <c r="B187" s="43" t="s">
        <v>1134</v>
      </c>
      <c r="C187" s="45"/>
      <c r="D187" s="46">
        <v>45677.0</v>
      </c>
      <c r="E187" s="47" t="s">
        <v>1135</v>
      </c>
      <c r="F187" s="43" t="s">
        <v>1136</v>
      </c>
      <c r="G187" s="57" t="s">
        <v>611</v>
      </c>
      <c r="H187" s="44" t="s">
        <v>741</v>
      </c>
      <c r="I187" s="50"/>
      <c r="J187" s="50"/>
      <c r="K187" s="52"/>
      <c r="L187" s="50"/>
    </row>
    <row r="188" ht="18.0" customHeight="1">
      <c r="A188" s="43" t="s">
        <v>1137</v>
      </c>
      <c r="B188" s="44" t="s">
        <v>1138</v>
      </c>
      <c r="C188" s="45" t="s">
        <v>1139</v>
      </c>
      <c r="D188" s="46">
        <v>45677.0</v>
      </c>
      <c r="E188" s="47" t="s">
        <v>451</v>
      </c>
      <c r="F188" s="43" t="s">
        <v>1140</v>
      </c>
      <c r="G188" s="49" t="s">
        <v>577</v>
      </c>
      <c r="H188" s="44" t="s">
        <v>25</v>
      </c>
      <c r="I188" s="44" t="s">
        <v>881</v>
      </c>
      <c r="J188" s="50"/>
      <c r="K188" s="43" t="s">
        <v>1141</v>
      </c>
      <c r="L188" s="50"/>
    </row>
    <row r="189" ht="18.0" customHeight="1">
      <c r="A189" s="43" t="s">
        <v>663</v>
      </c>
      <c r="B189" s="43" t="s">
        <v>964</v>
      </c>
      <c r="C189" s="45"/>
      <c r="D189" s="46">
        <v>45677.0</v>
      </c>
      <c r="E189" s="85"/>
      <c r="F189" s="52"/>
      <c r="G189" s="54"/>
      <c r="H189" s="50"/>
      <c r="I189" s="50"/>
      <c r="J189" s="50"/>
      <c r="K189" s="52"/>
      <c r="L189" s="50"/>
    </row>
    <row r="190" ht="18.0" customHeight="1">
      <c r="A190" s="43" t="s">
        <v>622</v>
      </c>
      <c r="B190" s="43" t="s">
        <v>1142</v>
      </c>
      <c r="C190" s="45"/>
      <c r="D190" s="46">
        <v>45677.0</v>
      </c>
      <c r="E190" s="47" t="s">
        <v>1143</v>
      </c>
      <c r="F190" s="43" t="s">
        <v>1144</v>
      </c>
      <c r="G190" s="54"/>
      <c r="H190" s="44" t="s">
        <v>578</v>
      </c>
      <c r="I190" s="50"/>
      <c r="J190" s="50"/>
      <c r="K190" s="52"/>
      <c r="L190" s="50"/>
    </row>
    <row r="191" ht="18.0" customHeight="1">
      <c r="A191" s="43" t="s">
        <v>663</v>
      </c>
      <c r="B191" s="43" t="s">
        <v>1145</v>
      </c>
      <c r="C191" s="45"/>
      <c r="D191" s="46">
        <v>45677.0</v>
      </c>
      <c r="E191" s="47" t="s">
        <v>1146</v>
      </c>
      <c r="F191" s="52"/>
      <c r="G191" s="54"/>
      <c r="H191" s="50"/>
      <c r="I191" s="50"/>
      <c r="J191" s="50"/>
      <c r="K191" s="52"/>
      <c r="L191" s="50"/>
    </row>
    <row r="192" ht="18.0" customHeight="1">
      <c r="A192" s="43" t="s">
        <v>580</v>
      </c>
      <c r="B192" s="43" t="s">
        <v>1147</v>
      </c>
      <c r="C192" s="45"/>
      <c r="D192" s="46">
        <v>45677.0</v>
      </c>
      <c r="E192" s="47" t="s">
        <v>1148</v>
      </c>
      <c r="F192" s="43" t="s">
        <v>1149</v>
      </c>
      <c r="G192" s="49" t="s">
        <v>577</v>
      </c>
      <c r="H192" s="44" t="s">
        <v>578</v>
      </c>
      <c r="I192" s="50"/>
      <c r="J192" s="50"/>
      <c r="K192" s="52"/>
      <c r="L192" s="50"/>
    </row>
    <row r="193" ht="18.0" customHeight="1">
      <c r="A193" s="43" t="s">
        <v>622</v>
      </c>
      <c r="B193" s="43" t="s">
        <v>1150</v>
      </c>
      <c r="C193" s="45" t="s">
        <v>1151</v>
      </c>
      <c r="D193" s="46">
        <v>45677.0</v>
      </c>
      <c r="E193" s="47" t="s">
        <v>357</v>
      </c>
      <c r="F193" s="43" t="s">
        <v>1152</v>
      </c>
      <c r="G193" s="49" t="s">
        <v>577</v>
      </c>
      <c r="H193" s="44" t="s">
        <v>616</v>
      </c>
      <c r="I193" s="44" t="s">
        <v>1153</v>
      </c>
      <c r="J193" s="50"/>
      <c r="K193" s="52"/>
      <c r="L193" s="50"/>
    </row>
    <row r="194" ht="18.0" customHeight="1">
      <c r="A194" s="43" t="s">
        <v>580</v>
      </c>
      <c r="B194" s="43" t="s">
        <v>1154</v>
      </c>
      <c r="C194" s="45" t="s">
        <v>1155</v>
      </c>
      <c r="D194" s="46">
        <v>45677.0</v>
      </c>
      <c r="E194" s="47" t="s">
        <v>1156</v>
      </c>
      <c r="F194" s="52"/>
      <c r="G194" s="49" t="s">
        <v>631</v>
      </c>
      <c r="H194" s="44" t="s">
        <v>616</v>
      </c>
      <c r="I194" s="58" t="s">
        <v>1157</v>
      </c>
      <c r="J194" s="50"/>
      <c r="K194" s="43" t="s">
        <v>1158</v>
      </c>
      <c r="L194" s="50"/>
    </row>
    <row r="195" ht="18.0" customHeight="1">
      <c r="A195" s="43" t="s">
        <v>580</v>
      </c>
      <c r="B195" s="43" t="s">
        <v>1159</v>
      </c>
      <c r="C195" s="45"/>
      <c r="D195" s="46">
        <v>45678.0</v>
      </c>
      <c r="E195" s="47" t="s">
        <v>1160</v>
      </c>
      <c r="F195" s="52"/>
      <c r="G195" s="45" t="s">
        <v>1161</v>
      </c>
      <c r="H195" s="50"/>
      <c r="I195" s="50"/>
      <c r="J195" s="50"/>
      <c r="K195" s="43" t="s">
        <v>1162</v>
      </c>
      <c r="L195" s="50"/>
    </row>
    <row r="196" ht="18.0" customHeight="1">
      <c r="A196" s="43" t="s">
        <v>622</v>
      </c>
      <c r="B196" s="43" t="s">
        <v>806</v>
      </c>
      <c r="C196" s="45"/>
      <c r="D196" s="46">
        <v>45678.0</v>
      </c>
      <c r="E196" s="47" t="s">
        <v>766</v>
      </c>
      <c r="F196" s="52"/>
      <c r="G196" s="54"/>
      <c r="H196" s="50"/>
      <c r="I196" s="50"/>
      <c r="J196" s="50"/>
      <c r="K196" s="52"/>
      <c r="L196" s="50"/>
    </row>
    <row r="197" ht="18.0" customHeight="1">
      <c r="A197" s="43" t="s">
        <v>622</v>
      </c>
      <c r="B197" s="43" t="s">
        <v>1163</v>
      </c>
      <c r="C197" s="45"/>
      <c r="D197" s="46">
        <v>45678.0</v>
      </c>
      <c r="E197" s="47" t="s">
        <v>1164</v>
      </c>
      <c r="F197" s="52"/>
      <c r="G197" s="54"/>
      <c r="H197" s="50"/>
      <c r="I197" s="50"/>
      <c r="J197" s="50"/>
      <c r="K197" s="52"/>
      <c r="L197" s="50"/>
    </row>
    <row r="198" ht="18.0" customHeight="1">
      <c r="A198" s="43" t="s">
        <v>622</v>
      </c>
      <c r="B198" s="43" t="s">
        <v>1163</v>
      </c>
      <c r="C198" s="45"/>
      <c r="D198" s="46">
        <v>45678.0</v>
      </c>
      <c r="E198" s="47" t="s">
        <v>1165</v>
      </c>
      <c r="F198" s="52"/>
      <c r="G198" s="54"/>
      <c r="H198" s="50"/>
      <c r="I198" s="50"/>
      <c r="J198" s="50"/>
      <c r="K198" s="52"/>
      <c r="L198" s="50"/>
    </row>
    <row r="199" ht="18.0" customHeight="1">
      <c r="A199" s="43" t="s">
        <v>663</v>
      </c>
      <c r="B199" s="43" t="s">
        <v>1166</v>
      </c>
      <c r="C199" s="45" t="s">
        <v>1167</v>
      </c>
      <c r="D199" s="46">
        <v>45678.0</v>
      </c>
      <c r="E199" s="47" t="s">
        <v>188</v>
      </c>
      <c r="F199" s="43" t="s">
        <v>1168</v>
      </c>
      <c r="G199" s="49" t="s">
        <v>577</v>
      </c>
      <c r="H199" s="44" t="s">
        <v>616</v>
      </c>
      <c r="I199" s="50"/>
      <c r="J199" s="50"/>
      <c r="K199" s="43"/>
      <c r="L199" s="50"/>
    </row>
    <row r="200" ht="18.0" customHeight="1">
      <c r="A200" s="43" t="s">
        <v>663</v>
      </c>
      <c r="B200" s="43" t="s">
        <v>1169</v>
      </c>
      <c r="C200" s="45" t="s">
        <v>1170</v>
      </c>
      <c r="D200" s="46">
        <v>45678.0</v>
      </c>
      <c r="E200" s="47" t="s">
        <v>1171</v>
      </c>
      <c r="F200" s="43" t="s">
        <v>1172</v>
      </c>
      <c r="G200" s="49" t="s">
        <v>577</v>
      </c>
      <c r="H200" s="44" t="s">
        <v>616</v>
      </c>
      <c r="I200" s="44" t="s">
        <v>1173</v>
      </c>
      <c r="J200" s="50"/>
      <c r="K200" s="52"/>
      <c r="L200" s="50"/>
    </row>
    <row r="201" ht="18.0" customHeight="1">
      <c r="A201" s="43" t="s">
        <v>663</v>
      </c>
      <c r="B201" s="43" t="s">
        <v>1169</v>
      </c>
      <c r="C201" s="45" t="s">
        <v>1170</v>
      </c>
      <c r="D201" s="46">
        <v>45678.0</v>
      </c>
      <c r="E201" s="47" t="s">
        <v>1174</v>
      </c>
      <c r="F201" s="43" t="s">
        <v>1172</v>
      </c>
      <c r="G201" s="49" t="s">
        <v>577</v>
      </c>
      <c r="H201" s="44" t="s">
        <v>616</v>
      </c>
      <c r="I201" s="44" t="s">
        <v>1173</v>
      </c>
      <c r="J201" s="50"/>
      <c r="K201" s="52"/>
      <c r="L201" s="50"/>
    </row>
    <row r="202" ht="18.0" customHeight="1">
      <c r="A202" s="43" t="s">
        <v>580</v>
      </c>
      <c r="B202" s="43" t="s">
        <v>1175</v>
      </c>
      <c r="C202" s="45" t="s">
        <v>1176</v>
      </c>
      <c r="D202" s="63">
        <v>45678.0</v>
      </c>
      <c r="E202" s="47" t="s">
        <v>1024</v>
      </c>
      <c r="F202" s="43" t="s">
        <v>1177</v>
      </c>
      <c r="G202" s="49" t="s">
        <v>577</v>
      </c>
      <c r="H202" s="44" t="s">
        <v>578</v>
      </c>
      <c r="I202" s="58" t="s">
        <v>626</v>
      </c>
      <c r="J202" s="50"/>
      <c r="K202" s="52"/>
      <c r="L202" s="50"/>
    </row>
    <row r="203" ht="18.0" customHeight="1">
      <c r="A203" s="43" t="s">
        <v>622</v>
      </c>
      <c r="B203" s="43" t="s">
        <v>1178</v>
      </c>
      <c r="C203" s="45" t="s">
        <v>1179</v>
      </c>
      <c r="D203" s="63">
        <v>45678.0</v>
      </c>
      <c r="E203" s="47" t="s">
        <v>893</v>
      </c>
      <c r="F203" s="52"/>
      <c r="G203" s="54"/>
      <c r="H203" s="50"/>
      <c r="I203" s="50"/>
      <c r="J203" s="50"/>
      <c r="K203" s="43"/>
      <c r="L203" s="50"/>
    </row>
    <row r="204" ht="18.0" customHeight="1">
      <c r="A204" s="43" t="s">
        <v>580</v>
      </c>
      <c r="B204" s="43" t="s">
        <v>1180</v>
      </c>
      <c r="C204" s="60"/>
      <c r="D204" s="46">
        <v>45678.0</v>
      </c>
      <c r="E204" s="70" t="s">
        <v>260</v>
      </c>
      <c r="F204" s="52"/>
      <c r="G204" s="54"/>
      <c r="H204" s="50"/>
      <c r="I204" s="58" t="s">
        <v>1181</v>
      </c>
      <c r="J204" s="50"/>
      <c r="K204" s="52"/>
      <c r="L204" s="50"/>
    </row>
    <row r="205" ht="18.0" customHeight="1">
      <c r="A205" s="43" t="s">
        <v>11</v>
      </c>
      <c r="B205" s="44" t="s">
        <v>1182</v>
      </c>
      <c r="C205" s="45" t="s">
        <v>1183</v>
      </c>
      <c r="D205" s="46">
        <v>45678.0</v>
      </c>
      <c r="E205" s="47" t="s">
        <v>1184</v>
      </c>
      <c r="F205" s="43" t="s">
        <v>1185</v>
      </c>
      <c r="G205" s="49" t="s">
        <v>631</v>
      </c>
      <c r="H205" s="44" t="s">
        <v>671</v>
      </c>
      <c r="I205" s="44" t="s">
        <v>1186</v>
      </c>
      <c r="J205" s="50"/>
      <c r="K205" s="52"/>
      <c r="L205" s="50"/>
    </row>
    <row r="206" ht="18.0" customHeight="1">
      <c r="A206" s="43" t="s">
        <v>580</v>
      </c>
      <c r="B206" s="43" t="s">
        <v>1187</v>
      </c>
      <c r="C206" s="45" t="s">
        <v>1188</v>
      </c>
      <c r="D206" s="46">
        <v>45679.0</v>
      </c>
      <c r="E206" s="47" t="s">
        <v>1189</v>
      </c>
      <c r="F206" s="43" t="s">
        <v>1190</v>
      </c>
      <c r="G206" s="57" t="s">
        <v>611</v>
      </c>
      <c r="H206" s="67" t="s">
        <v>1124</v>
      </c>
      <c r="I206" s="58" t="s">
        <v>1191</v>
      </c>
      <c r="J206" s="50"/>
      <c r="K206" s="52"/>
      <c r="L206" s="50"/>
    </row>
    <row r="207" ht="18.0" customHeight="1">
      <c r="A207" s="43" t="s">
        <v>580</v>
      </c>
      <c r="B207" s="43" t="s">
        <v>1192</v>
      </c>
      <c r="C207" s="45" t="s">
        <v>1193</v>
      </c>
      <c r="D207" s="46">
        <v>45679.0</v>
      </c>
      <c r="E207" s="47" t="s">
        <v>228</v>
      </c>
      <c r="F207" s="43" t="s">
        <v>1194</v>
      </c>
      <c r="G207" s="57" t="s">
        <v>611</v>
      </c>
      <c r="H207" s="44" t="s">
        <v>578</v>
      </c>
      <c r="I207" s="58" t="s">
        <v>1195</v>
      </c>
      <c r="J207" s="50"/>
      <c r="K207" s="52"/>
      <c r="L207" s="50"/>
    </row>
    <row r="208" ht="18.0" customHeight="1">
      <c r="A208" s="43" t="s">
        <v>622</v>
      </c>
      <c r="B208" s="43" t="s">
        <v>1196</v>
      </c>
      <c r="C208" s="45" t="s">
        <v>1197</v>
      </c>
      <c r="D208" s="46">
        <v>45679.0</v>
      </c>
      <c r="E208" s="47" t="s">
        <v>1198</v>
      </c>
      <c r="F208" s="52"/>
      <c r="G208" s="54"/>
      <c r="H208" s="50"/>
      <c r="I208" s="50"/>
      <c r="J208" s="50"/>
      <c r="K208" s="52"/>
      <c r="L208" s="50"/>
    </row>
    <row r="209" ht="18.0" customHeight="1">
      <c r="A209" s="43" t="s">
        <v>580</v>
      </c>
      <c r="B209" s="43" t="s">
        <v>1199</v>
      </c>
      <c r="C209" s="45" t="s">
        <v>1200</v>
      </c>
      <c r="D209" s="46">
        <v>45680.0</v>
      </c>
      <c r="E209" s="47" t="s">
        <v>228</v>
      </c>
      <c r="F209" s="52"/>
      <c r="G209" s="54"/>
      <c r="H209" s="50"/>
      <c r="I209" s="50"/>
      <c r="J209" s="50"/>
      <c r="K209" s="52"/>
      <c r="L209" s="50"/>
    </row>
    <row r="210" ht="18.0" customHeight="1">
      <c r="A210" s="43" t="s">
        <v>580</v>
      </c>
      <c r="B210" s="43" t="s">
        <v>1201</v>
      </c>
      <c r="C210" s="45" t="s">
        <v>1202</v>
      </c>
      <c r="D210" s="46">
        <v>45680.0</v>
      </c>
      <c r="E210" s="88" t="s">
        <v>1203</v>
      </c>
      <c r="F210" s="52"/>
      <c r="G210" s="54"/>
      <c r="H210" s="50"/>
      <c r="I210" s="50"/>
      <c r="J210" s="50"/>
      <c r="K210" s="52"/>
      <c r="L210" s="50"/>
    </row>
    <row r="211" ht="18.0" customHeight="1">
      <c r="A211" s="43" t="s">
        <v>580</v>
      </c>
      <c r="B211" s="43" t="s">
        <v>1204</v>
      </c>
      <c r="C211" s="45" t="s">
        <v>1205</v>
      </c>
      <c r="D211" s="46">
        <v>45680.0</v>
      </c>
      <c r="E211" s="47" t="s">
        <v>1206</v>
      </c>
      <c r="F211" s="43" t="s">
        <v>556</v>
      </c>
      <c r="G211" s="57" t="s">
        <v>1207</v>
      </c>
      <c r="H211" s="58" t="s">
        <v>741</v>
      </c>
      <c r="I211" s="58" t="s">
        <v>1195</v>
      </c>
      <c r="J211" s="50"/>
      <c r="K211" s="52"/>
      <c r="L211" s="50"/>
    </row>
    <row r="212" ht="18.0" customHeight="1">
      <c r="A212" s="43" t="s">
        <v>580</v>
      </c>
      <c r="B212" s="43" t="s">
        <v>1208</v>
      </c>
      <c r="C212" s="45" t="s">
        <v>1209</v>
      </c>
      <c r="D212" s="46">
        <v>45680.0</v>
      </c>
      <c r="E212" s="62" t="s">
        <v>1210</v>
      </c>
      <c r="F212" s="43" t="s">
        <v>1211</v>
      </c>
      <c r="G212" s="49" t="s">
        <v>1212</v>
      </c>
      <c r="H212" s="44" t="s">
        <v>40</v>
      </c>
      <c r="I212" s="44" t="s">
        <v>1042</v>
      </c>
      <c r="J212" s="50"/>
      <c r="K212" s="52"/>
      <c r="L212" s="50"/>
    </row>
    <row r="213" ht="18.0" customHeight="1">
      <c r="A213" s="43" t="s">
        <v>622</v>
      </c>
      <c r="B213" s="43" t="s">
        <v>1213</v>
      </c>
      <c r="C213" s="45" t="s">
        <v>1214</v>
      </c>
      <c r="D213" s="46">
        <v>45680.0</v>
      </c>
      <c r="E213" s="47" t="s">
        <v>1215</v>
      </c>
      <c r="F213" s="43" t="s">
        <v>1216</v>
      </c>
      <c r="G213" s="49" t="s">
        <v>1212</v>
      </c>
      <c r="H213" s="44" t="s">
        <v>40</v>
      </c>
      <c r="I213" s="44" t="s">
        <v>881</v>
      </c>
      <c r="J213" s="50"/>
      <c r="K213" s="52"/>
      <c r="L213" s="50"/>
    </row>
    <row r="214" ht="18.0" customHeight="1">
      <c r="A214" s="43" t="s">
        <v>580</v>
      </c>
      <c r="B214" s="89" t="s">
        <v>1217</v>
      </c>
      <c r="C214" s="45" t="s">
        <v>1218</v>
      </c>
      <c r="D214" s="46">
        <v>45680.0</v>
      </c>
      <c r="E214" s="47" t="s">
        <v>1219</v>
      </c>
      <c r="F214" s="43" t="s">
        <v>1220</v>
      </c>
      <c r="G214" s="49" t="s">
        <v>1212</v>
      </c>
      <c r="H214" s="44" t="s">
        <v>616</v>
      </c>
      <c r="I214" s="44" t="s">
        <v>881</v>
      </c>
      <c r="J214" s="50"/>
      <c r="K214" s="52"/>
      <c r="L214" s="50"/>
    </row>
    <row r="215" ht="18.0" customHeight="1">
      <c r="A215" s="43" t="s">
        <v>622</v>
      </c>
      <c r="B215" s="43" t="s">
        <v>1075</v>
      </c>
      <c r="C215" s="45" t="s">
        <v>1221</v>
      </c>
      <c r="D215" s="46">
        <v>45680.0</v>
      </c>
      <c r="E215" s="47" t="s">
        <v>451</v>
      </c>
      <c r="F215" s="52"/>
      <c r="G215" s="54"/>
      <c r="H215" s="50"/>
      <c r="I215" s="50"/>
      <c r="J215" s="50"/>
      <c r="K215" s="52"/>
      <c r="L215" s="50"/>
    </row>
    <row r="216" ht="18.0" customHeight="1">
      <c r="A216" s="43" t="s">
        <v>622</v>
      </c>
      <c r="B216" s="43" t="s">
        <v>1222</v>
      </c>
      <c r="C216" s="45" t="s">
        <v>1223</v>
      </c>
      <c r="D216" s="46">
        <v>45680.0</v>
      </c>
      <c r="E216" s="47" t="s">
        <v>451</v>
      </c>
      <c r="F216" s="52"/>
      <c r="G216" s="54"/>
      <c r="H216" s="50"/>
      <c r="I216" s="50"/>
      <c r="J216" s="50"/>
      <c r="K216" s="52"/>
      <c r="L216" s="50"/>
    </row>
    <row r="217" ht="18.0" customHeight="1">
      <c r="A217" s="43" t="s">
        <v>622</v>
      </c>
      <c r="B217" s="43" t="s">
        <v>1224</v>
      </c>
      <c r="C217" s="45" t="s">
        <v>1225</v>
      </c>
      <c r="D217" s="46">
        <v>45681.0</v>
      </c>
      <c r="E217" s="47" t="s">
        <v>1226</v>
      </c>
      <c r="F217" s="52"/>
      <c r="G217" s="54"/>
      <c r="H217" s="50"/>
      <c r="I217" s="50"/>
      <c r="J217" s="50"/>
      <c r="K217" s="52"/>
      <c r="L217" s="50"/>
    </row>
    <row r="218" ht="18.0" customHeight="1">
      <c r="A218" s="43" t="s">
        <v>622</v>
      </c>
      <c r="B218" s="43" t="s">
        <v>1224</v>
      </c>
      <c r="C218" s="45" t="s">
        <v>1225</v>
      </c>
      <c r="D218" s="46">
        <v>45681.0</v>
      </c>
      <c r="E218" s="47" t="s">
        <v>1227</v>
      </c>
      <c r="F218" s="52"/>
      <c r="G218" s="54"/>
      <c r="H218" s="50"/>
      <c r="I218" s="50"/>
      <c r="J218" s="50"/>
      <c r="K218" s="52"/>
      <c r="L218" s="50"/>
    </row>
    <row r="219" ht="18.0" customHeight="1">
      <c r="A219" s="43" t="s">
        <v>422</v>
      </c>
      <c r="B219" s="58" t="s">
        <v>1228</v>
      </c>
      <c r="C219" s="68" t="s">
        <v>1229</v>
      </c>
      <c r="D219" s="46">
        <v>45681.0</v>
      </c>
      <c r="E219" s="47" t="s">
        <v>1230</v>
      </c>
      <c r="F219" s="43" t="s">
        <v>1231</v>
      </c>
      <c r="G219" s="57" t="s">
        <v>1232</v>
      </c>
      <c r="H219" s="78" t="s">
        <v>1233</v>
      </c>
      <c r="I219" s="78" t="s">
        <v>1011</v>
      </c>
      <c r="J219" s="50"/>
      <c r="K219" s="52"/>
      <c r="L219" s="50"/>
    </row>
    <row r="220" ht="18.0" customHeight="1">
      <c r="A220" s="43" t="s">
        <v>580</v>
      </c>
      <c r="B220" s="43" t="s">
        <v>1234</v>
      </c>
      <c r="C220" s="45" t="s">
        <v>1235</v>
      </c>
      <c r="D220" s="46">
        <v>45681.0</v>
      </c>
      <c r="E220" s="90" t="s">
        <v>1236</v>
      </c>
      <c r="F220" s="52"/>
      <c r="G220" s="54"/>
      <c r="H220" s="50"/>
      <c r="I220" s="50"/>
      <c r="J220" s="50"/>
      <c r="K220" s="52"/>
      <c r="L220" s="50"/>
    </row>
    <row r="221" ht="18.0" customHeight="1">
      <c r="A221" s="43" t="s">
        <v>580</v>
      </c>
      <c r="B221" s="43" t="s">
        <v>1192</v>
      </c>
      <c r="C221" s="45" t="s">
        <v>1193</v>
      </c>
      <c r="D221" s="46">
        <v>45681.0</v>
      </c>
      <c r="E221" s="47" t="s">
        <v>1094</v>
      </c>
      <c r="F221" s="43" t="s">
        <v>1194</v>
      </c>
      <c r="G221" s="45" t="s">
        <v>1237</v>
      </c>
      <c r="H221" s="44" t="s">
        <v>578</v>
      </c>
      <c r="I221" s="44" t="s">
        <v>881</v>
      </c>
      <c r="J221" s="50"/>
      <c r="K221" s="52"/>
      <c r="L221" s="50"/>
    </row>
    <row r="222" ht="18.0" customHeight="1">
      <c r="A222" s="43" t="s">
        <v>595</v>
      </c>
      <c r="B222" s="43" t="s">
        <v>1238</v>
      </c>
      <c r="C222" s="45" t="s">
        <v>1239</v>
      </c>
      <c r="D222" s="46">
        <v>45682.0</v>
      </c>
      <c r="E222" s="47" t="s">
        <v>1240</v>
      </c>
      <c r="F222" s="43" t="s">
        <v>1241</v>
      </c>
      <c r="G222" s="49" t="s">
        <v>1212</v>
      </c>
      <c r="H222" s="44" t="s">
        <v>616</v>
      </c>
      <c r="I222" s="44" t="s">
        <v>881</v>
      </c>
      <c r="J222" s="50"/>
      <c r="K222" s="43" t="s">
        <v>1242</v>
      </c>
      <c r="L222" s="50"/>
    </row>
    <row r="223" ht="18.0" customHeight="1">
      <c r="A223" s="43" t="s">
        <v>580</v>
      </c>
      <c r="B223" s="43" t="s">
        <v>1243</v>
      </c>
      <c r="C223" s="45" t="s">
        <v>1244</v>
      </c>
      <c r="D223" s="46">
        <v>45685.0</v>
      </c>
      <c r="E223" s="47" t="s">
        <v>357</v>
      </c>
      <c r="F223" s="43" t="s">
        <v>1245</v>
      </c>
      <c r="G223" s="45" t="s">
        <v>1246</v>
      </c>
      <c r="H223" s="91" t="s">
        <v>1247</v>
      </c>
      <c r="I223" s="91" t="s">
        <v>1248</v>
      </c>
      <c r="J223" s="50"/>
      <c r="K223" s="52"/>
      <c r="L223" s="50"/>
    </row>
    <row r="224" ht="18.0" customHeight="1">
      <c r="A224" s="43" t="s">
        <v>580</v>
      </c>
      <c r="B224" s="43" t="s">
        <v>1249</v>
      </c>
      <c r="C224" s="45" t="s">
        <v>1250</v>
      </c>
      <c r="D224" s="46">
        <v>45685.0</v>
      </c>
      <c r="E224" s="47" t="s">
        <v>1251</v>
      </c>
      <c r="F224" s="52"/>
      <c r="G224" s="54"/>
      <c r="H224" s="50"/>
      <c r="I224" s="50"/>
      <c r="J224" s="50"/>
      <c r="K224" s="52"/>
      <c r="L224" s="50"/>
    </row>
    <row r="225" ht="18.0" customHeight="1">
      <c r="A225" s="43" t="s">
        <v>580</v>
      </c>
      <c r="B225" s="43" t="s">
        <v>1016</v>
      </c>
      <c r="C225" s="45" t="s">
        <v>1252</v>
      </c>
      <c r="D225" s="46">
        <v>45685.0</v>
      </c>
      <c r="E225" s="47" t="s">
        <v>1253</v>
      </c>
      <c r="F225" s="43" t="s">
        <v>1254</v>
      </c>
      <c r="G225" s="49" t="s">
        <v>631</v>
      </c>
      <c r="H225" s="44" t="s">
        <v>616</v>
      </c>
      <c r="I225" s="44" t="s">
        <v>881</v>
      </c>
      <c r="J225" s="50"/>
      <c r="K225" s="52"/>
      <c r="L225" s="50"/>
    </row>
    <row r="226" ht="18.0" customHeight="1">
      <c r="A226" s="43" t="s">
        <v>580</v>
      </c>
      <c r="B226" s="43" t="s">
        <v>1016</v>
      </c>
      <c r="C226" s="45" t="s">
        <v>1252</v>
      </c>
      <c r="D226" s="46">
        <v>45685.0</v>
      </c>
      <c r="E226" s="43" t="s">
        <v>1255</v>
      </c>
      <c r="F226" s="43" t="s">
        <v>1256</v>
      </c>
      <c r="G226" s="49" t="s">
        <v>631</v>
      </c>
      <c r="H226" s="44" t="s">
        <v>616</v>
      </c>
      <c r="I226" s="67" t="s">
        <v>915</v>
      </c>
      <c r="J226" s="50"/>
      <c r="K226" s="52"/>
      <c r="L226" s="50"/>
    </row>
    <row r="227" ht="18.0" customHeight="1">
      <c r="A227" s="43" t="s">
        <v>580</v>
      </c>
      <c r="B227" s="43" t="s">
        <v>1016</v>
      </c>
      <c r="C227" s="45" t="s">
        <v>1252</v>
      </c>
      <c r="D227" s="46">
        <v>45685.0</v>
      </c>
      <c r="E227" s="47" t="s">
        <v>1174</v>
      </c>
      <c r="F227" s="43" t="s">
        <v>1257</v>
      </c>
      <c r="G227" s="49" t="s">
        <v>631</v>
      </c>
      <c r="H227" s="44" t="s">
        <v>616</v>
      </c>
      <c r="I227" s="44" t="s">
        <v>881</v>
      </c>
      <c r="J227" s="50"/>
      <c r="K227" s="52"/>
      <c r="L227" s="50"/>
    </row>
    <row r="228" ht="18.0" customHeight="1">
      <c r="A228" s="43" t="s">
        <v>580</v>
      </c>
      <c r="B228" s="43" t="s">
        <v>1016</v>
      </c>
      <c r="C228" s="45" t="s">
        <v>1252</v>
      </c>
      <c r="D228" s="46">
        <v>45685.0</v>
      </c>
      <c r="E228" s="47" t="s">
        <v>1171</v>
      </c>
      <c r="F228" s="43" t="s">
        <v>1257</v>
      </c>
      <c r="G228" s="49" t="s">
        <v>631</v>
      </c>
      <c r="H228" s="44" t="s">
        <v>616</v>
      </c>
      <c r="I228" s="44" t="s">
        <v>881</v>
      </c>
      <c r="J228" s="50"/>
      <c r="K228" s="52"/>
      <c r="L228" s="50"/>
    </row>
    <row r="229" ht="18.0" customHeight="1">
      <c r="A229" s="43" t="s">
        <v>580</v>
      </c>
      <c r="B229" s="43" t="s">
        <v>1258</v>
      </c>
      <c r="C229" s="45" t="s">
        <v>1259</v>
      </c>
      <c r="D229" s="46">
        <v>45685.0</v>
      </c>
      <c r="E229" s="47" t="s">
        <v>116</v>
      </c>
      <c r="F229" s="52"/>
      <c r="G229" s="54"/>
      <c r="H229" s="50"/>
      <c r="I229" s="50"/>
      <c r="J229" s="50"/>
      <c r="K229" s="52"/>
      <c r="L229" s="50"/>
    </row>
    <row r="230" ht="18.0" customHeight="1">
      <c r="A230" s="43" t="s">
        <v>580</v>
      </c>
      <c r="B230" s="43" t="s">
        <v>1260</v>
      </c>
      <c r="C230" s="45" t="s">
        <v>1261</v>
      </c>
      <c r="D230" s="46">
        <v>45685.0</v>
      </c>
      <c r="E230" s="47" t="s">
        <v>1262</v>
      </c>
      <c r="F230" s="43" t="s">
        <v>1263</v>
      </c>
      <c r="G230" s="57" t="s">
        <v>611</v>
      </c>
      <c r="H230" s="44" t="s">
        <v>616</v>
      </c>
      <c r="I230" s="44" t="s">
        <v>103</v>
      </c>
      <c r="J230" s="50"/>
      <c r="K230" s="52"/>
      <c r="L230" s="50"/>
    </row>
    <row r="231" ht="18.0" customHeight="1">
      <c r="A231" s="43" t="s">
        <v>580</v>
      </c>
      <c r="B231" s="43" t="s">
        <v>1264</v>
      </c>
      <c r="C231" s="45" t="s">
        <v>1265</v>
      </c>
      <c r="D231" s="46">
        <v>45685.0</v>
      </c>
      <c r="E231" s="47" t="s">
        <v>1171</v>
      </c>
      <c r="F231" s="43" t="s">
        <v>1266</v>
      </c>
      <c r="G231" s="49" t="s">
        <v>631</v>
      </c>
      <c r="H231" s="44" t="s">
        <v>616</v>
      </c>
      <c r="I231" s="53" t="s">
        <v>1267</v>
      </c>
      <c r="J231" s="50"/>
      <c r="K231" s="52"/>
      <c r="L231" s="50"/>
    </row>
    <row r="232" ht="18.0" customHeight="1">
      <c r="A232" s="43" t="s">
        <v>580</v>
      </c>
      <c r="B232" s="43" t="s">
        <v>1268</v>
      </c>
      <c r="C232" s="45" t="s">
        <v>1269</v>
      </c>
      <c r="D232" s="46">
        <v>45685.0</v>
      </c>
      <c r="E232" s="85"/>
      <c r="F232" s="52"/>
      <c r="G232" s="54"/>
      <c r="H232" s="50"/>
      <c r="I232" s="50"/>
      <c r="J232" s="50"/>
      <c r="K232" s="52"/>
      <c r="L232" s="50"/>
    </row>
    <row r="233" ht="18.0" customHeight="1">
      <c r="A233" s="43" t="s">
        <v>919</v>
      </c>
      <c r="B233" s="43" t="s">
        <v>1270</v>
      </c>
      <c r="C233" s="45" t="s">
        <v>1271</v>
      </c>
      <c r="D233" s="46">
        <v>45685.0</v>
      </c>
      <c r="E233" s="47" t="s">
        <v>1272</v>
      </c>
      <c r="F233" s="43" t="s">
        <v>1273</v>
      </c>
      <c r="G233" s="49" t="s">
        <v>631</v>
      </c>
      <c r="H233" s="44" t="s">
        <v>671</v>
      </c>
      <c r="I233" s="44" t="s">
        <v>881</v>
      </c>
      <c r="J233" s="50"/>
      <c r="K233" s="52"/>
      <c r="L233" s="50"/>
    </row>
    <row r="234" ht="18.0" customHeight="1">
      <c r="A234" s="43" t="s">
        <v>580</v>
      </c>
      <c r="B234" s="43" t="s">
        <v>1274</v>
      </c>
      <c r="C234" s="45" t="s">
        <v>1275</v>
      </c>
      <c r="D234" s="46">
        <v>45686.0</v>
      </c>
      <c r="E234" s="47" t="s">
        <v>1276</v>
      </c>
      <c r="F234" s="52"/>
      <c r="G234" s="54"/>
      <c r="H234" s="50"/>
      <c r="I234" s="50"/>
      <c r="J234" s="50"/>
      <c r="K234" s="52"/>
      <c r="L234" s="50"/>
    </row>
    <row r="235" ht="18.0" customHeight="1">
      <c r="A235" s="43" t="s">
        <v>580</v>
      </c>
      <c r="B235" s="43" t="s">
        <v>1274</v>
      </c>
      <c r="C235" s="45" t="s">
        <v>1275</v>
      </c>
      <c r="D235" s="46">
        <v>45686.0</v>
      </c>
      <c r="E235" s="47" t="s">
        <v>1277</v>
      </c>
      <c r="F235" s="52"/>
      <c r="G235" s="54"/>
      <c r="H235" s="50"/>
      <c r="I235" s="50"/>
      <c r="J235" s="50"/>
      <c r="K235" s="52"/>
      <c r="L235" s="50"/>
    </row>
    <row r="236" ht="18.0" customHeight="1">
      <c r="A236" s="43" t="s">
        <v>580</v>
      </c>
      <c r="B236" s="43" t="s">
        <v>1145</v>
      </c>
      <c r="C236" s="45" t="s">
        <v>1278</v>
      </c>
      <c r="D236" s="46">
        <v>45686.0</v>
      </c>
      <c r="E236" s="47" t="s">
        <v>1146</v>
      </c>
      <c r="F236" s="52"/>
      <c r="G236" s="54"/>
      <c r="H236" s="50"/>
      <c r="I236" s="50"/>
      <c r="J236" s="50"/>
      <c r="K236" s="52"/>
      <c r="L236" s="50"/>
    </row>
    <row r="237" ht="18.0" customHeight="1">
      <c r="A237" s="43" t="s">
        <v>580</v>
      </c>
      <c r="B237" s="43" t="s">
        <v>1145</v>
      </c>
      <c r="C237" s="45" t="s">
        <v>1278</v>
      </c>
      <c r="D237" s="46">
        <v>45686.0</v>
      </c>
      <c r="E237" s="47" t="s">
        <v>1279</v>
      </c>
      <c r="F237" s="52"/>
      <c r="G237" s="54"/>
      <c r="H237" s="50"/>
      <c r="I237" s="50"/>
      <c r="J237" s="50"/>
      <c r="K237" s="52"/>
      <c r="L237" s="50"/>
    </row>
    <row r="238" ht="18.0" customHeight="1">
      <c r="A238" s="43" t="s">
        <v>580</v>
      </c>
      <c r="B238" s="43" t="s">
        <v>1280</v>
      </c>
      <c r="C238" s="60"/>
      <c r="D238" s="46">
        <v>45686.0</v>
      </c>
      <c r="E238" s="47" t="s">
        <v>1281</v>
      </c>
      <c r="F238" s="52"/>
      <c r="G238" s="54"/>
      <c r="H238" s="50"/>
      <c r="I238" s="50"/>
      <c r="J238" s="50"/>
      <c r="K238" s="52"/>
      <c r="L238" s="50"/>
    </row>
    <row r="239" ht="18.0" customHeight="1">
      <c r="A239" s="43" t="s">
        <v>580</v>
      </c>
      <c r="B239" s="58" t="s">
        <v>1282</v>
      </c>
      <c r="C239" s="60"/>
      <c r="D239" s="46">
        <v>45686.0</v>
      </c>
      <c r="E239" s="90" t="s">
        <v>1283</v>
      </c>
      <c r="F239" s="52"/>
      <c r="G239" s="54"/>
      <c r="H239" s="50"/>
      <c r="I239" s="50"/>
      <c r="J239" s="50"/>
      <c r="K239" s="52"/>
      <c r="L239" s="50"/>
    </row>
    <row r="240" ht="18.0" customHeight="1">
      <c r="A240" s="43" t="s">
        <v>580</v>
      </c>
      <c r="B240" s="43" t="s">
        <v>1284</v>
      </c>
      <c r="C240" s="45" t="s">
        <v>1285</v>
      </c>
      <c r="D240" s="46">
        <v>45686.0</v>
      </c>
      <c r="E240" s="47" t="s">
        <v>1276</v>
      </c>
      <c r="F240" s="43" t="s">
        <v>1286</v>
      </c>
      <c r="G240" s="49" t="s">
        <v>631</v>
      </c>
      <c r="H240" s="44" t="s">
        <v>616</v>
      </c>
      <c r="I240" s="53" t="s">
        <v>1287</v>
      </c>
      <c r="J240" s="50"/>
      <c r="K240" s="52"/>
      <c r="L240" s="50"/>
    </row>
    <row r="241" ht="18.0" customHeight="1">
      <c r="A241" s="43" t="s">
        <v>580</v>
      </c>
      <c r="B241" s="43" t="s">
        <v>1288</v>
      </c>
      <c r="C241" s="45" t="s">
        <v>1289</v>
      </c>
      <c r="D241" s="46">
        <v>45686.0</v>
      </c>
      <c r="E241" s="47" t="s">
        <v>1276</v>
      </c>
      <c r="F241" s="43" t="s">
        <v>1290</v>
      </c>
      <c r="G241" s="57" t="s">
        <v>611</v>
      </c>
      <c r="H241" s="44" t="s">
        <v>616</v>
      </c>
      <c r="I241" s="44" t="s">
        <v>881</v>
      </c>
      <c r="J241" s="50"/>
      <c r="K241" s="52"/>
      <c r="L241" s="50"/>
    </row>
    <row r="242" ht="18.0" customHeight="1">
      <c r="A242" s="43" t="s">
        <v>580</v>
      </c>
      <c r="B242" s="43" t="s">
        <v>1291</v>
      </c>
      <c r="C242" s="60"/>
      <c r="D242" s="46">
        <v>45686.0</v>
      </c>
      <c r="E242" s="85"/>
      <c r="F242" s="52"/>
      <c r="G242" s="49" t="s">
        <v>631</v>
      </c>
      <c r="H242" s="53" t="s">
        <v>1292</v>
      </c>
      <c r="I242" s="67" t="s">
        <v>915</v>
      </c>
      <c r="J242" s="50"/>
      <c r="K242" s="52"/>
      <c r="L242" s="50"/>
    </row>
    <row r="243" ht="18.0" customHeight="1">
      <c r="A243" s="43" t="s">
        <v>580</v>
      </c>
      <c r="B243" s="83" t="s">
        <v>1293</v>
      </c>
      <c r="C243" s="45" t="s">
        <v>1294</v>
      </c>
      <c r="D243" s="46">
        <v>45686.0</v>
      </c>
      <c r="E243" s="47" t="s">
        <v>1295</v>
      </c>
      <c r="F243" s="52"/>
      <c r="G243" s="68" t="s">
        <v>1296</v>
      </c>
      <c r="H243" s="50"/>
      <c r="I243" s="50"/>
      <c r="J243" s="50"/>
      <c r="K243" s="52"/>
      <c r="L243" s="50"/>
    </row>
    <row r="244" ht="18.0" customHeight="1">
      <c r="A244" s="43" t="s">
        <v>580</v>
      </c>
      <c r="B244" s="92" t="s">
        <v>1297</v>
      </c>
      <c r="C244" s="45" t="s">
        <v>1298</v>
      </c>
      <c r="D244" s="46">
        <v>45686.0</v>
      </c>
      <c r="E244" s="47" t="s">
        <v>1299</v>
      </c>
      <c r="F244" s="43" t="s">
        <v>1300</v>
      </c>
      <c r="G244" s="54"/>
      <c r="H244" s="58" t="s">
        <v>1301</v>
      </c>
      <c r="I244" s="58" t="s">
        <v>1195</v>
      </c>
      <c r="J244" s="50"/>
      <c r="K244" s="52"/>
      <c r="L244" s="50"/>
    </row>
    <row r="245" ht="18.0" customHeight="1">
      <c r="A245" s="43" t="s">
        <v>580</v>
      </c>
      <c r="B245" s="43" t="s">
        <v>1302</v>
      </c>
      <c r="C245" s="45" t="s">
        <v>1303</v>
      </c>
      <c r="D245" s="46">
        <v>45686.0</v>
      </c>
      <c r="E245" s="47" t="s">
        <v>188</v>
      </c>
      <c r="F245" s="43" t="s">
        <v>1304</v>
      </c>
      <c r="G245" s="49" t="s">
        <v>1305</v>
      </c>
      <c r="H245" s="58" t="s">
        <v>1306</v>
      </c>
      <c r="I245" s="58" t="s">
        <v>1195</v>
      </c>
      <c r="J245" s="50"/>
      <c r="K245" s="43" t="s">
        <v>1307</v>
      </c>
      <c r="L245" s="50"/>
    </row>
    <row r="246" ht="18.0" customHeight="1">
      <c r="A246" s="43" t="s">
        <v>622</v>
      </c>
      <c r="B246" s="43" t="s">
        <v>1308</v>
      </c>
      <c r="C246" s="45" t="s">
        <v>1309</v>
      </c>
      <c r="D246" s="46">
        <v>45687.0</v>
      </c>
      <c r="E246" s="47" t="s">
        <v>1131</v>
      </c>
      <c r="F246" s="43" t="s">
        <v>1310</v>
      </c>
      <c r="G246" s="84" t="s">
        <v>1311</v>
      </c>
      <c r="H246" s="44" t="s">
        <v>671</v>
      </c>
      <c r="I246" s="44" t="s">
        <v>1312</v>
      </c>
      <c r="J246" s="50"/>
      <c r="K246" s="51"/>
      <c r="L246" s="50"/>
    </row>
    <row r="247" ht="18.0" customHeight="1">
      <c r="A247" s="43" t="s">
        <v>622</v>
      </c>
      <c r="B247" s="43" t="s">
        <v>1313</v>
      </c>
      <c r="C247" s="45" t="s">
        <v>1314</v>
      </c>
      <c r="D247" s="46">
        <v>45687.0</v>
      </c>
      <c r="E247" s="47" t="s">
        <v>172</v>
      </c>
      <c r="F247" s="43" t="s">
        <v>1315</v>
      </c>
      <c r="G247" s="80" t="s">
        <v>898</v>
      </c>
      <c r="H247" s="67" t="s">
        <v>1124</v>
      </c>
      <c r="I247" s="78" t="s">
        <v>1316</v>
      </c>
      <c r="J247" s="50"/>
      <c r="K247" s="52"/>
      <c r="L247" s="50"/>
    </row>
    <row r="248" ht="18.0" customHeight="1">
      <c r="A248" s="43" t="s">
        <v>27</v>
      </c>
      <c r="B248" s="44" t="s">
        <v>1317</v>
      </c>
      <c r="C248" s="45" t="s">
        <v>1318</v>
      </c>
      <c r="D248" s="46">
        <v>45687.0</v>
      </c>
      <c r="E248" s="47" t="s">
        <v>1319</v>
      </c>
      <c r="F248" s="43" t="s">
        <v>1320</v>
      </c>
      <c r="G248" s="49" t="s">
        <v>631</v>
      </c>
      <c r="H248" s="50"/>
      <c r="I248" s="50"/>
      <c r="J248" s="50"/>
      <c r="K248" s="43" t="s">
        <v>1321</v>
      </c>
      <c r="L248" s="50"/>
    </row>
    <row r="249" ht="18.0" customHeight="1">
      <c r="A249" s="43" t="s">
        <v>622</v>
      </c>
      <c r="B249" s="43" t="s">
        <v>1322</v>
      </c>
      <c r="C249" s="45" t="s">
        <v>1323</v>
      </c>
      <c r="D249" s="46">
        <v>45687.0</v>
      </c>
      <c r="E249" s="47" t="s">
        <v>1324</v>
      </c>
      <c r="F249" s="43" t="s">
        <v>1325</v>
      </c>
      <c r="G249" s="57" t="s">
        <v>611</v>
      </c>
      <c r="H249" s="67" t="s">
        <v>1124</v>
      </c>
      <c r="I249" s="50"/>
      <c r="J249" s="50"/>
      <c r="K249" s="52"/>
      <c r="L249" s="50"/>
    </row>
    <row r="250" ht="18.0" customHeight="1">
      <c r="A250" s="43" t="s">
        <v>580</v>
      </c>
      <c r="B250" s="43" t="s">
        <v>1326</v>
      </c>
      <c r="C250" s="45" t="s">
        <v>1327</v>
      </c>
      <c r="D250" s="46">
        <v>45687.0</v>
      </c>
      <c r="E250" s="47" t="s">
        <v>1328</v>
      </c>
      <c r="F250" s="52"/>
      <c r="G250" s="54"/>
      <c r="H250" s="50"/>
      <c r="I250" s="50"/>
      <c r="J250" s="50"/>
      <c r="K250" s="52"/>
      <c r="L250" s="50"/>
    </row>
    <row r="251" ht="18.0" customHeight="1">
      <c r="A251" s="43" t="s">
        <v>622</v>
      </c>
      <c r="B251" s="44" t="s">
        <v>1329</v>
      </c>
      <c r="C251" s="68"/>
      <c r="D251" s="46">
        <v>45687.0</v>
      </c>
      <c r="E251" s="70" t="s">
        <v>451</v>
      </c>
      <c r="F251" s="52"/>
      <c r="G251" s="54"/>
      <c r="H251" s="50"/>
      <c r="I251" s="44" t="s">
        <v>103</v>
      </c>
      <c r="J251" s="50"/>
      <c r="K251" s="52"/>
      <c r="L251" s="50"/>
    </row>
    <row r="252" ht="18.0" customHeight="1">
      <c r="A252" s="43" t="s">
        <v>27</v>
      </c>
      <c r="B252" s="43" t="s">
        <v>1330</v>
      </c>
      <c r="C252" s="45" t="s">
        <v>1331</v>
      </c>
      <c r="D252" s="46">
        <v>45687.0</v>
      </c>
      <c r="E252" s="47" t="s">
        <v>188</v>
      </c>
      <c r="F252" s="43" t="s">
        <v>1332</v>
      </c>
      <c r="G252" s="49" t="s">
        <v>1333</v>
      </c>
      <c r="H252" s="44" t="s">
        <v>616</v>
      </c>
      <c r="I252" s="43"/>
      <c r="J252" s="50"/>
      <c r="K252" s="43" t="s">
        <v>1334</v>
      </c>
      <c r="L252" s="50"/>
    </row>
    <row r="253" ht="18.0" customHeight="1">
      <c r="A253" s="43" t="s">
        <v>580</v>
      </c>
      <c r="B253" s="43" t="s">
        <v>1335</v>
      </c>
      <c r="C253" s="45" t="s">
        <v>1336</v>
      </c>
      <c r="D253" s="46">
        <v>45687.0</v>
      </c>
      <c r="E253" s="47" t="s">
        <v>1337</v>
      </c>
      <c r="F253" s="52"/>
      <c r="G253" s="54"/>
      <c r="H253" s="50"/>
      <c r="I253" s="50"/>
      <c r="J253" s="50"/>
      <c r="K253" s="52"/>
      <c r="L253" s="50"/>
    </row>
    <row r="254" ht="18.0" customHeight="1">
      <c r="A254" s="43" t="s">
        <v>11</v>
      </c>
      <c r="B254" s="44" t="s">
        <v>1338</v>
      </c>
      <c r="C254" s="45" t="s">
        <v>1339</v>
      </c>
      <c r="D254" s="46">
        <v>45687.0</v>
      </c>
      <c r="E254" s="70" t="s">
        <v>451</v>
      </c>
      <c r="F254" s="43" t="s">
        <v>1340</v>
      </c>
      <c r="G254" s="49" t="s">
        <v>631</v>
      </c>
      <c r="H254" s="44" t="s">
        <v>671</v>
      </c>
      <c r="I254" s="44" t="s">
        <v>881</v>
      </c>
      <c r="J254" s="50"/>
      <c r="K254" s="52"/>
      <c r="L254" s="50"/>
    </row>
    <row r="255" ht="18.0" customHeight="1">
      <c r="A255" s="43" t="s">
        <v>580</v>
      </c>
      <c r="B255" s="58" t="s">
        <v>1341</v>
      </c>
      <c r="C255" s="60"/>
      <c r="D255" s="46">
        <v>45687.0</v>
      </c>
      <c r="E255" s="70" t="s">
        <v>260</v>
      </c>
      <c r="F255" s="52"/>
      <c r="G255" s="54"/>
      <c r="H255" s="50"/>
      <c r="I255" s="50"/>
      <c r="J255" s="50"/>
      <c r="K255" s="52"/>
      <c r="L255" s="50"/>
    </row>
    <row r="256" ht="18.0" customHeight="1">
      <c r="A256" s="43" t="s">
        <v>580</v>
      </c>
      <c r="B256" s="58" t="s">
        <v>1342</v>
      </c>
      <c r="C256" s="60"/>
      <c r="D256" s="46">
        <v>45687.0</v>
      </c>
      <c r="E256" s="47" t="s">
        <v>676</v>
      </c>
      <c r="F256" s="52"/>
      <c r="G256" s="54"/>
      <c r="H256" s="50"/>
      <c r="I256" s="58" t="s">
        <v>1343</v>
      </c>
      <c r="J256" s="50"/>
      <c r="K256" s="52"/>
      <c r="L256" s="50"/>
    </row>
    <row r="257" ht="18.0" customHeight="1">
      <c r="A257" s="43" t="s">
        <v>11</v>
      </c>
      <c r="B257" s="44" t="s">
        <v>1344</v>
      </c>
      <c r="C257" s="45" t="s">
        <v>1345</v>
      </c>
      <c r="D257" s="46">
        <v>45687.0</v>
      </c>
      <c r="E257" s="47" t="s">
        <v>339</v>
      </c>
      <c r="F257" s="43" t="s">
        <v>1346</v>
      </c>
      <c r="G257" s="49" t="s">
        <v>631</v>
      </c>
      <c r="H257" s="44" t="s">
        <v>671</v>
      </c>
      <c r="I257" s="44" t="s">
        <v>881</v>
      </c>
      <c r="J257" s="50"/>
      <c r="K257" s="52"/>
      <c r="L257" s="50"/>
    </row>
    <row r="258" ht="18.0" customHeight="1">
      <c r="A258" s="43" t="s">
        <v>171</v>
      </c>
      <c r="B258" s="43" t="s">
        <v>1347</v>
      </c>
      <c r="C258" s="45" t="s">
        <v>1348</v>
      </c>
      <c r="D258" s="46">
        <v>45688.0</v>
      </c>
      <c r="E258" s="47" t="s">
        <v>292</v>
      </c>
      <c r="F258" s="43" t="s">
        <v>1349</v>
      </c>
      <c r="G258" s="49" t="s">
        <v>631</v>
      </c>
      <c r="H258" s="44" t="s">
        <v>671</v>
      </c>
      <c r="I258" s="44" t="s">
        <v>1042</v>
      </c>
      <c r="J258" s="50"/>
      <c r="K258" s="43" t="s">
        <v>1350</v>
      </c>
      <c r="L258" s="50"/>
    </row>
    <row r="259" ht="18.0" customHeight="1">
      <c r="A259" s="43" t="s">
        <v>11</v>
      </c>
      <c r="B259" s="43" t="s">
        <v>1351</v>
      </c>
      <c r="C259" s="45" t="s">
        <v>1352</v>
      </c>
      <c r="D259" s="46">
        <v>45688.0</v>
      </c>
      <c r="E259" s="47" t="s">
        <v>1353</v>
      </c>
      <c r="F259" s="43" t="s">
        <v>1354</v>
      </c>
      <c r="G259" s="49" t="s">
        <v>1355</v>
      </c>
      <c r="H259" s="44" t="s">
        <v>671</v>
      </c>
      <c r="I259" s="44" t="s">
        <v>1356</v>
      </c>
      <c r="J259" s="58"/>
      <c r="K259" s="52"/>
      <c r="L259" s="50"/>
    </row>
    <row r="260" ht="18.0" customHeight="1">
      <c r="A260" s="43" t="s">
        <v>580</v>
      </c>
      <c r="B260" s="43" t="s">
        <v>1357</v>
      </c>
      <c r="C260" s="45" t="s">
        <v>1358</v>
      </c>
      <c r="D260" s="46">
        <v>45688.0</v>
      </c>
      <c r="E260" s="47" t="s">
        <v>1272</v>
      </c>
      <c r="F260" s="43" t="s">
        <v>1359</v>
      </c>
      <c r="G260" s="49" t="s">
        <v>631</v>
      </c>
      <c r="H260" s="44" t="s">
        <v>671</v>
      </c>
      <c r="I260" s="44" t="s">
        <v>881</v>
      </c>
      <c r="J260" s="50"/>
      <c r="K260" s="43" t="s">
        <v>1360</v>
      </c>
      <c r="L260" s="50"/>
    </row>
    <row r="261" ht="18.0" customHeight="1">
      <c r="A261" s="43" t="s">
        <v>580</v>
      </c>
      <c r="B261" s="43" t="s">
        <v>1361</v>
      </c>
      <c r="C261" s="45" t="s">
        <v>1362</v>
      </c>
      <c r="D261" s="46">
        <v>45688.0</v>
      </c>
      <c r="E261" s="62" t="s">
        <v>73</v>
      </c>
      <c r="F261" s="43" t="s">
        <v>1363</v>
      </c>
      <c r="G261" s="49" t="s">
        <v>631</v>
      </c>
      <c r="H261" s="44" t="s">
        <v>671</v>
      </c>
      <c r="I261" s="44" t="s">
        <v>881</v>
      </c>
      <c r="J261" s="50"/>
      <c r="K261" s="43"/>
      <c r="L261" s="50"/>
    </row>
    <row r="262" ht="18.0" customHeight="1">
      <c r="A262" s="43" t="s">
        <v>580</v>
      </c>
      <c r="B262" s="83" t="s">
        <v>1364</v>
      </c>
      <c r="C262" s="45">
        <v>9.0880480297E10</v>
      </c>
      <c r="D262" s="46">
        <v>45691.0</v>
      </c>
      <c r="E262" s="47" t="s">
        <v>1365</v>
      </c>
      <c r="F262" s="52"/>
      <c r="G262" s="54"/>
      <c r="H262" s="50"/>
      <c r="I262" s="50"/>
      <c r="J262" s="50"/>
      <c r="K262" s="52"/>
      <c r="L262" s="50"/>
    </row>
    <row r="263" ht="18.0" customHeight="1">
      <c r="A263" s="43" t="s">
        <v>11</v>
      </c>
      <c r="B263" s="44" t="s">
        <v>1366</v>
      </c>
      <c r="C263" s="60"/>
      <c r="D263" s="46">
        <v>45696.0</v>
      </c>
      <c r="E263" s="43" t="s">
        <v>1367</v>
      </c>
      <c r="F263" s="52"/>
      <c r="G263" s="45" t="s">
        <v>1368</v>
      </c>
      <c r="H263" s="52"/>
      <c r="I263" s="52"/>
      <c r="J263" s="50"/>
      <c r="K263" s="43" t="s">
        <v>1369</v>
      </c>
      <c r="L263" s="50"/>
    </row>
    <row r="264" ht="18.0" customHeight="1">
      <c r="A264" s="43" t="s">
        <v>622</v>
      </c>
      <c r="B264" s="43" t="s">
        <v>1370</v>
      </c>
      <c r="C264" s="45" t="s">
        <v>1371</v>
      </c>
      <c r="D264" s="63">
        <v>45951.0</v>
      </c>
      <c r="E264" s="47" t="s">
        <v>1372</v>
      </c>
      <c r="F264" s="43" t="s">
        <v>1373</v>
      </c>
      <c r="G264" s="49" t="s">
        <v>577</v>
      </c>
      <c r="H264" s="44" t="s">
        <v>616</v>
      </c>
      <c r="I264" s="58" t="s">
        <v>915</v>
      </c>
      <c r="J264" s="50"/>
      <c r="K264" s="52"/>
      <c r="L264" s="50"/>
    </row>
    <row r="265" ht="18.0" customHeight="1">
      <c r="A265" s="43" t="s">
        <v>11</v>
      </c>
      <c r="B265" s="44" t="s">
        <v>1374</v>
      </c>
      <c r="C265" s="45"/>
      <c r="D265" s="46">
        <v>45995.0</v>
      </c>
      <c r="E265" s="47" t="s">
        <v>1375</v>
      </c>
      <c r="F265" s="43" t="s">
        <v>165</v>
      </c>
      <c r="G265" s="49" t="s">
        <v>686</v>
      </c>
      <c r="H265" s="44" t="s">
        <v>1376</v>
      </c>
      <c r="I265" s="44" t="s">
        <v>1377</v>
      </c>
      <c r="J265" s="44" t="s">
        <v>673</v>
      </c>
      <c r="K265" s="43"/>
      <c r="L265" s="50"/>
    </row>
    <row r="266" ht="18.0" customHeight="1">
      <c r="A266" s="50"/>
      <c r="B266" s="50"/>
      <c r="C266" s="54"/>
      <c r="D266" s="50"/>
      <c r="E266" s="50"/>
      <c r="F266" s="52"/>
      <c r="G266" s="54"/>
      <c r="H266" s="50"/>
      <c r="I266" s="50"/>
      <c r="J266" s="50"/>
      <c r="K266" s="50"/>
      <c r="L266" s="50"/>
    </row>
    <row r="267" ht="18.0" customHeight="1">
      <c r="A267" s="50"/>
      <c r="B267" s="50"/>
      <c r="C267" s="54"/>
      <c r="D267" s="50"/>
      <c r="E267" s="50"/>
      <c r="F267" s="52"/>
      <c r="G267" s="54"/>
      <c r="H267" s="50"/>
      <c r="I267" s="50"/>
      <c r="J267" s="50"/>
      <c r="K267" s="50"/>
      <c r="L267" s="50"/>
    </row>
    <row r="268" ht="18.0" customHeight="1">
      <c r="A268" s="43" t="s">
        <v>580</v>
      </c>
      <c r="B268" s="58" t="s">
        <v>209</v>
      </c>
      <c r="C268" s="60"/>
      <c r="D268" s="46"/>
      <c r="E268" s="47" t="s">
        <v>1353</v>
      </c>
      <c r="F268" s="52"/>
      <c r="G268" s="54"/>
      <c r="H268" s="50"/>
      <c r="I268" s="50"/>
      <c r="J268" s="50"/>
      <c r="K268" s="52"/>
      <c r="L268" s="50"/>
    </row>
    <row r="269" ht="18.0" customHeight="1">
      <c r="A269" s="43" t="s">
        <v>580</v>
      </c>
      <c r="B269" s="43" t="s">
        <v>1046</v>
      </c>
      <c r="C269" s="60"/>
      <c r="D269" s="60"/>
      <c r="E269" s="85"/>
      <c r="F269" s="52"/>
      <c r="G269" s="54"/>
      <c r="H269" s="50"/>
      <c r="I269" s="50"/>
      <c r="J269" s="50"/>
      <c r="K269" s="52"/>
      <c r="L269" s="50"/>
    </row>
    <row r="270" ht="18.0" customHeight="1">
      <c r="A270" s="43" t="s">
        <v>11</v>
      </c>
      <c r="B270" s="44" t="s">
        <v>1378</v>
      </c>
      <c r="C270" s="60"/>
      <c r="D270" s="60"/>
      <c r="E270" s="47" t="s">
        <v>1379</v>
      </c>
      <c r="F270" s="52"/>
      <c r="G270" s="54"/>
      <c r="H270" s="50"/>
      <c r="I270" s="50"/>
      <c r="J270" s="50"/>
      <c r="K270" s="43" t="s">
        <v>694</v>
      </c>
      <c r="L270" s="50"/>
    </row>
    <row r="271" ht="18.0" customHeight="1">
      <c r="A271" s="43" t="s">
        <v>11</v>
      </c>
      <c r="B271" s="44" t="s">
        <v>1380</v>
      </c>
      <c r="C271" s="60"/>
      <c r="D271" s="60"/>
      <c r="E271" s="47" t="s">
        <v>676</v>
      </c>
      <c r="F271" s="52"/>
      <c r="G271" s="54"/>
      <c r="H271" s="50"/>
      <c r="I271" s="50"/>
      <c r="J271" s="50"/>
      <c r="K271" s="43" t="s">
        <v>694</v>
      </c>
      <c r="L271" s="50"/>
    </row>
    <row r="272" ht="18.0" customHeight="1">
      <c r="A272" s="43" t="s">
        <v>663</v>
      </c>
      <c r="B272" s="58" t="s">
        <v>1381</v>
      </c>
      <c r="C272" s="45"/>
      <c r="D272" s="46"/>
      <c r="E272" s="47" t="s">
        <v>1382</v>
      </c>
      <c r="F272" s="52"/>
      <c r="G272" s="57" t="s">
        <v>1383</v>
      </c>
      <c r="H272" s="50"/>
      <c r="I272" s="50"/>
      <c r="J272" s="50"/>
      <c r="K272" s="43"/>
      <c r="L272" s="50"/>
    </row>
    <row r="273">
      <c r="C273" s="93"/>
    </row>
    <row r="274" ht="18.0" customHeight="1">
      <c r="A274" s="43"/>
      <c r="B274" s="43"/>
      <c r="C274" s="45"/>
      <c r="D274" s="46"/>
      <c r="E274" s="47"/>
      <c r="F274" s="52"/>
      <c r="G274" s="45"/>
      <c r="H274" s="50"/>
      <c r="I274" s="50"/>
      <c r="J274" s="50"/>
      <c r="K274" s="43"/>
      <c r="L274" s="50"/>
    </row>
    <row r="275" ht="18.0" customHeight="1">
      <c r="A275" s="43"/>
      <c r="B275" s="43"/>
      <c r="C275" s="45"/>
      <c r="D275" s="46"/>
      <c r="E275" s="47"/>
      <c r="F275" s="52"/>
      <c r="G275" s="45"/>
      <c r="H275" s="50"/>
      <c r="I275" s="50"/>
      <c r="J275" s="50"/>
      <c r="K275" s="43"/>
      <c r="L275" s="50"/>
    </row>
    <row r="276" ht="18.0" customHeight="1">
      <c r="A276" s="43"/>
      <c r="B276" s="43"/>
      <c r="C276" s="45"/>
      <c r="D276" s="46"/>
      <c r="E276" s="47"/>
      <c r="F276" s="52"/>
      <c r="G276" s="45"/>
      <c r="H276" s="50"/>
      <c r="I276" s="50"/>
      <c r="J276" s="50"/>
      <c r="K276" s="43"/>
      <c r="L276" s="50"/>
    </row>
    <row r="277" ht="18.0" customHeight="1">
      <c r="A277" s="43"/>
      <c r="B277" s="43"/>
      <c r="C277" s="45"/>
      <c r="D277" s="46"/>
      <c r="E277" s="47"/>
      <c r="F277" s="52"/>
      <c r="G277" s="45"/>
      <c r="H277" s="50"/>
      <c r="I277" s="50"/>
      <c r="J277" s="50"/>
      <c r="K277" s="43"/>
      <c r="L277" s="50"/>
    </row>
    <row r="278" ht="18.0" customHeight="1">
      <c r="A278" s="43"/>
      <c r="B278" s="43"/>
      <c r="C278" s="45"/>
      <c r="D278" s="46"/>
      <c r="E278" s="47"/>
      <c r="F278" s="52"/>
      <c r="G278" s="45"/>
      <c r="H278" s="50"/>
      <c r="I278" s="50"/>
      <c r="J278" s="50"/>
      <c r="K278" s="43"/>
      <c r="L278" s="50"/>
    </row>
  </sheetData>
  <dataValidations>
    <dataValidation type="list" allowBlank="1" showErrorMessage="1" sqref="A2:A214 A216:A272 A274:A278">
      <formula1>"Urgente,Mediana,Normal,Análise Concluída,Falta Tutoria,Falta Documentação,Falta Financeiro,Falta Plataforma,Aluno certificado,Aluno no Setor de Cobrança,Processo de certificação,Atualizado em Abril"</formula1>
    </dataValidation>
  </dataValidations>
  <printOptions gridLines="1" horizontalCentered="1"/>
  <pageMargins bottom="0.75" footer="0.0" header="0.0" left="0.7" right="0.7" top="0.75"/>
  <pageSetup fitToHeight="0" cellComments="atEnd" orientation="landscape" pageOrder="overThenDown"/>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43.88"/>
    <col customWidth="1" min="2" max="2" width="46.38"/>
    <col customWidth="1" min="3" max="3" width="34.5"/>
    <col customWidth="1" min="4" max="4" width="30.25"/>
    <col customWidth="1" min="5" max="5" width="68.75"/>
    <col customWidth="1" min="6" max="6" width="104.38"/>
    <col customWidth="1" min="7" max="7" width="63.63"/>
    <col customWidth="1" min="8" max="8" width="58.25"/>
    <col customWidth="1" min="9" max="9" width="74.25"/>
    <col customWidth="1" min="10" max="10" width="32.25"/>
    <col customWidth="1" min="11" max="11" width="40.5"/>
    <col customWidth="1" min="12" max="12" width="32.25"/>
  </cols>
  <sheetData>
    <row r="1" ht="46.5" customHeight="1">
      <c r="A1" s="1" t="s">
        <v>0</v>
      </c>
      <c r="B1" s="1" t="s">
        <v>2</v>
      </c>
      <c r="C1" s="1" t="s">
        <v>1384</v>
      </c>
      <c r="D1" s="1" t="s">
        <v>3</v>
      </c>
      <c r="E1" s="1" t="s">
        <v>4</v>
      </c>
      <c r="F1" s="1" t="s">
        <v>5</v>
      </c>
      <c r="G1" s="1" t="s">
        <v>6</v>
      </c>
      <c r="H1" s="1" t="s">
        <v>1385</v>
      </c>
      <c r="I1" s="1" t="s">
        <v>1386</v>
      </c>
      <c r="J1" s="40" t="s">
        <v>1387</v>
      </c>
      <c r="K1" s="40" t="s">
        <v>572</v>
      </c>
      <c r="L1" s="94"/>
    </row>
    <row r="2">
      <c r="A2" s="51" t="s">
        <v>11</v>
      </c>
      <c r="B2" s="95" t="s">
        <v>1388</v>
      </c>
      <c r="C2" s="96"/>
      <c r="D2" s="97">
        <v>45341.0</v>
      </c>
      <c r="E2" s="98" t="s">
        <v>1389</v>
      </c>
      <c r="F2" s="66" t="s">
        <v>1390</v>
      </c>
      <c r="G2" s="8" t="s">
        <v>1391</v>
      </c>
      <c r="H2" s="99" t="s">
        <v>827</v>
      </c>
      <c r="I2" s="99" t="s">
        <v>1392</v>
      </c>
      <c r="J2" s="66"/>
      <c r="K2" s="51" t="s">
        <v>1393</v>
      </c>
      <c r="L2" s="100"/>
    </row>
    <row r="3">
      <c r="A3" s="51" t="s">
        <v>11</v>
      </c>
      <c r="B3" s="99" t="s">
        <v>1394</v>
      </c>
      <c r="C3" s="75" t="s">
        <v>1395</v>
      </c>
      <c r="D3" s="97">
        <v>45403.0</v>
      </c>
      <c r="E3" s="98" t="s">
        <v>1396</v>
      </c>
      <c r="F3" s="51" t="s">
        <v>1397</v>
      </c>
      <c r="G3" s="8" t="s">
        <v>1391</v>
      </c>
      <c r="H3" s="95" t="s">
        <v>827</v>
      </c>
      <c r="I3" s="99" t="s">
        <v>1398</v>
      </c>
      <c r="J3" s="66"/>
      <c r="K3" s="66"/>
      <c r="L3" s="100"/>
    </row>
    <row r="4">
      <c r="A4" s="51" t="s">
        <v>11</v>
      </c>
      <c r="B4" s="95" t="s">
        <v>1335</v>
      </c>
      <c r="C4" s="75" t="s">
        <v>1336</v>
      </c>
      <c r="D4" s="97">
        <v>45562.0</v>
      </c>
      <c r="E4" s="98" t="s">
        <v>1399</v>
      </c>
      <c r="F4" s="51" t="s">
        <v>1400</v>
      </c>
      <c r="G4" s="99" t="s">
        <v>1401</v>
      </c>
      <c r="H4" s="101" t="s">
        <v>1402</v>
      </c>
      <c r="I4" s="99" t="s">
        <v>1398</v>
      </c>
      <c r="J4" s="66"/>
      <c r="K4" s="66"/>
      <c r="L4" s="100"/>
    </row>
    <row r="5">
      <c r="A5" s="51" t="s">
        <v>11</v>
      </c>
      <c r="B5" s="95" t="s">
        <v>1403</v>
      </c>
      <c r="C5" s="75" t="s">
        <v>1404</v>
      </c>
      <c r="D5" s="97">
        <v>45562.0</v>
      </c>
      <c r="E5" s="58" t="s">
        <v>1405</v>
      </c>
      <c r="F5" s="51" t="s">
        <v>1406</v>
      </c>
      <c r="G5" s="95" t="s">
        <v>1407</v>
      </c>
      <c r="H5" s="95" t="s">
        <v>827</v>
      </c>
      <c r="I5" s="99"/>
      <c r="J5" s="66"/>
      <c r="K5" s="66"/>
      <c r="L5" s="100"/>
    </row>
    <row r="6">
      <c r="A6" s="51" t="s">
        <v>1408</v>
      </c>
      <c r="B6" s="44" t="s">
        <v>1213</v>
      </c>
      <c r="C6" s="45"/>
      <c r="D6" s="102">
        <v>45576.0</v>
      </c>
      <c r="E6" s="62" t="s">
        <v>814</v>
      </c>
      <c r="F6" s="52"/>
      <c r="G6" s="99" t="s">
        <v>682</v>
      </c>
      <c r="H6" s="50"/>
      <c r="I6" s="44" t="s">
        <v>1409</v>
      </c>
      <c r="J6" s="52"/>
      <c r="K6" s="43" t="s">
        <v>46</v>
      </c>
      <c r="L6" s="103"/>
    </row>
    <row r="7">
      <c r="A7" s="51" t="s">
        <v>11</v>
      </c>
      <c r="B7" s="44" t="s">
        <v>1410</v>
      </c>
      <c r="C7" s="45"/>
      <c r="D7" s="102">
        <v>45576.0</v>
      </c>
      <c r="E7" s="70" t="s">
        <v>357</v>
      </c>
      <c r="F7" s="43" t="s">
        <v>1411</v>
      </c>
      <c r="G7" s="8" t="s">
        <v>1391</v>
      </c>
      <c r="H7" s="99" t="s">
        <v>783</v>
      </c>
      <c r="I7" s="44" t="s">
        <v>1412</v>
      </c>
      <c r="J7" s="44" t="s">
        <v>673</v>
      </c>
      <c r="K7" s="43" t="s">
        <v>46</v>
      </c>
      <c r="L7" s="104"/>
    </row>
    <row r="8">
      <c r="A8" s="51" t="s">
        <v>11</v>
      </c>
      <c r="B8" s="44" t="s">
        <v>668</v>
      </c>
      <c r="C8" s="45"/>
      <c r="D8" s="102">
        <v>45576.0</v>
      </c>
      <c r="E8" s="70" t="s">
        <v>1094</v>
      </c>
      <c r="F8" s="43" t="s">
        <v>1413</v>
      </c>
      <c r="G8" s="8" t="s">
        <v>1391</v>
      </c>
      <c r="H8" s="99" t="s">
        <v>783</v>
      </c>
      <c r="I8" s="44" t="s">
        <v>1414</v>
      </c>
      <c r="J8" s="50"/>
      <c r="K8" s="52"/>
      <c r="L8" s="103"/>
    </row>
    <row r="9">
      <c r="A9" s="51" t="s">
        <v>11</v>
      </c>
      <c r="B9" s="44" t="s">
        <v>1415</v>
      </c>
      <c r="C9" s="45"/>
      <c r="D9" s="105">
        <v>45602.0</v>
      </c>
      <c r="E9" s="43" t="s">
        <v>1416</v>
      </c>
      <c r="F9" s="43" t="s">
        <v>1417</v>
      </c>
      <c r="G9" s="8" t="s">
        <v>1391</v>
      </c>
      <c r="H9" s="44" t="s">
        <v>783</v>
      </c>
      <c r="I9" s="44" t="s">
        <v>1418</v>
      </c>
      <c r="J9" s="44" t="s">
        <v>1419</v>
      </c>
      <c r="K9" s="43" t="s">
        <v>46</v>
      </c>
      <c r="L9" s="104"/>
    </row>
    <row r="10">
      <c r="A10" s="51" t="s">
        <v>11</v>
      </c>
      <c r="B10" s="44" t="s">
        <v>193</v>
      </c>
      <c r="C10" s="45"/>
      <c r="D10" s="102">
        <v>45607.0</v>
      </c>
      <c r="E10" s="70" t="s">
        <v>676</v>
      </c>
      <c r="F10" s="43" t="s">
        <v>1420</v>
      </c>
      <c r="G10" s="8" t="s">
        <v>1391</v>
      </c>
      <c r="H10" s="44" t="s">
        <v>783</v>
      </c>
      <c r="I10" s="44" t="s">
        <v>1421</v>
      </c>
      <c r="J10" s="44" t="s">
        <v>288</v>
      </c>
      <c r="K10" s="43" t="s">
        <v>46</v>
      </c>
      <c r="L10" s="104"/>
    </row>
    <row r="11">
      <c r="A11" s="51" t="s">
        <v>11</v>
      </c>
      <c r="B11" s="44" t="s">
        <v>1422</v>
      </c>
      <c r="C11" s="45"/>
      <c r="D11" s="102">
        <v>45618.0</v>
      </c>
      <c r="E11" s="70" t="s">
        <v>676</v>
      </c>
      <c r="F11" s="43" t="s">
        <v>1423</v>
      </c>
      <c r="G11" s="8" t="s">
        <v>1391</v>
      </c>
      <c r="H11" s="99" t="s">
        <v>783</v>
      </c>
      <c r="I11" s="44" t="s">
        <v>103</v>
      </c>
      <c r="J11" s="44" t="s">
        <v>673</v>
      </c>
      <c r="K11" s="43" t="s">
        <v>46</v>
      </c>
      <c r="L11" s="104"/>
    </row>
    <row r="12">
      <c r="A12" s="51" t="s">
        <v>11</v>
      </c>
      <c r="B12" s="44" t="s">
        <v>1424</v>
      </c>
      <c r="C12" s="45"/>
      <c r="D12" s="102">
        <v>45623.0</v>
      </c>
      <c r="E12" s="70" t="s">
        <v>1425</v>
      </c>
      <c r="F12" s="43" t="s">
        <v>685</v>
      </c>
      <c r="G12" s="8" t="s">
        <v>1391</v>
      </c>
      <c r="H12" s="44" t="s">
        <v>827</v>
      </c>
      <c r="I12" s="44" t="s">
        <v>1426</v>
      </c>
      <c r="J12" s="50"/>
      <c r="K12" s="43" t="s">
        <v>46</v>
      </c>
      <c r="L12" s="103"/>
    </row>
    <row r="13">
      <c r="A13" s="51" t="s">
        <v>11</v>
      </c>
      <c r="B13" s="95" t="s">
        <v>1427</v>
      </c>
      <c r="C13" s="75" t="s">
        <v>1428</v>
      </c>
      <c r="D13" s="97">
        <v>45628.0</v>
      </c>
      <c r="E13" s="98" t="s">
        <v>188</v>
      </c>
      <c r="F13" s="43" t="s">
        <v>1429</v>
      </c>
      <c r="G13" s="8" t="s">
        <v>1391</v>
      </c>
      <c r="H13" s="95" t="s">
        <v>827</v>
      </c>
      <c r="I13" s="99" t="s">
        <v>1430</v>
      </c>
      <c r="J13" s="51" t="s">
        <v>59</v>
      </c>
      <c r="K13" s="51" t="s">
        <v>1431</v>
      </c>
      <c r="L13" s="100"/>
    </row>
    <row r="14">
      <c r="A14" s="51" t="s">
        <v>11</v>
      </c>
      <c r="B14" s="95" t="s">
        <v>1432</v>
      </c>
      <c r="C14" s="75" t="s">
        <v>1433</v>
      </c>
      <c r="D14" s="97">
        <v>45628.0</v>
      </c>
      <c r="E14" s="98" t="s">
        <v>676</v>
      </c>
      <c r="F14" s="51" t="s">
        <v>1434</v>
      </c>
      <c r="G14" s="99" t="s">
        <v>1407</v>
      </c>
      <c r="H14" s="95" t="s">
        <v>827</v>
      </c>
      <c r="I14" s="99" t="s">
        <v>567</v>
      </c>
      <c r="J14" s="51" t="s">
        <v>169</v>
      </c>
      <c r="K14" s="58" t="s">
        <v>46</v>
      </c>
      <c r="L14" s="106"/>
    </row>
    <row r="15">
      <c r="A15" s="51" t="s">
        <v>11</v>
      </c>
      <c r="B15" s="95" t="s">
        <v>1435</v>
      </c>
      <c r="C15" s="96"/>
      <c r="D15" s="97">
        <v>45628.0</v>
      </c>
      <c r="E15" s="98" t="s">
        <v>1436</v>
      </c>
      <c r="F15" s="66" t="s">
        <v>1437</v>
      </c>
      <c r="G15" s="8" t="s">
        <v>1391</v>
      </c>
      <c r="H15" s="99" t="s">
        <v>783</v>
      </c>
      <c r="I15" s="99" t="s">
        <v>1438</v>
      </c>
      <c r="J15" s="99" t="s">
        <v>1439</v>
      </c>
      <c r="K15" s="58" t="s">
        <v>46</v>
      </c>
      <c r="L15" s="106"/>
    </row>
    <row r="16">
      <c r="A16" s="51" t="s">
        <v>11</v>
      </c>
      <c r="B16" s="95" t="s">
        <v>1440</v>
      </c>
      <c r="C16" s="96"/>
      <c r="D16" s="97">
        <v>45628.0</v>
      </c>
      <c r="E16" s="98" t="s">
        <v>1441</v>
      </c>
      <c r="F16" s="66" t="s">
        <v>1442</v>
      </c>
      <c r="G16" s="8" t="s">
        <v>1391</v>
      </c>
      <c r="H16" s="95" t="s">
        <v>827</v>
      </c>
      <c r="I16" s="99" t="s">
        <v>567</v>
      </c>
      <c r="J16" s="99" t="s">
        <v>1443</v>
      </c>
      <c r="K16" s="58" t="s">
        <v>46</v>
      </c>
      <c r="L16" s="106"/>
    </row>
    <row r="17">
      <c r="A17" s="51" t="s">
        <v>11</v>
      </c>
      <c r="B17" s="107" t="s">
        <v>285</v>
      </c>
      <c r="C17" s="108"/>
      <c r="D17" s="109">
        <v>45628.0</v>
      </c>
      <c r="E17" s="74" t="s">
        <v>451</v>
      </c>
      <c r="F17" s="51" t="s">
        <v>287</v>
      </c>
      <c r="G17" s="8" t="s">
        <v>1391</v>
      </c>
      <c r="H17" s="99" t="s">
        <v>827</v>
      </c>
      <c r="I17" s="99" t="s">
        <v>1444</v>
      </c>
      <c r="J17" s="44" t="s">
        <v>673</v>
      </c>
      <c r="K17" s="43" t="s">
        <v>46</v>
      </c>
      <c r="L17" s="104"/>
    </row>
    <row r="18">
      <c r="A18" s="51" t="s">
        <v>11</v>
      </c>
      <c r="B18" s="44" t="s">
        <v>1445</v>
      </c>
      <c r="C18" s="45"/>
      <c r="D18" s="46">
        <v>45628.0</v>
      </c>
      <c r="E18" s="70" t="s">
        <v>188</v>
      </c>
      <c r="F18" s="43" t="s">
        <v>710</v>
      </c>
      <c r="G18" s="43" t="s">
        <v>1446</v>
      </c>
      <c r="H18" s="44" t="s">
        <v>783</v>
      </c>
      <c r="I18" s="44" t="s">
        <v>1447</v>
      </c>
      <c r="J18" s="52"/>
      <c r="K18" s="52"/>
      <c r="L18" s="103"/>
    </row>
    <row r="19">
      <c r="A19" s="51" t="s">
        <v>11</v>
      </c>
      <c r="B19" s="95" t="s">
        <v>1432</v>
      </c>
      <c r="C19" s="75" t="s">
        <v>1433</v>
      </c>
      <c r="D19" s="97">
        <v>45628.0</v>
      </c>
      <c r="E19" s="98" t="s">
        <v>1448</v>
      </c>
      <c r="F19" s="51" t="s">
        <v>1449</v>
      </c>
      <c r="G19" s="8" t="s">
        <v>1391</v>
      </c>
      <c r="H19" s="95" t="s">
        <v>827</v>
      </c>
      <c r="I19" s="99" t="s">
        <v>18</v>
      </c>
      <c r="J19" s="51" t="s">
        <v>288</v>
      </c>
      <c r="K19" s="58" t="s">
        <v>46</v>
      </c>
      <c r="L19" s="106"/>
    </row>
    <row r="20">
      <c r="A20" s="51" t="s">
        <v>1450</v>
      </c>
      <c r="B20" s="66" t="s">
        <v>1451</v>
      </c>
      <c r="C20" s="75" t="s">
        <v>1452</v>
      </c>
      <c r="D20" s="97">
        <v>45629.0</v>
      </c>
      <c r="E20" s="98" t="s">
        <v>735</v>
      </c>
      <c r="F20" s="51" t="s">
        <v>1453</v>
      </c>
      <c r="G20" s="95" t="s">
        <v>1407</v>
      </c>
      <c r="H20" s="101" t="s">
        <v>1454</v>
      </c>
      <c r="I20" s="44" t="s">
        <v>1447</v>
      </c>
      <c r="J20" s="66"/>
      <c r="K20" s="66"/>
      <c r="L20" s="100"/>
    </row>
    <row r="21">
      <c r="A21" s="51" t="s">
        <v>11</v>
      </c>
      <c r="B21" s="95" t="s">
        <v>1455</v>
      </c>
      <c r="C21" s="96"/>
      <c r="D21" s="97"/>
      <c r="E21" s="98" t="s">
        <v>324</v>
      </c>
      <c r="F21" s="66" t="s">
        <v>1456</v>
      </c>
      <c r="G21" s="8" t="s">
        <v>1391</v>
      </c>
      <c r="H21" s="95" t="s">
        <v>827</v>
      </c>
      <c r="I21" s="99" t="s">
        <v>567</v>
      </c>
      <c r="J21" s="99" t="s">
        <v>1457</v>
      </c>
      <c r="K21" s="58" t="s">
        <v>46</v>
      </c>
      <c r="L21" s="106"/>
    </row>
    <row r="22">
      <c r="A22" s="51" t="s">
        <v>11</v>
      </c>
      <c r="B22" s="95" t="s">
        <v>1458</v>
      </c>
      <c r="C22" s="96"/>
      <c r="D22" s="97">
        <v>45629.0</v>
      </c>
      <c r="E22" s="74" t="s">
        <v>1459</v>
      </c>
      <c r="F22" s="66" t="s">
        <v>1460</v>
      </c>
      <c r="G22" s="8" t="s">
        <v>1391</v>
      </c>
      <c r="H22" s="95" t="s">
        <v>783</v>
      </c>
      <c r="I22" s="99" t="s">
        <v>1461</v>
      </c>
      <c r="J22" s="99" t="s">
        <v>1439</v>
      </c>
      <c r="K22" s="58" t="s">
        <v>46</v>
      </c>
      <c r="L22" s="106"/>
    </row>
    <row r="23">
      <c r="A23" s="51" t="s">
        <v>11</v>
      </c>
      <c r="B23" s="95" t="s">
        <v>478</v>
      </c>
      <c r="C23" s="75" t="s">
        <v>477</v>
      </c>
      <c r="D23" s="97">
        <v>45629.0</v>
      </c>
      <c r="E23" s="98" t="s">
        <v>1462</v>
      </c>
      <c r="F23" s="51" t="s">
        <v>1463</v>
      </c>
      <c r="G23" s="8" t="s">
        <v>1391</v>
      </c>
      <c r="H23" s="95" t="s">
        <v>827</v>
      </c>
      <c r="I23" s="99" t="s">
        <v>1464</v>
      </c>
      <c r="J23" s="51" t="s">
        <v>179</v>
      </c>
      <c r="K23" s="51"/>
      <c r="L23" s="110"/>
    </row>
    <row r="24">
      <c r="A24" s="51" t="s">
        <v>11</v>
      </c>
      <c r="B24" s="95" t="s">
        <v>478</v>
      </c>
      <c r="C24" s="75" t="s">
        <v>477</v>
      </c>
      <c r="D24" s="97">
        <v>45629.0</v>
      </c>
      <c r="E24" s="98" t="s">
        <v>1465</v>
      </c>
      <c r="F24" s="51" t="s">
        <v>1463</v>
      </c>
      <c r="G24" s="8" t="s">
        <v>1391</v>
      </c>
      <c r="H24" s="95" t="s">
        <v>827</v>
      </c>
      <c r="I24" s="99" t="s">
        <v>1466</v>
      </c>
      <c r="J24" s="51" t="s">
        <v>179</v>
      </c>
      <c r="K24" s="51"/>
      <c r="L24" s="110"/>
    </row>
    <row r="25">
      <c r="A25" s="51" t="s">
        <v>11</v>
      </c>
      <c r="B25" s="95" t="s">
        <v>1467</v>
      </c>
      <c r="C25" s="75" t="s">
        <v>1468</v>
      </c>
      <c r="D25" s="97">
        <v>45629.0</v>
      </c>
      <c r="E25" s="98" t="s">
        <v>1469</v>
      </c>
      <c r="F25" s="51" t="s">
        <v>1470</v>
      </c>
      <c r="G25" s="8" t="s">
        <v>1391</v>
      </c>
      <c r="H25" s="95" t="s">
        <v>783</v>
      </c>
      <c r="I25" s="99" t="s">
        <v>1430</v>
      </c>
      <c r="J25" s="51" t="s">
        <v>179</v>
      </c>
      <c r="K25" s="51"/>
      <c r="L25" s="110"/>
    </row>
    <row r="26">
      <c r="A26" s="51" t="s">
        <v>11</v>
      </c>
      <c r="B26" s="95" t="s">
        <v>1451</v>
      </c>
      <c r="C26" s="96"/>
      <c r="D26" s="97">
        <v>45629.0</v>
      </c>
      <c r="E26" s="98" t="s">
        <v>1184</v>
      </c>
      <c r="F26" s="66" t="s">
        <v>1471</v>
      </c>
      <c r="G26" s="8" t="s">
        <v>1391</v>
      </c>
      <c r="H26" s="95" t="s">
        <v>783</v>
      </c>
      <c r="I26" s="99" t="s">
        <v>1472</v>
      </c>
      <c r="J26" s="99" t="s">
        <v>1473</v>
      </c>
      <c r="K26" s="51" t="s">
        <v>46</v>
      </c>
      <c r="L26" s="110"/>
    </row>
    <row r="27">
      <c r="A27" s="51" t="s">
        <v>11</v>
      </c>
      <c r="B27" s="95" t="s">
        <v>1474</v>
      </c>
      <c r="C27" s="75" t="s">
        <v>1475</v>
      </c>
      <c r="D27" s="97">
        <v>45629.0</v>
      </c>
      <c r="E27" s="98" t="s">
        <v>463</v>
      </c>
      <c r="F27" s="51" t="s">
        <v>1476</v>
      </c>
      <c r="G27" s="8" t="s">
        <v>1391</v>
      </c>
      <c r="H27" s="99" t="s">
        <v>783</v>
      </c>
      <c r="I27" s="99" t="s">
        <v>1430</v>
      </c>
      <c r="J27" s="66"/>
      <c r="K27" s="66"/>
      <c r="L27" s="100"/>
    </row>
    <row r="28">
      <c r="A28" s="51" t="s">
        <v>11</v>
      </c>
      <c r="B28" s="95" t="s">
        <v>1477</v>
      </c>
      <c r="C28" s="96"/>
      <c r="D28" s="97">
        <v>45629.0</v>
      </c>
      <c r="E28" s="98" t="s">
        <v>417</v>
      </c>
      <c r="F28" s="66" t="s">
        <v>1478</v>
      </c>
      <c r="G28" s="8" t="s">
        <v>1391</v>
      </c>
      <c r="H28" s="95" t="s">
        <v>827</v>
      </c>
      <c r="I28" s="99" t="s">
        <v>1430</v>
      </c>
      <c r="J28" s="66"/>
      <c r="K28" s="66"/>
      <c r="L28" s="100"/>
    </row>
    <row r="29">
      <c r="A29" s="51" t="s">
        <v>11</v>
      </c>
      <c r="B29" s="44" t="s">
        <v>1479</v>
      </c>
      <c r="C29" s="45"/>
      <c r="D29" s="105">
        <v>45629.0</v>
      </c>
      <c r="E29" s="62" t="s">
        <v>814</v>
      </c>
      <c r="F29" s="43" t="s">
        <v>1480</v>
      </c>
      <c r="G29" s="8" t="s">
        <v>1391</v>
      </c>
      <c r="H29" s="44" t="s">
        <v>783</v>
      </c>
      <c r="I29" s="44" t="s">
        <v>1481</v>
      </c>
      <c r="J29" s="44" t="s">
        <v>1482</v>
      </c>
      <c r="K29" s="43" t="s">
        <v>1483</v>
      </c>
      <c r="L29" s="104"/>
    </row>
    <row r="30">
      <c r="A30" s="51" t="s">
        <v>11</v>
      </c>
      <c r="B30" s="95" t="s">
        <v>1484</v>
      </c>
      <c r="C30" s="75" t="s">
        <v>1485</v>
      </c>
      <c r="D30" s="97">
        <v>45630.0</v>
      </c>
      <c r="E30" s="98" t="s">
        <v>417</v>
      </c>
      <c r="F30" s="51" t="s">
        <v>1486</v>
      </c>
      <c r="G30" s="51" t="s">
        <v>1487</v>
      </c>
      <c r="H30" s="95" t="s">
        <v>827</v>
      </c>
      <c r="I30" s="99" t="s">
        <v>1398</v>
      </c>
      <c r="J30" s="66"/>
      <c r="K30" s="66"/>
      <c r="L30" s="100"/>
    </row>
    <row r="31">
      <c r="A31" s="51" t="s">
        <v>11</v>
      </c>
      <c r="B31" s="111" t="s">
        <v>1477</v>
      </c>
      <c r="C31" s="112"/>
      <c r="D31" s="97">
        <v>45630.0</v>
      </c>
      <c r="E31" s="98" t="s">
        <v>1272</v>
      </c>
      <c r="F31" s="51" t="s">
        <v>1488</v>
      </c>
      <c r="G31" s="8" t="s">
        <v>1391</v>
      </c>
      <c r="H31" s="95" t="s">
        <v>783</v>
      </c>
      <c r="I31" s="99" t="s">
        <v>1489</v>
      </c>
      <c r="J31" s="99" t="s">
        <v>511</v>
      </c>
      <c r="K31" s="51" t="s">
        <v>1490</v>
      </c>
      <c r="L31" s="110"/>
    </row>
    <row r="32">
      <c r="A32" s="51" t="s">
        <v>11</v>
      </c>
      <c r="B32" s="95" t="s">
        <v>1491</v>
      </c>
      <c r="C32" s="75" t="s">
        <v>1492</v>
      </c>
      <c r="D32" s="97">
        <v>45630.0</v>
      </c>
      <c r="E32" s="98" t="s">
        <v>228</v>
      </c>
      <c r="F32" s="51" t="s">
        <v>1493</v>
      </c>
      <c r="G32" s="8" t="s">
        <v>1391</v>
      </c>
      <c r="H32" s="95" t="s">
        <v>783</v>
      </c>
      <c r="I32" s="99" t="s">
        <v>1398</v>
      </c>
      <c r="J32" s="51" t="s">
        <v>179</v>
      </c>
      <c r="K32" s="51"/>
      <c r="L32" s="110"/>
    </row>
    <row r="33">
      <c r="A33" s="51"/>
      <c r="B33" s="66" t="s">
        <v>1494</v>
      </c>
      <c r="C33" s="75" t="s">
        <v>1495</v>
      </c>
      <c r="D33" s="97">
        <v>45630.0</v>
      </c>
      <c r="E33" s="74" t="s">
        <v>1496</v>
      </c>
      <c r="F33" s="51" t="s">
        <v>1497</v>
      </c>
      <c r="G33" s="113" t="s">
        <v>1498</v>
      </c>
      <c r="H33" s="101" t="s">
        <v>1402</v>
      </c>
      <c r="I33" s="19" t="s">
        <v>1499</v>
      </c>
      <c r="J33" s="66"/>
      <c r="K33" s="66"/>
      <c r="L33" s="100"/>
    </row>
    <row r="34">
      <c r="A34" s="51" t="s">
        <v>11</v>
      </c>
      <c r="B34" s="95" t="s">
        <v>1500</v>
      </c>
      <c r="C34" s="75" t="s">
        <v>1501</v>
      </c>
      <c r="D34" s="97">
        <v>45630.0</v>
      </c>
      <c r="E34" s="98" t="s">
        <v>1502</v>
      </c>
      <c r="F34" s="66" t="s">
        <v>1503</v>
      </c>
      <c r="G34" s="8" t="s">
        <v>1391</v>
      </c>
      <c r="H34" s="95" t="s">
        <v>783</v>
      </c>
      <c r="I34" s="99" t="s">
        <v>1398</v>
      </c>
      <c r="J34" s="51" t="s">
        <v>113</v>
      </c>
      <c r="K34" s="51"/>
      <c r="L34" s="110"/>
    </row>
    <row r="35">
      <c r="A35" s="51" t="s">
        <v>11</v>
      </c>
      <c r="B35" s="95" t="s">
        <v>1374</v>
      </c>
      <c r="C35" s="75" t="s">
        <v>1504</v>
      </c>
      <c r="D35" s="97">
        <v>45630.0</v>
      </c>
      <c r="E35" s="98" t="s">
        <v>1505</v>
      </c>
      <c r="F35" s="66" t="s">
        <v>1506</v>
      </c>
      <c r="G35" s="8" t="s">
        <v>1391</v>
      </c>
      <c r="H35" s="95" t="s">
        <v>783</v>
      </c>
      <c r="I35" s="99" t="s">
        <v>1507</v>
      </c>
      <c r="J35" s="99" t="s">
        <v>1508</v>
      </c>
      <c r="K35" s="51" t="s">
        <v>46</v>
      </c>
      <c r="L35" s="110"/>
    </row>
    <row r="36">
      <c r="A36" s="51" t="s">
        <v>11</v>
      </c>
      <c r="B36" s="95" t="s">
        <v>1509</v>
      </c>
      <c r="C36" s="75" t="s">
        <v>1510</v>
      </c>
      <c r="D36" s="97">
        <v>45630.0</v>
      </c>
      <c r="E36" s="98" t="s">
        <v>188</v>
      </c>
      <c r="F36" s="51" t="s">
        <v>1511</v>
      </c>
      <c r="G36" s="8" t="s">
        <v>1391</v>
      </c>
      <c r="H36" s="95" t="s">
        <v>827</v>
      </c>
      <c r="I36" s="95"/>
      <c r="J36" s="66"/>
      <c r="K36" s="66"/>
      <c r="L36" s="100"/>
    </row>
    <row r="37">
      <c r="A37" s="51" t="s">
        <v>11</v>
      </c>
      <c r="B37" s="44" t="s">
        <v>1512</v>
      </c>
      <c r="C37" s="45"/>
      <c r="D37" s="105">
        <v>45630.0</v>
      </c>
      <c r="E37" s="70" t="s">
        <v>1513</v>
      </c>
      <c r="F37" s="43" t="s">
        <v>1514</v>
      </c>
      <c r="G37" s="8" t="s">
        <v>1391</v>
      </c>
      <c r="H37" s="99" t="s">
        <v>827</v>
      </c>
      <c r="I37" s="44" t="s">
        <v>1515</v>
      </c>
      <c r="J37" s="52"/>
      <c r="K37" s="52"/>
      <c r="L37" s="103"/>
    </row>
    <row r="38">
      <c r="A38" s="51" t="s">
        <v>11</v>
      </c>
      <c r="B38" s="95" t="s">
        <v>1516</v>
      </c>
      <c r="C38" s="96"/>
      <c r="D38" s="97">
        <v>45631.0</v>
      </c>
      <c r="E38" s="98" t="s">
        <v>1272</v>
      </c>
      <c r="F38" s="66" t="s">
        <v>1517</v>
      </c>
      <c r="G38" s="8" t="s">
        <v>1391</v>
      </c>
      <c r="H38" s="99" t="s">
        <v>783</v>
      </c>
      <c r="I38" s="99" t="s">
        <v>567</v>
      </c>
      <c r="J38" s="99" t="s">
        <v>1518</v>
      </c>
      <c r="K38" s="51" t="s">
        <v>46</v>
      </c>
      <c r="L38" s="110"/>
    </row>
    <row r="39">
      <c r="A39" s="51" t="s">
        <v>11</v>
      </c>
      <c r="B39" s="95" t="s">
        <v>1519</v>
      </c>
      <c r="C39" s="96"/>
      <c r="D39" s="109">
        <v>45632.0</v>
      </c>
      <c r="E39" s="98" t="s">
        <v>1520</v>
      </c>
      <c r="F39" s="66" t="s">
        <v>1521</v>
      </c>
      <c r="G39" s="8" t="s">
        <v>1391</v>
      </c>
      <c r="H39" s="99" t="s">
        <v>827</v>
      </c>
      <c r="I39" s="99" t="s">
        <v>1398</v>
      </c>
      <c r="J39" s="66"/>
      <c r="K39" s="66"/>
      <c r="L39" s="100"/>
    </row>
    <row r="40">
      <c r="A40" s="51"/>
      <c r="B40" s="66" t="s">
        <v>1522</v>
      </c>
      <c r="C40" s="96"/>
      <c r="D40" s="109">
        <v>45632.0</v>
      </c>
      <c r="E40" s="98" t="s">
        <v>188</v>
      </c>
      <c r="F40" s="66" t="s">
        <v>1523</v>
      </c>
      <c r="G40" s="51" t="s">
        <v>1524</v>
      </c>
      <c r="H40" s="114" t="s">
        <v>1525</v>
      </c>
      <c r="I40" s="19" t="s">
        <v>1526</v>
      </c>
      <c r="J40" s="66"/>
      <c r="K40" s="66"/>
      <c r="L40" s="100"/>
    </row>
    <row r="41">
      <c r="A41" s="51" t="s">
        <v>11</v>
      </c>
      <c r="B41" s="95" t="s">
        <v>1527</v>
      </c>
      <c r="C41" s="96"/>
      <c r="D41" s="97">
        <v>45632.0</v>
      </c>
      <c r="E41" s="98" t="s">
        <v>1528</v>
      </c>
      <c r="F41" s="51" t="s">
        <v>1529</v>
      </c>
      <c r="G41" s="99" t="s">
        <v>577</v>
      </c>
      <c r="H41" s="99" t="s">
        <v>827</v>
      </c>
      <c r="I41" s="99" t="s">
        <v>1392</v>
      </c>
      <c r="J41" s="66"/>
      <c r="K41" s="66"/>
      <c r="L41" s="100"/>
    </row>
    <row r="42">
      <c r="A42" s="51"/>
      <c r="B42" s="43" t="s">
        <v>1530</v>
      </c>
      <c r="C42" s="45"/>
      <c r="D42" s="105">
        <v>45632.0</v>
      </c>
      <c r="E42" s="70" t="s">
        <v>1531</v>
      </c>
      <c r="F42" s="43" t="s">
        <v>1532</v>
      </c>
      <c r="G42" s="99" t="s">
        <v>682</v>
      </c>
      <c r="H42" s="44" t="s">
        <v>827</v>
      </c>
      <c r="I42" s="44" t="s">
        <v>1398</v>
      </c>
      <c r="J42" s="52"/>
      <c r="K42" s="52"/>
      <c r="L42" s="103"/>
    </row>
    <row r="43">
      <c r="A43" s="51" t="s">
        <v>11</v>
      </c>
      <c r="B43" s="99" t="s">
        <v>1533</v>
      </c>
      <c r="C43" s="75"/>
      <c r="D43" s="109">
        <v>45632.0</v>
      </c>
      <c r="E43" s="74" t="s">
        <v>357</v>
      </c>
      <c r="F43" s="51" t="s">
        <v>1534</v>
      </c>
      <c r="G43" s="8" t="s">
        <v>1391</v>
      </c>
      <c r="H43" s="99" t="s">
        <v>827</v>
      </c>
      <c r="I43" s="99" t="s">
        <v>1535</v>
      </c>
      <c r="J43" s="99" t="s">
        <v>442</v>
      </c>
      <c r="K43" s="51" t="s">
        <v>46</v>
      </c>
      <c r="L43" s="110"/>
    </row>
    <row r="44">
      <c r="A44" s="51" t="s">
        <v>11</v>
      </c>
      <c r="B44" s="44" t="s">
        <v>1118</v>
      </c>
      <c r="C44" s="45"/>
      <c r="D44" s="105">
        <v>45632.0</v>
      </c>
      <c r="E44" s="70" t="s">
        <v>1272</v>
      </c>
      <c r="F44" s="43" t="s">
        <v>1536</v>
      </c>
      <c r="G44" s="8" t="s">
        <v>1391</v>
      </c>
      <c r="H44" s="44" t="s">
        <v>827</v>
      </c>
      <c r="I44" s="44" t="s">
        <v>1537</v>
      </c>
      <c r="J44" s="44" t="s">
        <v>673</v>
      </c>
      <c r="K44" s="43" t="s">
        <v>46</v>
      </c>
      <c r="L44" s="104"/>
    </row>
    <row r="45">
      <c r="A45" s="51" t="s">
        <v>27</v>
      </c>
      <c r="B45" s="44" t="s">
        <v>1538</v>
      </c>
      <c r="C45" s="45"/>
      <c r="D45" s="105">
        <v>45632.0</v>
      </c>
      <c r="E45" s="70" t="s">
        <v>1131</v>
      </c>
      <c r="F45" s="43" t="s">
        <v>1539</v>
      </c>
      <c r="G45" s="8" t="s">
        <v>1391</v>
      </c>
      <c r="H45" s="44" t="s">
        <v>827</v>
      </c>
      <c r="I45" s="44" t="s">
        <v>567</v>
      </c>
      <c r="J45" s="44" t="s">
        <v>673</v>
      </c>
      <c r="K45" s="43" t="s">
        <v>46</v>
      </c>
      <c r="L45" s="104"/>
    </row>
    <row r="46">
      <c r="A46" s="51" t="s">
        <v>11</v>
      </c>
      <c r="B46" s="44" t="s">
        <v>1540</v>
      </c>
      <c r="C46" s="45"/>
      <c r="D46" s="105">
        <v>45633.0</v>
      </c>
      <c r="E46" s="70" t="s">
        <v>1541</v>
      </c>
      <c r="F46" s="43" t="s">
        <v>1542</v>
      </c>
      <c r="G46" s="8" t="s">
        <v>1391</v>
      </c>
      <c r="H46" s="44" t="s">
        <v>827</v>
      </c>
      <c r="I46" s="44" t="s">
        <v>1543</v>
      </c>
      <c r="J46" s="44" t="s">
        <v>673</v>
      </c>
      <c r="K46" s="43" t="s">
        <v>46</v>
      </c>
      <c r="L46" s="104"/>
    </row>
    <row r="47">
      <c r="A47" s="51"/>
      <c r="B47" s="43" t="s">
        <v>1544</v>
      </c>
      <c r="C47" s="45"/>
      <c r="D47" s="105">
        <v>45635.0</v>
      </c>
      <c r="E47" s="115"/>
      <c r="F47" s="43" t="s">
        <v>1545</v>
      </c>
      <c r="G47" s="99" t="s">
        <v>682</v>
      </c>
      <c r="H47" s="44" t="s">
        <v>827</v>
      </c>
      <c r="I47" s="19" t="s">
        <v>1546</v>
      </c>
      <c r="J47" s="52"/>
      <c r="K47" s="52"/>
      <c r="L47" s="103"/>
    </row>
    <row r="48">
      <c r="A48" s="51" t="s">
        <v>11</v>
      </c>
      <c r="B48" s="44" t="s">
        <v>1491</v>
      </c>
      <c r="C48" s="45"/>
      <c r="D48" s="105">
        <v>45635.0</v>
      </c>
      <c r="E48" s="43" t="s">
        <v>1094</v>
      </c>
      <c r="F48" s="43" t="s">
        <v>1547</v>
      </c>
      <c r="G48" s="8" t="s">
        <v>1391</v>
      </c>
      <c r="H48" s="44" t="s">
        <v>783</v>
      </c>
      <c r="I48" s="44" t="s">
        <v>1414</v>
      </c>
      <c r="J48" s="50"/>
      <c r="K48" s="43" t="s">
        <v>46</v>
      </c>
      <c r="L48" s="103"/>
    </row>
    <row r="49">
      <c r="A49" s="51" t="s">
        <v>11</v>
      </c>
      <c r="B49" s="44" t="s">
        <v>1548</v>
      </c>
      <c r="C49" s="45"/>
      <c r="D49" s="105">
        <v>45635.0</v>
      </c>
      <c r="E49" s="70" t="s">
        <v>1549</v>
      </c>
      <c r="F49" s="43" t="s">
        <v>1550</v>
      </c>
      <c r="G49" s="8" t="s">
        <v>1391</v>
      </c>
      <c r="H49" s="95" t="s">
        <v>827</v>
      </c>
      <c r="I49" s="44" t="s">
        <v>103</v>
      </c>
      <c r="J49" s="44" t="s">
        <v>398</v>
      </c>
      <c r="K49" s="43" t="s">
        <v>46</v>
      </c>
      <c r="L49" s="104"/>
    </row>
    <row r="50">
      <c r="A50" s="51"/>
      <c r="B50" s="43" t="s">
        <v>1551</v>
      </c>
      <c r="C50" s="45"/>
      <c r="D50" s="105">
        <v>45635.0</v>
      </c>
      <c r="E50" s="70" t="s">
        <v>451</v>
      </c>
      <c r="F50" s="43" t="s">
        <v>1552</v>
      </c>
      <c r="G50" s="116"/>
      <c r="H50" s="44" t="s">
        <v>827</v>
      </c>
      <c r="I50" s="19" t="s">
        <v>1553</v>
      </c>
      <c r="J50" s="52"/>
      <c r="K50" s="43" t="s">
        <v>1554</v>
      </c>
      <c r="L50" s="103"/>
    </row>
    <row r="51">
      <c r="A51" s="51"/>
      <c r="B51" s="43" t="s">
        <v>1551</v>
      </c>
      <c r="C51" s="45"/>
      <c r="D51" s="105">
        <v>45635.0</v>
      </c>
      <c r="E51" s="70" t="s">
        <v>1555</v>
      </c>
      <c r="F51" s="43" t="s">
        <v>1556</v>
      </c>
      <c r="G51" s="43"/>
      <c r="H51" s="44" t="s">
        <v>827</v>
      </c>
      <c r="I51" s="44" t="s">
        <v>1398</v>
      </c>
      <c r="J51" s="52"/>
      <c r="K51" s="52"/>
      <c r="L51" s="103"/>
    </row>
    <row r="52">
      <c r="A52" s="51" t="s">
        <v>11</v>
      </c>
      <c r="B52" s="44" t="s">
        <v>1557</v>
      </c>
      <c r="C52" s="45"/>
      <c r="D52" s="105">
        <v>45635.0</v>
      </c>
      <c r="E52" s="70" t="s">
        <v>1372</v>
      </c>
      <c r="F52" s="43" t="s">
        <v>677</v>
      </c>
      <c r="G52" s="8" t="s">
        <v>1391</v>
      </c>
      <c r="H52" s="44" t="s">
        <v>783</v>
      </c>
      <c r="I52" s="44" t="s">
        <v>1558</v>
      </c>
      <c r="J52" s="44" t="s">
        <v>257</v>
      </c>
      <c r="K52" s="43"/>
      <c r="L52" s="104"/>
    </row>
    <row r="53">
      <c r="A53" s="51" t="s">
        <v>11</v>
      </c>
      <c r="B53" s="117" t="s">
        <v>1559</v>
      </c>
      <c r="C53" s="118"/>
      <c r="D53" s="102">
        <v>45636.0</v>
      </c>
      <c r="E53" s="70" t="s">
        <v>1560</v>
      </c>
      <c r="F53" s="52"/>
      <c r="G53" s="99" t="s">
        <v>682</v>
      </c>
      <c r="H53" s="50"/>
      <c r="I53" s="87" t="s">
        <v>1561</v>
      </c>
      <c r="J53" s="52"/>
      <c r="K53" s="52"/>
      <c r="L53" s="103"/>
    </row>
    <row r="54">
      <c r="A54" s="51" t="s">
        <v>1562</v>
      </c>
      <c r="B54" s="92" t="s">
        <v>1563</v>
      </c>
      <c r="C54" s="119"/>
      <c r="D54" s="102">
        <v>45636.0</v>
      </c>
      <c r="E54" s="70" t="s">
        <v>575</v>
      </c>
      <c r="F54" s="43" t="s">
        <v>1564</v>
      </c>
      <c r="G54" s="43" t="s">
        <v>1565</v>
      </c>
      <c r="H54" s="44" t="s">
        <v>1566</v>
      </c>
      <c r="I54" s="19" t="s">
        <v>1567</v>
      </c>
      <c r="J54" s="52"/>
      <c r="K54" s="52"/>
      <c r="L54" s="103"/>
    </row>
    <row r="55">
      <c r="A55" s="51" t="s">
        <v>11</v>
      </c>
      <c r="B55" s="44" t="s">
        <v>1568</v>
      </c>
      <c r="C55" s="45"/>
      <c r="D55" s="102">
        <v>45636.0</v>
      </c>
      <c r="E55" s="70" t="s">
        <v>1272</v>
      </c>
      <c r="F55" s="43" t="s">
        <v>1569</v>
      </c>
      <c r="G55" s="44" t="s">
        <v>682</v>
      </c>
      <c r="H55" s="44" t="s">
        <v>783</v>
      </c>
      <c r="I55" s="44" t="s">
        <v>103</v>
      </c>
      <c r="J55" s="52"/>
      <c r="K55" s="52"/>
      <c r="L55" s="103"/>
    </row>
    <row r="56">
      <c r="A56" s="51" t="s">
        <v>11</v>
      </c>
      <c r="B56" s="44" t="s">
        <v>1570</v>
      </c>
      <c r="C56" s="45"/>
      <c r="D56" s="102">
        <v>45636.0</v>
      </c>
      <c r="E56" s="74" t="s">
        <v>238</v>
      </c>
      <c r="F56" s="43" t="s">
        <v>1571</v>
      </c>
      <c r="G56" s="8" t="s">
        <v>1391</v>
      </c>
      <c r="H56" s="44" t="s">
        <v>1566</v>
      </c>
      <c r="I56" s="44" t="s">
        <v>1572</v>
      </c>
      <c r="J56" s="44" t="s">
        <v>1573</v>
      </c>
      <c r="K56" s="43" t="s">
        <v>46</v>
      </c>
      <c r="L56" s="104"/>
    </row>
    <row r="57">
      <c r="A57" s="51" t="s">
        <v>11</v>
      </c>
      <c r="B57" s="44" t="s">
        <v>1574</v>
      </c>
      <c r="C57" s="45" t="s">
        <v>1575</v>
      </c>
      <c r="D57" s="102">
        <v>45636.0</v>
      </c>
      <c r="E57" s="70" t="s">
        <v>1576</v>
      </c>
      <c r="F57" s="43" t="s">
        <v>1577</v>
      </c>
      <c r="G57" s="8" t="s">
        <v>1391</v>
      </c>
      <c r="H57" s="44" t="s">
        <v>1566</v>
      </c>
      <c r="I57" s="44" t="s">
        <v>1578</v>
      </c>
      <c r="J57" s="52"/>
      <c r="K57" s="43" t="s">
        <v>1579</v>
      </c>
      <c r="L57" s="104"/>
    </row>
    <row r="58">
      <c r="A58" s="51" t="s">
        <v>11</v>
      </c>
      <c r="B58" s="44" t="s">
        <v>1580</v>
      </c>
      <c r="C58" s="45"/>
      <c r="D58" s="102">
        <v>45636.0</v>
      </c>
      <c r="E58" s="58" t="s">
        <v>1581</v>
      </c>
      <c r="F58" s="43" t="s">
        <v>1582</v>
      </c>
      <c r="G58" s="8" t="s">
        <v>1391</v>
      </c>
      <c r="H58" s="44" t="s">
        <v>1566</v>
      </c>
      <c r="I58" s="44" t="s">
        <v>1583</v>
      </c>
      <c r="J58" s="44" t="s">
        <v>1584</v>
      </c>
      <c r="K58" s="43" t="s">
        <v>46</v>
      </c>
      <c r="L58" s="104"/>
    </row>
    <row r="59">
      <c r="A59" s="51" t="s">
        <v>1585</v>
      </c>
      <c r="B59" s="43" t="s">
        <v>1586</v>
      </c>
      <c r="C59" s="45"/>
      <c r="D59" s="102">
        <v>45636.0</v>
      </c>
      <c r="E59" s="70" t="s">
        <v>1587</v>
      </c>
      <c r="F59" s="52"/>
      <c r="G59" s="50"/>
      <c r="H59" s="50"/>
      <c r="I59" s="44" t="s">
        <v>1588</v>
      </c>
      <c r="J59" s="52"/>
      <c r="K59" s="52"/>
      <c r="L59" s="103"/>
    </row>
    <row r="60">
      <c r="A60" s="51" t="s">
        <v>11</v>
      </c>
      <c r="B60" s="44" t="s">
        <v>937</v>
      </c>
      <c r="C60" s="45"/>
      <c r="D60" s="102">
        <v>45636.0</v>
      </c>
      <c r="E60" s="70" t="s">
        <v>324</v>
      </c>
      <c r="F60" s="43" t="s">
        <v>1589</v>
      </c>
      <c r="G60" s="8" t="s">
        <v>1391</v>
      </c>
      <c r="H60" s="99" t="s">
        <v>783</v>
      </c>
      <c r="I60" s="44" t="s">
        <v>1590</v>
      </c>
      <c r="J60" s="50"/>
      <c r="K60" s="43" t="s">
        <v>46</v>
      </c>
      <c r="L60" s="103"/>
    </row>
    <row r="61">
      <c r="A61" s="51" t="s">
        <v>11</v>
      </c>
      <c r="B61" s="44" t="s">
        <v>1591</v>
      </c>
      <c r="C61" s="45"/>
      <c r="D61" s="102">
        <v>45636.0</v>
      </c>
      <c r="E61" s="58" t="s">
        <v>1272</v>
      </c>
      <c r="F61" s="43" t="s">
        <v>1592</v>
      </c>
      <c r="G61" s="8" t="s">
        <v>1391</v>
      </c>
      <c r="H61" s="99" t="s">
        <v>783</v>
      </c>
      <c r="I61" s="44" t="s">
        <v>1426</v>
      </c>
      <c r="J61" s="50"/>
      <c r="K61" s="52"/>
      <c r="L61" s="103"/>
    </row>
    <row r="62">
      <c r="A62" s="51" t="s">
        <v>1593</v>
      </c>
      <c r="B62" s="95" t="s">
        <v>1594</v>
      </c>
      <c r="C62" s="75" t="s">
        <v>1595</v>
      </c>
      <c r="D62" s="120">
        <v>45637.0</v>
      </c>
      <c r="E62" s="74" t="s">
        <v>188</v>
      </c>
      <c r="F62" s="51" t="s">
        <v>1596</v>
      </c>
      <c r="G62" s="44" t="s">
        <v>24</v>
      </c>
      <c r="H62" s="95" t="s">
        <v>783</v>
      </c>
      <c r="I62" s="99" t="s">
        <v>1430</v>
      </c>
      <c r="J62" s="66"/>
      <c r="K62" s="66"/>
      <c r="L62" s="100"/>
    </row>
    <row r="63">
      <c r="A63" s="51" t="s">
        <v>11</v>
      </c>
      <c r="B63" s="44" t="s">
        <v>1597</v>
      </c>
      <c r="C63" s="45" t="s">
        <v>1598</v>
      </c>
      <c r="D63" s="102">
        <v>45637.0</v>
      </c>
      <c r="E63" s="70" t="s">
        <v>451</v>
      </c>
      <c r="F63" s="43" t="s">
        <v>1599</v>
      </c>
      <c r="G63" s="8" t="s">
        <v>1391</v>
      </c>
      <c r="H63" s="44" t="s">
        <v>1566</v>
      </c>
      <c r="I63" s="44" t="s">
        <v>567</v>
      </c>
      <c r="J63" s="43" t="s">
        <v>673</v>
      </c>
      <c r="K63" s="43" t="s">
        <v>46</v>
      </c>
      <c r="L63" s="104"/>
    </row>
    <row r="64">
      <c r="A64" s="51" t="s">
        <v>11</v>
      </c>
      <c r="B64" s="44" t="s">
        <v>1600</v>
      </c>
      <c r="C64" s="45"/>
      <c r="D64" s="102">
        <v>45637.0</v>
      </c>
      <c r="E64" s="70" t="s">
        <v>292</v>
      </c>
      <c r="F64" s="43" t="s">
        <v>1601</v>
      </c>
      <c r="G64" s="8" t="s">
        <v>1391</v>
      </c>
      <c r="H64" s="44" t="s">
        <v>1566</v>
      </c>
      <c r="I64" s="44" t="s">
        <v>567</v>
      </c>
      <c r="J64" s="44" t="s">
        <v>1457</v>
      </c>
      <c r="K64" s="43" t="s">
        <v>46</v>
      </c>
      <c r="L64" s="104"/>
    </row>
    <row r="65">
      <c r="A65" s="51" t="s">
        <v>11</v>
      </c>
      <c r="B65" s="44" t="s">
        <v>1602</v>
      </c>
      <c r="C65" s="45"/>
      <c r="D65" s="102">
        <v>45637.0</v>
      </c>
      <c r="E65" s="62" t="s">
        <v>228</v>
      </c>
      <c r="F65" s="43" t="s">
        <v>1603</v>
      </c>
      <c r="G65" s="44" t="s">
        <v>682</v>
      </c>
      <c r="H65" s="44" t="s">
        <v>783</v>
      </c>
      <c r="I65" s="44" t="s">
        <v>1430</v>
      </c>
      <c r="J65" s="52"/>
      <c r="K65" s="52"/>
      <c r="L65" s="103"/>
    </row>
    <row r="66">
      <c r="A66" s="51" t="s">
        <v>11</v>
      </c>
      <c r="B66" s="44" t="s">
        <v>1604</v>
      </c>
      <c r="C66" s="45"/>
      <c r="D66" s="102">
        <v>45637.0</v>
      </c>
      <c r="E66" s="70" t="s">
        <v>463</v>
      </c>
      <c r="F66" s="66" t="s">
        <v>1605</v>
      </c>
      <c r="G66" s="99" t="s">
        <v>1606</v>
      </c>
      <c r="H66" s="101" t="s">
        <v>1607</v>
      </c>
      <c r="I66" s="99" t="s">
        <v>1430</v>
      </c>
      <c r="J66" s="52"/>
      <c r="K66" s="52"/>
      <c r="L66" s="103"/>
    </row>
    <row r="67">
      <c r="A67" s="51" t="s">
        <v>11</v>
      </c>
      <c r="B67" s="44" t="s">
        <v>937</v>
      </c>
      <c r="C67" s="45"/>
      <c r="D67" s="102">
        <v>45637.0</v>
      </c>
      <c r="E67" s="70" t="s">
        <v>1608</v>
      </c>
      <c r="F67" s="43" t="s">
        <v>1609</v>
      </c>
      <c r="G67" s="99" t="s">
        <v>682</v>
      </c>
      <c r="H67" s="99" t="s">
        <v>783</v>
      </c>
      <c r="I67" s="44" t="s">
        <v>1430</v>
      </c>
      <c r="J67" s="52"/>
      <c r="K67" s="52"/>
      <c r="L67" s="103"/>
    </row>
    <row r="68">
      <c r="A68" s="51" t="s">
        <v>11</v>
      </c>
      <c r="B68" s="44" t="s">
        <v>1610</v>
      </c>
      <c r="C68" s="45"/>
      <c r="D68" s="102">
        <v>45637.0</v>
      </c>
      <c r="E68" s="43" t="s">
        <v>1272</v>
      </c>
      <c r="F68" s="43" t="s">
        <v>1611</v>
      </c>
      <c r="G68" s="8" t="s">
        <v>1391</v>
      </c>
      <c r="H68" s="99" t="s">
        <v>827</v>
      </c>
      <c r="I68" s="44" t="s">
        <v>567</v>
      </c>
      <c r="J68" s="44" t="s">
        <v>673</v>
      </c>
      <c r="K68" s="43"/>
      <c r="L68" s="104"/>
    </row>
    <row r="69">
      <c r="A69" s="51" t="s">
        <v>11</v>
      </c>
      <c r="B69" s="44" t="s">
        <v>1612</v>
      </c>
      <c r="C69" s="45"/>
      <c r="D69" s="102">
        <v>45637.0</v>
      </c>
      <c r="E69" s="43" t="s">
        <v>814</v>
      </c>
      <c r="F69" s="43" t="s">
        <v>1613</v>
      </c>
      <c r="G69" s="8" t="s">
        <v>1391</v>
      </c>
      <c r="H69" s="99" t="s">
        <v>783</v>
      </c>
      <c r="I69" s="44" t="s">
        <v>1614</v>
      </c>
      <c r="J69" s="44" t="s">
        <v>1615</v>
      </c>
      <c r="K69" s="43" t="s">
        <v>46</v>
      </c>
      <c r="L69" s="104"/>
    </row>
    <row r="70">
      <c r="A70" s="51" t="s">
        <v>11</v>
      </c>
      <c r="B70" s="44" t="s">
        <v>1616</v>
      </c>
      <c r="C70" s="45"/>
      <c r="D70" s="102">
        <v>45637.0</v>
      </c>
      <c r="E70" s="70" t="s">
        <v>1617</v>
      </c>
      <c r="F70" s="43" t="s">
        <v>1618</v>
      </c>
      <c r="G70" s="8" t="s">
        <v>1391</v>
      </c>
      <c r="H70" s="99" t="s">
        <v>827</v>
      </c>
      <c r="I70" s="44" t="s">
        <v>1619</v>
      </c>
      <c r="J70" s="44" t="s">
        <v>1620</v>
      </c>
      <c r="K70" s="43" t="s">
        <v>46</v>
      </c>
      <c r="L70" s="104"/>
    </row>
    <row r="71">
      <c r="A71" s="51" t="s">
        <v>11</v>
      </c>
      <c r="B71" s="44" t="s">
        <v>1621</v>
      </c>
      <c r="C71" s="45"/>
      <c r="D71" s="121">
        <v>45637.0</v>
      </c>
      <c r="E71" s="70" t="s">
        <v>738</v>
      </c>
      <c r="F71" s="43" t="s">
        <v>1622</v>
      </c>
      <c r="G71" s="8" t="s">
        <v>1391</v>
      </c>
      <c r="H71" s="99" t="s">
        <v>783</v>
      </c>
      <c r="I71" s="44" t="s">
        <v>1623</v>
      </c>
      <c r="J71" s="44" t="s">
        <v>453</v>
      </c>
      <c r="K71" s="43" t="s">
        <v>46</v>
      </c>
      <c r="L71" s="104"/>
    </row>
    <row r="72">
      <c r="A72" s="51" t="s">
        <v>11</v>
      </c>
      <c r="B72" s="61" t="s">
        <v>1624</v>
      </c>
      <c r="C72" s="45"/>
      <c r="D72" s="121">
        <v>45637.0</v>
      </c>
      <c r="E72" s="122" t="s">
        <v>1625</v>
      </c>
      <c r="F72" s="43" t="s">
        <v>1626</v>
      </c>
      <c r="G72" s="8" t="s">
        <v>1391</v>
      </c>
      <c r="H72" s="99" t="s">
        <v>827</v>
      </c>
      <c r="I72" s="44" t="s">
        <v>1627</v>
      </c>
      <c r="J72" s="44" t="s">
        <v>288</v>
      </c>
      <c r="K72" s="43" t="s">
        <v>46</v>
      </c>
      <c r="L72" s="104"/>
    </row>
    <row r="73">
      <c r="A73" s="51" t="s">
        <v>11</v>
      </c>
      <c r="B73" s="61" t="s">
        <v>1624</v>
      </c>
      <c r="C73" s="45"/>
      <c r="D73" s="121">
        <v>45637.0</v>
      </c>
      <c r="E73" s="62" t="s">
        <v>172</v>
      </c>
      <c r="F73" s="43" t="s">
        <v>1626</v>
      </c>
      <c r="G73" s="8" t="s">
        <v>1391</v>
      </c>
      <c r="H73" s="99" t="s">
        <v>827</v>
      </c>
      <c r="I73" s="44" t="s">
        <v>1627</v>
      </c>
      <c r="J73" s="44" t="s">
        <v>288</v>
      </c>
      <c r="K73" s="43" t="s">
        <v>46</v>
      </c>
      <c r="L73" s="104"/>
    </row>
    <row r="74">
      <c r="A74" s="51" t="s">
        <v>11</v>
      </c>
      <c r="B74" s="44" t="s">
        <v>932</v>
      </c>
      <c r="C74" s="45"/>
      <c r="D74" s="102">
        <v>45637.0</v>
      </c>
      <c r="E74" s="62" t="s">
        <v>1628</v>
      </c>
      <c r="F74" s="43" t="s">
        <v>710</v>
      </c>
      <c r="G74" s="8" t="s">
        <v>1391</v>
      </c>
      <c r="H74" s="44" t="s">
        <v>827</v>
      </c>
      <c r="I74" s="44" t="s">
        <v>678</v>
      </c>
      <c r="J74" s="44" t="s">
        <v>673</v>
      </c>
      <c r="K74" s="43" t="s">
        <v>46</v>
      </c>
      <c r="L74" s="104"/>
    </row>
    <row r="75">
      <c r="A75" s="51" t="s">
        <v>11</v>
      </c>
      <c r="B75" s="44" t="s">
        <v>1629</v>
      </c>
      <c r="C75" s="45"/>
      <c r="D75" s="102">
        <v>45637.0</v>
      </c>
      <c r="E75" s="70" t="s">
        <v>1630</v>
      </c>
      <c r="F75" s="43" t="s">
        <v>1631</v>
      </c>
      <c r="G75" s="8" t="s">
        <v>1391</v>
      </c>
      <c r="H75" s="99" t="s">
        <v>783</v>
      </c>
      <c r="I75" s="44" t="s">
        <v>1632</v>
      </c>
      <c r="J75" s="44" t="s">
        <v>179</v>
      </c>
      <c r="K75" s="43" t="s">
        <v>46</v>
      </c>
      <c r="L75" s="104"/>
    </row>
    <row r="76">
      <c r="A76" s="51"/>
      <c r="B76" s="43" t="s">
        <v>1633</v>
      </c>
      <c r="C76" s="45"/>
      <c r="D76" s="102">
        <v>45637.0</v>
      </c>
      <c r="E76" s="83" t="s">
        <v>1634</v>
      </c>
      <c r="F76" s="43" t="s">
        <v>1635</v>
      </c>
      <c r="G76" s="67" t="s">
        <v>1636</v>
      </c>
      <c r="H76" s="99" t="s">
        <v>783</v>
      </c>
      <c r="I76" s="19" t="s">
        <v>1637</v>
      </c>
      <c r="J76" s="52"/>
      <c r="K76" s="52"/>
      <c r="L76" s="103"/>
    </row>
    <row r="77">
      <c r="A77" s="51" t="s">
        <v>622</v>
      </c>
      <c r="B77" s="43" t="s">
        <v>1638</v>
      </c>
      <c r="C77" s="45" t="s">
        <v>1639</v>
      </c>
      <c r="D77" s="102">
        <v>45637.0</v>
      </c>
      <c r="E77" s="92" t="s">
        <v>1640</v>
      </c>
      <c r="F77" s="76" t="s">
        <v>1641</v>
      </c>
      <c r="G77" s="8" t="s">
        <v>1391</v>
      </c>
      <c r="H77" s="44" t="s">
        <v>1642</v>
      </c>
      <c r="I77" s="24" t="s">
        <v>1643</v>
      </c>
      <c r="J77" s="52"/>
      <c r="K77" s="52"/>
      <c r="L77" s="103"/>
    </row>
    <row r="78">
      <c r="A78" s="51" t="s">
        <v>11</v>
      </c>
      <c r="B78" s="44" t="s">
        <v>1644</v>
      </c>
      <c r="C78" s="45"/>
      <c r="D78" s="102">
        <v>45637.0</v>
      </c>
      <c r="E78" s="62" t="s">
        <v>1645</v>
      </c>
      <c r="F78" s="43" t="s">
        <v>1646</v>
      </c>
      <c r="G78" s="8" t="s">
        <v>1391</v>
      </c>
      <c r="H78" s="99" t="s">
        <v>783</v>
      </c>
      <c r="I78" s="44" t="s">
        <v>1647</v>
      </c>
      <c r="J78" s="44" t="s">
        <v>673</v>
      </c>
      <c r="K78" s="43" t="s">
        <v>46</v>
      </c>
      <c r="L78" s="104"/>
    </row>
    <row r="79">
      <c r="A79" s="51" t="s">
        <v>663</v>
      </c>
      <c r="B79" s="43" t="s">
        <v>1648</v>
      </c>
      <c r="C79" s="45"/>
      <c r="D79" s="102">
        <v>45637.0</v>
      </c>
      <c r="E79" s="70" t="s">
        <v>188</v>
      </c>
      <c r="F79" s="43" t="s">
        <v>1649</v>
      </c>
      <c r="G79" s="99" t="s">
        <v>682</v>
      </c>
      <c r="H79" s="99" t="s">
        <v>827</v>
      </c>
      <c r="I79" s="44" t="s">
        <v>1650</v>
      </c>
      <c r="J79" s="52"/>
      <c r="K79" s="52"/>
      <c r="L79" s="103"/>
    </row>
    <row r="80">
      <c r="A80" s="51" t="s">
        <v>622</v>
      </c>
      <c r="B80" s="43" t="s">
        <v>1651</v>
      </c>
      <c r="C80" s="45" t="s">
        <v>1652</v>
      </c>
      <c r="D80" s="63">
        <v>45637.0</v>
      </c>
      <c r="E80" s="92" t="s">
        <v>1653</v>
      </c>
      <c r="F80" s="48" t="s">
        <v>1654</v>
      </c>
      <c r="G80" s="53" t="s">
        <v>1655</v>
      </c>
      <c r="H80" s="99" t="s">
        <v>827</v>
      </c>
      <c r="I80" s="19" t="s">
        <v>1656</v>
      </c>
      <c r="J80" s="52"/>
      <c r="K80" s="52"/>
      <c r="L80" s="103"/>
    </row>
    <row r="81">
      <c r="A81" s="51" t="s">
        <v>1657</v>
      </c>
      <c r="B81" s="44" t="s">
        <v>1658</v>
      </c>
      <c r="C81" s="45"/>
      <c r="D81" s="123">
        <v>45637.0</v>
      </c>
      <c r="E81" s="70" t="s">
        <v>1272</v>
      </c>
      <c r="F81" s="44" t="s">
        <v>1659</v>
      </c>
      <c r="G81" s="44" t="s">
        <v>682</v>
      </c>
      <c r="H81" s="44" t="s">
        <v>783</v>
      </c>
      <c r="I81" s="44" t="s">
        <v>567</v>
      </c>
      <c r="J81" s="52"/>
      <c r="K81" s="52"/>
      <c r="L81" s="103"/>
    </row>
    <row r="82">
      <c r="A82" s="51" t="s">
        <v>1657</v>
      </c>
      <c r="B82" s="44" t="s">
        <v>1660</v>
      </c>
      <c r="C82" s="45"/>
      <c r="D82" s="102">
        <v>45637.0</v>
      </c>
      <c r="E82" s="70" t="s">
        <v>1661</v>
      </c>
      <c r="F82" s="43" t="s">
        <v>1662</v>
      </c>
      <c r="G82" s="44" t="s">
        <v>682</v>
      </c>
      <c r="H82" s="44" t="s">
        <v>783</v>
      </c>
      <c r="I82" s="44" t="s">
        <v>1663</v>
      </c>
      <c r="J82" s="52"/>
      <c r="K82" s="52"/>
      <c r="L82" s="103"/>
    </row>
    <row r="83">
      <c r="A83" s="51" t="s">
        <v>11</v>
      </c>
      <c r="B83" s="61" t="s">
        <v>1664</v>
      </c>
      <c r="C83" s="45"/>
      <c r="D83" s="102">
        <v>45638.0</v>
      </c>
      <c r="E83" s="70" t="s">
        <v>814</v>
      </c>
      <c r="F83" s="43" t="s">
        <v>1665</v>
      </c>
      <c r="G83" s="44" t="s">
        <v>567</v>
      </c>
      <c r="H83" s="99" t="s">
        <v>783</v>
      </c>
      <c r="I83" s="44" t="s">
        <v>1666</v>
      </c>
      <c r="J83" s="52"/>
      <c r="K83" s="52"/>
      <c r="L83" s="103"/>
    </row>
    <row r="84">
      <c r="A84" s="51" t="s">
        <v>11</v>
      </c>
      <c r="B84" s="44" t="s">
        <v>1667</v>
      </c>
      <c r="C84" s="45"/>
      <c r="D84" s="102">
        <v>45638.0</v>
      </c>
      <c r="E84" s="70" t="s">
        <v>451</v>
      </c>
      <c r="F84" s="43" t="s">
        <v>1668</v>
      </c>
      <c r="G84" s="8" t="s">
        <v>1391</v>
      </c>
      <c r="H84" s="44" t="s">
        <v>827</v>
      </c>
      <c r="I84" s="44" t="s">
        <v>1669</v>
      </c>
      <c r="J84" s="44" t="s">
        <v>174</v>
      </c>
      <c r="K84" s="43" t="s">
        <v>46</v>
      </c>
      <c r="L84" s="104"/>
    </row>
    <row r="85">
      <c r="A85" s="51" t="s">
        <v>11</v>
      </c>
      <c r="B85" s="44" t="s">
        <v>1670</v>
      </c>
      <c r="C85" s="45"/>
      <c r="D85" s="102">
        <v>45638.0</v>
      </c>
      <c r="E85" s="70" t="s">
        <v>357</v>
      </c>
      <c r="F85" s="43" t="s">
        <v>1671</v>
      </c>
      <c r="G85" s="99" t="s">
        <v>682</v>
      </c>
      <c r="H85" s="44" t="s">
        <v>827</v>
      </c>
      <c r="I85" s="44" t="s">
        <v>1042</v>
      </c>
      <c r="J85" s="52"/>
      <c r="K85" s="52"/>
      <c r="L85" s="103"/>
    </row>
    <row r="86">
      <c r="A86" s="51" t="s">
        <v>11</v>
      </c>
      <c r="B86" s="44" t="s">
        <v>1672</v>
      </c>
      <c r="C86" s="45"/>
      <c r="D86" s="102">
        <v>45638.0</v>
      </c>
      <c r="E86" s="70" t="s">
        <v>1673</v>
      </c>
      <c r="F86" s="43" t="s">
        <v>1674</v>
      </c>
      <c r="G86" s="43" t="s">
        <v>1675</v>
      </c>
      <c r="H86" s="44" t="s">
        <v>827</v>
      </c>
      <c r="I86" s="77"/>
      <c r="J86" s="50"/>
      <c r="K86" s="43" t="s">
        <v>46</v>
      </c>
      <c r="L86" s="103"/>
    </row>
    <row r="87">
      <c r="A87" s="51" t="s">
        <v>11</v>
      </c>
      <c r="B87" s="44" t="s">
        <v>1672</v>
      </c>
      <c r="C87" s="45"/>
      <c r="D87" s="102">
        <v>45638.0</v>
      </c>
      <c r="E87" s="70" t="s">
        <v>1676</v>
      </c>
      <c r="F87" s="43" t="s">
        <v>1677</v>
      </c>
      <c r="G87" s="43" t="s">
        <v>1675</v>
      </c>
      <c r="H87" s="67" t="s">
        <v>1678</v>
      </c>
      <c r="I87" s="77"/>
      <c r="J87" s="50"/>
      <c r="K87" s="43" t="s">
        <v>46</v>
      </c>
      <c r="L87" s="103"/>
    </row>
    <row r="88">
      <c r="A88" s="51" t="s">
        <v>11</v>
      </c>
      <c r="B88" s="44" t="s">
        <v>1679</v>
      </c>
      <c r="C88" s="45"/>
      <c r="D88" s="102">
        <v>45638.0</v>
      </c>
      <c r="E88" s="70" t="s">
        <v>357</v>
      </c>
      <c r="F88" s="43" t="s">
        <v>1680</v>
      </c>
      <c r="G88" s="99" t="s">
        <v>682</v>
      </c>
      <c r="H88" s="99" t="s">
        <v>827</v>
      </c>
      <c r="I88" s="44" t="s">
        <v>1681</v>
      </c>
      <c r="J88" s="44" t="s">
        <v>453</v>
      </c>
      <c r="K88" s="43" t="s">
        <v>46</v>
      </c>
      <c r="L88" s="104"/>
    </row>
    <row r="89">
      <c r="A89" s="51" t="s">
        <v>1137</v>
      </c>
      <c r="B89" s="44" t="s">
        <v>1682</v>
      </c>
      <c r="C89" s="45"/>
      <c r="D89" s="102">
        <v>45638.0</v>
      </c>
      <c r="E89" s="70" t="s">
        <v>188</v>
      </c>
      <c r="F89" s="43" t="s">
        <v>1683</v>
      </c>
      <c r="G89" s="99" t="s">
        <v>682</v>
      </c>
      <c r="H89" s="99" t="s">
        <v>783</v>
      </c>
      <c r="I89" s="77"/>
      <c r="J89" s="52"/>
      <c r="K89" s="52"/>
      <c r="L89" s="103"/>
    </row>
    <row r="90">
      <c r="A90" s="51" t="s">
        <v>11</v>
      </c>
      <c r="B90" s="44" t="s">
        <v>1684</v>
      </c>
      <c r="C90" s="45"/>
      <c r="D90" s="102">
        <v>45638.0</v>
      </c>
      <c r="E90" s="70" t="s">
        <v>1272</v>
      </c>
      <c r="F90" s="43" t="s">
        <v>1685</v>
      </c>
      <c r="G90" s="99" t="s">
        <v>682</v>
      </c>
      <c r="H90" s="99" t="s">
        <v>827</v>
      </c>
      <c r="I90" s="44" t="s">
        <v>1686</v>
      </c>
      <c r="J90" s="44" t="s">
        <v>453</v>
      </c>
      <c r="K90" s="43" t="s">
        <v>46</v>
      </c>
      <c r="L90" s="104"/>
    </row>
    <row r="91">
      <c r="A91" s="51"/>
      <c r="B91" s="43" t="s">
        <v>1687</v>
      </c>
      <c r="C91" s="45"/>
      <c r="D91" s="102">
        <v>45638.0</v>
      </c>
      <c r="E91" s="70" t="s">
        <v>188</v>
      </c>
      <c r="F91" s="43" t="s">
        <v>1688</v>
      </c>
      <c r="G91" s="67" t="s">
        <v>492</v>
      </c>
      <c r="H91" s="67" t="s">
        <v>492</v>
      </c>
      <c r="I91" s="19"/>
      <c r="J91" s="52"/>
      <c r="K91" s="52"/>
      <c r="L91" s="103"/>
    </row>
    <row r="92">
      <c r="A92" s="51"/>
      <c r="B92" s="43" t="s">
        <v>1687</v>
      </c>
      <c r="C92" s="45"/>
      <c r="D92" s="102">
        <v>45638.0</v>
      </c>
      <c r="E92" s="70" t="s">
        <v>130</v>
      </c>
      <c r="F92" s="43" t="s">
        <v>1688</v>
      </c>
      <c r="G92" s="67" t="s">
        <v>492</v>
      </c>
      <c r="H92" s="67" t="s">
        <v>492</v>
      </c>
      <c r="I92" s="44" t="s">
        <v>1398</v>
      </c>
      <c r="J92" s="52"/>
      <c r="K92" s="52"/>
      <c r="L92" s="103"/>
    </row>
    <row r="93">
      <c r="A93" s="51" t="s">
        <v>11</v>
      </c>
      <c r="B93" s="44" t="s">
        <v>1689</v>
      </c>
      <c r="C93" s="45"/>
      <c r="D93" s="102">
        <v>45638.0</v>
      </c>
      <c r="E93" s="70" t="s">
        <v>1094</v>
      </c>
      <c r="F93" s="124" t="s">
        <v>1690</v>
      </c>
      <c r="G93" s="67" t="s">
        <v>1691</v>
      </c>
      <c r="H93" s="99" t="s">
        <v>783</v>
      </c>
      <c r="I93" s="44"/>
      <c r="J93" s="52"/>
      <c r="K93" s="52"/>
      <c r="L93" s="103"/>
    </row>
    <row r="94">
      <c r="A94" s="51" t="s">
        <v>11</v>
      </c>
      <c r="B94" s="44" t="s">
        <v>1692</v>
      </c>
      <c r="C94" s="45"/>
      <c r="D94" s="63">
        <v>45638.0</v>
      </c>
      <c r="E94" s="62" t="s">
        <v>1693</v>
      </c>
      <c r="F94" s="43" t="s">
        <v>1694</v>
      </c>
      <c r="G94" s="99" t="s">
        <v>682</v>
      </c>
      <c r="H94" s="99" t="s">
        <v>827</v>
      </c>
      <c r="I94" s="44" t="s">
        <v>1695</v>
      </c>
      <c r="J94" s="50"/>
      <c r="K94" s="43" t="s">
        <v>46</v>
      </c>
      <c r="L94" s="103"/>
    </row>
    <row r="95">
      <c r="A95" s="51" t="s">
        <v>171</v>
      </c>
      <c r="B95" s="43" t="s">
        <v>1696</v>
      </c>
      <c r="C95" s="45" t="s">
        <v>1697</v>
      </c>
      <c r="D95" s="63">
        <v>45638.0</v>
      </c>
      <c r="E95" s="70" t="s">
        <v>278</v>
      </c>
      <c r="F95" s="43" t="s">
        <v>1698</v>
      </c>
      <c r="G95" s="44" t="s">
        <v>1699</v>
      </c>
      <c r="H95" s="44" t="s">
        <v>827</v>
      </c>
      <c r="I95" s="44" t="s">
        <v>567</v>
      </c>
      <c r="J95" s="52"/>
      <c r="K95" s="52"/>
      <c r="L95" s="103"/>
    </row>
    <row r="96">
      <c r="A96" s="51" t="s">
        <v>11</v>
      </c>
      <c r="B96" s="44" t="s">
        <v>1700</v>
      </c>
      <c r="C96" s="45" t="s">
        <v>1701</v>
      </c>
      <c r="D96" s="102">
        <v>45639.0</v>
      </c>
      <c r="E96" s="70" t="s">
        <v>324</v>
      </c>
      <c r="F96" s="43" t="s">
        <v>1702</v>
      </c>
      <c r="G96" s="99" t="s">
        <v>682</v>
      </c>
      <c r="H96" s="99" t="s">
        <v>783</v>
      </c>
      <c r="I96" s="77"/>
      <c r="J96" s="44" t="s">
        <v>1703</v>
      </c>
      <c r="K96" s="43" t="s">
        <v>46</v>
      </c>
      <c r="L96" s="104"/>
    </row>
    <row r="97">
      <c r="A97" s="51" t="s">
        <v>305</v>
      </c>
      <c r="B97" s="43" t="s">
        <v>1704</v>
      </c>
      <c r="C97" s="45"/>
      <c r="D97" s="102">
        <v>45639.0</v>
      </c>
      <c r="E97" s="70" t="s">
        <v>1705</v>
      </c>
      <c r="F97" s="43" t="s">
        <v>1706</v>
      </c>
      <c r="G97" s="43" t="s">
        <v>1524</v>
      </c>
      <c r="H97" s="99" t="s">
        <v>827</v>
      </c>
      <c r="I97" s="59" t="s">
        <v>1707</v>
      </c>
      <c r="J97" s="52"/>
      <c r="K97" s="52"/>
      <c r="L97" s="103"/>
    </row>
    <row r="98">
      <c r="A98" s="51" t="s">
        <v>622</v>
      </c>
      <c r="B98" s="43" t="s">
        <v>1708</v>
      </c>
      <c r="C98" s="45"/>
      <c r="D98" s="102">
        <v>45639.0</v>
      </c>
      <c r="E98" s="70" t="s">
        <v>130</v>
      </c>
      <c r="F98" s="43" t="s">
        <v>165</v>
      </c>
      <c r="G98" s="99" t="s">
        <v>682</v>
      </c>
      <c r="H98" s="99" t="s">
        <v>827</v>
      </c>
      <c r="I98" s="44" t="s">
        <v>1650</v>
      </c>
      <c r="J98" s="52"/>
      <c r="K98" s="43" t="s">
        <v>1709</v>
      </c>
      <c r="L98" s="103"/>
    </row>
    <row r="99">
      <c r="A99" s="51" t="s">
        <v>1137</v>
      </c>
      <c r="B99" s="44" t="s">
        <v>1710</v>
      </c>
      <c r="C99" s="45"/>
      <c r="D99" s="102">
        <v>45639.0</v>
      </c>
      <c r="E99" s="70" t="s">
        <v>107</v>
      </c>
      <c r="F99" s="43" t="s">
        <v>1711</v>
      </c>
      <c r="G99" s="43" t="s">
        <v>1712</v>
      </c>
      <c r="H99" s="67" t="s">
        <v>1713</v>
      </c>
      <c r="I99" s="44" t="s">
        <v>1650</v>
      </c>
      <c r="J99" s="52"/>
      <c r="K99" s="52"/>
      <c r="L99" s="103"/>
    </row>
    <row r="100">
      <c r="A100" s="51" t="s">
        <v>622</v>
      </c>
      <c r="B100" s="43" t="s">
        <v>1714</v>
      </c>
      <c r="C100" s="45"/>
      <c r="D100" s="102">
        <v>45639.0</v>
      </c>
      <c r="E100" s="70" t="s">
        <v>1715</v>
      </c>
      <c r="F100" s="43" t="s">
        <v>710</v>
      </c>
      <c r="G100" s="67" t="s">
        <v>1716</v>
      </c>
      <c r="H100" s="67" t="s">
        <v>1716</v>
      </c>
      <c r="I100" s="59" t="s">
        <v>1717</v>
      </c>
      <c r="J100" s="52"/>
      <c r="K100" s="52"/>
      <c r="L100" s="103"/>
    </row>
    <row r="101">
      <c r="A101" s="51" t="s">
        <v>1137</v>
      </c>
      <c r="B101" s="44" t="s">
        <v>1213</v>
      </c>
      <c r="C101" s="45"/>
      <c r="D101" s="102">
        <v>45639.0</v>
      </c>
      <c r="E101" s="70" t="s">
        <v>1718</v>
      </c>
      <c r="F101" s="43" t="s">
        <v>1719</v>
      </c>
      <c r="G101" s="99" t="s">
        <v>682</v>
      </c>
      <c r="H101" s="99" t="s">
        <v>783</v>
      </c>
      <c r="I101" s="44" t="s">
        <v>1720</v>
      </c>
      <c r="J101" s="52"/>
      <c r="K101" s="52"/>
      <c r="L101" s="103"/>
    </row>
    <row r="102">
      <c r="A102" s="51" t="s">
        <v>11</v>
      </c>
      <c r="B102" s="44" t="s">
        <v>911</v>
      </c>
      <c r="C102" s="45"/>
      <c r="D102" s="102">
        <v>45639.0</v>
      </c>
      <c r="E102" s="70" t="s">
        <v>1272</v>
      </c>
      <c r="F102" s="52"/>
      <c r="G102" s="99" t="s">
        <v>682</v>
      </c>
      <c r="H102" s="50"/>
      <c r="I102" s="77"/>
      <c r="J102" s="50"/>
      <c r="K102" s="52"/>
      <c r="L102" s="103"/>
    </row>
    <row r="103">
      <c r="A103" s="51" t="s">
        <v>1721</v>
      </c>
      <c r="B103" s="44" t="s">
        <v>338</v>
      </c>
      <c r="C103" s="45"/>
      <c r="D103" s="102">
        <v>45639.0</v>
      </c>
      <c r="E103" s="70" t="s">
        <v>101</v>
      </c>
      <c r="F103" s="43" t="s">
        <v>1722</v>
      </c>
      <c r="G103" s="99" t="s">
        <v>682</v>
      </c>
      <c r="H103" s="99" t="s">
        <v>827</v>
      </c>
      <c r="I103" s="44" t="s">
        <v>1650</v>
      </c>
      <c r="J103" s="52"/>
      <c r="K103" s="52"/>
      <c r="L103" s="103"/>
    </row>
    <row r="104">
      <c r="A104" s="51" t="s">
        <v>11</v>
      </c>
      <c r="B104" s="44" t="s">
        <v>1163</v>
      </c>
      <c r="C104" s="45"/>
      <c r="D104" s="102">
        <v>45639.0</v>
      </c>
      <c r="E104" s="70" t="s">
        <v>1723</v>
      </c>
      <c r="F104" s="43" t="s">
        <v>1724</v>
      </c>
      <c r="G104" s="99" t="s">
        <v>682</v>
      </c>
      <c r="H104" s="99" t="s">
        <v>783</v>
      </c>
      <c r="I104" s="44" t="s">
        <v>1650</v>
      </c>
      <c r="J104" s="50"/>
      <c r="K104" s="43" t="s">
        <v>46</v>
      </c>
      <c r="L104" s="103"/>
    </row>
    <row r="105">
      <c r="A105" s="51" t="s">
        <v>663</v>
      </c>
      <c r="B105" s="43" t="s">
        <v>1725</v>
      </c>
      <c r="C105" s="45"/>
      <c r="D105" s="63">
        <v>45639.0</v>
      </c>
      <c r="E105" s="70" t="s">
        <v>1272</v>
      </c>
      <c r="F105" s="43" t="s">
        <v>710</v>
      </c>
      <c r="G105" s="67" t="s">
        <v>1726</v>
      </c>
      <c r="H105" s="44" t="s">
        <v>827</v>
      </c>
      <c r="I105" s="44" t="s">
        <v>1727</v>
      </c>
      <c r="J105" s="43"/>
      <c r="K105" s="43"/>
      <c r="L105" s="104"/>
    </row>
    <row r="106">
      <c r="A106" s="51" t="s">
        <v>11</v>
      </c>
      <c r="B106" s="44" t="s">
        <v>1728</v>
      </c>
      <c r="C106" s="45"/>
      <c r="D106" s="63">
        <v>45639.0</v>
      </c>
      <c r="E106" s="70" t="s">
        <v>1436</v>
      </c>
      <c r="F106" s="43" t="s">
        <v>1729</v>
      </c>
      <c r="G106" s="44" t="s">
        <v>682</v>
      </c>
      <c r="H106" s="44" t="s">
        <v>783</v>
      </c>
      <c r="I106" s="44" t="s">
        <v>1730</v>
      </c>
      <c r="J106" s="44" t="s">
        <v>425</v>
      </c>
      <c r="K106" s="43" t="s">
        <v>46</v>
      </c>
      <c r="L106" s="104"/>
    </row>
    <row r="107">
      <c r="A107" s="51" t="s">
        <v>11</v>
      </c>
      <c r="B107" s="44" t="s">
        <v>1731</v>
      </c>
      <c r="C107" s="45"/>
      <c r="D107" s="63">
        <v>45639.0</v>
      </c>
      <c r="E107" s="70" t="s">
        <v>575</v>
      </c>
      <c r="F107" s="43" t="s">
        <v>1732</v>
      </c>
      <c r="G107" s="44" t="s">
        <v>682</v>
      </c>
      <c r="H107" s="44" t="s">
        <v>827</v>
      </c>
      <c r="I107" s="44" t="s">
        <v>1619</v>
      </c>
      <c r="J107" s="44" t="s">
        <v>1733</v>
      </c>
      <c r="K107" s="43" t="s">
        <v>46</v>
      </c>
      <c r="L107" s="104"/>
    </row>
    <row r="108">
      <c r="A108" s="51" t="s">
        <v>1721</v>
      </c>
      <c r="B108" s="44" t="s">
        <v>1664</v>
      </c>
      <c r="C108" s="45"/>
      <c r="D108" s="102">
        <v>45639.0</v>
      </c>
      <c r="E108" s="70" t="s">
        <v>1436</v>
      </c>
      <c r="F108" s="43" t="s">
        <v>165</v>
      </c>
      <c r="G108" s="67" t="s">
        <v>1734</v>
      </c>
      <c r="H108" s="44" t="s">
        <v>783</v>
      </c>
      <c r="I108" s="125" t="s">
        <v>1666</v>
      </c>
      <c r="J108" s="52"/>
      <c r="K108" s="52"/>
      <c r="L108" s="103"/>
    </row>
    <row r="109" ht="17.25" customHeight="1">
      <c r="A109" s="51" t="s">
        <v>11</v>
      </c>
      <c r="B109" s="44" t="s">
        <v>1735</v>
      </c>
      <c r="C109" s="45"/>
      <c r="D109" s="63">
        <v>45639.0</v>
      </c>
      <c r="E109" s="70" t="s">
        <v>1436</v>
      </c>
      <c r="F109" s="44" t="s">
        <v>165</v>
      </c>
      <c r="G109" s="67" t="s">
        <v>1726</v>
      </c>
      <c r="H109" s="44" t="s">
        <v>783</v>
      </c>
      <c r="I109" s="44" t="s">
        <v>103</v>
      </c>
      <c r="J109" s="50"/>
      <c r="K109" s="52"/>
      <c r="L109" s="103"/>
    </row>
    <row r="110">
      <c r="A110" s="51" t="s">
        <v>580</v>
      </c>
      <c r="B110" s="43" t="s">
        <v>1736</v>
      </c>
      <c r="C110" s="45">
        <v>8.232503777E9</v>
      </c>
      <c r="D110" s="102">
        <v>45641.0</v>
      </c>
      <c r="E110" s="70" t="s">
        <v>1737</v>
      </c>
      <c r="F110" s="44" t="s">
        <v>1738</v>
      </c>
      <c r="G110" s="44" t="s">
        <v>682</v>
      </c>
      <c r="H110" s="44" t="s">
        <v>783</v>
      </c>
      <c r="I110" s="44" t="s">
        <v>103</v>
      </c>
      <c r="J110" s="44" t="s">
        <v>1042</v>
      </c>
      <c r="K110" s="52"/>
      <c r="L110" s="103"/>
    </row>
    <row r="111">
      <c r="A111" s="51" t="s">
        <v>11</v>
      </c>
      <c r="B111" s="44" t="s">
        <v>1739</v>
      </c>
      <c r="C111" s="45"/>
      <c r="D111" s="102">
        <v>45641.0</v>
      </c>
      <c r="E111" s="70" t="s">
        <v>357</v>
      </c>
      <c r="F111" s="44" t="s">
        <v>1740</v>
      </c>
      <c r="G111" s="44" t="s">
        <v>682</v>
      </c>
      <c r="H111" s="44" t="s">
        <v>103</v>
      </c>
      <c r="I111" s="44" t="s">
        <v>1377</v>
      </c>
      <c r="J111" s="44" t="s">
        <v>1584</v>
      </c>
      <c r="K111" s="104" t="s">
        <v>46</v>
      </c>
      <c r="L111" s="104"/>
    </row>
    <row r="112">
      <c r="A112" s="51" t="s">
        <v>11</v>
      </c>
      <c r="B112" s="61" t="s">
        <v>1741</v>
      </c>
      <c r="C112" s="45"/>
      <c r="D112" s="102">
        <v>45642.0</v>
      </c>
      <c r="E112" s="70" t="s">
        <v>451</v>
      </c>
      <c r="F112" s="44" t="s">
        <v>710</v>
      </c>
      <c r="G112" s="99" t="s">
        <v>682</v>
      </c>
      <c r="H112" s="99" t="s">
        <v>827</v>
      </c>
      <c r="I112" s="44" t="s">
        <v>1742</v>
      </c>
      <c r="J112" s="44" t="s">
        <v>442</v>
      </c>
      <c r="K112" s="43" t="s">
        <v>46</v>
      </c>
      <c r="L112" s="104"/>
    </row>
    <row r="113">
      <c r="A113" s="51" t="s">
        <v>11</v>
      </c>
      <c r="B113" s="44" t="s">
        <v>219</v>
      </c>
      <c r="C113" s="45" t="s">
        <v>218</v>
      </c>
      <c r="D113" s="102">
        <v>45642.0</v>
      </c>
      <c r="E113" s="70" t="s">
        <v>1328</v>
      </c>
      <c r="F113" s="44" t="s">
        <v>1743</v>
      </c>
      <c r="G113" s="99" t="s">
        <v>682</v>
      </c>
      <c r="H113" s="44" t="s">
        <v>827</v>
      </c>
      <c r="I113" s="44" t="s">
        <v>1744</v>
      </c>
      <c r="J113" s="43" t="s">
        <v>1419</v>
      </c>
      <c r="K113" s="43"/>
      <c r="L113" s="104"/>
    </row>
    <row r="114">
      <c r="A114" s="51" t="s">
        <v>11</v>
      </c>
      <c r="B114" s="44" t="s">
        <v>1745</v>
      </c>
      <c r="C114" s="45"/>
      <c r="D114" s="102">
        <v>45642.0</v>
      </c>
      <c r="E114" s="70" t="s">
        <v>575</v>
      </c>
      <c r="F114" s="44" t="s">
        <v>1746</v>
      </c>
      <c r="G114" s="99" t="s">
        <v>682</v>
      </c>
      <c r="H114" s="44" t="s">
        <v>827</v>
      </c>
      <c r="I114" s="44" t="s">
        <v>1747</v>
      </c>
      <c r="J114" s="44" t="s">
        <v>1419</v>
      </c>
      <c r="K114" s="43" t="s">
        <v>46</v>
      </c>
      <c r="L114" s="104"/>
    </row>
    <row r="115">
      <c r="A115" s="51" t="s">
        <v>663</v>
      </c>
      <c r="B115" s="43" t="s">
        <v>1748</v>
      </c>
      <c r="C115" s="45"/>
      <c r="D115" s="46">
        <v>45642.0</v>
      </c>
      <c r="E115" s="62" t="s">
        <v>746</v>
      </c>
      <c r="F115" s="44" t="s">
        <v>1514</v>
      </c>
      <c r="G115" s="44" t="s">
        <v>682</v>
      </c>
      <c r="H115" s="67" t="s">
        <v>805</v>
      </c>
      <c r="I115" s="44" t="s">
        <v>1749</v>
      </c>
      <c r="J115" s="52"/>
      <c r="K115" s="52"/>
      <c r="L115" s="103"/>
    </row>
    <row r="116">
      <c r="A116" s="51" t="s">
        <v>11</v>
      </c>
      <c r="B116" s="44" t="s">
        <v>1750</v>
      </c>
      <c r="C116" s="45"/>
      <c r="D116" s="46">
        <v>45642.0</v>
      </c>
      <c r="E116" s="62" t="s">
        <v>1560</v>
      </c>
      <c r="F116" s="44" t="s">
        <v>1514</v>
      </c>
      <c r="G116" s="44" t="s">
        <v>682</v>
      </c>
      <c r="H116" s="44" t="s">
        <v>827</v>
      </c>
      <c r="I116" s="44" t="s">
        <v>1751</v>
      </c>
      <c r="J116" s="50"/>
      <c r="K116" s="43" t="s">
        <v>46</v>
      </c>
      <c r="L116" s="103"/>
    </row>
    <row r="117">
      <c r="A117" s="51" t="s">
        <v>11</v>
      </c>
      <c r="B117" s="44" t="s">
        <v>1752</v>
      </c>
      <c r="C117" s="45"/>
      <c r="D117" s="46">
        <v>45642.0</v>
      </c>
      <c r="E117" s="70" t="s">
        <v>1753</v>
      </c>
      <c r="F117" s="52"/>
      <c r="G117" s="44" t="s">
        <v>682</v>
      </c>
      <c r="H117" s="44" t="s">
        <v>827</v>
      </c>
      <c r="I117" s="44" t="s">
        <v>1754</v>
      </c>
      <c r="J117" s="44" t="s">
        <v>673</v>
      </c>
      <c r="K117" s="43" t="s">
        <v>46</v>
      </c>
      <c r="L117" s="104"/>
    </row>
    <row r="118">
      <c r="A118" s="62" t="s">
        <v>749</v>
      </c>
      <c r="B118" s="43" t="s">
        <v>1755</v>
      </c>
      <c r="C118" s="45" t="s">
        <v>1756</v>
      </c>
      <c r="D118" s="102">
        <v>45642.0</v>
      </c>
      <c r="E118" s="70" t="s">
        <v>1757</v>
      </c>
      <c r="F118" s="43" t="s">
        <v>1758</v>
      </c>
      <c r="G118" s="44" t="s">
        <v>682</v>
      </c>
      <c r="H118" s="67" t="s">
        <v>1759</v>
      </c>
      <c r="I118" s="44" t="s">
        <v>1418</v>
      </c>
      <c r="J118" s="43" t="s">
        <v>673</v>
      </c>
      <c r="K118" s="43" t="s">
        <v>46</v>
      </c>
      <c r="L118" s="104"/>
    </row>
    <row r="119">
      <c r="A119" s="51" t="s">
        <v>622</v>
      </c>
      <c r="B119" s="43" t="s">
        <v>1760</v>
      </c>
      <c r="C119" s="45"/>
      <c r="D119" s="102">
        <v>45642.0</v>
      </c>
      <c r="E119" s="70" t="s">
        <v>73</v>
      </c>
      <c r="F119" s="43" t="s">
        <v>1761</v>
      </c>
      <c r="G119" s="67" t="s">
        <v>1726</v>
      </c>
      <c r="H119" s="44" t="s">
        <v>1762</v>
      </c>
      <c r="I119" s="53" t="s">
        <v>1763</v>
      </c>
      <c r="J119" s="52"/>
      <c r="K119" s="52"/>
      <c r="L119" s="103"/>
    </row>
    <row r="120">
      <c r="A120" s="51" t="s">
        <v>11</v>
      </c>
      <c r="B120" s="61" t="s">
        <v>1764</v>
      </c>
      <c r="C120" s="45"/>
      <c r="D120" s="102">
        <v>45642.0</v>
      </c>
      <c r="E120" s="70" t="s">
        <v>1425</v>
      </c>
      <c r="F120" s="43" t="s">
        <v>1765</v>
      </c>
      <c r="G120" s="44" t="s">
        <v>682</v>
      </c>
      <c r="H120" s="44" t="s">
        <v>783</v>
      </c>
      <c r="I120" s="44" t="s">
        <v>1766</v>
      </c>
      <c r="J120" s="44" t="s">
        <v>453</v>
      </c>
      <c r="K120" s="43" t="s">
        <v>46</v>
      </c>
      <c r="L120" s="104"/>
    </row>
    <row r="121">
      <c r="A121" s="51" t="s">
        <v>622</v>
      </c>
      <c r="B121" s="43" t="s">
        <v>1760</v>
      </c>
      <c r="C121" s="45"/>
      <c r="D121" s="102">
        <v>45642.0</v>
      </c>
      <c r="E121" s="70" t="s">
        <v>234</v>
      </c>
      <c r="F121" s="43" t="s">
        <v>1761</v>
      </c>
      <c r="G121" s="67" t="s">
        <v>1726</v>
      </c>
      <c r="H121" s="44" t="s">
        <v>1762</v>
      </c>
      <c r="I121" s="44" t="s">
        <v>103</v>
      </c>
      <c r="J121" s="52"/>
      <c r="K121" s="52"/>
      <c r="L121" s="103"/>
    </row>
    <row r="122">
      <c r="A122" s="51" t="s">
        <v>580</v>
      </c>
      <c r="B122" s="43" t="s">
        <v>1767</v>
      </c>
      <c r="C122" s="45" t="s">
        <v>1768</v>
      </c>
      <c r="D122" s="102">
        <v>45643.0</v>
      </c>
      <c r="E122" s="70" t="s">
        <v>727</v>
      </c>
      <c r="F122" s="76" t="s">
        <v>1769</v>
      </c>
      <c r="G122" s="44" t="s">
        <v>682</v>
      </c>
      <c r="H122" s="44" t="s">
        <v>827</v>
      </c>
      <c r="I122" s="59" t="s">
        <v>1770</v>
      </c>
      <c r="J122" s="52"/>
      <c r="K122" s="52"/>
      <c r="L122" s="103"/>
    </row>
    <row r="123">
      <c r="A123" s="51" t="s">
        <v>580</v>
      </c>
      <c r="B123" s="43" t="s">
        <v>1771</v>
      </c>
      <c r="C123" s="45"/>
      <c r="D123" s="102">
        <v>45643.0</v>
      </c>
      <c r="E123" s="70" t="s">
        <v>141</v>
      </c>
      <c r="F123" s="43" t="s">
        <v>1514</v>
      </c>
      <c r="G123" s="67" t="s">
        <v>1772</v>
      </c>
      <c r="H123" s="44" t="s">
        <v>827</v>
      </c>
      <c r="I123" s="44" t="s">
        <v>1744</v>
      </c>
      <c r="J123" s="52"/>
      <c r="K123" s="52"/>
      <c r="L123" s="103"/>
    </row>
    <row r="124">
      <c r="A124" s="51" t="s">
        <v>663</v>
      </c>
      <c r="B124" s="43" t="s">
        <v>1773</v>
      </c>
      <c r="C124" s="45"/>
      <c r="D124" s="102">
        <v>45643.0</v>
      </c>
      <c r="E124" s="58" t="s">
        <v>1774</v>
      </c>
      <c r="F124" s="43" t="s">
        <v>1775</v>
      </c>
      <c r="G124" s="44" t="s">
        <v>682</v>
      </c>
      <c r="H124" s="44" t="s">
        <v>827</v>
      </c>
      <c r="I124" s="44" t="s">
        <v>1776</v>
      </c>
      <c r="J124" s="52"/>
      <c r="K124" s="52"/>
      <c r="L124" s="103"/>
    </row>
    <row r="125">
      <c r="A125" s="51" t="s">
        <v>11</v>
      </c>
      <c r="B125" s="44" t="s">
        <v>1777</v>
      </c>
      <c r="C125" s="45"/>
      <c r="D125" s="102">
        <v>45643.0</v>
      </c>
      <c r="E125" s="43" t="s">
        <v>1778</v>
      </c>
      <c r="F125" s="43" t="s">
        <v>1779</v>
      </c>
      <c r="G125" s="44"/>
      <c r="H125" s="44" t="s">
        <v>827</v>
      </c>
      <c r="I125" s="44" t="s">
        <v>18</v>
      </c>
      <c r="J125" s="50"/>
      <c r="K125" s="43" t="s">
        <v>46</v>
      </c>
      <c r="L125" s="103"/>
    </row>
    <row r="126">
      <c r="A126" s="51" t="s">
        <v>11</v>
      </c>
      <c r="B126" s="44" t="s">
        <v>1777</v>
      </c>
      <c r="C126" s="45"/>
      <c r="D126" s="102">
        <v>45643.0</v>
      </c>
      <c r="E126" s="70" t="s">
        <v>1645</v>
      </c>
      <c r="F126" s="43" t="s">
        <v>1779</v>
      </c>
      <c r="G126" s="44" t="s">
        <v>682</v>
      </c>
      <c r="H126" s="44" t="s">
        <v>827</v>
      </c>
      <c r="I126" s="44" t="s">
        <v>18</v>
      </c>
      <c r="J126" s="50"/>
      <c r="K126" s="43" t="s">
        <v>46</v>
      </c>
      <c r="L126" s="103"/>
    </row>
    <row r="127">
      <c r="A127" s="51" t="s">
        <v>11</v>
      </c>
      <c r="B127" s="44" t="s">
        <v>1777</v>
      </c>
      <c r="C127" s="45"/>
      <c r="D127" s="102">
        <v>45643.0</v>
      </c>
      <c r="E127" s="70" t="s">
        <v>1780</v>
      </c>
      <c r="F127" s="43" t="s">
        <v>1781</v>
      </c>
      <c r="G127" s="44" t="s">
        <v>682</v>
      </c>
      <c r="H127" s="44" t="s">
        <v>827</v>
      </c>
      <c r="I127" s="44" t="s">
        <v>18</v>
      </c>
      <c r="J127" s="50"/>
      <c r="K127" s="52"/>
      <c r="L127" s="103"/>
    </row>
    <row r="128">
      <c r="A128" s="51" t="s">
        <v>663</v>
      </c>
      <c r="B128" s="43" t="s">
        <v>1782</v>
      </c>
      <c r="C128" s="45"/>
      <c r="D128" s="102">
        <v>45643.0</v>
      </c>
      <c r="E128" s="70" t="s">
        <v>1436</v>
      </c>
      <c r="F128" s="126" t="s">
        <v>1514</v>
      </c>
      <c r="G128" s="67" t="s">
        <v>1783</v>
      </c>
      <c r="H128" s="44" t="s">
        <v>827</v>
      </c>
      <c r="I128" s="44" t="s">
        <v>1784</v>
      </c>
      <c r="J128" s="52"/>
      <c r="K128" s="52"/>
      <c r="L128" s="103"/>
    </row>
    <row r="129">
      <c r="A129" s="51" t="s">
        <v>11</v>
      </c>
      <c r="B129" s="44" t="s">
        <v>1785</v>
      </c>
      <c r="C129" s="45"/>
      <c r="D129" s="102">
        <v>45643.0</v>
      </c>
      <c r="E129" s="70" t="s">
        <v>451</v>
      </c>
      <c r="F129" s="43" t="s">
        <v>1786</v>
      </c>
      <c r="G129" s="44" t="s">
        <v>682</v>
      </c>
      <c r="H129" s="44" t="s">
        <v>827</v>
      </c>
      <c r="I129" s="44" t="s">
        <v>1787</v>
      </c>
      <c r="J129" s="44" t="s">
        <v>1439</v>
      </c>
      <c r="K129" s="58" t="s">
        <v>46</v>
      </c>
      <c r="L129" s="106"/>
    </row>
    <row r="130">
      <c r="A130" s="51" t="s">
        <v>11</v>
      </c>
      <c r="B130" s="44" t="s">
        <v>1788</v>
      </c>
      <c r="C130" s="45"/>
      <c r="D130" s="102">
        <v>45643.0</v>
      </c>
      <c r="E130" s="70" t="s">
        <v>357</v>
      </c>
      <c r="F130" s="83" t="s">
        <v>1789</v>
      </c>
      <c r="G130" s="44" t="s">
        <v>682</v>
      </c>
      <c r="H130" s="44" t="s">
        <v>827</v>
      </c>
      <c r="I130" s="44" t="s">
        <v>1572</v>
      </c>
      <c r="J130" s="44" t="s">
        <v>1439</v>
      </c>
      <c r="K130" s="43" t="s">
        <v>46</v>
      </c>
      <c r="L130" s="104"/>
    </row>
    <row r="131">
      <c r="A131" s="51" t="s">
        <v>171</v>
      </c>
      <c r="B131" s="43" t="s">
        <v>1790</v>
      </c>
      <c r="C131" s="45"/>
      <c r="D131" s="46">
        <v>45643.0</v>
      </c>
      <c r="E131" s="43" t="s">
        <v>1791</v>
      </c>
      <c r="F131" s="43" t="s">
        <v>1514</v>
      </c>
      <c r="G131" s="44" t="s">
        <v>682</v>
      </c>
      <c r="H131" s="44" t="s">
        <v>827</v>
      </c>
      <c r="I131" s="44" t="s">
        <v>1792</v>
      </c>
      <c r="J131" s="52"/>
      <c r="K131" s="52"/>
      <c r="L131" s="103"/>
    </row>
    <row r="132">
      <c r="A132" s="51" t="s">
        <v>11</v>
      </c>
      <c r="B132" s="44" t="s">
        <v>1793</v>
      </c>
      <c r="C132" s="45"/>
      <c r="D132" s="102">
        <v>45643.0</v>
      </c>
      <c r="E132" s="70" t="s">
        <v>357</v>
      </c>
      <c r="F132" s="43" t="s">
        <v>1514</v>
      </c>
      <c r="G132" s="44" t="s">
        <v>682</v>
      </c>
      <c r="H132" s="44" t="s">
        <v>827</v>
      </c>
      <c r="I132" s="44" t="s">
        <v>1794</v>
      </c>
      <c r="J132" s="44" t="s">
        <v>1439</v>
      </c>
      <c r="K132" s="43" t="s">
        <v>46</v>
      </c>
      <c r="L132" s="104"/>
    </row>
    <row r="133">
      <c r="A133" s="51" t="s">
        <v>11</v>
      </c>
      <c r="B133" s="44" t="s">
        <v>1795</v>
      </c>
      <c r="C133" s="45"/>
      <c r="D133" s="102">
        <v>45643.0</v>
      </c>
      <c r="E133" s="70" t="s">
        <v>778</v>
      </c>
      <c r="F133" s="43" t="s">
        <v>710</v>
      </c>
      <c r="G133" s="44" t="s">
        <v>682</v>
      </c>
      <c r="H133" s="44" t="s">
        <v>827</v>
      </c>
      <c r="I133" s="44" t="s">
        <v>1796</v>
      </c>
      <c r="J133" s="44" t="s">
        <v>288</v>
      </c>
      <c r="K133" s="43" t="s">
        <v>46</v>
      </c>
      <c r="L133" s="104"/>
    </row>
    <row r="134">
      <c r="A134" s="51" t="s">
        <v>11</v>
      </c>
      <c r="B134" s="44" t="s">
        <v>1797</v>
      </c>
      <c r="C134" s="45"/>
      <c r="D134" s="102">
        <v>45643.0</v>
      </c>
      <c r="E134" s="70" t="s">
        <v>1094</v>
      </c>
      <c r="F134" s="44" t="s">
        <v>165</v>
      </c>
      <c r="G134" s="44" t="s">
        <v>682</v>
      </c>
      <c r="H134" s="44" t="s">
        <v>783</v>
      </c>
      <c r="I134" s="44" t="s">
        <v>103</v>
      </c>
      <c r="J134" s="44" t="s">
        <v>1798</v>
      </c>
      <c r="K134" s="43" t="s">
        <v>46</v>
      </c>
      <c r="L134" s="104"/>
    </row>
    <row r="135">
      <c r="A135" s="51" t="s">
        <v>11</v>
      </c>
      <c r="B135" s="44" t="s">
        <v>1799</v>
      </c>
      <c r="C135" s="45" t="s">
        <v>1800</v>
      </c>
      <c r="D135" s="102">
        <v>45643.0</v>
      </c>
      <c r="E135" s="62" t="s">
        <v>292</v>
      </c>
      <c r="F135" s="44" t="s">
        <v>1801</v>
      </c>
      <c r="G135" s="44" t="s">
        <v>682</v>
      </c>
      <c r="H135" s="44" t="s">
        <v>827</v>
      </c>
      <c r="I135" s="44" t="s">
        <v>1802</v>
      </c>
      <c r="J135" s="43" t="s">
        <v>673</v>
      </c>
      <c r="K135" s="43"/>
      <c r="L135" s="104"/>
    </row>
    <row r="136">
      <c r="A136" s="51" t="s">
        <v>580</v>
      </c>
      <c r="B136" s="43" t="s">
        <v>1803</v>
      </c>
      <c r="C136" s="45"/>
      <c r="D136" s="102">
        <v>45644.0</v>
      </c>
      <c r="E136" s="70" t="s">
        <v>1184</v>
      </c>
      <c r="F136" s="127" t="s">
        <v>1804</v>
      </c>
      <c r="G136" s="44" t="s">
        <v>682</v>
      </c>
      <c r="H136" s="44" t="s">
        <v>827</v>
      </c>
      <c r="I136" s="44" t="s">
        <v>567</v>
      </c>
      <c r="J136" s="52"/>
      <c r="K136" s="52"/>
      <c r="L136" s="103"/>
    </row>
    <row r="137">
      <c r="A137" s="51" t="s">
        <v>663</v>
      </c>
      <c r="B137" s="43" t="s">
        <v>1805</v>
      </c>
      <c r="C137" s="45"/>
      <c r="D137" s="102">
        <v>45644.0</v>
      </c>
      <c r="E137" s="43" t="s">
        <v>814</v>
      </c>
      <c r="F137" s="44" t="s">
        <v>165</v>
      </c>
      <c r="G137" s="67" t="s">
        <v>1806</v>
      </c>
      <c r="H137" s="44" t="s">
        <v>783</v>
      </c>
      <c r="I137" s="19" t="s">
        <v>1807</v>
      </c>
      <c r="J137" s="52"/>
      <c r="K137" s="52"/>
      <c r="L137" s="103"/>
    </row>
    <row r="138">
      <c r="A138" s="51" t="s">
        <v>622</v>
      </c>
      <c r="B138" s="43" t="s">
        <v>922</v>
      </c>
      <c r="C138" s="45"/>
      <c r="D138" s="102">
        <v>45644.0</v>
      </c>
      <c r="E138" s="70" t="s">
        <v>923</v>
      </c>
      <c r="F138" s="44" t="s">
        <v>1808</v>
      </c>
      <c r="G138" s="44" t="s">
        <v>682</v>
      </c>
      <c r="H138" s="44" t="s">
        <v>783</v>
      </c>
      <c r="I138" s="44" t="s">
        <v>626</v>
      </c>
      <c r="J138" s="52"/>
      <c r="K138" s="52"/>
      <c r="L138" s="103"/>
    </row>
    <row r="139">
      <c r="A139" s="51" t="s">
        <v>11</v>
      </c>
      <c r="B139" s="44" t="s">
        <v>1809</v>
      </c>
      <c r="C139" s="45"/>
      <c r="D139" s="102">
        <v>45644.0</v>
      </c>
      <c r="E139" s="70" t="s">
        <v>451</v>
      </c>
      <c r="F139" s="44" t="s">
        <v>710</v>
      </c>
      <c r="G139" s="44" t="s">
        <v>682</v>
      </c>
      <c r="H139" s="44" t="s">
        <v>827</v>
      </c>
      <c r="I139" s="44" t="s">
        <v>173</v>
      </c>
      <c r="J139" s="50"/>
      <c r="K139" s="43" t="s">
        <v>46</v>
      </c>
      <c r="L139" s="104"/>
    </row>
    <row r="140">
      <c r="A140" s="51" t="s">
        <v>11</v>
      </c>
      <c r="B140" s="44" t="s">
        <v>1810</v>
      </c>
      <c r="C140" s="45"/>
      <c r="D140" s="102">
        <v>45644.0</v>
      </c>
      <c r="E140" s="70" t="s">
        <v>1131</v>
      </c>
      <c r="F140" s="44" t="s">
        <v>1811</v>
      </c>
      <c r="G140" s="44" t="s">
        <v>682</v>
      </c>
      <c r="H140" s="44" t="s">
        <v>827</v>
      </c>
      <c r="I140" s="44" t="s">
        <v>1742</v>
      </c>
      <c r="J140" s="58" t="s">
        <v>59</v>
      </c>
      <c r="K140" s="43" t="s">
        <v>1812</v>
      </c>
      <c r="L140" s="103"/>
    </row>
    <row r="141">
      <c r="A141" s="51" t="s">
        <v>11</v>
      </c>
      <c r="B141" s="44" t="s">
        <v>1813</v>
      </c>
      <c r="C141" s="45"/>
      <c r="D141" s="102">
        <v>45644.0</v>
      </c>
      <c r="E141" s="70" t="s">
        <v>1814</v>
      </c>
      <c r="F141" s="44" t="s">
        <v>710</v>
      </c>
      <c r="G141" s="44" t="s">
        <v>682</v>
      </c>
      <c r="H141" s="44" t="s">
        <v>827</v>
      </c>
      <c r="I141" s="44" t="s">
        <v>103</v>
      </c>
      <c r="J141" s="44" t="s">
        <v>453</v>
      </c>
      <c r="K141" s="43" t="s">
        <v>46</v>
      </c>
      <c r="L141" s="104"/>
    </row>
    <row r="142">
      <c r="A142" s="51" t="s">
        <v>580</v>
      </c>
      <c r="B142" s="43" t="s">
        <v>1815</v>
      </c>
      <c r="C142" s="45"/>
      <c r="D142" s="102">
        <v>45644.0</v>
      </c>
      <c r="E142" s="70" t="s">
        <v>97</v>
      </c>
      <c r="F142" s="44" t="s">
        <v>710</v>
      </c>
      <c r="G142" s="44" t="s">
        <v>682</v>
      </c>
      <c r="H142" s="44" t="s">
        <v>827</v>
      </c>
      <c r="I142" s="44" t="s">
        <v>567</v>
      </c>
      <c r="J142" s="52"/>
      <c r="K142" s="52"/>
      <c r="L142" s="103"/>
    </row>
    <row r="143">
      <c r="A143" s="51"/>
      <c r="B143" s="43" t="s">
        <v>1816</v>
      </c>
      <c r="C143" s="45"/>
      <c r="D143" s="102">
        <v>45644.0</v>
      </c>
      <c r="E143" s="70" t="s">
        <v>1817</v>
      </c>
      <c r="F143" s="44" t="s">
        <v>1818</v>
      </c>
      <c r="G143" s="67" t="s">
        <v>1819</v>
      </c>
      <c r="H143" s="44" t="s">
        <v>783</v>
      </c>
      <c r="I143" s="44" t="s">
        <v>626</v>
      </c>
      <c r="J143" s="52"/>
      <c r="K143" s="52"/>
      <c r="L143" s="103"/>
    </row>
    <row r="144">
      <c r="A144" s="51" t="s">
        <v>580</v>
      </c>
      <c r="B144" s="43" t="s">
        <v>1820</v>
      </c>
      <c r="C144" s="45"/>
      <c r="D144" s="102">
        <v>45644.0</v>
      </c>
      <c r="E144" s="70" t="s">
        <v>1723</v>
      </c>
      <c r="F144" s="44" t="s">
        <v>1821</v>
      </c>
      <c r="G144" s="67" t="s">
        <v>988</v>
      </c>
      <c r="H144" s="67" t="s">
        <v>1822</v>
      </c>
      <c r="I144" s="44" t="s">
        <v>626</v>
      </c>
      <c r="J144" s="52"/>
      <c r="K144" s="52"/>
      <c r="L144" s="103"/>
    </row>
    <row r="145">
      <c r="A145" s="51"/>
      <c r="B145" s="43" t="s">
        <v>1823</v>
      </c>
      <c r="C145" s="45"/>
      <c r="D145" s="102">
        <v>45644.0</v>
      </c>
      <c r="E145" s="70" t="s">
        <v>357</v>
      </c>
      <c r="F145" s="44" t="s">
        <v>165</v>
      </c>
      <c r="G145" s="44" t="s">
        <v>682</v>
      </c>
      <c r="H145" s="44" t="s">
        <v>783</v>
      </c>
      <c r="I145" s="44" t="s">
        <v>1481</v>
      </c>
      <c r="J145" s="52"/>
      <c r="K145" s="52"/>
      <c r="L145" s="103"/>
    </row>
    <row r="146">
      <c r="A146" s="51" t="s">
        <v>11</v>
      </c>
      <c r="B146" s="44" t="s">
        <v>1824</v>
      </c>
      <c r="C146" s="45"/>
      <c r="D146" s="102">
        <v>45644.0</v>
      </c>
      <c r="E146" s="70" t="s">
        <v>1825</v>
      </c>
      <c r="F146" s="44" t="s">
        <v>1826</v>
      </c>
      <c r="G146" s="67" t="s">
        <v>1827</v>
      </c>
      <c r="H146" s="44" t="s">
        <v>783</v>
      </c>
      <c r="I146" s="128" t="s">
        <v>1828</v>
      </c>
      <c r="J146" s="52"/>
      <c r="K146" s="52"/>
      <c r="L146" s="103"/>
    </row>
    <row r="147">
      <c r="A147" s="51"/>
      <c r="B147" s="43" t="s">
        <v>1829</v>
      </c>
      <c r="C147" s="45"/>
      <c r="D147" s="102">
        <v>45644.0</v>
      </c>
      <c r="E147" s="70" t="s">
        <v>814</v>
      </c>
      <c r="F147" s="44" t="s">
        <v>942</v>
      </c>
      <c r="G147" s="44" t="s">
        <v>682</v>
      </c>
      <c r="I147" s="19" t="s">
        <v>1830</v>
      </c>
      <c r="J147" s="52"/>
      <c r="K147" s="52"/>
      <c r="L147" s="103"/>
    </row>
    <row r="148">
      <c r="A148" s="51"/>
      <c r="B148" s="43" t="s">
        <v>1831</v>
      </c>
      <c r="C148" s="45"/>
      <c r="D148" s="102">
        <v>45645.0</v>
      </c>
      <c r="E148" s="70" t="s">
        <v>357</v>
      </c>
      <c r="F148" s="44" t="s">
        <v>165</v>
      </c>
      <c r="G148" s="67" t="s">
        <v>988</v>
      </c>
      <c r="H148" s="44" t="s">
        <v>812</v>
      </c>
      <c r="I148" s="44" t="s">
        <v>1832</v>
      </c>
      <c r="J148" s="52"/>
      <c r="K148" s="52"/>
      <c r="L148" s="103"/>
    </row>
    <row r="149">
      <c r="A149" s="51"/>
      <c r="B149" s="43" t="s">
        <v>1833</v>
      </c>
      <c r="C149" s="45"/>
      <c r="D149" s="102">
        <v>45645.0</v>
      </c>
      <c r="E149" s="70" t="s">
        <v>1576</v>
      </c>
      <c r="F149" s="44" t="s">
        <v>165</v>
      </c>
      <c r="G149" s="44" t="s">
        <v>682</v>
      </c>
      <c r="H149" s="44" t="s">
        <v>812</v>
      </c>
      <c r="I149" s="44" t="s">
        <v>1834</v>
      </c>
      <c r="J149" s="52"/>
      <c r="K149" s="52"/>
      <c r="L149" s="103"/>
    </row>
    <row r="150">
      <c r="A150" s="51" t="s">
        <v>11</v>
      </c>
      <c r="B150" s="61" t="s">
        <v>1118</v>
      </c>
      <c r="C150" s="45"/>
      <c r="D150" s="102">
        <v>45645.0</v>
      </c>
      <c r="E150" s="62" t="s">
        <v>73</v>
      </c>
      <c r="F150" s="44" t="s">
        <v>165</v>
      </c>
      <c r="G150" s="67" t="s">
        <v>1835</v>
      </c>
      <c r="H150" s="44" t="s">
        <v>942</v>
      </c>
      <c r="I150" s="44" t="s">
        <v>567</v>
      </c>
      <c r="J150" s="50"/>
      <c r="K150" s="52"/>
      <c r="L150" s="103"/>
    </row>
    <row r="151">
      <c r="A151" s="51"/>
      <c r="B151" s="43" t="s">
        <v>1836</v>
      </c>
      <c r="C151" s="45"/>
      <c r="D151" s="102">
        <v>45645.0</v>
      </c>
      <c r="E151" s="70" t="s">
        <v>575</v>
      </c>
      <c r="F151" s="43" t="s">
        <v>1837</v>
      </c>
      <c r="G151" s="44" t="s">
        <v>682</v>
      </c>
      <c r="H151" s="44" t="s">
        <v>942</v>
      </c>
      <c r="I151" s="128" t="s">
        <v>1838</v>
      </c>
      <c r="J151" s="52"/>
      <c r="K151" s="52"/>
      <c r="L151" s="103"/>
    </row>
    <row r="152">
      <c r="A152" s="51" t="s">
        <v>11</v>
      </c>
      <c r="B152" s="44" t="s">
        <v>1839</v>
      </c>
      <c r="C152" s="45"/>
      <c r="D152" s="102">
        <v>45645.0</v>
      </c>
      <c r="E152" s="70" t="s">
        <v>1272</v>
      </c>
      <c r="F152" s="44" t="s">
        <v>1840</v>
      </c>
      <c r="G152" s="44" t="s">
        <v>682</v>
      </c>
      <c r="H152" s="44" t="s">
        <v>812</v>
      </c>
      <c r="I152" s="44" t="s">
        <v>1841</v>
      </c>
      <c r="J152" s="44" t="s">
        <v>673</v>
      </c>
      <c r="K152" s="43"/>
      <c r="L152" s="104"/>
    </row>
    <row r="153">
      <c r="A153" s="51" t="s">
        <v>11</v>
      </c>
      <c r="B153" s="44" t="s">
        <v>1842</v>
      </c>
      <c r="C153" s="45"/>
      <c r="D153" s="102">
        <v>45645.0</v>
      </c>
      <c r="E153" s="70" t="s">
        <v>1843</v>
      </c>
      <c r="F153" s="44" t="s">
        <v>165</v>
      </c>
      <c r="G153" s="44" t="s">
        <v>682</v>
      </c>
      <c r="H153" s="44" t="s">
        <v>942</v>
      </c>
      <c r="I153" s="44" t="s">
        <v>1844</v>
      </c>
      <c r="J153" s="50"/>
      <c r="K153" s="43" t="s">
        <v>46</v>
      </c>
      <c r="L153" s="103"/>
    </row>
    <row r="154">
      <c r="A154" s="51" t="s">
        <v>11</v>
      </c>
      <c r="B154" s="44" t="s">
        <v>1845</v>
      </c>
      <c r="C154" s="45"/>
      <c r="D154" s="102">
        <v>45646.0</v>
      </c>
      <c r="E154" s="70" t="s">
        <v>234</v>
      </c>
      <c r="F154" s="44" t="s">
        <v>710</v>
      </c>
      <c r="G154" s="44" t="s">
        <v>682</v>
      </c>
      <c r="H154" s="44" t="s">
        <v>942</v>
      </c>
      <c r="I154" s="44" t="s">
        <v>1481</v>
      </c>
      <c r="J154" s="50"/>
      <c r="K154" s="43" t="s">
        <v>46</v>
      </c>
      <c r="L154" s="103"/>
    </row>
    <row r="155">
      <c r="A155" s="51" t="s">
        <v>663</v>
      </c>
      <c r="B155" s="83" t="s">
        <v>1846</v>
      </c>
      <c r="C155" s="118"/>
      <c r="D155" s="102">
        <v>45646.0</v>
      </c>
      <c r="E155" s="88" t="s">
        <v>271</v>
      </c>
      <c r="F155" s="44" t="s">
        <v>710</v>
      </c>
      <c r="G155" s="44" t="s">
        <v>682</v>
      </c>
      <c r="H155" s="44" t="s">
        <v>942</v>
      </c>
      <c r="I155" s="44" t="s">
        <v>1776</v>
      </c>
      <c r="J155" s="52"/>
      <c r="K155" s="52"/>
      <c r="L155" s="103"/>
    </row>
    <row r="156">
      <c r="A156" s="51"/>
      <c r="B156" s="43" t="s">
        <v>1847</v>
      </c>
      <c r="C156" s="45"/>
      <c r="D156" s="102">
        <v>45646.0</v>
      </c>
      <c r="E156" s="70" t="s">
        <v>1848</v>
      </c>
      <c r="F156" s="43" t="s">
        <v>1849</v>
      </c>
      <c r="G156" s="44" t="s">
        <v>682</v>
      </c>
      <c r="H156" s="44" t="s">
        <v>812</v>
      </c>
      <c r="I156" s="111" t="s">
        <v>1850</v>
      </c>
      <c r="J156" s="52"/>
      <c r="K156" s="52"/>
      <c r="L156" s="103"/>
    </row>
    <row r="157">
      <c r="A157" s="51" t="s">
        <v>11</v>
      </c>
      <c r="B157" s="44" t="s">
        <v>67</v>
      </c>
      <c r="C157" s="45"/>
      <c r="D157" s="102">
        <v>45646.0</v>
      </c>
      <c r="E157" s="43" t="s">
        <v>68</v>
      </c>
      <c r="F157" s="44" t="s">
        <v>165</v>
      </c>
      <c r="G157" s="44" t="s">
        <v>682</v>
      </c>
      <c r="H157" s="44" t="s">
        <v>812</v>
      </c>
      <c r="I157" s="111" t="s">
        <v>103</v>
      </c>
      <c r="J157" s="44" t="s">
        <v>1584</v>
      </c>
      <c r="K157" s="43" t="s">
        <v>46</v>
      </c>
      <c r="L157" s="104"/>
    </row>
    <row r="158">
      <c r="A158" s="51" t="s">
        <v>11</v>
      </c>
      <c r="B158" s="44" t="s">
        <v>1851</v>
      </c>
      <c r="C158" s="45"/>
      <c r="D158" s="102">
        <v>45646.0</v>
      </c>
      <c r="E158" s="70" t="s">
        <v>1848</v>
      </c>
      <c r="F158" s="44" t="s">
        <v>1852</v>
      </c>
      <c r="G158" s="44" t="s">
        <v>682</v>
      </c>
      <c r="H158" s="44" t="s">
        <v>942</v>
      </c>
      <c r="I158" s="111" t="s">
        <v>1853</v>
      </c>
      <c r="J158" s="50"/>
      <c r="K158" s="43" t="s">
        <v>46</v>
      </c>
      <c r="L158" s="103"/>
    </row>
    <row r="159">
      <c r="A159" s="51" t="s">
        <v>663</v>
      </c>
      <c r="B159" s="43" t="s">
        <v>1854</v>
      </c>
      <c r="C159" s="45"/>
      <c r="D159" s="102">
        <v>45646.0</v>
      </c>
      <c r="E159" s="70" t="s">
        <v>1855</v>
      </c>
      <c r="F159" s="44" t="s">
        <v>1856</v>
      </c>
      <c r="G159" s="44" t="s">
        <v>682</v>
      </c>
      <c r="H159" s="44" t="s">
        <v>942</v>
      </c>
      <c r="I159" s="111" t="s">
        <v>1857</v>
      </c>
      <c r="J159" s="52"/>
      <c r="K159" s="52"/>
      <c r="L159" s="103"/>
    </row>
    <row r="160">
      <c r="A160" s="51" t="s">
        <v>663</v>
      </c>
      <c r="B160" s="43" t="s">
        <v>1858</v>
      </c>
      <c r="C160" s="45"/>
      <c r="D160" s="102">
        <v>45648.0</v>
      </c>
      <c r="E160" s="70" t="s">
        <v>1859</v>
      </c>
      <c r="F160" s="44" t="s">
        <v>1860</v>
      </c>
      <c r="G160" s="67" t="s">
        <v>1861</v>
      </c>
      <c r="H160" s="44" t="s">
        <v>812</v>
      </c>
      <c r="I160" s="111" t="s">
        <v>1862</v>
      </c>
      <c r="J160" s="52"/>
      <c r="K160" s="52"/>
      <c r="L160" s="103"/>
    </row>
    <row r="161">
      <c r="A161" s="51" t="s">
        <v>663</v>
      </c>
      <c r="B161" s="43" t="s">
        <v>1863</v>
      </c>
      <c r="C161" s="45"/>
      <c r="D161" s="102">
        <v>45649.0</v>
      </c>
      <c r="E161" s="62" t="s">
        <v>735</v>
      </c>
      <c r="F161" s="43" t="s">
        <v>1864</v>
      </c>
      <c r="G161" s="67" t="s">
        <v>1865</v>
      </c>
      <c r="H161" s="67" t="s">
        <v>751</v>
      </c>
      <c r="I161" s="44" t="s">
        <v>626</v>
      </c>
      <c r="J161" s="52"/>
      <c r="K161" s="52"/>
      <c r="L161" s="103"/>
    </row>
    <row r="162">
      <c r="A162" s="51" t="s">
        <v>11</v>
      </c>
      <c r="B162" s="44" t="s">
        <v>1866</v>
      </c>
      <c r="C162" s="45" t="s">
        <v>1867</v>
      </c>
      <c r="D162" s="102">
        <v>45649.0</v>
      </c>
      <c r="E162" s="62" t="s">
        <v>1868</v>
      </c>
      <c r="F162" s="44" t="s">
        <v>1869</v>
      </c>
      <c r="G162" s="44" t="s">
        <v>682</v>
      </c>
      <c r="H162" s="44" t="s">
        <v>812</v>
      </c>
      <c r="I162" s="44" t="s">
        <v>18</v>
      </c>
      <c r="J162" s="52"/>
      <c r="K162" s="43" t="s">
        <v>46</v>
      </c>
      <c r="L162" s="103"/>
    </row>
    <row r="163">
      <c r="A163" s="51" t="s">
        <v>663</v>
      </c>
      <c r="B163" s="43" t="s">
        <v>1863</v>
      </c>
      <c r="C163" s="45"/>
      <c r="D163" s="102">
        <v>45649.0</v>
      </c>
      <c r="E163" s="62" t="s">
        <v>733</v>
      </c>
      <c r="F163" s="43" t="s">
        <v>1864</v>
      </c>
      <c r="G163" s="67" t="s">
        <v>1865</v>
      </c>
      <c r="H163" s="67" t="s">
        <v>1870</v>
      </c>
      <c r="I163" s="44" t="s">
        <v>626</v>
      </c>
      <c r="J163" s="52"/>
      <c r="K163" s="52"/>
      <c r="L163" s="103"/>
    </row>
    <row r="164">
      <c r="A164" s="51" t="s">
        <v>663</v>
      </c>
      <c r="B164" s="43" t="s">
        <v>1863</v>
      </c>
      <c r="C164" s="45"/>
      <c r="D164" s="102">
        <v>45649.0</v>
      </c>
      <c r="E164" s="62" t="s">
        <v>331</v>
      </c>
      <c r="F164" s="43" t="s">
        <v>165</v>
      </c>
      <c r="G164" s="67" t="s">
        <v>1865</v>
      </c>
      <c r="H164" s="48" t="s">
        <v>40</v>
      </c>
      <c r="I164" s="59" t="s">
        <v>1871</v>
      </c>
      <c r="J164" s="52"/>
      <c r="K164" s="52"/>
      <c r="L164" s="103"/>
    </row>
    <row r="165">
      <c r="A165" s="51" t="s">
        <v>663</v>
      </c>
      <c r="B165" s="43" t="s">
        <v>1863</v>
      </c>
      <c r="C165" s="45"/>
      <c r="D165" s="102">
        <v>45649.0</v>
      </c>
      <c r="E165" s="62" t="s">
        <v>727</v>
      </c>
      <c r="F165" s="43" t="s">
        <v>165</v>
      </c>
      <c r="G165" s="67" t="s">
        <v>1865</v>
      </c>
      <c r="H165" s="48" t="s">
        <v>40</v>
      </c>
      <c r="I165" s="59" t="s">
        <v>1871</v>
      </c>
      <c r="J165" s="52"/>
      <c r="K165" s="52"/>
      <c r="L165" s="103"/>
    </row>
    <row r="166">
      <c r="A166" s="51" t="s">
        <v>11</v>
      </c>
      <c r="B166" s="44" t="s">
        <v>1872</v>
      </c>
      <c r="C166" s="45"/>
      <c r="D166" s="102">
        <v>45649.0</v>
      </c>
      <c r="E166" s="70" t="s">
        <v>1272</v>
      </c>
      <c r="F166" s="43" t="s">
        <v>1300</v>
      </c>
      <c r="G166" s="67"/>
      <c r="H166" s="44" t="s">
        <v>783</v>
      </c>
      <c r="I166" s="44" t="s">
        <v>1873</v>
      </c>
      <c r="J166" s="52"/>
      <c r="K166" s="52"/>
      <c r="L166" s="103"/>
    </row>
    <row r="167">
      <c r="A167" s="51" t="s">
        <v>11</v>
      </c>
      <c r="B167" s="44" t="s">
        <v>1872</v>
      </c>
      <c r="C167" s="45"/>
      <c r="D167" s="102">
        <v>45649.0</v>
      </c>
      <c r="E167" s="70" t="s">
        <v>1148</v>
      </c>
      <c r="F167" s="44" t="s">
        <v>677</v>
      </c>
      <c r="G167" s="67" t="s">
        <v>1874</v>
      </c>
      <c r="H167" s="44" t="s">
        <v>783</v>
      </c>
      <c r="I167" s="44" t="s">
        <v>1873</v>
      </c>
      <c r="J167" s="52"/>
      <c r="K167" s="52"/>
      <c r="L167" s="103"/>
    </row>
    <row r="168">
      <c r="A168" s="51" t="s">
        <v>11</v>
      </c>
      <c r="B168" s="44" t="s">
        <v>1664</v>
      </c>
      <c r="C168" s="45" t="s">
        <v>1875</v>
      </c>
      <c r="D168" s="102">
        <v>45649.0</v>
      </c>
      <c r="E168" s="70" t="s">
        <v>1436</v>
      </c>
      <c r="F168" s="44" t="s">
        <v>1876</v>
      </c>
      <c r="G168" s="44" t="s">
        <v>682</v>
      </c>
      <c r="H168" s="44" t="s">
        <v>783</v>
      </c>
      <c r="I168" s="44" t="s">
        <v>1841</v>
      </c>
      <c r="J168" s="43" t="s">
        <v>673</v>
      </c>
      <c r="K168" s="43"/>
      <c r="L168" s="104"/>
    </row>
    <row r="169">
      <c r="A169" s="51"/>
      <c r="B169" s="44" t="s">
        <v>1877</v>
      </c>
      <c r="C169" s="45"/>
      <c r="D169" s="102">
        <v>45649.0</v>
      </c>
      <c r="E169" s="70" t="s">
        <v>1272</v>
      </c>
      <c r="F169" s="44" t="s">
        <v>1878</v>
      </c>
      <c r="G169" s="44" t="s">
        <v>682</v>
      </c>
      <c r="H169" s="44" t="s">
        <v>783</v>
      </c>
      <c r="I169" s="44" t="s">
        <v>1879</v>
      </c>
      <c r="J169" s="52"/>
      <c r="K169" s="52"/>
      <c r="L169" s="103"/>
    </row>
    <row r="170">
      <c r="A170" s="51" t="s">
        <v>11</v>
      </c>
      <c r="B170" s="44" t="s">
        <v>1880</v>
      </c>
      <c r="C170" s="45"/>
      <c r="D170" s="102">
        <v>45650.0</v>
      </c>
      <c r="E170" s="70" t="s">
        <v>1859</v>
      </c>
      <c r="F170" s="44" t="s">
        <v>165</v>
      </c>
      <c r="G170" s="44" t="s">
        <v>682</v>
      </c>
      <c r="H170" s="44" t="s">
        <v>783</v>
      </c>
      <c r="I170" s="44" t="s">
        <v>1881</v>
      </c>
      <c r="J170" s="50"/>
      <c r="K170" s="43" t="s">
        <v>46</v>
      </c>
      <c r="L170" s="103"/>
    </row>
    <row r="171">
      <c r="A171" s="51"/>
      <c r="B171" s="43" t="s">
        <v>1882</v>
      </c>
      <c r="C171" s="45"/>
      <c r="D171" s="102">
        <v>45651.0</v>
      </c>
      <c r="E171" s="70" t="s">
        <v>1272</v>
      </c>
      <c r="F171" s="44" t="s">
        <v>1883</v>
      </c>
      <c r="G171" s="67" t="s">
        <v>1884</v>
      </c>
      <c r="H171" s="44" t="s">
        <v>783</v>
      </c>
      <c r="I171" s="44" t="s">
        <v>1885</v>
      </c>
      <c r="J171" s="52"/>
      <c r="K171" s="52"/>
      <c r="L171" s="103"/>
    </row>
    <row r="172">
      <c r="A172" s="51" t="s">
        <v>592</v>
      </c>
      <c r="B172" s="43" t="s">
        <v>1777</v>
      </c>
      <c r="C172" s="45"/>
      <c r="D172" s="102">
        <v>45652.0</v>
      </c>
      <c r="E172" s="70" t="s">
        <v>1328</v>
      </c>
      <c r="F172" s="44" t="s">
        <v>1886</v>
      </c>
      <c r="G172" s="44" t="s">
        <v>682</v>
      </c>
      <c r="H172" s="44" t="s">
        <v>25</v>
      </c>
      <c r="I172" s="44" t="s">
        <v>1887</v>
      </c>
      <c r="J172" s="52"/>
      <c r="K172" s="52"/>
      <c r="L172" s="103"/>
    </row>
    <row r="173">
      <c r="A173" s="51"/>
      <c r="B173" s="43" t="s">
        <v>1888</v>
      </c>
      <c r="C173" s="45"/>
      <c r="D173" s="63">
        <v>45652.0</v>
      </c>
      <c r="E173" s="70" t="s">
        <v>292</v>
      </c>
      <c r="F173" s="44" t="s">
        <v>1889</v>
      </c>
      <c r="G173" s="67" t="s">
        <v>1865</v>
      </c>
      <c r="H173" s="44" t="s">
        <v>783</v>
      </c>
      <c r="I173" s="58" t="s">
        <v>1890</v>
      </c>
      <c r="J173" s="52"/>
      <c r="K173" s="52"/>
      <c r="L173" s="103"/>
    </row>
    <row r="174">
      <c r="A174" s="51" t="s">
        <v>11</v>
      </c>
      <c r="B174" s="44" t="s">
        <v>1891</v>
      </c>
      <c r="C174" s="45" t="s">
        <v>1892</v>
      </c>
      <c r="D174" s="63">
        <v>45652.0</v>
      </c>
      <c r="E174" s="70" t="s">
        <v>1436</v>
      </c>
      <c r="F174" s="44" t="s">
        <v>1893</v>
      </c>
      <c r="G174" s="44" t="s">
        <v>682</v>
      </c>
      <c r="H174" s="44" t="s">
        <v>783</v>
      </c>
      <c r="I174" s="44" t="s">
        <v>1894</v>
      </c>
      <c r="J174" s="43" t="s">
        <v>673</v>
      </c>
      <c r="K174" s="43"/>
      <c r="L174" s="104"/>
    </row>
    <row r="175">
      <c r="A175" s="51" t="s">
        <v>11</v>
      </c>
      <c r="B175" s="44" t="s">
        <v>1484</v>
      </c>
      <c r="C175" s="45"/>
      <c r="D175" s="63">
        <v>45652.0</v>
      </c>
      <c r="E175" s="70" t="s">
        <v>73</v>
      </c>
      <c r="F175" s="44" t="s">
        <v>677</v>
      </c>
      <c r="G175" s="67" t="s">
        <v>1895</v>
      </c>
      <c r="H175" s="67" t="s">
        <v>1896</v>
      </c>
      <c r="I175" s="77"/>
      <c r="J175" s="50"/>
      <c r="K175" s="43" t="s">
        <v>46</v>
      </c>
      <c r="L175" s="103"/>
    </row>
    <row r="176">
      <c r="A176" s="51" t="s">
        <v>11</v>
      </c>
      <c r="B176" s="44" t="s">
        <v>1897</v>
      </c>
      <c r="C176" s="45"/>
      <c r="D176" s="102">
        <v>45653.0</v>
      </c>
      <c r="E176" s="70" t="s">
        <v>238</v>
      </c>
      <c r="F176" s="44" t="s">
        <v>1898</v>
      </c>
      <c r="G176" s="67" t="s">
        <v>1899</v>
      </c>
      <c r="H176" s="44" t="s">
        <v>783</v>
      </c>
      <c r="I176" s="44" t="s">
        <v>1900</v>
      </c>
      <c r="J176" s="50"/>
      <c r="K176" s="43" t="s">
        <v>46</v>
      </c>
      <c r="L176" s="103"/>
    </row>
    <row r="177">
      <c r="A177" s="51"/>
      <c r="B177" s="43" t="s">
        <v>1901</v>
      </c>
      <c r="C177" s="45"/>
      <c r="D177" s="102">
        <v>45653.0</v>
      </c>
      <c r="E177" s="70" t="s">
        <v>1436</v>
      </c>
      <c r="F177" s="43" t="s">
        <v>1902</v>
      </c>
      <c r="G177" s="44" t="s">
        <v>682</v>
      </c>
      <c r="H177" s="44" t="s">
        <v>783</v>
      </c>
      <c r="I177" s="44" t="s">
        <v>103</v>
      </c>
      <c r="J177" s="52"/>
      <c r="K177" s="52"/>
      <c r="L177" s="103"/>
    </row>
    <row r="178">
      <c r="A178" s="51"/>
      <c r="B178" s="43" t="s">
        <v>1903</v>
      </c>
      <c r="C178" s="45"/>
      <c r="D178" s="102">
        <v>45653.0</v>
      </c>
      <c r="E178" s="70" t="s">
        <v>1272</v>
      </c>
      <c r="F178" s="44" t="s">
        <v>710</v>
      </c>
      <c r="G178" s="44" t="s">
        <v>682</v>
      </c>
      <c r="H178" s="44" t="s">
        <v>783</v>
      </c>
      <c r="I178" s="44" t="s">
        <v>103</v>
      </c>
      <c r="J178" s="52"/>
      <c r="K178" s="52"/>
      <c r="L178" s="103"/>
    </row>
    <row r="179">
      <c r="A179" s="51" t="s">
        <v>11</v>
      </c>
      <c r="B179" s="43" t="s">
        <v>1904</v>
      </c>
      <c r="C179" s="45"/>
      <c r="D179" s="63">
        <v>45654.0</v>
      </c>
      <c r="E179" s="70" t="s">
        <v>1905</v>
      </c>
      <c r="F179" s="44" t="s">
        <v>1883</v>
      </c>
      <c r="G179" s="44" t="s">
        <v>682</v>
      </c>
      <c r="H179" s="44" t="s">
        <v>783</v>
      </c>
      <c r="I179" s="44" t="s">
        <v>103</v>
      </c>
      <c r="J179" s="52"/>
      <c r="K179" s="52"/>
      <c r="L179" s="103"/>
    </row>
    <row r="180">
      <c r="A180" s="51" t="s">
        <v>663</v>
      </c>
      <c r="B180" s="44" t="s">
        <v>1906</v>
      </c>
      <c r="C180" s="45"/>
      <c r="D180" s="102">
        <v>45654.0</v>
      </c>
      <c r="E180" s="70" t="s">
        <v>292</v>
      </c>
      <c r="F180" s="44" t="s">
        <v>1883</v>
      </c>
      <c r="G180" s="44" t="s">
        <v>682</v>
      </c>
      <c r="H180" s="44" t="s">
        <v>783</v>
      </c>
      <c r="I180" s="44" t="s">
        <v>103</v>
      </c>
      <c r="J180" s="50"/>
      <c r="K180" s="52"/>
      <c r="L180" s="103"/>
    </row>
    <row r="181">
      <c r="B181" s="43" t="s">
        <v>1907</v>
      </c>
      <c r="C181" s="45"/>
      <c r="D181" s="63">
        <v>45654.0</v>
      </c>
      <c r="E181" s="70" t="s">
        <v>73</v>
      </c>
      <c r="F181" s="44" t="s">
        <v>677</v>
      </c>
      <c r="G181" s="44" t="s">
        <v>682</v>
      </c>
      <c r="H181" s="44" t="s">
        <v>783</v>
      </c>
      <c r="I181" s="44" t="s">
        <v>103</v>
      </c>
      <c r="J181" s="52"/>
      <c r="K181" s="52"/>
      <c r="L181" s="103"/>
    </row>
    <row r="182">
      <c r="A182" s="51" t="s">
        <v>663</v>
      </c>
      <c r="B182" s="43" t="s">
        <v>1908</v>
      </c>
      <c r="C182" s="45"/>
      <c r="D182" s="102">
        <v>45655.0</v>
      </c>
      <c r="E182" s="70" t="s">
        <v>811</v>
      </c>
      <c r="F182" s="44" t="s">
        <v>677</v>
      </c>
      <c r="G182" s="44" t="s">
        <v>682</v>
      </c>
      <c r="H182" s="44" t="s">
        <v>783</v>
      </c>
      <c r="I182" s="53" t="s">
        <v>1909</v>
      </c>
      <c r="J182" s="52"/>
      <c r="K182" s="52"/>
      <c r="L182" s="103"/>
    </row>
    <row r="183">
      <c r="A183" s="51" t="s">
        <v>11</v>
      </c>
      <c r="B183" s="44" t="s">
        <v>1910</v>
      </c>
      <c r="C183" s="45"/>
      <c r="D183" s="102">
        <v>45655.0</v>
      </c>
      <c r="E183" s="70" t="s">
        <v>676</v>
      </c>
      <c r="F183" s="44" t="s">
        <v>677</v>
      </c>
      <c r="G183" s="44" t="s">
        <v>682</v>
      </c>
      <c r="H183" s="44" t="s">
        <v>783</v>
      </c>
      <c r="I183" s="44" t="s">
        <v>1481</v>
      </c>
      <c r="J183" s="52"/>
      <c r="K183" s="43" t="s">
        <v>46</v>
      </c>
      <c r="L183" s="103"/>
    </row>
    <row r="184">
      <c r="A184" s="51" t="s">
        <v>663</v>
      </c>
      <c r="B184" s="43" t="s">
        <v>1159</v>
      </c>
      <c r="C184" s="45"/>
      <c r="D184" s="102">
        <v>45656.0</v>
      </c>
      <c r="E184" s="70" t="s">
        <v>1911</v>
      </c>
      <c r="F184" s="44" t="s">
        <v>1893</v>
      </c>
      <c r="G184" s="67" t="s">
        <v>1865</v>
      </c>
      <c r="H184" s="67" t="s">
        <v>1912</v>
      </c>
      <c r="I184" s="77"/>
      <c r="J184" s="52"/>
      <c r="K184" s="52"/>
      <c r="L184" s="103"/>
    </row>
    <row r="185">
      <c r="A185" s="51" t="s">
        <v>663</v>
      </c>
      <c r="B185" s="43" t="s">
        <v>1913</v>
      </c>
      <c r="C185" s="45"/>
      <c r="D185" s="129">
        <v>45657.0</v>
      </c>
      <c r="E185" s="70" t="s">
        <v>357</v>
      </c>
      <c r="F185" s="44" t="s">
        <v>677</v>
      </c>
      <c r="G185" s="67" t="s">
        <v>1914</v>
      </c>
      <c r="H185" s="44" t="s">
        <v>783</v>
      </c>
      <c r="I185" s="44" t="s">
        <v>1915</v>
      </c>
      <c r="J185" s="52"/>
      <c r="K185" s="52"/>
      <c r="L185" s="103"/>
    </row>
    <row r="186">
      <c r="A186" s="51" t="s">
        <v>11</v>
      </c>
      <c r="B186" s="44" t="s">
        <v>1916</v>
      </c>
      <c r="C186" s="45"/>
      <c r="D186" s="68" t="s">
        <v>1917</v>
      </c>
      <c r="E186" s="43" t="s">
        <v>451</v>
      </c>
      <c r="F186" s="44" t="s">
        <v>1514</v>
      </c>
      <c r="G186" s="44" t="s">
        <v>682</v>
      </c>
      <c r="H186" s="67" t="s">
        <v>1822</v>
      </c>
      <c r="I186" s="44" t="s">
        <v>567</v>
      </c>
      <c r="J186" s="44" t="s">
        <v>673</v>
      </c>
      <c r="K186" s="43" t="s">
        <v>46</v>
      </c>
      <c r="L186" s="104"/>
    </row>
    <row r="187">
      <c r="A187" s="51" t="s">
        <v>1918</v>
      </c>
      <c r="B187" s="43" t="s">
        <v>1919</v>
      </c>
      <c r="C187" s="45" t="s">
        <v>1920</v>
      </c>
      <c r="D187" s="68" t="s">
        <v>1917</v>
      </c>
      <c r="E187" s="70" t="s">
        <v>1921</v>
      </c>
      <c r="F187" s="44" t="s">
        <v>1922</v>
      </c>
      <c r="G187" s="44" t="s">
        <v>898</v>
      </c>
      <c r="H187" s="44" t="s">
        <v>1923</v>
      </c>
      <c r="I187" s="91" t="s">
        <v>1924</v>
      </c>
      <c r="J187" s="52"/>
      <c r="K187" s="52"/>
      <c r="L187" s="103"/>
    </row>
    <row r="188">
      <c r="A188" s="51" t="s">
        <v>580</v>
      </c>
      <c r="B188" s="43" t="s">
        <v>1925</v>
      </c>
      <c r="C188" s="45"/>
      <c r="D188" s="68" t="s">
        <v>1917</v>
      </c>
      <c r="E188" s="70" t="s">
        <v>1926</v>
      </c>
      <c r="F188" s="130" t="s">
        <v>1300</v>
      </c>
      <c r="G188" s="67" t="s">
        <v>988</v>
      </c>
      <c r="H188" s="67" t="s">
        <v>988</v>
      </c>
      <c r="I188" s="50"/>
      <c r="J188" s="52"/>
      <c r="K188" s="52"/>
      <c r="L188" s="103"/>
    </row>
    <row r="189">
      <c r="A189" s="51" t="s">
        <v>580</v>
      </c>
      <c r="B189" s="43" t="s">
        <v>1927</v>
      </c>
      <c r="C189" s="45"/>
      <c r="D189" s="68" t="s">
        <v>1917</v>
      </c>
      <c r="E189" s="62" t="s">
        <v>1928</v>
      </c>
      <c r="F189" s="44" t="s">
        <v>1929</v>
      </c>
      <c r="G189" s="67" t="s">
        <v>1930</v>
      </c>
      <c r="H189" s="44" t="s">
        <v>827</v>
      </c>
      <c r="I189" s="58" t="s">
        <v>1931</v>
      </c>
      <c r="J189" s="52"/>
      <c r="K189" s="52"/>
      <c r="L189" s="103"/>
    </row>
    <row r="190">
      <c r="A190" s="51" t="s">
        <v>580</v>
      </c>
      <c r="B190" s="43" t="s">
        <v>1927</v>
      </c>
      <c r="C190" s="45"/>
      <c r="D190" s="68" t="s">
        <v>1917</v>
      </c>
      <c r="E190" s="115" t="s">
        <v>869</v>
      </c>
      <c r="F190" s="44" t="s">
        <v>1932</v>
      </c>
      <c r="G190" s="67" t="s">
        <v>1930</v>
      </c>
      <c r="H190" s="44" t="s">
        <v>827</v>
      </c>
      <c r="I190" s="91" t="s">
        <v>1933</v>
      </c>
      <c r="J190" s="52"/>
      <c r="K190" s="52"/>
      <c r="L190" s="103"/>
    </row>
    <row r="191">
      <c r="A191" s="51" t="s">
        <v>11</v>
      </c>
      <c r="B191" s="44" t="s">
        <v>1927</v>
      </c>
      <c r="C191" s="45"/>
      <c r="D191" s="68" t="s">
        <v>1917</v>
      </c>
      <c r="E191" s="62" t="s">
        <v>1934</v>
      </c>
      <c r="F191" s="44" t="s">
        <v>1935</v>
      </c>
      <c r="G191" s="67" t="s">
        <v>1930</v>
      </c>
      <c r="H191" s="44" t="s">
        <v>827</v>
      </c>
      <c r="I191" s="58" t="s">
        <v>1936</v>
      </c>
      <c r="J191" s="50"/>
      <c r="K191" s="43" t="s">
        <v>46</v>
      </c>
      <c r="L191" s="103"/>
    </row>
    <row r="192">
      <c r="A192" s="51" t="s">
        <v>580</v>
      </c>
      <c r="B192" s="43" t="s">
        <v>1937</v>
      </c>
      <c r="C192" s="45"/>
      <c r="D192" s="68" t="s">
        <v>1917</v>
      </c>
      <c r="E192" s="70" t="s">
        <v>1094</v>
      </c>
      <c r="F192" s="44" t="s">
        <v>1938</v>
      </c>
      <c r="G192" s="44" t="s">
        <v>682</v>
      </c>
      <c r="H192" s="44" t="s">
        <v>783</v>
      </c>
      <c r="I192" s="58" t="s">
        <v>1939</v>
      </c>
      <c r="J192" s="52"/>
      <c r="K192" s="52"/>
      <c r="L192" s="103"/>
    </row>
    <row r="193">
      <c r="A193" s="51" t="s">
        <v>580</v>
      </c>
      <c r="B193" s="43" t="s">
        <v>1940</v>
      </c>
      <c r="C193" s="45"/>
      <c r="D193" s="68" t="s">
        <v>1917</v>
      </c>
      <c r="E193" s="70" t="s">
        <v>1941</v>
      </c>
      <c r="F193" s="130" t="s">
        <v>1942</v>
      </c>
      <c r="G193" s="44" t="s">
        <v>682</v>
      </c>
      <c r="H193" s="44" t="s">
        <v>783</v>
      </c>
      <c r="I193" s="91" t="s">
        <v>1933</v>
      </c>
      <c r="J193" s="52"/>
      <c r="K193" s="52"/>
      <c r="L193" s="103"/>
    </row>
    <row r="194">
      <c r="A194" s="51" t="s">
        <v>580</v>
      </c>
      <c r="B194" s="43" t="s">
        <v>1940</v>
      </c>
      <c r="C194" s="45"/>
      <c r="D194" s="68" t="s">
        <v>1917</v>
      </c>
      <c r="E194" s="70" t="s">
        <v>1943</v>
      </c>
      <c r="F194" s="130" t="s">
        <v>1942</v>
      </c>
      <c r="G194" s="44" t="s">
        <v>682</v>
      </c>
      <c r="H194" s="44" t="s">
        <v>783</v>
      </c>
      <c r="I194" s="91" t="s">
        <v>1933</v>
      </c>
      <c r="J194" s="52"/>
      <c r="K194" s="52"/>
      <c r="L194" s="103"/>
    </row>
    <row r="195">
      <c r="A195" s="51" t="s">
        <v>580</v>
      </c>
      <c r="B195" s="43" t="s">
        <v>1944</v>
      </c>
      <c r="C195" s="45"/>
      <c r="D195" s="68" t="s">
        <v>1917</v>
      </c>
      <c r="E195" s="70" t="s">
        <v>292</v>
      </c>
      <c r="F195" s="44" t="s">
        <v>1945</v>
      </c>
      <c r="G195" s="44" t="s">
        <v>682</v>
      </c>
      <c r="H195" s="67" t="s">
        <v>1946</v>
      </c>
      <c r="I195" s="58" t="s">
        <v>915</v>
      </c>
      <c r="J195" s="52"/>
      <c r="K195" s="52"/>
      <c r="L195" s="103"/>
    </row>
    <row r="196" ht="16.5" customHeight="1">
      <c r="A196" s="51" t="s">
        <v>11</v>
      </c>
      <c r="B196" s="44" t="s">
        <v>1947</v>
      </c>
      <c r="C196" s="45"/>
      <c r="D196" s="68" t="s">
        <v>1917</v>
      </c>
      <c r="E196" s="70" t="s">
        <v>1653</v>
      </c>
      <c r="F196" s="44" t="s">
        <v>1948</v>
      </c>
      <c r="G196" s="44" t="s">
        <v>682</v>
      </c>
      <c r="H196" s="44" t="s">
        <v>783</v>
      </c>
      <c r="I196" s="44" t="s">
        <v>103</v>
      </c>
      <c r="J196" s="44" t="s">
        <v>673</v>
      </c>
      <c r="K196" s="43"/>
      <c r="L196" s="104"/>
    </row>
    <row r="197">
      <c r="A197" s="51" t="s">
        <v>11</v>
      </c>
      <c r="B197" s="44" t="s">
        <v>1949</v>
      </c>
      <c r="C197" s="45"/>
      <c r="D197" s="68" t="s">
        <v>1917</v>
      </c>
      <c r="E197" s="70" t="s">
        <v>1094</v>
      </c>
      <c r="F197" s="44" t="s">
        <v>1950</v>
      </c>
      <c r="G197" s="44" t="s">
        <v>682</v>
      </c>
      <c r="H197" s="44" t="s">
        <v>783</v>
      </c>
      <c r="I197" s="44" t="s">
        <v>103</v>
      </c>
      <c r="J197" s="50"/>
      <c r="K197" s="52"/>
      <c r="L197" s="103"/>
    </row>
    <row r="198">
      <c r="A198" s="51" t="s">
        <v>11</v>
      </c>
      <c r="B198" s="95" t="s">
        <v>1951</v>
      </c>
      <c r="C198" s="96"/>
      <c r="D198" s="75" t="s">
        <v>425</v>
      </c>
      <c r="E198" s="98" t="s">
        <v>1952</v>
      </c>
      <c r="F198" s="95" t="s">
        <v>1953</v>
      </c>
      <c r="G198" s="95" t="s">
        <v>1407</v>
      </c>
      <c r="H198" s="95" t="s">
        <v>783</v>
      </c>
      <c r="I198" s="99" t="s">
        <v>103</v>
      </c>
      <c r="J198" s="66"/>
      <c r="K198" s="51" t="s">
        <v>46</v>
      </c>
      <c r="L198" s="100"/>
    </row>
    <row r="199">
      <c r="A199" s="51" t="s">
        <v>11</v>
      </c>
      <c r="B199" s="95" t="s">
        <v>1954</v>
      </c>
      <c r="C199" s="96"/>
      <c r="D199" s="75" t="s">
        <v>425</v>
      </c>
      <c r="E199" s="98" t="s">
        <v>1955</v>
      </c>
      <c r="F199" s="95" t="s">
        <v>1956</v>
      </c>
      <c r="G199" s="72"/>
      <c r="H199" s="114" t="s">
        <v>1402</v>
      </c>
      <c r="I199" s="95"/>
      <c r="J199" s="66"/>
      <c r="K199" s="51" t="s">
        <v>46</v>
      </c>
      <c r="L199" s="100"/>
    </row>
    <row r="200">
      <c r="A200" s="51" t="s">
        <v>11</v>
      </c>
      <c r="B200" s="44" t="s">
        <v>1957</v>
      </c>
      <c r="C200" s="45"/>
      <c r="D200" s="45" t="s">
        <v>208</v>
      </c>
      <c r="E200" s="62" t="s">
        <v>1958</v>
      </c>
      <c r="F200" s="44" t="s">
        <v>1959</v>
      </c>
      <c r="G200" s="44" t="s">
        <v>1407</v>
      </c>
      <c r="H200" s="44" t="s">
        <v>783</v>
      </c>
      <c r="I200" s="111" t="s">
        <v>1447</v>
      </c>
      <c r="J200" s="44" t="s">
        <v>373</v>
      </c>
      <c r="K200" s="43"/>
      <c r="L200" s="104" t="s">
        <v>1960</v>
      </c>
    </row>
    <row r="201">
      <c r="A201" s="51" t="s">
        <v>1961</v>
      </c>
      <c r="B201" s="43" t="s">
        <v>1962</v>
      </c>
      <c r="C201" s="45"/>
      <c r="D201" s="68" t="s">
        <v>1963</v>
      </c>
      <c r="E201" s="70" t="s">
        <v>575</v>
      </c>
      <c r="F201" s="44" t="s">
        <v>710</v>
      </c>
      <c r="G201" s="44" t="s">
        <v>682</v>
      </c>
      <c r="H201" s="99" t="s">
        <v>827</v>
      </c>
      <c r="I201" s="44" t="s">
        <v>1964</v>
      </c>
      <c r="J201" s="52"/>
      <c r="K201" s="52"/>
      <c r="L201" s="103"/>
    </row>
    <row r="202">
      <c r="A202" s="51" t="s">
        <v>663</v>
      </c>
      <c r="B202" s="43" t="s">
        <v>1965</v>
      </c>
      <c r="C202" s="45"/>
      <c r="D202" s="54"/>
      <c r="E202" s="43" t="s">
        <v>1634</v>
      </c>
      <c r="F202" s="44" t="s">
        <v>1966</v>
      </c>
      <c r="G202" s="67" t="s">
        <v>1967</v>
      </c>
      <c r="H202" s="44" t="s">
        <v>783</v>
      </c>
      <c r="I202" s="58" t="s">
        <v>915</v>
      </c>
      <c r="J202" s="52"/>
      <c r="K202" s="52"/>
      <c r="L202" s="103"/>
    </row>
    <row r="203">
      <c r="A203" s="51" t="s">
        <v>1657</v>
      </c>
      <c r="B203" s="43" t="s">
        <v>1968</v>
      </c>
      <c r="C203" s="45"/>
      <c r="D203" s="54"/>
      <c r="E203" s="70" t="s">
        <v>479</v>
      </c>
      <c r="F203" s="44" t="s">
        <v>1969</v>
      </c>
      <c r="G203" s="44" t="s">
        <v>682</v>
      </c>
      <c r="H203" s="67" t="s">
        <v>1970</v>
      </c>
      <c r="I203" s="77"/>
      <c r="J203" s="52"/>
      <c r="K203" s="52"/>
      <c r="L203" s="103"/>
    </row>
    <row r="204">
      <c r="A204" s="51" t="s">
        <v>622</v>
      </c>
      <c r="B204" s="104" t="s">
        <v>1971</v>
      </c>
      <c r="C204" s="131" t="s">
        <v>1972</v>
      </c>
      <c r="D204" s="105">
        <v>45484.0</v>
      </c>
      <c r="E204" s="62" t="s">
        <v>1625</v>
      </c>
      <c r="F204" s="52"/>
      <c r="G204" s="91" t="s">
        <v>1973</v>
      </c>
      <c r="H204" s="44" t="s">
        <v>783</v>
      </c>
      <c r="I204" s="58" t="s">
        <v>1974</v>
      </c>
      <c r="J204" s="52"/>
      <c r="K204" s="52"/>
      <c r="L204" s="103"/>
    </row>
    <row r="205" ht="16.5" customHeight="1">
      <c r="A205" s="51"/>
      <c r="B205" s="132"/>
      <c r="C205" s="133"/>
      <c r="D205" s="68"/>
      <c r="E205" s="70" t="s">
        <v>451</v>
      </c>
      <c r="F205" s="52"/>
      <c r="G205" s="50"/>
      <c r="H205" s="50"/>
      <c r="I205" s="50"/>
      <c r="J205" s="52"/>
      <c r="K205" s="52"/>
      <c r="L205" s="52"/>
    </row>
  </sheetData>
  <dataValidations>
    <dataValidation type="list" allowBlank="1" showErrorMessage="1" sqref="A2:A180 A182:A205">
      <formula1>"Urgente,Mediana,Normal,Análise Concluída,Falta Tutoria,Falta Documentação,Falta Financeiro,Falta Plataforma,Aluno certificado,Aluno no Setor de Cobrança,Processo de certificação,Atualizada em Abril"</formula1>
    </dataValidation>
  </dataValidations>
  <printOptions gridLines="1" horizontalCentered="1"/>
  <pageMargins bottom="0.75" footer="0.0" header="0.0" left="0.7" right="0.7" top="0.75"/>
  <pageSetup fitToHeight="0" cellComments="atEnd" orientation="landscape" pageOrder="overThenDown"/>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40.13"/>
    <col customWidth="1" min="2" max="2" width="37.0"/>
    <col customWidth="1" min="3" max="3" width="23.5"/>
    <col customWidth="1" min="4" max="4" width="16.0"/>
    <col customWidth="1" min="5" max="5" width="74.5"/>
    <col customWidth="1" min="6" max="6" width="117.63"/>
    <col customWidth="1" min="7" max="7" width="55.38"/>
    <col customWidth="1" min="8" max="8" width="38.0"/>
    <col customWidth="1" min="9" max="9" width="57.13"/>
    <col customWidth="1" min="10" max="10" width="36.88"/>
    <col customWidth="1" min="11" max="11" width="31.38"/>
    <col customWidth="1" min="12" max="12" width="25.0"/>
  </cols>
  <sheetData>
    <row r="1" ht="42.75" customHeight="1">
      <c r="A1" s="1" t="s">
        <v>0</v>
      </c>
      <c r="B1" s="134" t="s">
        <v>2</v>
      </c>
      <c r="C1" s="134" t="s">
        <v>1</v>
      </c>
      <c r="D1" s="134" t="s">
        <v>3</v>
      </c>
      <c r="E1" s="135" t="s">
        <v>4</v>
      </c>
      <c r="F1" s="134" t="s">
        <v>568</v>
      </c>
      <c r="G1" s="134" t="s">
        <v>569</v>
      </c>
      <c r="H1" s="134" t="s">
        <v>7</v>
      </c>
      <c r="I1" s="134" t="s">
        <v>570</v>
      </c>
      <c r="J1" s="134" t="s">
        <v>571</v>
      </c>
      <c r="K1" s="134" t="s">
        <v>572</v>
      </c>
      <c r="L1" s="136"/>
    </row>
    <row r="2">
      <c r="A2" s="137" t="s">
        <v>422</v>
      </c>
      <c r="B2" s="138" t="s">
        <v>1975</v>
      </c>
      <c r="C2" s="139" t="s">
        <v>493</v>
      </c>
      <c r="D2" s="140">
        <v>45707.0</v>
      </c>
      <c r="E2" s="138" t="s">
        <v>73</v>
      </c>
      <c r="F2" s="137" t="s">
        <v>1976</v>
      </c>
      <c r="G2" s="141" t="s">
        <v>160</v>
      </c>
      <c r="H2" s="142" t="s">
        <v>1977</v>
      </c>
      <c r="I2" s="143" t="s">
        <v>1978</v>
      </c>
      <c r="J2" s="144"/>
      <c r="K2" s="145"/>
      <c r="L2" s="145"/>
    </row>
    <row r="3">
      <c r="A3" s="137" t="s">
        <v>749</v>
      </c>
      <c r="B3" s="138" t="s">
        <v>1975</v>
      </c>
      <c r="C3" s="139" t="s">
        <v>493</v>
      </c>
      <c r="D3" s="140">
        <v>45707.0</v>
      </c>
      <c r="E3" s="146" t="s">
        <v>821</v>
      </c>
      <c r="F3" s="137" t="s">
        <v>1979</v>
      </c>
      <c r="G3" s="141" t="s">
        <v>160</v>
      </c>
      <c r="H3" s="147" t="s">
        <v>1980</v>
      </c>
      <c r="I3" s="148" t="s">
        <v>643</v>
      </c>
      <c r="J3" s="144"/>
      <c r="K3" s="145"/>
      <c r="L3" s="145"/>
    </row>
    <row r="4">
      <c r="A4" s="137"/>
      <c r="B4" s="149" t="s">
        <v>1981</v>
      </c>
      <c r="C4" s="150" t="s">
        <v>1982</v>
      </c>
      <c r="D4" s="140">
        <v>45700.0</v>
      </c>
      <c r="E4" s="138" t="s">
        <v>1983</v>
      </c>
      <c r="F4" s="151" t="s">
        <v>1984</v>
      </c>
      <c r="G4" s="152" t="s">
        <v>1212</v>
      </c>
      <c r="H4" s="138" t="s">
        <v>1985</v>
      </c>
      <c r="I4" s="151" t="s">
        <v>626</v>
      </c>
      <c r="J4" s="144"/>
      <c r="K4" s="145"/>
      <c r="L4" s="145"/>
    </row>
    <row r="5">
      <c r="A5" s="137"/>
      <c r="B5" s="138" t="s">
        <v>1986</v>
      </c>
      <c r="C5" s="150" t="s">
        <v>1987</v>
      </c>
      <c r="D5" s="140">
        <v>45660.0</v>
      </c>
      <c r="E5" s="138" t="s">
        <v>1988</v>
      </c>
      <c r="F5" s="153"/>
      <c r="G5" s="152" t="s">
        <v>1212</v>
      </c>
      <c r="H5" s="153"/>
      <c r="I5" s="151" t="s">
        <v>18</v>
      </c>
      <c r="J5" s="144"/>
      <c r="K5" s="145"/>
      <c r="L5" s="145"/>
    </row>
    <row r="6">
      <c r="A6" s="146" t="s">
        <v>580</v>
      </c>
      <c r="B6" s="146" t="s">
        <v>1989</v>
      </c>
      <c r="C6" s="139" t="s">
        <v>1990</v>
      </c>
      <c r="D6" s="154">
        <v>45680.0</v>
      </c>
      <c r="E6" s="155" t="s">
        <v>1991</v>
      </c>
      <c r="F6" s="148" t="s">
        <v>1992</v>
      </c>
      <c r="G6" s="152" t="s">
        <v>1212</v>
      </c>
      <c r="H6" s="151" t="s">
        <v>25</v>
      </c>
      <c r="I6" s="143" t="s">
        <v>1978</v>
      </c>
      <c r="J6" s="144"/>
      <c r="K6" s="146" t="s">
        <v>1993</v>
      </c>
      <c r="L6" s="146"/>
    </row>
    <row r="7">
      <c r="A7" s="146" t="s">
        <v>1657</v>
      </c>
      <c r="B7" s="156" t="s">
        <v>1994</v>
      </c>
      <c r="C7" s="139" t="s">
        <v>1995</v>
      </c>
      <c r="D7" s="154">
        <v>45684.0</v>
      </c>
      <c r="E7" s="155" t="s">
        <v>1184</v>
      </c>
      <c r="F7" s="148" t="s">
        <v>1996</v>
      </c>
      <c r="G7" s="157" t="s">
        <v>611</v>
      </c>
      <c r="H7" s="151" t="s">
        <v>25</v>
      </c>
      <c r="I7" s="148" t="s">
        <v>881</v>
      </c>
      <c r="J7" s="144"/>
      <c r="K7" s="158"/>
      <c r="L7" s="158"/>
    </row>
    <row r="8">
      <c r="A8" s="137" t="s">
        <v>580</v>
      </c>
      <c r="B8" s="138" t="s">
        <v>1293</v>
      </c>
      <c r="C8" s="150" t="s">
        <v>1294</v>
      </c>
      <c r="D8" s="154">
        <v>45686.0</v>
      </c>
      <c r="E8" s="138" t="s">
        <v>1295</v>
      </c>
      <c r="F8" s="151" t="s">
        <v>1997</v>
      </c>
      <c r="G8" s="141" t="s">
        <v>898</v>
      </c>
      <c r="H8" s="138" t="s">
        <v>1998</v>
      </c>
      <c r="I8" s="142" t="s">
        <v>1999</v>
      </c>
      <c r="J8" s="144"/>
      <c r="K8" s="145"/>
      <c r="L8" s="145"/>
    </row>
    <row r="9">
      <c r="A9" s="137" t="s">
        <v>595</v>
      </c>
      <c r="B9" s="159" t="s">
        <v>1335</v>
      </c>
      <c r="C9" s="139" t="s">
        <v>1336</v>
      </c>
      <c r="D9" s="154">
        <v>45687.0</v>
      </c>
      <c r="E9" s="160" t="s">
        <v>1337</v>
      </c>
      <c r="F9" s="161"/>
      <c r="G9" s="144"/>
      <c r="H9" s="145"/>
      <c r="I9" s="143" t="s">
        <v>1978</v>
      </c>
      <c r="J9" s="144"/>
      <c r="K9" s="161"/>
      <c r="L9" s="161"/>
    </row>
    <row r="10">
      <c r="A10" s="137"/>
      <c r="B10" s="146" t="s">
        <v>2000</v>
      </c>
      <c r="C10" s="150" t="s">
        <v>2001</v>
      </c>
      <c r="D10" s="140">
        <v>45690.0</v>
      </c>
      <c r="E10" s="137" t="s">
        <v>676</v>
      </c>
      <c r="F10" s="161"/>
      <c r="G10" s="152" t="s">
        <v>1212</v>
      </c>
      <c r="H10" s="145"/>
      <c r="I10" s="142" t="s">
        <v>1092</v>
      </c>
      <c r="J10" s="144"/>
      <c r="K10" s="138" t="s">
        <v>2002</v>
      </c>
      <c r="L10" s="145"/>
    </row>
    <row r="11">
      <c r="A11" s="137" t="s">
        <v>595</v>
      </c>
      <c r="B11" s="159" t="s">
        <v>1586</v>
      </c>
      <c r="C11" s="139" t="s">
        <v>2003</v>
      </c>
      <c r="D11" s="140">
        <v>45691.0</v>
      </c>
      <c r="E11" s="138" t="s">
        <v>2004</v>
      </c>
      <c r="F11" s="161"/>
      <c r="G11" s="144"/>
      <c r="H11" s="145"/>
      <c r="I11" s="142" t="s">
        <v>2005</v>
      </c>
      <c r="J11" s="144"/>
      <c r="K11" s="145"/>
      <c r="L11" s="145"/>
    </row>
    <row r="12">
      <c r="A12" s="137" t="s">
        <v>580</v>
      </c>
      <c r="B12" s="159" t="s">
        <v>1364</v>
      </c>
      <c r="C12" s="139" t="s">
        <v>2006</v>
      </c>
      <c r="D12" s="154">
        <v>45691.0</v>
      </c>
      <c r="E12" s="138" t="s">
        <v>1365</v>
      </c>
      <c r="F12" s="161"/>
      <c r="G12" s="144"/>
      <c r="H12" s="145"/>
      <c r="I12" s="142" t="s">
        <v>1999</v>
      </c>
      <c r="J12" s="144"/>
      <c r="K12" s="145"/>
      <c r="L12" s="145"/>
    </row>
    <row r="13">
      <c r="A13" s="137" t="s">
        <v>171</v>
      </c>
      <c r="B13" s="146" t="s">
        <v>2007</v>
      </c>
      <c r="C13" s="139" t="s">
        <v>2008</v>
      </c>
      <c r="D13" s="154">
        <v>45691.0</v>
      </c>
      <c r="E13" s="138" t="s">
        <v>862</v>
      </c>
      <c r="F13" s="151" t="s">
        <v>2009</v>
      </c>
      <c r="G13" s="152" t="s">
        <v>2010</v>
      </c>
      <c r="H13" s="151" t="s">
        <v>25</v>
      </c>
      <c r="I13" s="151" t="s">
        <v>626</v>
      </c>
      <c r="J13" s="144"/>
      <c r="K13" s="138" t="s">
        <v>2011</v>
      </c>
      <c r="L13" s="145"/>
    </row>
    <row r="14">
      <c r="A14" s="137" t="s">
        <v>580</v>
      </c>
      <c r="B14" s="138" t="s">
        <v>2012</v>
      </c>
      <c r="C14" s="150" t="s">
        <v>2013</v>
      </c>
      <c r="D14" s="154">
        <v>45691.0</v>
      </c>
      <c r="E14" s="138" t="s">
        <v>727</v>
      </c>
      <c r="F14" s="161"/>
      <c r="G14" s="144"/>
      <c r="H14" s="145"/>
      <c r="I14" s="151" t="s">
        <v>2014</v>
      </c>
      <c r="J14" s="144"/>
      <c r="K14" s="145"/>
      <c r="L14" s="145"/>
    </row>
    <row r="15">
      <c r="A15" s="137" t="s">
        <v>580</v>
      </c>
      <c r="B15" s="138" t="s">
        <v>2015</v>
      </c>
      <c r="C15" s="150" t="s">
        <v>2016</v>
      </c>
      <c r="D15" s="154">
        <v>45691.0</v>
      </c>
      <c r="E15" s="138" t="s">
        <v>188</v>
      </c>
      <c r="F15" s="161"/>
      <c r="G15" s="144"/>
      <c r="H15" s="145"/>
      <c r="I15" s="151" t="s">
        <v>601</v>
      </c>
      <c r="J15" s="144"/>
      <c r="K15" s="145"/>
      <c r="L15" s="145"/>
    </row>
    <row r="16">
      <c r="A16" s="137" t="s">
        <v>580</v>
      </c>
      <c r="B16" s="162" t="s">
        <v>2017</v>
      </c>
      <c r="C16" s="163" t="s">
        <v>2018</v>
      </c>
      <c r="D16" s="164">
        <v>45691.0</v>
      </c>
      <c r="E16" s="138" t="s">
        <v>1253</v>
      </c>
      <c r="F16" s="137" t="s">
        <v>2019</v>
      </c>
      <c r="G16" s="152" t="s">
        <v>577</v>
      </c>
      <c r="H16" s="151" t="s">
        <v>25</v>
      </c>
      <c r="I16" s="148" t="s">
        <v>881</v>
      </c>
      <c r="J16" s="144"/>
      <c r="K16" s="145"/>
      <c r="L16" s="145"/>
    </row>
    <row r="17">
      <c r="A17" s="137" t="s">
        <v>580</v>
      </c>
      <c r="B17" s="138" t="s">
        <v>2020</v>
      </c>
      <c r="C17" s="150" t="s">
        <v>2021</v>
      </c>
      <c r="D17" s="164">
        <v>45691.0</v>
      </c>
      <c r="E17" s="137" t="s">
        <v>2022</v>
      </c>
      <c r="F17" s="161"/>
      <c r="G17" s="144"/>
      <c r="H17" s="145"/>
      <c r="I17" s="142" t="s">
        <v>1999</v>
      </c>
      <c r="J17" s="144"/>
      <c r="K17" s="145"/>
      <c r="L17" s="145"/>
    </row>
    <row r="18">
      <c r="A18" s="137" t="s">
        <v>274</v>
      </c>
      <c r="B18" s="137" t="s">
        <v>2023</v>
      </c>
      <c r="C18" s="139" t="s">
        <v>2024</v>
      </c>
      <c r="D18" s="164">
        <v>45691.0</v>
      </c>
      <c r="E18" s="138" t="s">
        <v>2025</v>
      </c>
      <c r="F18" s="137" t="s">
        <v>2026</v>
      </c>
      <c r="G18" s="152" t="s">
        <v>1212</v>
      </c>
      <c r="H18" s="145"/>
      <c r="I18" s="151" t="s">
        <v>643</v>
      </c>
      <c r="J18" s="144"/>
      <c r="K18" s="145"/>
      <c r="L18" s="145"/>
    </row>
    <row r="19">
      <c r="A19" s="137" t="s">
        <v>580</v>
      </c>
      <c r="B19" s="138" t="s">
        <v>2027</v>
      </c>
      <c r="C19" s="150" t="s">
        <v>2028</v>
      </c>
      <c r="D19" s="140">
        <v>45691.0</v>
      </c>
      <c r="E19" s="138" t="s">
        <v>1272</v>
      </c>
      <c r="F19" s="137" t="s">
        <v>2029</v>
      </c>
      <c r="G19" s="152" t="s">
        <v>577</v>
      </c>
      <c r="H19" s="151" t="s">
        <v>25</v>
      </c>
      <c r="I19" s="165" t="s">
        <v>2030</v>
      </c>
      <c r="J19" s="144"/>
      <c r="K19" s="138" t="s">
        <v>2031</v>
      </c>
      <c r="L19" s="138"/>
    </row>
    <row r="20">
      <c r="A20" s="137" t="s">
        <v>1657</v>
      </c>
      <c r="B20" s="159" t="s">
        <v>2032</v>
      </c>
      <c r="C20" s="150" t="s">
        <v>2033</v>
      </c>
      <c r="D20" s="140">
        <v>45691.0</v>
      </c>
      <c r="E20" s="138" t="s">
        <v>1253</v>
      </c>
      <c r="F20" s="137" t="s">
        <v>2034</v>
      </c>
      <c r="G20" s="157" t="s">
        <v>611</v>
      </c>
      <c r="H20" s="151" t="s">
        <v>25</v>
      </c>
      <c r="I20" s="148" t="s">
        <v>881</v>
      </c>
      <c r="J20" s="144"/>
      <c r="K20" s="145"/>
      <c r="L20" s="145"/>
    </row>
    <row r="21">
      <c r="A21" s="137" t="s">
        <v>2035</v>
      </c>
      <c r="B21" s="138" t="s">
        <v>2036</v>
      </c>
      <c r="C21" s="150" t="s">
        <v>2037</v>
      </c>
      <c r="D21" s="140">
        <v>45691.0</v>
      </c>
      <c r="E21" s="138" t="s">
        <v>440</v>
      </c>
      <c r="F21" s="137" t="s">
        <v>2038</v>
      </c>
      <c r="G21" s="139" t="s">
        <v>2039</v>
      </c>
      <c r="H21" s="151" t="s">
        <v>25</v>
      </c>
      <c r="I21" s="148" t="s">
        <v>2040</v>
      </c>
      <c r="J21" s="144"/>
      <c r="K21" s="145"/>
      <c r="L21" s="145"/>
    </row>
    <row r="22">
      <c r="A22" s="137" t="s">
        <v>580</v>
      </c>
      <c r="B22" s="138" t="s">
        <v>2041</v>
      </c>
      <c r="C22" s="150" t="s">
        <v>2042</v>
      </c>
      <c r="D22" s="140">
        <v>45691.0</v>
      </c>
      <c r="E22" s="138" t="s">
        <v>2043</v>
      </c>
      <c r="F22" s="137" t="s">
        <v>2044</v>
      </c>
      <c r="G22" s="152" t="s">
        <v>1212</v>
      </c>
      <c r="H22" s="151" t="s">
        <v>25</v>
      </c>
      <c r="I22" s="148" t="s">
        <v>881</v>
      </c>
      <c r="J22" s="140">
        <v>45691.0</v>
      </c>
      <c r="K22" s="145"/>
      <c r="L22" s="145"/>
    </row>
    <row r="23">
      <c r="A23" s="137" t="s">
        <v>580</v>
      </c>
      <c r="B23" s="146" t="s">
        <v>2045</v>
      </c>
      <c r="C23" s="166" t="s">
        <v>2046</v>
      </c>
      <c r="D23" s="140">
        <v>45691.0</v>
      </c>
      <c r="E23" s="167" t="s">
        <v>2047</v>
      </c>
      <c r="F23" s="137" t="s">
        <v>2048</v>
      </c>
      <c r="G23" s="152" t="s">
        <v>620</v>
      </c>
      <c r="H23" s="138" t="s">
        <v>2049</v>
      </c>
      <c r="I23" s="142" t="s">
        <v>1999</v>
      </c>
      <c r="J23" s="144"/>
      <c r="K23" s="138" t="s">
        <v>2050</v>
      </c>
      <c r="L23" s="138"/>
    </row>
    <row r="24">
      <c r="A24" s="137" t="s">
        <v>1125</v>
      </c>
      <c r="B24" s="146" t="s">
        <v>2051</v>
      </c>
      <c r="C24" s="150" t="s">
        <v>803</v>
      </c>
      <c r="D24" s="140">
        <v>45691.0</v>
      </c>
      <c r="E24" s="138" t="s">
        <v>2052</v>
      </c>
      <c r="F24" s="137" t="s">
        <v>2053</v>
      </c>
      <c r="G24" s="150" t="s">
        <v>2054</v>
      </c>
      <c r="H24" s="138" t="s">
        <v>1980</v>
      </c>
      <c r="I24" s="142" t="s">
        <v>1999</v>
      </c>
      <c r="J24" s="144"/>
      <c r="K24" s="145"/>
      <c r="L24" s="145"/>
    </row>
    <row r="25">
      <c r="A25" s="137" t="s">
        <v>11</v>
      </c>
      <c r="B25" s="148" t="s">
        <v>209</v>
      </c>
      <c r="C25" s="150" t="s">
        <v>2055</v>
      </c>
      <c r="D25" s="140">
        <v>45691.0</v>
      </c>
      <c r="E25" s="138" t="s">
        <v>2056</v>
      </c>
      <c r="F25" s="137" t="s">
        <v>2057</v>
      </c>
      <c r="G25" s="152" t="s">
        <v>1212</v>
      </c>
      <c r="H25" s="151" t="s">
        <v>40</v>
      </c>
      <c r="I25" s="148" t="s">
        <v>881</v>
      </c>
      <c r="J25" s="144"/>
      <c r="K25" s="145"/>
      <c r="L25" s="145"/>
    </row>
    <row r="26">
      <c r="A26" s="137"/>
      <c r="B26" s="138" t="s">
        <v>2058</v>
      </c>
      <c r="C26" s="150" t="s">
        <v>614</v>
      </c>
      <c r="D26" s="140">
        <v>45691.0</v>
      </c>
      <c r="E26" s="138" t="s">
        <v>2059</v>
      </c>
      <c r="F26" s="137" t="s">
        <v>2060</v>
      </c>
      <c r="G26" s="152" t="s">
        <v>1212</v>
      </c>
      <c r="H26" s="151" t="s">
        <v>40</v>
      </c>
      <c r="I26" s="148" t="s">
        <v>881</v>
      </c>
      <c r="J26" s="144"/>
      <c r="K26" s="145"/>
      <c r="L26" s="145"/>
    </row>
    <row r="27">
      <c r="A27" s="137" t="s">
        <v>580</v>
      </c>
      <c r="B27" s="138" t="s">
        <v>2061</v>
      </c>
      <c r="C27" s="150" t="s">
        <v>2062</v>
      </c>
      <c r="D27" s="140">
        <v>45692.0</v>
      </c>
      <c r="E27" s="138" t="s">
        <v>2063</v>
      </c>
      <c r="F27" s="137" t="s">
        <v>775</v>
      </c>
      <c r="G27" s="141" t="s">
        <v>2064</v>
      </c>
      <c r="H27" s="151" t="s">
        <v>40</v>
      </c>
      <c r="I27" s="151" t="s">
        <v>626</v>
      </c>
      <c r="J27" s="144"/>
      <c r="K27" s="145"/>
      <c r="L27" s="145"/>
    </row>
    <row r="28">
      <c r="A28" s="137" t="s">
        <v>580</v>
      </c>
      <c r="B28" s="138" t="s">
        <v>2065</v>
      </c>
      <c r="C28" s="150" t="s">
        <v>1167</v>
      </c>
      <c r="D28" s="140">
        <v>45692.0</v>
      </c>
      <c r="E28" s="138" t="s">
        <v>188</v>
      </c>
      <c r="F28" s="161"/>
      <c r="G28" s="144"/>
      <c r="H28" s="145"/>
      <c r="I28" s="142" t="s">
        <v>915</v>
      </c>
      <c r="J28" s="144"/>
      <c r="K28" s="145"/>
      <c r="L28" s="145"/>
    </row>
    <row r="29">
      <c r="A29" s="137" t="s">
        <v>580</v>
      </c>
      <c r="B29" s="146" t="s">
        <v>2066</v>
      </c>
      <c r="C29" s="150" t="s">
        <v>2067</v>
      </c>
      <c r="D29" s="140">
        <v>45692.0</v>
      </c>
      <c r="E29" s="138" t="s">
        <v>2068</v>
      </c>
      <c r="F29" s="161"/>
      <c r="G29" s="144"/>
      <c r="H29" s="145"/>
      <c r="I29" s="142" t="s">
        <v>2030</v>
      </c>
      <c r="J29" s="144"/>
      <c r="K29" s="145"/>
      <c r="L29" s="145"/>
    </row>
    <row r="30">
      <c r="A30" s="137" t="s">
        <v>580</v>
      </c>
      <c r="B30" s="138" t="s">
        <v>1378</v>
      </c>
      <c r="C30" s="150" t="s">
        <v>2069</v>
      </c>
      <c r="D30" s="140">
        <v>45692.0</v>
      </c>
      <c r="E30" s="137" t="s">
        <v>1625</v>
      </c>
      <c r="F30" s="137" t="s">
        <v>2070</v>
      </c>
      <c r="G30" s="152" t="s">
        <v>1212</v>
      </c>
      <c r="H30" s="151" t="s">
        <v>25</v>
      </c>
      <c r="I30" s="148" t="s">
        <v>771</v>
      </c>
      <c r="J30" s="144"/>
      <c r="K30" s="145"/>
      <c r="L30" s="145"/>
    </row>
    <row r="31">
      <c r="A31" s="137" t="s">
        <v>580</v>
      </c>
      <c r="B31" s="137" t="s">
        <v>626</v>
      </c>
      <c r="C31" s="150" t="s">
        <v>2071</v>
      </c>
      <c r="D31" s="140">
        <v>45692.0</v>
      </c>
      <c r="E31" s="138" t="s">
        <v>2072</v>
      </c>
      <c r="F31" s="137" t="s">
        <v>2073</v>
      </c>
      <c r="G31" s="141" t="s">
        <v>611</v>
      </c>
      <c r="H31" s="138" t="s">
        <v>2074</v>
      </c>
      <c r="I31" s="142" t="s">
        <v>626</v>
      </c>
      <c r="J31" s="144"/>
      <c r="K31" s="145"/>
      <c r="L31" s="145"/>
    </row>
    <row r="32">
      <c r="A32" s="137" t="s">
        <v>2075</v>
      </c>
      <c r="B32" s="146" t="s">
        <v>2076</v>
      </c>
      <c r="C32" s="150" t="s">
        <v>2077</v>
      </c>
      <c r="D32" s="140">
        <v>45692.0</v>
      </c>
      <c r="E32" s="167" t="s">
        <v>1253</v>
      </c>
      <c r="F32" s="161"/>
      <c r="G32" s="152" t="s">
        <v>1212</v>
      </c>
      <c r="H32" s="145"/>
      <c r="I32" s="151" t="s">
        <v>2078</v>
      </c>
      <c r="J32" s="144"/>
      <c r="K32" s="145"/>
      <c r="L32" s="145"/>
    </row>
    <row r="33">
      <c r="A33" s="137" t="s">
        <v>27</v>
      </c>
      <c r="B33" s="138" t="s">
        <v>2079</v>
      </c>
      <c r="C33" s="150" t="s">
        <v>2080</v>
      </c>
      <c r="D33" s="140">
        <v>45692.0</v>
      </c>
      <c r="E33" s="138" t="s">
        <v>188</v>
      </c>
      <c r="F33" s="137" t="s">
        <v>2081</v>
      </c>
      <c r="G33" s="152" t="s">
        <v>2082</v>
      </c>
      <c r="H33" s="151" t="s">
        <v>25</v>
      </c>
      <c r="I33" s="151" t="s">
        <v>601</v>
      </c>
      <c r="J33" s="144"/>
      <c r="K33" s="145"/>
      <c r="L33" s="145"/>
    </row>
    <row r="34">
      <c r="A34" s="137" t="s">
        <v>580</v>
      </c>
      <c r="B34" s="138" t="s">
        <v>2083</v>
      </c>
      <c r="C34" s="150" t="s">
        <v>1188</v>
      </c>
      <c r="D34" s="140">
        <v>45692.0</v>
      </c>
      <c r="E34" s="138" t="s">
        <v>1184</v>
      </c>
      <c r="F34" s="161"/>
      <c r="G34" s="152" t="s">
        <v>1212</v>
      </c>
      <c r="H34" s="145"/>
      <c r="I34" s="151" t="s">
        <v>2084</v>
      </c>
      <c r="J34" s="144"/>
      <c r="K34" s="145"/>
      <c r="L34" s="145"/>
    </row>
    <row r="35">
      <c r="A35" s="137" t="s">
        <v>580</v>
      </c>
      <c r="B35" s="138" t="s">
        <v>2085</v>
      </c>
      <c r="C35" s="150">
        <v>1.3369518775E10</v>
      </c>
      <c r="D35" s="140">
        <v>45692.0</v>
      </c>
      <c r="E35" s="138" t="s">
        <v>2086</v>
      </c>
      <c r="F35" s="137" t="s">
        <v>2087</v>
      </c>
      <c r="G35" s="141" t="s">
        <v>611</v>
      </c>
      <c r="H35" s="151" t="s">
        <v>25</v>
      </c>
      <c r="I35" s="142" t="s">
        <v>626</v>
      </c>
      <c r="J35" s="144"/>
      <c r="K35" s="145"/>
      <c r="L35" s="145"/>
    </row>
    <row r="36">
      <c r="A36" s="137" t="s">
        <v>2088</v>
      </c>
      <c r="B36" s="168" t="s">
        <v>2089</v>
      </c>
      <c r="C36" s="150" t="s">
        <v>2090</v>
      </c>
      <c r="D36" s="140">
        <v>45692.0</v>
      </c>
      <c r="E36" s="138" t="s">
        <v>2091</v>
      </c>
      <c r="F36" s="137" t="s">
        <v>2092</v>
      </c>
      <c r="G36" s="152" t="s">
        <v>1212</v>
      </c>
      <c r="H36" s="151" t="s">
        <v>40</v>
      </c>
      <c r="I36" s="142" t="s">
        <v>988</v>
      </c>
      <c r="J36" s="144"/>
      <c r="K36" s="145"/>
      <c r="L36" s="145"/>
    </row>
    <row r="37">
      <c r="A37" s="137" t="s">
        <v>2093</v>
      </c>
      <c r="B37" s="168" t="s">
        <v>2094</v>
      </c>
      <c r="C37" s="150" t="s">
        <v>2095</v>
      </c>
      <c r="D37" s="140">
        <v>45692.0</v>
      </c>
      <c r="E37" s="169" t="s">
        <v>1673</v>
      </c>
      <c r="F37" s="137" t="s">
        <v>2096</v>
      </c>
      <c r="G37" s="141" t="s">
        <v>2097</v>
      </c>
      <c r="H37" s="138" t="s">
        <v>2098</v>
      </c>
      <c r="I37" s="142" t="s">
        <v>2099</v>
      </c>
      <c r="J37" s="144"/>
      <c r="K37" s="145"/>
      <c r="L37" s="145"/>
    </row>
    <row r="38">
      <c r="A38" s="137" t="s">
        <v>11</v>
      </c>
      <c r="B38" s="148" t="s">
        <v>2100</v>
      </c>
      <c r="C38" s="139" t="s">
        <v>2101</v>
      </c>
      <c r="D38" s="140">
        <v>45692.0</v>
      </c>
      <c r="E38" s="138" t="s">
        <v>2056</v>
      </c>
      <c r="F38" s="137" t="s">
        <v>2102</v>
      </c>
      <c r="G38" s="152" t="s">
        <v>1212</v>
      </c>
      <c r="H38" s="151" t="s">
        <v>25</v>
      </c>
      <c r="I38" s="148" t="s">
        <v>881</v>
      </c>
      <c r="J38" s="144"/>
      <c r="K38" s="145"/>
      <c r="L38" s="145"/>
    </row>
    <row r="39">
      <c r="A39" s="137" t="s">
        <v>743</v>
      </c>
      <c r="B39" s="148" t="s">
        <v>2103</v>
      </c>
      <c r="C39" s="150" t="s">
        <v>2104</v>
      </c>
      <c r="D39" s="140">
        <v>45692.0</v>
      </c>
      <c r="E39" s="168" t="s">
        <v>14</v>
      </c>
      <c r="F39" s="137" t="s">
        <v>2105</v>
      </c>
      <c r="G39" s="150" t="s">
        <v>2106</v>
      </c>
      <c r="H39" s="151" t="s">
        <v>40</v>
      </c>
      <c r="I39" s="148" t="s">
        <v>881</v>
      </c>
      <c r="J39" s="144"/>
      <c r="K39" s="145"/>
      <c r="L39" s="145"/>
    </row>
    <row r="40">
      <c r="A40" s="137" t="s">
        <v>743</v>
      </c>
      <c r="B40" s="148" t="s">
        <v>2103</v>
      </c>
      <c r="C40" s="150" t="s">
        <v>2104</v>
      </c>
      <c r="D40" s="140">
        <v>45692.0</v>
      </c>
      <c r="E40" s="137" t="s">
        <v>417</v>
      </c>
      <c r="F40" s="137" t="s">
        <v>2107</v>
      </c>
      <c r="G40" s="150" t="s">
        <v>2106</v>
      </c>
      <c r="H40" s="151" t="s">
        <v>40</v>
      </c>
      <c r="I40" s="142" t="s">
        <v>2108</v>
      </c>
      <c r="J40" s="144"/>
      <c r="K40" s="145"/>
      <c r="L40" s="145"/>
    </row>
    <row r="41">
      <c r="A41" s="137" t="s">
        <v>749</v>
      </c>
      <c r="B41" s="138" t="s">
        <v>2109</v>
      </c>
      <c r="C41" s="150" t="s">
        <v>2110</v>
      </c>
      <c r="D41" s="140">
        <v>45692.0</v>
      </c>
      <c r="E41" s="138" t="s">
        <v>107</v>
      </c>
      <c r="F41" s="137" t="s">
        <v>2111</v>
      </c>
      <c r="G41" s="144"/>
      <c r="H41" s="142" t="s">
        <v>2112</v>
      </c>
      <c r="I41" s="151" t="s">
        <v>2108</v>
      </c>
      <c r="J41" s="144"/>
      <c r="K41" s="145"/>
      <c r="L41" s="145"/>
    </row>
    <row r="42">
      <c r="A42" s="137" t="s">
        <v>1562</v>
      </c>
      <c r="B42" s="138" t="s">
        <v>2113</v>
      </c>
      <c r="C42" s="150" t="s">
        <v>2114</v>
      </c>
      <c r="D42" s="140">
        <v>45692.0</v>
      </c>
      <c r="E42" s="138" t="s">
        <v>1436</v>
      </c>
      <c r="F42" s="137" t="s">
        <v>2115</v>
      </c>
      <c r="G42" s="170"/>
      <c r="H42" s="151" t="s">
        <v>25</v>
      </c>
      <c r="I42" s="151" t="s">
        <v>18</v>
      </c>
      <c r="J42" s="144"/>
      <c r="K42" s="145"/>
      <c r="L42" s="145"/>
    </row>
    <row r="43">
      <c r="A43" s="137" t="s">
        <v>11</v>
      </c>
      <c r="B43" s="151" t="s">
        <v>2116</v>
      </c>
      <c r="C43" s="150" t="s">
        <v>2117</v>
      </c>
      <c r="D43" s="140">
        <v>45692.0</v>
      </c>
      <c r="E43" s="138" t="s">
        <v>357</v>
      </c>
      <c r="F43" s="137" t="s">
        <v>2118</v>
      </c>
      <c r="G43" s="152" t="s">
        <v>1212</v>
      </c>
      <c r="H43" s="151" t="s">
        <v>25</v>
      </c>
      <c r="I43" s="151" t="s">
        <v>18</v>
      </c>
      <c r="J43" s="144"/>
      <c r="K43" s="145"/>
      <c r="L43" s="145"/>
    </row>
    <row r="44">
      <c r="A44" s="137" t="s">
        <v>171</v>
      </c>
      <c r="B44" s="138" t="s">
        <v>2119</v>
      </c>
      <c r="C44" s="150" t="s">
        <v>2120</v>
      </c>
      <c r="D44" s="140">
        <v>45693.0</v>
      </c>
      <c r="E44" s="146" t="s">
        <v>417</v>
      </c>
      <c r="F44" s="137" t="s">
        <v>2121</v>
      </c>
      <c r="G44" s="152" t="s">
        <v>1212</v>
      </c>
      <c r="H44" s="151" t="s">
        <v>40</v>
      </c>
      <c r="I44" s="151" t="s">
        <v>2122</v>
      </c>
      <c r="J44" s="144"/>
      <c r="K44" s="145"/>
      <c r="L44" s="145"/>
    </row>
    <row r="45">
      <c r="A45" s="137" t="s">
        <v>171</v>
      </c>
      <c r="B45" s="138" t="s">
        <v>834</v>
      </c>
      <c r="C45" s="150" t="s">
        <v>2123</v>
      </c>
      <c r="D45" s="140">
        <v>45693.0</v>
      </c>
      <c r="E45" s="146" t="s">
        <v>2124</v>
      </c>
      <c r="F45" s="137" t="s">
        <v>2125</v>
      </c>
      <c r="G45" s="152" t="s">
        <v>1212</v>
      </c>
      <c r="H45" s="151" t="s">
        <v>40</v>
      </c>
      <c r="I45" s="151" t="s">
        <v>2122</v>
      </c>
      <c r="J45" s="144"/>
      <c r="K45" s="145"/>
      <c r="L45" s="145"/>
    </row>
    <row r="46">
      <c r="A46" s="137" t="s">
        <v>171</v>
      </c>
      <c r="B46" s="138" t="s">
        <v>834</v>
      </c>
      <c r="C46" s="150" t="s">
        <v>2123</v>
      </c>
      <c r="D46" s="140">
        <v>45693.0</v>
      </c>
      <c r="E46" s="146" t="s">
        <v>2126</v>
      </c>
      <c r="F46" s="137" t="s">
        <v>2125</v>
      </c>
      <c r="G46" s="152" t="s">
        <v>1212</v>
      </c>
      <c r="H46" s="151" t="s">
        <v>40</v>
      </c>
      <c r="I46" s="151" t="s">
        <v>2122</v>
      </c>
      <c r="J46" s="144"/>
      <c r="K46" s="145"/>
      <c r="L46" s="145"/>
    </row>
    <row r="47">
      <c r="A47" s="137" t="s">
        <v>171</v>
      </c>
      <c r="B47" s="168" t="s">
        <v>2127</v>
      </c>
      <c r="C47" s="150" t="s">
        <v>2128</v>
      </c>
      <c r="D47" s="140">
        <v>45693.0</v>
      </c>
      <c r="E47" s="138" t="s">
        <v>451</v>
      </c>
      <c r="F47" s="171" t="s">
        <v>2129</v>
      </c>
      <c r="G47" s="152" t="s">
        <v>2130</v>
      </c>
      <c r="H47" s="151" t="s">
        <v>25</v>
      </c>
      <c r="I47" s="151" t="s">
        <v>18</v>
      </c>
      <c r="J47" s="144"/>
      <c r="K47" s="145"/>
      <c r="L47" s="145"/>
    </row>
    <row r="48">
      <c r="A48" s="137" t="s">
        <v>580</v>
      </c>
      <c r="B48" s="168" t="s">
        <v>2131</v>
      </c>
      <c r="C48" s="144"/>
      <c r="D48" s="140">
        <v>45693.0</v>
      </c>
      <c r="E48" s="138" t="s">
        <v>1184</v>
      </c>
      <c r="F48" s="172" t="s">
        <v>2132</v>
      </c>
      <c r="G48" s="152" t="s">
        <v>1212</v>
      </c>
      <c r="H48" s="151" t="s">
        <v>25</v>
      </c>
      <c r="I48" s="151" t="s">
        <v>18</v>
      </c>
      <c r="J48" s="144"/>
      <c r="K48" s="145"/>
      <c r="L48" s="145"/>
    </row>
    <row r="49">
      <c r="A49" s="137" t="s">
        <v>171</v>
      </c>
      <c r="B49" s="146" t="s">
        <v>2133</v>
      </c>
      <c r="C49" s="173" t="s">
        <v>2134</v>
      </c>
      <c r="D49" s="174">
        <v>45693.0</v>
      </c>
      <c r="E49" s="138" t="s">
        <v>2135</v>
      </c>
      <c r="F49" s="137" t="s">
        <v>2136</v>
      </c>
      <c r="G49" s="152" t="s">
        <v>1212</v>
      </c>
      <c r="H49" s="159" t="s">
        <v>2137</v>
      </c>
      <c r="I49" s="159" t="s">
        <v>1999</v>
      </c>
      <c r="J49" s="144"/>
      <c r="K49" s="138" t="s">
        <v>2138</v>
      </c>
      <c r="L49" s="145"/>
    </row>
    <row r="50">
      <c r="A50" s="137" t="s">
        <v>11</v>
      </c>
      <c r="B50" s="151" t="s">
        <v>2139</v>
      </c>
      <c r="C50" s="139" t="s">
        <v>2140</v>
      </c>
      <c r="D50" s="154">
        <v>45694.0</v>
      </c>
      <c r="E50" s="137" t="s">
        <v>2141</v>
      </c>
      <c r="F50" s="137" t="s">
        <v>2142</v>
      </c>
      <c r="G50" s="139" t="s">
        <v>1212</v>
      </c>
      <c r="H50" s="137" t="s">
        <v>25</v>
      </c>
      <c r="I50" s="151" t="s">
        <v>2143</v>
      </c>
      <c r="J50" s="175"/>
      <c r="K50" s="161"/>
      <c r="L50" s="161"/>
    </row>
    <row r="51">
      <c r="A51" s="137" t="s">
        <v>171</v>
      </c>
      <c r="B51" s="168" t="s">
        <v>2144</v>
      </c>
      <c r="C51" s="150" t="s">
        <v>2145</v>
      </c>
      <c r="D51" s="140">
        <v>45694.0</v>
      </c>
      <c r="E51" s="137" t="s">
        <v>107</v>
      </c>
      <c r="F51" s="137" t="s">
        <v>2146</v>
      </c>
      <c r="G51" s="152" t="s">
        <v>1212</v>
      </c>
      <c r="H51" s="137" t="s">
        <v>25</v>
      </c>
      <c r="I51" s="151" t="s">
        <v>2108</v>
      </c>
      <c r="J51" s="144"/>
      <c r="K51" s="145"/>
      <c r="L51" s="145"/>
    </row>
    <row r="52">
      <c r="A52" s="137" t="s">
        <v>354</v>
      </c>
      <c r="B52" s="138" t="s">
        <v>2147</v>
      </c>
      <c r="C52" s="150" t="s">
        <v>2148</v>
      </c>
      <c r="D52" s="140">
        <v>45694.0</v>
      </c>
      <c r="E52" s="137" t="s">
        <v>2149</v>
      </c>
      <c r="F52" s="137" t="s">
        <v>2150</v>
      </c>
      <c r="G52" s="141" t="s">
        <v>2151</v>
      </c>
      <c r="H52" s="138" t="s">
        <v>25</v>
      </c>
      <c r="I52" s="143" t="s">
        <v>2152</v>
      </c>
      <c r="J52" s="144"/>
      <c r="K52" s="145"/>
      <c r="L52" s="145"/>
    </row>
    <row r="53">
      <c r="A53" s="137" t="s">
        <v>580</v>
      </c>
      <c r="B53" s="138" t="s">
        <v>2153</v>
      </c>
      <c r="C53" s="144"/>
      <c r="D53" s="140">
        <v>45694.0</v>
      </c>
      <c r="E53" s="138" t="s">
        <v>676</v>
      </c>
      <c r="F53" s="161"/>
      <c r="G53" s="144"/>
      <c r="H53" s="145"/>
      <c r="I53" s="151" t="s">
        <v>2154</v>
      </c>
      <c r="J53" s="144"/>
      <c r="K53" s="145"/>
      <c r="L53" s="145"/>
    </row>
    <row r="54">
      <c r="A54" s="137" t="s">
        <v>580</v>
      </c>
      <c r="B54" s="168" t="s">
        <v>1962</v>
      </c>
      <c r="C54" s="144"/>
      <c r="D54" s="140">
        <v>45694.0</v>
      </c>
      <c r="E54" s="176" t="s">
        <v>575</v>
      </c>
      <c r="F54" s="161"/>
      <c r="G54" s="144"/>
      <c r="H54" s="138"/>
      <c r="I54" s="151" t="s">
        <v>1964</v>
      </c>
      <c r="J54" s="144"/>
      <c r="K54" s="145"/>
      <c r="L54" s="145"/>
    </row>
    <row r="55">
      <c r="A55" s="137"/>
      <c r="B55" s="151" t="s">
        <v>2155</v>
      </c>
      <c r="C55" s="150" t="s">
        <v>2156</v>
      </c>
      <c r="D55" s="140">
        <v>45694.0</v>
      </c>
      <c r="E55" s="138" t="s">
        <v>357</v>
      </c>
      <c r="F55" s="161"/>
      <c r="G55" s="152" t="s">
        <v>1212</v>
      </c>
      <c r="H55" s="151" t="s">
        <v>40</v>
      </c>
      <c r="I55" s="148" t="s">
        <v>881</v>
      </c>
      <c r="J55" s="144"/>
      <c r="K55" s="138" t="s">
        <v>2050</v>
      </c>
      <c r="L55" s="145"/>
    </row>
    <row r="56">
      <c r="A56" s="137" t="s">
        <v>580</v>
      </c>
      <c r="B56" s="138" t="s">
        <v>2153</v>
      </c>
      <c r="C56" s="150" t="s">
        <v>2157</v>
      </c>
      <c r="D56" s="140">
        <v>45694.0</v>
      </c>
      <c r="E56" s="138" t="s">
        <v>676</v>
      </c>
      <c r="F56" s="161"/>
      <c r="G56" s="144"/>
      <c r="H56" s="145"/>
      <c r="I56" s="151" t="s">
        <v>2154</v>
      </c>
      <c r="J56" s="144"/>
      <c r="K56" s="145"/>
      <c r="L56" s="145"/>
    </row>
    <row r="57">
      <c r="A57" s="137" t="s">
        <v>11</v>
      </c>
      <c r="B57" s="151" t="s">
        <v>2158</v>
      </c>
      <c r="C57" s="150" t="s">
        <v>2159</v>
      </c>
      <c r="D57" s="140">
        <v>45694.0</v>
      </c>
      <c r="E57" s="138" t="s">
        <v>2056</v>
      </c>
      <c r="F57" s="137" t="s">
        <v>2160</v>
      </c>
      <c r="G57" s="152" t="s">
        <v>1212</v>
      </c>
      <c r="H57" s="137" t="s">
        <v>25</v>
      </c>
      <c r="I57" s="151" t="s">
        <v>18</v>
      </c>
      <c r="J57" s="144"/>
      <c r="K57" s="138" t="s">
        <v>2161</v>
      </c>
      <c r="L57" s="145"/>
    </row>
    <row r="58">
      <c r="A58" s="137" t="s">
        <v>2162</v>
      </c>
      <c r="B58" s="138" t="s">
        <v>2163</v>
      </c>
      <c r="C58" s="150" t="s">
        <v>2164</v>
      </c>
      <c r="D58" s="140">
        <v>45694.0</v>
      </c>
      <c r="E58" s="138" t="s">
        <v>2165</v>
      </c>
      <c r="F58" s="137" t="s">
        <v>2166</v>
      </c>
      <c r="G58" s="144"/>
      <c r="H58" s="138" t="s">
        <v>2167</v>
      </c>
      <c r="I58" s="142" t="s">
        <v>915</v>
      </c>
      <c r="J58" s="144"/>
      <c r="K58" s="145"/>
      <c r="L58" s="145"/>
    </row>
    <row r="59">
      <c r="A59" s="137" t="s">
        <v>580</v>
      </c>
      <c r="B59" s="138" t="s">
        <v>1260</v>
      </c>
      <c r="C59" s="150" t="s">
        <v>1261</v>
      </c>
      <c r="D59" s="140">
        <v>45695.0</v>
      </c>
      <c r="E59" s="138" t="s">
        <v>738</v>
      </c>
      <c r="F59" s="161"/>
      <c r="G59" s="152" t="s">
        <v>1212</v>
      </c>
      <c r="H59" s="145"/>
      <c r="I59" s="151" t="s">
        <v>103</v>
      </c>
      <c r="J59" s="144"/>
      <c r="K59" s="145"/>
      <c r="L59" s="145"/>
    </row>
    <row r="60">
      <c r="A60" s="137" t="s">
        <v>580</v>
      </c>
      <c r="B60" s="168" t="s">
        <v>2168</v>
      </c>
      <c r="C60" s="144"/>
      <c r="D60" s="140">
        <v>45695.0</v>
      </c>
      <c r="E60" s="138" t="s">
        <v>811</v>
      </c>
      <c r="F60" s="161"/>
      <c r="G60" s="144"/>
      <c r="H60" s="145"/>
      <c r="I60" s="142" t="s">
        <v>2169</v>
      </c>
      <c r="J60" s="144"/>
      <c r="K60" s="145"/>
      <c r="L60" s="145"/>
    </row>
    <row r="61">
      <c r="A61" s="137" t="s">
        <v>622</v>
      </c>
      <c r="B61" s="168" t="s">
        <v>2170</v>
      </c>
      <c r="C61" s="144"/>
      <c r="D61" s="140">
        <v>45695.0</v>
      </c>
      <c r="E61" s="138" t="s">
        <v>676</v>
      </c>
      <c r="F61" s="161"/>
      <c r="G61" s="157" t="s">
        <v>2171</v>
      </c>
      <c r="H61" s="145"/>
      <c r="I61" s="151" t="s">
        <v>2172</v>
      </c>
      <c r="J61" s="144"/>
      <c r="K61" s="145"/>
      <c r="L61" s="145"/>
    </row>
    <row r="62">
      <c r="A62" s="137" t="s">
        <v>207</v>
      </c>
      <c r="B62" s="146" t="s">
        <v>2173</v>
      </c>
      <c r="C62" s="139" t="s">
        <v>2174</v>
      </c>
      <c r="D62" s="140">
        <v>45695.0</v>
      </c>
      <c r="E62" s="146" t="s">
        <v>2175</v>
      </c>
      <c r="F62" s="146" t="s">
        <v>2176</v>
      </c>
      <c r="G62" s="152" t="s">
        <v>1212</v>
      </c>
      <c r="H62" s="151" t="s">
        <v>40</v>
      </c>
      <c r="I62" s="142" t="s">
        <v>2177</v>
      </c>
      <c r="J62" s="175"/>
      <c r="K62" s="137" t="s">
        <v>2178</v>
      </c>
      <c r="L62" s="137" t="s">
        <v>2179</v>
      </c>
    </row>
    <row r="63">
      <c r="A63" s="137" t="s">
        <v>2180</v>
      </c>
      <c r="B63" s="138" t="s">
        <v>2181</v>
      </c>
      <c r="C63" s="150" t="s">
        <v>2182</v>
      </c>
      <c r="D63" s="140">
        <v>45695.0</v>
      </c>
      <c r="E63" s="138" t="s">
        <v>2183</v>
      </c>
      <c r="F63" s="137" t="s">
        <v>2184</v>
      </c>
      <c r="G63" s="157" t="s">
        <v>2171</v>
      </c>
      <c r="H63" s="151" t="s">
        <v>40</v>
      </c>
      <c r="I63" s="142" t="s">
        <v>915</v>
      </c>
      <c r="J63" s="144"/>
      <c r="K63" s="145"/>
      <c r="L63" s="145"/>
    </row>
    <row r="64">
      <c r="A64" s="137" t="s">
        <v>2185</v>
      </c>
      <c r="B64" s="138" t="s">
        <v>2181</v>
      </c>
      <c r="C64" s="150" t="s">
        <v>2182</v>
      </c>
      <c r="D64" s="140">
        <v>45695.0</v>
      </c>
      <c r="E64" s="138" t="s">
        <v>772</v>
      </c>
      <c r="F64" s="137" t="s">
        <v>2184</v>
      </c>
      <c r="G64" s="157" t="s">
        <v>2171</v>
      </c>
      <c r="H64" s="142" t="s">
        <v>2112</v>
      </c>
      <c r="I64" s="142" t="s">
        <v>915</v>
      </c>
      <c r="J64" s="144"/>
      <c r="K64" s="145"/>
      <c r="L64" s="145"/>
    </row>
    <row r="65">
      <c r="A65" s="137" t="s">
        <v>299</v>
      </c>
      <c r="B65" s="138" t="s">
        <v>2181</v>
      </c>
      <c r="C65" s="150" t="s">
        <v>2182</v>
      </c>
      <c r="D65" s="140">
        <v>45695.0</v>
      </c>
      <c r="E65" s="138"/>
      <c r="F65" s="137"/>
      <c r="G65" s="157"/>
      <c r="H65" s="151"/>
      <c r="I65" s="177" t="s">
        <v>2122</v>
      </c>
      <c r="J65" s="144"/>
      <c r="K65" s="145"/>
      <c r="L65" s="145"/>
    </row>
    <row r="66">
      <c r="A66" s="137" t="s">
        <v>1562</v>
      </c>
      <c r="B66" s="168" t="s">
        <v>2186</v>
      </c>
      <c r="C66" s="150" t="s">
        <v>2187</v>
      </c>
      <c r="D66" s="140">
        <v>45695.0</v>
      </c>
      <c r="E66" s="138" t="s">
        <v>2188</v>
      </c>
      <c r="F66" s="137" t="s">
        <v>2189</v>
      </c>
      <c r="G66" s="150" t="s">
        <v>2106</v>
      </c>
      <c r="H66" s="151" t="s">
        <v>40</v>
      </c>
      <c r="I66" s="151" t="s">
        <v>1042</v>
      </c>
      <c r="J66" s="144"/>
      <c r="K66" s="145"/>
      <c r="L66" s="145"/>
    </row>
    <row r="67">
      <c r="A67" s="137" t="s">
        <v>580</v>
      </c>
      <c r="B67" s="168" t="s">
        <v>129</v>
      </c>
      <c r="C67" s="150" t="s">
        <v>2145</v>
      </c>
      <c r="D67" s="140">
        <v>45698.0</v>
      </c>
      <c r="E67" s="138" t="s">
        <v>107</v>
      </c>
      <c r="F67" s="161"/>
      <c r="G67" s="144"/>
      <c r="H67" s="145"/>
      <c r="I67" s="151" t="s">
        <v>2108</v>
      </c>
      <c r="J67" s="144"/>
      <c r="K67" s="145"/>
      <c r="L67" s="145"/>
    </row>
    <row r="68">
      <c r="A68" s="137" t="s">
        <v>595</v>
      </c>
      <c r="B68" s="151" t="s">
        <v>2190</v>
      </c>
      <c r="C68" s="150" t="s">
        <v>2191</v>
      </c>
      <c r="D68" s="140">
        <v>45698.0</v>
      </c>
      <c r="E68" s="138" t="s">
        <v>1983</v>
      </c>
      <c r="F68" s="178" t="s">
        <v>2192</v>
      </c>
      <c r="G68" s="179" t="s">
        <v>1212</v>
      </c>
      <c r="H68" s="178" t="s">
        <v>2193</v>
      </c>
      <c r="I68" s="178" t="s">
        <v>2194</v>
      </c>
      <c r="J68" s="144"/>
      <c r="K68" s="138" t="s">
        <v>2195</v>
      </c>
      <c r="L68" s="145"/>
    </row>
    <row r="69">
      <c r="A69" s="137" t="s">
        <v>2196</v>
      </c>
      <c r="B69" s="138" t="s">
        <v>2197</v>
      </c>
      <c r="C69" s="150" t="s">
        <v>2198</v>
      </c>
      <c r="D69" s="140">
        <v>45698.0</v>
      </c>
      <c r="E69" s="138" t="s">
        <v>107</v>
      </c>
      <c r="F69" s="137" t="s">
        <v>2199</v>
      </c>
      <c r="G69" s="152" t="s">
        <v>1212</v>
      </c>
      <c r="H69" s="151" t="s">
        <v>40</v>
      </c>
      <c r="I69" s="151" t="s">
        <v>2108</v>
      </c>
      <c r="J69" s="144"/>
      <c r="K69" s="145"/>
      <c r="L69" s="145"/>
    </row>
    <row r="70">
      <c r="A70" s="137"/>
      <c r="B70" s="138" t="s">
        <v>2200</v>
      </c>
      <c r="C70" s="139" t="s">
        <v>624</v>
      </c>
      <c r="D70" s="154">
        <v>45698.0</v>
      </c>
      <c r="E70" s="146" t="s">
        <v>2201</v>
      </c>
      <c r="F70" s="159" t="s">
        <v>775</v>
      </c>
      <c r="G70" s="84" t="s">
        <v>24</v>
      </c>
      <c r="H70" s="151" t="s">
        <v>40</v>
      </c>
      <c r="I70" s="151" t="s">
        <v>626</v>
      </c>
      <c r="J70" s="144"/>
      <c r="K70" s="145"/>
      <c r="L70" s="145"/>
    </row>
    <row r="71">
      <c r="A71" s="137" t="s">
        <v>354</v>
      </c>
      <c r="B71" s="138" t="s">
        <v>2202</v>
      </c>
      <c r="C71" s="139" t="s">
        <v>2203</v>
      </c>
      <c r="D71" s="154">
        <v>45698.0</v>
      </c>
      <c r="E71" s="146" t="s">
        <v>1094</v>
      </c>
      <c r="F71" s="137" t="s">
        <v>2204</v>
      </c>
      <c r="G71" s="152" t="s">
        <v>1212</v>
      </c>
      <c r="H71" s="151" t="s">
        <v>40</v>
      </c>
      <c r="I71" s="143" t="s">
        <v>2205</v>
      </c>
      <c r="J71" s="144"/>
      <c r="K71" s="145"/>
      <c r="L71" s="145"/>
    </row>
    <row r="72">
      <c r="A72" s="137" t="s">
        <v>2206</v>
      </c>
      <c r="B72" s="168" t="s">
        <v>2207</v>
      </c>
      <c r="C72" s="144"/>
      <c r="D72" s="154">
        <v>45698.0</v>
      </c>
      <c r="E72" s="138" t="s">
        <v>2056</v>
      </c>
      <c r="F72" s="161"/>
      <c r="G72" s="157" t="s">
        <v>2171</v>
      </c>
      <c r="H72" s="143" t="s">
        <v>2112</v>
      </c>
      <c r="I72" s="142" t="s">
        <v>2208</v>
      </c>
      <c r="J72" s="144"/>
      <c r="K72" s="145"/>
      <c r="L72" s="145"/>
    </row>
    <row r="73">
      <c r="A73" s="137" t="s">
        <v>27</v>
      </c>
      <c r="B73" s="148" t="s">
        <v>2209</v>
      </c>
      <c r="C73" s="150" t="s">
        <v>2210</v>
      </c>
      <c r="D73" s="154">
        <v>45698.0</v>
      </c>
      <c r="E73" s="138" t="s">
        <v>451</v>
      </c>
      <c r="F73" s="137" t="s">
        <v>2211</v>
      </c>
      <c r="G73" s="152" t="s">
        <v>1212</v>
      </c>
      <c r="H73" s="151" t="s">
        <v>25</v>
      </c>
      <c r="I73" s="151" t="s">
        <v>18</v>
      </c>
      <c r="J73" s="144"/>
      <c r="K73" s="145"/>
      <c r="L73" s="145"/>
    </row>
    <row r="74">
      <c r="A74" s="137" t="s">
        <v>580</v>
      </c>
      <c r="B74" s="168" t="s">
        <v>2212</v>
      </c>
      <c r="C74" s="144"/>
      <c r="D74" s="154">
        <v>45698.0</v>
      </c>
      <c r="E74" s="138" t="s">
        <v>451</v>
      </c>
      <c r="F74" s="161"/>
      <c r="G74" s="144"/>
      <c r="H74" s="145"/>
      <c r="I74" s="151" t="s">
        <v>2213</v>
      </c>
      <c r="J74" s="144"/>
      <c r="K74" s="145"/>
      <c r="L74" s="145"/>
    </row>
    <row r="75">
      <c r="A75" s="137" t="s">
        <v>11</v>
      </c>
      <c r="B75" s="151" t="s">
        <v>2214</v>
      </c>
      <c r="C75" s="150" t="s">
        <v>2215</v>
      </c>
      <c r="D75" s="154">
        <v>45698.0</v>
      </c>
      <c r="E75" s="138" t="s">
        <v>1184</v>
      </c>
      <c r="F75" s="137" t="s">
        <v>2216</v>
      </c>
      <c r="G75" s="152" t="s">
        <v>1212</v>
      </c>
      <c r="H75" s="151" t="s">
        <v>25</v>
      </c>
      <c r="I75" s="151" t="s">
        <v>18</v>
      </c>
      <c r="J75" s="144"/>
      <c r="K75" s="145"/>
      <c r="L75" s="145"/>
    </row>
    <row r="76">
      <c r="A76" s="137" t="s">
        <v>171</v>
      </c>
      <c r="B76" s="168" t="s">
        <v>2217</v>
      </c>
      <c r="C76" s="150" t="s">
        <v>2218</v>
      </c>
      <c r="D76" s="154">
        <v>45698.0</v>
      </c>
      <c r="E76" s="138" t="s">
        <v>778</v>
      </c>
      <c r="F76" s="137" t="s">
        <v>2219</v>
      </c>
      <c r="G76" s="152" t="s">
        <v>1212</v>
      </c>
      <c r="H76" s="151" t="s">
        <v>25</v>
      </c>
      <c r="I76" s="151" t="s">
        <v>18</v>
      </c>
      <c r="J76" s="144"/>
      <c r="K76" s="145"/>
      <c r="L76" s="145"/>
    </row>
    <row r="77">
      <c r="A77" s="137" t="s">
        <v>354</v>
      </c>
      <c r="B77" s="138" t="s">
        <v>2220</v>
      </c>
      <c r="C77" s="150" t="s">
        <v>2221</v>
      </c>
      <c r="D77" s="140">
        <v>45698.0</v>
      </c>
      <c r="E77" s="138" t="s">
        <v>357</v>
      </c>
      <c r="F77" s="137" t="s">
        <v>2222</v>
      </c>
      <c r="G77" s="150" t="s">
        <v>2223</v>
      </c>
      <c r="H77" s="151" t="s">
        <v>25</v>
      </c>
      <c r="I77" s="148" t="s">
        <v>881</v>
      </c>
      <c r="J77" s="144"/>
      <c r="K77" s="145"/>
      <c r="L77" s="145"/>
    </row>
    <row r="78">
      <c r="A78" s="137" t="s">
        <v>11</v>
      </c>
      <c r="B78" s="148" t="s">
        <v>2224</v>
      </c>
      <c r="C78" s="139" t="s">
        <v>2225</v>
      </c>
      <c r="D78" s="140">
        <v>45698.0</v>
      </c>
      <c r="E78" s="146" t="s">
        <v>73</v>
      </c>
      <c r="F78" s="137" t="s">
        <v>2226</v>
      </c>
      <c r="G78" s="152" t="s">
        <v>1212</v>
      </c>
      <c r="H78" s="151" t="s">
        <v>40</v>
      </c>
      <c r="I78" s="151" t="s">
        <v>18</v>
      </c>
      <c r="J78" s="144"/>
      <c r="K78" s="145"/>
      <c r="L78" s="145"/>
    </row>
    <row r="79">
      <c r="A79" s="137" t="s">
        <v>743</v>
      </c>
      <c r="B79" s="168" t="s">
        <v>2227</v>
      </c>
      <c r="C79" s="150" t="s">
        <v>2228</v>
      </c>
      <c r="D79" s="140">
        <v>45698.0</v>
      </c>
      <c r="E79" s="138" t="s">
        <v>1905</v>
      </c>
      <c r="F79" s="137" t="s">
        <v>2229</v>
      </c>
      <c r="G79" s="144"/>
      <c r="H79" s="151" t="s">
        <v>25</v>
      </c>
      <c r="I79" s="151" t="s">
        <v>2230</v>
      </c>
      <c r="J79" s="144"/>
      <c r="K79" s="145"/>
      <c r="L79" s="145"/>
    </row>
    <row r="80">
      <c r="A80" s="137" t="s">
        <v>2231</v>
      </c>
      <c r="B80" s="138" t="s">
        <v>2232</v>
      </c>
      <c r="C80" s="139" t="s">
        <v>2233</v>
      </c>
      <c r="D80" s="140">
        <v>45698.0</v>
      </c>
      <c r="E80" s="138" t="s">
        <v>2234</v>
      </c>
      <c r="F80" s="137" t="s">
        <v>2235</v>
      </c>
      <c r="G80" s="152" t="s">
        <v>1212</v>
      </c>
      <c r="H80" s="151" t="s">
        <v>25</v>
      </c>
      <c r="I80" s="142" t="s">
        <v>2205</v>
      </c>
      <c r="J80" s="144"/>
      <c r="K80" s="138" t="s">
        <v>2236</v>
      </c>
      <c r="L80" s="145"/>
    </row>
    <row r="81">
      <c r="A81" s="137" t="s">
        <v>580</v>
      </c>
      <c r="B81" s="168" t="s">
        <v>2237</v>
      </c>
      <c r="C81" s="144"/>
      <c r="D81" s="140">
        <v>45698.0</v>
      </c>
      <c r="E81" s="138" t="s">
        <v>1673</v>
      </c>
      <c r="F81" s="161"/>
      <c r="G81" s="144"/>
      <c r="H81" s="145"/>
      <c r="I81" s="142" t="s">
        <v>2205</v>
      </c>
      <c r="J81" s="144"/>
      <c r="K81" s="145"/>
      <c r="L81" s="145"/>
    </row>
    <row r="82">
      <c r="A82" s="137" t="s">
        <v>580</v>
      </c>
      <c r="B82" s="168" t="s">
        <v>1704</v>
      </c>
      <c r="C82" s="150" t="s">
        <v>2238</v>
      </c>
      <c r="D82" s="140">
        <v>45698.0</v>
      </c>
      <c r="E82" s="138" t="s">
        <v>2056</v>
      </c>
      <c r="F82" s="137" t="s">
        <v>2239</v>
      </c>
      <c r="G82" s="141" t="s">
        <v>2240</v>
      </c>
      <c r="H82" s="159" t="s">
        <v>2241</v>
      </c>
      <c r="I82" s="142" t="s">
        <v>2242</v>
      </c>
      <c r="J82" s="144"/>
      <c r="K82" s="145"/>
      <c r="L82" s="145"/>
    </row>
    <row r="83">
      <c r="A83" s="137"/>
      <c r="B83" s="168" t="s">
        <v>2243</v>
      </c>
      <c r="C83" s="144"/>
      <c r="D83" s="140">
        <v>45698.0</v>
      </c>
      <c r="E83" s="138" t="s">
        <v>2234</v>
      </c>
      <c r="F83" s="137" t="s">
        <v>2244</v>
      </c>
      <c r="G83" s="157" t="s">
        <v>2245</v>
      </c>
      <c r="H83" s="151" t="s">
        <v>25</v>
      </c>
      <c r="I83" s="142" t="s">
        <v>2246</v>
      </c>
      <c r="J83" s="144"/>
      <c r="K83" s="145"/>
      <c r="L83" s="145"/>
    </row>
    <row r="84">
      <c r="A84" s="137" t="s">
        <v>171</v>
      </c>
      <c r="B84" s="138" t="s">
        <v>1877</v>
      </c>
      <c r="C84" s="150" t="s">
        <v>2247</v>
      </c>
      <c r="D84" s="140">
        <v>45698.0</v>
      </c>
      <c r="E84" s="138" t="s">
        <v>816</v>
      </c>
      <c r="F84" s="137" t="s">
        <v>2248</v>
      </c>
      <c r="G84" s="152" t="s">
        <v>1212</v>
      </c>
      <c r="H84" s="151" t="s">
        <v>25</v>
      </c>
      <c r="I84" s="148" t="s">
        <v>881</v>
      </c>
      <c r="J84" s="144"/>
      <c r="K84" s="145"/>
      <c r="L84" s="145"/>
    </row>
    <row r="85">
      <c r="A85" s="137" t="s">
        <v>171</v>
      </c>
      <c r="B85" s="138" t="s">
        <v>2249</v>
      </c>
      <c r="C85" s="150" t="s">
        <v>2250</v>
      </c>
      <c r="D85" s="140">
        <v>45698.0</v>
      </c>
      <c r="E85" s="146" t="s">
        <v>1943</v>
      </c>
      <c r="F85" s="146" t="s">
        <v>2251</v>
      </c>
      <c r="G85" s="152" t="s">
        <v>1212</v>
      </c>
      <c r="H85" s="145"/>
      <c r="I85" s="148" t="s">
        <v>881</v>
      </c>
      <c r="J85" s="144"/>
      <c r="K85" s="138" t="s">
        <v>2252</v>
      </c>
      <c r="L85" s="145"/>
    </row>
    <row r="86">
      <c r="A86" s="137" t="s">
        <v>580</v>
      </c>
      <c r="B86" s="138" t="s">
        <v>2253</v>
      </c>
      <c r="C86" s="150" t="s">
        <v>2254</v>
      </c>
      <c r="D86" s="140">
        <v>45698.0</v>
      </c>
      <c r="E86" s="180" t="s">
        <v>2255</v>
      </c>
      <c r="F86" s="146" t="s">
        <v>2256</v>
      </c>
      <c r="G86" s="152" t="s">
        <v>1212</v>
      </c>
      <c r="H86" s="145"/>
      <c r="I86" s="142" t="s">
        <v>2205</v>
      </c>
      <c r="J86" s="144"/>
      <c r="K86" s="145"/>
      <c r="L86" s="145"/>
    </row>
    <row r="87">
      <c r="A87" s="137"/>
      <c r="B87" s="138" t="s">
        <v>2257</v>
      </c>
      <c r="C87" s="150" t="s">
        <v>803</v>
      </c>
      <c r="D87" s="140">
        <v>45698.0</v>
      </c>
      <c r="E87" s="137" t="s">
        <v>463</v>
      </c>
      <c r="F87" s="161"/>
      <c r="G87" s="150" t="s">
        <v>2258</v>
      </c>
      <c r="H87" s="145"/>
      <c r="I87" s="142" t="s">
        <v>2205</v>
      </c>
      <c r="J87" s="144"/>
      <c r="K87" s="145"/>
      <c r="L87" s="145"/>
    </row>
    <row r="88">
      <c r="A88" s="137" t="s">
        <v>580</v>
      </c>
      <c r="B88" s="138" t="s">
        <v>2259</v>
      </c>
      <c r="C88" s="150" t="s">
        <v>2260</v>
      </c>
      <c r="D88" s="140">
        <v>45699.0</v>
      </c>
      <c r="E88" s="138" t="s">
        <v>451</v>
      </c>
      <c r="F88" s="137" t="s">
        <v>2261</v>
      </c>
      <c r="G88" s="141" t="s">
        <v>611</v>
      </c>
      <c r="H88" s="159" t="s">
        <v>25</v>
      </c>
      <c r="I88" s="142" t="s">
        <v>1933</v>
      </c>
      <c r="J88" s="144"/>
      <c r="K88" s="145"/>
      <c r="L88" s="145"/>
    </row>
    <row r="89">
      <c r="A89" s="137" t="s">
        <v>1562</v>
      </c>
      <c r="B89" s="138" t="s">
        <v>2262</v>
      </c>
      <c r="C89" s="150" t="s">
        <v>2263</v>
      </c>
      <c r="D89" s="140">
        <v>45699.0</v>
      </c>
      <c r="E89" s="138" t="s">
        <v>1715</v>
      </c>
      <c r="F89" s="181" t="s">
        <v>2264</v>
      </c>
      <c r="G89" s="152" t="s">
        <v>1212</v>
      </c>
      <c r="H89" s="151" t="s">
        <v>25</v>
      </c>
      <c r="I89" s="143" t="s">
        <v>2205</v>
      </c>
      <c r="J89" s="144"/>
      <c r="K89" s="145"/>
      <c r="L89" s="145"/>
    </row>
    <row r="90">
      <c r="A90" s="137" t="s">
        <v>743</v>
      </c>
      <c r="B90" s="138" t="s">
        <v>2265</v>
      </c>
      <c r="C90" s="150" t="s">
        <v>2266</v>
      </c>
      <c r="D90" s="140">
        <v>45699.0</v>
      </c>
      <c r="E90" s="138" t="s">
        <v>2267</v>
      </c>
      <c r="F90" s="137" t="s">
        <v>2268</v>
      </c>
      <c r="G90" s="139" t="s">
        <v>2269</v>
      </c>
      <c r="H90" s="151" t="s">
        <v>25</v>
      </c>
      <c r="I90" s="151" t="s">
        <v>18</v>
      </c>
      <c r="J90" s="144"/>
      <c r="K90" s="145"/>
      <c r="L90" s="145"/>
    </row>
    <row r="91">
      <c r="A91" s="137" t="s">
        <v>1125</v>
      </c>
      <c r="B91" s="138" t="s">
        <v>2265</v>
      </c>
      <c r="C91" s="150" t="s">
        <v>2266</v>
      </c>
      <c r="D91" s="140">
        <v>45699.0</v>
      </c>
      <c r="E91" s="138" t="s">
        <v>2270</v>
      </c>
      <c r="F91" s="137" t="s">
        <v>2268</v>
      </c>
      <c r="G91" s="139" t="s">
        <v>2269</v>
      </c>
      <c r="H91" s="182" t="s">
        <v>2112</v>
      </c>
      <c r="I91" s="182" t="s">
        <v>2108</v>
      </c>
      <c r="J91" s="144"/>
      <c r="K91" s="145"/>
      <c r="L91" s="145"/>
    </row>
    <row r="92">
      <c r="A92" s="137" t="s">
        <v>743</v>
      </c>
      <c r="B92" s="138" t="s">
        <v>2271</v>
      </c>
      <c r="C92" s="150" t="s">
        <v>2272</v>
      </c>
      <c r="D92" s="140">
        <v>45699.0</v>
      </c>
      <c r="E92" s="138" t="s">
        <v>271</v>
      </c>
      <c r="F92" s="137" t="s">
        <v>2273</v>
      </c>
      <c r="G92" s="150" t="s">
        <v>2274</v>
      </c>
      <c r="H92" s="151" t="s">
        <v>25</v>
      </c>
      <c r="I92" s="151" t="s">
        <v>2108</v>
      </c>
      <c r="J92" s="144"/>
      <c r="K92" s="145"/>
      <c r="L92" s="145"/>
    </row>
    <row r="93">
      <c r="A93" s="137" t="s">
        <v>27</v>
      </c>
      <c r="B93" s="146" t="s">
        <v>2275</v>
      </c>
      <c r="C93" s="150" t="s">
        <v>2276</v>
      </c>
      <c r="D93" s="140">
        <v>45700.0</v>
      </c>
      <c r="E93" s="138" t="s">
        <v>2277</v>
      </c>
      <c r="F93" s="137" t="s">
        <v>2278</v>
      </c>
      <c r="G93" s="152" t="s">
        <v>1212</v>
      </c>
      <c r="H93" s="151" t="s">
        <v>40</v>
      </c>
      <c r="I93" s="151" t="s">
        <v>18</v>
      </c>
      <c r="J93" s="144"/>
      <c r="K93" s="145"/>
      <c r="L93" s="145"/>
    </row>
    <row r="94">
      <c r="A94" s="137" t="s">
        <v>2279</v>
      </c>
      <c r="B94" s="146" t="s">
        <v>2280</v>
      </c>
      <c r="C94" s="150" t="s">
        <v>2281</v>
      </c>
      <c r="D94" s="140">
        <v>45701.0</v>
      </c>
      <c r="E94" s="146" t="s">
        <v>929</v>
      </c>
      <c r="F94" s="161"/>
      <c r="G94" s="152" t="s">
        <v>1212</v>
      </c>
      <c r="H94" s="145"/>
      <c r="I94" s="138" t="s">
        <v>915</v>
      </c>
      <c r="J94" s="144"/>
      <c r="K94" s="138" t="s">
        <v>2282</v>
      </c>
      <c r="L94" s="145"/>
    </row>
    <row r="95">
      <c r="A95" s="137" t="s">
        <v>743</v>
      </c>
      <c r="B95" s="138" t="s">
        <v>2283</v>
      </c>
      <c r="C95" s="139" t="s">
        <v>2284</v>
      </c>
      <c r="D95" s="140">
        <v>45701.0</v>
      </c>
      <c r="E95" s="146" t="s">
        <v>199</v>
      </c>
      <c r="F95" s="146" t="s">
        <v>2285</v>
      </c>
      <c r="G95" s="152" t="s">
        <v>1355</v>
      </c>
      <c r="H95" s="151" t="s">
        <v>25</v>
      </c>
      <c r="I95" s="151" t="s">
        <v>2286</v>
      </c>
      <c r="J95" s="150" t="s">
        <v>2287</v>
      </c>
      <c r="K95" s="145"/>
      <c r="L95" s="145"/>
    </row>
    <row r="96">
      <c r="A96" s="137"/>
      <c r="B96" s="183" t="s">
        <v>2288</v>
      </c>
      <c r="C96" s="150" t="s">
        <v>2289</v>
      </c>
      <c r="D96" s="140">
        <v>45702.0</v>
      </c>
      <c r="E96" s="138" t="s">
        <v>357</v>
      </c>
      <c r="F96" s="161"/>
      <c r="G96" s="144"/>
      <c r="H96" s="145"/>
      <c r="I96" s="151" t="s">
        <v>18</v>
      </c>
      <c r="J96" s="144"/>
      <c r="K96" s="145"/>
      <c r="L96" s="145"/>
    </row>
    <row r="97">
      <c r="A97" s="137" t="s">
        <v>11</v>
      </c>
      <c r="B97" s="151" t="s">
        <v>2290</v>
      </c>
      <c r="C97" s="150" t="s">
        <v>2291</v>
      </c>
      <c r="D97" s="140">
        <v>45702.0</v>
      </c>
      <c r="E97" s="138" t="s">
        <v>130</v>
      </c>
      <c r="F97" s="137" t="s">
        <v>2292</v>
      </c>
      <c r="G97" s="152" t="s">
        <v>1212</v>
      </c>
      <c r="H97" s="151" t="s">
        <v>40</v>
      </c>
      <c r="I97" s="151"/>
      <c r="J97" s="144"/>
      <c r="K97" s="145"/>
      <c r="L97" s="145"/>
    </row>
    <row r="98">
      <c r="A98" s="137" t="s">
        <v>11</v>
      </c>
      <c r="B98" s="151" t="s">
        <v>2290</v>
      </c>
      <c r="C98" s="150" t="s">
        <v>2291</v>
      </c>
      <c r="D98" s="140">
        <v>45702.0</v>
      </c>
      <c r="E98" s="138" t="s">
        <v>1469</v>
      </c>
      <c r="F98" s="137" t="s">
        <v>2293</v>
      </c>
      <c r="G98" s="152" t="s">
        <v>1212</v>
      </c>
      <c r="H98" s="151" t="s">
        <v>40</v>
      </c>
      <c r="I98" s="151"/>
      <c r="J98" s="144"/>
      <c r="K98" s="145"/>
      <c r="L98" s="145"/>
    </row>
    <row r="99">
      <c r="A99" s="137"/>
      <c r="B99" s="138" t="s">
        <v>2294</v>
      </c>
      <c r="C99" s="150" t="s">
        <v>2295</v>
      </c>
      <c r="D99" s="140">
        <v>45703.0</v>
      </c>
      <c r="E99" s="146" t="s">
        <v>2296</v>
      </c>
      <c r="F99" s="161"/>
      <c r="G99" s="152" t="s">
        <v>1212</v>
      </c>
      <c r="H99" s="145"/>
      <c r="I99" s="138" t="s">
        <v>2297</v>
      </c>
      <c r="J99" s="144"/>
      <c r="K99" s="145"/>
      <c r="L99" s="145"/>
    </row>
    <row r="100">
      <c r="A100" s="137" t="s">
        <v>171</v>
      </c>
      <c r="B100" s="138" t="s">
        <v>2298</v>
      </c>
      <c r="C100" s="150" t="s">
        <v>2299</v>
      </c>
      <c r="D100" s="140">
        <v>45705.0</v>
      </c>
      <c r="E100" s="138" t="s">
        <v>1184</v>
      </c>
      <c r="F100" s="171" t="s">
        <v>2300</v>
      </c>
      <c r="G100" s="152" t="s">
        <v>1212</v>
      </c>
      <c r="H100" s="151" t="s">
        <v>25</v>
      </c>
      <c r="I100" s="151" t="s">
        <v>18</v>
      </c>
      <c r="J100" s="144"/>
      <c r="K100" s="138" t="s">
        <v>86</v>
      </c>
      <c r="L100" s="145"/>
    </row>
    <row r="101">
      <c r="A101" s="137" t="s">
        <v>2301</v>
      </c>
      <c r="B101" s="138" t="s">
        <v>2298</v>
      </c>
      <c r="C101" s="150" t="s">
        <v>2299</v>
      </c>
      <c r="D101" s="140">
        <v>45705.0</v>
      </c>
      <c r="E101" s="146" t="s">
        <v>2302</v>
      </c>
      <c r="F101" s="137" t="s">
        <v>2303</v>
      </c>
      <c r="G101" s="152" t="s">
        <v>1212</v>
      </c>
      <c r="H101" s="143" t="s">
        <v>2304</v>
      </c>
      <c r="I101" s="143" t="s">
        <v>915</v>
      </c>
      <c r="J101" s="144"/>
      <c r="K101" s="145"/>
      <c r="L101" s="145"/>
    </row>
    <row r="102">
      <c r="A102" s="137" t="s">
        <v>2305</v>
      </c>
      <c r="B102" s="138" t="s">
        <v>2306</v>
      </c>
      <c r="C102" s="150" t="s">
        <v>2307</v>
      </c>
      <c r="D102" s="140">
        <v>45705.0</v>
      </c>
      <c r="E102" s="146" t="s">
        <v>1653</v>
      </c>
      <c r="F102" s="137" t="s">
        <v>2308</v>
      </c>
      <c r="G102" s="157" t="s">
        <v>2171</v>
      </c>
      <c r="H102" s="151" t="s">
        <v>40</v>
      </c>
      <c r="I102" s="143" t="s">
        <v>915</v>
      </c>
      <c r="J102" s="175"/>
      <c r="K102" s="145"/>
      <c r="L102" s="145"/>
    </row>
    <row r="103">
      <c r="A103" s="137" t="s">
        <v>2088</v>
      </c>
      <c r="B103" s="138" t="s">
        <v>2309</v>
      </c>
      <c r="C103" s="150" t="s">
        <v>608</v>
      </c>
      <c r="D103" s="140">
        <v>45705.0</v>
      </c>
      <c r="E103" s="138" t="s">
        <v>2310</v>
      </c>
      <c r="F103" s="137" t="s">
        <v>2311</v>
      </c>
      <c r="G103" s="157" t="s">
        <v>2171</v>
      </c>
      <c r="H103" s="151" t="s">
        <v>40</v>
      </c>
      <c r="I103" s="165" t="s">
        <v>2312</v>
      </c>
      <c r="J103" s="144"/>
      <c r="K103" s="145"/>
      <c r="L103" s="145"/>
    </row>
    <row r="104">
      <c r="A104" s="137" t="s">
        <v>11</v>
      </c>
      <c r="B104" s="151" t="s">
        <v>2313</v>
      </c>
      <c r="C104" s="150" t="s">
        <v>2314</v>
      </c>
      <c r="D104" s="140">
        <v>45705.0</v>
      </c>
      <c r="E104" s="138" t="s">
        <v>2315</v>
      </c>
      <c r="F104" s="137" t="s">
        <v>2316</v>
      </c>
      <c r="G104" s="152" t="s">
        <v>1212</v>
      </c>
      <c r="H104" s="151" t="s">
        <v>40</v>
      </c>
      <c r="I104" s="151" t="s">
        <v>18</v>
      </c>
      <c r="J104" s="144"/>
      <c r="K104" s="145"/>
      <c r="L104" s="145"/>
    </row>
    <row r="105">
      <c r="A105" s="137" t="s">
        <v>171</v>
      </c>
      <c r="B105" s="138" t="s">
        <v>2317</v>
      </c>
      <c r="C105" s="150" t="s">
        <v>2318</v>
      </c>
      <c r="D105" s="140">
        <v>45705.0</v>
      </c>
      <c r="E105" s="168" t="s">
        <v>296</v>
      </c>
      <c r="F105" s="146" t="s">
        <v>2319</v>
      </c>
      <c r="G105" s="152" t="s">
        <v>1212</v>
      </c>
      <c r="H105" s="145"/>
      <c r="I105" s="151" t="s">
        <v>18</v>
      </c>
      <c r="J105" s="144"/>
      <c r="K105" s="145"/>
      <c r="L105" s="145"/>
    </row>
    <row r="106">
      <c r="A106" s="137" t="s">
        <v>1562</v>
      </c>
      <c r="B106" s="138" t="s">
        <v>2320</v>
      </c>
      <c r="C106" s="150" t="s">
        <v>2321</v>
      </c>
      <c r="D106" s="140">
        <v>45706.0</v>
      </c>
      <c r="E106" s="138" t="s">
        <v>746</v>
      </c>
      <c r="F106" s="137" t="s">
        <v>2322</v>
      </c>
      <c r="G106" s="157" t="s">
        <v>2171</v>
      </c>
      <c r="H106" s="151" t="s">
        <v>40</v>
      </c>
      <c r="I106" s="151" t="s">
        <v>18</v>
      </c>
      <c r="J106" s="144"/>
      <c r="K106" s="145"/>
      <c r="L106" s="145"/>
    </row>
    <row r="107">
      <c r="A107" s="137" t="s">
        <v>580</v>
      </c>
      <c r="B107" s="168" t="s">
        <v>2323</v>
      </c>
      <c r="C107" s="150" t="s">
        <v>2324</v>
      </c>
      <c r="D107" s="140">
        <v>45706.0</v>
      </c>
      <c r="E107" s="138" t="s">
        <v>676</v>
      </c>
      <c r="F107" s="137" t="s">
        <v>2325</v>
      </c>
      <c r="G107" s="141" t="s">
        <v>611</v>
      </c>
      <c r="H107" s="138" t="s">
        <v>2326</v>
      </c>
      <c r="I107" s="138" t="s">
        <v>1933</v>
      </c>
      <c r="J107" s="144"/>
      <c r="K107" s="145"/>
      <c r="L107" s="145"/>
    </row>
    <row r="108">
      <c r="A108" s="137" t="s">
        <v>422</v>
      </c>
      <c r="B108" s="138" t="s">
        <v>2327</v>
      </c>
      <c r="C108" s="150" t="s">
        <v>2328</v>
      </c>
      <c r="D108" s="140">
        <v>45707.0</v>
      </c>
      <c r="E108" s="138" t="s">
        <v>292</v>
      </c>
      <c r="F108" s="184" t="s">
        <v>2329</v>
      </c>
      <c r="G108" s="152" t="s">
        <v>1212</v>
      </c>
      <c r="H108" s="151" t="s">
        <v>40</v>
      </c>
      <c r="I108" s="177" t="s">
        <v>2330</v>
      </c>
      <c r="J108" s="144"/>
      <c r="K108" s="145"/>
      <c r="L108" s="145"/>
    </row>
    <row r="109">
      <c r="A109" s="137" t="s">
        <v>663</v>
      </c>
      <c r="B109" s="168" t="s">
        <v>2331</v>
      </c>
      <c r="C109" s="144"/>
      <c r="D109" s="140">
        <v>45707.0</v>
      </c>
      <c r="E109" s="138" t="s">
        <v>357</v>
      </c>
      <c r="F109" s="185" t="s">
        <v>2332</v>
      </c>
      <c r="G109" s="144"/>
      <c r="H109" s="145"/>
      <c r="I109" s="151" t="s">
        <v>18</v>
      </c>
      <c r="J109" s="144"/>
      <c r="K109" s="145"/>
      <c r="L109" s="145"/>
    </row>
    <row r="110">
      <c r="A110" s="137" t="s">
        <v>2301</v>
      </c>
      <c r="B110" s="138" t="s">
        <v>2333</v>
      </c>
      <c r="C110" s="150" t="s">
        <v>2334</v>
      </c>
      <c r="D110" s="140">
        <v>45707.0</v>
      </c>
      <c r="E110" s="138" t="s">
        <v>2335</v>
      </c>
      <c r="F110" s="186"/>
      <c r="G110" s="152" t="s">
        <v>1212</v>
      </c>
      <c r="H110" s="151" t="s">
        <v>25</v>
      </c>
      <c r="I110" s="138" t="s">
        <v>915</v>
      </c>
      <c r="J110" s="144"/>
      <c r="K110" s="145"/>
      <c r="L110" s="145"/>
    </row>
    <row r="111">
      <c r="A111" s="137" t="s">
        <v>27</v>
      </c>
      <c r="B111" s="138" t="s">
        <v>2336</v>
      </c>
      <c r="C111" s="150" t="s">
        <v>2337</v>
      </c>
      <c r="D111" s="140">
        <v>45708.0</v>
      </c>
      <c r="E111" s="138" t="s">
        <v>2059</v>
      </c>
      <c r="F111" s="137" t="s">
        <v>2338</v>
      </c>
      <c r="G111" s="152" t="s">
        <v>1212</v>
      </c>
      <c r="H111" s="151" t="s">
        <v>25</v>
      </c>
      <c r="I111" s="151" t="s">
        <v>18</v>
      </c>
      <c r="J111" s="144"/>
      <c r="K111" s="145"/>
      <c r="L111" s="145"/>
    </row>
    <row r="112">
      <c r="A112" s="137" t="s">
        <v>27</v>
      </c>
      <c r="B112" s="137" t="s">
        <v>2339</v>
      </c>
      <c r="C112" s="150" t="s">
        <v>2340</v>
      </c>
      <c r="D112" s="140">
        <v>45708.0</v>
      </c>
      <c r="E112" s="138" t="s">
        <v>2341</v>
      </c>
      <c r="F112" s="137" t="s">
        <v>2342</v>
      </c>
      <c r="G112" s="152" t="s">
        <v>1212</v>
      </c>
      <c r="H112" s="151" t="s">
        <v>25</v>
      </c>
      <c r="I112" s="151" t="s">
        <v>18</v>
      </c>
      <c r="J112" s="144"/>
      <c r="K112" s="145"/>
      <c r="L112" s="145"/>
    </row>
    <row r="113">
      <c r="A113" s="137" t="s">
        <v>27</v>
      </c>
      <c r="B113" s="148" t="s">
        <v>2343</v>
      </c>
      <c r="C113" s="150" t="s">
        <v>2344</v>
      </c>
      <c r="D113" s="140">
        <v>45709.0</v>
      </c>
      <c r="E113" s="180" t="s">
        <v>107</v>
      </c>
      <c r="F113" s="137" t="s">
        <v>2345</v>
      </c>
      <c r="G113" s="152" t="s">
        <v>1212</v>
      </c>
      <c r="H113" s="151" t="s">
        <v>25</v>
      </c>
      <c r="I113" s="151" t="s">
        <v>2108</v>
      </c>
      <c r="J113" s="150" t="s">
        <v>2138</v>
      </c>
      <c r="K113" s="145"/>
      <c r="L113" s="145"/>
    </row>
    <row r="114">
      <c r="A114" s="137"/>
      <c r="B114" s="138" t="s">
        <v>2346</v>
      </c>
      <c r="C114" s="150" t="s">
        <v>2347</v>
      </c>
      <c r="D114" s="140">
        <v>45709.0</v>
      </c>
      <c r="E114" s="138" t="s">
        <v>1052</v>
      </c>
      <c r="F114" s="137" t="s">
        <v>2348</v>
      </c>
      <c r="G114" s="157" t="s">
        <v>2349</v>
      </c>
      <c r="H114" s="142" t="s">
        <v>2304</v>
      </c>
      <c r="I114" s="143" t="s">
        <v>915</v>
      </c>
      <c r="J114" s="144"/>
      <c r="K114" s="145"/>
      <c r="L114" s="145"/>
    </row>
    <row r="115">
      <c r="A115" s="137" t="s">
        <v>11</v>
      </c>
      <c r="B115" s="151" t="s">
        <v>2350</v>
      </c>
      <c r="C115" s="150" t="s">
        <v>2351</v>
      </c>
      <c r="D115" s="140">
        <v>45709.0</v>
      </c>
      <c r="E115" s="138" t="s">
        <v>97</v>
      </c>
      <c r="F115" s="137" t="s">
        <v>2352</v>
      </c>
      <c r="G115" s="152" t="s">
        <v>1407</v>
      </c>
      <c r="H115" s="151" t="s">
        <v>25</v>
      </c>
      <c r="I115" s="151" t="s">
        <v>2108</v>
      </c>
      <c r="J115" s="144"/>
      <c r="K115" s="145"/>
      <c r="L115" s="145"/>
    </row>
    <row r="116">
      <c r="A116" s="137" t="s">
        <v>2353</v>
      </c>
      <c r="B116" s="138" t="s">
        <v>2354</v>
      </c>
      <c r="C116" s="150" t="s">
        <v>2355</v>
      </c>
      <c r="D116" s="150" t="s">
        <v>1917</v>
      </c>
      <c r="E116" s="138" t="s">
        <v>292</v>
      </c>
      <c r="F116" s="137" t="s">
        <v>2356</v>
      </c>
      <c r="G116" s="150" t="s">
        <v>547</v>
      </c>
      <c r="H116" s="151" t="s">
        <v>25</v>
      </c>
      <c r="I116" s="138" t="s">
        <v>915</v>
      </c>
      <c r="J116" s="144"/>
      <c r="K116" s="145"/>
      <c r="L116" s="145"/>
    </row>
    <row r="117">
      <c r="A117" s="137"/>
      <c r="B117" s="138" t="s">
        <v>2357</v>
      </c>
      <c r="C117" s="150" t="s">
        <v>2358</v>
      </c>
      <c r="D117" s="144"/>
      <c r="E117" s="138" t="s">
        <v>357</v>
      </c>
      <c r="F117" s="137" t="s">
        <v>2359</v>
      </c>
      <c r="G117" s="152" t="s">
        <v>1212</v>
      </c>
      <c r="H117" s="151" t="s">
        <v>25</v>
      </c>
      <c r="I117" s="148" t="s">
        <v>881</v>
      </c>
      <c r="J117" s="144"/>
      <c r="K117" s="145"/>
      <c r="L117" s="145"/>
    </row>
    <row r="118">
      <c r="A118" s="137"/>
      <c r="B118" s="146" t="s">
        <v>2360</v>
      </c>
      <c r="C118" s="150" t="s">
        <v>2361</v>
      </c>
      <c r="D118" s="144"/>
      <c r="E118" s="137" t="s">
        <v>814</v>
      </c>
      <c r="F118" s="187"/>
      <c r="G118" s="144"/>
      <c r="H118" s="145"/>
      <c r="I118" s="151" t="s">
        <v>18</v>
      </c>
      <c r="J118" s="144"/>
      <c r="K118" s="138" t="s">
        <v>2362</v>
      </c>
      <c r="L118" s="145"/>
    </row>
    <row r="119">
      <c r="A119" s="137" t="s">
        <v>580</v>
      </c>
      <c r="B119" s="168" t="s">
        <v>2363</v>
      </c>
      <c r="C119" s="144"/>
      <c r="D119" s="144"/>
      <c r="E119" s="138" t="s">
        <v>451</v>
      </c>
      <c r="F119" s="146" t="s">
        <v>2364</v>
      </c>
      <c r="G119" s="152" t="s">
        <v>1212</v>
      </c>
      <c r="H119" s="145"/>
      <c r="I119" s="151" t="s">
        <v>18</v>
      </c>
      <c r="J119" s="144"/>
      <c r="K119" s="145"/>
      <c r="L119" s="145"/>
    </row>
    <row r="120">
      <c r="A120" s="137" t="s">
        <v>580</v>
      </c>
      <c r="B120" s="188" t="s">
        <v>2365</v>
      </c>
      <c r="C120" s="150" t="s">
        <v>2366</v>
      </c>
      <c r="D120" s="144"/>
      <c r="E120" s="138" t="s">
        <v>357</v>
      </c>
      <c r="F120" s="159" t="s">
        <v>2367</v>
      </c>
      <c r="G120" s="189" t="s">
        <v>1212</v>
      </c>
      <c r="H120" s="159" t="s">
        <v>25</v>
      </c>
      <c r="I120" s="159" t="s">
        <v>2368</v>
      </c>
      <c r="J120" s="144"/>
      <c r="K120" s="145"/>
      <c r="L120" s="145"/>
    </row>
    <row r="121">
      <c r="A121" s="137" t="s">
        <v>595</v>
      </c>
      <c r="B121" s="138" t="s">
        <v>2369</v>
      </c>
      <c r="C121" s="139" t="s">
        <v>2370</v>
      </c>
      <c r="D121" s="144"/>
      <c r="E121" s="145"/>
      <c r="F121" s="190" t="s">
        <v>2371</v>
      </c>
      <c r="G121" s="152" t="s">
        <v>1212</v>
      </c>
      <c r="H121" s="145"/>
      <c r="I121" s="151" t="s">
        <v>18</v>
      </c>
      <c r="J121" s="144"/>
      <c r="K121" s="145"/>
      <c r="L121" s="145"/>
    </row>
    <row r="122">
      <c r="A122" s="137" t="s">
        <v>171</v>
      </c>
      <c r="B122" s="138" t="s">
        <v>2372</v>
      </c>
      <c r="C122" s="139" t="s">
        <v>2373</v>
      </c>
      <c r="D122" s="140">
        <v>45700.0</v>
      </c>
      <c r="E122" s="146" t="s">
        <v>2374</v>
      </c>
      <c r="F122" s="137" t="s">
        <v>2375</v>
      </c>
      <c r="G122" s="152" t="s">
        <v>1212</v>
      </c>
      <c r="H122" s="151" t="s">
        <v>25</v>
      </c>
      <c r="I122" s="151" t="s">
        <v>567</v>
      </c>
      <c r="J122" s="144"/>
      <c r="K122" s="138" t="s">
        <v>2376</v>
      </c>
      <c r="L122" s="145"/>
    </row>
    <row r="123">
      <c r="A123" s="137"/>
      <c r="B123" s="138" t="s">
        <v>2377</v>
      </c>
      <c r="C123" s="150" t="s">
        <v>2378</v>
      </c>
      <c r="D123" s="144"/>
      <c r="E123" s="138" t="s">
        <v>2379</v>
      </c>
      <c r="F123" s="188" t="s">
        <v>2380</v>
      </c>
      <c r="G123" s="144"/>
      <c r="H123" s="145"/>
      <c r="I123" s="138" t="s">
        <v>1857</v>
      </c>
      <c r="J123" s="144"/>
      <c r="K123" s="138" t="s">
        <v>2381</v>
      </c>
      <c r="L123" s="145"/>
    </row>
    <row r="124">
      <c r="A124" s="137"/>
      <c r="B124" s="138" t="s">
        <v>2382</v>
      </c>
      <c r="C124" s="144"/>
      <c r="D124" s="144"/>
      <c r="E124" s="146" t="s">
        <v>2383</v>
      </c>
      <c r="F124" s="161"/>
      <c r="G124" s="150" t="s">
        <v>2384</v>
      </c>
      <c r="H124" s="145"/>
      <c r="I124" s="138" t="s">
        <v>1857</v>
      </c>
      <c r="J124" s="144"/>
      <c r="K124" s="138" t="s">
        <v>2385</v>
      </c>
      <c r="L124" s="145"/>
    </row>
    <row r="125">
      <c r="A125" s="137" t="s">
        <v>27</v>
      </c>
      <c r="B125" s="148" t="s">
        <v>2386</v>
      </c>
      <c r="C125" s="191" t="s">
        <v>2387</v>
      </c>
      <c r="D125" s="144"/>
      <c r="E125" s="190" t="s">
        <v>2388</v>
      </c>
      <c r="F125" s="192" t="s">
        <v>2389</v>
      </c>
      <c r="G125" s="152" t="s">
        <v>1212</v>
      </c>
      <c r="H125" s="192" t="s">
        <v>2390</v>
      </c>
      <c r="I125" s="151" t="s">
        <v>2108</v>
      </c>
      <c r="J125" s="144"/>
      <c r="K125" s="138" t="s">
        <v>2391</v>
      </c>
      <c r="L125" s="145"/>
    </row>
    <row r="126">
      <c r="A126" s="137" t="s">
        <v>422</v>
      </c>
      <c r="B126" s="146" t="s">
        <v>2392</v>
      </c>
      <c r="C126" s="193" t="s">
        <v>2393</v>
      </c>
      <c r="D126" s="144"/>
      <c r="E126" s="194" t="s">
        <v>2394</v>
      </c>
      <c r="F126" s="137" t="s">
        <v>2395</v>
      </c>
      <c r="G126" s="150" t="s">
        <v>2396</v>
      </c>
      <c r="H126" s="145"/>
      <c r="I126" s="138" t="s">
        <v>2397</v>
      </c>
      <c r="J126" s="144"/>
      <c r="K126" s="145"/>
      <c r="L126" s="145"/>
    </row>
    <row r="127">
      <c r="A127" s="137"/>
      <c r="B127" s="138" t="s">
        <v>2398</v>
      </c>
      <c r="C127" s="144"/>
      <c r="D127" s="144"/>
      <c r="E127" s="145"/>
      <c r="F127" s="161"/>
      <c r="G127" s="144"/>
      <c r="H127" s="145"/>
      <c r="I127" s="138" t="s">
        <v>1042</v>
      </c>
      <c r="J127" s="144"/>
      <c r="K127" s="145"/>
      <c r="L127" s="145"/>
    </row>
    <row r="128">
      <c r="A128" s="137" t="s">
        <v>2399</v>
      </c>
      <c r="B128" s="138" t="s">
        <v>2400</v>
      </c>
      <c r="C128" s="150" t="s">
        <v>2401</v>
      </c>
      <c r="D128" s="150" t="s">
        <v>2401</v>
      </c>
      <c r="E128" s="195" t="s">
        <v>1943</v>
      </c>
      <c r="F128" s="159" t="s">
        <v>2402</v>
      </c>
      <c r="G128" s="152" t="s">
        <v>1212</v>
      </c>
      <c r="H128" s="145"/>
      <c r="I128" s="151" t="s">
        <v>18</v>
      </c>
      <c r="J128" s="144"/>
      <c r="K128" s="145"/>
      <c r="L128" s="145"/>
    </row>
    <row r="129">
      <c r="A129" s="137" t="s">
        <v>580</v>
      </c>
      <c r="B129" s="168" t="s">
        <v>2403</v>
      </c>
      <c r="C129" s="150" t="s">
        <v>2404</v>
      </c>
      <c r="D129" s="150"/>
      <c r="E129" s="138" t="s">
        <v>575</v>
      </c>
      <c r="F129" s="137"/>
      <c r="G129" s="152" t="s">
        <v>1212</v>
      </c>
      <c r="H129" s="145"/>
      <c r="I129" s="143" t="s">
        <v>915</v>
      </c>
      <c r="J129" s="144"/>
      <c r="K129" s="145"/>
      <c r="L129" s="145"/>
    </row>
    <row r="130">
      <c r="A130" s="137"/>
      <c r="B130" s="168" t="s">
        <v>2405</v>
      </c>
      <c r="C130" s="144"/>
      <c r="D130" s="144"/>
      <c r="E130" s="145"/>
      <c r="F130" s="161"/>
      <c r="G130" s="141" t="s">
        <v>898</v>
      </c>
      <c r="H130" s="145"/>
      <c r="I130" s="196" t="s">
        <v>2406</v>
      </c>
      <c r="J130" s="144"/>
      <c r="K130" s="145"/>
      <c r="L130" s="145"/>
    </row>
    <row r="131">
      <c r="A131" s="137"/>
      <c r="B131" s="138" t="s">
        <v>2407</v>
      </c>
      <c r="C131" s="150" t="s">
        <v>2408</v>
      </c>
      <c r="D131" s="144"/>
      <c r="E131" s="137" t="s">
        <v>2409</v>
      </c>
      <c r="F131" s="161"/>
      <c r="G131" s="150" t="s">
        <v>2410</v>
      </c>
      <c r="H131" s="145"/>
      <c r="I131" s="138" t="s">
        <v>2411</v>
      </c>
      <c r="J131" s="144"/>
      <c r="K131" s="145"/>
      <c r="L131" s="145"/>
    </row>
    <row r="132">
      <c r="A132" s="137" t="s">
        <v>580</v>
      </c>
      <c r="B132" s="168" t="s">
        <v>1208</v>
      </c>
      <c r="C132" s="144"/>
      <c r="D132" s="144"/>
      <c r="E132" s="138" t="s">
        <v>2412</v>
      </c>
      <c r="F132" s="161"/>
      <c r="G132" s="144"/>
      <c r="H132" s="145"/>
      <c r="I132" s="138" t="s">
        <v>18</v>
      </c>
      <c r="J132" s="144"/>
      <c r="K132" s="145"/>
      <c r="L132" s="145"/>
    </row>
    <row r="133">
      <c r="A133" s="137" t="s">
        <v>2413</v>
      </c>
      <c r="B133" s="138" t="s">
        <v>2414</v>
      </c>
      <c r="C133" s="150" t="s">
        <v>2415</v>
      </c>
      <c r="D133" s="144"/>
      <c r="E133" s="137" t="s">
        <v>1436</v>
      </c>
      <c r="F133" s="137" t="s">
        <v>2416</v>
      </c>
      <c r="G133" s="152" t="s">
        <v>631</v>
      </c>
      <c r="H133" s="151" t="s">
        <v>2417</v>
      </c>
      <c r="I133" s="197" t="s">
        <v>2418</v>
      </c>
      <c r="J133" s="144"/>
      <c r="K133" s="145"/>
      <c r="L133" s="145"/>
    </row>
    <row r="134">
      <c r="A134" s="137" t="s">
        <v>580</v>
      </c>
      <c r="B134" s="168" t="s">
        <v>2000</v>
      </c>
      <c r="C134" s="150" t="s">
        <v>2419</v>
      </c>
      <c r="D134" s="140">
        <v>45705.0</v>
      </c>
      <c r="E134" s="138" t="s">
        <v>73</v>
      </c>
      <c r="F134" s="137" t="s">
        <v>2420</v>
      </c>
      <c r="G134" s="152" t="s">
        <v>1212</v>
      </c>
      <c r="H134" s="138" t="s">
        <v>40</v>
      </c>
      <c r="I134" s="151" t="s">
        <v>2421</v>
      </c>
      <c r="J134" s="144"/>
      <c r="K134" s="145"/>
      <c r="L134" s="145"/>
    </row>
    <row r="135">
      <c r="A135" s="137" t="s">
        <v>580</v>
      </c>
      <c r="B135" s="168" t="s">
        <v>2000</v>
      </c>
      <c r="C135" s="144"/>
      <c r="D135" s="144"/>
      <c r="E135" s="138" t="s">
        <v>2422</v>
      </c>
      <c r="F135" s="137" t="s">
        <v>2423</v>
      </c>
      <c r="G135" s="152" t="s">
        <v>1212</v>
      </c>
      <c r="H135" s="138" t="s">
        <v>2424</v>
      </c>
      <c r="I135" s="151" t="s">
        <v>2230</v>
      </c>
      <c r="J135" s="144"/>
      <c r="K135" s="145"/>
      <c r="L135" s="145"/>
    </row>
    <row r="136">
      <c r="A136" s="137" t="s">
        <v>595</v>
      </c>
      <c r="B136" s="168" t="s">
        <v>2425</v>
      </c>
      <c r="C136" s="150" t="s">
        <v>2426</v>
      </c>
      <c r="D136" s="140">
        <v>45498.0</v>
      </c>
      <c r="E136" s="138" t="s">
        <v>357</v>
      </c>
      <c r="F136" s="137" t="s">
        <v>2427</v>
      </c>
      <c r="G136" s="152" t="s">
        <v>1212</v>
      </c>
      <c r="H136" s="198" t="s">
        <v>2326</v>
      </c>
      <c r="I136" s="151" t="s">
        <v>2230</v>
      </c>
      <c r="J136" s="144"/>
      <c r="K136" s="145"/>
      <c r="L136" s="145"/>
    </row>
    <row r="137">
      <c r="A137" s="137"/>
      <c r="B137" s="199" t="s">
        <v>2428</v>
      </c>
      <c r="C137" s="200" t="s">
        <v>2429</v>
      </c>
      <c r="D137" s="201"/>
      <c r="E137" s="180" t="s">
        <v>2430</v>
      </c>
      <c r="F137" s="171" t="s">
        <v>2431</v>
      </c>
      <c r="G137" s="141" t="s">
        <v>2171</v>
      </c>
      <c r="H137" s="138" t="s">
        <v>2326</v>
      </c>
      <c r="I137" s="138" t="s">
        <v>1195</v>
      </c>
      <c r="J137" s="144"/>
      <c r="K137" s="138" t="s">
        <v>2138</v>
      </c>
      <c r="L137" s="145"/>
    </row>
    <row r="138">
      <c r="A138" s="137" t="s">
        <v>595</v>
      </c>
      <c r="B138" s="168" t="s">
        <v>2432</v>
      </c>
      <c r="C138" s="150">
        <v>8.776630765E9</v>
      </c>
      <c r="D138" s="140">
        <v>45673.0</v>
      </c>
      <c r="E138" s="138" t="s">
        <v>357</v>
      </c>
      <c r="F138" s="159" t="s">
        <v>2433</v>
      </c>
      <c r="G138" s="189" t="s">
        <v>1212</v>
      </c>
      <c r="H138" s="159" t="s">
        <v>2434</v>
      </c>
      <c r="I138" s="151" t="s">
        <v>2230</v>
      </c>
      <c r="J138" s="144"/>
      <c r="K138" s="145"/>
      <c r="L138" s="145"/>
    </row>
    <row r="139">
      <c r="A139" s="137" t="s">
        <v>580</v>
      </c>
      <c r="B139" s="169" t="s">
        <v>2435</v>
      </c>
      <c r="C139" s="150" t="s">
        <v>2436</v>
      </c>
      <c r="D139" s="150" t="s">
        <v>556</v>
      </c>
      <c r="E139" s="155" t="s">
        <v>1991</v>
      </c>
      <c r="F139" s="137" t="s">
        <v>2437</v>
      </c>
      <c r="G139" s="141" t="s">
        <v>2171</v>
      </c>
      <c r="H139" s="138" t="s">
        <v>2326</v>
      </c>
      <c r="I139" s="138" t="s">
        <v>1933</v>
      </c>
      <c r="J139" s="144"/>
      <c r="K139" s="145"/>
      <c r="L139" s="145"/>
    </row>
    <row r="140">
      <c r="A140" s="137"/>
      <c r="B140" s="202" t="s">
        <v>2438</v>
      </c>
      <c r="C140" s="150" t="s">
        <v>2439</v>
      </c>
      <c r="D140" s="144"/>
      <c r="E140" s="138" t="s">
        <v>357</v>
      </c>
      <c r="F140" s="146" t="s">
        <v>2440</v>
      </c>
      <c r="G140" s="152" t="s">
        <v>1212</v>
      </c>
      <c r="H140" s="145"/>
      <c r="I140" s="151" t="s">
        <v>2230</v>
      </c>
      <c r="J140" s="144"/>
      <c r="K140" s="145"/>
      <c r="L140" s="145"/>
    </row>
    <row r="141">
      <c r="A141" s="137" t="s">
        <v>580</v>
      </c>
      <c r="B141" s="138" t="s">
        <v>2441</v>
      </c>
      <c r="C141" s="144"/>
      <c r="D141" s="144"/>
      <c r="E141" s="138" t="s">
        <v>357</v>
      </c>
      <c r="F141" s="161"/>
      <c r="G141" s="144"/>
      <c r="H141" s="145"/>
      <c r="I141" s="151" t="s">
        <v>2230</v>
      </c>
      <c r="J141" s="144"/>
      <c r="K141" s="145"/>
      <c r="L141" s="145"/>
    </row>
    <row r="142">
      <c r="A142" s="137" t="s">
        <v>2088</v>
      </c>
      <c r="B142" s="138" t="s">
        <v>2442</v>
      </c>
      <c r="C142" s="150" t="s">
        <v>2443</v>
      </c>
      <c r="D142" s="140">
        <v>45706.0</v>
      </c>
      <c r="E142" s="138" t="s">
        <v>2444</v>
      </c>
      <c r="F142" s="137" t="s">
        <v>2445</v>
      </c>
      <c r="G142" s="152" t="s">
        <v>1212</v>
      </c>
      <c r="H142" s="151" t="s">
        <v>25</v>
      </c>
      <c r="I142" s="143" t="s">
        <v>2205</v>
      </c>
      <c r="J142" s="144"/>
      <c r="K142" s="145"/>
      <c r="L142" s="145"/>
    </row>
    <row r="143">
      <c r="A143" s="137" t="s">
        <v>580</v>
      </c>
      <c r="B143" s="138" t="s">
        <v>2446</v>
      </c>
      <c r="C143" s="144"/>
      <c r="D143" s="144"/>
      <c r="E143" s="149" t="s">
        <v>676</v>
      </c>
      <c r="F143" s="161"/>
      <c r="G143" s="144"/>
      <c r="H143" s="145"/>
      <c r="I143" s="138" t="s">
        <v>2447</v>
      </c>
      <c r="J143" s="144"/>
      <c r="K143" s="145"/>
      <c r="L143" s="145"/>
    </row>
    <row r="144">
      <c r="A144" s="137" t="s">
        <v>580</v>
      </c>
      <c r="B144" s="138" t="s">
        <v>2363</v>
      </c>
      <c r="C144" s="144"/>
      <c r="D144" s="144"/>
      <c r="E144" s="138" t="s">
        <v>451</v>
      </c>
      <c r="F144" s="161"/>
      <c r="G144" s="144"/>
      <c r="H144" s="145"/>
      <c r="I144" s="151" t="s">
        <v>2230</v>
      </c>
      <c r="J144" s="144"/>
      <c r="K144" s="145"/>
      <c r="L144" s="145"/>
    </row>
    <row r="145">
      <c r="A145" s="137"/>
      <c r="B145" s="138" t="s">
        <v>2007</v>
      </c>
      <c r="C145" s="144"/>
      <c r="D145" s="144"/>
      <c r="E145" s="138" t="s">
        <v>575</v>
      </c>
      <c r="F145" s="161"/>
      <c r="G145" s="144"/>
      <c r="H145" s="145"/>
      <c r="I145" s="151" t="s">
        <v>2230</v>
      </c>
      <c r="J145" s="203"/>
      <c r="K145" s="145"/>
      <c r="L145" s="145"/>
    </row>
    <row r="146">
      <c r="A146" s="137"/>
      <c r="B146" s="138" t="s">
        <v>2448</v>
      </c>
      <c r="C146" s="150" t="s">
        <v>2449</v>
      </c>
      <c r="D146" s="144"/>
      <c r="E146" s="137" t="s">
        <v>1094</v>
      </c>
      <c r="F146" s="161"/>
      <c r="G146" s="152" t="s">
        <v>2450</v>
      </c>
      <c r="H146" s="145"/>
      <c r="I146" s="151" t="s">
        <v>2230</v>
      </c>
      <c r="J146" s="144"/>
      <c r="K146" s="138"/>
      <c r="L146" s="145"/>
    </row>
    <row r="147">
      <c r="A147" s="137" t="s">
        <v>171</v>
      </c>
      <c r="B147" s="138" t="s">
        <v>2451</v>
      </c>
      <c r="C147" s="150" t="s">
        <v>2452</v>
      </c>
      <c r="D147" s="144"/>
      <c r="E147" s="192" t="s">
        <v>2453</v>
      </c>
      <c r="F147" s="137" t="s">
        <v>2454</v>
      </c>
      <c r="G147" s="152" t="s">
        <v>1212</v>
      </c>
      <c r="H147" s="145"/>
      <c r="I147" s="151" t="s">
        <v>2230</v>
      </c>
      <c r="J147" s="150" t="s">
        <v>179</v>
      </c>
      <c r="K147" s="145"/>
      <c r="L147" s="145"/>
    </row>
    <row r="148">
      <c r="A148" s="137" t="s">
        <v>2455</v>
      </c>
      <c r="B148" s="146" t="s">
        <v>2456</v>
      </c>
      <c r="C148" s="150" t="s">
        <v>2457</v>
      </c>
      <c r="D148" s="140">
        <v>45685.0</v>
      </c>
      <c r="E148" s="138" t="s">
        <v>2458</v>
      </c>
      <c r="F148" s="137" t="s">
        <v>2459</v>
      </c>
      <c r="G148" s="141" t="s">
        <v>2460</v>
      </c>
      <c r="H148" s="159" t="s">
        <v>40</v>
      </c>
      <c r="I148" s="151" t="s">
        <v>2230</v>
      </c>
      <c r="J148" s="144"/>
      <c r="K148" s="145"/>
      <c r="L148" s="145"/>
    </row>
    <row r="149">
      <c r="A149" s="137" t="s">
        <v>274</v>
      </c>
      <c r="B149" s="201" t="s">
        <v>2461</v>
      </c>
      <c r="C149" s="204" t="s">
        <v>2462</v>
      </c>
      <c r="D149" s="201"/>
      <c r="E149" s="205" t="s">
        <v>1905</v>
      </c>
      <c r="F149" s="206" t="s">
        <v>2463</v>
      </c>
      <c r="G149" s="207" t="s">
        <v>1212</v>
      </c>
      <c r="H149" s="201"/>
      <c r="I149" s="151" t="s">
        <v>2230</v>
      </c>
      <c r="J149" s="201"/>
      <c r="K149" s="145"/>
      <c r="L149" s="145"/>
    </row>
    <row r="150">
      <c r="A150" s="137"/>
      <c r="B150" s="138" t="s">
        <v>2464</v>
      </c>
      <c r="C150" s="150" t="s">
        <v>2465</v>
      </c>
      <c r="D150" s="144"/>
      <c r="E150" s="137" t="s">
        <v>814</v>
      </c>
      <c r="F150" s="161"/>
      <c r="G150" s="208" t="s">
        <v>2466</v>
      </c>
      <c r="H150" s="145"/>
      <c r="I150" s="138" t="s">
        <v>1933</v>
      </c>
      <c r="J150" s="144"/>
      <c r="K150" s="145"/>
      <c r="L150" s="145"/>
    </row>
    <row r="151">
      <c r="A151" s="137"/>
      <c r="B151" s="138" t="s">
        <v>2467</v>
      </c>
      <c r="C151" s="150" t="s">
        <v>2468</v>
      </c>
      <c r="D151" s="144"/>
      <c r="E151" s="137" t="s">
        <v>1094</v>
      </c>
      <c r="F151" s="137" t="s">
        <v>2469</v>
      </c>
      <c r="G151" s="207" t="s">
        <v>1212</v>
      </c>
      <c r="H151" s="145"/>
      <c r="I151" s="151" t="s">
        <v>18</v>
      </c>
      <c r="J151" s="144"/>
      <c r="K151" s="145"/>
      <c r="L151" s="145"/>
    </row>
    <row r="152">
      <c r="A152" s="137" t="s">
        <v>354</v>
      </c>
      <c r="B152" s="138" t="s">
        <v>2467</v>
      </c>
      <c r="C152" s="150" t="s">
        <v>2468</v>
      </c>
      <c r="D152" s="144"/>
      <c r="E152" s="209" t="s">
        <v>2470</v>
      </c>
      <c r="F152" s="137" t="s">
        <v>2469</v>
      </c>
      <c r="G152" s="207" t="s">
        <v>1212</v>
      </c>
      <c r="H152" s="145"/>
      <c r="I152" s="138" t="s">
        <v>915</v>
      </c>
      <c r="J152" s="144"/>
      <c r="K152" s="145"/>
      <c r="L152" s="145"/>
    </row>
    <row r="153">
      <c r="A153" s="137" t="s">
        <v>305</v>
      </c>
      <c r="B153" s="168" t="s">
        <v>2471</v>
      </c>
      <c r="C153" s="139" t="s">
        <v>2472</v>
      </c>
      <c r="D153" s="144"/>
      <c r="E153" s="146" t="s">
        <v>2473</v>
      </c>
      <c r="F153" s="159" t="s">
        <v>2474</v>
      </c>
      <c r="G153" s="210" t="s">
        <v>631</v>
      </c>
      <c r="H153" s="159" t="s">
        <v>40</v>
      </c>
      <c r="I153" s="138" t="s">
        <v>915</v>
      </c>
      <c r="J153" s="144"/>
      <c r="K153" s="138" t="s">
        <v>2475</v>
      </c>
      <c r="L153" s="145"/>
    </row>
    <row r="154">
      <c r="A154" s="137" t="s">
        <v>27</v>
      </c>
      <c r="B154" s="148" t="s">
        <v>2476</v>
      </c>
      <c r="C154" s="150" t="s">
        <v>2477</v>
      </c>
      <c r="D154" s="144"/>
      <c r="E154" s="138" t="s">
        <v>357</v>
      </c>
      <c r="F154" s="137" t="s">
        <v>2478</v>
      </c>
      <c r="G154" s="207" t="s">
        <v>1212</v>
      </c>
      <c r="H154" s="151" t="s">
        <v>25</v>
      </c>
      <c r="I154" s="151" t="s">
        <v>18</v>
      </c>
      <c r="J154" s="144"/>
      <c r="K154" s="145"/>
      <c r="L154" s="145"/>
    </row>
    <row r="155">
      <c r="A155" s="137" t="s">
        <v>171</v>
      </c>
      <c r="B155" s="146" t="s">
        <v>2479</v>
      </c>
      <c r="C155" s="150" t="s">
        <v>2480</v>
      </c>
      <c r="D155" s="144"/>
      <c r="E155" s="146" t="s">
        <v>2481</v>
      </c>
      <c r="F155" s="137" t="s">
        <v>165</v>
      </c>
      <c r="G155" s="207" t="s">
        <v>1212</v>
      </c>
      <c r="H155" s="151" t="s">
        <v>25</v>
      </c>
      <c r="I155" s="151" t="s">
        <v>2482</v>
      </c>
      <c r="J155" s="150" t="s">
        <v>179</v>
      </c>
      <c r="K155" s="145"/>
      <c r="L155" s="145"/>
    </row>
    <row r="156">
      <c r="A156" s="137" t="s">
        <v>171</v>
      </c>
      <c r="B156" s="138" t="s">
        <v>2483</v>
      </c>
      <c r="C156" s="150" t="s">
        <v>2484</v>
      </c>
      <c r="D156" s="140">
        <v>45523.0</v>
      </c>
      <c r="E156" s="171" t="s">
        <v>1122</v>
      </c>
      <c r="F156" s="137" t="s">
        <v>2485</v>
      </c>
      <c r="G156" s="207" t="s">
        <v>1212</v>
      </c>
      <c r="H156" s="151" t="s">
        <v>40</v>
      </c>
      <c r="I156" s="151" t="s">
        <v>2482</v>
      </c>
      <c r="J156" s="144"/>
      <c r="K156" s="145"/>
      <c r="L156" s="145"/>
    </row>
    <row r="157">
      <c r="A157" s="137" t="s">
        <v>743</v>
      </c>
      <c r="B157" s="138" t="s">
        <v>2486</v>
      </c>
      <c r="C157" s="150" t="s">
        <v>2487</v>
      </c>
      <c r="D157" s="140">
        <v>45699.0</v>
      </c>
      <c r="E157" s="137" t="s">
        <v>1469</v>
      </c>
      <c r="F157" s="137" t="s">
        <v>2488</v>
      </c>
      <c r="G157" s="157" t="s">
        <v>1383</v>
      </c>
      <c r="H157" s="151" t="s">
        <v>25</v>
      </c>
      <c r="I157" s="151" t="s">
        <v>601</v>
      </c>
      <c r="J157" s="144"/>
      <c r="K157" s="145"/>
      <c r="L157" s="145"/>
    </row>
    <row r="158">
      <c r="A158" s="137"/>
      <c r="B158" s="138" t="s">
        <v>2489</v>
      </c>
      <c r="C158" s="150" t="s">
        <v>2490</v>
      </c>
      <c r="D158" s="140">
        <v>45699.0</v>
      </c>
      <c r="E158" s="138" t="s">
        <v>107</v>
      </c>
      <c r="F158" s="137" t="s">
        <v>2491</v>
      </c>
      <c r="G158" s="144"/>
      <c r="H158" s="145"/>
      <c r="I158" s="143" t="s">
        <v>2205</v>
      </c>
      <c r="J158" s="144"/>
      <c r="K158" s="145"/>
      <c r="L158" s="145"/>
    </row>
    <row r="159">
      <c r="A159" s="137"/>
      <c r="B159" s="138" t="s">
        <v>2492</v>
      </c>
      <c r="C159" s="150" t="s">
        <v>2493</v>
      </c>
      <c r="D159" s="144"/>
      <c r="E159" s="171" t="s">
        <v>357</v>
      </c>
      <c r="F159" s="137" t="s">
        <v>2494</v>
      </c>
      <c r="G159" s="207" t="s">
        <v>1212</v>
      </c>
      <c r="H159" s="151" t="s">
        <v>25</v>
      </c>
      <c r="I159" s="151" t="s">
        <v>2482</v>
      </c>
      <c r="J159" s="144"/>
      <c r="K159" s="145"/>
      <c r="L159" s="145"/>
    </row>
    <row r="160">
      <c r="A160" s="137" t="s">
        <v>749</v>
      </c>
      <c r="B160" s="211" t="s">
        <v>2495</v>
      </c>
      <c r="C160" s="144"/>
      <c r="D160" s="144"/>
      <c r="E160" s="145"/>
      <c r="F160" s="137" t="s">
        <v>2496</v>
      </c>
      <c r="G160" s="144"/>
      <c r="H160" s="145"/>
      <c r="I160" s="151" t="s">
        <v>2482</v>
      </c>
      <c r="J160" s="144"/>
      <c r="K160" s="145"/>
      <c r="L160" s="145"/>
    </row>
    <row r="161">
      <c r="A161" s="137" t="s">
        <v>1562</v>
      </c>
      <c r="B161" s="138" t="s">
        <v>2497</v>
      </c>
      <c r="C161" s="150" t="s">
        <v>2498</v>
      </c>
      <c r="D161" s="144"/>
      <c r="E161" s="138" t="s">
        <v>451</v>
      </c>
      <c r="F161" s="137" t="s">
        <v>2499</v>
      </c>
      <c r="G161" s="150" t="s">
        <v>2500</v>
      </c>
      <c r="H161" s="145"/>
      <c r="I161" s="151" t="s">
        <v>2482</v>
      </c>
      <c r="J161" s="144"/>
      <c r="K161" s="145"/>
      <c r="L161" s="145"/>
    </row>
    <row r="162">
      <c r="A162" s="137" t="s">
        <v>749</v>
      </c>
      <c r="B162" s="146" t="s">
        <v>2501</v>
      </c>
      <c r="C162" s="144"/>
      <c r="D162" s="144"/>
      <c r="E162" s="138" t="s">
        <v>2502</v>
      </c>
      <c r="F162" s="137" t="s">
        <v>2503</v>
      </c>
      <c r="G162" s="144"/>
      <c r="H162" s="145"/>
      <c r="I162" s="138" t="s">
        <v>2504</v>
      </c>
      <c r="J162" s="144"/>
      <c r="K162" s="145"/>
      <c r="L162" s="145"/>
    </row>
    <row r="163">
      <c r="A163" s="137" t="s">
        <v>171</v>
      </c>
      <c r="B163" s="148" t="s">
        <v>2505</v>
      </c>
      <c r="C163" s="150" t="s">
        <v>2506</v>
      </c>
      <c r="D163" s="150" t="s">
        <v>1917</v>
      </c>
      <c r="E163" s="138" t="s">
        <v>1791</v>
      </c>
      <c r="F163" s="137" t="s">
        <v>2507</v>
      </c>
      <c r="G163" s="207" t="s">
        <v>1212</v>
      </c>
      <c r="H163" s="151" t="s">
        <v>25</v>
      </c>
      <c r="I163" s="151" t="s">
        <v>18</v>
      </c>
      <c r="J163" s="144"/>
      <c r="K163" s="145"/>
      <c r="L163" s="145"/>
    </row>
    <row r="164">
      <c r="A164" s="137"/>
      <c r="B164" s="169" t="s">
        <v>2508</v>
      </c>
      <c r="C164" s="150" t="s">
        <v>2509</v>
      </c>
      <c r="D164" s="140">
        <v>45712.0</v>
      </c>
      <c r="E164" s="138" t="s">
        <v>2510</v>
      </c>
      <c r="F164" s="137" t="s">
        <v>2511</v>
      </c>
      <c r="G164" s="144"/>
      <c r="H164" s="151" t="s">
        <v>25</v>
      </c>
      <c r="I164" s="151" t="s">
        <v>2512</v>
      </c>
      <c r="J164" s="144"/>
      <c r="K164" s="145"/>
      <c r="L164" s="145"/>
    </row>
    <row r="165">
      <c r="A165" s="137" t="s">
        <v>743</v>
      </c>
      <c r="B165" s="169" t="s">
        <v>2508</v>
      </c>
      <c r="C165" s="150" t="s">
        <v>2509</v>
      </c>
      <c r="D165" s="144"/>
      <c r="E165" s="138" t="s">
        <v>2513</v>
      </c>
      <c r="F165" s="137" t="s">
        <v>2514</v>
      </c>
      <c r="G165" s="144"/>
      <c r="H165" s="151" t="s">
        <v>25</v>
      </c>
      <c r="I165" s="138" t="s">
        <v>2515</v>
      </c>
      <c r="J165" s="144"/>
      <c r="K165" s="145"/>
      <c r="L165" s="145"/>
    </row>
    <row r="166">
      <c r="A166" s="137" t="s">
        <v>743</v>
      </c>
      <c r="B166" s="192" t="s">
        <v>2516</v>
      </c>
      <c r="C166" s="150" t="s">
        <v>2517</v>
      </c>
      <c r="D166" s="144"/>
      <c r="E166" s="138" t="s">
        <v>107</v>
      </c>
      <c r="F166" s="137" t="s">
        <v>2518</v>
      </c>
      <c r="G166" s="152" t="s">
        <v>2519</v>
      </c>
      <c r="H166" s="151" t="s">
        <v>25</v>
      </c>
      <c r="I166" s="151" t="s">
        <v>2515</v>
      </c>
      <c r="J166" s="144"/>
      <c r="K166" s="145"/>
      <c r="L166" s="145"/>
    </row>
    <row r="167">
      <c r="A167" s="137" t="s">
        <v>27</v>
      </c>
      <c r="B167" s="138" t="s">
        <v>2520</v>
      </c>
      <c r="C167" s="150" t="s">
        <v>1034</v>
      </c>
      <c r="D167" s="150" t="s">
        <v>2521</v>
      </c>
      <c r="E167" s="138" t="s">
        <v>1253</v>
      </c>
      <c r="F167" s="137" t="s">
        <v>2522</v>
      </c>
      <c r="G167" s="207" t="s">
        <v>1212</v>
      </c>
      <c r="H167" s="151" t="s">
        <v>25</v>
      </c>
      <c r="I167" s="151" t="s">
        <v>18</v>
      </c>
      <c r="J167" s="144"/>
      <c r="K167" s="145"/>
      <c r="L167" s="145"/>
    </row>
    <row r="168">
      <c r="A168" s="137" t="s">
        <v>580</v>
      </c>
      <c r="B168" s="188" t="s">
        <v>2127</v>
      </c>
      <c r="C168" s="144"/>
      <c r="D168" s="144"/>
      <c r="E168" s="138" t="s">
        <v>451</v>
      </c>
      <c r="F168" s="212" t="s">
        <v>2523</v>
      </c>
      <c r="G168" s="207" t="s">
        <v>1212</v>
      </c>
      <c r="H168" s="212" t="s">
        <v>942</v>
      </c>
      <c r="I168" s="151" t="s">
        <v>18</v>
      </c>
      <c r="J168" s="144"/>
      <c r="K168" s="145"/>
      <c r="L168" s="145"/>
    </row>
    <row r="169">
      <c r="A169" s="137" t="s">
        <v>663</v>
      </c>
      <c r="B169" s="138" t="s">
        <v>2524</v>
      </c>
      <c r="C169" s="150" t="s">
        <v>2525</v>
      </c>
      <c r="D169" s="140">
        <v>45708.0</v>
      </c>
      <c r="E169" s="138" t="s">
        <v>2526</v>
      </c>
      <c r="F169" s="137" t="s">
        <v>2527</v>
      </c>
      <c r="G169" s="141" t="s">
        <v>2528</v>
      </c>
      <c r="H169" s="151" t="s">
        <v>741</v>
      </c>
      <c r="I169" s="151" t="s">
        <v>2515</v>
      </c>
      <c r="J169" s="144"/>
      <c r="K169" s="145"/>
      <c r="L169" s="145"/>
    </row>
    <row r="170">
      <c r="A170" s="137"/>
      <c r="B170" s="192" t="s">
        <v>2529</v>
      </c>
      <c r="C170" s="144"/>
      <c r="D170" s="144"/>
      <c r="E170" s="138" t="s">
        <v>1253</v>
      </c>
      <c r="F170" s="213" t="s">
        <v>2530</v>
      </c>
      <c r="G170" s="141" t="s">
        <v>2531</v>
      </c>
      <c r="H170" s="151" t="s">
        <v>741</v>
      </c>
      <c r="I170" s="214" t="s">
        <v>2532</v>
      </c>
      <c r="J170" s="144"/>
      <c r="K170" s="145"/>
      <c r="L170" s="145"/>
    </row>
    <row r="171">
      <c r="A171" s="137" t="s">
        <v>149</v>
      </c>
      <c r="B171" s="192" t="s">
        <v>2533</v>
      </c>
      <c r="C171" s="150" t="s">
        <v>2534</v>
      </c>
      <c r="D171" s="140">
        <v>45706.0</v>
      </c>
      <c r="E171" s="138" t="s">
        <v>1240</v>
      </c>
      <c r="F171" s="137" t="s">
        <v>2535</v>
      </c>
      <c r="G171" s="152" t="s">
        <v>2536</v>
      </c>
      <c r="H171" s="138" t="s">
        <v>741</v>
      </c>
      <c r="I171" s="137" t="s">
        <v>2537</v>
      </c>
      <c r="J171" s="144"/>
      <c r="K171" s="145"/>
      <c r="L171" s="145"/>
    </row>
    <row r="172">
      <c r="A172" s="137"/>
      <c r="B172" s="138" t="s">
        <v>2538</v>
      </c>
      <c r="C172" s="150" t="s">
        <v>2539</v>
      </c>
      <c r="D172" s="144"/>
      <c r="E172" s="138" t="s">
        <v>451</v>
      </c>
      <c r="F172" s="215" t="s">
        <v>2540</v>
      </c>
      <c r="G172" s="152" t="s">
        <v>2536</v>
      </c>
      <c r="H172" s="212" t="s">
        <v>942</v>
      </c>
      <c r="I172" s="151" t="s">
        <v>18</v>
      </c>
      <c r="J172" s="144"/>
      <c r="K172" s="145"/>
      <c r="L172" s="145"/>
    </row>
    <row r="173">
      <c r="A173" s="137"/>
      <c r="B173" s="138" t="s">
        <v>2541</v>
      </c>
      <c r="C173" s="144"/>
      <c r="D173" s="144"/>
      <c r="E173" s="145"/>
      <c r="F173" s="137" t="s">
        <v>2542</v>
      </c>
      <c r="G173" s="207" t="s">
        <v>1212</v>
      </c>
      <c r="H173" s="145"/>
      <c r="I173" s="145"/>
      <c r="J173" s="144"/>
      <c r="K173" s="145"/>
      <c r="L173" s="145"/>
    </row>
    <row r="174">
      <c r="A174" s="137"/>
      <c r="B174" s="138" t="s">
        <v>2543</v>
      </c>
      <c r="C174" s="144"/>
      <c r="D174" s="144"/>
      <c r="E174" s="145"/>
      <c r="F174" s="137" t="s">
        <v>2544</v>
      </c>
      <c r="G174" s="144"/>
      <c r="H174" s="151" t="s">
        <v>25</v>
      </c>
      <c r="I174" s="138" t="s">
        <v>2515</v>
      </c>
      <c r="J174" s="144"/>
      <c r="K174" s="145"/>
      <c r="L174" s="145"/>
    </row>
    <row r="175">
      <c r="A175" s="137"/>
      <c r="B175" s="138" t="s">
        <v>1154</v>
      </c>
      <c r="C175" s="144"/>
      <c r="D175" s="144"/>
      <c r="E175" s="145"/>
      <c r="F175" s="137" t="s">
        <v>2545</v>
      </c>
      <c r="G175" s="207" t="s">
        <v>1212</v>
      </c>
      <c r="H175" s="151" t="s">
        <v>25</v>
      </c>
      <c r="I175" s="182" t="s">
        <v>2546</v>
      </c>
      <c r="J175" s="144"/>
      <c r="K175" s="145"/>
      <c r="L175" s="145"/>
    </row>
    <row r="176">
      <c r="A176" s="137"/>
      <c r="B176" s="138" t="s">
        <v>2547</v>
      </c>
      <c r="C176" s="144"/>
      <c r="D176" s="144"/>
      <c r="E176" s="145"/>
      <c r="F176" s="137" t="s">
        <v>2548</v>
      </c>
      <c r="G176" s="207" t="s">
        <v>1212</v>
      </c>
      <c r="H176" s="138" t="s">
        <v>2549</v>
      </c>
      <c r="I176" s="145"/>
      <c r="J176" s="144"/>
      <c r="K176" s="145"/>
      <c r="L176" s="145"/>
    </row>
    <row r="177">
      <c r="A177" s="137" t="s">
        <v>580</v>
      </c>
      <c r="B177" s="192" t="s">
        <v>2550</v>
      </c>
      <c r="C177" s="150" t="s">
        <v>2551</v>
      </c>
      <c r="D177" s="144"/>
      <c r="E177" s="138" t="s">
        <v>1581</v>
      </c>
      <c r="F177" s="137" t="s">
        <v>2552</v>
      </c>
      <c r="G177" s="152" t="s">
        <v>1212</v>
      </c>
      <c r="H177" s="216" t="s">
        <v>2553</v>
      </c>
      <c r="I177" s="151" t="s">
        <v>18</v>
      </c>
      <c r="J177" s="144"/>
      <c r="K177" s="145"/>
      <c r="L177" s="145"/>
    </row>
    <row r="178">
      <c r="A178" s="137" t="s">
        <v>580</v>
      </c>
      <c r="B178" s="138" t="s">
        <v>2547</v>
      </c>
      <c r="C178" s="144"/>
      <c r="D178" s="144"/>
      <c r="E178" s="138" t="s">
        <v>357</v>
      </c>
      <c r="F178" s="137"/>
      <c r="G178" s="144"/>
      <c r="H178" s="145"/>
      <c r="I178" s="145"/>
      <c r="J178" s="144"/>
      <c r="K178" s="145"/>
      <c r="L178" s="145"/>
    </row>
    <row r="179">
      <c r="A179" s="137" t="s">
        <v>27</v>
      </c>
      <c r="B179" s="151" t="s">
        <v>2554</v>
      </c>
      <c r="C179" s="150" t="s">
        <v>2555</v>
      </c>
      <c r="D179" s="144"/>
      <c r="E179" s="138" t="s">
        <v>2556</v>
      </c>
      <c r="F179" s="137" t="s">
        <v>2557</v>
      </c>
      <c r="G179" s="207" t="s">
        <v>1212</v>
      </c>
      <c r="H179" s="151" t="s">
        <v>25</v>
      </c>
      <c r="I179" s="151" t="s">
        <v>18</v>
      </c>
      <c r="J179" s="144"/>
      <c r="K179" s="145"/>
      <c r="L179" s="145"/>
    </row>
    <row r="180">
      <c r="A180" s="137" t="s">
        <v>580</v>
      </c>
      <c r="B180" s="138" t="s">
        <v>2558</v>
      </c>
      <c r="C180" s="144"/>
      <c r="D180" s="144"/>
      <c r="E180" s="138" t="s">
        <v>2559</v>
      </c>
      <c r="F180" s="161"/>
      <c r="G180" s="144"/>
      <c r="H180" s="145"/>
      <c r="I180" s="145"/>
      <c r="J180" s="144"/>
      <c r="K180" s="145"/>
      <c r="L180" s="145"/>
    </row>
    <row r="181">
      <c r="A181" s="137" t="s">
        <v>354</v>
      </c>
      <c r="B181" s="138" t="s">
        <v>2560</v>
      </c>
      <c r="C181" s="150" t="s">
        <v>2561</v>
      </c>
      <c r="D181" s="140">
        <v>45713.0</v>
      </c>
      <c r="E181" s="138" t="s">
        <v>2562</v>
      </c>
      <c r="F181" s="137" t="s">
        <v>2563</v>
      </c>
      <c r="G181" s="207" t="s">
        <v>1212</v>
      </c>
      <c r="H181" s="151" t="s">
        <v>25</v>
      </c>
      <c r="I181" s="151" t="s">
        <v>2564</v>
      </c>
      <c r="J181" s="144"/>
      <c r="K181" s="145"/>
      <c r="L181" s="145"/>
    </row>
    <row r="182">
      <c r="A182" s="137"/>
      <c r="B182" s="138" t="s">
        <v>2565</v>
      </c>
      <c r="C182" s="150" t="s">
        <v>2566</v>
      </c>
      <c r="D182" s="140">
        <v>45699.0</v>
      </c>
      <c r="E182" s="138" t="s">
        <v>2567</v>
      </c>
      <c r="F182" s="137" t="s">
        <v>2568</v>
      </c>
      <c r="G182" s="144"/>
      <c r="H182" s="151" t="s">
        <v>25</v>
      </c>
      <c r="I182" s="138" t="s">
        <v>2569</v>
      </c>
      <c r="J182" s="144"/>
      <c r="K182" s="145"/>
      <c r="L182" s="145"/>
    </row>
    <row r="183">
      <c r="A183" s="137"/>
      <c r="B183" s="138" t="s">
        <v>2565</v>
      </c>
      <c r="C183" s="150" t="s">
        <v>2566</v>
      </c>
      <c r="D183" s="140">
        <v>45699.0</v>
      </c>
      <c r="E183" s="138" t="s">
        <v>2570</v>
      </c>
      <c r="F183" s="137" t="s">
        <v>2571</v>
      </c>
      <c r="G183" s="144"/>
      <c r="H183" s="142" t="s">
        <v>2098</v>
      </c>
      <c r="I183" s="138" t="s">
        <v>26</v>
      </c>
      <c r="J183" s="144"/>
      <c r="K183" s="145"/>
      <c r="L183" s="145"/>
    </row>
    <row r="184">
      <c r="A184" s="137" t="s">
        <v>27</v>
      </c>
      <c r="B184" s="192" t="s">
        <v>2572</v>
      </c>
      <c r="C184" s="150" t="s">
        <v>2573</v>
      </c>
      <c r="D184" s="140">
        <v>45325.0</v>
      </c>
      <c r="E184" s="138" t="s">
        <v>2574</v>
      </c>
      <c r="F184" s="137" t="s">
        <v>2575</v>
      </c>
      <c r="G184" s="217" t="s">
        <v>2576</v>
      </c>
      <c r="H184" s="151" t="s">
        <v>25</v>
      </c>
      <c r="I184" s="151" t="s">
        <v>18</v>
      </c>
      <c r="J184" s="144"/>
      <c r="K184" s="145"/>
      <c r="L184" s="145"/>
    </row>
    <row r="185">
      <c r="A185" s="137" t="s">
        <v>2577</v>
      </c>
      <c r="B185" s="138" t="s">
        <v>2578</v>
      </c>
      <c r="C185" s="150" t="s">
        <v>2579</v>
      </c>
      <c r="D185" s="140">
        <v>45713.0</v>
      </c>
      <c r="E185" s="138" t="s">
        <v>1905</v>
      </c>
      <c r="F185" s="137" t="s">
        <v>2580</v>
      </c>
      <c r="G185" s="144"/>
      <c r="H185" s="142" t="s">
        <v>2098</v>
      </c>
      <c r="I185" s="143" t="s">
        <v>2205</v>
      </c>
      <c r="J185" s="144"/>
      <c r="K185" s="145"/>
      <c r="L185" s="145"/>
    </row>
    <row r="186">
      <c r="A186" s="137" t="s">
        <v>2581</v>
      </c>
      <c r="B186" s="138" t="s">
        <v>2578</v>
      </c>
      <c r="C186" s="150" t="s">
        <v>2579</v>
      </c>
      <c r="D186" s="140">
        <v>45713.0</v>
      </c>
      <c r="E186" s="138" t="s">
        <v>292</v>
      </c>
      <c r="F186" s="137" t="s">
        <v>2582</v>
      </c>
      <c r="G186" s="144"/>
      <c r="H186" s="143" t="s">
        <v>2304</v>
      </c>
      <c r="I186" s="143" t="s">
        <v>2205</v>
      </c>
      <c r="J186" s="144"/>
      <c r="K186" s="145"/>
      <c r="L186" s="145"/>
    </row>
    <row r="187">
      <c r="A187" s="137" t="s">
        <v>580</v>
      </c>
      <c r="B187" s="138"/>
      <c r="C187" s="150"/>
      <c r="D187" s="140"/>
      <c r="E187" s="138"/>
      <c r="F187" s="137"/>
      <c r="G187" s="144"/>
      <c r="H187" s="145"/>
      <c r="I187" s="145"/>
      <c r="J187" s="144"/>
      <c r="K187" s="145"/>
      <c r="L187" s="145"/>
    </row>
    <row r="188">
      <c r="A188" s="137" t="s">
        <v>11</v>
      </c>
      <c r="B188" s="138" t="s">
        <v>2127</v>
      </c>
      <c r="C188" s="150" t="s">
        <v>2128</v>
      </c>
      <c r="D188" s="140">
        <v>45712.0</v>
      </c>
      <c r="E188" s="138" t="s">
        <v>2583</v>
      </c>
      <c r="F188" s="137" t="s">
        <v>2523</v>
      </c>
      <c r="G188" s="207" t="s">
        <v>1212</v>
      </c>
      <c r="H188" s="151" t="s">
        <v>25</v>
      </c>
      <c r="I188" s="151" t="s">
        <v>18</v>
      </c>
      <c r="J188" s="144"/>
      <c r="K188" s="145"/>
      <c r="L188" s="145"/>
    </row>
    <row r="189">
      <c r="A189" s="137" t="s">
        <v>580</v>
      </c>
      <c r="B189" s="146" t="s">
        <v>2584</v>
      </c>
      <c r="C189" s="218" t="s">
        <v>2585</v>
      </c>
      <c r="D189" s="144"/>
      <c r="E189" s="138" t="s">
        <v>2586</v>
      </c>
      <c r="F189" s="192" t="s">
        <v>2587</v>
      </c>
      <c r="G189" s="207" t="s">
        <v>1212</v>
      </c>
      <c r="H189" s="151" t="s">
        <v>25</v>
      </c>
      <c r="I189" s="151" t="s">
        <v>18</v>
      </c>
      <c r="J189" s="144"/>
      <c r="K189" s="145"/>
      <c r="L189" s="145"/>
    </row>
    <row r="190">
      <c r="A190" s="137" t="s">
        <v>580</v>
      </c>
      <c r="B190" s="146" t="s">
        <v>1836</v>
      </c>
      <c r="C190" s="150" t="s">
        <v>2588</v>
      </c>
      <c r="D190" s="174">
        <v>45645.0</v>
      </c>
      <c r="E190" s="138" t="s">
        <v>575</v>
      </c>
      <c r="F190" s="137" t="s">
        <v>2589</v>
      </c>
      <c r="G190" s="141" t="s">
        <v>611</v>
      </c>
      <c r="H190" s="151" t="s">
        <v>2590</v>
      </c>
      <c r="I190" s="151" t="s">
        <v>103</v>
      </c>
      <c r="J190" s="144"/>
      <c r="K190" s="145"/>
      <c r="L190" s="145"/>
    </row>
    <row r="191">
      <c r="A191" s="137" t="s">
        <v>580</v>
      </c>
      <c r="B191" s="192" t="s">
        <v>573</v>
      </c>
      <c r="C191" s="144"/>
      <c r="D191" s="144"/>
      <c r="E191" s="138" t="s">
        <v>575</v>
      </c>
      <c r="F191" s="161"/>
      <c r="G191" s="144"/>
      <c r="H191" s="145"/>
      <c r="I191" s="145"/>
      <c r="J191" s="144"/>
      <c r="K191" s="145"/>
      <c r="L191" s="145"/>
    </row>
    <row r="192">
      <c r="A192" s="137"/>
      <c r="B192" s="138" t="s">
        <v>2591</v>
      </c>
      <c r="C192" s="144"/>
      <c r="D192" s="144"/>
      <c r="E192" s="145"/>
      <c r="F192" s="161"/>
      <c r="G192" s="157" t="s">
        <v>2592</v>
      </c>
      <c r="H192" s="151" t="s">
        <v>2593</v>
      </c>
      <c r="I192" s="196" t="s">
        <v>2594</v>
      </c>
      <c r="J192" s="144"/>
      <c r="K192" s="145"/>
      <c r="L192" s="145"/>
    </row>
    <row r="193" ht="18.0" customHeight="1">
      <c r="A193" s="146" t="s">
        <v>171</v>
      </c>
      <c r="B193" s="146" t="s">
        <v>2595</v>
      </c>
      <c r="C193" s="139" t="s">
        <v>2596</v>
      </c>
      <c r="D193" s="154">
        <v>45715.0</v>
      </c>
      <c r="E193" s="155" t="s">
        <v>1715</v>
      </c>
      <c r="F193" s="146" t="s">
        <v>2597</v>
      </c>
      <c r="G193" s="207" t="s">
        <v>1212</v>
      </c>
      <c r="H193" s="151" t="s">
        <v>2593</v>
      </c>
      <c r="I193" s="148" t="s">
        <v>1377</v>
      </c>
      <c r="J193" s="219"/>
      <c r="K193" s="146"/>
      <c r="L193" s="219"/>
    </row>
    <row r="194">
      <c r="A194" s="137" t="s">
        <v>622</v>
      </c>
      <c r="B194" s="138" t="s">
        <v>2598</v>
      </c>
      <c r="C194" s="150" t="s">
        <v>2599</v>
      </c>
      <c r="D194" s="144"/>
      <c r="E194" s="155" t="s">
        <v>1715</v>
      </c>
      <c r="F194" s="137" t="s">
        <v>2600</v>
      </c>
      <c r="G194" s="138" t="s">
        <v>2601</v>
      </c>
      <c r="H194" s="145"/>
      <c r="I194" s="145"/>
      <c r="J194" s="144"/>
      <c r="K194" s="145"/>
      <c r="L194" s="145"/>
    </row>
    <row r="195">
      <c r="A195" s="137" t="s">
        <v>2602</v>
      </c>
      <c r="B195" s="138" t="s">
        <v>2147</v>
      </c>
      <c r="C195" s="191" t="s">
        <v>2148</v>
      </c>
      <c r="D195" s="144"/>
      <c r="E195" s="146" t="s">
        <v>2603</v>
      </c>
      <c r="F195" s="137" t="s">
        <v>2604</v>
      </c>
      <c r="G195" s="216" t="s">
        <v>2605</v>
      </c>
      <c r="H195" s="151" t="s">
        <v>40</v>
      </c>
      <c r="I195" s="216" t="s">
        <v>2606</v>
      </c>
      <c r="J195" s="144"/>
      <c r="K195" s="145"/>
      <c r="L195" s="145"/>
    </row>
    <row r="196">
      <c r="A196" s="137" t="s">
        <v>11</v>
      </c>
      <c r="B196" s="146" t="s">
        <v>2607</v>
      </c>
      <c r="C196" s="220"/>
      <c r="D196" s="144"/>
      <c r="E196" s="146" t="s">
        <v>2608</v>
      </c>
      <c r="F196" s="146" t="s">
        <v>2609</v>
      </c>
      <c r="G196" s="208" t="s">
        <v>2610</v>
      </c>
      <c r="H196" s="145"/>
      <c r="I196" s="145"/>
      <c r="J196" s="144"/>
      <c r="K196" s="138" t="s">
        <v>2611</v>
      </c>
      <c r="L196" s="145"/>
    </row>
    <row r="197">
      <c r="A197" s="137" t="s">
        <v>11</v>
      </c>
      <c r="B197" s="138" t="s">
        <v>2607</v>
      </c>
      <c r="C197" s="144"/>
      <c r="D197" s="144"/>
      <c r="E197" s="146" t="s">
        <v>2612</v>
      </c>
      <c r="F197" s="146" t="s">
        <v>2613</v>
      </c>
      <c r="G197" s="221" t="s">
        <v>24</v>
      </c>
      <c r="H197" s="159" t="s">
        <v>2326</v>
      </c>
      <c r="I197" s="159" t="s">
        <v>2614</v>
      </c>
      <c r="J197" s="144"/>
      <c r="K197" s="138" t="s">
        <v>2611</v>
      </c>
      <c r="L197" s="145"/>
    </row>
    <row r="198">
      <c r="A198" s="137" t="s">
        <v>11</v>
      </c>
      <c r="B198" s="138" t="s">
        <v>2607</v>
      </c>
      <c r="C198" s="144"/>
      <c r="D198" s="144"/>
      <c r="E198" s="146" t="s">
        <v>2615</v>
      </c>
      <c r="F198" s="146" t="s">
        <v>2616</v>
      </c>
      <c r="G198" s="221" t="s">
        <v>24</v>
      </c>
      <c r="H198" s="159" t="s">
        <v>2326</v>
      </c>
      <c r="I198" s="159" t="s">
        <v>2614</v>
      </c>
      <c r="J198" s="144"/>
      <c r="K198" s="138" t="s">
        <v>2611</v>
      </c>
      <c r="L198" s="145"/>
    </row>
    <row r="199">
      <c r="A199" s="137"/>
      <c r="B199" s="138" t="s">
        <v>2617</v>
      </c>
      <c r="C199" s="150" t="s">
        <v>2618</v>
      </c>
      <c r="D199" s="174">
        <v>45636.0</v>
      </c>
      <c r="E199" s="138" t="s">
        <v>188</v>
      </c>
      <c r="F199" s="137" t="s">
        <v>2619</v>
      </c>
      <c r="G199" s="141" t="s">
        <v>2605</v>
      </c>
      <c r="H199" s="151" t="s">
        <v>741</v>
      </c>
      <c r="I199" s="222" t="s">
        <v>1195</v>
      </c>
      <c r="J199" s="144"/>
      <c r="K199" s="145"/>
      <c r="L199" s="145"/>
    </row>
    <row r="200">
      <c r="A200" s="137" t="s">
        <v>2620</v>
      </c>
      <c r="B200" s="138" t="s">
        <v>2621</v>
      </c>
      <c r="C200" s="150" t="s">
        <v>2622</v>
      </c>
      <c r="D200" s="150" t="s">
        <v>556</v>
      </c>
      <c r="E200" s="138" t="s">
        <v>271</v>
      </c>
      <c r="F200" s="137" t="s">
        <v>2623</v>
      </c>
      <c r="G200" s="207" t="s">
        <v>1212</v>
      </c>
      <c r="H200" s="151" t="s">
        <v>741</v>
      </c>
      <c r="I200" s="151" t="s">
        <v>1195</v>
      </c>
      <c r="J200" s="144"/>
      <c r="K200" s="145"/>
      <c r="L200" s="145"/>
    </row>
    <row r="201">
      <c r="A201" s="137" t="s">
        <v>171</v>
      </c>
      <c r="B201" s="138" t="s">
        <v>2624</v>
      </c>
      <c r="C201" s="150">
        <v>4.347561482E9</v>
      </c>
      <c r="D201" s="140">
        <v>45712.0</v>
      </c>
      <c r="E201" s="138" t="s">
        <v>97</v>
      </c>
      <c r="F201" s="137" t="s">
        <v>2625</v>
      </c>
      <c r="G201" s="144"/>
      <c r="H201" s="151" t="s">
        <v>2626</v>
      </c>
      <c r="I201" s="151" t="s">
        <v>1195</v>
      </c>
      <c r="J201" s="144"/>
      <c r="K201" s="138" t="s">
        <v>2627</v>
      </c>
      <c r="L201" s="145"/>
    </row>
    <row r="202">
      <c r="A202" s="137" t="s">
        <v>663</v>
      </c>
      <c r="B202" s="138" t="s">
        <v>2628</v>
      </c>
      <c r="C202" s="150" t="s">
        <v>1318</v>
      </c>
      <c r="D202" s="140">
        <v>45687.0</v>
      </c>
      <c r="E202" s="138" t="s">
        <v>1319</v>
      </c>
      <c r="F202" s="137" t="s">
        <v>2629</v>
      </c>
      <c r="G202" s="144"/>
      <c r="H202" s="151" t="s">
        <v>2630</v>
      </c>
      <c r="I202" s="151" t="s">
        <v>1195</v>
      </c>
      <c r="J202" s="144"/>
      <c r="K202" s="145"/>
      <c r="L202" s="145"/>
    </row>
    <row r="203" ht="13.5" customHeight="1">
      <c r="A203" s="137" t="s">
        <v>743</v>
      </c>
      <c r="B203" s="138" t="s">
        <v>2207</v>
      </c>
      <c r="C203" s="150" t="s">
        <v>2631</v>
      </c>
      <c r="D203" s="150" t="s">
        <v>556</v>
      </c>
      <c r="E203" s="138" t="s">
        <v>101</v>
      </c>
      <c r="F203" s="137" t="s">
        <v>2632</v>
      </c>
      <c r="G203" s="157" t="s">
        <v>1383</v>
      </c>
      <c r="H203" s="138" t="s">
        <v>2633</v>
      </c>
      <c r="I203" s="151" t="s">
        <v>1195</v>
      </c>
      <c r="J203" s="144"/>
      <c r="K203" s="145"/>
      <c r="L203" s="145"/>
    </row>
    <row r="204">
      <c r="A204" s="137"/>
      <c r="B204" s="138" t="s">
        <v>2634</v>
      </c>
      <c r="C204" s="150" t="s">
        <v>2635</v>
      </c>
      <c r="D204" s="150" t="s">
        <v>556</v>
      </c>
      <c r="E204" s="138" t="s">
        <v>2636</v>
      </c>
      <c r="F204" s="137" t="s">
        <v>2637</v>
      </c>
      <c r="G204" s="144"/>
      <c r="H204" s="138" t="s">
        <v>1301</v>
      </c>
      <c r="I204" s="216" t="s">
        <v>2638</v>
      </c>
      <c r="J204" s="144"/>
      <c r="K204" s="145"/>
      <c r="L204" s="145"/>
    </row>
    <row r="205">
      <c r="A205" s="137"/>
      <c r="B205" s="138" t="s">
        <v>2639</v>
      </c>
      <c r="C205" s="150" t="s">
        <v>2640</v>
      </c>
      <c r="D205" s="150" t="s">
        <v>556</v>
      </c>
      <c r="E205" s="138" t="s">
        <v>2641</v>
      </c>
      <c r="F205" s="137" t="s">
        <v>2642</v>
      </c>
      <c r="G205" s="144"/>
      <c r="H205" s="138" t="s">
        <v>1301</v>
      </c>
      <c r="I205" s="138" t="s">
        <v>2643</v>
      </c>
      <c r="J205" s="144"/>
      <c r="K205" s="145"/>
      <c r="L205" s="145"/>
    </row>
    <row r="206">
      <c r="A206" s="137"/>
      <c r="B206" s="138"/>
      <c r="C206" s="144"/>
      <c r="D206" s="144"/>
      <c r="E206" s="145"/>
      <c r="F206" s="161"/>
      <c r="G206" s="144"/>
      <c r="H206" s="145"/>
      <c r="I206" s="145"/>
      <c r="J206" s="144"/>
      <c r="K206" s="145"/>
      <c r="L206" s="145"/>
    </row>
    <row r="207">
      <c r="A207" s="137"/>
      <c r="B207" s="145"/>
      <c r="C207" s="144"/>
      <c r="D207" s="144"/>
      <c r="E207" s="145"/>
      <c r="F207" s="161"/>
      <c r="G207" s="144"/>
      <c r="H207" s="145"/>
      <c r="I207" s="145"/>
      <c r="J207" s="144"/>
      <c r="K207" s="145"/>
      <c r="L207" s="145"/>
    </row>
    <row r="208">
      <c r="A208" s="137"/>
      <c r="B208" s="145"/>
      <c r="C208" s="144"/>
      <c r="D208" s="144"/>
      <c r="E208" s="145"/>
      <c r="F208" s="161"/>
      <c r="G208" s="144"/>
      <c r="H208" s="145"/>
      <c r="I208" s="145"/>
      <c r="J208" s="144"/>
      <c r="K208" s="145"/>
      <c r="L208" s="145"/>
    </row>
    <row r="209">
      <c r="A209" s="137"/>
      <c r="B209" s="145"/>
      <c r="C209" s="144"/>
      <c r="D209" s="144"/>
      <c r="E209" s="145"/>
      <c r="F209" s="161"/>
      <c r="G209" s="144"/>
      <c r="H209" s="145"/>
      <c r="I209" s="145"/>
      <c r="J209" s="144"/>
      <c r="K209" s="145"/>
      <c r="L209" s="145"/>
    </row>
    <row r="210">
      <c r="A210" s="137"/>
      <c r="B210" s="145"/>
      <c r="C210" s="144"/>
      <c r="D210" s="144"/>
      <c r="E210" s="145"/>
      <c r="F210" s="161"/>
      <c r="G210" s="144"/>
      <c r="H210" s="145"/>
      <c r="I210" s="145"/>
      <c r="J210" s="144"/>
      <c r="K210" s="145"/>
      <c r="L210" s="145"/>
    </row>
    <row r="211">
      <c r="A211" s="137"/>
      <c r="B211" s="145"/>
      <c r="C211" s="144"/>
      <c r="D211" s="144"/>
      <c r="E211" s="145"/>
      <c r="F211" s="161"/>
      <c r="G211" s="144"/>
      <c r="H211" s="145"/>
      <c r="I211" s="145"/>
      <c r="J211" s="144"/>
      <c r="K211" s="145"/>
      <c r="L211" s="145"/>
    </row>
    <row r="212">
      <c r="A212" s="137"/>
      <c r="B212" s="145"/>
      <c r="C212" s="144"/>
      <c r="D212" s="144"/>
      <c r="E212" s="145"/>
      <c r="F212" s="161"/>
      <c r="G212" s="144"/>
      <c r="H212" s="145"/>
      <c r="I212" s="145"/>
      <c r="J212" s="144"/>
      <c r="K212" s="145"/>
      <c r="L212" s="145"/>
    </row>
    <row r="213">
      <c r="A213" s="137"/>
      <c r="B213" s="145"/>
      <c r="C213" s="144"/>
      <c r="D213" s="144"/>
      <c r="E213" s="145"/>
      <c r="F213" s="161"/>
      <c r="G213" s="144"/>
      <c r="H213" s="145"/>
      <c r="I213" s="145"/>
      <c r="J213" s="144"/>
      <c r="K213" s="145"/>
      <c r="L213" s="145"/>
    </row>
    <row r="214">
      <c r="A214" s="137"/>
      <c r="B214" s="145"/>
      <c r="C214" s="144"/>
      <c r="D214" s="144"/>
      <c r="E214" s="145"/>
      <c r="F214" s="161"/>
      <c r="G214" s="144"/>
      <c r="H214" s="145"/>
      <c r="I214" s="145"/>
      <c r="J214" s="144"/>
      <c r="K214" s="145"/>
      <c r="L214" s="145"/>
    </row>
    <row r="215">
      <c r="A215" s="137"/>
      <c r="B215" s="145"/>
      <c r="C215" s="144"/>
      <c r="D215" s="144"/>
      <c r="E215" s="145"/>
      <c r="F215" s="161"/>
      <c r="G215" s="144"/>
      <c r="H215" s="145"/>
      <c r="I215" s="145"/>
      <c r="J215" s="144"/>
      <c r="K215" s="145"/>
      <c r="L215" s="145"/>
    </row>
    <row r="216">
      <c r="A216" s="137"/>
      <c r="B216" s="145"/>
      <c r="C216" s="144"/>
      <c r="D216" s="144"/>
      <c r="E216" s="145"/>
      <c r="F216" s="161"/>
      <c r="G216" s="144"/>
      <c r="H216" s="145"/>
      <c r="I216" s="145"/>
      <c r="J216" s="144"/>
      <c r="K216" s="145"/>
      <c r="L216" s="145"/>
    </row>
    <row r="217">
      <c r="A217" s="137"/>
      <c r="B217" s="145"/>
      <c r="C217" s="144"/>
      <c r="D217" s="144"/>
      <c r="E217" s="145"/>
      <c r="F217" s="161"/>
      <c r="G217" s="144"/>
      <c r="H217" s="145"/>
      <c r="I217" s="145"/>
      <c r="J217" s="144"/>
      <c r="K217" s="145"/>
      <c r="L217" s="145"/>
    </row>
    <row r="218">
      <c r="A218" s="137"/>
      <c r="B218" s="145"/>
      <c r="C218" s="144"/>
      <c r="D218" s="144"/>
      <c r="E218" s="145"/>
      <c r="F218" s="161"/>
      <c r="G218" s="144"/>
      <c r="H218" s="145"/>
      <c r="I218" s="145"/>
      <c r="J218" s="144"/>
      <c r="K218" s="145"/>
      <c r="L218" s="145"/>
    </row>
    <row r="219">
      <c r="A219" s="137"/>
      <c r="B219" s="145"/>
      <c r="C219" s="144"/>
      <c r="D219" s="144"/>
      <c r="E219" s="145"/>
      <c r="F219" s="161"/>
      <c r="G219" s="144"/>
      <c r="H219" s="145"/>
      <c r="I219" s="145"/>
      <c r="J219" s="144"/>
      <c r="K219" s="145"/>
      <c r="L219" s="145"/>
    </row>
    <row r="220">
      <c r="A220" s="137"/>
      <c r="B220" s="145"/>
      <c r="C220" s="144"/>
      <c r="D220" s="144"/>
      <c r="E220" s="145"/>
      <c r="F220" s="161"/>
      <c r="G220" s="144"/>
      <c r="H220" s="145"/>
      <c r="I220" s="145"/>
      <c r="J220" s="144"/>
      <c r="K220" s="145"/>
      <c r="L220" s="145"/>
    </row>
    <row r="221">
      <c r="A221" s="137"/>
      <c r="B221" s="145"/>
      <c r="C221" s="144"/>
      <c r="D221" s="144"/>
      <c r="E221" s="145"/>
      <c r="F221" s="161"/>
      <c r="G221" s="144"/>
      <c r="H221" s="145"/>
      <c r="I221" s="145"/>
      <c r="J221" s="144"/>
      <c r="K221" s="145"/>
      <c r="L221" s="145"/>
    </row>
    <row r="222">
      <c r="A222" s="137"/>
      <c r="B222" s="145"/>
      <c r="C222" s="144"/>
      <c r="D222" s="144"/>
      <c r="E222" s="145"/>
      <c r="F222" s="161"/>
      <c r="G222" s="144"/>
      <c r="H222" s="145"/>
      <c r="I222" s="145"/>
      <c r="J222" s="144"/>
      <c r="K222" s="145"/>
      <c r="L222" s="145"/>
    </row>
    <row r="223">
      <c r="A223" s="137"/>
      <c r="B223" s="145"/>
      <c r="C223" s="144"/>
      <c r="D223" s="144"/>
      <c r="E223" s="145"/>
      <c r="F223" s="161"/>
      <c r="G223" s="144"/>
      <c r="H223" s="145"/>
      <c r="I223" s="145"/>
      <c r="J223" s="144"/>
      <c r="K223" s="145"/>
      <c r="L223" s="145"/>
    </row>
    <row r="224">
      <c r="A224" s="137"/>
      <c r="B224" s="145"/>
      <c r="C224" s="144"/>
      <c r="D224" s="144"/>
      <c r="E224" s="145"/>
      <c r="F224" s="161"/>
      <c r="G224" s="144"/>
      <c r="H224" s="145"/>
      <c r="I224" s="145"/>
      <c r="J224" s="144"/>
      <c r="K224" s="145"/>
      <c r="L224" s="145"/>
    </row>
    <row r="225">
      <c r="A225" s="137"/>
      <c r="B225" s="145"/>
      <c r="C225" s="144"/>
      <c r="D225" s="144"/>
      <c r="E225" s="145"/>
      <c r="F225" s="161"/>
      <c r="G225" s="144"/>
      <c r="H225" s="145"/>
      <c r="I225" s="145"/>
      <c r="J225" s="144"/>
      <c r="K225" s="145"/>
      <c r="L225" s="145"/>
    </row>
    <row r="226">
      <c r="A226" s="137"/>
      <c r="B226" s="145"/>
      <c r="C226" s="144"/>
      <c r="D226" s="144"/>
      <c r="E226" s="145"/>
      <c r="F226" s="161"/>
      <c r="G226" s="144"/>
      <c r="H226" s="145"/>
      <c r="I226" s="145"/>
      <c r="J226" s="144"/>
      <c r="K226" s="145"/>
      <c r="L226" s="145"/>
    </row>
    <row r="227">
      <c r="A227" s="137"/>
      <c r="B227" s="145"/>
      <c r="C227" s="144"/>
      <c r="D227" s="144"/>
      <c r="E227" s="145"/>
      <c r="F227" s="161"/>
      <c r="G227" s="144"/>
      <c r="H227" s="145"/>
      <c r="I227" s="145"/>
      <c r="J227" s="144"/>
      <c r="K227" s="145"/>
      <c r="L227" s="145"/>
    </row>
    <row r="228">
      <c r="A228" s="137"/>
      <c r="B228" s="145"/>
      <c r="C228" s="144"/>
      <c r="D228" s="144"/>
      <c r="E228" s="145"/>
      <c r="F228" s="161"/>
      <c r="G228" s="144"/>
      <c r="H228" s="145"/>
      <c r="I228" s="145"/>
      <c r="J228" s="144"/>
      <c r="K228" s="145"/>
      <c r="L228" s="145"/>
    </row>
    <row r="229">
      <c r="A229" s="137"/>
      <c r="B229" s="145"/>
      <c r="C229" s="144"/>
      <c r="D229" s="144"/>
      <c r="E229" s="145"/>
      <c r="F229" s="161"/>
      <c r="G229" s="144"/>
      <c r="H229" s="145"/>
      <c r="I229" s="145"/>
      <c r="J229" s="144"/>
      <c r="K229" s="145"/>
      <c r="L229" s="145"/>
    </row>
    <row r="230">
      <c r="A230" s="137"/>
      <c r="B230" s="145"/>
      <c r="C230" s="144"/>
      <c r="D230" s="144"/>
      <c r="E230" s="145"/>
      <c r="F230" s="161"/>
      <c r="G230" s="144"/>
      <c r="H230" s="145"/>
      <c r="I230" s="145"/>
      <c r="J230" s="144"/>
      <c r="K230" s="145"/>
      <c r="L230" s="145"/>
    </row>
    <row r="231">
      <c r="A231" s="137"/>
      <c r="B231" s="145"/>
      <c r="C231" s="144"/>
      <c r="D231" s="144"/>
      <c r="E231" s="145"/>
      <c r="F231" s="161"/>
      <c r="G231" s="144"/>
      <c r="H231" s="145"/>
      <c r="I231" s="145"/>
      <c r="J231" s="144"/>
      <c r="K231" s="145"/>
      <c r="L231" s="145"/>
    </row>
    <row r="232">
      <c r="A232" s="137"/>
      <c r="B232" s="145"/>
      <c r="C232" s="144"/>
      <c r="D232" s="144"/>
      <c r="E232" s="145"/>
      <c r="F232" s="161"/>
      <c r="G232" s="144"/>
      <c r="H232" s="145"/>
      <c r="I232" s="145"/>
      <c r="J232" s="144"/>
      <c r="K232" s="145"/>
      <c r="L232" s="145"/>
    </row>
    <row r="233">
      <c r="A233" s="137"/>
      <c r="B233" s="145"/>
      <c r="C233" s="144"/>
      <c r="D233" s="144"/>
      <c r="E233" s="145"/>
      <c r="F233" s="161"/>
      <c r="G233" s="144"/>
      <c r="H233" s="145"/>
      <c r="I233" s="145"/>
      <c r="J233" s="144"/>
      <c r="K233" s="145"/>
      <c r="L233" s="145"/>
    </row>
    <row r="234">
      <c r="A234" s="161"/>
      <c r="B234" s="145"/>
      <c r="C234" s="144"/>
      <c r="D234" s="144"/>
      <c r="E234" s="145"/>
      <c r="F234" s="161"/>
      <c r="G234" s="144"/>
      <c r="H234" s="145"/>
      <c r="I234" s="145"/>
      <c r="J234" s="144"/>
      <c r="K234" s="145"/>
      <c r="L234" s="145"/>
    </row>
    <row r="235">
      <c r="A235" s="161"/>
      <c r="B235" s="145"/>
      <c r="C235" s="144"/>
      <c r="D235" s="144"/>
      <c r="E235" s="145"/>
      <c r="F235" s="161"/>
      <c r="G235" s="144"/>
      <c r="H235" s="145"/>
      <c r="I235" s="145"/>
      <c r="J235" s="144"/>
      <c r="K235" s="145"/>
      <c r="L235" s="145"/>
    </row>
    <row r="236">
      <c r="A236" s="161"/>
      <c r="B236" s="145"/>
      <c r="C236" s="144"/>
      <c r="D236" s="144"/>
      <c r="E236" s="145"/>
      <c r="F236" s="161"/>
      <c r="G236" s="144"/>
      <c r="H236" s="145"/>
      <c r="I236" s="145"/>
      <c r="J236" s="144"/>
      <c r="K236" s="145"/>
      <c r="L236" s="145"/>
    </row>
    <row r="237">
      <c r="A237" s="161"/>
      <c r="B237" s="145"/>
      <c r="C237" s="144"/>
      <c r="D237" s="144"/>
      <c r="E237" s="145"/>
      <c r="F237" s="161"/>
      <c r="G237" s="144"/>
      <c r="H237" s="145"/>
      <c r="I237" s="145"/>
      <c r="J237" s="144"/>
      <c r="K237" s="145"/>
      <c r="L237" s="145"/>
    </row>
    <row r="238">
      <c r="A238" s="161"/>
      <c r="B238" s="145"/>
      <c r="C238" s="144"/>
      <c r="D238" s="144"/>
      <c r="E238" s="145"/>
      <c r="F238" s="161"/>
      <c r="G238" s="144"/>
      <c r="H238" s="145"/>
      <c r="I238" s="145"/>
      <c r="J238" s="144"/>
      <c r="K238" s="145"/>
      <c r="L238" s="145"/>
    </row>
    <row r="239">
      <c r="A239" s="161"/>
      <c r="B239" s="145"/>
      <c r="C239" s="144"/>
      <c r="D239" s="144"/>
      <c r="E239" s="145"/>
      <c r="F239" s="161"/>
      <c r="G239" s="144"/>
      <c r="H239" s="145"/>
      <c r="I239" s="145"/>
      <c r="J239" s="144"/>
      <c r="K239" s="145"/>
      <c r="L239" s="145"/>
    </row>
    <row r="240">
      <c r="A240" s="161"/>
      <c r="B240" s="145"/>
      <c r="C240" s="144"/>
      <c r="D240" s="144"/>
      <c r="E240" s="145"/>
      <c r="F240" s="161"/>
      <c r="G240" s="144"/>
      <c r="H240" s="145"/>
      <c r="I240" s="145"/>
      <c r="J240" s="144"/>
      <c r="K240" s="145"/>
      <c r="L240" s="145"/>
    </row>
    <row r="241">
      <c r="A241" s="161"/>
      <c r="B241" s="145"/>
      <c r="C241" s="144"/>
      <c r="D241" s="144"/>
      <c r="E241" s="145"/>
      <c r="F241" s="161"/>
      <c r="G241" s="144"/>
      <c r="H241" s="145"/>
      <c r="I241" s="145"/>
      <c r="J241" s="144"/>
      <c r="K241" s="145"/>
      <c r="L241" s="145"/>
    </row>
    <row r="242">
      <c r="A242" s="145"/>
      <c r="B242" s="145"/>
      <c r="C242" s="144"/>
      <c r="D242" s="144"/>
      <c r="E242" s="145"/>
      <c r="F242" s="161"/>
      <c r="G242" s="144"/>
      <c r="H242" s="145"/>
      <c r="I242" s="145"/>
      <c r="J242" s="144"/>
      <c r="K242" s="145"/>
      <c r="L242" s="145"/>
    </row>
    <row r="243">
      <c r="A243" s="145"/>
      <c r="B243" s="145"/>
      <c r="C243" s="144"/>
      <c r="D243" s="144"/>
      <c r="E243" s="145"/>
      <c r="F243" s="161"/>
      <c r="G243" s="144"/>
      <c r="H243" s="145"/>
      <c r="I243" s="145"/>
      <c r="J243" s="144"/>
      <c r="K243" s="145"/>
      <c r="L243" s="145"/>
    </row>
    <row r="244">
      <c r="A244" s="145"/>
      <c r="B244" s="145"/>
      <c r="C244" s="144"/>
      <c r="D244" s="144"/>
      <c r="E244" s="145"/>
      <c r="F244" s="161"/>
      <c r="G244" s="144"/>
      <c r="H244" s="145"/>
      <c r="I244" s="145"/>
      <c r="J244" s="144"/>
      <c r="K244" s="145"/>
      <c r="L244" s="145"/>
    </row>
    <row r="245">
      <c r="A245" s="145"/>
      <c r="B245" s="145"/>
      <c r="C245" s="144"/>
      <c r="D245" s="144"/>
      <c r="E245" s="145"/>
      <c r="F245" s="161"/>
      <c r="G245" s="144"/>
      <c r="H245" s="145"/>
      <c r="I245" s="145"/>
      <c r="J245" s="144"/>
      <c r="K245" s="145"/>
      <c r="L245" s="145"/>
    </row>
    <row r="246">
      <c r="A246" s="145"/>
      <c r="B246" s="145"/>
      <c r="C246" s="144"/>
      <c r="D246" s="144"/>
      <c r="E246" s="145"/>
      <c r="F246" s="161"/>
      <c r="G246" s="144"/>
      <c r="H246" s="145"/>
      <c r="I246" s="145"/>
      <c r="J246" s="144"/>
      <c r="K246" s="145"/>
      <c r="L246" s="145"/>
    </row>
    <row r="247">
      <c r="A247" s="145"/>
      <c r="B247" s="145"/>
      <c r="C247" s="144"/>
      <c r="D247" s="144"/>
      <c r="E247" s="145"/>
      <c r="F247" s="161"/>
      <c r="G247" s="144"/>
      <c r="H247" s="145"/>
      <c r="I247" s="145"/>
      <c r="J247" s="144"/>
      <c r="K247" s="145"/>
      <c r="L247" s="145"/>
    </row>
    <row r="248">
      <c r="A248" s="145"/>
      <c r="B248" s="145"/>
      <c r="C248" s="144"/>
      <c r="D248" s="144"/>
      <c r="E248" s="145"/>
      <c r="F248" s="161"/>
      <c r="G248" s="144"/>
      <c r="H248" s="145"/>
      <c r="I248" s="145"/>
      <c r="J248" s="144"/>
      <c r="K248" s="145"/>
      <c r="L248" s="145"/>
    </row>
    <row r="249">
      <c r="A249" s="145"/>
      <c r="B249" s="145"/>
      <c r="C249" s="144"/>
      <c r="D249" s="144"/>
      <c r="E249" s="145"/>
      <c r="F249" s="161"/>
      <c r="G249" s="144"/>
      <c r="H249" s="145"/>
      <c r="I249" s="145"/>
      <c r="J249" s="144"/>
      <c r="K249" s="145"/>
      <c r="L249" s="145"/>
    </row>
    <row r="250">
      <c r="A250" s="145"/>
      <c r="B250" s="145"/>
      <c r="C250" s="144"/>
      <c r="D250" s="144"/>
      <c r="E250" s="145"/>
      <c r="F250" s="161"/>
      <c r="G250" s="144"/>
      <c r="H250" s="145"/>
      <c r="I250" s="145"/>
      <c r="J250" s="144"/>
      <c r="K250" s="145"/>
      <c r="L250" s="145"/>
    </row>
    <row r="251">
      <c r="A251" s="145"/>
      <c r="B251" s="145"/>
      <c r="C251" s="144"/>
      <c r="D251" s="144"/>
      <c r="E251" s="145"/>
      <c r="F251" s="161"/>
      <c r="G251" s="144"/>
      <c r="H251" s="145"/>
      <c r="I251" s="145"/>
      <c r="J251" s="144"/>
      <c r="K251" s="145"/>
      <c r="L251" s="145"/>
    </row>
    <row r="252">
      <c r="A252" s="145"/>
      <c r="B252" s="145"/>
      <c r="C252" s="144"/>
      <c r="D252" s="144"/>
      <c r="E252" s="145"/>
      <c r="F252" s="161"/>
      <c r="G252" s="144"/>
      <c r="H252" s="145"/>
      <c r="I252" s="145"/>
      <c r="J252" s="144"/>
      <c r="K252" s="145"/>
      <c r="L252" s="145"/>
    </row>
    <row r="253">
      <c r="A253" s="145"/>
      <c r="B253" s="145"/>
      <c r="C253" s="144"/>
      <c r="D253" s="144"/>
      <c r="E253" s="145"/>
      <c r="F253" s="161"/>
      <c r="G253" s="144"/>
      <c r="H253" s="145"/>
      <c r="I253" s="145"/>
      <c r="J253" s="144"/>
      <c r="K253" s="145"/>
      <c r="L253" s="145"/>
    </row>
    <row r="254">
      <c r="A254" s="145"/>
      <c r="B254" s="145"/>
      <c r="C254" s="144"/>
      <c r="D254" s="144"/>
      <c r="E254" s="145"/>
      <c r="F254" s="161"/>
      <c r="G254" s="144"/>
      <c r="H254" s="145"/>
      <c r="I254" s="145"/>
      <c r="J254" s="144"/>
      <c r="K254" s="145"/>
      <c r="L254" s="145"/>
    </row>
    <row r="255">
      <c r="A255" s="145"/>
      <c r="B255" s="145"/>
      <c r="C255" s="144"/>
      <c r="D255" s="144"/>
      <c r="E255" s="145"/>
      <c r="F255" s="161"/>
      <c r="G255" s="144"/>
      <c r="H255" s="145"/>
      <c r="I255" s="145"/>
      <c r="J255" s="144"/>
      <c r="K255" s="145"/>
      <c r="L255" s="145"/>
    </row>
    <row r="256">
      <c r="A256" s="145"/>
      <c r="B256" s="145"/>
      <c r="C256" s="144"/>
      <c r="D256" s="144"/>
      <c r="E256" s="145"/>
      <c r="F256" s="161"/>
      <c r="G256" s="144"/>
      <c r="H256" s="145"/>
      <c r="I256" s="145"/>
      <c r="J256" s="144"/>
      <c r="K256" s="145"/>
      <c r="L256" s="145"/>
    </row>
    <row r="257">
      <c r="A257" s="145"/>
      <c r="B257" s="145"/>
      <c r="C257" s="144"/>
      <c r="D257" s="144"/>
      <c r="E257" s="145"/>
      <c r="F257" s="161"/>
      <c r="G257" s="144"/>
      <c r="H257" s="145"/>
      <c r="I257" s="145"/>
      <c r="J257" s="144"/>
      <c r="K257" s="145"/>
      <c r="L257" s="145"/>
    </row>
    <row r="258">
      <c r="A258" s="145"/>
      <c r="B258" s="145"/>
      <c r="C258" s="144"/>
      <c r="D258" s="144"/>
      <c r="E258" s="145"/>
      <c r="F258" s="161"/>
      <c r="G258" s="144"/>
      <c r="H258" s="145"/>
      <c r="I258" s="145"/>
      <c r="J258" s="144"/>
      <c r="K258" s="145"/>
      <c r="L258" s="145"/>
    </row>
    <row r="259">
      <c r="A259" s="145"/>
      <c r="B259" s="145"/>
      <c r="C259" s="144"/>
      <c r="D259" s="144"/>
      <c r="E259" s="145"/>
      <c r="F259" s="161"/>
      <c r="G259" s="144"/>
      <c r="H259" s="145"/>
      <c r="I259" s="145"/>
      <c r="J259" s="144"/>
      <c r="K259" s="145"/>
      <c r="L259" s="145"/>
    </row>
    <row r="260">
      <c r="A260" s="145"/>
      <c r="B260" s="145"/>
      <c r="C260" s="144"/>
      <c r="D260" s="144"/>
      <c r="E260" s="145"/>
      <c r="F260" s="161"/>
      <c r="G260" s="144"/>
      <c r="H260" s="145"/>
      <c r="I260" s="145"/>
      <c r="J260" s="144"/>
      <c r="K260" s="145"/>
      <c r="L260" s="145"/>
    </row>
    <row r="261">
      <c r="A261" s="145"/>
      <c r="B261" s="145"/>
      <c r="C261" s="144"/>
      <c r="D261" s="144"/>
      <c r="E261" s="145"/>
      <c r="F261" s="161"/>
      <c r="G261" s="144"/>
      <c r="H261" s="145"/>
      <c r="I261" s="145"/>
      <c r="J261" s="144"/>
      <c r="K261" s="145"/>
      <c r="L261" s="145"/>
    </row>
    <row r="262">
      <c r="A262" s="145"/>
      <c r="B262" s="145"/>
      <c r="C262" s="144"/>
      <c r="D262" s="144"/>
      <c r="E262" s="145"/>
      <c r="F262" s="161"/>
      <c r="G262" s="144"/>
      <c r="H262" s="145"/>
      <c r="I262" s="145"/>
      <c r="J262" s="144"/>
      <c r="K262" s="145"/>
      <c r="L262" s="145"/>
    </row>
    <row r="263">
      <c r="A263" s="145"/>
      <c r="B263" s="145"/>
      <c r="C263" s="144"/>
      <c r="D263" s="144"/>
      <c r="E263" s="145"/>
      <c r="F263" s="161"/>
      <c r="G263" s="144"/>
      <c r="H263" s="145"/>
      <c r="I263" s="145"/>
      <c r="J263" s="144"/>
      <c r="K263" s="145"/>
      <c r="L263" s="145"/>
    </row>
    <row r="264">
      <c r="A264" s="145"/>
      <c r="B264" s="145"/>
      <c r="C264" s="144"/>
      <c r="D264" s="144"/>
      <c r="E264" s="145"/>
      <c r="F264" s="161"/>
      <c r="G264" s="144"/>
      <c r="H264" s="145"/>
      <c r="I264" s="145"/>
      <c r="J264" s="144"/>
      <c r="K264" s="145"/>
      <c r="L264" s="145"/>
    </row>
    <row r="265">
      <c r="A265" s="145"/>
      <c r="B265" s="145"/>
      <c r="C265" s="144"/>
      <c r="D265" s="144"/>
      <c r="E265" s="145"/>
      <c r="F265" s="161"/>
      <c r="G265" s="144"/>
      <c r="H265" s="145"/>
      <c r="I265" s="145"/>
      <c r="J265" s="144"/>
      <c r="K265" s="145"/>
      <c r="L265" s="145"/>
    </row>
    <row r="266">
      <c r="A266" s="145"/>
      <c r="B266" s="145"/>
      <c r="C266" s="144"/>
      <c r="D266" s="144"/>
      <c r="E266" s="145"/>
      <c r="F266" s="161"/>
      <c r="G266" s="144"/>
      <c r="H266" s="145"/>
      <c r="I266" s="145"/>
      <c r="J266" s="144"/>
      <c r="K266" s="145"/>
      <c r="L266" s="145"/>
    </row>
    <row r="267">
      <c r="A267" s="145"/>
      <c r="B267" s="145"/>
      <c r="C267" s="144"/>
      <c r="D267" s="144"/>
      <c r="E267" s="145"/>
      <c r="F267" s="161"/>
      <c r="G267" s="144"/>
      <c r="H267" s="145"/>
      <c r="I267" s="145"/>
      <c r="J267" s="144"/>
      <c r="K267" s="145"/>
      <c r="L267" s="145"/>
    </row>
    <row r="268">
      <c r="A268" s="145"/>
      <c r="B268" s="145"/>
      <c r="C268" s="144"/>
      <c r="D268" s="144"/>
      <c r="E268" s="145"/>
      <c r="F268" s="161"/>
      <c r="G268" s="144"/>
      <c r="H268" s="145"/>
      <c r="I268" s="145"/>
      <c r="J268" s="144"/>
      <c r="K268" s="145"/>
      <c r="L268" s="145"/>
    </row>
    <row r="269">
      <c r="A269" s="145"/>
      <c r="B269" s="145"/>
      <c r="C269" s="144"/>
      <c r="D269" s="144"/>
      <c r="E269" s="145"/>
      <c r="F269" s="161"/>
      <c r="G269" s="144"/>
      <c r="H269" s="145"/>
      <c r="I269" s="145"/>
      <c r="J269" s="144"/>
      <c r="K269" s="145"/>
      <c r="L269" s="145"/>
    </row>
    <row r="270">
      <c r="A270" s="145"/>
      <c r="B270" s="145"/>
      <c r="C270" s="144"/>
      <c r="D270" s="144"/>
      <c r="E270" s="145"/>
      <c r="F270" s="161"/>
      <c r="G270" s="144"/>
      <c r="H270" s="145"/>
      <c r="I270" s="145"/>
      <c r="J270" s="144"/>
      <c r="K270" s="145"/>
      <c r="L270" s="145"/>
    </row>
    <row r="271">
      <c r="A271" s="145"/>
      <c r="B271" s="145"/>
      <c r="C271" s="144"/>
      <c r="D271" s="144"/>
      <c r="E271" s="145"/>
      <c r="F271" s="161"/>
      <c r="G271" s="144"/>
      <c r="H271" s="145"/>
      <c r="I271" s="145"/>
      <c r="J271" s="144"/>
      <c r="K271" s="145"/>
      <c r="L271" s="145"/>
    </row>
    <row r="272">
      <c r="A272" s="145"/>
      <c r="B272" s="145"/>
      <c r="C272" s="144"/>
      <c r="D272" s="144"/>
      <c r="E272" s="145"/>
      <c r="F272" s="161"/>
      <c r="G272" s="144"/>
      <c r="H272" s="145"/>
      <c r="I272" s="145"/>
      <c r="J272" s="144"/>
      <c r="K272" s="145"/>
      <c r="L272" s="145"/>
    </row>
    <row r="273">
      <c r="A273" s="145"/>
      <c r="B273" s="145"/>
      <c r="C273" s="144"/>
      <c r="D273" s="144"/>
      <c r="E273" s="145"/>
      <c r="F273" s="161"/>
      <c r="G273" s="144"/>
      <c r="H273" s="145"/>
      <c r="I273" s="145"/>
      <c r="J273" s="144"/>
      <c r="K273" s="145"/>
      <c r="L273" s="145"/>
    </row>
    <row r="274">
      <c r="A274" s="145"/>
      <c r="B274" s="145"/>
      <c r="C274" s="144"/>
      <c r="D274" s="144"/>
      <c r="E274" s="145"/>
      <c r="F274" s="161"/>
      <c r="G274" s="144"/>
      <c r="H274" s="145"/>
      <c r="I274" s="145"/>
      <c r="J274" s="144"/>
      <c r="K274" s="145"/>
      <c r="L274" s="145"/>
    </row>
    <row r="275">
      <c r="A275" s="145"/>
      <c r="B275" s="145"/>
      <c r="C275" s="144"/>
      <c r="D275" s="144"/>
      <c r="E275" s="145"/>
      <c r="F275" s="161"/>
      <c r="G275" s="144"/>
      <c r="H275" s="145"/>
      <c r="I275" s="145"/>
      <c r="J275" s="144"/>
      <c r="K275" s="145"/>
      <c r="L275" s="145"/>
    </row>
    <row r="276">
      <c r="A276" s="145"/>
      <c r="B276" s="145"/>
      <c r="C276" s="144"/>
      <c r="D276" s="144"/>
      <c r="E276" s="145"/>
      <c r="F276" s="161"/>
      <c r="G276" s="144"/>
      <c r="H276" s="145"/>
      <c r="I276" s="145"/>
      <c r="J276" s="144"/>
      <c r="K276" s="145"/>
      <c r="L276" s="145"/>
    </row>
    <row r="277">
      <c r="A277" s="145"/>
      <c r="B277" s="145"/>
      <c r="C277" s="144"/>
      <c r="D277" s="144"/>
      <c r="E277" s="145"/>
      <c r="F277" s="161"/>
      <c r="G277" s="144"/>
      <c r="H277" s="145"/>
      <c r="I277" s="145"/>
      <c r="J277" s="144"/>
      <c r="K277" s="145"/>
      <c r="L277" s="145"/>
    </row>
    <row r="278">
      <c r="A278" s="145"/>
      <c r="B278" s="145"/>
      <c r="C278" s="144"/>
      <c r="D278" s="144"/>
      <c r="E278" s="145"/>
      <c r="F278" s="161"/>
      <c r="G278" s="144"/>
      <c r="H278" s="145"/>
      <c r="I278" s="145"/>
      <c r="J278" s="144"/>
      <c r="K278" s="145"/>
      <c r="L278" s="145"/>
    </row>
    <row r="279">
      <c r="A279" s="145"/>
      <c r="B279" s="145"/>
      <c r="C279" s="144"/>
      <c r="D279" s="144"/>
      <c r="E279" s="145"/>
      <c r="F279" s="161"/>
      <c r="G279" s="144"/>
      <c r="H279" s="145"/>
      <c r="I279" s="145"/>
      <c r="J279" s="144"/>
      <c r="K279" s="145"/>
      <c r="L279" s="145"/>
    </row>
    <row r="280">
      <c r="A280" s="145"/>
      <c r="B280" s="145"/>
      <c r="C280" s="144"/>
      <c r="D280" s="144"/>
      <c r="E280" s="145"/>
      <c r="F280" s="161"/>
      <c r="G280" s="144"/>
      <c r="H280" s="145"/>
      <c r="I280" s="145"/>
      <c r="J280" s="144"/>
      <c r="K280" s="145"/>
      <c r="L280" s="145"/>
    </row>
    <row r="281">
      <c r="A281" s="115"/>
      <c r="B281" s="115"/>
      <c r="C281" s="54"/>
      <c r="D281" s="54"/>
      <c r="E281" s="115"/>
      <c r="F281" s="223"/>
      <c r="G281" s="54"/>
      <c r="H281" s="115"/>
      <c r="I281" s="115"/>
      <c r="J281" s="54"/>
      <c r="K281" s="115"/>
      <c r="L281" s="115"/>
    </row>
    <row r="282">
      <c r="A282" s="115"/>
      <c r="B282" s="115"/>
      <c r="C282" s="54"/>
      <c r="D282" s="54"/>
      <c r="E282" s="115"/>
      <c r="F282" s="223"/>
      <c r="G282" s="54"/>
      <c r="H282" s="115"/>
      <c r="I282" s="115"/>
      <c r="J282" s="54"/>
      <c r="K282" s="115"/>
      <c r="L282" s="115"/>
    </row>
    <row r="283">
      <c r="A283" s="115"/>
      <c r="B283" s="115"/>
      <c r="C283" s="54"/>
      <c r="D283" s="54"/>
      <c r="E283" s="115"/>
      <c r="F283" s="223"/>
      <c r="G283" s="54"/>
      <c r="H283" s="115"/>
      <c r="I283" s="115"/>
      <c r="J283" s="54"/>
      <c r="K283" s="115"/>
      <c r="L283" s="115"/>
    </row>
    <row r="284">
      <c r="A284" s="115"/>
      <c r="B284" s="115"/>
      <c r="C284" s="54"/>
      <c r="D284" s="54"/>
      <c r="E284" s="115"/>
      <c r="F284" s="223"/>
      <c r="G284" s="54"/>
      <c r="H284" s="115"/>
      <c r="I284" s="115"/>
      <c r="J284" s="54"/>
      <c r="K284" s="115"/>
      <c r="L284" s="115"/>
    </row>
    <row r="285">
      <c r="A285" s="115"/>
      <c r="B285" s="115"/>
      <c r="C285" s="54"/>
      <c r="D285" s="54"/>
      <c r="E285" s="115"/>
      <c r="F285" s="223"/>
      <c r="G285" s="54"/>
      <c r="H285" s="115"/>
      <c r="I285" s="115"/>
      <c r="J285" s="54"/>
      <c r="K285" s="115"/>
      <c r="L285" s="115"/>
    </row>
    <row r="286">
      <c r="A286" s="115"/>
      <c r="B286" s="115"/>
      <c r="C286" s="54"/>
      <c r="D286" s="54"/>
      <c r="E286" s="115"/>
      <c r="F286" s="223"/>
      <c r="G286" s="54"/>
      <c r="H286" s="115"/>
      <c r="I286" s="115"/>
      <c r="J286" s="54"/>
      <c r="K286" s="115"/>
      <c r="L286" s="115"/>
    </row>
    <row r="287">
      <c r="A287" s="115"/>
      <c r="B287" s="115"/>
      <c r="C287" s="54"/>
      <c r="D287" s="54"/>
      <c r="E287" s="115"/>
      <c r="F287" s="223"/>
      <c r="G287" s="54"/>
      <c r="H287" s="115"/>
      <c r="I287" s="115"/>
      <c r="J287" s="54"/>
      <c r="K287" s="115"/>
      <c r="L287" s="115"/>
    </row>
    <row r="288">
      <c r="A288" s="115"/>
      <c r="B288" s="115"/>
      <c r="C288" s="54"/>
      <c r="D288" s="54"/>
      <c r="E288" s="115"/>
      <c r="F288" s="223"/>
      <c r="G288" s="54"/>
      <c r="H288" s="115"/>
      <c r="I288" s="115"/>
      <c r="J288" s="54"/>
      <c r="K288" s="115"/>
      <c r="L288" s="115"/>
    </row>
    <row r="289">
      <c r="A289" s="115"/>
      <c r="B289" s="115"/>
      <c r="C289" s="54"/>
      <c r="D289" s="54"/>
      <c r="E289" s="115"/>
      <c r="F289" s="223"/>
      <c r="G289" s="54"/>
      <c r="H289" s="115"/>
      <c r="I289" s="115"/>
      <c r="J289" s="54"/>
      <c r="K289" s="115"/>
      <c r="L289" s="115"/>
    </row>
    <row r="290">
      <c r="A290" s="115"/>
      <c r="B290" s="115"/>
      <c r="C290" s="54"/>
      <c r="D290" s="54"/>
      <c r="E290" s="115"/>
      <c r="F290" s="223"/>
      <c r="G290" s="54"/>
      <c r="H290" s="115"/>
      <c r="I290" s="115"/>
      <c r="J290" s="54"/>
      <c r="K290" s="115"/>
      <c r="L290" s="115"/>
    </row>
    <row r="291">
      <c r="A291" s="115"/>
      <c r="B291" s="115"/>
      <c r="C291" s="54"/>
      <c r="D291" s="54"/>
      <c r="E291" s="115"/>
      <c r="F291" s="223"/>
      <c r="G291" s="54"/>
      <c r="H291" s="115"/>
      <c r="I291" s="115"/>
      <c r="J291" s="54"/>
      <c r="K291" s="115"/>
      <c r="L291" s="115"/>
    </row>
    <row r="292">
      <c r="A292" s="115"/>
      <c r="B292" s="115"/>
      <c r="C292" s="54"/>
      <c r="D292" s="54"/>
      <c r="E292" s="115"/>
      <c r="F292" s="223"/>
      <c r="G292" s="54"/>
      <c r="H292" s="115"/>
      <c r="I292" s="115"/>
      <c r="J292" s="54"/>
      <c r="K292" s="115"/>
      <c r="L292" s="115"/>
    </row>
    <row r="293">
      <c r="A293" s="115"/>
      <c r="B293" s="115"/>
      <c r="C293" s="54"/>
      <c r="D293" s="54"/>
      <c r="E293" s="115"/>
      <c r="F293" s="223"/>
      <c r="G293" s="54"/>
      <c r="H293" s="115"/>
      <c r="I293" s="115"/>
      <c r="J293" s="54"/>
      <c r="K293" s="115"/>
      <c r="L293" s="115"/>
    </row>
    <row r="294">
      <c r="A294" s="115"/>
      <c r="B294" s="115"/>
      <c r="C294" s="54"/>
      <c r="D294" s="54"/>
      <c r="E294" s="115"/>
      <c r="F294" s="223"/>
      <c r="G294" s="54"/>
      <c r="H294" s="115"/>
      <c r="I294" s="115"/>
      <c r="J294" s="54"/>
      <c r="K294" s="115"/>
      <c r="L294" s="115"/>
    </row>
    <row r="295">
      <c r="A295" s="115"/>
      <c r="B295" s="115"/>
      <c r="C295" s="54"/>
      <c r="D295" s="54"/>
      <c r="E295" s="115"/>
      <c r="F295" s="223"/>
      <c r="G295" s="54"/>
      <c r="H295" s="115"/>
      <c r="I295" s="115"/>
      <c r="J295" s="54"/>
      <c r="K295" s="115"/>
      <c r="L295" s="115"/>
    </row>
    <row r="296">
      <c r="A296" s="115"/>
      <c r="B296" s="115"/>
      <c r="C296" s="54"/>
      <c r="D296" s="54"/>
      <c r="E296" s="115"/>
      <c r="F296" s="223"/>
      <c r="G296" s="54"/>
      <c r="H296" s="115"/>
      <c r="I296" s="115"/>
      <c r="J296" s="54"/>
      <c r="K296" s="115"/>
      <c r="L296" s="115"/>
    </row>
    <row r="297">
      <c r="A297" s="115"/>
      <c r="B297" s="115"/>
      <c r="C297" s="54"/>
      <c r="D297" s="54"/>
      <c r="E297" s="115"/>
      <c r="F297" s="223"/>
      <c r="G297" s="54"/>
      <c r="H297" s="115"/>
      <c r="I297" s="115"/>
      <c r="J297" s="54"/>
      <c r="K297" s="115"/>
      <c r="L297" s="115"/>
    </row>
    <row r="298">
      <c r="A298" s="115"/>
      <c r="B298" s="115"/>
      <c r="C298" s="54"/>
      <c r="D298" s="54"/>
      <c r="E298" s="115"/>
      <c r="F298" s="223"/>
      <c r="G298" s="54"/>
      <c r="H298" s="115"/>
      <c r="I298" s="115"/>
      <c r="J298" s="54"/>
      <c r="K298" s="115"/>
      <c r="L298" s="115"/>
    </row>
    <row r="299">
      <c r="A299" s="115"/>
      <c r="B299" s="115"/>
      <c r="C299" s="54"/>
      <c r="D299" s="54"/>
      <c r="E299" s="115"/>
      <c r="F299" s="223"/>
      <c r="G299" s="54"/>
      <c r="H299" s="115"/>
      <c r="I299" s="115"/>
      <c r="J299" s="54"/>
      <c r="K299" s="115"/>
      <c r="L299" s="115"/>
    </row>
    <row r="300">
      <c r="A300" s="115"/>
      <c r="B300" s="115"/>
      <c r="C300" s="54"/>
      <c r="D300" s="54"/>
      <c r="E300" s="115"/>
      <c r="F300" s="223"/>
      <c r="G300" s="54"/>
      <c r="H300" s="115"/>
      <c r="I300" s="115"/>
      <c r="J300" s="54"/>
      <c r="K300" s="115"/>
      <c r="L300" s="115"/>
    </row>
    <row r="301">
      <c r="A301" s="115"/>
      <c r="B301" s="115"/>
      <c r="C301" s="54"/>
      <c r="D301" s="54"/>
      <c r="E301" s="115"/>
      <c r="F301" s="223"/>
      <c r="G301" s="54"/>
      <c r="H301" s="115"/>
      <c r="I301" s="115"/>
      <c r="J301" s="54"/>
      <c r="K301" s="115"/>
      <c r="L301" s="115"/>
    </row>
    <row r="302">
      <c r="A302" s="115"/>
      <c r="B302" s="115"/>
      <c r="C302" s="54"/>
      <c r="D302" s="54"/>
      <c r="E302" s="115"/>
      <c r="F302" s="223"/>
      <c r="G302" s="54"/>
      <c r="H302" s="115"/>
      <c r="I302" s="115"/>
      <c r="J302" s="54"/>
      <c r="K302" s="115"/>
      <c r="L302" s="115"/>
    </row>
    <row r="303">
      <c r="A303" s="115"/>
      <c r="B303" s="115"/>
      <c r="C303" s="54"/>
      <c r="D303" s="54"/>
      <c r="E303" s="115"/>
      <c r="F303" s="223"/>
      <c r="G303" s="54"/>
      <c r="H303" s="115"/>
      <c r="I303" s="115"/>
      <c r="J303" s="54"/>
      <c r="K303" s="115"/>
      <c r="L303" s="115"/>
    </row>
    <row r="304">
      <c r="A304" s="115"/>
      <c r="B304" s="115"/>
      <c r="C304" s="54"/>
      <c r="D304" s="54"/>
      <c r="E304" s="115"/>
      <c r="F304" s="223"/>
      <c r="G304" s="54"/>
      <c r="H304" s="115"/>
      <c r="I304" s="115"/>
      <c r="J304" s="54"/>
      <c r="K304" s="115"/>
      <c r="L304" s="115"/>
    </row>
    <row r="305">
      <c r="A305" s="115"/>
      <c r="B305" s="115"/>
      <c r="C305" s="54"/>
      <c r="D305" s="54"/>
      <c r="E305" s="115"/>
      <c r="F305" s="223"/>
      <c r="G305" s="54"/>
      <c r="H305" s="115"/>
      <c r="I305" s="115"/>
      <c r="J305" s="54"/>
      <c r="K305" s="115"/>
      <c r="L305" s="115"/>
    </row>
    <row r="306">
      <c r="A306" s="115"/>
      <c r="B306" s="115"/>
      <c r="C306" s="54"/>
      <c r="D306" s="54"/>
      <c r="E306" s="115"/>
      <c r="F306" s="223"/>
      <c r="G306" s="54"/>
      <c r="H306" s="115"/>
      <c r="I306" s="115"/>
      <c r="J306" s="54"/>
      <c r="K306" s="115"/>
      <c r="L306" s="115"/>
    </row>
    <row r="307">
      <c r="A307" s="115"/>
      <c r="B307" s="115"/>
      <c r="C307" s="54"/>
      <c r="D307" s="54"/>
      <c r="E307" s="115"/>
      <c r="F307" s="223"/>
      <c r="G307" s="54"/>
      <c r="H307" s="115"/>
      <c r="I307" s="115"/>
      <c r="J307" s="54"/>
      <c r="K307" s="115"/>
      <c r="L307" s="115"/>
    </row>
    <row r="308">
      <c r="A308" s="115"/>
      <c r="B308" s="115"/>
      <c r="C308" s="54"/>
      <c r="D308" s="54"/>
      <c r="E308" s="115"/>
      <c r="F308" s="223"/>
      <c r="G308" s="54"/>
      <c r="H308" s="115"/>
      <c r="I308" s="115"/>
      <c r="J308" s="54"/>
      <c r="K308" s="115"/>
      <c r="L308" s="115"/>
    </row>
    <row r="309">
      <c r="A309" s="115"/>
      <c r="B309" s="115"/>
      <c r="C309" s="54"/>
      <c r="D309" s="54"/>
      <c r="E309" s="115"/>
      <c r="F309" s="223"/>
      <c r="G309" s="54"/>
      <c r="H309" s="115"/>
      <c r="I309" s="115"/>
      <c r="J309" s="54"/>
      <c r="K309" s="115"/>
      <c r="L309" s="115"/>
    </row>
    <row r="310">
      <c r="A310" s="115"/>
      <c r="B310" s="115"/>
      <c r="C310" s="54"/>
      <c r="D310" s="54"/>
      <c r="E310" s="115"/>
      <c r="F310" s="223"/>
      <c r="G310" s="54"/>
      <c r="H310" s="115"/>
      <c r="I310" s="115"/>
      <c r="J310" s="54"/>
      <c r="K310" s="115"/>
      <c r="L310" s="115"/>
    </row>
    <row r="311">
      <c r="A311" s="115"/>
      <c r="B311" s="115"/>
      <c r="C311" s="54"/>
      <c r="D311" s="54"/>
      <c r="E311" s="115"/>
      <c r="F311" s="223"/>
      <c r="G311" s="54"/>
      <c r="H311" s="115"/>
      <c r="I311" s="115"/>
      <c r="J311" s="54"/>
      <c r="K311" s="115"/>
      <c r="L311" s="115"/>
    </row>
    <row r="312">
      <c r="A312" s="115"/>
      <c r="B312" s="115"/>
      <c r="C312" s="54"/>
      <c r="D312" s="54"/>
      <c r="E312" s="115"/>
      <c r="F312" s="223"/>
      <c r="G312" s="54"/>
      <c r="H312" s="115"/>
      <c r="I312" s="115"/>
      <c r="J312" s="54"/>
      <c r="K312" s="115"/>
      <c r="L312" s="115"/>
    </row>
    <row r="313">
      <c r="A313" s="115"/>
      <c r="B313" s="115"/>
      <c r="C313" s="54"/>
      <c r="D313" s="54"/>
      <c r="E313" s="115"/>
      <c r="F313" s="223"/>
      <c r="G313" s="54"/>
      <c r="H313" s="115"/>
      <c r="I313" s="115"/>
      <c r="J313" s="54"/>
      <c r="K313" s="115"/>
      <c r="L313" s="115"/>
    </row>
    <row r="314">
      <c r="A314" s="115"/>
      <c r="B314" s="115"/>
      <c r="C314" s="54"/>
      <c r="D314" s="54"/>
      <c r="E314" s="115"/>
      <c r="F314" s="223"/>
      <c r="G314" s="54"/>
      <c r="H314" s="115"/>
      <c r="I314" s="115"/>
      <c r="J314" s="54"/>
      <c r="K314" s="115"/>
      <c r="L314" s="115"/>
    </row>
    <row r="315">
      <c r="A315" s="115"/>
      <c r="B315" s="115"/>
      <c r="C315" s="54"/>
      <c r="D315" s="54"/>
      <c r="E315" s="115"/>
      <c r="F315" s="223"/>
      <c r="G315" s="54"/>
      <c r="H315" s="115"/>
      <c r="I315" s="115"/>
      <c r="J315" s="54"/>
      <c r="K315" s="115"/>
      <c r="L315" s="115"/>
    </row>
    <row r="316">
      <c r="A316" s="115"/>
      <c r="B316" s="115"/>
      <c r="C316" s="54"/>
      <c r="D316" s="54"/>
      <c r="E316" s="115"/>
      <c r="F316" s="223"/>
      <c r="G316" s="54"/>
      <c r="H316" s="115"/>
      <c r="I316" s="115"/>
      <c r="J316" s="54"/>
      <c r="K316" s="115"/>
      <c r="L316" s="115"/>
    </row>
    <row r="317">
      <c r="A317" s="115"/>
      <c r="B317" s="115"/>
      <c r="C317" s="54"/>
      <c r="D317" s="54"/>
      <c r="E317" s="115"/>
      <c r="F317" s="223"/>
      <c r="G317" s="54"/>
      <c r="H317" s="115"/>
      <c r="I317" s="115"/>
      <c r="J317" s="54"/>
      <c r="K317" s="115"/>
      <c r="L317" s="115"/>
    </row>
    <row r="318">
      <c r="A318" s="115"/>
      <c r="B318" s="115"/>
      <c r="C318" s="54"/>
      <c r="D318" s="54"/>
      <c r="E318" s="115"/>
      <c r="F318" s="223"/>
      <c r="G318" s="54"/>
      <c r="H318" s="115"/>
      <c r="I318" s="115"/>
      <c r="J318" s="54"/>
      <c r="K318" s="115"/>
      <c r="L318" s="115"/>
    </row>
    <row r="319">
      <c r="A319" s="115"/>
      <c r="B319" s="115"/>
      <c r="C319" s="54"/>
      <c r="D319" s="54"/>
      <c r="E319" s="115"/>
      <c r="F319" s="223"/>
      <c r="G319" s="54"/>
      <c r="H319" s="115"/>
      <c r="I319" s="115"/>
      <c r="J319" s="54"/>
      <c r="K319" s="115"/>
      <c r="L319" s="115"/>
    </row>
    <row r="320">
      <c r="A320" s="115"/>
      <c r="B320" s="115"/>
      <c r="C320" s="54"/>
      <c r="D320" s="54"/>
      <c r="E320" s="115"/>
      <c r="F320" s="223"/>
      <c r="G320" s="54"/>
      <c r="H320" s="115"/>
      <c r="I320" s="115"/>
      <c r="J320" s="54"/>
      <c r="K320" s="115"/>
      <c r="L320" s="115"/>
    </row>
    <row r="321">
      <c r="A321" s="115"/>
      <c r="B321" s="115"/>
      <c r="C321" s="54"/>
      <c r="D321" s="54"/>
      <c r="E321" s="115"/>
      <c r="F321" s="223"/>
      <c r="G321" s="54"/>
      <c r="H321" s="115"/>
      <c r="I321" s="115"/>
      <c r="J321" s="54"/>
      <c r="K321" s="115"/>
      <c r="L321" s="115"/>
    </row>
    <row r="322">
      <c r="A322" s="115"/>
      <c r="B322" s="115"/>
      <c r="C322" s="54"/>
      <c r="D322" s="54"/>
      <c r="E322" s="115"/>
      <c r="F322" s="223"/>
      <c r="G322" s="54"/>
      <c r="H322" s="115"/>
      <c r="I322" s="115"/>
      <c r="J322" s="54"/>
      <c r="K322" s="115"/>
      <c r="L322" s="115"/>
    </row>
    <row r="323">
      <c r="A323" s="115"/>
      <c r="B323" s="115"/>
      <c r="C323" s="54"/>
      <c r="D323" s="54"/>
      <c r="E323" s="115"/>
      <c r="F323" s="223"/>
      <c r="G323" s="54"/>
      <c r="H323" s="115"/>
      <c r="I323" s="115"/>
      <c r="J323" s="54"/>
      <c r="K323" s="115"/>
      <c r="L323" s="115"/>
    </row>
    <row r="324">
      <c r="A324" s="115"/>
      <c r="B324" s="115"/>
      <c r="C324" s="54"/>
      <c r="D324" s="54"/>
      <c r="E324" s="115"/>
      <c r="F324" s="223"/>
      <c r="G324" s="54"/>
      <c r="H324" s="115"/>
      <c r="I324" s="115"/>
      <c r="J324" s="54"/>
      <c r="K324" s="115"/>
      <c r="L324" s="115"/>
    </row>
    <row r="325">
      <c r="A325" s="115"/>
      <c r="B325" s="115"/>
      <c r="C325" s="54"/>
      <c r="D325" s="54"/>
      <c r="E325" s="115"/>
      <c r="F325" s="223"/>
      <c r="G325" s="54"/>
      <c r="H325" s="115"/>
      <c r="I325" s="115"/>
      <c r="J325" s="54"/>
      <c r="K325" s="115"/>
      <c r="L325" s="115"/>
    </row>
    <row r="326">
      <c r="A326" s="115"/>
      <c r="B326" s="115"/>
      <c r="C326" s="54"/>
      <c r="D326" s="54"/>
      <c r="E326" s="115"/>
      <c r="F326" s="223"/>
      <c r="G326" s="54"/>
      <c r="H326" s="115"/>
      <c r="I326" s="115"/>
      <c r="J326" s="54"/>
      <c r="K326" s="115"/>
      <c r="L326" s="115"/>
    </row>
    <row r="327">
      <c r="A327" s="115"/>
      <c r="B327" s="115"/>
      <c r="C327" s="54"/>
      <c r="D327" s="54"/>
      <c r="E327" s="115"/>
      <c r="F327" s="223"/>
      <c r="G327" s="54"/>
      <c r="H327" s="115"/>
      <c r="I327" s="115"/>
      <c r="J327" s="54"/>
      <c r="K327" s="115"/>
      <c r="L327" s="115"/>
    </row>
    <row r="328">
      <c r="A328" s="115"/>
      <c r="B328" s="115"/>
      <c r="C328" s="54"/>
      <c r="D328" s="54"/>
      <c r="E328" s="115"/>
      <c r="F328" s="223"/>
      <c r="G328" s="54"/>
      <c r="H328" s="115"/>
      <c r="I328" s="115"/>
      <c r="J328" s="54"/>
      <c r="K328" s="115"/>
      <c r="L328" s="115"/>
    </row>
    <row r="329">
      <c r="A329" s="115"/>
      <c r="B329" s="115"/>
      <c r="C329" s="54"/>
      <c r="D329" s="54"/>
      <c r="E329" s="115"/>
      <c r="F329" s="223"/>
      <c r="G329" s="54"/>
      <c r="H329" s="115"/>
      <c r="I329" s="115"/>
      <c r="J329" s="54"/>
      <c r="K329" s="115"/>
      <c r="L329" s="115"/>
    </row>
    <row r="330">
      <c r="A330" s="115"/>
      <c r="B330" s="115"/>
      <c r="C330" s="54"/>
      <c r="D330" s="54"/>
      <c r="E330" s="115"/>
      <c r="F330" s="223"/>
      <c r="G330" s="54"/>
      <c r="H330" s="115"/>
      <c r="I330" s="115"/>
      <c r="J330" s="54"/>
      <c r="K330" s="115"/>
      <c r="L330" s="115"/>
    </row>
    <row r="331">
      <c r="A331" s="115"/>
      <c r="B331" s="115"/>
      <c r="C331" s="54"/>
      <c r="D331" s="54"/>
      <c r="E331" s="115"/>
      <c r="F331" s="223"/>
      <c r="G331" s="54"/>
      <c r="H331" s="115"/>
      <c r="I331" s="115"/>
      <c r="J331" s="54"/>
      <c r="K331" s="115"/>
      <c r="L331" s="115"/>
    </row>
    <row r="332">
      <c r="A332" s="115"/>
      <c r="B332" s="115"/>
      <c r="C332" s="54"/>
      <c r="D332" s="54"/>
      <c r="E332" s="115"/>
      <c r="F332" s="223"/>
      <c r="G332" s="54"/>
      <c r="H332" s="115"/>
      <c r="I332" s="115"/>
      <c r="J332" s="54"/>
      <c r="K332" s="115"/>
      <c r="L332" s="115"/>
    </row>
    <row r="333">
      <c r="A333" s="115"/>
      <c r="B333" s="115"/>
      <c r="C333" s="54"/>
      <c r="D333" s="54"/>
      <c r="E333" s="115"/>
      <c r="F333" s="223"/>
      <c r="G333" s="54"/>
      <c r="H333" s="115"/>
      <c r="I333" s="115"/>
      <c r="J333" s="54"/>
      <c r="K333" s="115"/>
      <c r="L333" s="115"/>
    </row>
    <row r="334">
      <c r="A334" s="115"/>
      <c r="B334" s="115"/>
      <c r="C334" s="54"/>
      <c r="D334" s="54"/>
      <c r="E334" s="115"/>
      <c r="F334" s="223"/>
      <c r="G334" s="54"/>
      <c r="H334" s="115"/>
      <c r="I334" s="115"/>
      <c r="J334" s="54"/>
      <c r="K334" s="115"/>
      <c r="L334" s="115"/>
    </row>
    <row r="335">
      <c r="A335" s="115"/>
      <c r="B335" s="115"/>
      <c r="C335" s="54"/>
      <c r="D335" s="54"/>
      <c r="E335" s="115"/>
      <c r="F335" s="223"/>
      <c r="G335" s="54"/>
      <c r="H335" s="115"/>
      <c r="I335" s="115"/>
      <c r="J335" s="54"/>
      <c r="K335" s="115"/>
      <c r="L335" s="115"/>
    </row>
    <row r="336">
      <c r="A336" s="115"/>
      <c r="B336" s="115"/>
      <c r="C336" s="54"/>
      <c r="D336" s="54"/>
      <c r="E336" s="115"/>
      <c r="F336" s="223"/>
      <c r="G336" s="54"/>
      <c r="H336" s="115"/>
      <c r="I336" s="115"/>
      <c r="J336" s="54"/>
      <c r="K336" s="115"/>
      <c r="L336" s="115"/>
    </row>
    <row r="337">
      <c r="A337" s="115"/>
      <c r="B337" s="115"/>
      <c r="C337" s="54"/>
      <c r="D337" s="54"/>
      <c r="E337" s="115"/>
      <c r="F337" s="223"/>
      <c r="G337" s="54"/>
      <c r="H337" s="115"/>
      <c r="I337" s="115"/>
      <c r="J337" s="54"/>
      <c r="K337" s="115"/>
      <c r="L337" s="115"/>
    </row>
    <row r="338">
      <c r="A338" s="115"/>
      <c r="B338" s="115"/>
      <c r="C338" s="54"/>
      <c r="D338" s="54"/>
      <c r="E338" s="115"/>
      <c r="F338" s="223"/>
      <c r="G338" s="54"/>
      <c r="H338" s="115"/>
      <c r="I338" s="115"/>
      <c r="J338" s="54"/>
      <c r="K338" s="115"/>
      <c r="L338" s="115"/>
    </row>
    <row r="339">
      <c r="A339" s="115"/>
      <c r="B339" s="115"/>
      <c r="C339" s="54"/>
      <c r="D339" s="54"/>
      <c r="E339" s="115"/>
      <c r="F339" s="223"/>
      <c r="G339" s="54"/>
      <c r="H339" s="115"/>
      <c r="I339" s="115"/>
      <c r="J339" s="54"/>
      <c r="K339" s="115"/>
      <c r="L339" s="115"/>
    </row>
    <row r="340">
      <c r="A340" s="115"/>
      <c r="B340" s="115"/>
      <c r="C340" s="54"/>
      <c r="D340" s="54"/>
      <c r="E340" s="115"/>
      <c r="F340" s="223"/>
      <c r="G340" s="54"/>
      <c r="H340" s="115"/>
      <c r="I340" s="115"/>
      <c r="J340" s="54"/>
      <c r="K340" s="115"/>
      <c r="L340" s="115"/>
    </row>
    <row r="341">
      <c r="A341" s="115"/>
      <c r="B341" s="115"/>
      <c r="C341" s="54"/>
      <c r="D341" s="54"/>
      <c r="E341" s="115"/>
      <c r="F341" s="223"/>
      <c r="G341" s="54"/>
      <c r="H341" s="115"/>
      <c r="I341" s="115"/>
      <c r="J341" s="54"/>
      <c r="K341" s="115"/>
      <c r="L341" s="115"/>
    </row>
    <row r="342">
      <c r="A342" s="115"/>
      <c r="B342" s="115"/>
      <c r="C342" s="54"/>
      <c r="D342" s="54"/>
      <c r="E342" s="115"/>
      <c r="F342" s="223"/>
      <c r="G342" s="54"/>
      <c r="H342" s="115"/>
      <c r="I342" s="115"/>
      <c r="J342" s="54"/>
      <c r="K342" s="115"/>
      <c r="L342" s="115"/>
    </row>
    <row r="343">
      <c r="A343" s="115"/>
      <c r="B343" s="115"/>
      <c r="C343" s="54"/>
      <c r="D343" s="54"/>
      <c r="E343" s="115"/>
      <c r="F343" s="223"/>
      <c r="G343" s="54"/>
      <c r="H343" s="115"/>
      <c r="I343" s="115"/>
      <c r="J343" s="54"/>
      <c r="K343" s="115"/>
      <c r="L343" s="115"/>
    </row>
    <row r="344">
      <c r="A344" s="115"/>
      <c r="B344" s="115"/>
      <c r="C344" s="54"/>
      <c r="D344" s="54"/>
      <c r="E344" s="115"/>
      <c r="F344" s="223"/>
      <c r="G344" s="54"/>
      <c r="H344" s="115"/>
      <c r="I344" s="115"/>
      <c r="J344" s="54"/>
      <c r="K344" s="115"/>
      <c r="L344" s="115"/>
    </row>
    <row r="345">
      <c r="A345" s="115"/>
      <c r="B345" s="115"/>
      <c r="C345" s="54"/>
      <c r="D345" s="54"/>
      <c r="E345" s="115"/>
      <c r="F345" s="223"/>
      <c r="G345" s="54"/>
      <c r="H345" s="115"/>
      <c r="I345" s="115"/>
      <c r="J345" s="54"/>
      <c r="K345" s="115"/>
      <c r="L345" s="115"/>
    </row>
    <row r="346">
      <c r="A346" s="115"/>
      <c r="B346" s="115"/>
      <c r="C346" s="54"/>
      <c r="D346" s="54"/>
      <c r="E346" s="115"/>
      <c r="F346" s="223"/>
      <c r="G346" s="54"/>
      <c r="H346" s="115"/>
      <c r="I346" s="115"/>
      <c r="J346" s="54"/>
      <c r="K346" s="115"/>
      <c r="L346" s="115"/>
    </row>
    <row r="347">
      <c r="A347" s="115"/>
      <c r="B347" s="115"/>
      <c r="C347" s="54"/>
      <c r="D347" s="54"/>
      <c r="E347" s="115"/>
      <c r="F347" s="223"/>
      <c r="G347" s="54"/>
      <c r="H347" s="115"/>
      <c r="I347" s="115"/>
      <c r="J347" s="54"/>
      <c r="K347" s="115"/>
      <c r="L347" s="115"/>
    </row>
    <row r="348">
      <c r="A348" s="115"/>
      <c r="B348" s="115"/>
      <c r="C348" s="54"/>
      <c r="D348" s="54"/>
      <c r="E348" s="115"/>
      <c r="F348" s="223"/>
      <c r="G348" s="54"/>
      <c r="H348" s="115"/>
      <c r="I348" s="115"/>
      <c r="J348" s="54"/>
      <c r="K348" s="115"/>
      <c r="L348" s="115"/>
    </row>
    <row r="349">
      <c r="A349" s="115"/>
      <c r="B349" s="115"/>
      <c r="C349" s="54"/>
      <c r="D349" s="54"/>
      <c r="E349" s="115"/>
      <c r="F349" s="223"/>
      <c r="G349" s="54"/>
      <c r="H349" s="115"/>
      <c r="I349" s="115"/>
      <c r="J349" s="54"/>
      <c r="K349" s="115"/>
      <c r="L349" s="115"/>
    </row>
    <row r="350">
      <c r="A350" s="115"/>
      <c r="B350" s="115"/>
      <c r="C350" s="54"/>
      <c r="D350" s="54"/>
      <c r="E350" s="115"/>
      <c r="F350" s="223"/>
      <c r="G350" s="54"/>
      <c r="H350" s="115"/>
      <c r="I350" s="115"/>
      <c r="J350" s="54"/>
      <c r="K350" s="115"/>
      <c r="L350" s="115"/>
    </row>
    <row r="351">
      <c r="A351" s="115"/>
      <c r="B351" s="115"/>
      <c r="C351" s="54"/>
      <c r="D351" s="54"/>
      <c r="E351" s="115"/>
      <c r="F351" s="223"/>
      <c r="G351" s="54"/>
      <c r="H351" s="115"/>
      <c r="I351" s="115"/>
      <c r="J351" s="54"/>
      <c r="K351" s="115"/>
      <c r="L351" s="115"/>
    </row>
    <row r="352">
      <c r="A352" s="115"/>
      <c r="B352" s="115"/>
      <c r="C352" s="54"/>
      <c r="D352" s="54"/>
      <c r="E352" s="115"/>
      <c r="F352" s="223"/>
      <c r="G352" s="54"/>
      <c r="H352" s="115"/>
      <c r="I352" s="115"/>
      <c r="J352" s="54"/>
      <c r="K352" s="115"/>
      <c r="L352" s="115"/>
    </row>
    <row r="353">
      <c r="A353" s="115"/>
      <c r="B353" s="115"/>
      <c r="C353" s="54"/>
      <c r="D353" s="54"/>
      <c r="E353" s="115"/>
      <c r="F353" s="223"/>
      <c r="G353" s="54"/>
      <c r="H353" s="115"/>
      <c r="I353" s="115"/>
      <c r="J353" s="54"/>
      <c r="K353" s="115"/>
      <c r="L353" s="115"/>
    </row>
    <row r="354">
      <c r="A354" s="115"/>
      <c r="B354" s="115"/>
      <c r="C354" s="54"/>
      <c r="D354" s="54"/>
      <c r="E354" s="115"/>
      <c r="F354" s="223"/>
      <c r="G354" s="54"/>
      <c r="H354" s="115"/>
      <c r="I354" s="115"/>
      <c r="J354" s="54"/>
      <c r="K354" s="115"/>
      <c r="L354" s="115"/>
    </row>
    <row r="355">
      <c r="A355" s="115"/>
      <c r="B355" s="115"/>
      <c r="C355" s="54"/>
      <c r="D355" s="54"/>
      <c r="E355" s="115"/>
      <c r="F355" s="223"/>
      <c r="G355" s="54"/>
      <c r="H355" s="115"/>
      <c r="I355" s="115"/>
      <c r="J355" s="54"/>
      <c r="K355" s="115"/>
      <c r="L355" s="115"/>
    </row>
    <row r="356">
      <c r="A356" s="115"/>
      <c r="B356" s="115"/>
      <c r="C356" s="54"/>
      <c r="D356" s="54"/>
      <c r="E356" s="115"/>
      <c r="F356" s="223"/>
      <c r="G356" s="54"/>
      <c r="H356" s="115"/>
      <c r="I356" s="115"/>
      <c r="J356" s="54"/>
      <c r="K356" s="115"/>
      <c r="L356" s="115"/>
    </row>
    <row r="357">
      <c r="A357" s="115"/>
      <c r="B357" s="115"/>
      <c r="C357" s="54"/>
      <c r="D357" s="54"/>
      <c r="E357" s="115"/>
      <c r="F357" s="223"/>
      <c r="G357" s="54"/>
      <c r="H357" s="115"/>
      <c r="I357" s="115"/>
      <c r="J357" s="54"/>
      <c r="K357" s="115"/>
      <c r="L357" s="115"/>
    </row>
    <row r="358">
      <c r="A358" s="115"/>
      <c r="B358" s="115"/>
      <c r="C358" s="54"/>
      <c r="D358" s="54"/>
      <c r="E358" s="115"/>
      <c r="F358" s="223"/>
      <c r="G358" s="54"/>
      <c r="H358" s="115"/>
      <c r="I358" s="115"/>
      <c r="J358" s="54"/>
      <c r="K358" s="115"/>
      <c r="L358" s="115"/>
    </row>
    <row r="359">
      <c r="A359" s="115"/>
      <c r="B359" s="115"/>
      <c r="C359" s="54"/>
      <c r="D359" s="54"/>
      <c r="E359" s="115"/>
      <c r="F359" s="223"/>
      <c r="G359" s="54"/>
      <c r="H359" s="115"/>
      <c r="I359" s="115"/>
      <c r="J359" s="54"/>
      <c r="K359" s="115"/>
      <c r="L359" s="115"/>
    </row>
    <row r="360">
      <c r="A360" s="115"/>
      <c r="B360" s="115"/>
      <c r="C360" s="54"/>
      <c r="D360" s="54"/>
      <c r="E360" s="115"/>
      <c r="F360" s="223"/>
      <c r="G360" s="54"/>
      <c r="H360" s="115"/>
      <c r="I360" s="115"/>
      <c r="J360" s="54"/>
      <c r="K360" s="115"/>
      <c r="L360" s="115"/>
    </row>
    <row r="361">
      <c r="A361" s="115"/>
      <c r="B361" s="115"/>
      <c r="C361" s="54"/>
      <c r="D361" s="54"/>
      <c r="E361" s="115"/>
      <c r="F361" s="223"/>
      <c r="G361" s="54"/>
      <c r="H361" s="115"/>
      <c r="I361" s="115"/>
      <c r="J361" s="54"/>
      <c r="K361" s="115"/>
      <c r="L361" s="115"/>
    </row>
    <row r="362">
      <c r="A362" s="115"/>
      <c r="B362" s="115"/>
      <c r="C362" s="54"/>
      <c r="D362" s="54"/>
      <c r="E362" s="115"/>
      <c r="F362" s="223"/>
      <c r="G362" s="54"/>
      <c r="H362" s="115"/>
      <c r="I362" s="115"/>
      <c r="J362" s="54"/>
      <c r="K362" s="115"/>
      <c r="L362" s="115"/>
    </row>
    <row r="363">
      <c r="A363" s="115"/>
      <c r="B363" s="115"/>
      <c r="C363" s="54"/>
      <c r="D363" s="54"/>
      <c r="E363" s="115"/>
      <c r="F363" s="223"/>
      <c r="G363" s="54"/>
      <c r="H363" s="115"/>
      <c r="I363" s="115"/>
      <c r="J363" s="54"/>
      <c r="K363" s="115"/>
      <c r="L363" s="115"/>
    </row>
    <row r="364">
      <c r="A364" s="115"/>
      <c r="B364" s="115"/>
      <c r="C364" s="54"/>
      <c r="D364" s="54"/>
      <c r="E364" s="115"/>
      <c r="F364" s="223"/>
      <c r="G364" s="54"/>
      <c r="H364" s="115"/>
      <c r="I364" s="115"/>
      <c r="J364" s="54"/>
      <c r="K364" s="115"/>
      <c r="L364" s="115"/>
    </row>
    <row r="365">
      <c r="A365" s="115"/>
      <c r="B365" s="115"/>
      <c r="C365" s="54"/>
      <c r="D365" s="54"/>
      <c r="E365" s="115"/>
      <c r="F365" s="223"/>
      <c r="G365" s="54"/>
      <c r="H365" s="115"/>
      <c r="I365" s="115"/>
      <c r="J365" s="54"/>
      <c r="K365" s="115"/>
      <c r="L365" s="115"/>
    </row>
    <row r="366">
      <c r="A366" s="115"/>
      <c r="B366" s="115"/>
      <c r="C366" s="54"/>
      <c r="D366" s="54"/>
      <c r="E366" s="115"/>
      <c r="F366" s="223"/>
      <c r="G366" s="54"/>
      <c r="H366" s="115"/>
      <c r="I366" s="115"/>
      <c r="J366" s="54"/>
      <c r="K366" s="115"/>
      <c r="L366" s="115"/>
    </row>
    <row r="367">
      <c r="A367" s="115"/>
      <c r="B367" s="115"/>
      <c r="C367" s="54"/>
      <c r="D367" s="54"/>
      <c r="E367" s="115"/>
      <c r="F367" s="223"/>
      <c r="G367" s="54"/>
      <c r="H367" s="115"/>
      <c r="I367" s="115"/>
      <c r="J367" s="54"/>
      <c r="K367" s="115"/>
      <c r="L367" s="115"/>
    </row>
    <row r="368">
      <c r="A368" s="115"/>
      <c r="B368" s="115"/>
      <c r="C368" s="54"/>
      <c r="D368" s="54"/>
      <c r="E368" s="115"/>
      <c r="F368" s="223"/>
      <c r="G368" s="54"/>
      <c r="H368" s="115"/>
      <c r="I368" s="115"/>
      <c r="J368" s="54"/>
      <c r="K368" s="115"/>
      <c r="L368" s="115"/>
    </row>
    <row r="369">
      <c r="A369" s="115"/>
      <c r="B369" s="115"/>
      <c r="C369" s="54"/>
      <c r="D369" s="54"/>
      <c r="E369" s="115"/>
      <c r="F369" s="223"/>
      <c r="G369" s="54"/>
      <c r="H369" s="115"/>
      <c r="I369" s="115"/>
      <c r="J369" s="54"/>
      <c r="K369" s="115"/>
      <c r="L369" s="115"/>
    </row>
    <row r="370">
      <c r="A370" s="115"/>
      <c r="B370" s="115"/>
      <c r="C370" s="54"/>
      <c r="D370" s="54"/>
      <c r="E370" s="115"/>
      <c r="F370" s="223"/>
      <c r="G370" s="54"/>
      <c r="H370" s="115"/>
      <c r="I370" s="115"/>
      <c r="J370" s="54"/>
      <c r="K370" s="115"/>
      <c r="L370" s="115"/>
    </row>
    <row r="371">
      <c r="A371" s="115"/>
      <c r="B371" s="115"/>
      <c r="C371" s="54"/>
      <c r="D371" s="54"/>
      <c r="E371" s="115"/>
      <c r="F371" s="223"/>
      <c r="G371" s="54"/>
      <c r="H371" s="115"/>
      <c r="I371" s="115"/>
      <c r="J371" s="54"/>
      <c r="K371" s="115"/>
      <c r="L371" s="115"/>
    </row>
    <row r="372">
      <c r="A372" s="115"/>
      <c r="B372" s="115"/>
      <c r="C372" s="54"/>
      <c r="D372" s="54"/>
      <c r="E372" s="115"/>
      <c r="F372" s="223"/>
      <c r="G372" s="54"/>
      <c r="H372" s="115"/>
      <c r="I372" s="115"/>
      <c r="J372" s="54"/>
      <c r="K372" s="115"/>
      <c r="L372" s="115"/>
    </row>
    <row r="373">
      <c r="A373" s="115"/>
      <c r="B373" s="115"/>
      <c r="C373" s="54"/>
      <c r="D373" s="54"/>
      <c r="E373" s="115"/>
      <c r="F373" s="223"/>
      <c r="G373" s="54"/>
      <c r="H373" s="115"/>
      <c r="I373" s="115"/>
      <c r="J373" s="54"/>
      <c r="K373" s="115"/>
      <c r="L373" s="115"/>
    </row>
    <row r="374">
      <c r="A374" s="115"/>
      <c r="B374" s="115"/>
      <c r="C374" s="54"/>
      <c r="D374" s="54"/>
      <c r="E374" s="115"/>
      <c r="F374" s="223"/>
      <c r="G374" s="54"/>
      <c r="H374" s="115"/>
      <c r="I374" s="115"/>
      <c r="J374" s="54"/>
      <c r="K374" s="115"/>
      <c r="L374" s="115"/>
    </row>
    <row r="375">
      <c r="A375" s="115"/>
      <c r="B375" s="115"/>
      <c r="C375" s="54"/>
      <c r="D375" s="54"/>
      <c r="E375" s="115"/>
      <c r="F375" s="223"/>
      <c r="G375" s="54"/>
      <c r="H375" s="115"/>
      <c r="I375" s="115"/>
      <c r="J375" s="54"/>
      <c r="K375" s="115"/>
      <c r="L375" s="115"/>
    </row>
    <row r="376">
      <c r="A376" s="115"/>
      <c r="B376" s="115"/>
      <c r="C376" s="54"/>
      <c r="D376" s="54"/>
      <c r="E376" s="115"/>
      <c r="F376" s="223"/>
      <c r="G376" s="54"/>
      <c r="H376" s="115"/>
      <c r="I376" s="115"/>
      <c r="J376" s="54"/>
      <c r="K376" s="115"/>
      <c r="L376" s="115"/>
    </row>
    <row r="377">
      <c r="A377" s="115"/>
      <c r="B377" s="115"/>
      <c r="C377" s="54"/>
      <c r="D377" s="54"/>
      <c r="E377" s="115"/>
      <c r="F377" s="223"/>
      <c r="G377" s="54"/>
      <c r="H377" s="115"/>
      <c r="I377" s="115"/>
      <c r="J377" s="54"/>
      <c r="K377" s="115"/>
      <c r="L377" s="115"/>
    </row>
    <row r="378">
      <c r="A378" s="115"/>
      <c r="B378" s="115"/>
      <c r="C378" s="54"/>
      <c r="D378" s="54"/>
      <c r="E378" s="115"/>
      <c r="F378" s="223"/>
      <c r="G378" s="54"/>
      <c r="H378" s="115"/>
      <c r="I378" s="115"/>
      <c r="J378" s="54"/>
      <c r="K378" s="115"/>
      <c r="L378" s="115"/>
    </row>
    <row r="379">
      <c r="A379" s="115"/>
      <c r="B379" s="115"/>
      <c r="C379" s="54"/>
      <c r="D379" s="54"/>
      <c r="E379" s="115"/>
      <c r="F379" s="223"/>
      <c r="G379" s="54"/>
      <c r="H379" s="115"/>
      <c r="I379" s="115"/>
      <c r="J379" s="54"/>
      <c r="K379" s="115"/>
      <c r="L379" s="115"/>
    </row>
    <row r="380">
      <c r="A380" s="115"/>
      <c r="B380" s="115"/>
      <c r="C380" s="54"/>
      <c r="D380" s="54"/>
      <c r="E380" s="115"/>
      <c r="F380" s="223"/>
      <c r="G380" s="54"/>
      <c r="H380" s="115"/>
      <c r="I380" s="115"/>
      <c r="J380" s="54"/>
      <c r="K380" s="115"/>
      <c r="L380" s="115"/>
    </row>
    <row r="381">
      <c r="A381" s="115"/>
      <c r="B381" s="115"/>
      <c r="C381" s="54"/>
      <c r="D381" s="54"/>
      <c r="E381" s="115"/>
      <c r="F381" s="223"/>
      <c r="G381" s="54"/>
      <c r="H381" s="115"/>
      <c r="I381" s="115"/>
      <c r="J381" s="54"/>
      <c r="K381" s="115"/>
      <c r="L381" s="115"/>
    </row>
    <row r="382">
      <c r="A382" s="115"/>
      <c r="B382" s="115"/>
      <c r="C382" s="54"/>
      <c r="D382" s="54"/>
      <c r="E382" s="115"/>
      <c r="F382" s="223"/>
      <c r="G382" s="54"/>
      <c r="H382" s="115"/>
      <c r="I382" s="115"/>
      <c r="J382" s="54"/>
      <c r="K382" s="115"/>
      <c r="L382" s="115"/>
    </row>
    <row r="383">
      <c r="A383" s="115"/>
      <c r="B383" s="115"/>
      <c r="C383" s="54"/>
      <c r="D383" s="54"/>
      <c r="E383" s="115"/>
      <c r="F383" s="223"/>
      <c r="G383" s="54"/>
      <c r="H383" s="115"/>
      <c r="I383" s="115"/>
      <c r="J383" s="54"/>
      <c r="K383" s="115"/>
      <c r="L383" s="115"/>
    </row>
    <row r="384">
      <c r="A384" s="115"/>
      <c r="B384" s="115"/>
      <c r="C384" s="54"/>
      <c r="D384" s="54"/>
      <c r="E384" s="115"/>
      <c r="F384" s="223"/>
      <c r="G384" s="54"/>
      <c r="H384" s="115"/>
      <c r="I384" s="115"/>
      <c r="J384" s="54"/>
      <c r="K384" s="115"/>
      <c r="L384" s="115"/>
    </row>
    <row r="385">
      <c r="A385" s="115"/>
      <c r="B385" s="115"/>
      <c r="C385" s="54"/>
      <c r="D385" s="54"/>
      <c r="E385" s="115"/>
      <c r="F385" s="223"/>
      <c r="G385" s="54"/>
      <c r="H385" s="115"/>
      <c r="I385" s="115"/>
      <c r="J385" s="54"/>
      <c r="K385" s="115"/>
      <c r="L385" s="115"/>
    </row>
    <row r="386">
      <c r="A386" s="115"/>
      <c r="B386" s="115"/>
      <c r="C386" s="54"/>
      <c r="D386" s="54"/>
      <c r="E386" s="115"/>
      <c r="F386" s="223"/>
      <c r="G386" s="54"/>
      <c r="H386" s="115"/>
      <c r="I386" s="115"/>
      <c r="J386" s="54"/>
      <c r="K386" s="115"/>
      <c r="L386" s="115"/>
    </row>
    <row r="387">
      <c r="A387" s="115"/>
      <c r="B387" s="115"/>
      <c r="C387" s="54"/>
      <c r="D387" s="54"/>
      <c r="E387" s="115"/>
      <c r="F387" s="223"/>
      <c r="G387" s="54"/>
      <c r="H387" s="115"/>
      <c r="I387" s="115"/>
      <c r="J387" s="54"/>
      <c r="K387" s="115"/>
      <c r="L387" s="115"/>
    </row>
    <row r="388">
      <c r="A388" s="115"/>
      <c r="B388" s="115"/>
      <c r="C388" s="54"/>
      <c r="D388" s="54"/>
      <c r="E388" s="115"/>
      <c r="F388" s="223"/>
      <c r="G388" s="54"/>
      <c r="H388" s="115"/>
      <c r="I388" s="115"/>
      <c r="J388" s="54"/>
      <c r="K388" s="115"/>
      <c r="L388" s="115"/>
    </row>
    <row r="389">
      <c r="A389" s="115"/>
      <c r="B389" s="115"/>
      <c r="C389" s="54"/>
      <c r="D389" s="54"/>
      <c r="E389" s="115"/>
      <c r="F389" s="223"/>
      <c r="G389" s="54"/>
      <c r="H389" s="115"/>
      <c r="I389" s="115"/>
      <c r="J389" s="54"/>
      <c r="K389" s="115"/>
      <c r="L389" s="115"/>
    </row>
    <row r="390">
      <c r="A390" s="115"/>
      <c r="B390" s="115"/>
      <c r="C390" s="54"/>
      <c r="D390" s="54"/>
      <c r="E390" s="115"/>
      <c r="F390" s="223"/>
      <c r="G390" s="54"/>
      <c r="H390" s="115"/>
      <c r="I390" s="115"/>
      <c r="J390" s="54"/>
      <c r="K390" s="115"/>
      <c r="L390" s="115"/>
    </row>
    <row r="391">
      <c r="A391" s="115"/>
      <c r="B391" s="115"/>
      <c r="C391" s="54"/>
      <c r="D391" s="54"/>
      <c r="E391" s="115"/>
      <c r="F391" s="223"/>
      <c r="G391" s="54"/>
      <c r="H391" s="115"/>
      <c r="I391" s="115"/>
      <c r="J391" s="54"/>
      <c r="K391" s="115"/>
      <c r="L391" s="115"/>
    </row>
    <row r="392">
      <c r="A392" s="115"/>
      <c r="B392" s="115"/>
      <c r="C392" s="54"/>
      <c r="D392" s="54"/>
      <c r="E392" s="115"/>
      <c r="F392" s="223"/>
      <c r="G392" s="54"/>
      <c r="H392" s="115"/>
      <c r="I392" s="115"/>
      <c r="J392" s="54"/>
      <c r="K392" s="115"/>
      <c r="L392" s="115"/>
    </row>
    <row r="393">
      <c r="A393" s="115"/>
      <c r="B393" s="115"/>
      <c r="C393" s="54"/>
      <c r="D393" s="54"/>
      <c r="E393" s="115"/>
      <c r="F393" s="223"/>
      <c r="G393" s="54"/>
      <c r="H393" s="115"/>
      <c r="I393" s="115"/>
      <c r="J393" s="54"/>
      <c r="K393" s="115"/>
      <c r="L393" s="115"/>
    </row>
    <row r="394">
      <c r="A394" s="115"/>
      <c r="B394" s="115"/>
      <c r="C394" s="54"/>
      <c r="D394" s="54"/>
      <c r="E394" s="115"/>
      <c r="F394" s="223"/>
      <c r="G394" s="54"/>
      <c r="H394" s="115"/>
      <c r="I394" s="115"/>
      <c r="J394" s="54"/>
      <c r="K394" s="115"/>
      <c r="L394" s="115"/>
    </row>
    <row r="395">
      <c r="A395" s="115"/>
      <c r="B395" s="115"/>
      <c r="C395" s="54"/>
      <c r="D395" s="54"/>
      <c r="E395" s="115"/>
      <c r="F395" s="223"/>
      <c r="G395" s="54"/>
      <c r="H395" s="115"/>
      <c r="I395" s="115"/>
      <c r="J395" s="54"/>
      <c r="K395" s="115"/>
      <c r="L395" s="115"/>
    </row>
    <row r="396">
      <c r="A396" s="115"/>
      <c r="B396" s="115"/>
      <c r="C396" s="54"/>
      <c r="D396" s="54"/>
      <c r="E396" s="115"/>
      <c r="F396" s="223"/>
      <c r="G396" s="54"/>
      <c r="H396" s="115"/>
      <c r="I396" s="115"/>
      <c r="J396" s="54"/>
      <c r="K396" s="115"/>
      <c r="L396" s="115"/>
    </row>
    <row r="397">
      <c r="A397" s="115"/>
      <c r="B397" s="115"/>
      <c r="C397" s="54"/>
      <c r="D397" s="54"/>
      <c r="E397" s="115"/>
      <c r="F397" s="223"/>
      <c r="G397" s="54"/>
      <c r="H397" s="115"/>
      <c r="I397" s="115"/>
      <c r="J397" s="54"/>
      <c r="K397" s="115"/>
      <c r="L397" s="115"/>
    </row>
    <row r="398">
      <c r="A398" s="115"/>
      <c r="B398" s="115"/>
      <c r="C398" s="54"/>
      <c r="D398" s="54"/>
      <c r="E398" s="115"/>
      <c r="F398" s="223"/>
      <c r="G398" s="54"/>
      <c r="H398" s="115"/>
      <c r="I398" s="115"/>
      <c r="J398" s="54"/>
      <c r="K398" s="115"/>
      <c r="L398" s="115"/>
    </row>
    <row r="399">
      <c r="A399" s="115"/>
      <c r="B399" s="115"/>
      <c r="C399" s="54"/>
      <c r="D399" s="54"/>
      <c r="E399" s="115"/>
      <c r="F399" s="223"/>
      <c r="G399" s="54"/>
      <c r="H399" s="115"/>
      <c r="I399" s="115"/>
      <c r="J399" s="54"/>
      <c r="K399" s="115"/>
      <c r="L399" s="115"/>
    </row>
    <row r="400">
      <c r="A400" s="115"/>
      <c r="B400" s="115"/>
      <c r="C400" s="54"/>
      <c r="D400" s="54"/>
      <c r="E400" s="115"/>
      <c r="F400" s="223"/>
      <c r="G400" s="54"/>
      <c r="H400" s="115"/>
      <c r="I400" s="115"/>
      <c r="J400" s="54"/>
      <c r="K400" s="115"/>
      <c r="L400" s="115"/>
    </row>
    <row r="401">
      <c r="A401" s="115"/>
      <c r="B401" s="115"/>
      <c r="C401" s="54"/>
      <c r="D401" s="54"/>
      <c r="E401" s="115"/>
      <c r="F401" s="223"/>
      <c r="G401" s="54"/>
      <c r="H401" s="115"/>
      <c r="I401" s="115"/>
      <c r="J401" s="54"/>
      <c r="K401" s="115"/>
      <c r="L401" s="115"/>
    </row>
    <row r="402">
      <c r="A402" s="115"/>
      <c r="B402" s="115"/>
      <c r="C402" s="54"/>
      <c r="D402" s="54"/>
      <c r="E402" s="115"/>
      <c r="F402" s="223"/>
      <c r="G402" s="54"/>
      <c r="H402" s="115"/>
      <c r="I402" s="115"/>
      <c r="J402" s="54"/>
      <c r="K402" s="115"/>
      <c r="L402" s="115"/>
    </row>
    <row r="403">
      <c r="A403" s="115"/>
      <c r="B403" s="115"/>
      <c r="C403" s="54"/>
      <c r="D403" s="54"/>
      <c r="E403" s="115"/>
      <c r="F403" s="223"/>
      <c r="G403" s="54"/>
      <c r="H403" s="115"/>
      <c r="I403" s="115"/>
      <c r="J403" s="54"/>
      <c r="K403" s="115"/>
      <c r="L403" s="115"/>
    </row>
    <row r="404">
      <c r="A404" s="115"/>
      <c r="B404" s="115"/>
      <c r="C404" s="54"/>
      <c r="D404" s="54"/>
      <c r="E404" s="115"/>
      <c r="F404" s="223"/>
      <c r="G404" s="54"/>
      <c r="H404" s="115"/>
      <c r="I404" s="115"/>
      <c r="J404" s="54"/>
      <c r="K404" s="115"/>
      <c r="L404" s="115"/>
    </row>
    <row r="405">
      <c r="A405" s="115"/>
      <c r="B405" s="115"/>
      <c r="C405" s="54"/>
      <c r="D405" s="54"/>
      <c r="E405" s="115"/>
      <c r="F405" s="223"/>
      <c r="G405" s="54"/>
      <c r="H405" s="115"/>
      <c r="I405" s="115"/>
      <c r="J405" s="54"/>
      <c r="K405" s="115"/>
      <c r="L405" s="115"/>
    </row>
    <row r="406">
      <c r="A406" s="115"/>
      <c r="B406" s="115"/>
      <c r="C406" s="54"/>
      <c r="D406" s="54"/>
      <c r="E406" s="115"/>
      <c r="F406" s="223"/>
      <c r="G406" s="54"/>
      <c r="H406" s="115"/>
      <c r="I406" s="115"/>
      <c r="J406" s="54"/>
      <c r="K406" s="115"/>
      <c r="L406" s="115"/>
    </row>
    <row r="407">
      <c r="A407" s="115"/>
      <c r="B407" s="115"/>
      <c r="C407" s="54"/>
      <c r="D407" s="54"/>
      <c r="E407" s="115"/>
      <c r="F407" s="223"/>
      <c r="G407" s="54"/>
      <c r="H407" s="115"/>
      <c r="I407" s="115"/>
      <c r="J407" s="54"/>
      <c r="K407" s="115"/>
      <c r="L407" s="115"/>
    </row>
    <row r="408">
      <c r="A408" s="115"/>
      <c r="B408" s="115"/>
      <c r="C408" s="54"/>
      <c r="D408" s="54"/>
      <c r="E408" s="115"/>
      <c r="F408" s="223"/>
      <c r="G408" s="54"/>
      <c r="H408" s="115"/>
      <c r="I408" s="115"/>
      <c r="J408" s="54"/>
      <c r="K408" s="115"/>
      <c r="L408" s="115"/>
    </row>
    <row r="409">
      <c r="A409" s="115"/>
      <c r="B409" s="115"/>
      <c r="C409" s="54"/>
      <c r="D409" s="54"/>
      <c r="E409" s="115"/>
      <c r="F409" s="223"/>
      <c r="G409" s="54"/>
      <c r="H409" s="115"/>
      <c r="I409" s="115"/>
      <c r="J409" s="54"/>
      <c r="K409" s="115"/>
      <c r="L409" s="115"/>
    </row>
    <row r="410">
      <c r="A410" s="115"/>
      <c r="B410" s="115"/>
      <c r="C410" s="54"/>
      <c r="D410" s="54"/>
      <c r="E410" s="115"/>
      <c r="F410" s="223"/>
      <c r="G410" s="54"/>
      <c r="H410" s="115"/>
      <c r="I410" s="115"/>
      <c r="J410" s="54"/>
      <c r="K410" s="115"/>
      <c r="L410" s="115"/>
    </row>
    <row r="411">
      <c r="A411" s="115"/>
      <c r="B411" s="115"/>
      <c r="C411" s="54"/>
      <c r="D411" s="54"/>
      <c r="E411" s="115"/>
      <c r="F411" s="223"/>
      <c r="G411" s="54"/>
      <c r="H411" s="115"/>
      <c r="I411" s="115"/>
      <c r="J411" s="54"/>
      <c r="K411" s="115"/>
      <c r="L411" s="115"/>
    </row>
    <row r="412">
      <c r="A412" s="115"/>
      <c r="B412" s="115"/>
      <c r="C412" s="54"/>
      <c r="D412" s="54"/>
      <c r="E412" s="115"/>
      <c r="F412" s="223"/>
      <c r="G412" s="54"/>
      <c r="H412" s="115"/>
      <c r="I412" s="115"/>
      <c r="J412" s="54"/>
      <c r="K412" s="115"/>
      <c r="L412" s="115"/>
    </row>
    <row r="413">
      <c r="A413" s="115"/>
      <c r="B413" s="115"/>
      <c r="C413" s="54"/>
      <c r="D413" s="54"/>
      <c r="E413" s="115"/>
      <c r="F413" s="223"/>
      <c r="G413" s="54"/>
      <c r="H413" s="115"/>
      <c r="I413" s="115"/>
      <c r="J413" s="54"/>
      <c r="K413" s="115"/>
      <c r="L413" s="115"/>
    </row>
    <row r="414">
      <c r="A414" s="115"/>
      <c r="B414" s="115"/>
      <c r="C414" s="54"/>
      <c r="D414" s="54"/>
      <c r="E414" s="115"/>
      <c r="F414" s="223"/>
      <c r="G414" s="54"/>
      <c r="H414" s="115"/>
      <c r="I414" s="115"/>
      <c r="J414" s="54"/>
      <c r="K414" s="115"/>
      <c r="L414" s="115"/>
    </row>
    <row r="415">
      <c r="A415" s="115"/>
      <c r="B415" s="115"/>
      <c r="C415" s="54"/>
      <c r="D415" s="54"/>
      <c r="E415" s="115"/>
      <c r="F415" s="223"/>
      <c r="G415" s="54"/>
      <c r="H415" s="115"/>
      <c r="I415" s="115"/>
      <c r="J415" s="54"/>
      <c r="K415" s="115"/>
      <c r="L415" s="115"/>
    </row>
    <row r="416">
      <c r="A416" s="115"/>
      <c r="B416" s="115"/>
      <c r="C416" s="54"/>
      <c r="D416" s="54"/>
      <c r="E416" s="115"/>
      <c r="F416" s="223"/>
      <c r="G416" s="54"/>
      <c r="H416" s="115"/>
      <c r="I416" s="115"/>
      <c r="J416" s="54"/>
      <c r="K416" s="115"/>
      <c r="L416" s="115"/>
    </row>
    <row r="417">
      <c r="A417" s="115"/>
      <c r="B417" s="115"/>
      <c r="C417" s="54"/>
      <c r="D417" s="54"/>
      <c r="E417" s="115"/>
      <c r="F417" s="223"/>
      <c r="G417" s="54"/>
      <c r="H417" s="115"/>
      <c r="I417" s="115"/>
      <c r="J417" s="54"/>
      <c r="K417" s="115"/>
      <c r="L417" s="115"/>
    </row>
    <row r="418">
      <c r="A418" s="115"/>
      <c r="B418" s="115"/>
      <c r="C418" s="54"/>
      <c r="D418" s="54"/>
      <c r="E418" s="115"/>
      <c r="F418" s="223"/>
      <c r="G418" s="54"/>
      <c r="H418" s="115"/>
      <c r="I418" s="115"/>
      <c r="J418" s="54"/>
      <c r="K418" s="115"/>
      <c r="L418" s="115"/>
    </row>
    <row r="419">
      <c r="A419" s="115"/>
      <c r="B419" s="115"/>
      <c r="C419" s="54"/>
      <c r="D419" s="54"/>
      <c r="E419" s="115"/>
      <c r="F419" s="223"/>
      <c r="G419" s="54"/>
      <c r="H419" s="115"/>
      <c r="I419" s="115"/>
      <c r="J419" s="54"/>
      <c r="K419" s="115"/>
      <c r="L419" s="115"/>
    </row>
    <row r="420">
      <c r="A420" s="115"/>
      <c r="B420" s="115"/>
      <c r="C420" s="54"/>
      <c r="D420" s="54"/>
      <c r="E420" s="115"/>
      <c r="F420" s="223"/>
      <c r="G420" s="54"/>
      <c r="H420" s="115"/>
      <c r="I420" s="115"/>
      <c r="J420" s="54"/>
      <c r="K420" s="115"/>
      <c r="L420" s="115"/>
    </row>
    <row r="421">
      <c r="A421" s="115"/>
      <c r="B421" s="115"/>
      <c r="C421" s="54"/>
      <c r="D421" s="54"/>
      <c r="E421" s="115"/>
      <c r="F421" s="223"/>
      <c r="G421" s="54"/>
      <c r="H421" s="115"/>
      <c r="I421" s="115"/>
      <c r="J421" s="54"/>
      <c r="K421" s="115"/>
      <c r="L421" s="115"/>
    </row>
    <row r="422">
      <c r="A422" s="115"/>
      <c r="B422" s="115"/>
      <c r="C422" s="54"/>
      <c r="D422" s="54"/>
      <c r="E422" s="115"/>
      <c r="F422" s="223"/>
      <c r="G422" s="54"/>
      <c r="H422" s="115"/>
      <c r="I422" s="115"/>
      <c r="J422" s="54"/>
      <c r="K422" s="115"/>
      <c r="L422" s="115"/>
    </row>
    <row r="423">
      <c r="A423" s="115"/>
      <c r="B423" s="115"/>
      <c r="C423" s="54"/>
      <c r="D423" s="54"/>
      <c r="E423" s="115"/>
      <c r="F423" s="223"/>
      <c r="G423" s="54"/>
      <c r="H423" s="115"/>
      <c r="I423" s="115"/>
      <c r="J423" s="54"/>
      <c r="K423" s="115"/>
      <c r="L423" s="115"/>
    </row>
    <row r="424">
      <c r="A424" s="115"/>
      <c r="B424" s="115"/>
      <c r="C424" s="54"/>
      <c r="D424" s="54"/>
      <c r="E424" s="115"/>
      <c r="F424" s="223"/>
      <c r="G424" s="54"/>
      <c r="H424" s="115"/>
      <c r="I424" s="115"/>
      <c r="J424" s="54"/>
      <c r="K424" s="115"/>
      <c r="L424" s="115"/>
    </row>
    <row r="425">
      <c r="A425" s="115"/>
      <c r="B425" s="115"/>
      <c r="C425" s="54"/>
      <c r="D425" s="54"/>
      <c r="E425" s="115"/>
      <c r="F425" s="223"/>
      <c r="G425" s="54"/>
      <c r="H425" s="115"/>
      <c r="I425" s="115"/>
      <c r="J425" s="54"/>
      <c r="K425" s="115"/>
      <c r="L425" s="115"/>
    </row>
    <row r="426">
      <c r="A426" s="115"/>
      <c r="B426" s="115"/>
      <c r="C426" s="54"/>
      <c r="D426" s="54"/>
      <c r="E426" s="115"/>
      <c r="F426" s="223"/>
      <c r="G426" s="54"/>
      <c r="H426" s="115"/>
      <c r="I426" s="115"/>
      <c r="J426" s="54"/>
      <c r="K426" s="115"/>
      <c r="L426" s="115"/>
    </row>
    <row r="427">
      <c r="A427" s="115"/>
      <c r="B427" s="115"/>
      <c r="C427" s="54"/>
      <c r="D427" s="54"/>
      <c r="E427" s="115"/>
      <c r="F427" s="223"/>
      <c r="G427" s="54"/>
      <c r="H427" s="115"/>
      <c r="I427" s="115"/>
      <c r="J427" s="54"/>
      <c r="K427" s="115"/>
      <c r="L427" s="115"/>
    </row>
    <row r="428">
      <c r="A428" s="115"/>
      <c r="B428" s="115"/>
      <c r="C428" s="54"/>
      <c r="D428" s="54"/>
      <c r="E428" s="115"/>
      <c r="F428" s="223"/>
      <c r="G428" s="54"/>
      <c r="H428" s="115"/>
      <c r="I428" s="115"/>
      <c r="J428" s="54"/>
      <c r="K428" s="115"/>
      <c r="L428" s="115"/>
    </row>
    <row r="429">
      <c r="A429" s="115"/>
      <c r="B429" s="115"/>
      <c r="C429" s="54"/>
      <c r="D429" s="54"/>
      <c r="E429" s="115"/>
      <c r="F429" s="223"/>
      <c r="G429" s="54"/>
      <c r="H429" s="115"/>
      <c r="I429" s="115"/>
      <c r="J429" s="54"/>
      <c r="K429" s="115"/>
      <c r="L429" s="115"/>
    </row>
    <row r="430">
      <c r="A430" s="115"/>
      <c r="B430" s="115"/>
      <c r="C430" s="54"/>
      <c r="D430" s="54"/>
      <c r="E430" s="115"/>
      <c r="F430" s="223"/>
      <c r="G430" s="54"/>
      <c r="H430" s="115"/>
      <c r="I430" s="115"/>
      <c r="J430" s="54"/>
      <c r="K430" s="115"/>
      <c r="L430" s="115"/>
    </row>
    <row r="431">
      <c r="A431" s="115"/>
      <c r="B431" s="115"/>
      <c r="C431" s="54"/>
      <c r="D431" s="54"/>
      <c r="E431" s="115"/>
      <c r="F431" s="223"/>
      <c r="G431" s="54"/>
      <c r="H431" s="115"/>
      <c r="I431" s="115"/>
      <c r="J431" s="54"/>
      <c r="K431" s="115"/>
      <c r="L431" s="115"/>
    </row>
    <row r="432">
      <c r="A432" s="115"/>
      <c r="B432" s="115"/>
      <c r="C432" s="54"/>
      <c r="D432" s="54"/>
      <c r="E432" s="115"/>
      <c r="F432" s="223"/>
      <c r="G432" s="54"/>
      <c r="H432" s="115"/>
      <c r="I432" s="115"/>
      <c r="J432" s="54"/>
      <c r="K432" s="115"/>
      <c r="L432" s="115"/>
    </row>
    <row r="433">
      <c r="A433" s="115"/>
      <c r="B433" s="115"/>
      <c r="C433" s="54"/>
      <c r="D433" s="54"/>
      <c r="E433" s="115"/>
      <c r="F433" s="223"/>
      <c r="G433" s="54"/>
      <c r="H433" s="115"/>
      <c r="I433" s="115"/>
      <c r="J433" s="54"/>
      <c r="K433" s="115"/>
      <c r="L433" s="115"/>
    </row>
    <row r="434">
      <c r="A434" s="115"/>
      <c r="B434" s="115"/>
      <c r="C434" s="54"/>
      <c r="D434" s="54"/>
      <c r="E434" s="115"/>
      <c r="F434" s="223"/>
      <c r="G434" s="54"/>
      <c r="H434" s="115"/>
      <c r="I434" s="115"/>
      <c r="J434" s="54"/>
      <c r="K434" s="115"/>
      <c r="L434" s="115"/>
    </row>
    <row r="435">
      <c r="A435" s="115"/>
      <c r="B435" s="115"/>
      <c r="C435" s="54"/>
      <c r="D435" s="54"/>
      <c r="E435" s="115"/>
      <c r="F435" s="223"/>
      <c r="G435" s="54"/>
      <c r="H435" s="115"/>
      <c r="I435" s="115"/>
      <c r="J435" s="54"/>
      <c r="K435" s="115"/>
      <c r="L435" s="115"/>
    </row>
    <row r="436">
      <c r="A436" s="115"/>
      <c r="B436" s="115"/>
      <c r="C436" s="54"/>
      <c r="D436" s="54"/>
      <c r="E436" s="115"/>
      <c r="F436" s="223"/>
      <c r="G436" s="54"/>
      <c r="H436" s="115"/>
      <c r="I436" s="115"/>
      <c r="J436" s="54"/>
      <c r="K436" s="115"/>
      <c r="L436" s="115"/>
    </row>
    <row r="437">
      <c r="A437" s="115"/>
      <c r="B437" s="115"/>
      <c r="C437" s="54"/>
      <c r="D437" s="54"/>
      <c r="E437" s="115"/>
      <c r="F437" s="223"/>
      <c r="G437" s="54"/>
      <c r="H437" s="115"/>
      <c r="I437" s="115"/>
      <c r="J437" s="54"/>
      <c r="K437" s="115"/>
      <c r="L437" s="115"/>
    </row>
    <row r="438">
      <c r="A438" s="115"/>
      <c r="B438" s="115"/>
      <c r="C438" s="54"/>
      <c r="D438" s="54"/>
      <c r="E438" s="115"/>
      <c r="F438" s="223"/>
      <c r="G438" s="54"/>
      <c r="H438" s="115"/>
      <c r="I438" s="115"/>
      <c r="J438" s="54"/>
      <c r="K438" s="115"/>
      <c r="L438" s="115"/>
    </row>
    <row r="439">
      <c r="A439" s="115"/>
      <c r="B439" s="115"/>
      <c r="C439" s="54"/>
      <c r="D439" s="54"/>
      <c r="E439" s="115"/>
      <c r="F439" s="223"/>
      <c r="G439" s="54"/>
      <c r="H439" s="115"/>
      <c r="I439" s="115"/>
      <c r="J439" s="54"/>
      <c r="K439" s="115"/>
      <c r="L439" s="115"/>
    </row>
    <row r="440">
      <c r="A440" s="115"/>
      <c r="B440" s="115"/>
      <c r="C440" s="54"/>
      <c r="D440" s="54"/>
      <c r="E440" s="115"/>
      <c r="F440" s="223"/>
      <c r="G440" s="54"/>
      <c r="H440" s="115"/>
      <c r="I440" s="115"/>
      <c r="J440" s="54"/>
      <c r="K440" s="115"/>
      <c r="L440" s="115"/>
    </row>
    <row r="441">
      <c r="A441" s="115"/>
      <c r="B441" s="115"/>
      <c r="C441" s="54"/>
      <c r="D441" s="54"/>
      <c r="E441" s="115"/>
      <c r="F441" s="223"/>
      <c r="G441" s="54"/>
      <c r="H441" s="115"/>
      <c r="I441" s="115"/>
      <c r="J441" s="54"/>
      <c r="K441" s="115"/>
      <c r="L441" s="115"/>
    </row>
    <row r="442">
      <c r="A442" s="115"/>
      <c r="B442" s="115"/>
      <c r="C442" s="54"/>
      <c r="D442" s="54"/>
      <c r="E442" s="115"/>
      <c r="F442" s="223"/>
      <c r="G442" s="54"/>
      <c r="H442" s="115"/>
      <c r="I442" s="115"/>
      <c r="J442" s="54"/>
      <c r="K442" s="115"/>
      <c r="L442" s="115"/>
    </row>
    <row r="443">
      <c r="A443" s="115"/>
      <c r="B443" s="115"/>
      <c r="C443" s="54"/>
      <c r="D443" s="54"/>
      <c r="E443" s="115"/>
      <c r="F443" s="223"/>
      <c r="G443" s="54"/>
      <c r="H443" s="115"/>
      <c r="I443" s="115"/>
      <c r="J443" s="54"/>
      <c r="K443" s="115"/>
      <c r="L443" s="115"/>
    </row>
    <row r="444">
      <c r="A444" s="115"/>
      <c r="B444" s="115"/>
      <c r="C444" s="54"/>
      <c r="D444" s="54"/>
      <c r="E444" s="115"/>
      <c r="F444" s="223"/>
      <c r="G444" s="54"/>
      <c r="H444" s="115"/>
      <c r="I444" s="115"/>
      <c r="J444" s="54"/>
      <c r="K444" s="115"/>
      <c r="L444" s="115"/>
    </row>
    <row r="445">
      <c r="A445" s="115"/>
      <c r="B445" s="115"/>
      <c r="C445" s="54"/>
      <c r="D445" s="54"/>
      <c r="E445" s="115"/>
      <c r="F445" s="223"/>
      <c r="G445" s="54"/>
      <c r="H445" s="115"/>
      <c r="I445" s="115"/>
      <c r="J445" s="54"/>
      <c r="K445" s="115"/>
      <c r="L445" s="115"/>
    </row>
    <row r="446">
      <c r="A446" s="115"/>
      <c r="B446" s="115"/>
      <c r="C446" s="54"/>
      <c r="D446" s="54"/>
      <c r="E446" s="115"/>
      <c r="F446" s="223"/>
      <c r="G446" s="54"/>
      <c r="H446" s="115"/>
      <c r="I446" s="115"/>
      <c r="J446" s="54"/>
      <c r="K446" s="115"/>
      <c r="L446" s="115"/>
    </row>
    <row r="447">
      <c r="A447" s="115"/>
      <c r="B447" s="115"/>
      <c r="C447" s="54"/>
      <c r="D447" s="54"/>
      <c r="E447" s="115"/>
      <c r="F447" s="223"/>
      <c r="G447" s="54"/>
      <c r="H447" s="115"/>
      <c r="I447" s="115"/>
      <c r="J447" s="54"/>
      <c r="K447" s="115"/>
      <c r="L447" s="115"/>
    </row>
    <row r="448">
      <c r="A448" s="115"/>
      <c r="B448" s="115"/>
      <c r="C448" s="54"/>
      <c r="D448" s="54"/>
      <c r="E448" s="115"/>
      <c r="F448" s="223"/>
      <c r="G448" s="54"/>
      <c r="H448" s="115"/>
      <c r="I448" s="115"/>
      <c r="J448" s="54"/>
      <c r="K448" s="115"/>
      <c r="L448" s="115"/>
    </row>
    <row r="449">
      <c r="A449" s="115"/>
      <c r="B449" s="115"/>
      <c r="C449" s="54"/>
      <c r="D449" s="54"/>
      <c r="E449" s="115"/>
      <c r="F449" s="223"/>
      <c r="G449" s="54"/>
      <c r="H449" s="115"/>
      <c r="I449" s="115"/>
      <c r="J449" s="54"/>
      <c r="K449" s="115"/>
      <c r="L449" s="115"/>
    </row>
    <row r="450">
      <c r="A450" s="115"/>
      <c r="B450" s="115"/>
      <c r="C450" s="54"/>
      <c r="D450" s="54"/>
      <c r="E450" s="115"/>
      <c r="F450" s="223"/>
      <c r="G450" s="54"/>
      <c r="H450" s="115"/>
      <c r="I450" s="115"/>
      <c r="J450" s="54"/>
      <c r="K450" s="115"/>
      <c r="L450" s="115"/>
    </row>
    <row r="451">
      <c r="A451" s="115"/>
      <c r="B451" s="115"/>
      <c r="C451" s="54"/>
      <c r="D451" s="54"/>
      <c r="E451" s="115"/>
      <c r="F451" s="223"/>
      <c r="G451" s="54"/>
      <c r="H451" s="115"/>
      <c r="I451" s="115"/>
      <c r="J451" s="54"/>
      <c r="K451" s="115"/>
      <c r="L451" s="115"/>
    </row>
    <row r="452">
      <c r="A452" s="115"/>
      <c r="B452" s="115"/>
      <c r="C452" s="54"/>
      <c r="D452" s="54"/>
      <c r="E452" s="115"/>
      <c r="F452" s="223"/>
      <c r="G452" s="54"/>
      <c r="H452" s="115"/>
      <c r="I452" s="115"/>
      <c r="J452" s="54"/>
      <c r="K452" s="115"/>
      <c r="L452" s="115"/>
    </row>
    <row r="453">
      <c r="A453" s="115"/>
      <c r="B453" s="115"/>
      <c r="C453" s="54"/>
      <c r="D453" s="54"/>
      <c r="E453" s="115"/>
      <c r="F453" s="223"/>
      <c r="G453" s="54"/>
      <c r="H453" s="115"/>
      <c r="I453" s="115"/>
      <c r="J453" s="54"/>
      <c r="K453" s="115"/>
      <c r="L453" s="115"/>
    </row>
    <row r="454">
      <c r="A454" s="115"/>
      <c r="B454" s="115"/>
      <c r="C454" s="54"/>
      <c r="D454" s="54"/>
      <c r="E454" s="115"/>
      <c r="F454" s="223"/>
      <c r="G454" s="54"/>
      <c r="H454" s="115"/>
      <c r="I454" s="115"/>
      <c r="J454" s="54"/>
      <c r="K454" s="115"/>
      <c r="L454" s="115"/>
    </row>
    <row r="455">
      <c r="A455" s="115"/>
      <c r="B455" s="115"/>
      <c r="C455" s="54"/>
      <c r="D455" s="54"/>
      <c r="E455" s="115"/>
      <c r="F455" s="223"/>
      <c r="G455" s="54"/>
      <c r="H455" s="115"/>
      <c r="I455" s="115"/>
      <c r="J455" s="54"/>
      <c r="K455" s="115"/>
      <c r="L455" s="115"/>
    </row>
    <row r="456">
      <c r="A456" s="115"/>
      <c r="B456" s="115"/>
      <c r="C456" s="54"/>
      <c r="D456" s="54"/>
      <c r="E456" s="115"/>
      <c r="F456" s="223"/>
      <c r="G456" s="54"/>
      <c r="H456" s="115"/>
      <c r="I456" s="115"/>
      <c r="J456" s="54"/>
      <c r="K456" s="115"/>
      <c r="L456" s="115"/>
    </row>
    <row r="457">
      <c r="A457" s="115"/>
      <c r="B457" s="115"/>
      <c r="C457" s="54"/>
      <c r="D457" s="54"/>
      <c r="E457" s="115"/>
      <c r="F457" s="223"/>
      <c r="G457" s="54"/>
      <c r="H457" s="115"/>
      <c r="I457" s="115"/>
      <c r="J457" s="54"/>
      <c r="K457" s="115"/>
      <c r="L457" s="115"/>
    </row>
    <row r="458">
      <c r="A458" s="115"/>
      <c r="B458" s="115"/>
      <c r="C458" s="54"/>
      <c r="D458" s="54"/>
      <c r="E458" s="115"/>
      <c r="F458" s="223"/>
      <c r="G458" s="54"/>
      <c r="H458" s="115"/>
      <c r="I458" s="115"/>
      <c r="J458" s="54"/>
      <c r="K458" s="115"/>
      <c r="L458" s="115"/>
    </row>
    <row r="459">
      <c r="A459" s="115"/>
      <c r="B459" s="115"/>
      <c r="C459" s="54"/>
      <c r="D459" s="54"/>
      <c r="E459" s="115"/>
      <c r="F459" s="223"/>
      <c r="G459" s="54"/>
      <c r="H459" s="115"/>
      <c r="I459" s="115"/>
      <c r="J459" s="54"/>
      <c r="K459" s="115"/>
      <c r="L459" s="115"/>
    </row>
    <row r="460">
      <c r="A460" s="115"/>
      <c r="B460" s="115"/>
      <c r="C460" s="54"/>
      <c r="D460" s="54"/>
      <c r="E460" s="115"/>
      <c r="F460" s="223"/>
      <c r="G460" s="54"/>
      <c r="H460" s="115"/>
      <c r="I460" s="115"/>
      <c r="J460" s="54"/>
      <c r="K460" s="115"/>
      <c r="L460" s="115"/>
    </row>
    <row r="461">
      <c r="A461" s="115"/>
      <c r="B461" s="115"/>
      <c r="C461" s="54"/>
      <c r="D461" s="54"/>
      <c r="E461" s="115"/>
      <c r="F461" s="223"/>
      <c r="G461" s="54"/>
      <c r="H461" s="115"/>
      <c r="I461" s="115"/>
      <c r="J461" s="54"/>
      <c r="K461" s="115"/>
      <c r="L461" s="115"/>
    </row>
    <row r="462">
      <c r="A462" s="115"/>
      <c r="B462" s="115"/>
      <c r="C462" s="54"/>
      <c r="D462" s="54"/>
      <c r="E462" s="115"/>
      <c r="F462" s="223"/>
      <c r="G462" s="54"/>
      <c r="H462" s="115"/>
      <c r="I462" s="115"/>
      <c r="J462" s="54"/>
      <c r="K462" s="115"/>
      <c r="L462" s="115"/>
    </row>
    <row r="463">
      <c r="A463" s="115"/>
      <c r="B463" s="115"/>
      <c r="C463" s="54"/>
      <c r="D463" s="54"/>
      <c r="E463" s="115"/>
      <c r="F463" s="223"/>
      <c r="G463" s="54"/>
      <c r="H463" s="115"/>
      <c r="I463" s="115"/>
      <c r="J463" s="54"/>
      <c r="K463" s="115"/>
      <c r="L463" s="115"/>
    </row>
    <row r="464">
      <c r="A464" s="115"/>
      <c r="B464" s="115"/>
      <c r="C464" s="54"/>
      <c r="D464" s="54"/>
      <c r="E464" s="115"/>
      <c r="F464" s="223"/>
      <c r="G464" s="54"/>
      <c r="H464" s="115"/>
      <c r="I464" s="115"/>
      <c r="J464" s="54"/>
      <c r="K464" s="115"/>
      <c r="L464" s="115"/>
    </row>
    <row r="465">
      <c r="A465" s="115"/>
      <c r="B465" s="115"/>
      <c r="C465" s="54"/>
      <c r="D465" s="54"/>
      <c r="E465" s="115"/>
      <c r="F465" s="223"/>
      <c r="G465" s="54"/>
      <c r="H465" s="115"/>
      <c r="I465" s="115"/>
      <c r="J465" s="54"/>
      <c r="K465" s="115"/>
      <c r="L465" s="115"/>
    </row>
    <row r="466">
      <c r="A466" s="115"/>
      <c r="B466" s="115"/>
      <c r="C466" s="54"/>
      <c r="D466" s="54"/>
      <c r="E466" s="115"/>
      <c r="F466" s="223"/>
      <c r="G466" s="54"/>
      <c r="H466" s="115"/>
      <c r="I466" s="115"/>
      <c r="J466" s="54"/>
      <c r="K466" s="115"/>
      <c r="L466" s="115"/>
    </row>
    <row r="467">
      <c r="A467" s="115"/>
      <c r="B467" s="115"/>
      <c r="C467" s="54"/>
      <c r="D467" s="54"/>
      <c r="E467" s="115"/>
      <c r="F467" s="223"/>
      <c r="G467" s="54"/>
      <c r="H467" s="115"/>
      <c r="I467" s="115"/>
      <c r="J467" s="54"/>
      <c r="K467" s="115"/>
      <c r="L467" s="115"/>
    </row>
    <row r="468">
      <c r="A468" s="115"/>
      <c r="B468" s="115"/>
      <c r="C468" s="54"/>
      <c r="D468" s="54"/>
      <c r="E468" s="115"/>
      <c r="F468" s="223"/>
      <c r="G468" s="54"/>
      <c r="H468" s="115"/>
      <c r="I468" s="115"/>
      <c r="J468" s="54"/>
      <c r="K468" s="115"/>
      <c r="L468" s="115"/>
    </row>
    <row r="469">
      <c r="A469" s="115"/>
      <c r="B469" s="115"/>
      <c r="C469" s="54"/>
      <c r="D469" s="54"/>
      <c r="E469" s="115"/>
      <c r="F469" s="223"/>
      <c r="G469" s="54"/>
      <c r="H469" s="115"/>
      <c r="I469" s="115"/>
      <c r="J469" s="54"/>
      <c r="K469" s="115"/>
      <c r="L469" s="115"/>
    </row>
    <row r="470">
      <c r="A470" s="115"/>
      <c r="B470" s="115"/>
      <c r="C470" s="54"/>
      <c r="D470" s="54"/>
      <c r="E470" s="115"/>
      <c r="F470" s="223"/>
      <c r="G470" s="54"/>
      <c r="H470" s="115"/>
      <c r="I470" s="115"/>
      <c r="J470" s="54"/>
      <c r="K470" s="115"/>
      <c r="L470" s="115"/>
    </row>
    <row r="471">
      <c r="A471" s="115"/>
      <c r="B471" s="115"/>
      <c r="C471" s="54"/>
      <c r="D471" s="54"/>
      <c r="E471" s="115"/>
      <c r="F471" s="223"/>
      <c r="G471" s="54"/>
      <c r="H471" s="115"/>
      <c r="I471" s="115"/>
      <c r="J471" s="54"/>
      <c r="K471" s="115"/>
      <c r="L471" s="115"/>
    </row>
    <row r="472">
      <c r="A472" s="115"/>
      <c r="B472" s="115"/>
      <c r="C472" s="54"/>
      <c r="D472" s="54"/>
      <c r="E472" s="115"/>
      <c r="F472" s="223"/>
      <c r="G472" s="54"/>
      <c r="H472" s="115"/>
      <c r="I472" s="115"/>
      <c r="J472" s="54"/>
      <c r="K472" s="115"/>
      <c r="L472" s="115"/>
    </row>
    <row r="473">
      <c r="A473" s="115"/>
      <c r="B473" s="115"/>
      <c r="C473" s="54"/>
      <c r="D473" s="54"/>
      <c r="E473" s="115"/>
      <c r="F473" s="223"/>
      <c r="G473" s="54"/>
      <c r="H473" s="115"/>
      <c r="I473" s="115"/>
      <c r="J473" s="54"/>
      <c r="K473" s="115"/>
      <c r="L473" s="115"/>
    </row>
    <row r="474">
      <c r="A474" s="115"/>
      <c r="B474" s="115"/>
      <c r="C474" s="54"/>
      <c r="D474" s="54"/>
      <c r="E474" s="115"/>
      <c r="F474" s="223"/>
      <c r="G474" s="54"/>
      <c r="H474" s="115"/>
      <c r="I474" s="115"/>
      <c r="J474" s="54"/>
      <c r="K474" s="115"/>
      <c r="L474" s="115"/>
    </row>
    <row r="475">
      <c r="A475" s="115"/>
      <c r="B475" s="115"/>
      <c r="C475" s="54"/>
      <c r="D475" s="54"/>
      <c r="E475" s="115"/>
      <c r="F475" s="223"/>
      <c r="G475" s="54"/>
      <c r="H475" s="115"/>
      <c r="I475" s="115"/>
      <c r="J475" s="54"/>
      <c r="K475" s="115"/>
      <c r="L475" s="115"/>
    </row>
    <row r="476">
      <c r="A476" s="115"/>
      <c r="B476" s="115"/>
      <c r="C476" s="54"/>
      <c r="D476" s="54"/>
      <c r="E476" s="115"/>
      <c r="F476" s="223"/>
      <c r="G476" s="54"/>
      <c r="H476" s="115"/>
      <c r="I476" s="115"/>
      <c r="J476" s="54"/>
      <c r="K476" s="115"/>
      <c r="L476" s="115"/>
    </row>
    <row r="477">
      <c r="A477" s="115"/>
      <c r="B477" s="115"/>
      <c r="C477" s="54"/>
      <c r="D477" s="54"/>
      <c r="E477" s="115"/>
      <c r="F477" s="223"/>
      <c r="G477" s="54"/>
      <c r="H477" s="115"/>
      <c r="I477" s="115"/>
      <c r="J477" s="54"/>
      <c r="K477" s="115"/>
      <c r="L477" s="115"/>
    </row>
    <row r="478">
      <c r="A478" s="115"/>
      <c r="B478" s="115"/>
      <c r="C478" s="54"/>
      <c r="D478" s="54"/>
      <c r="E478" s="115"/>
      <c r="F478" s="223"/>
      <c r="G478" s="54"/>
      <c r="H478" s="115"/>
      <c r="I478" s="115"/>
      <c r="J478" s="54"/>
      <c r="K478" s="115"/>
      <c r="L478" s="115"/>
    </row>
    <row r="479">
      <c r="A479" s="115"/>
      <c r="B479" s="115"/>
      <c r="C479" s="54"/>
      <c r="D479" s="54"/>
      <c r="E479" s="115"/>
      <c r="F479" s="223"/>
      <c r="G479" s="54"/>
      <c r="H479" s="115"/>
      <c r="I479" s="115"/>
      <c r="J479" s="54"/>
      <c r="K479" s="115"/>
      <c r="L479" s="115"/>
    </row>
    <row r="480">
      <c r="A480" s="115"/>
      <c r="B480" s="115"/>
      <c r="C480" s="54"/>
      <c r="D480" s="54"/>
      <c r="E480" s="115"/>
      <c r="F480" s="223"/>
      <c r="G480" s="54"/>
      <c r="H480" s="115"/>
      <c r="I480" s="115"/>
      <c r="J480" s="54"/>
      <c r="K480" s="115"/>
      <c r="L480" s="115"/>
    </row>
    <row r="481">
      <c r="A481" s="115"/>
      <c r="B481" s="115"/>
      <c r="C481" s="54"/>
      <c r="D481" s="54"/>
      <c r="E481" s="115"/>
      <c r="F481" s="223"/>
      <c r="G481" s="54"/>
      <c r="H481" s="115"/>
      <c r="I481" s="115"/>
      <c r="J481" s="54"/>
      <c r="K481" s="115"/>
      <c r="L481" s="115"/>
    </row>
    <row r="482">
      <c r="A482" s="115"/>
      <c r="B482" s="115"/>
      <c r="C482" s="54"/>
      <c r="D482" s="54"/>
      <c r="E482" s="115"/>
      <c r="F482" s="223"/>
      <c r="G482" s="54"/>
      <c r="H482" s="115"/>
      <c r="I482" s="115"/>
      <c r="J482" s="54"/>
      <c r="K482" s="115"/>
      <c r="L482" s="115"/>
    </row>
    <row r="483">
      <c r="A483" s="115"/>
      <c r="B483" s="115"/>
      <c r="C483" s="54"/>
      <c r="D483" s="54"/>
      <c r="E483" s="115"/>
      <c r="F483" s="223"/>
      <c r="G483" s="54"/>
      <c r="H483" s="115"/>
      <c r="I483" s="115"/>
      <c r="J483" s="54"/>
      <c r="K483" s="115"/>
      <c r="L483" s="115"/>
    </row>
    <row r="484">
      <c r="A484" s="115"/>
      <c r="B484" s="115"/>
      <c r="C484" s="54"/>
      <c r="D484" s="54"/>
      <c r="E484" s="115"/>
      <c r="F484" s="223"/>
      <c r="G484" s="54"/>
      <c r="H484" s="115"/>
      <c r="I484" s="115"/>
      <c r="J484" s="54"/>
      <c r="K484" s="115"/>
      <c r="L484" s="115"/>
    </row>
    <row r="485">
      <c r="A485" s="115"/>
      <c r="B485" s="115"/>
      <c r="C485" s="54"/>
      <c r="D485" s="54"/>
      <c r="E485" s="115"/>
      <c r="F485" s="223"/>
      <c r="G485" s="54"/>
      <c r="H485" s="115"/>
      <c r="I485" s="115"/>
      <c r="J485" s="54"/>
      <c r="K485" s="115"/>
      <c r="L485" s="115"/>
    </row>
    <row r="486">
      <c r="A486" s="115"/>
      <c r="B486" s="115"/>
      <c r="C486" s="54"/>
      <c r="D486" s="54"/>
      <c r="E486" s="115"/>
      <c r="F486" s="223"/>
      <c r="G486" s="54"/>
      <c r="H486" s="115"/>
      <c r="I486" s="115"/>
      <c r="J486" s="54"/>
      <c r="K486" s="115"/>
      <c r="L486" s="115"/>
    </row>
    <row r="487">
      <c r="A487" s="115"/>
      <c r="B487" s="115"/>
      <c r="C487" s="54"/>
      <c r="D487" s="54"/>
      <c r="E487" s="115"/>
      <c r="F487" s="223"/>
      <c r="G487" s="54"/>
      <c r="H487" s="115"/>
      <c r="I487" s="115"/>
      <c r="J487" s="54"/>
      <c r="K487" s="115"/>
      <c r="L487" s="115"/>
    </row>
    <row r="488">
      <c r="A488" s="115"/>
      <c r="B488" s="115"/>
      <c r="C488" s="54"/>
      <c r="D488" s="54"/>
      <c r="E488" s="115"/>
      <c r="F488" s="223"/>
      <c r="G488" s="54"/>
      <c r="H488" s="115"/>
      <c r="I488" s="115"/>
      <c r="J488" s="54"/>
      <c r="K488" s="115"/>
      <c r="L488" s="115"/>
    </row>
    <row r="489">
      <c r="A489" s="115"/>
      <c r="B489" s="115"/>
      <c r="C489" s="54"/>
      <c r="D489" s="54"/>
      <c r="E489" s="115"/>
      <c r="F489" s="223"/>
      <c r="G489" s="54"/>
      <c r="H489" s="115"/>
      <c r="I489" s="115"/>
      <c r="J489" s="54"/>
      <c r="K489" s="115"/>
      <c r="L489" s="115"/>
    </row>
    <row r="490">
      <c r="A490" s="115"/>
      <c r="B490" s="115"/>
      <c r="C490" s="54"/>
      <c r="D490" s="54"/>
      <c r="E490" s="115"/>
      <c r="F490" s="223"/>
      <c r="G490" s="54"/>
      <c r="H490" s="115"/>
      <c r="I490" s="115"/>
      <c r="J490" s="54"/>
      <c r="K490" s="115"/>
      <c r="L490" s="115"/>
    </row>
    <row r="491">
      <c r="A491" s="115"/>
      <c r="B491" s="115"/>
      <c r="C491" s="54"/>
      <c r="D491" s="54"/>
      <c r="E491" s="115"/>
      <c r="F491" s="223"/>
      <c r="G491" s="54"/>
      <c r="H491" s="115"/>
      <c r="I491" s="115"/>
      <c r="J491" s="54"/>
      <c r="K491" s="115"/>
      <c r="L491" s="115"/>
    </row>
    <row r="492">
      <c r="A492" s="115"/>
      <c r="B492" s="115"/>
      <c r="C492" s="54"/>
      <c r="D492" s="54"/>
      <c r="E492" s="115"/>
      <c r="F492" s="223"/>
      <c r="G492" s="54"/>
      <c r="H492" s="115"/>
      <c r="I492" s="115"/>
      <c r="J492" s="54"/>
      <c r="K492" s="115"/>
      <c r="L492" s="115"/>
    </row>
    <row r="493">
      <c r="A493" s="115"/>
      <c r="B493" s="115"/>
      <c r="C493" s="54"/>
      <c r="D493" s="54"/>
      <c r="E493" s="115"/>
      <c r="F493" s="223"/>
      <c r="G493" s="54"/>
      <c r="H493" s="115"/>
      <c r="I493" s="115"/>
      <c r="J493" s="54"/>
      <c r="K493" s="115"/>
      <c r="L493" s="115"/>
    </row>
    <row r="494">
      <c r="A494" s="115"/>
      <c r="B494" s="115"/>
      <c r="C494" s="54"/>
      <c r="D494" s="54"/>
      <c r="E494" s="115"/>
      <c r="F494" s="223"/>
      <c r="G494" s="54"/>
      <c r="H494" s="115"/>
      <c r="I494" s="115"/>
      <c r="J494" s="54"/>
      <c r="K494" s="115"/>
      <c r="L494" s="115"/>
    </row>
    <row r="495">
      <c r="A495" s="115"/>
      <c r="B495" s="115"/>
      <c r="C495" s="54"/>
      <c r="D495" s="54"/>
      <c r="E495" s="115"/>
      <c r="F495" s="223"/>
      <c r="G495" s="54"/>
      <c r="H495" s="115"/>
      <c r="I495" s="115"/>
      <c r="J495" s="54"/>
      <c r="K495" s="115"/>
      <c r="L495" s="115"/>
    </row>
    <row r="496">
      <c r="A496" s="115"/>
      <c r="B496" s="115"/>
      <c r="C496" s="54"/>
      <c r="D496" s="54"/>
      <c r="E496" s="115"/>
      <c r="F496" s="223"/>
      <c r="G496" s="54"/>
      <c r="H496" s="115"/>
      <c r="I496" s="115"/>
      <c r="J496" s="54"/>
      <c r="K496" s="115"/>
      <c r="L496" s="115"/>
    </row>
    <row r="497">
      <c r="A497" s="115"/>
      <c r="B497" s="115"/>
      <c r="C497" s="54"/>
      <c r="D497" s="54"/>
      <c r="E497" s="115"/>
      <c r="F497" s="223"/>
      <c r="G497" s="54"/>
      <c r="H497" s="115"/>
      <c r="I497" s="115"/>
      <c r="J497" s="54"/>
      <c r="K497" s="115"/>
      <c r="L497" s="115"/>
    </row>
    <row r="498">
      <c r="A498" s="115"/>
      <c r="B498" s="115"/>
      <c r="C498" s="54"/>
      <c r="D498" s="54"/>
      <c r="E498" s="115"/>
      <c r="F498" s="223"/>
      <c r="G498" s="54"/>
      <c r="H498" s="115"/>
      <c r="I498" s="115"/>
      <c r="J498" s="54"/>
      <c r="K498" s="115"/>
      <c r="L498" s="115"/>
    </row>
    <row r="499">
      <c r="A499" s="115"/>
      <c r="B499" s="115"/>
      <c r="C499" s="54"/>
      <c r="D499" s="54"/>
      <c r="E499" s="115"/>
      <c r="F499" s="223"/>
      <c r="G499" s="54"/>
      <c r="H499" s="115"/>
      <c r="I499" s="115"/>
      <c r="J499" s="54"/>
      <c r="K499" s="115"/>
      <c r="L499" s="115"/>
    </row>
    <row r="500">
      <c r="A500" s="115"/>
      <c r="B500" s="115"/>
      <c r="C500" s="54"/>
      <c r="D500" s="54"/>
      <c r="E500" s="115"/>
      <c r="F500" s="223"/>
      <c r="G500" s="54"/>
      <c r="H500" s="115"/>
      <c r="I500" s="115"/>
      <c r="J500" s="54"/>
      <c r="K500" s="115"/>
      <c r="L500" s="115"/>
    </row>
    <row r="501">
      <c r="A501" s="115"/>
      <c r="B501" s="115"/>
      <c r="C501" s="54"/>
      <c r="D501" s="54"/>
      <c r="E501" s="115"/>
      <c r="F501" s="223"/>
      <c r="G501" s="54"/>
      <c r="H501" s="115"/>
      <c r="I501" s="115"/>
      <c r="J501" s="54"/>
      <c r="K501" s="115"/>
      <c r="L501" s="115"/>
    </row>
    <row r="502">
      <c r="A502" s="115"/>
      <c r="B502" s="115"/>
      <c r="C502" s="54"/>
      <c r="D502" s="54"/>
      <c r="E502" s="115"/>
      <c r="F502" s="223"/>
      <c r="G502" s="54"/>
      <c r="H502" s="115"/>
      <c r="I502" s="115"/>
      <c r="J502" s="54"/>
      <c r="K502" s="115"/>
      <c r="L502" s="115"/>
    </row>
    <row r="503">
      <c r="A503" s="115"/>
      <c r="B503" s="115"/>
      <c r="C503" s="54"/>
      <c r="D503" s="54"/>
      <c r="E503" s="115"/>
      <c r="F503" s="223"/>
      <c r="G503" s="54"/>
      <c r="H503" s="115"/>
      <c r="I503" s="115"/>
      <c r="J503" s="54"/>
      <c r="K503" s="115"/>
      <c r="L503" s="115"/>
    </row>
    <row r="504">
      <c r="A504" s="115"/>
      <c r="B504" s="115"/>
      <c r="C504" s="54"/>
      <c r="D504" s="54"/>
      <c r="E504" s="115"/>
      <c r="F504" s="223"/>
      <c r="G504" s="54"/>
      <c r="H504" s="115"/>
      <c r="I504" s="115"/>
      <c r="J504" s="54"/>
      <c r="K504" s="115"/>
      <c r="L504" s="115"/>
    </row>
    <row r="505">
      <c r="A505" s="115"/>
      <c r="B505" s="115"/>
      <c r="C505" s="54"/>
      <c r="D505" s="54"/>
      <c r="E505" s="115"/>
      <c r="F505" s="223"/>
      <c r="G505" s="54"/>
      <c r="H505" s="115"/>
      <c r="I505" s="115"/>
      <c r="J505" s="54"/>
      <c r="K505" s="115"/>
      <c r="L505" s="115"/>
    </row>
    <row r="506">
      <c r="A506" s="115"/>
      <c r="B506" s="115"/>
      <c r="C506" s="54"/>
      <c r="D506" s="54"/>
      <c r="E506" s="115"/>
      <c r="F506" s="223"/>
      <c r="G506" s="54"/>
      <c r="H506" s="115"/>
      <c r="I506" s="115"/>
      <c r="J506" s="54"/>
      <c r="K506" s="115"/>
      <c r="L506" s="115"/>
    </row>
    <row r="507">
      <c r="A507" s="115"/>
      <c r="B507" s="115"/>
      <c r="C507" s="54"/>
      <c r="D507" s="54"/>
      <c r="E507" s="115"/>
      <c r="F507" s="223"/>
      <c r="G507" s="54"/>
      <c r="H507" s="115"/>
      <c r="I507" s="115"/>
      <c r="J507" s="54"/>
      <c r="K507" s="115"/>
      <c r="L507" s="115"/>
    </row>
    <row r="508">
      <c r="A508" s="115"/>
      <c r="B508" s="115"/>
      <c r="C508" s="54"/>
      <c r="D508" s="54"/>
      <c r="E508" s="115"/>
      <c r="F508" s="223"/>
      <c r="G508" s="54"/>
      <c r="H508" s="115"/>
      <c r="I508" s="115"/>
      <c r="J508" s="54"/>
      <c r="K508" s="115"/>
      <c r="L508" s="115"/>
    </row>
    <row r="509">
      <c r="A509" s="115"/>
      <c r="B509" s="115"/>
      <c r="C509" s="54"/>
      <c r="D509" s="54"/>
      <c r="E509" s="115"/>
      <c r="F509" s="223"/>
      <c r="G509" s="54"/>
      <c r="H509" s="115"/>
      <c r="I509" s="115"/>
      <c r="J509" s="54"/>
      <c r="K509" s="115"/>
      <c r="L509" s="115"/>
    </row>
    <row r="510">
      <c r="A510" s="115"/>
      <c r="B510" s="115"/>
      <c r="C510" s="54"/>
      <c r="D510" s="54"/>
      <c r="E510" s="115"/>
      <c r="F510" s="223"/>
      <c r="G510" s="54"/>
      <c r="H510" s="115"/>
      <c r="I510" s="115"/>
      <c r="J510" s="54"/>
      <c r="K510" s="115"/>
      <c r="L510" s="115"/>
    </row>
    <row r="511">
      <c r="A511" s="115"/>
      <c r="B511" s="115"/>
      <c r="C511" s="54"/>
      <c r="D511" s="54"/>
      <c r="E511" s="115"/>
      <c r="F511" s="223"/>
      <c r="G511" s="54"/>
      <c r="H511" s="115"/>
      <c r="I511" s="115"/>
      <c r="J511" s="54"/>
      <c r="K511" s="115"/>
      <c r="L511" s="115"/>
    </row>
    <row r="512">
      <c r="A512" s="115"/>
      <c r="B512" s="115"/>
      <c r="C512" s="54"/>
      <c r="D512" s="54"/>
      <c r="E512" s="115"/>
      <c r="F512" s="223"/>
      <c r="G512" s="54"/>
      <c r="H512" s="115"/>
      <c r="I512" s="115"/>
      <c r="J512" s="54"/>
      <c r="K512" s="115"/>
      <c r="L512" s="115"/>
    </row>
    <row r="513">
      <c r="A513" s="115"/>
      <c r="B513" s="115"/>
      <c r="C513" s="54"/>
      <c r="D513" s="54"/>
      <c r="E513" s="115"/>
      <c r="F513" s="223"/>
      <c r="G513" s="54"/>
      <c r="H513" s="115"/>
      <c r="I513" s="115"/>
      <c r="J513" s="54"/>
      <c r="K513" s="115"/>
      <c r="L513" s="115"/>
    </row>
    <row r="514">
      <c r="A514" s="115"/>
      <c r="B514" s="115"/>
      <c r="C514" s="54"/>
      <c r="D514" s="54"/>
      <c r="E514" s="115"/>
      <c r="F514" s="223"/>
      <c r="G514" s="54"/>
      <c r="H514" s="115"/>
      <c r="I514" s="115"/>
      <c r="J514" s="54"/>
      <c r="K514" s="115"/>
      <c r="L514" s="115"/>
    </row>
    <row r="515">
      <c r="A515" s="115"/>
      <c r="B515" s="115"/>
      <c r="C515" s="54"/>
      <c r="D515" s="54"/>
      <c r="E515" s="115"/>
      <c r="F515" s="223"/>
      <c r="G515" s="54"/>
      <c r="H515" s="115"/>
      <c r="I515" s="115"/>
      <c r="J515" s="54"/>
      <c r="K515" s="115"/>
      <c r="L515" s="115"/>
    </row>
    <row r="516">
      <c r="A516" s="115"/>
      <c r="B516" s="115"/>
      <c r="C516" s="54"/>
      <c r="D516" s="54"/>
      <c r="E516" s="115"/>
      <c r="F516" s="223"/>
      <c r="G516" s="54"/>
      <c r="H516" s="115"/>
      <c r="I516" s="115"/>
      <c r="J516" s="54"/>
      <c r="K516" s="115"/>
      <c r="L516" s="115"/>
    </row>
    <row r="517">
      <c r="A517" s="115"/>
      <c r="B517" s="115"/>
      <c r="C517" s="54"/>
      <c r="D517" s="54"/>
      <c r="E517" s="115"/>
      <c r="F517" s="223"/>
      <c r="G517" s="54"/>
      <c r="H517" s="115"/>
      <c r="I517" s="115"/>
      <c r="J517" s="54"/>
      <c r="K517" s="115"/>
      <c r="L517" s="115"/>
    </row>
    <row r="518">
      <c r="A518" s="115"/>
      <c r="B518" s="115"/>
      <c r="C518" s="54"/>
      <c r="D518" s="54"/>
      <c r="E518" s="115"/>
      <c r="F518" s="223"/>
      <c r="G518" s="54"/>
      <c r="H518" s="115"/>
      <c r="I518" s="115"/>
      <c r="J518" s="54"/>
      <c r="K518" s="115"/>
      <c r="L518" s="115"/>
    </row>
    <row r="519">
      <c r="A519" s="115"/>
      <c r="B519" s="115"/>
      <c r="C519" s="54"/>
      <c r="D519" s="54"/>
      <c r="E519" s="115"/>
      <c r="F519" s="223"/>
      <c r="G519" s="54"/>
      <c r="H519" s="115"/>
      <c r="I519" s="115"/>
      <c r="J519" s="54"/>
      <c r="K519" s="115"/>
      <c r="L519" s="115"/>
    </row>
    <row r="520">
      <c r="A520" s="115"/>
      <c r="B520" s="115"/>
      <c r="C520" s="54"/>
      <c r="D520" s="54"/>
      <c r="E520" s="115"/>
      <c r="F520" s="223"/>
      <c r="G520" s="54"/>
      <c r="H520" s="115"/>
      <c r="I520" s="115"/>
      <c r="J520" s="54"/>
      <c r="K520" s="115"/>
      <c r="L520" s="115"/>
    </row>
    <row r="521">
      <c r="A521" s="115"/>
      <c r="B521" s="115"/>
      <c r="C521" s="54"/>
      <c r="D521" s="54"/>
      <c r="E521" s="115"/>
      <c r="F521" s="223"/>
      <c r="G521" s="54"/>
      <c r="H521" s="115"/>
      <c r="I521" s="115"/>
      <c r="J521" s="54"/>
      <c r="K521" s="115"/>
      <c r="L521" s="115"/>
    </row>
    <row r="522">
      <c r="A522" s="115"/>
      <c r="B522" s="115"/>
      <c r="C522" s="54"/>
      <c r="D522" s="54"/>
      <c r="E522" s="115"/>
      <c r="F522" s="223"/>
      <c r="G522" s="54"/>
      <c r="H522" s="115"/>
      <c r="I522" s="115"/>
      <c r="J522" s="54"/>
      <c r="K522" s="115"/>
      <c r="L522" s="115"/>
    </row>
    <row r="523">
      <c r="A523" s="115"/>
      <c r="B523" s="115"/>
      <c r="C523" s="54"/>
      <c r="D523" s="54"/>
      <c r="E523" s="115"/>
      <c r="F523" s="223"/>
      <c r="G523" s="54"/>
      <c r="H523" s="115"/>
      <c r="I523" s="115"/>
      <c r="J523" s="54"/>
      <c r="K523" s="115"/>
      <c r="L523" s="115"/>
    </row>
    <row r="524">
      <c r="A524" s="115"/>
      <c r="B524" s="115"/>
      <c r="C524" s="54"/>
      <c r="D524" s="54"/>
      <c r="E524" s="115"/>
      <c r="F524" s="223"/>
      <c r="G524" s="54"/>
      <c r="H524" s="115"/>
      <c r="I524" s="115"/>
      <c r="J524" s="54"/>
      <c r="K524" s="115"/>
      <c r="L524" s="115"/>
    </row>
    <row r="525">
      <c r="A525" s="115"/>
      <c r="B525" s="115"/>
      <c r="C525" s="54"/>
      <c r="D525" s="54"/>
      <c r="E525" s="115"/>
      <c r="F525" s="223"/>
      <c r="G525" s="54"/>
      <c r="H525" s="115"/>
      <c r="I525" s="115"/>
      <c r="J525" s="54"/>
      <c r="K525" s="115"/>
      <c r="L525" s="115"/>
    </row>
    <row r="526">
      <c r="A526" s="115"/>
      <c r="B526" s="115"/>
      <c r="C526" s="54"/>
      <c r="D526" s="54"/>
      <c r="E526" s="115"/>
      <c r="F526" s="223"/>
      <c r="G526" s="54"/>
      <c r="H526" s="115"/>
      <c r="I526" s="115"/>
      <c r="J526" s="54"/>
      <c r="K526" s="115"/>
      <c r="L526" s="115"/>
    </row>
    <row r="527">
      <c r="A527" s="115"/>
      <c r="B527" s="115"/>
      <c r="C527" s="54"/>
      <c r="D527" s="54"/>
      <c r="E527" s="115"/>
      <c r="F527" s="223"/>
      <c r="G527" s="54"/>
      <c r="H527" s="115"/>
      <c r="I527" s="115"/>
      <c r="J527" s="54"/>
      <c r="K527" s="115"/>
      <c r="L527" s="115"/>
    </row>
    <row r="528">
      <c r="A528" s="115"/>
      <c r="B528" s="115"/>
      <c r="C528" s="54"/>
      <c r="D528" s="54"/>
      <c r="E528" s="115"/>
      <c r="F528" s="223"/>
      <c r="G528" s="54"/>
      <c r="H528" s="115"/>
      <c r="I528" s="115"/>
      <c r="J528" s="54"/>
      <c r="K528" s="115"/>
      <c r="L528" s="115"/>
    </row>
    <row r="529">
      <c r="A529" s="115"/>
      <c r="B529" s="115"/>
      <c r="C529" s="54"/>
      <c r="D529" s="54"/>
      <c r="E529" s="115"/>
      <c r="F529" s="223"/>
      <c r="G529" s="54"/>
      <c r="H529" s="115"/>
      <c r="I529" s="115"/>
      <c r="J529" s="54"/>
      <c r="K529" s="115"/>
      <c r="L529" s="115"/>
    </row>
    <row r="530">
      <c r="A530" s="115"/>
      <c r="B530" s="115"/>
      <c r="C530" s="54"/>
      <c r="D530" s="54"/>
      <c r="E530" s="115"/>
      <c r="F530" s="223"/>
      <c r="G530" s="54"/>
      <c r="H530" s="115"/>
      <c r="I530" s="115"/>
      <c r="J530" s="54"/>
      <c r="K530" s="115"/>
      <c r="L530" s="115"/>
    </row>
    <row r="531">
      <c r="A531" s="115"/>
      <c r="B531" s="115"/>
      <c r="C531" s="54"/>
      <c r="D531" s="54"/>
      <c r="E531" s="115"/>
      <c r="F531" s="223"/>
      <c r="G531" s="54"/>
      <c r="H531" s="115"/>
      <c r="I531" s="115"/>
      <c r="J531" s="54"/>
      <c r="K531" s="115"/>
      <c r="L531" s="115"/>
    </row>
    <row r="532">
      <c r="A532" s="115"/>
      <c r="B532" s="115"/>
      <c r="C532" s="54"/>
      <c r="D532" s="54"/>
      <c r="E532" s="115"/>
      <c r="F532" s="223"/>
      <c r="G532" s="54"/>
      <c r="H532" s="115"/>
      <c r="I532" s="115"/>
      <c r="J532" s="54"/>
      <c r="K532" s="115"/>
      <c r="L532" s="115"/>
    </row>
    <row r="533">
      <c r="A533" s="115"/>
      <c r="B533" s="115"/>
      <c r="C533" s="54"/>
      <c r="D533" s="54"/>
      <c r="E533" s="115"/>
      <c r="F533" s="223"/>
      <c r="G533" s="54"/>
      <c r="H533" s="115"/>
      <c r="I533" s="115"/>
      <c r="J533" s="54"/>
      <c r="K533" s="115"/>
      <c r="L533" s="115"/>
    </row>
    <row r="534">
      <c r="A534" s="115"/>
      <c r="B534" s="115"/>
      <c r="C534" s="54"/>
      <c r="D534" s="54"/>
      <c r="E534" s="115"/>
      <c r="F534" s="223"/>
      <c r="G534" s="54"/>
      <c r="H534" s="115"/>
      <c r="I534" s="115"/>
      <c r="J534" s="54"/>
      <c r="K534" s="115"/>
      <c r="L534" s="115"/>
    </row>
    <row r="535">
      <c r="A535" s="115"/>
      <c r="B535" s="115"/>
      <c r="C535" s="54"/>
      <c r="D535" s="54"/>
      <c r="E535" s="115"/>
      <c r="F535" s="223"/>
      <c r="G535" s="54"/>
      <c r="H535" s="115"/>
      <c r="I535" s="115"/>
      <c r="J535" s="54"/>
      <c r="K535" s="115"/>
      <c r="L535" s="115"/>
    </row>
    <row r="536">
      <c r="A536" s="115"/>
      <c r="B536" s="115"/>
      <c r="C536" s="54"/>
      <c r="D536" s="54"/>
      <c r="E536" s="115"/>
      <c r="F536" s="223"/>
      <c r="G536" s="54"/>
      <c r="H536" s="115"/>
      <c r="I536" s="115"/>
      <c r="J536" s="54"/>
      <c r="K536" s="115"/>
      <c r="L536" s="115"/>
    </row>
    <row r="537">
      <c r="A537" s="115"/>
      <c r="B537" s="115"/>
      <c r="C537" s="54"/>
      <c r="D537" s="54"/>
      <c r="E537" s="115"/>
      <c r="F537" s="223"/>
      <c r="G537" s="54"/>
      <c r="H537" s="115"/>
      <c r="I537" s="115"/>
      <c r="J537" s="54"/>
      <c r="K537" s="115"/>
      <c r="L537" s="115"/>
    </row>
    <row r="538">
      <c r="A538" s="115"/>
      <c r="B538" s="115"/>
      <c r="C538" s="54"/>
      <c r="D538" s="54"/>
      <c r="E538" s="115"/>
      <c r="F538" s="223"/>
      <c r="G538" s="54"/>
      <c r="H538" s="115"/>
      <c r="I538" s="115"/>
      <c r="J538" s="54"/>
      <c r="K538" s="115"/>
      <c r="L538" s="115"/>
    </row>
    <row r="539">
      <c r="A539" s="115"/>
      <c r="B539" s="115"/>
      <c r="C539" s="54"/>
      <c r="D539" s="54"/>
      <c r="E539" s="115"/>
      <c r="F539" s="223"/>
      <c r="G539" s="54"/>
      <c r="H539" s="115"/>
      <c r="I539" s="115"/>
      <c r="J539" s="54"/>
      <c r="K539" s="115"/>
      <c r="L539" s="115"/>
    </row>
    <row r="540">
      <c r="A540" s="115"/>
      <c r="B540" s="115"/>
      <c r="C540" s="54"/>
      <c r="D540" s="54"/>
      <c r="E540" s="115"/>
      <c r="F540" s="223"/>
      <c r="G540" s="54"/>
      <c r="H540" s="115"/>
      <c r="I540" s="115"/>
      <c r="J540" s="54"/>
      <c r="K540" s="115"/>
      <c r="L540" s="115"/>
    </row>
    <row r="541">
      <c r="A541" s="115"/>
      <c r="B541" s="115"/>
      <c r="C541" s="54"/>
      <c r="D541" s="54"/>
      <c r="E541" s="115"/>
      <c r="F541" s="223"/>
      <c r="G541" s="54"/>
      <c r="H541" s="115"/>
      <c r="I541" s="115"/>
      <c r="J541" s="54"/>
      <c r="K541" s="115"/>
      <c r="L541" s="115"/>
    </row>
    <row r="542">
      <c r="A542" s="115"/>
      <c r="B542" s="115"/>
      <c r="C542" s="54"/>
      <c r="D542" s="54"/>
      <c r="E542" s="115"/>
      <c r="F542" s="223"/>
      <c r="G542" s="54"/>
      <c r="H542" s="115"/>
      <c r="I542" s="115"/>
      <c r="J542" s="54"/>
      <c r="K542" s="115"/>
      <c r="L542" s="115"/>
    </row>
    <row r="543">
      <c r="A543" s="115"/>
      <c r="B543" s="115"/>
      <c r="C543" s="54"/>
      <c r="D543" s="54"/>
      <c r="E543" s="115"/>
      <c r="F543" s="223"/>
      <c r="G543" s="54"/>
      <c r="H543" s="115"/>
      <c r="I543" s="115"/>
      <c r="J543" s="54"/>
      <c r="K543" s="115"/>
      <c r="L543" s="115"/>
    </row>
    <row r="544">
      <c r="A544" s="115"/>
      <c r="B544" s="115"/>
      <c r="C544" s="54"/>
      <c r="D544" s="54"/>
      <c r="E544" s="115"/>
      <c r="F544" s="223"/>
      <c r="G544" s="54"/>
      <c r="H544" s="115"/>
      <c r="I544" s="115"/>
      <c r="J544" s="54"/>
      <c r="K544" s="115"/>
      <c r="L544" s="115"/>
    </row>
    <row r="545">
      <c r="A545" s="115"/>
      <c r="B545" s="115"/>
      <c r="C545" s="54"/>
      <c r="D545" s="54"/>
      <c r="E545" s="115"/>
      <c r="F545" s="223"/>
      <c r="G545" s="54"/>
      <c r="H545" s="115"/>
      <c r="I545" s="115"/>
      <c r="J545" s="54"/>
      <c r="K545" s="115"/>
      <c r="L545" s="115"/>
    </row>
    <row r="546">
      <c r="A546" s="115"/>
      <c r="B546" s="115"/>
      <c r="C546" s="54"/>
      <c r="D546" s="54"/>
      <c r="E546" s="115"/>
      <c r="F546" s="223"/>
      <c r="G546" s="54"/>
      <c r="H546" s="115"/>
      <c r="I546" s="115"/>
      <c r="J546" s="54"/>
      <c r="K546" s="115"/>
      <c r="L546" s="115"/>
    </row>
    <row r="547">
      <c r="A547" s="115"/>
      <c r="B547" s="115"/>
      <c r="C547" s="54"/>
      <c r="D547" s="54"/>
      <c r="E547" s="115"/>
      <c r="F547" s="223"/>
      <c r="G547" s="54"/>
      <c r="H547" s="115"/>
      <c r="I547" s="115"/>
      <c r="J547" s="54"/>
      <c r="K547" s="115"/>
      <c r="L547" s="115"/>
    </row>
    <row r="548">
      <c r="A548" s="115"/>
      <c r="B548" s="115"/>
      <c r="C548" s="54"/>
      <c r="D548" s="54"/>
      <c r="E548" s="115"/>
      <c r="F548" s="223"/>
      <c r="G548" s="54"/>
      <c r="H548" s="115"/>
      <c r="I548" s="115"/>
      <c r="J548" s="54"/>
      <c r="K548" s="115"/>
      <c r="L548" s="115"/>
    </row>
    <row r="549">
      <c r="A549" s="115"/>
      <c r="B549" s="115"/>
      <c r="C549" s="54"/>
      <c r="D549" s="54"/>
      <c r="E549" s="115"/>
      <c r="F549" s="223"/>
      <c r="G549" s="54"/>
      <c r="H549" s="115"/>
      <c r="I549" s="115"/>
      <c r="J549" s="54"/>
      <c r="K549" s="115"/>
      <c r="L549" s="115"/>
    </row>
    <row r="550">
      <c r="A550" s="115"/>
      <c r="B550" s="115"/>
      <c r="C550" s="54"/>
      <c r="D550" s="54"/>
      <c r="E550" s="115"/>
      <c r="F550" s="223"/>
      <c r="G550" s="54"/>
      <c r="H550" s="115"/>
      <c r="I550" s="115"/>
      <c r="J550" s="54"/>
      <c r="K550" s="115"/>
      <c r="L550" s="115"/>
    </row>
    <row r="551">
      <c r="A551" s="115"/>
      <c r="B551" s="115"/>
      <c r="C551" s="54"/>
      <c r="D551" s="54"/>
      <c r="E551" s="115"/>
      <c r="F551" s="223"/>
      <c r="G551" s="54"/>
      <c r="H551" s="115"/>
      <c r="I551" s="115"/>
      <c r="J551" s="54"/>
      <c r="K551" s="115"/>
      <c r="L551" s="115"/>
    </row>
    <row r="552">
      <c r="A552" s="115"/>
      <c r="B552" s="115"/>
      <c r="C552" s="54"/>
      <c r="D552" s="54"/>
      <c r="E552" s="115"/>
      <c r="F552" s="223"/>
      <c r="G552" s="54"/>
      <c r="H552" s="115"/>
      <c r="I552" s="115"/>
      <c r="J552" s="54"/>
      <c r="K552" s="115"/>
      <c r="L552" s="115"/>
    </row>
    <row r="553">
      <c r="A553" s="115"/>
      <c r="B553" s="115"/>
      <c r="C553" s="54"/>
      <c r="D553" s="54"/>
      <c r="E553" s="115"/>
      <c r="F553" s="223"/>
      <c r="G553" s="54"/>
      <c r="H553" s="115"/>
      <c r="I553" s="115"/>
      <c r="J553" s="54"/>
      <c r="K553" s="115"/>
      <c r="L553" s="115"/>
    </row>
    <row r="554">
      <c r="A554" s="115"/>
      <c r="B554" s="115"/>
      <c r="C554" s="54"/>
      <c r="D554" s="54"/>
      <c r="E554" s="115"/>
      <c r="F554" s="223"/>
      <c r="G554" s="54"/>
      <c r="H554" s="115"/>
      <c r="I554" s="115"/>
      <c r="J554" s="54"/>
      <c r="K554" s="115"/>
      <c r="L554" s="115"/>
    </row>
    <row r="555">
      <c r="A555" s="115"/>
      <c r="B555" s="115"/>
      <c r="C555" s="54"/>
      <c r="D555" s="54"/>
      <c r="E555" s="115"/>
      <c r="F555" s="223"/>
      <c r="G555" s="54"/>
      <c r="H555" s="115"/>
      <c r="I555" s="115"/>
      <c r="J555" s="54"/>
      <c r="K555" s="115"/>
      <c r="L555" s="115"/>
    </row>
    <row r="556">
      <c r="A556" s="115"/>
      <c r="B556" s="115"/>
      <c r="C556" s="54"/>
      <c r="D556" s="54"/>
      <c r="E556" s="115"/>
      <c r="F556" s="223"/>
      <c r="G556" s="54"/>
      <c r="H556" s="115"/>
      <c r="I556" s="115"/>
      <c r="J556" s="54"/>
      <c r="K556" s="115"/>
      <c r="L556" s="115"/>
    </row>
    <row r="557">
      <c r="A557" s="115"/>
      <c r="B557" s="115"/>
      <c r="C557" s="54"/>
      <c r="D557" s="54"/>
      <c r="E557" s="115"/>
      <c r="F557" s="223"/>
      <c r="G557" s="54"/>
      <c r="H557" s="115"/>
      <c r="I557" s="115"/>
      <c r="J557" s="54"/>
      <c r="K557" s="115"/>
      <c r="L557" s="115"/>
    </row>
    <row r="558">
      <c r="A558" s="115"/>
      <c r="B558" s="115"/>
      <c r="C558" s="54"/>
      <c r="D558" s="54"/>
      <c r="E558" s="115"/>
      <c r="F558" s="223"/>
      <c r="G558" s="54"/>
      <c r="H558" s="115"/>
      <c r="I558" s="115"/>
      <c r="J558" s="54"/>
      <c r="K558" s="115"/>
      <c r="L558" s="115"/>
    </row>
    <row r="559">
      <c r="A559" s="115"/>
      <c r="B559" s="115"/>
      <c r="C559" s="54"/>
      <c r="D559" s="54"/>
      <c r="E559" s="115"/>
      <c r="F559" s="223"/>
      <c r="G559" s="54"/>
      <c r="H559" s="115"/>
      <c r="I559" s="115"/>
      <c r="J559" s="54"/>
      <c r="K559" s="115"/>
      <c r="L559" s="115"/>
    </row>
    <row r="560">
      <c r="A560" s="115"/>
      <c r="B560" s="115"/>
      <c r="C560" s="54"/>
      <c r="D560" s="54"/>
      <c r="E560" s="115"/>
      <c r="F560" s="223"/>
      <c r="G560" s="54"/>
      <c r="H560" s="115"/>
      <c r="I560" s="115"/>
      <c r="J560" s="54"/>
      <c r="K560" s="115"/>
      <c r="L560" s="115"/>
    </row>
    <row r="561">
      <c r="A561" s="115"/>
      <c r="B561" s="115"/>
      <c r="C561" s="54"/>
      <c r="D561" s="54"/>
      <c r="E561" s="115"/>
      <c r="F561" s="223"/>
      <c r="G561" s="54"/>
      <c r="H561" s="115"/>
      <c r="I561" s="115"/>
      <c r="J561" s="54"/>
      <c r="K561" s="115"/>
      <c r="L561" s="115"/>
    </row>
    <row r="562">
      <c r="A562" s="115"/>
      <c r="B562" s="115"/>
      <c r="C562" s="54"/>
      <c r="D562" s="54"/>
      <c r="E562" s="115"/>
      <c r="F562" s="223"/>
      <c r="G562" s="54"/>
      <c r="H562" s="115"/>
      <c r="I562" s="115"/>
      <c r="J562" s="54"/>
      <c r="K562" s="115"/>
      <c r="L562" s="115"/>
    </row>
    <row r="563">
      <c r="A563" s="115"/>
      <c r="B563" s="115"/>
      <c r="C563" s="54"/>
      <c r="D563" s="54"/>
      <c r="E563" s="115"/>
      <c r="F563" s="223"/>
      <c r="G563" s="54"/>
      <c r="H563" s="115"/>
      <c r="I563" s="115"/>
      <c r="J563" s="54"/>
      <c r="K563" s="115"/>
      <c r="L563" s="115"/>
    </row>
    <row r="564">
      <c r="A564" s="115"/>
      <c r="B564" s="115"/>
      <c r="C564" s="54"/>
      <c r="D564" s="54"/>
      <c r="E564" s="115"/>
      <c r="F564" s="223"/>
      <c r="G564" s="54"/>
      <c r="H564" s="115"/>
      <c r="I564" s="115"/>
      <c r="J564" s="54"/>
      <c r="K564" s="115"/>
      <c r="L564" s="115"/>
    </row>
    <row r="565">
      <c r="A565" s="115"/>
      <c r="B565" s="115"/>
      <c r="C565" s="54"/>
      <c r="D565" s="54"/>
      <c r="E565" s="115"/>
      <c r="F565" s="223"/>
      <c r="G565" s="54"/>
      <c r="H565" s="115"/>
      <c r="I565" s="115"/>
      <c r="J565" s="54"/>
      <c r="K565" s="115"/>
      <c r="L565" s="115"/>
    </row>
    <row r="566">
      <c r="A566" s="115"/>
      <c r="B566" s="115"/>
      <c r="C566" s="54"/>
      <c r="D566" s="54"/>
      <c r="E566" s="115"/>
      <c r="F566" s="223"/>
      <c r="G566" s="54"/>
      <c r="H566" s="115"/>
      <c r="I566" s="115"/>
      <c r="J566" s="54"/>
      <c r="K566" s="115"/>
      <c r="L566" s="115"/>
    </row>
    <row r="567">
      <c r="A567" s="115"/>
      <c r="B567" s="115"/>
      <c r="C567" s="54"/>
      <c r="D567" s="54"/>
      <c r="E567" s="115"/>
      <c r="F567" s="223"/>
      <c r="G567" s="54"/>
      <c r="H567" s="115"/>
      <c r="I567" s="115"/>
      <c r="J567" s="54"/>
      <c r="K567" s="115"/>
      <c r="L567" s="115"/>
    </row>
    <row r="568">
      <c r="A568" s="115"/>
      <c r="B568" s="115"/>
      <c r="C568" s="54"/>
      <c r="D568" s="54"/>
      <c r="E568" s="115"/>
      <c r="F568" s="223"/>
      <c r="G568" s="54"/>
      <c r="H568" s="115"/>
      <c r="I568" s="115"/>
      <c r="J568" s="54"/>
      <c r="K568" s="115"/>
      <c r="L568" s="115"/>
    </row>
    <row r="569">
      <c r="A569" s="115"/>
      <c r="B569" s="115"/>
      <c r="C569" s="54"/>
      <c r="D569" s="54"/>
      <c r="E569" s="115"/>
      <c r="F569" s="223"/>
      <c r="G569" s="54"/>
      <c r="H569" s="115"/>
      <c r="I569" s="115"/>
      <c r="J569" s="54"/>
      <c r="K569" s="115"/>
      <c r="L569" s="115"/>
    </row>
    <row r="570">
      <c r="A570" s="115"/>
      <c r="B570" s="115"/>
      <c r="C570" s="54"/>
      <c r="D570" s="54"/>
      <c r="E570" s="115"/>
      <c r="F570" s="223"/>
      <c r="G570" s="54"/>
      <c r="H570" s="115"/>
      <c r="I570" s="115"/>
      <c r="J570" s="54"/>
      <c r="K570" s="115"/>
      <c r="L570" s="115"/>
    </row>
    <row r="571">
      <c r="A571" s="115"/>
      <c r="B571" s="115"/>
      <c r="C571" s="54"/>
      <c r="D571" s="54"/>
      <c r="E571" s="115"/>
      <c r="F571" s="223"/>
      <c r="G571" s="54"/>
      <c r="H571" s="115"/>
      <c r="I571" s="115"/>
      <c r="J571" s="54"/>
      <c r="K571" s="115"/>
      <c r="L571" s="115"/>
    </row>
    <row r="572">
      <c r="A572" s="115"/>
      <c r="B572" s="115"/>
      <c r="C572" s="54"/>
      <c r="D572" s="54"/>
      <c r="E572" s="115"/>
      <c r="F572" s="223"/>
      <c r="G572" s="54"/>
      <c r="H572" s="115"/>
      <c r="I572" s="115"/>
      <c r="J572" s="54"/>
      <c r="K572" s="115"/>
      <c r="L572" s="115"/>
    </row>
    <row r="573">
      <c r="A573" s="115"/>
      <c r="B573" s="115"/>
      <c r="C573" s="54"/>
      <c r="D573" s="54"/>
      <c r="E573" s="115"/>
      <c r="F573" s="223"/>
      <c r="G573" s="54"/>
      <c r="H573" s="115"/>
      <c r="I573" s="115"/>
      <c r="J573" s="54"/>
      <c r="K573" s="115"/>
      <c r="L573" s="115"/>
    </row>
    <row r="574">
      <c r="A574" s="115"/>
      <c r="B574" s="115"/>
      <c r="C574" s="54"/>
      <c r="D574" s="54"/>
      <c r="E574" s="115"/>
      <c r="F574" s="223"/>
      <c r="G574" s="54"/>
      <c r="H574" s="115"/>
      <c r="I574" s="115"/>
      <c r="J574" s="54"/>
      <c r="K574" s="115"/>
      <c r="L574" s="115"/>
    </row>
    <row r="575">
      <c r="A575" s="115"/>
      <c r="B575" s="115"/>
      <c r="C575" s="54"/>
      <c r="D575" s="54"/>
      <c r="E575" s="115"/>
      <c r="F575" s="223"/>
      <c r="G575" s="54"/>
      <c r="H575" s="115"/>
      <c r="I575" s="115"/>
      <c r="J575" s="54"/>
      <c r="K575" s="115"/>
      <c r="L575" s="115"/>
    </row>
    <row r="576">
      <c r="A576" s="115"/>
      <c r="B576" s="115"/>
      <c r="C576" s="54"/>
      <c r="D576" s="54"/>
      <c r="E576" s="115"/>
      <c r="F576" s="223"/>
      <c r="G576" s="54"/>
      <c r="H576" s="115"/>
      <c r="I576" s="115"/>
      <c r="J576" s="54"/>
      <c r="K576" s="115"/>
      <c r="L576" s="115"/>
    </row>
    <row r="577">
      <c r="A577" s="115"/>
      <c r="B577" s="115"/>
      <c r="C577" s="54"/>
      <c r="D577" s="54"/>
      <c r="E577" s="115"/>
      <c r="F577" s="223"/>
      <c r="G577" s="54"/>
      <c r="H577" s="115"/>
      <c r="I577" s="115"/>
      <c r="J577" s="54"/>
      <c r="K577" s="115"/>
      <c r="L577" s="115"/>
    </row>
    <row r="578">
      <c r="A578" s="115"/>
      <c r="B578" s="115"/>
      <c r="C578" s="54"/>
      <c r="D578" s="54"/>
      <c r="E578" s="115"/>
      <c r="F578" s="223"/>
      <c r="G578" s="54"/>
      <c r="H578" s="115"/>
      <c r="I578" s="115"/>
      <c r="J578" s="54"/>
      <c r="K578" s="115"/>
      <c r="L578" s="115"/>
    </row>
    <row r="579">
      <c r="A579" s="115"/>
      <c r="B579" s="115"/>
      <c r="C579" s="54"/>
      <c r="D579" s="54"/>
      <c r="E579" s="115"/>
      <c r="F579" s="223"/>
      <c r="G579" s="54"/>
      <c r="H579" s="115"/>
      <c r="I579" s="115"/>
      <c r="J579" s="54"/>
      <c r="K579" s="115"/>
      <c r="L579" s="115"/>
    </row>
    <row r="580">
      <c r="A580" s="115"/>
      <c r="B580" s="115"/>
      <c r="C580" s="54"/>
      <c r="D580" s="54"/>
      <c r="E580" s="115"/>
      <c r="F580" s="223"/>
      <c r="G580" s="54"/>
      <c r="H580" s="115"/>
      <c r="I580" s="115"/>
      <c r="J580" s="54"/>
      <c r="K580" s="115"/>
      <c r="L580" s="115"/>
    </row>
    <row r="581">
      <c r="A581" s="115"/>
      <c r="B581" s="115"/>
      <c r="C581" s="54"/>
      <c r="D581" s="54"/>
      <c r="E581" s="115"/>
      <c r="F581" s="223"/>
      <c r="G581" s="54"/>
      <c r="H581" s="115"/>
      <c r="I581" s="115"/>
      <c r="J581" s="54"/>
      <c r="K581" s="115"/>
      <c r="L581" s="115"/>
    </row>
    <row r="582">
      <c r="A582" s="115"/>
      <c r="B582" s="115"/>
      <c r="C582" s="54"/>
      <c r="D582" s="54"/>
      <c r="E582" s="115"/>
      <c r="F582" s="223"/>
      <c r="G582" s="54"/>
      <c r="H582" s="115"/>
      <c r="I582" s="115"/>
      <c r="J582" s="54"/>
      <c r="K582" s="115"/>
      <c r="L582" s="115"/>
    </row>
    <row r="583">
      <c r="A583" s="115"/>
      <c r="B583" s="115"/>
      <c r="C583" s="54"/>
      <c r="D583" s="54"/>
      <c r="E583" s="115"/>
      <c r="F583" s="223"/>
      <c r="G583" s="54"/>
      <c r="H583" s="115"/>
      <c r="I583" s="115"/>
      <c r="J583" s="54"/>
      <c r="K583" s="115"/>
      <c r="L583" s="115"/>
    </row>
    <row r="584">
      <c r="A584" s="115"/>
      <c r="B584" s="115"/>
      <c r="C584" s="54"/>
      <c r="D584" s="54"/>
      <c r="E584" s="115"/>
      <c r="F584" s="223"/>
      <c r="G584" s="54"/>
      <c r="H584" s="115"/>
      <c r="I584" s="115"/>
      <c r="J584" s="54"/>
      <c r="K584" s="115"/>
      <c r="L584" s="115"/>
    </row>
    <row r="585">
      <c r="A585" s="115"/>
      <c r="B585" s="115"/>
      <c r="C585" s="54"/>
      <c r="D585" s="54"/>
      <c r="E585" s="115"/>
      <c r="F585" s="223"/>
      <c r="G585" s="54"/>
      <c r="H585" s="115"/>
      <c r="I585" s="115"/>
      <c r="J585" s="54"/>
      <c r="K585" s="115"/>
      <c r="L585" s="115"/>
    </row>
    <row r="586">
      <c r="A586" s="115"/>
      <c r="B586" s="115"/>
      <c r="C586" s="54"/>
      <c r="D586" s="54"/>
      <c r="E586" s="115"/>
      <c r="F586" s="223"/>
      <c r="G586" s="54"/>
      <c r="H586" s="115"/>
      <c r="I586" s="115"/>
      <c r="J586" s="54"/>
      <c r="K586" s="115"/>
      <c r="L586" s="115"/>
    </row>
    <row r="587">
      <c r="A587" s="115"/>
      <c r="B587" s="115"/>
      <c r="C587" s="54"/>
      <c r="D587" s="54"/>
      <c r="E587" s="115"/>
      <c r="F587" s="223"/>
      <c r="G587" s="54"/>
      <c r="H587" s="115"/>
      <c r="I587" s="115"/>
      <c r="J587" s="54"/>
      <c r="K587" s="115"/>
      <c r="L587" s="115"/>
    </row>
    <row r="588">
      <c r="A588" s="115"/>
      <c r="B588" s="115"/>
      <c r="C588" s="54"/>
      <c r="D588" s="54"/>
      <c r="E588" s="115"/>
      <c r="F588" s="223"/>
      <c r="G588" s="54"/>
      <c r="H588" s="115"/>
      <c r="I588" s="115"/>
      <c r="J588" s="54"/>
      <c r="K588" s="115"/>
      <c r="L588" s="115"/>
    </row>
    <row r="589">
      <c r="A589" s="115"/>
      <c r="B589" s="115"/>
      <c r="C589" s="54"/>
      <c r="D589" s="54"/>
      <c r="E589" s="115"/>
      <c r="F589" s="223"/>
      <c r="G589" s="54"/>
      <c r="H589" s="115"/>
      <c r="I589" s="115"/>
      <c r="J589" s="54"/>
      <c r="K589" s="115"/>
      <c r="L589" s="115"/>
    </row>
    <row r="590">
      <c r="A590" s="115"/>
      <c r="B590" s="115"/>
      <c r="C590" s="54"/>
      <c r="D590" s="54"/>
      <c r="E590" s="115"/>
      <c r="F590" s="223"/>
      <c r="G590" s="54"/>
      <c r="H590" s="115"/>
      <c r="I590" s="115"/>
      <c r="J590" s="54"/>
      <c r="K590" s="115"/>
      <c r="L590" s="115"/>
    </row>
    <row r="591">
      <c r="A591" s="115"/>
      <c r="B591" s="115"/>
      <c r="C591" s="54"/>
      <c r="D591" s="54"/>
      <c r="E591" s="115"/>
      <c r="F591" s="223"/>
      <c r="G591" s="54"/>
      <c r="H591" s="115"/>
      <c r="I591" s="115"/>
      <c r="J591" s="54"/>
      <c r="K591" s="115"/>
      <c r="L591" s="115"/>
    </row>
    <row r="592">
      <c r="A592" s="115"/>
      <c r="B592" s="115"/>
      <c r="C592" s="54"/>
      <c r="D592" s="54"/>
      <c r="E592" s="115"/>
      <c r="F592" s="223"/>
      <c r="G592" s="54"/>
      <c r="H592" s="115"/>
      <c r="I592" s="115"/>
      <c r="J592" s="54"/>
      <c r="K592" s="115"/>
      <c r="L592" s="115"/>
    </row>
    <row r="593">
      <c r="A593" s="115"/>
      <c r="B593" s="115"/>
      <c r="C593" s="54"/>
      <c r="D593" s="54"/>
      <c r="E593" s="115"/>
      <c r="F593" s="223"/>
      <c r="G593" s="54"/>
      <c r="H593" s="115"/>
      <c r="I593" s="115"/>
      <c r="J593" s="54"/>
      <c r="K593" s="115"/>
      <c r="L593" s="115"/>
    </row>
    <row r="594">
      <c r="A594" s="115"/>
      <c r="B594" s="115"/>
      <c r="C594" s="54"/>
      <c r="D594" s="54"/>
      <c r="E594" s="115"/>
      <c r="F594" s="223"/>
      <c r="G594" s="54"/>
      <c r="H594" s="115"/>
      <c r="I594" s="115"/>
      <c r="J594" s="54"/>
      <c r="K594" s="115"/>
      <c r="L594" s="115"/>
    </row>
    <row r="595">
      <c r="A595" s="115"/>
      <c r="B595" s="115"/>
      <c r="C595" s="54"/>
      <c r="D595" s="54"/>
      <c r="E595" s="115"/>
      <c r="F595" s="223"/>
      <c r="G595" s="54"/>
      <c r="H595" s="115"/>
      <c r="I595" s="115"/>
      <c r="J595" s="54"/>
      <c r="K595" s="115"/>
      <c r="L595" s="115"/>
    </row>
    <row r="596">
      <c r="A596" s="115"/>
      <c r="B596" s="115"/>
      <c r="C596" s="54"/>
      <c r="D596" s="54"/>
      <c r="E596" s="115"/>
      <c r="F596" s="223"/>
      <c r="G596" s="54"/>
      <c r="H596" s="115"/>
      <c r="I596" s="115"/>
      <c r="J596" s="54"/>
      <c r="K596" s="115"/>
      <c r="L596" s="115"/>
    </row>
    <row r="597">
      <c r="A597" s="115"/>
      <c r="B597" s="115"/>
      <c r="C597" s="54"/>
      <c r="D597" s="54"/>
      <c r="E597" s="115"/>
      <c r="F597" s="223"/>
      <c r="G597" s="54"/>
      <c r="H597" s="115"/>
      <c r="I597" s="115"/>
      <c r="J597" s="54"/>
      <c r="K597" s="115"/>
      <c r="L597" s="115"/>
    </row>
    <row r="598">
      <c r="A598" s="115"/>
      <c r="B598" s="115"/>
      <c r="C598" s="54"/>
      <c r="D598" s="54"/>
      <c r="E598" s="115"/>
      <c r="F598" s="223"/>
      <c r="G598" s="54"/>
      <c r="H598" s="115"/>
      <c r="I598" s="115"/>
      <c r="J598" s="54"/>
      <c r="K598" s="115"/>
      <c r="L598" s="115"/>
    </row>
    <row r="599">
      <c r="A599" s="115"/>
      <c r="B599" s="115"/>
      <c r="C599" s="54"/>
      <c r="D599" s="54"/>
      <c r="E599" s="115"/>
      <c r="F599" s="223"/>
      <c r="G599" s="54"/>
      <c r="H599" s="115"/>
      <c r="I599" s="115"/>
      <c r="J599" s="54"/>
      <c r="K599" s="115"/>
      <c r="L599" s="115"/>
    </row>
    <row r="600">
      <c r="A600" s="115"/>
      <c r="B600" s="115"/>
      <c r="C600" s="54"/>
      <c r="D600" s="54"/>
      <c r="E600" s="115"/>
      <c r="F600" s="223"/>
      <c r="G600" s="54"/>
      <c r="H600" s="115"/>
      <c r="I600" s="115"/>
      <c r="J600" s="54"/>
      <c r="K600" s="115"/>
      <c r="L600" s="115"/>
    </row>
    <row r="601">
      <c r="A601" s="115"/>
      <c r="B601" s="115"/>
      <c r="C601" s="54"/>
      <c r="D601" s="54"/>
      <c r="E601" s="115"/>
      <c r="F601" s="223"/>
      <c r="G601" s="54"/>
      <c r="H601" s="115"/>
      <c r="I601" s="115"/>
      <c r="J601" s="54"/>
      <c r="K601" s="115"/>
      <c r="L601" s="115"/>
    </row>
    <row r="602">
      <c r="A602" s="115"/>
      <c r="B602" s="115"/>
      <c r="C602" s="54"/>
      <c r="D602" s="54"/>
      <c r="E602" s="115"/>
      <c r="F602" s="223"/>
      <c r="G602" s="54"/>
      <c r="H602" s="115"/>
      <c r="I602" s="115"/>
      <c r="J602" s="54"/>
      <c r="K602" s="115"/>
      <c r="L602" s="115"/>
    </row>
    <row r="603">
      <c r="A603" s="115"/>
      <c r="B603" s="115"/>
      <c r="C603" s="54"/>
      <c r="D603" s="54"/>
      <c r="E603" s="115"/>
      <c r="F603" s="223"/>
      <c r="G603" s="54"/>
      <c r="H603" s="115"/>
      <c r="I603" s="115"/>
      <c r="J603" s="54"/>
      <c r="K603" s="115"/>
      <c r="L603" s="115"/>
    </row>
    <row r="604">
      <c r="A604" s="115"/>
      <c r="B604" s="115"/>
      <c r="C604" s="54"/>
      <c r="D604" s="54"/>
      <c r="E604" s="115"/>
      <c r="F604" s="223"/>
      <c r="G604" s="54"/>
      <c r="H604" s="115"/>
      <c r="I604" s="115"/>
      <c r="J604" s="54"/>
      <c r="K604" s="115"/>
      <c r="L604" s="115"/>
    </row>
    <row r="605">
      <c r="A605" s="115"/>
      <c r="B605" s="115"/>
      <c r="C605" s="54"/>
      <c r="D605" s="54"/>
      <c r="E605" s="115"/>
      <c r="F605" s="223"/>
      <c r="G605" s="54"/>
      <c r="H605" s="115"/>
      <c r="I605" s="115"/>
      <c r="J605" s="54"/>
      <c r="K605" s="115"/>
      <c r="L605" s="115"/>
    </row>
    <row r="606">
      <c r="A606" s="115"/>
      <c r="B606" s="115"/>
      <c r="C606" s="54"/>
      <c r="D606" s="54"/>
      <c r="E606" s="115"/>
      <c r="F606" s="223"/>
      <c r="G606" s="54"/>
      <c r="H606" s="115"/>
      <c r="I606" s="115"/>
      <c r="J606" s="54"/>
      <c r="K606" s="115"/>
      <c r="L606" s="115"/>
    </row>
    <row r="607">
      <c r="A607" s="115"/>
      <c r="B607" s="115"/>
      <c r="C607" s="54"/>
      <c r="D607" s="54"/>
      <c r="E607" s="115"/>
      <c r="F607" s="223"/>
      <c r="G607" s="54"/>
      <c r="H607" s="115"/>
      <c r="I607" s="115"/>
      <c r="J607" s="54"/>
      <c r="K607" s="115"/>
      <c r="L607" s="115"/>
    </row>
    <row r="608">
      <c r="A608" s="115"/>
      <c r="B608" s="115"/>
      <c r="C608" s="54"/>
      <c r="D608" s="54"/>
      <c r="E608" s="115"/>
      <c r="F608" s="223"/>
      <c r="G608" s="54"/>
      <c r="H608" s="115"/>
      <c r="I608" s="115"/>
      <c r="J608" s="54"/>
      <c r="K608" s="115"/>
      <c r="L608" s="115"/>
    </row>
    <row r="609">
      <c r="A609" s="115"/>
      <c r="B609" s="115"/>
      <c r="C609" s="54"/>
      <c r="D609" s="54"/>
      <c r="E609" s="115"/>
      <c r="F609" s="223"/>
      <c r="G609" s="54"/>
      <c r="H609" s="115"/>
      <c r="I609" s="115"/>
      <c r="J609" s="54"/>
      <c r="K609" s="115"/>
      <c r="L609" s="115"/>
    </row>
    <row r="610">
      <c r="A610" s="115"/>
      <c r="B610" s="115"/>
      <c r="C610" s="54"/>
      <c r="D610" s="54"/>
      <c r="E610" s="115"/>
      <c r="F610" s="223"/>
      <c r="G610" s="54"/>
      <c r="H610" s="115"/>
      <c r="I610" s="115"/>
      <c r="J610" s="54"/>
      <c r="K610" s="115"/>
      <c r="L610" s="115"/>
    </row>
    <row r="611">
      <c r="A611" s="115"/>
      <c r="B611" s="115"/>
      <c r="C611" s="54"/>
      <c r="D611" s="54"/>
      <c r="E611" s="115"/>
      <c r="F611" s="223"/>
      <c r="G611" s="54"/>
      <c r="H611" s="115"/>
      <c r="I611" s="115"/>
      <c r="J611" s="54"/>
      <c r="K611" s="115"/>
      <c r="L611" s="115"/>
    </row>
    <row r="612">
      <c r="A612" s="115"/>
      <c r="B612" s="115"/>
      <c r="C612" s="54"/>
      <c r="D612" s="54"/>
      <c r="E612" s="115"/>
      <c r="F612" s="223"/>
      <c r="G612" s="54"/>
      <c r="H612" s="115"/>
      <c r="I612" s="115"/>
      <c r="J612" s="54"/>
      <c r="K612" s="115"/>
      <c r="L612" s="115"/>
    </row>
    <row r="613">
      <c r="A613" s="115"/>
      <c r="B613" s="115"/>
      <c r="C613" s="54"/>
      <c r="D613" s="54"/>
      <c r="E613" s="115"/>
      <c r="F613" s="223"/>
      <c r="G613" s="54"/>
      <c r="H613" s="115"/>
      <c r="I613" s="115"/>
      <c r="J613" s="54"/>
      <c r="K613" s="115"/>
      <c r="L613" s="115"/>
    </row>
    <row r="614">
      <c r="A614" s="115"/>
      <c r="B614" s="115"/>
      <c r="C614" s="54"/>
      <c r="D614" s="54"/>
      <c r="E614" s="115"/>
      <c r="F614" s="223"/>
      <c r="G614" s="54"/>
      <c r="H614" s="115"/>
      <c r="I614" s="115"/>
      <c r="J614" s="54"/>
      <c r="K614" s="115"/>
      <c r="L614" s="115"/>
    </row>
    <row r="615">
      <c r="A615" s="115"/>
      <c r="B615" s="115"/>
      <c r="C615" s="54"/>
      <c r="D615" s="54"/>
      <c r="E615" s="115"/>
      <c r="F615" s="223"/>
      <c r="G615" s="54"/>
      <c r="H615" s="115"/>
      <c r="I615" s="115"/>
      <c r="J615" s="54"/>
      <c r="K615" s="115"/>
      <c r="L615" s="115"/>
    </row>
    <row r="616">
      <c r="A616" s="115"/>
      <c r="B616" s="115"/>
      <c r="C616" s="54"/>
      <c r="D616" s="54"/>
      <c r="E616" s="115"/>
      <c r="F616" s="223"/>
      <c r="G616" s="54"/>
      <c r="H616" s="115"/>
      <c r="I616" s="115"/>
      <c r="J616" s="54"/>
      <c r="K616" s="115"/>
      <c r="L616" s="115"/>
    </row>
    <row r="617">
      <c r="A617" s="115"/>
      <c r="B617" s="115"/>
      <c r="C617" s="54"/>
      <c r="D617" s="54"/>
      <c r="E617" s="115"/>
      <c r="F617" s="223"/>
      <c r="G617" s="54"/>
      <c r="H617" s="115"/>
      <c r="I617" s="115"/>
      <c r="J617" s="54"/>
      <c r="K617" s="115"/>
      <c r="L617" s="115"/>
    </row>
    <row r="618">
      <c r="A618" s="115"/>
      <c r="B618" s="115"/>
      <c r="C618" s="54"/>
      <c r="D618" s="54"/>
      <c r="E618" s="115"/>
      <c r="F618" s="223"/>
      <c r="G618" s="54"/>
      <c r="H618" s="115"/>
      <c r="I618" s="115"/>
      <c r="J618" s="54"/>
      <c r="K618" s="115"/>
      <c r="L618" s="115"/>
    </row>
    <row r="619">
      <c r="A619" s="115"/>
      <c r="B619" s="115"/>
      <c r="C619" s="54"/>
      <c r="D619" s="54"/>
      <c r="E619" s="115"/>
      <c r="F619" s="223"/>
      <c r="G619" s="54"/>
      <c r="H619" s="115"/>
      <c r="I619" s="115"/>
      <c r="J619" s="54"/>
      <c r="K619" s="115"/>
      <c r="L619" s="115"/>
    </row>
    <row r="620">
      <c r="A620" s="115"/>
      <c r="B620" s="115"/>
      <c r="C620" s="54"/>
      <c r="D620" s="54"/>
      <c r="E620" s="115"/>
      <c r="F620" s="223"/>
      <c r="G620" s="54"/>
      <c r="H620" s="115"/>
      <c r="I620" s="115"/>
      <c r="J620" s="54"/>
      <c r="K620" s="115"/>
      <c r="L620" s="115"/>
    </row>
    <row r="621">
      <c r="A621" s="115"/>
      <c r="B621" s="115"/>
      <c r="C621" s="54"/>
      <c r="D621" s="54"/>
      <c r="E621" s="115"/>
      <c r="F621" s="223"/>
      <c r="G621" s="54"/>
      <c r="H621" s="115"/>
      <c r="I621" s="115"/>
      <c r="J621" s="54"/>
      <c r="K621" s="115"/>
      <c r="L621" s="115"/>
    </row>
    <row r="622">
      <c r="A622" s="115"/>
      <c r="B622" s="115"/>
      <c r="C622" s="54"/>
      <c r="D622" s="54"/>
      <c r="E622" s="115"/>
      <c r="F622" s="223"/>
      <c r="G622" s="54"/>
      <c r="H622" s="115"/>
      <c r="I622" s="115"/>
      <c r="J622" s="54"/>
      <c r="K622" s="115"/>
      <c r="L622" s="115"/>
    </row>
    <row r="623">
      <c r="A623" s="115"/>
      <c r="B623" s="115"/>
      <c r="C623" s="54"/>
      <c r="D623" s="54"/>
      <c r="E623" s="115"/>
      <c r="F623" s="223"/>
      <c r="G623" s="54"/>
      <c r="H623" s="115"/>
      <c r="I623" s="115"/>
      <c r="J623" s="54"/>
      <c r="K623" s="115"/>
      <c r="L623" s="115"/>
    </row>
    <row r="624">
      <c r="A624" s="115"/>
      <c r="B624" s="115"/>
      <c r="C624" s="54"/>
      <c r="D624" s="54"/>
      <c r="E624" s="115"/>
      <c r="F624" s="223"/>
      <c r="G624" s="54"/>
      <c r="H624" s="115"/>
      <c r="I624" s="115"/>
      <c r="J624" s="54"/>
      <c r="K624" s="115"/>
      <c r="L624" s="115"/>
    </row>
    <row r="625">
      <c r="A625" s="115"/>
      <c r="B625" s="115"/>
      <c r="C625" s="54"/>
      <c r="D625" s="54"/>
      <c r="E625" s="115"/>
      <c r="F625" s="223"/>
      <c r="G625" s="54"/>
      <c r="H625" s="115"/>
      <c r="I625" s="115"/>
      <c r="J625" s="54"/>
      <c r="K625" s="115"/>
      <c r="L625" s="115"/>
    </row>
    <row r="626">
      <c r="A626" s="115"/>
      <c r="B626" s="115"/>
      <c r="C626" s="54"/>
      <c r="D626" s="54"/>
      <c r="E626" s="115"/>
      <c r="F626" s="223"/>
      <c r="G626" s="54"/>
      <c r="H626" s="115"/>
      <c r="I626" s="115"/>
      <c r="J626" s="54"/>
      <c r="K626" s="115"/>
      <c r="L626" s="115"/>
    </row>
    <row r="627">
      <c r="A627" s="115"/>
      <c r="B627" s="115"/>
      <c r="C627" s="54"/>
      <c r="D627" s="54"/>
      <c r="E627" s="115"/>
      <c r="F627" s="223"/>
      <c r="G627" s="54"/>
      <c r="H627" s="115"/>
      <c r="I627" s="115"/>
      <c r="J627" s="54"/>
      <c r="K627" s="115"/>
      <c r="L627" s="115"/>
    </row>
    <row r="628">
      <c r="A628" s="115"/>
      <c r="B628" s="115"/>
      <c r="C628" s="54"/>
      <c r="D628" s="54"/>
      <c r="E628" s="115"/>
      <c r="F628" s="223"/>
      <c r="G628" s="54"/>
      <c r="H628" s="115"/>
      <c r="I628" s="115"/>
      <c r="J628" s="54"/>
      <c r="K628" s="115"/>
      <c r="L628" s="115"/>
    </row>
    <row r="629">
      <c r="A629" s="115"/>
      <c r="B629" s="115"/>
      <c r="C629" s="54"/>
      <c r="D629" s="54"/>
      <c r="E629" s="115"/>
      <c r="F629" s="223"/>
      <c r="G629" s="54"/>
      <c r="H629" s="115"/>
      <c r="I629" s="115"/>
      <c r="J629" s="54"/>
      <c r="K629" s="115"/>
      <c r="L629" s="115"/>
    </row>
    <row r="630">
      <c r="A630" s="115"/>
      <c r="B630" s="115"/>
      <c r="C630" s="54"/>
      <c r="D630" s="54"/>
      <c r="E630" s="115"/>
      <c r="F630" s="223"/>
      <c r="G630" s="54"/>
      <c r="H630" s="115"/>
      <c r="I630" s="115"/>
      <c r="J630" s="54"/>
      <c r="K630" s="115"/>
      <c r="L630" s="115"/>
    </row>
    <row r="631">
      <c r="A631" s="115"/>
      <c r="B631" s="115"/>
      <c r="C631" s="54"/>
      <c r="D631" s="54"/>
      <c r="E631" s="115"/>
      <c r="F631" s="223"/>
      <c r="G631" s="54"/>
      <c r="H631" s="115"/>
      <c r="I631" s="115"/>
      <c r="J631" s="54"/>
      <c r="K631" s="115"/>
      <c r="L631" s="115"/>
    </row>
    <row r="632">
      <c r="A632" s="115"/>
      <c r="B632" s="115"/>
      <c r="C632" s="54"/>
      <c r="D632" s="54"/>
      <c r="E632" s="115"/>
      <c r="F632" s="223"/>
      <c r="G632" s="54"/>
      <c r="H632" s="115"/>
      <c r="I632" s="115"/>
      <c r="J632" s="54"/>
      <c r="K632" s="115"/>
      <c r="L632" s="115"/>
    </row>
    <row r="633">
      <c r="A633" s="115"/>
      <c r="B633" s="115"/>
      <c r="C633" s="54"/>
      <c r="D633" s="54"/>
      <c r="E633" s="115"/>
      <c r="F633" s="223"/>
      <c r="G633" s="54"/>
      <c r="H633" s="115"/>
      <c r="I633" s="115"/>
      <c r="J633" s="54"/>
      <c r="K633" s="115"/>
      <c r="L633" s="115"/>
    </row>
    <row r="634">
      <c r="A634" s="115"/>
      <c r="B634" s="115"/>
      <c r="C634" s="54"/>
      <c r="D634" s="54"/>
      <c r="E634" s="115"/>
      <c r="F634" s="223"/>
      <c r="G634" s="54"/>
      <c r="H634" s="115"/>
      <c r="I634" s="115"/>
      <c r="J634" s="54"/>
      <c r="K634" s="115"/>
      <c r="L634" s="115"/>
    </row>
    <row r="635">
      <c r="A635" s="115"/>
      <c r="B635" s="115"/>
      <c r="C635" s="54"/>
      <c r="D635" s="54"/>
      <c r="E635" s="115"/>
      <c r="F635" s="223"/>
      <c r="G635" s="54"/>
      <c r="H635" s="115"/>
      <c r="I635" s="115"/>
      <c r="J635" s="54"/>
      <c r="K635" s="115"/>
      <c r="L635" s="115"/>
    </row>
    <row r="636">
      <c r="A636" s="115"/>
      <c r="B636" s="115"/>
      <c r="C636" s="54"/>
      <c r="D636" s="54"/>
      <c r="E636" s="115"/>
      <c r="F636" s="223"/>
      <c r="G636" s="54"/>
      <c r="H636" s="115"/>
      <c r="I636" s="115"/>
      <c r="J636" s="54"/>
      <c r="K636" s="115"/>
      <c r="L636" s="115"/>
    </row>
    <row r="637">
      <c r="A637" s="115"/>
      <c r="B637" s="115"/>
      <c r="C637" s="54"/>
      <c r="D637" s="54"/>
      <c r="E637" s="115"/>
      <c r="F637" s="223"/>
      <c r="G637" s="54"/>
      <c r="H637" s="115"/>
      <c r="I637" s="115"/>
      <c r="J637" s="54"/>
      <c r="K637" s="115"/>
      <c r="L637" s="115"/>
    </row>
    <row r="638">
      <c r="A638" s="115"/>
      <c r="B638" s="115"/>
      <c r="C638" s="54"/>
      <c r="D638" s="54"/>
      <c r="E638" s="115"/>
      <c r="F638" s="223"/>
      <c r="G638" s="54"/>
      <c r="H638" s="115"/>
      <c r="I638" s="115"/>
      <c r="J638" s="54"/>
      <c r="K638" s="115"/>
      <c r="L638" s="115"/>
    </row>
    <row r="639">
      <c r="A639" s="115"/>
      <c r="B639" s="115"/>
      <c r="C639" s="54"/>
      <c r="D639" s="54"/>
      <c r="E639" s="115"/>
      <c r="F639" s="223"/>
      <c r="G639" s="54"/>
      <c r="H639" s="115"/>
      <c r="I639" s="115"/>
      <c r="J639" s="54"/>
      <c r="K639" s="115"/>
      <c r="L639" s="115"/>
    </row>
    <row r="640">
      <c r="A640" s="115"/>
      <c r="B640" s="115"/>
      <c r="C640" s="54"/>
      <c r="D640" s="54"/>
      <c r="E640" s="115"/>
      <c r="F640" s="223"/>
      <c r="G640" s="54"/>
      <c r="H640" s="115"/>
      <c r="I640" s="115"/>
      <c r="J640" s="54"/>
      <c r="K640" s="115"/>
      <c r="L640" s="115"/>
    </row>
    <row r="641">
      <c r="A641" s="115"/>
      <c r="B641" s="115"/>
      <c r="C641" s="54"/>
      <c r="D641" s="54"/>
      <c r="E641" s="115"/>
      <c r="F641" s="223"/>
      <c r="G641" s="54"/>
      <c r="H641" s="115"/>
      <c r="I641" s="115"/>
      <c r="J641" s="54"/>
      <c r="K641" s="115"/>
      <c r="L641" s="115"/>
    </row>
    <row r="642">
      <c r="A642" s="115"/>
      <c r="B642" s="115"/>
      <c r="C642" s="54"/>
      <c r="D642" s="54"/>
      <c r="E642" s="115"/>
      <c r="F642" s="223"/>
      <c r="G642" s="54"/>
      <c r="H642" s="115"/>
      <c r="I642" s="115"/>
      <c r="J642" s="54"/>
      <c r="K642" s="115"/>
      <c r="L642" s="115"/>
    </row>
    <row r="643">
      <c r="A643" s="115"/>
      <c r="B643" s="115"/>
      <c r="C643" s="54"/>
      <c r="D643" s="54"/>
      <c r="E643" s="115"/>
      <c r="F643" s="223"/>
      <c r="G643" s="54"/>
      <c r="H643" s="115"/>
      <c r="I643" s="115"/>
      <c r="J643" s="54"/>
      <c r="K643" s="115"/>
      <c r="L643" s="115"/>
    </row>
    <row r="644">
      <c r="A644" s="115"/>
      <c r="B644" s="115"/>
      <c r="C644" s="54"/>
      <c r="D644" s="54"/>
      <c r="E644" s="115"/>
      <c r="F644" s="223"/>
      <c r="G644" s="54"/>
      <c r="H644" s="115"/>
      <c r="I644" s="115"/>
      <c r="J644" s="54"/>
      <c r="K644" s="115"/>
      <c r="L644" s="115"/>
    </row>
    <row r="645">
      <c r="A645" s="115"/>
      <c r="B645" s="115"/>
      <c r="C645" s="54"/>
      <c r="D645" s="54"/>
      <c r="E645" s="115"/>
      <c r="F645" s="223"/>
      <c r="G645" s="54"/>
      <c r="H645" s="115"/>
      <c r="I645" s="115"/>
      <c r="J645" s="54"/>
      <c r="K645" s="115"/>
      <c r="L645" s="115"/>
    </row>
    <row r="646">
      <c r="A646" s="115"/>
      <c r="B646" s="115"/>
      <c r="C646" s="54"/>
      <c r="D646" s="54"/>
      <c r="E646" s="115"/>
      <c r="F646" s="223"/>
      <c r="G646" s="54"/>
      <c r="H646" s="115"/>
      <c r="I646" s="115"/>
      <c r="J646" s="54"/>
      <c r="K646" s="115"/>
      <c r="L646" s="115"/>
    </row>
    <row r="647">
      <c r="A647" s="115"/>
      <c r="B647" s="115"/>
      <c r="C647" s="54"/>
      <c r="D647" s="54"/>
      <c r="E647" s="115"/>
      <c r="F647" s="223"/>
      <c r="G647" s="54"/>
      <c r="H647" s="115"/>
      <c r="I647" s="115"/>
      <c r="J647" s="54"/>
      <c r="K647" s="115"/>
      <c r="L647" s="115"/>
    </row>
    <row r="648">
      <c r="A648" s="115"/>
      <c r="B648" s="115"/>
      <c r="C648" s="54"/>
      <c r="D648" s="54"/>
      <c r="E648" s="115"/>
      <c r="F648" s="223"/>
      <c r="G648" s="54"/>
      <c r="H648" s="115"/>
      <c r="I648" s="115"/>
      <c r="J648" s="54"/>
      <c r="K648" s="115"/>
      <c r="L648" s="115"/>
    </row>
    <row r="649">
      <c r="A649" s="115"/>
      <c r="B649" s="115"/>
      <c r="C649" s="54"/>
      <c r="D649" s="54"/>
      <c r="E649" s="115"/>
      <c r="F649" s="223"/>
      <c r="G649" s="54"/>
      <c r="H649" s="115"/>
      <c r="I649" s="115"/>
      <c r="J649" s="54"/>
      <c r="K649" s="115"/>
      <c r="L649" s="115"/>
    </row>
    <row r="650">
      <c r="A650" s="115"/>
      <c r="B650" s="115"/>
      <c r="C650" s="54"/>
      <c r="D650" s="54"/>
      <c r="E650" s="115"/>
      <c r="F650" s="223"/>
      <c r="G650" s="54"/>
      <c r="H650" s="115"/>
      <c r="I650" s="115"/>
      <c r="J650" s="54"/>
      <c r="K650" s="115"/>
      <c r="L650" s="115"/>
    </row>
    <row r="651">
      <c r="A651" s="115"/>
      <c r="B651" s="115"/>
      <c r="C651" s="54"/>
      <c r="D651" s="54"/>
      <c r="E651" s="115"/>
      <c r="F651" s="223"/>
      <c r="G651" s="54"/>
      <c r="H651" s="115"/>
      <c r="I651" s="115"/>
      <c r="J651" s="54"/>
      <c r="K651" s="115"/>
      <c r="L651" s="115"/>
    </row>
    <row r="652">
      <c r="A652" s="115"/>
      <c r="B652" s="115"/>
      <c r="C652" s="54"/>
      <c r="D652" s="54"/>
      <c r="E652" s="115"/>
      <c r="F652" s="223"/>
      <c r="G652" s="54"/>
      <c r="H652" s="115"/>
      <c r="I652" s="115"/>
      <c r="J652" s="54"/>
      <c r="K652" s="115"/>
      <c r="L652" s="115"/>
    </row>
    <row r="653">
      <c r="A653" s="115"/>
      <c r="B653" s="115"/>
      <c r="C653" s="54"/>
      <c r="D653" s="54"/>
      <c r="E653" s="115"/>
      <c r="F653" s="223"/>
      <c r="G653" s="54"/>
      <c r="H653" s="115"/>
      <c r="I653" s="115"/>
      <c r="J653" s="54"/>
      <c r="K653" s="115"/>
      <c r="L653" s="115"/>
    </row>
    <row r="654">
      <c r="A654" s="115"/>
      <c r="B654" s="115"/>
      <c r="C654" s="54"/>
      <c r="D654" s="54"/>
      <c r="E654" s="115"/>
      <c r="F654" s="223"/>
      <c r="G654" s="54"/>
      <c r="H654" s="115"/>
      <c r="I654" s="115"/>
      <c r="J654" s="54"/>
      <c r="K654" s="115"/>
      <c r="L654" s="115"/>
    </row>
    <row r="655">
      <c r="A655" s="115"/>
      <c r="B655" s="115"/>
      <c r="C655" s="54"/>
      <c r="D655" s="54"/>
      <c r="E655" s="115"/>
      <c r="F655" s="223"/>
      <c r="G655" s="54"/>
      <c r="H655" s="115"/>
      <c r="I655" s="115"/>
      <c r="J655" s="54"/>
      <c r="K655" s="115"/>
      <c r="L655" s="115"/>
    </row>
    <row r="656">
      <c r="A656" s="115"/>
      <c r="B656" s="115"/>
      <c r="C656" s="54"/>
      <c r="D656" s="54"/>
      <c r="E656" s="115"/>
      <c r="F656" s="223"/>
      <c r="G656" s="54"/>
      <c r="H656" s="115"/>
      <c r="I656" s="115"/>
      <c r="J656" s="54"/>
      <c r="K656" s="115"/>
      <c r="L656" s="115"/>
    </row>
    <row r="657">
      <c r="A657" s="115"/>
      <c r="B657" s="115"/>
      <c r="C657" s="54"/>
      <c r="D657" s="54"/>
      <c r="E657" s="115"/>
      <c r="F657" s="223"/>
      <c r="G657" s="54"/>
      <c r="H657" s="115"/>
      <c r="I657" s="115"/>
      <c r="J657" s="54"/>
      <c r="K657" s="115"/>
      <c r="L657" s="115"/>
    </row>
    <row r="658">
      <c r="A658" s="115"/>
      <c r="B658" s="115"/>
      <c r="C658" s="54"/>
      <c r="D658" s="54"/>
      <c r="E658" s="115"/>
      <c r="F658" s="223"/>
      <c r="G658" s="54"/>
      <c r="H658" s="115"/>
      <c r="I658" s="115"/>
      <c r="J658" s="54"/>
      <c r="K658" s="115"/>
      <c r="L658" s="115"/>
    </row>
    <row r="659">
      <c r="A659" s="115"/>
      <c r="B659" s="115"/>
      <c r="C659" s="54"/>
      <c r="D659" s="54"/>
      <c r="E659" s="115"/>
      <c r="F659" s="223"/>
      <c r="G659" s="54"/>
      <c r="H659" s="115"/>
      <c r="I659" s="115"/>
      <c r="J659" s="54"/>
      <c r="K659" s="115"/>
      <c r="L659" s="115"/>
    </row>
    <row r="660">
      <c r="A660" s="115"/>
      <c r="B660" s="115"/>
      <c r="C660" s="54"/>
      <c r="D660" s="54"/>
      <c r="E660" s="115"/>
      <c r="F660" s="223"/>
      <c r="G660" s="54"/>
      <c r="H660" s="115"/>
      <c r="I660" s="115"/>
      <c r="J660" s="54"/>
      <c r="K660" s="115"/>
      <c r="L660" s="115"/>
    </row>
    <row r="661">
      <c r="A661" s="115"/>
      <c r="B661" s="115"/>
      <c r="C661" s="54"/>
      <c r="D661" s="54"/>
      <c r="E661" s="115"/>
      <c r="F661" s="223"/>
      <c r="G661" s="54"/>
      <c r="H661" s="115"/>
      <c r="I661" s="115"/>
      <c r="J661" s="54"/>
      <c r="K661" s="115"/>
      <c r="L661" s="115"/>
    </row>
    <row r="662">
      <c r="A662" s="115"/>
      <c r="B662" s="115"/>
      <c r="C662" s="54"/>
      <c r="D662" s="54"/>
      <c r="E662" s="115"/>
      <c r="F662" s="223"/>
      <c r="G662" s="54"/>
      <c r="H662" s="115"/>
      <c r="I662" s="115"/>
      <c r="J662" s="54"/>
      <c r="K662" s="115"/>
      <c r="L662" s="115"/>
    </row>
    <row r="663">
      <c r="A663" s="115"/>
      <c r="B663" s="115"/>
      <c r="C663" s="54"/>
      <c r="D663" s="54"/>
      <c r="E663" s="115"/>
      <c r="F663" s="223"/>
      <c r="G663" s="54"/>
      <c r="H663" s="115"/>
      <c r="I663" s="115"/>
      <c r="J663" s="54"/>
      <c r="K663" s="115"/>
      <c r="L663" s="115"/>
    </row>
    <row r="664">
      <c r="A664" s="115"/>
      <c r="B664" s="115"/>
      <c r="C664" s="54"/>
      <c r="D664" s="54"/>
      <c r="E664" s="115"/>
      <c r="F664" s="223"/>
      <c r="G664" s="54"/>
      <c r="H664" s="115"/>
      <c r="I664" s="115"/>
      <c r="J664" s="54"/>
      <c r="K664" s="115"/>
      <c r="L664" s="115"/>
    </row>
    <row r="665">
      <c r="A665" s="115"/>
      <c r="B665" s="115"/>
      <c r="C665" s="54"/>
      <c r="D665" s="54"/>
      <c r="E665" s="115"/>
      <c r="F665" s="223"/>
      <c r="G665" s="54"/>
      <c r="H665" s="115"/>
      <c r="I665" s="115"/>
      <c r="J665" s="54"/>
      <c r="K665" s="115"/>
      <c r="L665" s="115"/>
    </row>
    <row r="666">
      <c r="A666" s="115"/>
      <c r="B666" s="115"/>
      <c r="C666" s="54"/>
      <c r="D666" s="54"/>
      <c r="E666" s="115"/>
      <c r="F666" s="223"/>
      <c r="G666" s="54"/>
      <c r="H666" s="115"/>
      <c r="I666" s="115"/>
      <c r="J666" s="54"/>
      <c r="K666" s="115"/>
      <c r="L666" s="115"/>
    </row>
    <row r="667">
      <c r="A667" s="115"/>
      <c r="B667" s="115"/>
      <c r="C667" s="54"/>
      <c r="D667" s="54"/>
      <c r="E667" s="115"/>
      <c r="F667" s="223"/>
      <c r="G667" s="54"/>
      <c r="H667" s="115"/>
      <c r="I667" s="115"/>
      <c r="J667" s="54"/>
      <c r="K667" s="115"/>
      <c r="L667" s="115"/>
    </row>
    <row r="668">
      <c r="A668" s="115"/>
      <c r="B668" s="115"/>
      <c r="C668" s="54"/>
      <c r="D668" s="54"/>
      <c r="E668" s="115"/>
      <c r="F668" s="223"/>
      <c r="G668" s="54"/>
      <c r="H668" s="115"/>
      <c r="I668" s="115"/>
      <c r="J668" s="54"/>
      <c r="K668" s="115"/>
      <c r="L668" s="115"/>
    </row>
    <row r="669">
      <c r="A669" s="115"/>
      <c r="B669" s="115"/>
      <c r="C669" s="54"/>
      <c r="D669" s="54"/>
      <c r="E669" s="115"/>
      <c r="F669" s="223"/>
      <c r="G669" s="54"/>
      <c r="H669" s="115"/>
      <c r="I669" s="115"/>
      <c r="J669" s="54"/>
      <c r="K669" s="115"/>
      <c r="L669" s="115"/>
    </row>
    <row r="670">
      <c r="A670" s="115"/>
      <c r="B670" s="115"/>
      <c r="C670" s="54"/>
      <c r="D670" s="54"/>
      <c r="E670" s="115"/>
      <c r="F670" s="223"/>
      <c r="G670" s="54"/>
      <c r="H670" s="115"/>
      <c r="I670" s="115"/>
      <c r="J670" s="54"/>
      <c r="K670" s="115"/>
      <c r="L670" s="115"/>
    </row>
    <row r="671">
      <c r="A671" s="115"/>
      <c r="B671" s="115"/>
      <c r="C671" s="54"/>
      <c r="D671" s="54"/>
      <c r="E671" s="115"/>
      <c r="F671" s="223"/>
      <c r="G671" s="54"/>
      <c r="H671" s="115"/>
      <c r="I671" s="115"/>
      <c r="J671" s="54"/>
      <c r="K671" s="115"/>
      <c r="L671" s="115"/>
    </row>
    <row r="672">
      <c r="A672" s="115"/>
      <c r="B672" s="115"/>
      <c r="C672" s="54"/>
      <c r="D672" s="54"/>
      <c r="E672" s="115"/>
      <c r="F672" s="223"/>
      <c r="G672" s="54"/>
      <c r="H672" s="115"/>
      <c r="I672" s="115"/>
      <c r="J672" s="54"/>
      <c r="K672" s="115"/>
      <c r="L672" s="115"/>
    </row>
    <row r="673">
      <c r="A673" s="115"/>
      <c r="B673" s="115"/>
      <c r="C673" s="54"/>
      <c r="D673" s="54"/>
      <c r="E673" s="115"/>
      <c r="F673" s="223"/>
      <c r="G673" s="54"/>
      <c r="H673" s="115"/>
      <c r="I673" s="115"/>
      <c r="J673" s="54"/>
      <c r="K673" s="115"/>
      <c r="L673" s="115"/>
    </row>
    <row r="674">
      <c r="A674" s="115"/>
      <c r="B674" s="115"/>
      <c r="C674" s="54"/>
      <c r="D674" s="54"/>
      <c r="E674" s="115"/>
      <c r="F674" s="223"/>
      <c r="G674" s="54"/>
      <c r="H674" s="115"/>
      <c r="I674" s="115"/>
      <c r="J674" s="54"/>
      <c r="K674" s="115"/>
      <c r="L674" s="115"/>
    </row>
    <row r="675">
      <c r="A675" s="115"/>
      <c r="B675" s="115"/>
      <c r="C675" s="54"/>
      <c r="D675" s="54"/>
      <c r="E675" s="115"/>
      <c r="F675" s="223"/>
      <c r="G675" s="54"/>
      <c r="H675" s="115"/>
      <c r="I675" s="115"/>
      <c r="J675" s="54"/>
      <c r="K675" s="115"/>
      <c r="L675" s="115"/>
    </row>
    <row r="676">
      <c r="A676" s="115"/>
      <c r="B676" s="115"/>
      <c r="C676" s="54"/>
      <c r="D676" s="54"/>
      <c r="E676" s="115"/>
      <c r="F676" s="223"/>
      <c r="G676" s="54"/>
      <c r="H676" s="115"/>
      <c r="I676" s="115"/>
      <c r="J676" s="54"/>
      <c r="K676" s="115"/>
      <c r="L676" s="115"/>
    </row>
    <row r="677">
      <c r="A677" s="115"/>
      <c r="B677" s="115"/>
      <c r="C677" s="54"/>
      <c r="D677" s="54"/>
      <c r="E677" s="115"/>
      <c r="F677" s="223"/>
      <c r="G677" s="54"/>
      <c r="H677" s="115"/>
      <c r="I677" s="115"/>
      <c r="J677" s="54"/>
      <c r="K677" s="115"/>
      <c r="L677" s="115"/>
    </row>
    <row r="678">
      <c r="A678" s="115"/>
      <c r="B678" s="115"/>
      <c r="C678" s="54"/>
      <c r="D678" s="54"/>
      <c r="E678" s="115"/>
      <c r="F678" s="223"/>
      <c r="G678" s="54"/>
      <c r="H678" s="115"/>
      <c r="I678" s="115"/>
      <c r="J678" s="54"/>
      <c r="K678" s="115"/>
      <c r="L678" s="115"/>
    </row>
    <row r="679">
      <c r="A679" s="115"/>
      <c r="B679" s="115"/>
      <c r="C679" s="54"/>
      <c r="D679" s="54"/>
      <c r="E679" s="115"/>
      <c r="F679" s="223"/>
      <c r="G679" s="54"/>
      <c r="H679" s="115"/>
      <c r="I679" s="115"/>
      <c r="J679" s="54"/>
      <c r="K679" s="115"/>
      <c r="L679" s="115"/>
    </row>
    <row r="680">
      <c r="A680" s="115"/>
      <c r="B680" s="115"/>
      <c r="C680" s="54"/>
      <c r="D680" s="54"/>
      <c r="E680" s="115"/>
      <c r="F680" s="223"/>
      <c r="G680" s="54"/>
      <c r="H680" s="115"/>
      <c r="I680" s="115"/>
      <c r="J680" s="54"/>
      <c r="K680" s="115"/>
      <c r="L680" s="115"/>
    </row>
    <row r="681">
      <c r="A681" s="115"/>
      <c r="B681" s="115"/>
      <c r="C681" s="54"/>
      <c r="D681" s="54"/>
      <c r="E681" s="115"/>
      <c r="F681" s="223"/>
      <c r="G681" s="54"/>
      <c r="H681" s="115"/>
      <c r="I681" s="115"/>
      <c r="J681" s="54"/>
      <c r="K681" s="115"/>
      <c r="L681" s="115"/>
    </row>
    <row r="682">
      <c r="A682" s="115"/>
      <c r="B682" s="115"/>
      <c r="C682" s="54"/>
      <c r="D682" s="54"/>
      <c r="E682" s="115"/>
      <c r="F682" s="223"/>
      <c r="G682" s="54"/>
      <c r="H682" s="115"/>
      <c r="I682" s="115"/>
      <c r="J682" s="54"/>
      <c r="K682" s="115"/>
      <c r="L682" s="115"/>
    </row>
    <row r="683">
      <c r="A683" s="115"/>
      <c r="B683" s="115"/>
      <c r="C683" s="54"/>
      <c r="D683" s="54"/>
      <c r="E683" s="115"/>
      <c r="F683" s="223"/>
      <c r="G683" s="54"/>
      <c r="H683" s="115"/>
      <c r="I683" s="115"/>
      <c r="J683" s="54"/>
      <c r="K683" s="115"/>
      <c r="L683" s="115"/>
    </row>
    <row r="684">
      <c r="A684" s="115"/>
      <c r="B684" s="115"/>
      <c r="C684" s="54"/>
      <c r="D684" s="54"/>
      <c r="E684" s="115"/>
      <c r="F684" s="223"/>
      <c r="G684" s="54"/>
      <c r="H684" s="115"/>
      <c r="I684" s="115"/>
      <c r="J684" s="54"/>
      <c r="K684" s="115"/>
      <c r="L684" s="115"/>
    </row>
    <row r="685">
      <c r="A685" s="115"/>
      <c r="B685" s="115"/>
      <c r="C685" s="54"/>
      <c r="D685" s="54"/>
      <c r="E685" s="115"/>
      <c r="F685" s="223"/>
      <c r="G685" s="54"/>
      <c r="H685" s="115"/>
      <c r="I685" s="115"/>
      <c r="J685" s="54"/>
      <c r="K685" s="115"/>
      <c r="L685" s="115"/>
    </row>
    <row r="686">
      <c r="A686" s="115"/>
      <c r="B686" s="115"/>
      <c r="C686" s="54"/>
      <c r="D686" s="54"/>
      <c r="E686" s="115"/>
      <c r="F686" s="223"/>
      <c r="G686" s="54"/>
      <c r="H686" s="115"/>
      <c r="I686" s="115"/>
      <c r="J686" s="54"/>
      <c r="K686" s="115"/>
      <c r="L686" s="115"/>
    </row>
    <row r="687">
      <c r="A687" s="115"/>
      <c r="B687" s="115"/>
      <c r="C687" s="54"/>
      <c r="D687" s="54"/>
      <c r="E687" s="115"/>
      <c r="F687" s="223"/>
      <c r="G687" s="54"/>
      <c r="H687" s="115"/>
      <c r="I687" s="115"/>
      <c r="J687" s="54"/>
      <c r="K687" s="115"/>
      <c r="L687" s="115"/>
    </row>
    <row r="688">
      <c r="A688" s="115"/>
      <c r="B688" s="115"/>
      <c r="C688" s="54"/>
      <c r="D688" s="54"/>
      <c r="E688" s="115"/>
      <c r="F688" s="223"/>
      <c r="G688" s="54"/>
      <c r="H688" s="115"/>
      <c r="I688" s="115"/>
      <c r="J688" s="54"/>
      <c r="K688" s="115"/>
      <c r="L688" s="115"/>
    </row>
    <row r="689">
      <c r="A689" s="115"/>
      <c r="B689" s="115"/>
      <c r="C689" s="54"/>
      <c r="D689" s="54"/>
      <c r="E689" s="115"/>
      <c r="F689" s="223"/>
      <c r="G689" s="54"/>
      <c r="H689" s="115"/>
      <c r="I689" s="115"/>
      <c r="J689" s="54"/>
      <c r="K689" s="115"/>
      <c r="L689" s="115"/>
    </row>
    <row r="690">
      <c r="A690" s="115"/>
      <c r="B690" s="115"/>
      <c r="C690" s="54"/>
      <c r="D690" s="54"/>
      <c r="E690" s="115"/>
      <c r="F690" s="223"/>
      <c r="G690" s="54"/>
      <c r="H690" s="115"/>
      <c r="I690" s="115"/>
      <c r="J690" s="54"/>
      <c r="K690" s="115"/>
      <c r="L690" s="115"/>
    </row>
    <row r="691">
      <c r="A691" s="115"/>
      <c r="B691" s="115"/>
      <c r="C691" s="54"/>
      <c r="D691" s="54"/>
      <c r="E691" s="115"/>
      <c r="F691" s="223"/>
      <c r="G691" s="54"/>
      <c r="H691" s="115"/>
      <c r="I691" s="115"/>
      <c r="J691" s="54"/>
      <c r="K691" s="115"/>
      <c r="L691" s="115"/>
    </row>
    <row r="692">
      <c r="A692" s="115"/>
      <c r="B692" s="115"/>
      <c r="C692" s="54"/>
      <c r="D692" s="54"/>
      <c r="E692" s="115"/>
      <c r="F692" s="223"/>
      <c r="G692" s="54"/>
      <c r="H692" s="115"/>
      <c r="I692" s="115"/>
      <c r="J692" s="54"/>
      <c r="K692" s="115"/>
      <c r="L692" s="115"/>
    </row>
    <row r="693">
      <c r="A693" s="115"/>
      <c r="B693" s="115"/>
      <c r="C693" s="54"/>
      <c r="D693" s="54"/>
      <c r="E693" s="115"/>
      <c r="F693" s="223"/>
      <c r="G693" s="54"/>
      <c r="H693" s="115"/>
      <c r="I693" s="115"/>
      <c r="J693" s="54"/>
      <c r="K693" s="115"/>
      <c r="L693" s="115"/>
    </row>
    <row r="694">
      <c r="A694" s="115"/>
      <c r="B694" s="115"/>
      <c r="C694" s="54"/>
      <c r="D694" s="54"/>
      <c r="E694" s="115"/>
      <c r="F694" s="223"/>
      <c r="G694" s="54"/>
      <c r="H694" s="115"/>
      <c r="I694" s="115"/>
      <c r="J694" s="54"/>
      <c r="K694" s="115"/>
      <c r="L694" s="115"/>
    </row>
    <row r="695">
      <c r="A695" s="115"/>
      <c r="B695" s="115"/>
      <c r="C695" s="54"/>
      <c r="D695" s="54"/>
      <c r="E695" s="115"/>
      <c r="F695" s="223"/>
      <c r="G695" s="54"/>
      <c r="H695" s="115"/>
      <c r="I695" s="115"/>
      <c r="J695" s="54"/>
      <c r="K695" s="115"/>
      <c r="L695" s="115"/>
    </row>
    <row r="696">
      <c r="A696" s="115"/>
      <c r="B696" s="115"/>
      <c r="C696" s="54"/>
      <c r="D696" s="54"/>
      <c r="E696" s="115"/>
      <c r="F696" s="223"/>
      <c r="G696" s="54"/>
      <c r="H696" s="115"/>
      <c r="I696" s="115"/>
      <c r="J696" s="54"/>
      <c r="K696" s="115"/>
      <c r="L696" s="115"/>
    </row>
    <row r="697">
      <c r="A697" s="115"/>
      <c r="B697" s="115"/>
      <c r="C697" s="54"/>
      <c r="D697" s="54"/>
      <c r="E697" s="115"/>
      <c r="F697" s="223"/>
      <c r="G697" s="54"/>
      <c r="H697" s="115"/>
      <c r="I697" s="115"/>
      <c r="J697" s="54"/>
      <c r="K697" s="115"/>
      <c r="L697" s="115"/>
    </row>
    <row r="698">
      <c r="A698" s="115"/>
      <c r="B698" s="115"/>
      <c r="C698" s="54"/>
      <c r="D698" s="54"/>
      <c r="E698" s="115"/>
      <c r="F698" s="223"/>
      <c r="G698" s="54"/>
      <c r="H698" s="115"/>
      <c r="I698" s="115"/>
      <c r="J698" s="54"/>
      <c r="K698" s="115"/>
      <c r="L698" s="115"/>
    </row>
    <row r="699">
      <c r="A699" s="115"/>
      <c r="B699" s="115"/>
      <c r="C699" s="54"/>
      <c r="D699" s="54"/>
      <c r="E699" s="115"/>
      <c r="F699" s="223"/>
      <c r="G699" s="54"/>
      <c r="H699" s="115"/>
      <c r="I699" s="115"/>
      <c r="J699" s="54"/>
      <c r="K699" s="115"/>
      <c r="L699" s="115"/>
    </row>
    <row r="700">
      <c r="A700" s="115"/>
      <c r="B700" s="115"/>
      <c r="C700" s="54"/>
      <c r="D700" s="54"/>
      <c r="E700" s="115"/>
      <c r="F700" s="223"/>
      <c r="G700" s="54"/>
      <c r="H700" s="115"/>
      <c r="I700" s="115"/>
      <c r="J700" s="54"/>
      <c r="K700" s="115"/>
      <c r="L700" s="115"/>
    </row>
    <row r="701">
      <c r="A701" s="115"/>
      <c r="B701" s="115"/>
      <c r="C701" s="54"/>
      <c r="D701" s="54"/>
      <c r="E701" s="115"/>
      <c r="F701" s="223"/>
      <c r="G701" s="54"/>
      <c r="H701" s="115"/>
      <c r="I701" s="115"/>
      <c r="J701" s="54"/>
      <c r="K701" s="115"/>
      <c r="L701" s="115"/>
    </row>
    <row r="702">
      <c r="A702" s="115"/>
      <c r="B702" s="115"/>
      <c r="C702" s="54"/>
      <c r="D702" s="54"/>
      <c r="E702" s="115"/>
      <c r="F702" s="223"/>
      <c r="G702" s="54"/>
      <c r="H702" s="115"/>
      <c r="I702" s="115"/>
      <c r="J702" s="54"/>
      <c r="K702" s="115"/>
      <c r="L702" s="115"/>
    </row>
    <row r="703">
      <c r="A703" s="115"/>
      <c r="B703" s="115"/>
      <c r="C703" s="54"/>
      <c r="D703" s="54"/>
      <c r="E703" s="115"/>
      <c r="F703" s="223"/>
      <c r="G703" s="54"/>
      <c r="H703" s="115"/>
      <c r="I703" s="115"/>
      <c r="J703" s="54"/>
      <c r="K703" s="115"/>
      <c r="L703" s="115"/>
    </row>
    <row r="704">
      <c r="A704" s="115"/>
      <c r="B704" s="115"/>
      <c r="C704" s="54"/>
      <c r="D704" s="54"/>
      <c r="E704" s="115"/>
      <c r="F704" s="223"/>
      <c r="G704" s="54"/>
      <c r="H704" s="115"/>
      <c r="I704" s="115"/>
      <c r="J704" s="54"/>
      <c r="K704" s="115"/>
      <c r="L704" s="115"/>
    </row>
    <row r="705">
      <c r="A705" s="115"/>
      <c r="B705" s="115"/>
      <c r="C705" s="54"/>
      <c r="D705" s="54"/>
      <c r="E705" s="115"/>
      <c r="F705" s="223"/>
      <c r="G705" s="54"/>
      <c r="H705" s="115"/>
      <c r="I705" s="115"/>
      <c r="J705" s="54"/>
      <c r="K705" s="115"/>
      <c r="L705" s="115"/>
    </row>
    <row r="706">
      <c r="A706" s="115"/>
      <c r="B706" s="115"/>
      <c r="C706" s="54"/>
      <c r="D706" s="54"/>
      <c r="E706" s="115"/>
      <c r="F706" s="223"/>
      <c r="G706" s="54"/>
      <c r="H706" s="115"/>
      <c r="I706" s="115"/>
      <c r="J706" s="54"/>
      <c r="K706" s="115"/>
      <c r="L706" s="115"/>
    </row>
    <row r="707">
      <c r="A707" s="115"/>
      <c r="B707" s="115"/>
      <c r="C707" s="54"/>
      <c r="D707" s="54"/>
      <c r="E707" s="115"/>
      <c r="F707" s="223"/>
      <c r="G707" s="54"/>
      <c r="H707" s="115"/>
      <c r="I707" s="115"/>
      <c r="J707" s="54"/>
      <c r="K707" s="115"/>
      <c r="L707" s="115"/>
    </row>
    <row r="708">
      <c r="A708" s="115"/>
      <c r="B708" s="115"/>
      <c r="C708" s="54"/>
      <c r="D708" s="54"/>
      <c r="E708" s="115"/>
      <c r="F708" s="223"/>
      <c r="G708" s="54"/>
      <c r="H708" s="115"/>
      <c r="I708" s="115"/>
      <c r="J708" s="54"/>
      <c r="K708" s="115"/>
      <c r="L708" s="115"/>
    </row>
    <row r="709">
      <c r="A709" s="115"/>
      <c r="B709" s="115"/>
      <c r="C709" s="54"/>
      <c r="D709" s="54"/>
      <c r="E709" s="115"/>
      <c r="F709" s="223"/>
      <c r="G709" s="54"/>
      <c r="H709" s="115"/>
      <c r="I709" s="115"/>
      <c r="J709" s="54"/>
      <c r="K709" s="115"/>
      <c r="L709" s="115"/>
    </row>
    <row r="710">
      <c r="A710" s="115"/>
      <c r="B710" s="115"/>
      <c r="C710" s="54"/>
      <c r="D710" s="54"/>
      <c r="E710" s="115"/>
      <c r="F710" s="223"/>
      <c r="G710" s="54"/>
      <c r="H710" s="115"/>
      <c r="I710" s="115"/>
      <c r="J710" s="54"/>
      <c r="K710" s="115"/>
      <c r="L710" s="115"/>
    </row>
    <row r="711">
      <c r="A711" s="115"/>
      <c r="B711" s="115"/>
      <c r="C711" s="54"/>
      <c r="D711" s="54"/>
      <c r="E711" s="115"/>
      <c r="F711" s="223"/>
      <c r="G711" s="54"/>
      <c r="H711" s="115"/>
      <c r="I711" s="115"/>
      <c r="J711" s="54"/>
      <c r="K711" s="115"/>
      <c r="L711" s="115"/>
    </row>
    <row r="712">
      <c r="A712" s="115"/>
      <c r="B712" s="115"/>
      <c r="C712" s="54"/>
      <c r="D712" s="54"/>
      <c r="E712" s="115"/>
      <c r="F712" s="223"/>
      <c r="G712" s="54"/>
      <c r="H712" s="115"/>
      <c r="I712" s="115"/>
      <c r="J712" s="54"/>
      <c r="K712" s="115"/>
      <c r="L712" s="115"/>
    </row>
    <row r="713">
      <c r="A713" s="115"/>
      <c r="B713" s="115"/>
      <c r="C713" s="54"/>
      <c r="D713" s="54"/>
      <c r="E713" s="115"/>
      <c r="F713" s="223"/>
      <c r="G713" s="54"/>
      <c r="H713" s="115"/>
      <c r="I713" s="115"/>
      <c r="J713" s="54"/>
      <c r="K713" s="115"/>
      <c r="L713" s="115"/>
    </row>
    <row r="714">
      <c r="A714" s="115"/>
      <c r="B714" s="115"/>
      <c r="C714" s="54"/>
      <c r="D714" s="54"/>
      <c r="E714" s="115"/>
      <c r="F714" s="223"/>
      <c r="G714" s="54"/>
      <c r="H714" s="115"/>
      <c r="I714" s="115"/>
      <c r="J714" s="54"/>
      <c r="K714" s="115"/>
      <c r="L714" s="115"/>
    </row>
    <row r="715">
      <c r="A715" s="115"/>
      <c r="B715" s="115"/>
      <c r="C715" s="54"/>
      <c r="D715" s="54"/>
      <c r="E715" s="115"/>
      <c r="F715" s="223"/>
      <c r="G715" s="54"/>
      <c r="H715" s="115"/>
      <c r="I715" s="115"/>
      <c r="J715" s="54"/>
      <c r="K715" s="115"/>
      <c r="L715" s="115"/>
    </row>
    <row r="716">
      <c r="A716" s="115"/>
      <c r="B716" s="115"/>
      <c r="C716" s="54"/>
      <c r="D716" s="54"/>
      <c r="E716" s="115"/>
      <c r="F716" s="223"/>
      <c r="G716" s="54"/>
      <c r="H716" s="115"/>
      <c r="I716" s="115"/>
      <c r="J716" s="54"/>
      <c r="K716" s="115"/>
      <c r="L716" s="115"/>
    </row>
    <row r="717">
      <c r="A717" s="115"/>
      <c r="B717" s="115"/>
      <c r="C717" s="54"/>
      <c r="D717" s="54"/>
      <c r="E717" s="115"/>
      <c r="F717" s="223"/>
      <c r="G717" s="54"/>
      <c r="H717" s="115"/>
      <c r="I717" s="115"/>
      <c r="J717" s="54"/>
      <c r="K717" s="115"/>
      <c r="L717" s="115"/>
    </row>
    <row r="718">
      <c r="A718" s="115"/>
      <c r="B718" s="115"/>
      <c r="C718" s="54"/>
      <c r="D718" s="54"/>
      <c r="E718" s="115"/>
      <c r="F718" s="223"/>
      <c r="G718" s="54"/>
      <c r="H718" s="115"/>
      <c r="I718" s="115"/>
      <c r="J718" s="54"/>
      <c r="K718" s="115"/>
      <c r="L718" s="115"/>
    </row>
    <row r="719">
      <c r="A719" s="115"/>
      <c r="B719" s="115"/>
      <c r="C719" s="54"/>
      <c r="D719" s="54"/>
      <c r="E719" s="115"/>
      <c r="F719" s="223"/>
      <c r="G719" s="54"/>
      <c r="H719" s="115"/>
      <c r="I719" s="115"/>
      <c r="J719" s="54"/>
      <c r="K719" s="115"/>
      <c r="L719" s="115"/>
    </row>
    <row r="720">
      <c r="A720" s="115"/>
      <c r="B720" s="115"/>
      <c r="C720" s="54"/>
      <c r="D720" s="54"/>
      <c r="E720" s="115"/>
      <c r="F720" s="223"/>
      <c r="G720" s="54"/>
      <c r="H720" s="115"/>
      <c r="I720" s="115"/>
      <c r="J720" s="54"/>
      <c r="K720" s="115"/>
      <c r="L720" s="115"/>
    </row>
    <row r="721">
      <c r="A721" s="115"/>
      <c r="B721" s="115"/>
      <c r="C721" s="54"/>
      <c r="D721" s="54"/>
      <c r="E721" s="115"/>
      <c r="F721" s="223"/>
      <c r="G721" s="54"/>
      <c r="H721" s="115"/>
      <c r="I721" s="115"/>
      <c r="J721" s="54"/>
      <c r="K721" s="115"/>
      <c r="L721" s="115"/>
    </row>
    <row r="722">
      <c r="A722" s="115"/>
      <c r="B722" s="115"/>
      <c r="C722" s="54"/>
      <c r="D722" s="54"/>
      <c r="E722" s="115"/>
      <c r="F722" s="223"/>
      <c r="G722" s="54"/>
      <c r="H722" s="115"/>
      <c r="I722" s="115"/>
      <c r="J722" s="54"/>
      <c r="K722" s="115"/>
      <c r="L722" s="115"/>
    </row>
    <row r="723">
      <c r="A723" s="115"/>
      <c r="B723" s="115"/>
      <c r="C723" s="54"/>
      <c r="D723" s="54"/>
      <c r="E723" s="115"/>
      <c r="F723" s="223"/>
      <c r="G723" s="54"/>
      <c r="H723" s="115"/>
      <c r="I723" s="115"/>
      <c r="J723" s="54"/>
      <c r="K723" s="115"/>
      <c r="L723" s="115"/>
    </row>
    <row r="724">
      <c r="A724" s="115"/>
      <c r="B724" s="115"/>
      <c r="C724" s="54"/>
      <c r="D724" s="54"/>
      <c r="E724" s="115"/>
      <c r="F724" s="223"/>
      <c r="G724" s="54"/>
      <c r="H724" s="115"/>
      <c r="I724" s="115"/>
      <c r="J724" s="54"/>
      <c r="K724" s="115"/>
      <c r="L724" s="115"/>
    </row>
    <row r="725">
      <c r="A725" s="115"/>
      <c r="B725" s="115"/>
      <c r="C725" s="54"/>
      <c r="D725" s="54"/>
      <c r="E725" s="115"/>
      <c r="F725" s="223"/>
      <c r="G725" s="54"/>
      <c r="H725" s="115"/>
      <c r="I725" s="115"/>
      <c r="J725" s="54"/>
      <c r="K725" s="115"/>
      <c r="L725" s="115"/>
    </row>
    <row r="726">
      <c r="A726" s="115"/>
      <c r="B726" s="115"/>
      <c r="C726" s="54"/>
      <c r="D726" s="54"/>
      <c r="E726" s="115"/>
      <c r="F726" s="223"/>
      <c r="G726" s="54"/>
      <c r="H726" s="115"/>
      <c r="I726" s="115"/>
      <c r="J726" s="54"/>
      <c r="K726" s="115"/>
      <c r="L726" s="115"/>
    </row>
    <row r="727">
      <c r="A727" s="115"/>
      <c r="B727" s="115"/>
      <c r="C727" s="54"/>
      <c r="D727" s="54"/>
      <c r="E727" s="115"/>
      <c r="F727" s="223"/>
      <c r="G727" s="54"/>
      <c r="H727" s="115"/>
      <c r="I727" s="115"/>
      <c r="J727" s="54"/>
      <c r="K727" s="115"/>
      <c r="L727" s="115"/>
    </row>
    <row r="728">
      <c r="A728" s="115"/>
      <c r="B728" s="115"/>
      <c r="C728" s="54"/>
      <c r="D728" s="54"/>
      <c r="E728" s="115"/>
      <c r="F728" s="223"/>
      <c r="G728" s="54"/>
      <c r="H728" s="115"/>
      <c r="I728" s="115"/>
      <c r="J728" s="54"/>
      <c r="K728" s="115"/>
      <c r="L728" s="115"/>
    </row>
    <row r="729">
      <c r="A729" s="115"/>
      <c r="B729" s="115"/>
      <c r="C729" s="54"/>
      <c r="D729" s="54"/>
      <c r="E729" s="115"/>
      <c r="F729" s="223"/>
      <c r="G729" s="54"/>
      <c r="H729" s="115"/>
      <c r="I729" s="115"/>
      <c r="J729" s="54"/>
      <c r="K729" s="115"/>
      <c r="L729" s="115"/>
    </row>
    <row r="730">
      <c r="A730" s="115"/>
      <c r="B730" s="115"/>
      <c r="C730" s="54"/>
      <c r="D730" s="54"/>
      <c r="E730" s="115"/>
      <c r="F730" s="223"/>
      <c r="G730" s="54"/>
      <c r="H730" s="115"/>
      <c r="I730" s="115"/>
      <c r="J730" s="54"/>
      <c r="K730" s="115"/>
      <c r="L730" s="115"/>
    </row>
    <row r="731">
      <c r="A731" s="115"/>
      <c r="B731" s="115"/>
      <c r="C731" s="54"/>
      <c r="D731" s="54"/>
      <c r="E731" s="115"/>
      <c r="F731" s="223"/>
      <c r="G731" s="54"/>
      <c r="H731" s="115"/>
      <c r="I731" s="115"/>
      <c r="J731" s="54"/>
      <c r="K731" s="115"/>
      <c r="L731" s="115"/>
    </row>
    <row r="732">
      <c r="A732" s="115"/>
      <c r="B732" s="115"/>
      <c r="C732" s="54"/>
      <c r="D732" s="54"/>
      <c r="E732" s="115"/>
      <c r="F732" s="223"/>
      <c r="G732" s="54"/>
      <c r="H732" s="115"/>
      <c r="I732" s="115"/>
      <c r="J732" s="54"/>
      <c r="K732" s="115"/>
      <c r="L732" s="115"/>
    </row>
    <row r="733">
      <c r="A733" s="115"/>
      <c r="B733" s="115"/>
      <c r="C733" s="54"/>
      <c r="D733" s="54"/>
      <c r="E733" s="115"/>
      <c r="F733" s="223"/>
      <c r="G733" s="54"/>
      <c r="H733" s="115"/>
      <c r="I733" s="115"/>
      <c r="J733" s="54"/>
      <c r="K733" s="115"/>
      <c r="L733" s="115"/>
    </row>
    <row r="734">
      <c r="A734" s="115"/>
      <c r="B734" s="115"/>
      <c r="C734" s="54"/>
      <c r="D734" s="54"/>
      <c r="E734" s="115"/>
      <c r="F734" s="223"/>
      <c r="G734" s="54"/>
      <c r="H734" s="115"/>
      <c r="I734" s="115"/>
      <c r="J734" s="54"/>
      <c r="K734" s="115"/>
      <c r="L734" s="115"/>
    </row>
    <row r="735">
      <c r="A735" s="115"/>
      <c r="B735" s="115"/>
      <c r="C735" s="54"/>
      <c r="D735" s="54"/>
      <c r="E735" s="115"/>
      <c r="F735" s="223"/>
      <c r="G735" s="54"/>
      <c r="H735" s="115"/>
      <c r="I735" s="115"/>
      <c r="J735" s="54"/>
      <c r="K735" s="115"/>
      <c r="L735" s="115"/>
    </row>
    <row r="736">
      <c r="A736" s="115"/>
      <c r="B736" s="115"/>
      <c r="C736" s="54"/>
      <c r="D736" s="54"/>
      <c r="E736" s="115"/>
      <c r="F736" s="223"/>
      <c r="G736" s="54"/>
      <c r="H736" s="115"/>
      <c r="I736" s="115"/>
      <c r="J736" s="54"/>
      <c r="K736" s="115"/>
      <c r="L736" s="115"/>
    </row>
    <row r="737">
      <c r="A737" s="115"/>
      <c r="B737" s="115"/>
      <c r="C737" s="54"/>
      <c r="D737" s="54"/>
      <c r="E737" s="115"/>
      <c r="F737" s="223"/>
      <c r="G737" s="54"/>
      <c r="H737" s="115"/>
      <c r="I737" s="115"/>
      <c r="J737" s="54"/>
      <c r="K737" s="115"/>
      <c r="L737" s="115"/>
    </row>
    <row r="738">
      <c r="A738" s="115"/>
      <c r="B738" s="115"/>
      <c r="C738" s="54"/>
      <c r="D738" s="54"/>
      <c r="E738" s="115"/>
      <c r="F738" s="223"/>
      <c r="G738" s="54"/>
      <c r="H738" s="115"/>
      <c r="I738" s="115"/>
      <c r="J738" s="54"/>
      <c r="K738" s="115"/>
      <c r="L738" s="115"/>
    </row>
    <row r="739">
      <c r="A739" s="115"/>
      <c r="B739" s="115"/>
      <c r="C739" s="54"/>
      <c r="D739" s="54"/>
      <c r="E739" s="115"/>
      <c r="F739" s="223"/>
      <c r="G739" s="54"/>
      <c r="H739" s="115"/>
      <c r="I739" s="115"/>
      <c r="J739" s="54"/>
      <c r="K739" s="115"/>
      <c r="L739" s="115"/>
    </row>
    <row r="740">
      <c r="A740" s="115"/>
      <c r="B740" s="115"/>
      <c r="C740" s="54"/>
      <c r="D740" s="54"/>
      <c r="E740" s="115"/>
      <c r="F740" s="223"/>
      <c r="G740" s="54"/>
      <c r="H740" s="115"/>
      <c r="I740" s="115"/>
      <c r="J740" s="54"/>
      <c r="K740" s="115"/>
      <c r="L740" s="115"/>
    </row>
    <row r="741">
      <c r="A741" s="115"/>
      <c r="B741" s="115"/>
      <c r="C741" s="54"/>
      <c r="D741" s="54"/>
      <c r="E741" s="115"/>
      <c r="F741" s="223"/>
      <c r="G741" s="54"/>
      <c r="H741" s="115"/>
      <c r="I741" s="115"/>
      <c r="J741" s="54"/>
      <c r="K741" s="115"/>
      <c r="L741" s="115"/>
    </row>
    <row r="742">
      <c r="A742" s="115"/>
      <c r="B742" s="115"/>
      <c r="C742" s="54"/>
      <c r="D742" s="54"/>
      <c r="E742" s="115"/>
      <c r="F742" s="223"/>
      <c r="G742" s="54"/>
      <c r="H742" s="115"/>
      <c r="I742" s="115"/>
      <c r="J742" s="54"/>
      <c r="K742" s="115"/>
      <c r="L742" s="115"/>
    </row>
    <row r="743">
      <c r="A743" s="115"/>
      <c r="B743" s="115"/>
      <c r="C743" s="54"/>
      <c r="D743" s="54"/>
      <c r="E743" s="115"/>
      <c r="F743" s="223"/>
      <c r="G743" s="54"/>
      <c r="H743" s="115"/>
      <c r="I743" s="115"/>
      <c r="J743" s="54"/>
      <c r="K743" s="115"/>
      <c r="L743" s="115"/>
    </row>
    <row r="744">
      <c r="A744" s="115"/>
      <c r="B744" s="115"/>
      <c r="C744" s="54"/>
      <c r="D744" s="54"/>
      <c r="E744" s="115"/>
      <c r="F744" s="223"/>
      <c r="G744" s="54"/>
      <c r="H744" s="115"/>
      <c r="I744" s="115"/>
      <c r="J744" s="54"/>
      <c r="K744" s="115"/>
      <c r="L744" s="115"/>
    </row>
    <row r="745">
      <c r="A745" s="115"/>
      <c r="B745" s="115"/>
      <c r="C745" s="54"/>
      <c r="D745" s="54"/>
      <c r="E745" s="115"/>
      <c r="F745" s="223"/>
      <c r="G745" s="54"/>
      <c r="H745" s="115"/>
      <c r="I745" s="115"/>
      <c r="J745" s="54"/>
      <c r="K745" s="115"/>
      <c r="L745" s="115"/>
    </row>
    <row r="746">
      <c r="A746" s="115"/>
      <c r="B746" s="115"/>
      <c r="C746" s="54"/>
      <c r="D746" s="54"/>
      <c r="E746" s="115"/>
      <c r="F746" s="223"/>
      <c r="G746" s="54"/>
      <c r="H746" s="115"/>
      <c r="I746" s="115"/>
      <c r="J746" s="54"/>
      <c r="K746" s="115"/>
      <c r="L746" s="115"/>
    </row>
    <row r="747">
      <c r="A747" s="115"/>
      <c r="B747" s="115"/>
      <c r="C747" s="54"/>
      <c r="D747" s="54"/>
      <c r="E747" s="115"/>
      <c r="F747" s="223"/>
      <c r="G747" s="54"/>
      <c r="H747" s="115"/>
      <c r="I747" s="115"/>
      <c r="J747" s="54"/>
      <c r="K747" s="115"/>
      <c r="L747" s="115"/>
    </row>
    <row r="748">
      <c r="A748" s="115"/>
      <c r="B748" s="115"/>
      <c r="C748" s="54"/>
      <c r="D748" s="54"/>
      <c r="E748" s="115"/>
      <c r="F748" s="223"/>
      <c r="G748" s="54"/>
      <c r="H748" s="115"/>
      <c r="I748" s="115"/>
      <c r="J748" s="54"/>
      <c r="K748" s="115"/>
      <c r="L748" s="115"/>
    </row>
    <row r="749">
      <c r="A749" s="115"/>
      <c r="B749" s="115"/>
      <c r="C749" s="54"/>
      <c r="D749" s="54"/>
      <c r="E749" s="115"/>
      <c r="F749" s="223"/>
      <c r="G749" s="54"/>
      <c r="H749" s="115"/>
      <c r="I749" s="115"/>
      <c r="J749" s="54"/>
      <c r="K749" s="115"/>
      <c r="L749" s="115"/>
    </row>
    <row r="750">
      <c r="A750" s="115"/>
      <c r="B750" s="115"/>
      <c r="C750" s="54"/>
      <c r="D750" s="54"/>
      <c r="E750" s="115"/>
      <c r="F750" s="223"/>
      <c r="G750" s="54"/>
      <c r="H750" s="115"/>
      <c r="I750" s="115"/>
      <c r="J750" s="54"/>
      <c r="K750" s="115"/>
      <c r="L750" s="115"/>
    </row>
    <row r="751">
      <c r="A751" s="115"/>
      <c r="B751" s="115"/>
      <c r="C751" s="54"/>
      <c r="D751" s="54"/>
      <c r="E751" s="115"/>
      <c r="F751" s="223"/>
      <c r="G751" s="54"/>
      <c r="H751" s="115"/>
      <c r="I751" s="115"/>
      <c r="J751" s="54"/>
      <c r="K751" s="115"/>
      <c r="L751" s="115"/>
    </row>
    <row r="752">
      <c r="A752" s="115"/>
      <c r="B752" s="115"/>
      <c r="C752" s="54"/>
      <c r="D752" s="54"/>
      <c r="E752" s="115"/>
      <c r="F752" s="223"/>
      <c r="G752" s="54"/>
      <c r="H752" s="115"/>
      <c r="I752" s="115"/>
      <c r="J752" s="54"/>
      <c r="K752" s="115"/>
      <c r="L752" s="115"/>
    </row>
    <row r="753">
      <c r="A753" s="115"/>
      <c r="B753" s="115"/>
      <c r="C753" s="54"/>
      <c r="D753" s="54"/>
      <c r="E753" s="115"/>
      <c r="F753" s="223"/>
      <c r="G753" s="54"/>
      <c r="H753" s="115"/>
      <c r="I753" s="115"/>
      <c r="J753" s="54"/>
      <c r="K753" s="115"/>
      <c r="L753" s="115"/>
    </row>
    <row r="754">
      <c r="A754" s="115"/>
      <c r="B754" s="115"/>
      <c r="C754" s="54"/>
      <c r="D754" s="54"/>
      <c r="E754" s="115"/>
      <c r="F754" s="223"/>
      <c r="G754" s="54"/>
      <c r="H754" s="115"/>
      <c r="I754" s="115"/>
      <c r="J754" s="54"/>
      <c r="K754" s="115"/>
      <c r="L754" s="115"/>
    </row>
    <row r="755">
      <c r="A755" s="115"/>
      <c r="B755" s="115"/>
      <c r="C755" s="54"/>
      <c r="D755" s="54"/>
      <c r="E755" s="115"/>
      <c r="F755" s="223"/>
      <c r="G755" s="54"/>
      <c r="H755" s="115"/>
      <c r="I755" s="115"/>
      <c r="J755" s="54"/>
      <c r="K755" s="115"/>
      <c r="L755" s="115"/>
    </row>
    <row r="756">
      <c r="A756" s="115"/>
      <c r="B756" s="115"/>
      <c r="C756" s="54"/>
      <c r="D756" s="54"/>
      <c r="E756" s="115"/>
      <c r="F756" s="223"/>
      <c r="G756" s="54"/>
      <c r="H756" s="115"/>
      <c r="I756" s="115"/>
      <c r="J756" s="54"/>
      <c r="K756" s="115"/>
      <c r="L756" s="115"/>
    </row>
    <row r="757">
      <c r="A757" s="115"/>
      <c r="B757" s="115"/>
      <c r="C757" s="54"/>
      <c r="D757" s="54"/>
      <c r="E757" s="115"/>
      <c r="F757" s="223"/>
      <c r="G757" s="54"/>
      <c r="H757" s="115"/>
      <c r="I757" s="115"/>
      <c r="J757" s="54"/>
      <c r="K757" s="115"/>
      <c r="L757" s="115"/>
    </row>
    <row r="758">
      <c r="A758" s="115"/>
      <c r="B758" s="115"/>
      <c r="C758" s="54"/>
      <c r="D758" s="54"/>
      <c r="E758" s="115"/>
      <c r="F758" s="223"/>
      <c r="G758" s="54"/>
      <c r="H758" s="115"/>
      <c r="I758" s="115"/>
      <c r="J758" s="54"/>
      <c r="K758" s="115"/>
      <c r="L758" s="115"/>
    </row>
    <row r="759">
      <c r="A759" s="115"/>
      <c r="B759" s="115"/>
      <c r="C759" s="54"/>
      <c r="D759" s="54"/>
      <c r="E759" s="115"/>
      <c r="F759" s="223"/>
      <c r="G759" s="54"/>
      <c r="H759" s="115"/>
      <c r="I759" s="115"/>
      <c r="J759" s="54"/>
      <c r="K759" s="115"/>
      <c r="L759" s="115"/>
    </row>
    <row r="760">
      <c r="A760" s="115"/>
      <c r="B760" s="115"/>
      <c r="C760" s="54"/>
      <c r="D760" s="54"/>
      <c r="E760" s="115"/>
      <c r="F760" s="223"/>
      <c r="G760" s="54"/>
      <c r="H760" s="115"/>
      <c r="I760" s="115"/>
      <c r="J760" s="54"/>
      <c r="K760" s="115"/>
      <c r="L760" s="115"/>
    </row>
    <row r="761">
      <c r="A761" s="115"/>
      <c r="B761" s="115"/>
      <c r="C761" s="54"/>
      <c r="D761" s="54"/>
      <c r="E761" s="115"/>
      <c r="F761" s="223"/>
      <c r="G761" s="54"/>
      <c r="H761" s="115"/>
      <c r="I761" s="115"/>
      <c r="J761" s="54"/>
      <c r="K761" s="115"/>
      <c r="L761" s="115"/>
    </row>
    <row r="762">
      <c r="A762" s="115"/>
      <c r="B762" s="115"/>
      <c r="C762" s="54"/>
      <c r="D762" s="54"/>
      <c r="E762" s="115"/>
      <c r="F762" s="223"/>
      <c r="G762" s="54"/>
      <c r="H762" s="115"/>
      <c r="I762" s="115"/>
      <c r="J762" s="54"/>
      <c r="K762" s="115"/>
      <c r="L762" s="115"/>
    </row>
    <row r="763">
      <c r="A763" s="115"/>
      <c r="B763" s="115"/>
      <c r="C763" s="54"/>
      <c r="D763" s="54"/>
      <c r="E763" s="115"/>
      <c r="F763" s="223"/>
      <c r="G763" s="54"/>
      <c r="H763" s="115"/>
      <c r="I763" s="115"/>
      <c r="J763" s="54"/>
      <c r="K763" s="115"/>
      <c r="L763" s="115"/>
    </row>
    <row r="764">
      <c r="A764" s="115"/>
      <c r="B764" s="115"/>
      <c r="C764" s="54"/>
      <c r="D764" s="54"/>
      <c r="E764" s="115"/>
      <c r="F764" s="223"/>
      <c r="G764" s="54"/>
      <c r="H764" s="115"/>
      <c r="I764" s="115"/>
      <c r="J764" s="54"/>
      <c r="K764" s="115"/>
      <c r="L764" s="115"/>
    </row>
    <row r="765">
      <c r="A765" s="115"/>
      <c r="B765" s="115"/>
      <c r="C765" s="54"/>
      <c r="D765" s="54"/>
      <c r="E765" s="115"/>
      <c r="F765" s="223"/>
      <c r="G765" s="54"/>
      <c r="H765" s="115"/>
      <c r="I765" s="115"/>
      <c r="J765" s="54"/>
      <c r="K765" s="115"/>
      <c r="L765" s="115"/>
    </row>
    <row r="766">
      <c r="A766" s="115"/>
      <c r="B766" s="115"/>
      <c r="C766" s="54"/>
      <c r="D766" s="54"/>
      <c r="E766" s="115"/>
      <c r="F766" s="223"/>
      <c r="G766" s="54"/>
      <c r="H766" s="115"/>
      <c r="I766" s="115"/>
      <c r="J766" s="54"/>
      <c r="K766" s="115"/>
      <c r="L766" s="115"/>
    </row>
    <row r="767">
      <c r="A767" s="115"/>
      <c r="B767" s="115"/>
      <c r="C767" s="54"/>
      <c r="D767" s="54"/>
      <c r="E767" s="115"/>
      <c r="F767" s="223"/>
      <c r="G767" s="54"/>
      <c r="H767" s="115"/>
      <c r="I767" s="115"/>
      <c r="J767" s="54"/>
      <c r="K767" s="115"/>
      <c r="L767" s="115"/>
    </row>
    <row r="768">
      <c r="A768" s="115"/>
      <c r="B768" s="115"/>
      <c r="C768" s="54"/>
      <c r="D768" s="54"/>
      <c r="E768" s="115"/>
      <c r="F768" s="223"/>
      <c r="G768" s="54"/>
      <c r="H768" s="115"/>
      <c r="I768" s="115"/>
      <c r="J768" s="54"/>
      <c r="K768" s="115"/>
      <c r="L768" s="115"/>
    </row>
    <row r="769">
      <c r="A769" s="115"/>
      <c r="B769" s="115"/>
      <c r="C769" s="54"/>
      <c r="D769" s="54"/>
      <c r="E769" s="115"/>
      <c r="F769" s="223"/>
      <c r="G769" s="54"/>
      <c r="H769" s="115"/>
      <c r="I769" s="115"/>
      <c r="J769" s="54"/>
      <c r="K769" s="115"/>
      <c r="L769" s="115"/>
    </row>
    <row r="770">
      <c r="A770" s="115"/>
      <c r="B770" s="115"/>
      <c r="C770" s="54"/>
      <c r="D770" s="54"/>
      <c r="E770" s="115"/>
      <c r="F770" s="223"/>
      <c r="G770" s="54"/>
      <c r="H770" s="115"/>
      <c r="I770" s="115"/>
      <c r="J770" s="54"/>
      <c r="K770" s="115"/>
      <c r="L770" s="115"/>
    </row>
    <row r="771">
      <c r="A771" s="115"/>
      <c r="B771" s="115"/>
      <c r="C771" s="54"/>
      <c r="D771" s="54"/>
      <c r="E771" s="115"/>
      <c r="F771" s="223"/>
      <c r="G771" s="54"/>
      <c r="H771" s="115"/>
      <c r="I771" s="115"/>
      <c r="J771" s="54"/>
      <c r="K771" s="115"/>
      <c r="L771" s="115"/>
    </row>
    <row r="772">
      <c r="A772" s="115"/>
      <c r="B772" s="115"/>
      <c r="C772" s="54"/>
      <c r="D772" s="54"/>
      <c r="E772" s="115"/>
      <c r="F772" s="223"/>
      <c r="G772" s="54"/>
      <c r="H772" s="115"/>
      <c r="I772" s="115"/>
      <c r="J772" s="54"/>
      <c r="K772" s="115"/>
      <c r="L772" s="115"/>
    </row>
    <row r="773">
      <c r="A773" s="115"/>
      <c r="B773" s="115"/>
      <c r="C773" s="54"/>
      <c r="D773" s="54"/>
      <c r="E773" s="115"/>
      <c r="F773" s="223"/>
      <c r="G773" s="54"/>
      <c r="H773" s="115"/>
      <c r="I773" s="115"/>
      <c r="J773" s="54"/>
      <c r="K773" s="115"/>
      <c r="L773" s="115"/>
    </row>
    <row r="774">
      <c r="A774" s="115"/>
      <c r="B774" s="115"/>
      <c r="C774" s="54"/>
      <c r="D774" s="54"/>
      <c r="E774" s="115"/>
      <c r="F774" s="223"/>
      <c r="G774" s="54"/>
      <c r="H774" s="115"/>
      <c r="I774" s="115"/>
      <c r="J774" s="54"/>
      <c r="K774" s="115"/>
      <c r="L774" s="115"/>
    </row>
    <row r="775">
      <c r="A775" s="115"/>
      <c r="B775" s="115"/>
      <c r="C775" s="54"/>
      <c r="D775" s="54"/>
      <c r="E775" s="115"/>
      <c r="F775" s="223"/>
      <c r="G775" s="54"/>
      <c r="H775" s="115"/>
      <c r="I775" s="115"/>
      <c r="J775" s="54"/>
      <c r="K775" s="115"/>
      <c r="L775" s="115"/>
    </row>
    <row r="776">
      <c r="A776" s="115"/>
      <c r="B776" s="115"/>
      <c r="C776" s="54"/>
      <c r="D776" s="54"/>
      <c r="E776" s="115"/>
      <c r="F776" s="223"/>
      <c r="G776" s="54"/>
      <c r="H776" s="115"/>
      <c r="I776" s="115"/>
      <c r="J776" s="54"/>
      <c r="K776" s="115"/>
      <c r="L776" s="115"/>
    </row>
    <row r="777">
      <c r="A777" s="115"/>
      <c r="B777" s="115"/>
      <c r="C777" s="54"/>
      <c r="D777" s="54"/>
      <c r="E777" s="115"/>
      <c r="F777" s="223"/>
      <c r="G777" s="54"/>
      <c r="H777" s="115"/>
      <c r="I777" s="115"/>
      <c r="J777" s="54"/>
      <c r="K777" s="115"/>
      <c r="L777" s="115"/>
    </row>
    <row r="778">
      <c r="A778" s="115"/>
      <c r="B778" s="115"/>
      <c r="C778" s="54"/>
      <c r="D778" s="54"/>
      <c r="E778" s="115"/>
      <c r="F778" s="223"/>
      <c r="G778" s="54"/>
      <c r="H778" s="115"/>
      <c r="I778" s="115"/>
      <c r="J778" s="54"/>
      <c r="K778" s="115"/>
      <c r="L778" s="115"/>
    </row>
    <row r="779">
      <c r="A779" s="115"/>
      <c r="B779" s="115"/>
      <c r="C779" s="54"/>
      <c r="D779" s="54"/>
      <c r="E779" s="115"/>
      <c r="F779" s="223"/>
      <c r="G779" s="54"/>
      <c r="H779" s="115"/>
      <c r="I779" s="115"/>
      <c r="J779" s="54"/>
      <c r="K779" s="115"/>
      <c r="L779" s="115"/>
    </row>
    <row r="780">
      <c r="A780" s="115"/>
      <c r="B780" s="115"/>
      <c r="C780" s="54"/>
      <c r="D780" s="54"/>
      <c r="E780" s="115"/>
      <c r="F780" s="223"/>
      <c r="G780" s="54"/>
      <c r="H780" s="115"/>
      <c r="I780" s="115"/>
      <c r="J780" s="54"/>
      <c r="K780" s="115"/>
      <c r="L780" s="115"/>
    </row>
    <row r="781">
      <c r="A781" s="115"/>
      <c r="B781" s="115"/>
      <c r="C781" s="54"/>
      <c r="D781" s="54"/>
      <c r="E781" s="115"/>
      <c r="F781" s="223"/>
      <c r="G781" s="54"/>
      <c r="H781" s="115"/>
      <c r="I781" s="115"/>
      <c r="J781" s="54"/>
      <c r="K781" s="115"/>
      <c r="L781" s="115"/>
    </row>
    <row r="782">
      <c r="A782" s="115"/>
      <c r="B782" s="115"/>
      <c r="C782" s="54"/>
      <c r="D782" s="54"/>
      <c r="E782" s="115"/>
      <c r="F782" s="223"/>
      <c r="G782" s="54"/>
      <c r="H782" s="115"/>
      <c r="I782" s="115"/>
      <c r="J782" s="54"/>
      <c r="K782" s="115"/>
      <c r="L782" s="115"/>
    </row>
    <row r="783">
      <c r="A783" s="115"/>
      <c r="B783" s="115"/>
      <c r="C783" s="54"/>
      <c r="D783" s="54"/>
      <c r="E783" s="115"/>
      <c r="F783" s="223"/>
      <c r="G783" s="54"/>
      <c r="H783" s="115"/>
      <c r="I783" s="115"/>
      <c r="J783" s="54"/>
      <c r="K783" s="115"/>
      <c r="L783" s="115"/>
    </row>
    <row r="784">
      <c r="A784" s="115"/>
      <c r="B784" s="115"/>
      <c r="C784" s="54"/>
      <c r="D784" s="54"/>
      <c r="E784" s="115"/>
      <c r="F784" s="223"/>
      <c r="G784" s="54"/>
      <c r="H784" s="115"/>
      <c r="I784" s="115"/>
      <c r="J784" s="54"/>
      <c r="K784" s="115"/>
      <c r="L784" s="115"/>
    </row>
    <row r="785">
      <c r="A785" s="115"/>
      <c r="B785" s="115"/>
      <c r="C785" s="54"/>
      <c r="D785" s="54"/>
      <c r="E785" s="115"/>
      <c r="F785" s="223"/>
      <c r="G785" s="54"/>
      <c r="H785" s="115"/>
      <c r="I785" s="115"/>
      <c r="J785" s="54"/>
      <c r="K785" s="115"/>
      <c r="L785" s="115"/>
    </row>
    <row r="786">
      <c r="A786" s="115"/>
      <c r="B786" s="115"/>
      <c r="C786" s="54"/>
      <c r="D786" s="54"/>
      <c r="E786" s="115"/>
      <c r="F786" s="223"/>
      <c r="G786" s="54"/>
      <c r="H786" s="115"/>
      <c r="I786" s="115"/>
      <c r="J786" s="54"/>
      <c r="K786" s="115"/>
      <c r="L786" s="115"/>
    </row>
    <row r="787">
      <c r="A787" s="115"/>
      <c r="B787" s="115"/>
      <c r="C787" s="54"/>
      <c r="D787" s="54"/>
      <c r="E787" s="115"/>
      <c r="F787" s="223"/>
      <c r="G787" s="54"/>
      <c r="H787" s="115"/>
      <c r="I787" s="115"/>
      <c r="J787" s="54"/>
      <c r="K787" s="115"/>
      <c r="L787" s="115"/>
    </row>
    <row r="788">
      <c r="A788" s="115"/>
      <c r="B788" s="115"/>
      <c r="C788" s="54"/>
      <c r="D788" s="54"/>
      <c r="E788" s="115"/>
      <c r="F788" s="223"/>
      <c r="G788" s="54"/>
      <c r="H788" s="115"/>
      <c r="I788" s="115"/>
      <c r="J788" s="54"/>
      <c r="K788" s="115"/>
      <c r="L788" s="115"/>
    </row>
    <row r="789">
      <c r="A789" s="115"/>
      <c r="B789" s="115"/>
      <c r="C789" s="54"/>
      <c r="D789" s="54"/>
      <c r="E789" s="115"/>
      <c r="F789" s="223"/>
      <c r="G789" s="54"/>
      <c r="H789" s="115"/>
      <c r="I789" s="115"/>
      <c r="J789" s="54"/>
      <c r="K789" s="115"/>
      <c r="L789" s="115"/>
    </row>
    <row r="790">
      <c r="A790" s="115"/>
      <c r="B790" s="115"/>
      <c r="C790" s="54"/>
      <c r="D790" s="54"/>
      <c r="E790" s="115"/>
      <c r="F790" s="223"/>
      <c r="G790" s="54"/>
      <c r="H790" s="115"/>
      <c r="I790" s="115"/>
      <c r="J790" s="54"/>
      <c r="K790" s="115"/>
      <c r="L790" s="115"/>
    </row>
    <row r="791">
      <c r="A791" s="115"/>
      <c r="B791" s="115"/>
      <c r="C791" s="54"/>
      <c r="D791" s="54"/>
      <c r="E791" s="115"/>
      <c r="F791" s="223"/>
      <c r="G791" s="54"/>
      <c r="H791" s="115"/>
      <c r="I791" s="115"/>
      <c r="J791" s="54"/>
      <c r="K791" s="115"/>
      <c r="L791" s="115"/>
    </row>
    <row r="792">
      <c r="A792" s="115"/>
      <c r="B792" s="115"/>
      <c r="C792" s="54"/>
      <c r="D792" s="54"/>
      <c r="E792" s="115"/>
      <c r="F792" s="223"/>
      <c r="G792" s="54"/>
      <c r="H792" s="115"/>
      <c r="I792" s="115"/>
      <c r="J792" s="54"/>
      <c r="K792" s="115"/>
      <c r="L792" s="115"/>
    </row>
    <row r="793">
      <c r="A793" s="115"/>
      <c r="B793" s="115"/>
      <c r="C793" s="54"/>
      <c r="D793" s="54"/>
      <c r="E793" s="115"/>
      <c r="F793" s="223"/>
      <c r="G793" s="54"/>
      <c r="H793" s="115"/>
      <c r="I793" s="115"/>
      <c r="J793" s="54"/>
      <c r="K793" s="115"/>
      <c r="L793" s="115"/>
    </row>
    <row r="794">
      <c r="A794" s="115"/>
      <c r="B794" s="115"/>
      <c r="C794" s="54"/>
      <c r="D794" s="54"/>
      <c r="E794" s="115"/>
      <c r="F794" s="223"/>
      <c r="G794" s="54"/>
      <c r="H794" s="115"/>
      <c r="I794" s="115"/>
      <c r="J794" s="54"/>
      <c r="K794" s="115"/>
      <c r="L794" s="115"/>
    </row>
    <row r="795">
      <c r="A795" s="115"/>
      <c r="B795" s="115"/>
      <c r="C795" s="54"/>
      <c r="D795" s="54"/>
      <c r="E795" s="115"/>
      <c r="F795" s="223"/>
      <c r="G795" s="54"/>
      <c r="H795" s="115"/>
      <c r="I795" s="115"/>
      <c r="J795" s="54"/>
      <c r="K795" s="115"/>
      <c r="L795" s="115"/>
    </row>
    <row r="796">
      <c r="A796" s="115"/>
      <c r="B796" s="115"/>
      <c r="C796" s="54"/>
      <c r="D796" s="54"/>
      <c r="E796" s="115"/>
      <c r="F796" s="223"/>
      <c r="G796" s="54"/>
      <c r="H796" s="115"/>
      <c r="I796" s="115"/>
      <c r="J796" s="54"/>
      <c r="K796" s="115"/>
      <c r="L796" s="115"/>
    </row>
    <row r="797">
      <c r="A797" s="115"/>
      <c r="B797" s="115"/>
      <c r="C797" s="54"/>
      <c r="D797" s="54"/>
      <c r="E797" s="115"/>
      <c r="F797" s="223"/>
      <c r="G797" s="54"/>
      <c r="H797" s="115"/>
      <c r="I797" s="115"/>
      <c r="J797" s="54"/>
      <c r="K797" s="115"/>
      <c r="L797" s="115"/>
    </row>
    <row r="798">
      <c r="A798" s="115"/>
      <c r="B798" s="115"/>
      <c r="C798" s="54"/>
      <c r="D798" s="54"/>
      <c r="E798" s="115"/>
      <c r="F798" s="223"/>
      <c r="G798" s="54"/>
      <c r="H798" s="115"/>
      <c r="I798" s="115"/>
      <c r="J798" s="54"/>
      <c r="K798" s="115"/>
      <c r="L798" s="115"/>
    </row>
    <row r="799">
      <c r="A799" s="115"/>
      <c r="B799" s="115"/>
      <c r="C799" s="54"/>
      <c r="D799" s="54"/>
      <c r="E799" s="115"/>
      <c r="F799" s="223"/>
      <c r="G799" s="54"/>
      <c r="H799" s="115"/>
      <c r="I799" s="115"/>
      <c r="J799" s="54"/>
      <c r="K799" s="115"/>
      <c r="L799" s="115"/>
    </row>
    <row r="800">
      <c r="A800" s="115"/>
      <c r="B800" s="115"/>
      <c r="C800" s="54"/>
      <c r="D800" s="54"/>
      <c r="E800" s="115"/>
      <c r="F800" s="223"/>
      <c r="G800" s="54"/>
      <c r="H800" s="115"/>
      <c r="I800" s="115"/>
      <c r="J800" s="54"/>
      <c r="K800" s="115"/>
      <c r="L800" s="115"/>
    </row>
    <row r="801">
      <c r="A801" s="115"/>
      <c r="B801" s="115"/>
      <c r="C801" s="54"/>
      <c r="D801" s="54"/>
      <c r="E801" s="115"/>
      <c r="F801" s="223"/>
      <c r="G801" s="54"/>
      <c r="H801" s="115"/>
      <c r="I801" s="115"/>
      <c r="J801" s="54"/>
      <c r="K801" s="115"/>
      <c r="L801" s="115"/>
    </row>
    <row r="802">
      <c r="A802" s="115"/>
      <c r="B802" s="115"/>
      <c r="C802" s="54"/>
      <c r="D802" s="54"/>
      <c r="E802" s="115"/>
      <c r="F802" s="223"/>
      <c r="G802" s="54"/>
      <c r="H802" s="115"/>
      <c r="I802" s="115"/>
      <c r="J802" s="54"/>
      <c r="K802" s="115"/>
      <c r="L802" s="115"/>
    </row>
    <row r="803">
      <c r="A803" s="115"/>
      <c r="B803" s="115"/>
      <c r="C803" s="54"/>
      <c r="D803" s="54"/>
      <c r="E803" s="115"/>
      <c r="F803" s="223"/>
      <c r="G803" s="54"/>
      <c r="H803" s="115"/>
      <c r="I803" s="115"/>
      <c r="J803" s="54"/>
      <c r="K803" s="115"/>
      <c r="L803" s="115"/>
    </row>
    <row r="804">
      <c r="A804" s="115"/>
      <c r="B804" s="115"/>
      <c r="C804" s="54"/>
      <c r="D804" s="54"/>
      <c r="E804" s="115"/>
      <c r="F804" s="223"/>
      <c r="G804" s="54"/>
      <c r="H804" s="115"/>
      <c r="I804" s="115"/>
      <c r="J804" s="54"/>
      <c r="K804" s="115"/>
      <c r="L804" s="115"/>
    </row>
    <row r="805">
      <c r="A805" s="115"/>
      <c r="B805" s="115"/>
      <c r="C805" s="54"/>
      <c r="D805" s="54"/>
      <c r="E805" s="115"/>
      <c r="F805" s="223"/>
      <c r="G805" s="54"/>
      <c r="H805" s="115"/>
      <c r="I805" s="115"/>
      <c r="J805" s="54"/>
      <c r="K805" s="115"/>
      <c r="L805" s="115"/>
    </row>
    <row r="806">
      <c r="A806" s="115"/>
      <c r="B806" s="115"/>
      <c r="C806" s="54"/>
      <c r="D806" s="54"/>
      <c r="E806" s="115"/>
      <c r="F806" s="223"/>
      <c r="G806" s="54"/>
      <c r="H806" s="115"/>
      <c r="I806" s="115"/>
      <c r="J806" s="54"/>
      <c r="K806" s="115"/>
      <c r="L806" s="115"/>
    </row>
    <row r="807">
      <c r="A807" s="115"/>
      <c r="B807" s="115"/>
      <c r="C807" s="54"/>
      <c r="D807" s="54"/>
      <c r="E807" s="115"/>
      <c r="F807" s="223"/>
      <c r="G807" s="54"/>
      <c r="H807" s="115"/>
      <c r="I807" s="115"/>
      <c r="J807" s="54"/>
      <c r="K807" s="115"/>
      <c r="L807" s="115"/>
    </row>
    <row r="808">
      <c r="A808" s="115"/>
      <c r="B808" s="115"/>
      <c r="C808" s="54"/>
      <c r="D808" s="54"/>
      <c r="E808" s="115"/>
      <c r="F808" s="223"/>
      <c r="G808" s="54"/>
      <c r="H808" s="115"/>
      <c r="I808" s="115"/>
      <c r="J808" s="54"/>
      <c r="K808" s="115"/>
      <c r="L808" s="115"/>
    </row>
    <row r="809">
      <c r="A809" s="115"/>
      <c r="B809" s="115"/>
      <c r="C809" s="54"/>
      <c r="D809" s="54"/>
      <c r="E809" s="115"/>
      <c r="F809" s="223"/>
      <c r="G809" s="54"/>
      <c r="H809" s="115"/>
      <c r="I809" s="115"/>
      <c r="J809" s="54"/>
      <c r="K809" s="115"/>
      <c r="L809" s="115"/>
    </row>
    <row r="810">
      <c r="A810" s="115"/>
      <c r="B810" s="115"/>
      <c r="C810" s="54"/>
      <c r="D810" s="54"/>
      <c r="E810" s="115"/>
      <c r="F810" s="223"/>
      <c r="G810" s="54"/>
      <c r="H810" s="115"/>
      <c r="I810" s="115"/>
      <c r="J810" s="54"/>
      <c r="K810" s="115"/>
      <c r="L810" s="115"/>
    </row>
    <row r="811">
      <c r="A811" s="115"/>
      <c r="B811" s="115"/>
      <c r="C811" s="54"/>
      <c r="D811" s="54"/>
      <c r="E811" s="115"/>
      <c r="F811" s="223"/>
      <c r="G811" s="54"/>
      <c r="H811" s="115"/>
      <c r="I811" s="115"/>
      <c r="J811" s="54"/>
      <c r="K811" s="115"/>
      <c r="L811" s="115"/>
    </row>
    <row r="812">
      <c r="A812" s="115"/>
      <c r="B812" s="115"/>
      <c r="C812" s="54"/>
      <c r="D812" s="54"/>
      <c r="E812" s="115"/>
      <c r="F812" s="223"/>
      <c r="G812" s="54"/>
      <c r="H812" s="115"/>
      <c r="I812" s="115"/>
      <c r="J812" s="54"/>
      <c r="K812" s="115"/>
      <c r="L812" s="115"/>
    </row>
    <row r="813">
      <c r="A813" s="115"/>
      <c r="B813" s="115"/>
      <c r="C813" s="54"/>
      <c r="D813" s="54"/>
      <c r="E813" s="115"/>
      <c r="F813" s="223"/>
      <c r="G813" s="54"/>
      <c r="H813" s="115"/>
      <c r="I813" s="115"/>
      <c r="J813" s="54"/>
      <c r="K813" s="115"/>
      <c r="L813" s="115"/>
    </row>
    <row r="814">
      <c r="A814" s="115"/>
      <c r="B814" s="115"/>
      <c r="C814" s="54"/>
      <c r="D814" s="54"/>
      <c r="E814" s="115"/>
      <c r="F814" s="223"/>
      <c r="G814" s="54"/>
      <c r="H814" s="115"/>
      <c r="I814" s="115"/>
      <c r="J814" s="54"/>
      <c r="K814" s="115"/>
      <c r="L814" s="115"/>
    </row>
    <row r="815">
      <c r="A815" s="115"/>
      <c r="B815" s="115"/>
      <c r="C815" s="54"/>
      <c r="D815" s="54"/>
      <c r="E815" s="115"/>
      <c r="F815" s="223"/>
      <c r="G815" s="54"/>
      <c r="H815" s="115"/>
      <c r="I815" s="115"/>
      <c r="J815" s="54"/>
      <c r="K815" s="115"/>
      <c r="L815" s="115"/>
    </row>
    <row r="816">
      <c r="A816" s="115"/>
      <c r="B816" s="115"/>
      <c r="C816" s="54"/>
      <c r="D816" s="54"/>
      <c r="E816" s="115"/>
      <c r="F816" s="223"/>
      <c r="G816" s="54"/>
      <c r="H816" s="115"/>
      <c r="I816" s="115"/>
      <c r="J816" s="54"/>
      <c r="K816" s="115"/>
      <c r="L816" s="115"/>
    </row>
    <row r="817">
      <c r="A817" s="115"/>
      <c r="B817" s="115"/>
      <c r="C817" s="54"/>
      <c r="D817" s="54"/>
      <c r="E817" s="115"/>
      <c r="F817" s="223"/>
      <c r="G817" s="54"/>
      <c r="H817" s="115"/>
      <c r="I817" s="115"/>
      <c r="J817" s="54"/>
      <c r="K817" s="115"/>
      <c r="L817" s="115"/>
    </row>
    <row r="818">
      <c r="A818" s="115"/>
      <c r="B818" s="115"/>
      <c r="C818" s="54"/>
      <c r="D818" s="54"/>
      <c r="E818" s="115"/>
      <c r="F818" s="223"/>
      <c r="G818" s="54"/>
      <c r="H818" s="115"/>
      <c r="I818" s="115"/>
      <c r="J818" s="54"/>
      <c r="K818" s="115"/>
      <c r="L818" s="115"/>
    </row>
    <row r="819">
      <c r="A819" s="115"/>
      <c r="B819" s="115"/>
      <c r="C819" s="54"/>
      <c r="D819" s="54"/>
      <c r="E819" s="115"/>
      <c r="F819" s="223"/>
      <c r="G819" s="54"/>
      <c r="H819" s="115"/>
      <c r="I819" s="115"/>
      <c r="J819" s="54"/>
      <c r="K819" s="115"/>
      <c r="L819" s="115"/>
    </row>
    <row r="820">
      <c r="A820" s="115"/>
      <c r="B820" s="115"/>
      <c r="C820" s="54"/>
      <c r="D820" s="54"/>
      <c r="E820" s="115"/>
      <c r="F820" s="223"/>
      <c r="G820" s="54"/>
      <c r="H820" s="115"/>
      <c r="I820" s="115"/>
      <c r="J820" s="54"/>
      <c r="K820" s="115"/>
      <c r="L820" s="115"/>
    </row>
    <row r="821">
      <c r="A821" s="115"/>
      <c r="B821" s="115"/>
      <c r="C821" s="54"/>
      <c r="D821" s="54"/>
      <c r="E821" s="115"/>
      <c r="F821" s="223"/>
      <c r="G821" s="54"/>
      <c r="H821" s="115"/>
      <c r="I821" s="115"/>
      <c r="J821" s="54"/>
      <c r="K821" s="115"/>
      <c r="L821" s="115"/>
    </row>
    <row r="822">
      <c r="A822" s="115"/>
      <c r="B822" s="115"/>
      <c r="C822" s="54"/>
      <c r="D822" s="54"/>
      <c r="E822" s="115"/>
      <c r="F822" s="223"/>
      <c r="G822" s="54"/>
      <c r="H822" s="115"/>
      <c r="I822" s="115"/>
      <c r="J822" s="54"/>
      <c r="K822" s="115"/>
      <c r="L822" s="115"/>
    </row>
    <row r="823">
      <c r="A823" s="115"/>
      <c r="B823" s="115"/>
      <c r="C823" s="54"/>
      <c r="D823" s="54"/>
      <c r="E823" s="115"/>
      <c r="F823" s="223"/>
      <c r="G823" s="54"/>
      <c r="H823" s="115"/>
      <c r="I823" s="115"/>
      <c r="J823" s="54"/>
      <c r="K823" s="115"/>
      <c r="L823" s="115"/>
    </row>
    <row r="824">
      <c r="A824" s="115"/>
      <c r="B824" s="115"/>
      <c r="C824" s="54"/>
      <c r="D824" s="54"/>
      <c r="E824" s="115"/>
      <c r="F824" s="223"/>
      <c r="G824" s="54"/>
      <c r="H824" s="115"/>
      <c r="I824" s="115"/>
      <c r="J824" s="54"/>
      <c r="K824" s="115"/>
      <c r="L824" s="115"/>
    </row>
    <row r="825">
      <c r="A825" s="115"/>
      <c r="B825" s="115"/>
      <c r="C825" s="54"/>
      <c r="D825" s="54"/>
      <c r="E825" s="115"/>
      <c r="F825" s="223"/>
      <c r="G825" s="54"/>
      <c r="H825" s="115"/>
      <c r="I825" s="115"/>
      <c r="J825" s="54"/>
      <c r="K825" s="115"/>
      <c r="L825" s="115"/>
    </row>
    <row r="826">
      <c r="A826" s="115"/>
      <c r="B826" s="115"/>
      <c r="C826" s="54"/>
      <c r="D826" s="54"/>
      <c r="E826" s="115"/>
      <c r="F826" s="223"/>
      <c r="G826" s="54"/>
      <c r="H826" s="115"/>
      <c r="I826" s="115"/>
      <c r="J826" s="54"/>
      <c r="K826" s="115"/>
      <c r="L826" s="115"/>
    </row>
    <row r="827">
      <c r="A827" s="115"/>
      <c r="B827" s="115"/>
      <c r="C827" s="54"/>
      <c r="D827" s="54"/>
      <c r="E827" s="115"/>
      <c r="F827" s="223"/>
      <c r="G827" s="54"/>
      <c r="H827" s="115"/>
      <c r="I827" s="115"/>
      <c r="J827" s="54"/>
      <c r="K827" s="115"/>
      <c r="L827" s="115"/>
    </row>
    <row r="828">
      <c r="A828" s="115"/>
      <c r="B828" s="115"/>
      <c r="C828" s="54"/>
      <c r="D828" s="54"/>
      <c r="E828" s="115"/>
      <c r="F828" s="223"/>
      <c r="G828" s="54"/>
      <c r="H828" s="115"/>
      <c r="I828" s="115"/>
      <c r="J828" s="54"/>
      <c r="K828" s="115"/>
      <c r="L828" s="115"/>
    </row>
    <row r="829">
      <c r="A829" s="115"/>
      <c r="B829" s="115"/>
      <c r="C829" s="54"/>
      <c r="D829" s="54"/>
      <c r="E829" s="115"/>
      <c r="F829" s="223"/>
      <c r="G829" s="54"/>
      <c r="H829" s="115"/>
      <c r="I829" s="115"/>
      <c r="J829" s="54"/>
      <c r="K829" s="115"/>
      <c r="L829" s="115"/>
    </row>
    <row r="830">
      <c r="A830" s="115"/>
      <c r="B830" s="115"/>
      <c r="C830" s="54"/>
      <c r="D830" s="54"/>
      <c r="E830" s="115"/>
      <c r="F830" s="223"/>
      <c r="G830" s="54"/>
      <c r="H830" s="115"/>
      <c r="I830" s="115"/>
      <c r="J830" s="54"/>
      <c r="K830" s="115"/>
      <c r="L830" s="115"/>
    </row>
    <row r="831">
      <c r="A831" s="115"/>
      <c r="B831" s="115"/>
      <c r="C831" s="54"/>
      <c r="D831" s="54"/>
      <c r="E831" s="115"/>
      <c r="F831" s="223"/>
      <c r="G831" s="54"/>
      <c r="H831" s="115"/>
      <c r="I831" s="115"/>
      <c r="J831" s="54"/>
      <c r="K831" s="115"/>
      <c r="L831" s="115"/>
    </row>
    <row r="832">
      <c r="A832" s="115"/>
      <c r="B832" s="115"/>
      <c r="C832" s="54"/>
      <c r="D832" s="54"/>
      <c r="E832" s="115"/>
      <c r="F832" s="223"/>
      <c r="G832" s="54"/>
      <c r="H832" s="115"/>
      <c r="I832" s="115"/>
      <c r="J832" s="54"/>
      <c r="K832" s="115"/>
      <c r="L832" s="115"/>
    </row>
    <row r="833">
      <c r="A833" s="115"/>
      <c r="B833" s="115"/>
      <c r="C833" s="54"/>
      <c r="D833" s="54"/>
      <c r="E833" s="115"/>
      <c r="F833" s="223"/>
      <c r="G833" s="54"/>
      <c r="H833" s="115"/>
      <c r="I833" s="115"/>
      <c r="J833" s="54"/>
      <c r="K833" s="115"/>
      <c r="L833" s="115"/>
    </row>
    <row r="834">
      <c r="A834" s="115"/>
      <c r="B834" s="115"/>
      <c r="C834" s="54"/>
      <c r="D834" s="54"/>
      <c r="E834" s="115"/>
      <c r="F834" s="223"/>
      <c r="G834" s="54"/>
      <c r="H834" s="115"/>
      <c r="I834" s="115"/>
      <c r="J834" s="54"/>
      <c r="K834" s="115"/>
      <c r="L834" s="115"/>
    </row>
    <row r="835">
      <c r="A835" s="115"/>
      <c r="B835" s="115"/>
      <c r="C835" s="54"/>
      <c r="D835" s="54"/>
      <c r="E835" s="115"/>
      <c r="F835" s="223"/>
      <c r="G835" s="54"/>
      <c r="H835" s="115"/>
      <c r="I835" s="115"/>
      <c r="J835" s="54"/>
      <c r="K835" s="115"/>
      <c r="L835" s="115"/>
    </row>
    <row r="836">
      <c r="A836" s="115"/>
      <c r="B836" s="115"/>
      <c r="C836" s="54"/>
      <c r="D836" s="54"/>
      <c r="E836" s="115"/>
      <c r="F836" s="223"/>
      <c r="G836" s="54"/>
      <c r="H836" s="115"/>
      <c r="I836" s="115"/>
      <c r="J836" s="54"/>
      <c r="K836" s="115"/>
      <c r="L836" s="115"/>
    </row>
    <row r="837">
      <c r="A837" s="115"/>
      <c r="B837" s="115"/>
      <c r="C837" s="54"/>
      <c r="D837" s="54"/>
      <c r="E837" s="115"/>
      <c r="F837" s="223"/>
      <c r="G837" s="54"/>
      <c r="H837" s="115"/>
      <c r="I837" s="115"/>
      <c r="J837" s="54"/>
      <c r="K837" s="115"/>
      <c r="L837" s="115"/>
    </row>
    <row r="838">
      <c r="A838" s="115"/>
      <c r="B838" s="115"/>
      <c r="C838" s="54"/>
      <c r="D838" s="54"/>
      <c r="E838" s="115"/>
      <c r="F838" s="223"/>
      <c r="G838" s="54"/>
      <c r="H838" s="115"/>
      <c r="I838" s="115"/>
      <c r="J838" s="54"/>
      <c r="K838" s="115"/>
      <c r="L838" s="115"/>
    </row>
    <row r="839">
      <c r="A839" s="115"/>
      <c r="B839" s="115"/>
      <c r="C839" s="54"/>
      <c r="D839" s="54"/>
      <c r="E839" s="115"/>
      <c r="F839" s="223"/>
      <c r="G839" s="54"/>
      <c r="H839" s="115"/>
      <c r="I839" s="115"/>
      <c r="J839" s="54"/>
      <c r="K839" s="115"/>
      <c r="L839" s="115"/>
    </row>
    <row r="840">
      <c r="A840" s="115"/>
      <c r="B840" s="115"/>
      <c r="C840" s="54"/>
      <c r="D840" s="54"/>
      <c r="E840" s="115"/>
      <c r="F840" s="223"/>
      <c r="G840" s="54"/>
      <c r="H840" s="115"/>
      <c r="I840" s="115"/>
      <c r="J840" s="54"/>
      <c r="K840" s="115"/>
      <c r="L840" s="115"/>
    </row>
    <row r="841">
      <c r="A841" s="115"/>
      <c r="B841" s="115"/>
      <c r="C841" s="54"/>
      <c r="D841" s="54"/>
      <c r="E841" s="115"/>
      <c r="F841" s="223"/>
      <c r="G841" s="54"/>
      <c r="H841" s="115"/>
      <c r="I841" s="115"/>
      <c r="J841" s="54"/>
      <c r="K841" s="115"/>
      <c r="L841" s="115"/>
    </row>
    <row r="842">
      <c r="A842" s="115"/>
      <c r="B842" s="115"/>
      <c r="C842" s="54"/>
      <c r="D842" s="54"/>
      <c r="E842" s="115"/>
      <c r="F842" s="223"/>
      <c r="G842" s="54"/>
      <c r="H842" s="115"/>
      <c r="I842" s="115"/>
      <c r="J842" s="54"/>
      <c r="K842" s="115"/>
      <c r="L842" s="115"/>
    </row>
    <row r="843">
      <c r="A843" s="115"/>
      <c r="B843" s="115"/>
      <c r="C843" s="54"/>
      <c r="D843" s="54"/>
      <c r="E843" s="115"/>
      <c r="F843" s="223"/>
      <c r="G843" s="54"/>
      <c r="H843" s="115"/>
      <c r="I843" s="115"/>
      <c r="J843" s="54"/>
      <c r="K843" s="115"/>
      <c r="L843" s="115"/>
    </row>
    <row r="844">
      <c r="A844" s="115"/>
      <c r="B844" s="115"/>
      <c r="C844" s="54"/>
      <c r="D844" s="54"/>
      <c r="E844" s="115"/>
      <c r="F844" s="223"/>
      <c r="G844" s="54"/>
      <c r="H844" s="115"/>
      <c r="I844" s="115"/>
      <c r="J844" s="54"/>
      <c r="K844" s="115"/>
      <c r="L844" s="115"/>
    </row>
    <row r="845">
      <c r="A845" s="115"/>
      <c r="B845" s="115"/>
      <c r="C845" s="54"/>
      <c r="D845" s="54"/>
      <c r="E845" s="115"/>
      <c r="F845" s="223"/>
      <c r="G845" s="54"/>
      <c r="H845" s="115"/>
      <c r="I845" s="115"/>
      <c r="J845" s="54"/>
      <c r="K845" s="115"/>
      <c r="L845" s="115"/>
    </row>
    <row r="846">
      <c r="A846" s="115"/>
      <c r="B846" s="115"/>
      <c r="C846" s="54"/>
      <c r="D846" s="54"/>
      <c r="E846" s="115"/>
      <c r="F846" s="223"/>
      <c r="G846" s="54"/>
      <c r="H846" s="115"/>
      <c r="I846" s="115"/>
      <c r="J846" s="54"/>
      <c r="K846" s="115"/>
      <c r="L846" s="115"/>
    </row>
    <row r="847">
      <c r="A847" s="115"/>
      <c r="B847" s="115"/>
      <c r="C847" s="54"/>
      <c r="D847" s="54"/>
      <c r="E847" s="115"/>
      <c r="F847" s="223"/>
      <c r="G847" s="54"/>
      <c r="H847" s="115"/>
      <c r="I847" s="115"/>
      <c r="J847" s="54"/>
      <c r="K847" s="115"/>
      <c r="L847" s="115"/>
    </row>
    <row r="848">
      <c r="A848" s="115"/>
      <c r="B848" s="115"/>
      <c r="C848" s="54"/>
      <c r="D848" s="54"/>
      <c r="E848" s="115"/>
      <c r="F848" s="223"/>
      <c r="G848" s="54"/>
      <c r="H848" s="115"/>
      <c r="I848" s="115"/>
      <c r="J848" s="54"/>
      <c r="K848" s="115"/>
      <c r="L848" s="115"/>
    </row>
    <row r="849">
      <c r="A849" s="115"/>
      <c r="B849" s="115"/>
      <c r="C849" s="54"/>
      <c r="D849" s="54"/>
      <c r="E849" s="115"/>
      <c r="F849" s="223"/>
      <c r="G849" s="54"/>
      <c r="H849" s="115"/>
      <c r="I849" s="115"/>
      <c r="J849" s="54"/>
      <c r="K849" s="115"/>
      <c r="L849" s="115"/>
    </row>
    <row r="850">
      <c r="A850" s="115"/>
      <c r="B850" s="115"/>
      <c r="C850" s="54"/>
      <c r="D850" s="54"/>
      <c r="E850" s="115"/>
      <c r="F850" s="223"/>
      <c r="G850" s="54"/>
      <c r="H850" s="115"/>
      <c r="I850" s="115"/>
      <c r="J850" s="54"/>
      <c r="K850" s="115"/>
      <c r="L850" s="115"/>
    </row>
    <row r="851">
      <c r="A851" s="115"/>
      <c r="B851" s="115"/>
      <c r="C851" s="54"/>
      <c r="D851" s="54"/>
      <c r="E851" s="115"/>
      <c r="F851" s="223"/>
      <c r="G851" s="54"/>
      <c r="H851" s="115"/>
      <c r="I851" s="115"/>
      <c r="J851" s="54"/>
      <c r="K851" s="115"/>
      <c r="L851" s="115"/>
    </row>
    <row r="852">
      <c r="A852" s="115"/>
      <c r="B852" s="115"/>
      <c r="C852" s="54"/>
      <c r="D852" s="54"/>
      <c r="E852" s="115"/>
      <c r="F852" s="223"/>
      <c r="G852" s="54"/>
      <c r="H852" s="115"/>
      <c r="I852" s="115"/>
      <c r="J852" s="54"/>
      <c r="K852" s="115"/>
      <c r="L852" s="115"/>
    </row>
    <row r="853">
      <c r="A853" s="115"/>
      <c r="B853" s="115"/>
      <c r="C853" s="54"/>
      <c r="D853" s="54"/>
      <c r="E853" s="115"/>
      <c r="F853" s="223"/>
      <c r="G853" s="54"/>
      <c r="H853" s="115"/>
      <c r="I853" s="115"/>
      <c r="J853" s="54"/>
      <c r="K853" s="115"/>
      <c r="L853" s="115"/>
    </row>
    <row r="854">
      <c r="A854" s="115"/>
      <c r="B854" s="115"/>
      <c r="C854" s="54"/>
      <c r="D854" s="54"/>
      <c r="E854" s="115"/>
      <c r="F854" s="223"/>
      <c r="G854" s="54"/>
      <c r="H854" s="115"/>
      <c r="I854" s="115"/>
      <c r="J854" s="54"/>
      <c r="K854" s="115"/>
      <c r="L854" s="115"/>
    </row>
    <row r="855">
      <c r="A855" s="115"/>
      <c r="B855" s="115"/>
      <c r="C855" s="54"/>
      <c r="D855" s="54"/>
      <c r="E855" s="115"/>
      <c r="F855" s="223"/>
      <c r="G855" s="54"/>
      <c r="H855" s="115"/>
      <c r="I855" s="115"/>
      <c r="J855" s="54"/>
      <c r="K855" s="115"/>
      <c r="L855" s="115"/>
    </row>
    <row r="856">
      <c r="A856" s="115"/>
      <c r="B856" s="115"/>
      <c r="C856" s="54"/>
      <c r="D856" s="54"/>
      <c r="E856" s="115"/>
      <c r="F856" s="223"/>
      <c r="G856" s="54"/>
      <c r="H856" s="115"/>
      <c r="I856" s="115"/>
      <c r="J856" s="54"/>
      <c r="K856" s="115"/>
      <c r="L856" s="115"/>
    </row>
    <row r="857">
      <c r="A857" s="115"/>
      <c r="B857" s="115"/>
      <c r="C857" s="54"/>
      <c r="D857" s="54"/>
      <c r="E857" s="115"/>
      <c r="F857" s="223"/>
      <c r="G857" s="54"/>
      <c r="H857" s="115"/>
      <c r="I857" s="115"/>
      <c r="J857" s="54"/>
      <c r="K857" s="115"/>
      <c r="L857" s="115"/>
    </row>
    <row r="858">
      <c r="A858" s="115"/>
      <c r="B858" s="115"/>
      <c r="C858" s="54"/>
      <c r="D858" s="54"/>
      <c r="E858" s="115"/>
      <c r="F858" s="223"/>
      <c r="G858" s="54"/>
      <c r="H858" s="115"/>
      <c r="I858" s="115"/>
      <c r="J858" s="54"/>
      <c r="K858" s="115"/>
      <c r="L858" s="115"/>
    </row>
    <row r="859">
      <c r="A859" s="115"/>
      <c r="B859" s="115"/>
      <c r="C859" s="54"/>
      <c r="D859" s="54"/>
      <c r="E859" s="115"/>
      <c r="F859" s="223"/>
      <c r="G859" s="54"/>
      <c r="H859" s="115"/>
      <c r="I859" s="115"/>
      <c r="J859" s="54"/>
      <c r="K859" s="115"/>
      <c r="L859" s="115"/>
    </row>
    <row r="860">
      <c r="A860" s="115"/>
      <c r="B860" s="115"/>
      <c r="C860" s="54"/>
      <c r="D860" s="54"/>
      <c r="E860" s="115"/>
      <c r="F860" s="223"/>
      <c r="G860" s="54"/>
      <c r="H860" s="115"/>
      <c r="I860" s="115"/>
      <c r="J860" s="54"/>
      <c r="K860" s="115"/>
      <c r="L860" s="115"/>
    </row>
    <row r="861">
      <c r="A861" s="115"/>
      <c r="B861" s="115"/>
      <c r="C861" s="54"/>
      <c r="D861" s="54"/>
      <c r="E861" s="115"/>
      <c r="F861" s="223"/>
      <c r="G861" s="54"/>
      <c r="H861" s="115"/>
      <c r="I861" s="115"/>
      <c r="J861" s="54"/>
      <c r="K861" s="115"/>
      <c r="L861" s="115"/>
    </row>
    <row r="862">
      <c r="A862" s="115"/>
      <c r="B862" s="115"/>
      <c r="C862" s="54"/>
      <c r="D862" s="54"/>
      <c r="E862" s="115"/>
      <c r="F862" s="223"/>
      <c r="G862" s="54"/>
      <c r="H862" s="115"/>
      <c r="I862" s="115"/>
      <c r="J862" s="54"/>
      <c r="K862" s="115"/>
      <c r="L862" s="115"/>
    </row>
    <row r="863">
      <c r="A863" s="115"/>
      <c r="B863" s="115"/>
      <c r="C863" s="54"/>
      <c r="D863" s="54"/>
      <c r="E863" s="115"/>
      <c r="F863" s="223"/>
      <c r="G863" s="54"/>
      <c r="H863" s="115"/>
      <c r="I863" s="115"/>
      <c r="J863" s="54"/>
      <c r="K863" s="115"/>
      <c r="L863" s="115"/>
    </row>
    <row r="864">
      <c r="A864" s="115"/>
      <c r="B864" s="115"/>
      <c r="C864" s="54"/>
      <c r="D864" s="54"/>
      <c r="E864" s="115"/>
      <c r="F864" s="223"/>
      <c r="G864" s="54"/>
      <c r="H864" s="115"/>
      <c r="I864" s="115"/>
      <c r="J864" s="54"/>
      <c r="K864" s="115"/>
      <c r="L864" s="115"/>
    </row>
    <row r="865">
      <c r="A865" s="115"/>
      <c r="B865" s="115"/>
      <c r="C865" s="54"/>
      <c r="D865" s="54"/>
      <c r="E865" s="115"/>
      <c r="F865" s="223"/>
      <c r="G865" s="54"/>
      <c r="H865" s="115"/>
      <c r="I865" s="115"/>
      <c r="J865" s="54"/>
      <c r="K865" s="115"/>
      <c r="L865" s="115"/>
    </row>
    <row r="866">
      <c r="A866" s="115"/>
      <c r="B866" s="115"/>
      <c r="C866" s="54"/>
      <c r="D866" s="54"/>
      <c r="E866" s="115"/>
      <c r="F866" s="223"/>
      <c r="G866" s="54"/>
      <c r="H866" s="115"/>
      <c r="I866" s="115"/>
      <c r="J866" s="54"/>
      <c r="K866" s="115"/>
      <c r="L866" s="115"/>
    </row>
    <row r="867">
      <c r="A867" s="115"/>
      <c r="B867" s="115"/>
      <c r="C867" s="54"/>
      <c r="D867" s="54"/>
      <c r="E867" s="115"/>
      <c r="F867" s="223"/>
      <c r="G867" s="54"/>
      <c r="H867" s="115"/>
      <c r="I867" s="115"/>
      <c r="J867" s="54"/>
      <c r="K867" s="115"/>
      <c r="L867" s="115"/>
    </row>
    <row r="868">
      <c r="A868" s="115"/>
      <c r="B868" s="115"/>
      <c r="C868" s="54"/>
      <c r="D868" s="54"/>
      <c r="E868" s="115"/>
      <c r="F868" s="223"/>
      <c r="G868" s="54"/>
      <c r="H868" s="115"/>
      <c r="I868" s="115"/>
      <c r="J868" s="54"/>
      <c r="K868" s="115"/>
      <c r="L868" s="115"/>
    </row>
    <row r="869">
      <c r="A869" s="115"/>
      <c r="B869" s="115"/>
      <c r="C869" s="54"/>
      <c r="D869" s="54"/>
      <c r="E869" s="115"/>
      <c r="F869" s="223"/>
      <c r="G869" s="54"/>
      <c r="H869" s="115"/>
      <c r="I869" s="115"/>
      <c r="J869" s="54"/>
      <c r="K869" s="115"/>
      <c r="L869" s="115"/>
    </row>
    <row r="870">
      <c r="A870" s="115"/>
      <c r="B870" s="115"/>
      <c r="C870" s="54"/>
      <c r="D870" s="54"/>
      <c r="E870" s="115"/>
      <c r="F870" s="223"/>
      <c r="G870" s="54"/>
      <c r="H870" s="115"/>
      <c r="I870" s="115"/>
      <c r="J870" s="54"/>
      <c r="K870" s="115"/>
      <c r="L870" s="115"/>
    </row>
    <row r="871">
      <c r="A871" s="115"/>
      <c r="B871" s="115"/>
      <c r="C871" s="54"/>
      <c r="D871" s="54"/>
      <c r="E871" s="115"/>
      <c r="F871" s="223"/>
      <c r="G871" s="54"/>
      <c r="H871" s="115"/>
      <c r="I871" s="115"/>
      <c r="J871" s="54"/>
      <c r="K871" s="115"/>
      <c r="L871" s="115"/>
    </row>
    <row r="872">
      <c r="A872" s="115"/>
      <c r="B872" s="115"/>
      <c r="C872" s="54"/>
      <c r="D872" s="54"/>
      <c r="E872" s="115"/>
      <c r="F872" s="223"/>
      <c r="G872" s="54"/>
      <c r="H872" s="115"/>
      <c r="I872" s="115"/>
      <c r="J872" s="54"/>
      <c r="K872" s="115"/>
      <c r="L872" s="115"/>
    </row>
    <row r="873">
      <c r="A873" s="115"/>
      <c r="B873" s="115"/>
      <c r="C873" s="54"/>
      <c r="D873" s="54"/>
      <c r="E873" s="115"/>
      <c r="F873" s="223"/>
      <c r="G873" s="54"/>
      <c r="H873" s="115"/>
      <c r="I873" s="115"/>
      <c r="J873" s="54"/>
      <c r="K873" s="115"/>
      <c r="L873" s="115"/>
    </row>
    <row r="874">
      <c r="A874" s="115"/>
      <c r="B874" s="115"/>
      <c r="C874" s="54"/>
      <c r="D874" s="54"/>
      <c r="E874" s="115"/>
      <c r="F874" s="223"/>
      <c r="G874" s="54"/>
      <c r="H874" s="115"/>
      <c r="I874" s="115"/>
      <c r="J874" s="54"/>
      <c r="K874" s="115"/>
      <c r="L874" s="115"/>
    </row>
    <row r="875">
      <c r="A875" s="115"/>
      <c r="B875" s="115"/>
      <c r="C875" s="54"/>
      <c r="D875" s="54"/>
      <c r="E875" s="115"/>
      <c r="F875" s="223"/>
      <c r="G875" s="54"/>
      <c r="H875" s="115"/>
      <c r="I875" s="115"/>
      <c r="J875" s="54"/>
      <c r="K875" s="115"/>
      <c r="L875" s="115"/>
    </row>
    <row r="876">
      <c r="A876" s="115"/>
      <c r="B876" s="115"/>
      <c r="C876" s="54"/>
      <c r="D876" s="54"/>
      <c r="E876" s="115"/>
      <c r="F876" s="223"/>
      <c r="G876" s="54"/>
      <c r="H876" s="115"/>
      <c r="I876" s="115"/>
      <c r="J876" s="54"/>
      <c r="K876" s="115"/>
      <c r="L876" s="115"/>
    </row>
    <row r="877">
      <c r="A877" s="115"/>
      <c r="B877" s="115"/>
      <c r="C877" s="54"/>
      <c r="D877" s="54"/>
      <c r="E877" s="115"/>
      <c r="F877" s="223"/>
      <c r="G877" s="54"/>
      <c r="H877" s="115"/>
      <c r="I877" s="115"/>
      <c r="J877" s="54"/>
      <c r="K877" s="115"/>
      <c r="L877" s="115"/>
    </row>
    <row r="878">
      <c r="A878" s="115"/>
      <c r="B878" s="115"/>
      <c r="C878" s="54"/>
      <c r="D878" s="54"/>
      <c r="E878" s="115"/>
      <c r="F878" s="223"/>
      <c r="G878" s="54"/>
      <c r="H878" s="115"/>
      <c r="I878" s="115"/>
      <c r="J878" s="54"/>
      <c r="K878" s="115"/>
      <c r="L878" s="115"/>
    </row>
    <row r="879">
      <c r="A879" s="115"/>
      <c r="B879" s="115"/>
      <c r="C879" s="54"/>
      <c r="D879" s="54"/>
      <c r="E879" s="115"/>
      <c r="F879" s="223"/>
      <c r="G879" s="54"/>
      <c r="H879" s="115"/>
      <c r="I879" s="115"/>
      <c r="J879" s="54"/>
      <c r="K879" s="115"/>
      <c r="L879" s="115"/>
    </row>
    <row r="880">
      <c r="A880" s="115"/>
      <c r="B880" s="115"/>
      <c r="C880" s="54"/>
      <c r="D880" s="54"/>
      <c r="E880" s="115"/>
      <c r="F880" s="223"/>
      <c r="G880" s="54"/>
      <c r="H880" s="115"/>
      <c r="I880" s="115"/>
      <c r="J880" s="54"/>
      <c r="K880" s="115"/>
      <c r="L880" s="115"/>
    </row>
    <row r="881">
      <c r="A881" s="115"/>
      <c r="B881" s="115"/>
      <c r="C881" s="54"/>
      <c r="D881" s="54"/>
      <c r="E881" s="115"/>
      <c r="F881" s="223"/>
      <c r="G881" s="54"/>
      <c r="H881" s="115"/>
      <c r="I881" s="115"/>
      <c r="J881" s="54"/>
      <c r="K881" s="115"/>
      <c r="L881" s="115"/>
    </row>
    <row r="882">
      <c r="A882" s="115"/>
      <c r="B882" s="115"/>
      <c r="C882" s="54"/>
      <c r="D882" s="54"/>
      <c r="E882" s="115"/>
      <c r="F882" s="223"/>
      <c r="G882" s="54"/>
      <c r="H882" s="115"/>
      <c r="I882" s="115"/>
      <c r="J882" s="54"/>
      <c r="K882" s="115"/>
      <c r="L882" s="115"/>
    </row>
    <row r="883">
      <c r="A883" s="115"/>
      <c r="B883" s="115"/>
      <c r="C883" s="54"/>
      <c r="D883" s="54"/>
      <c r="E883" s="115"/>
      <c r="F883" s="223"/>
      <c r="G883" s="54"/>
      <c r="H883" s="115"/>
      <c r="I883" s="115"/>
      <c r="J883" s="54"/>
      <c r="K883" s="115"/>
      <c r="L883" s="115"/>
    </row>
    <row r="884">
      <c r="A884" s="115"/>
      <c r="B884" s="115"/>
      <c r="C884" s="54"/>
      <c r="D884" s="54"/>
      <c r="E884" s="115"/>
      <c r="F884" s="223"/>
      <c r="G884" s="54"/>
      <c r="H884" s="115"/>
      <c r="I884" s="115"/>
      <c r="J884" s="54"/>
      <c r="K884" s="115"/>
      <c r="L884" s="115"/>
    </row>
    <row r="885">
      <c r="A885" s="115"/>
      <c r="B885" s="115"/>
      <c r="C885" s="54"/>
      <c r="D885" s="54"/>
      <c r="E885" s="115"/>
      <c r="F885" s="223"/>
      <c r="G885" s="54"/>
      <c r="H885" s="115"/>
      <c r="I885" s="115"/>
      <c r="J885" s="54"/>
      <c r="K885" s="115"/>
      <c r="L885" s="115"/>
    </row>
    <row r="886">
      <c r="A886" s="115"/>
      <c r="B886" s="115"/>
      <c r="C886" s="54"/>
      <c r="D886" s="54"/>
      <c r="E886" s="115"/>
      <c r="F886" s="223"/>
      <c r="G886" s="54"/>
      <c r="H886" s="115"/>
      <c r="I886" s="115"/>
      <c r="J886" s="54"/>
      <c r="K886" s="115"/>
      <c r="L886" s="115"/>
    </row>
    <row r="887">
      <c r="A887" s="115"/>
      <c r="B887" s="115"/>
      <c r="C887" s="54"/>
      <c r="D887" s="54"/>
      <c r="E887" s="115"/>
      <c r="F887" s="223"/>
      <c r="G887" s="54"/>
      <c r="H887" s="115"/>
      <c r="I887" s="115"/>
      <c r="J887" s="54"/>
      <c r="K887" s="115"/>
      <c r="L887" s="115"/>
    </row>
    <row r="888">
      <c r="A888" s="115"/>
      <c r="B888" s="115"/>
      <c r="C888" s="54"/>
      <c r="D888" s="54"/>
      <c r="E888" s="115"/>
      <c r="F888" s="223"/>
      <c r="G888" s="54"/>
      <c r="H888" s="115"/>
      <c r="I888" s="115"/>
      <c r="J888" s="54"/>
      <c r="K888" s="115"/>
      <c r="L888" s="115"/>
    </row>
    <row r="889">
      <c r="A889" s="115"/>
      <c r="B889" s="115"/>
      <c r="C889" s="54"/>
      <c r="D889" s="54"/>
      <c r="E889" s="115"/>
      <c r="F889" s="223"/>
      <c r="G889" s="54"/>
      <c r="H889" s="115"/>
      <c r="I889" s="115"/>
      <c r="J889" s="54"/>
      <c r="K889" s="115"/>
      <c r="L889" s="115"/>
    </row>
    <row r="890">
      <c r="A890" s="115"/>
      <c r="B890" s="115"/>
      <c r="C890" s="54"/>
      <c r="D890" s="54"/>
      <c r="E890" s="115"/>
      <c r="F890" s="223"/>
      <c r="G890" s="54"/>
      <c r="H890" s="115"/>
      <c r="I890" s="115"/>
      <c r="J890" s="54"/>
      <c r="K890" s="115"/>
      <c r="L890" s="115"/>
    </row>
    <row r="891">
      <c r="A891" s="115"/>
      <c r="B891" s="115"/>
      <c r="C891" s="54"/>
      <c r="D891" s="54"/>
      <c r="E891" s="115"/>
      <c r="F891" s="223"/>
      <c r="G891" s="54"/>
      <c r="H891" s="115"/>
      <c r="I891" s="115"/>
      <c r="J891" s="54"/>
      <c r="K891" s="115"/>
      <c r="L891" s="115"/>
    </row>
    <row r="892">
      <c r="A892" s="115"/>
      <c r="B892" s="115"/>
      <c r="C892" s="54"/>
      <c r="D892" s="54"/>
      <c r="E892" s="115"/>
      <c r="F892" s="223"/>
      <c r="G892" s="54"/>
      <c r="H892" s="115"/>
      <c r="I892" s="115"/>
      <c r="J892" s="54"/>
      <c r="K892" s="115"/>
      <c r="L892" s="115"/>
    </row>
    <row r="893">
      <c r="A893" s="115"/>
      <c r="B893" s="115"/>
      <c r="C893" s="54"/>
      <c r="D893" s="54"/>
      <c r="E893" s="115"/>
      <c r="F893" s="223"/>
      <c r="G893" s="54"/>
      <c r="H893" s="115"/>
      <c r="I893" s="115"/>
      <c r="J893" s="54"/>
      <c r="K893" s="115"/>
      <c r="L893" s="115"/>
    </row>
    <row r="894">
      <c r="A894" s="115"/>
      <c r="B894" s="115"/>
      <c r="C894" s="54"/>
      <c r="D894" s="54"/>
      <c r="E894" s="115"/>
      <c r="F894" s="223"/>
      <c r="G894" s="54"/>
      <c r="H894" s="115"/>
      <c r="I894" s="115"/>
      <c r="J894" s="54"/>
      <c r="K894" s="115"/>
      <c r="L894" s="115"/>
    </row>
    <row r="895">
      <c r="A895" s="115"/>
      <c r="B895" s="115"/>
      <c r="C895" s="54"/>
      <c r="D895" s="54"/>
      <c r="E895" s="115"/>
      <c r="F895" s="223"/>
      <c r="G895" s="54"/>
      <c r="H895" s="115"/>
      <c r="I895" s="115"/>
      <c r="J895" s="54"/>
      <c r="K895" s="115"/>
      <c r="L895" s="115"/>
    </row>
    <row r="896">
      <c r="A896" s="115"/>
      <c r="B896" s="115"/>
      <c r="C896" s="54"/>
      <c r="D896" s="54"/>
      <c r="E896" s="115"/>
      <c r="F896" s="223"/>
      <c r="G896" s="54"/>
      <c r="H896" s="115"/>
      <c r="I896" s="115"/>
      <c r="J896" s="54"/>
      <c r="K896" s="115"/>
      <c r="L896" s="115"/>
    </row>
    <row r="897">
      <c r="A897" s="115"/>
      <c r="B897" s="115"/>
      <c r="C897" s="54"/>
      <c r="D897" s="54"/>
      <c r="E897" s="115"/>
      <c r="F897" s="223"/>
      <c r="G897" s="54"/>
      <c r="H897" s="115"/>
      <c r="I897" s="115"/>
      <c r="J897" s="54"/>
      <c r="K897" s="115"/>
      <c r="L897" s="115"/>
    </row>
    <row r="898">
      <c r="A898" s="115"/>
      <c r="B898" s="115"/>
      <c r="C898" s="54"/>
      <c r="D898" s="54"/>
      <c r="E898" s="115"/>
      <c r="F898" s="223"/>
      <c r="G898" s="54"/>
      <c r="H898" s="115"/>
      <c r="I898" s="115"/>
      <c r="J898" s="54"/>
      <c r="K898" s="115"/>
      <c r="L898" s="115"/>
    </row>
    <row r="899">
      <c r="A899" s="115"/>
      <c r="B899" s="115"/>
      <c r="C899" s="54"/>
      <c r="D899" s="54"/>
      <c r="E899" s="115"/>
      <c r="F899" s="223"/>
      <c r="G899" s="54"/>
      <c r="H899" s="115"/>
      <c r="I899" s="115"/>
      <c r="J899" s="54"/>
      <c r="K899" s="115"/>
      <c r="L899" s="115"/>
    </row>
    <row r="900">
      <c r="A900" s="115"/>
      <c r="B900" s="115"/>
      <c r="C900" s="54"/>
      <c r="D900" s="54"/>
      <c r="E900" s="115"/>
      <c r="F900" s="223"/>
      <c r="G900" s="54"/>
      <c r="H900" s="115"/>
      <c r="I900" s="115"/>
      <c r="J900" s="54"/>
      <c r="K900" s="115"/>
      <c r="L900" s="115"/>
    </row>
    <row r="901">
      <c r="A901" s="115"/>
      <c r="B901" s="115"/>
      <c r="C901" s="54"/>
      <c r="D901" s="54"/>
      <c r="E901" s="115"/>
      <c r="F901" s="223"/>
      <c r="G901" s="54"/>
      <c r="H901" s="115"/>
      <c r="I901" s="115"/>
      <c r="J901" s="54"/>
      <c r="K901" s="115"/>
      <c r="L901" s="115"/>
    </row>
    <row r="902">
      <c r="A902" s="115"/>
      <c r="B902" s="115"/>
      <c r="C902" s="54"/>
      <c r="D902" s="54"/>
      <c r="E902" s="115"/>
      <c r="F902" s="223"/>
      <c r="G902" s="54"/>
      <c r="H902" s="115"/>
      <c r="I902" s="115"/>
      <c r="J902" s="54"/>
      <c r="K902" s="115"/>
      <c r="L902" s="115"/>
    </row>
    <row r="903">
      <c r="A903" s="115"/>
      <c r="B903" s="115"/>
      <c r="C903" s="54"/>
      <c r="D903" s="54"/>
      <c r="E903" s="115"/>
      <c r="F903" s="223"/>
      <c r="G903" s="54"/>
      <c r="H903" s="115"/>
      <c r="I903" s="115"/>
      <c r="J903" s="54"/>
      <c r="K903" s="115"/>
      <c r="L903" s="115"/>
    </row>
    <row r="904">
      <c r="A904" s="115"/>
      <c r="B904" s="115"/>
      <c r="C904" s="54"/>
      <c r="D904" s="54"/>
      <c r="E904" s="115"/>
      <c r="F904" s="223"/>
      <c r="G904" s="54"/>
      <c r="H904" s="115"/>
      <c r="I904" s="115"/>
      <c r="J904" s="54"/>
      <c r="K904" s="115"/>
      <c r="L904" s="115"/>
    </row>
    <row r="905">
      <c r="A905" s="115"/>
      <c r="B905" s="115"/>
      <c r="C905" s="54"/>
      <c r="D905" s="54"/>
      <c r="E905" s="115"/>
      <c r="F905" s="223"/>
      <c r="G905" s="54"/>
      <c r="H905" s="115"/>
      <c r="I905" s="115"/>
      <c r="J905" s="54"/>
      <c r="K905" s="115"/>
      <c r="L905" s="115"/>
    </row>
    <row r="906">
      <c r="A906" s="115"/>
      <c r="B906" s="115"/>
      <c r="C906" s="54"/>
      <c r="D906" s="54"/>
      <c r="E906" s="115"/>
      <c r="F906" s="223"/>
      <c r="G906" s="54"/>
      <c r="H906" s="115"/>
      <c r="I906" s="115"/>
      <c r="J906" s="54"/>
      <c r="K906" s="115"/>
      <c r="L906" s="115"/>
    </row>
    <row r="907">
      <c r="A907" s="115"/>
      <c r="B907" s="115"/>
      <c r="C907" s="54"/>
      <c r="D907" s="54"/>
      <c r="E907" s="115"/>
      <c r="F907" s="223"/>
      <c r="G907" s="54"/>
      <c r="H907" s="115"/>
      <c r="I907" s="115"/>
      <c r="J907" s="54"/>
      <c r="K907" s="115"/>
      <c r="L907" s="115"/>
    </row>
    <row r="908">
      <c r="A908" s="115"/>
      <c r="B908" s="115"/>
      <c r="C908" s="54"/>
      <c r="D908" s="54"/>
      <c r="E908" s="115"/>
      <c r="F908" s="223"/>
      <c r="G908" s="54"/>
      <c r="H908" s="115"/>
      <c r="I908" s="115"/>
      <c r="J908" s="54"/>
      <c r="K908" s="115"/>
      <c r="L908" s="115"/>
    </row>
    <row r="909">
      <c r="A909" s="115"/>
      <c r="B909" s="115"/>
      <c r="C909" s="54"/>
      <c r="D909" s="54"/>
      <c r="E909" s="115"/>
      <c r="F909" s="223"/>
      <c r="G909" s="54"/>
      <c r="H909" s="115"/>
      <c r="I909" s="115"/>
      <c r="J909" s="54"/>
      <c r="K909" s="115"/>
      <c r="L909" s="115"/>
    </row>
    <row r="910">
      <c r="A910" s="115"/>
      <c r="B910" s="115"/>
      <c r="C910" s="54"/>
      <c r="D910" s="54"/>
      <c r="E910" s="115"/>
      <c r="F910" s="223"/>
      <c r="G910" s="54"/>
      <c r="H910" s="115"/>
      <c r="I910" s="115"/>
      <c r="J910" s="54"/>
      <c r="K910" s="115"/>
      <c r="L910" s="115"/>
    </row>
    <row r="911">
      <c r="A911" s="115"/>
      <c r="B911" s="115"/>
      <c r="C911" s="54"/>
      <c r="D911" s="54"/>
      <c r="E911" s="115"/>
      <c r="F911" s="223"/>
      <c r="G911" s="54"/>
      <c r="H911" s="115"/>
      <c r="I911" s="115"/>
      <c r="J911" s="54"/>
      <c r="K911" s="115"/>
      <c r="L911" s="115"/>
    </row>
    <row r="912">
      <c r="A912" s="115"/>
      <c r="B912" s="115"/>
      <c r="C912" s="54"/>
      <c r="D912" s="54"/>
      <c r="E912" s="115"/>
      <c r="F912" s="223"/>
      <c r="G912" s="54"/>
      <c r="H912" s="115"/>
      <c r="I912" s="115"/>
      <c r="J912" s="54"/>
      <c r="K912" s="115"/>
      <c r="L912" s="115"/>
    </row>
    <row r="913">
      <c r="A913" s="115"/>
      <c r="B913" s="115"/>
      <c r="C913" s="54"/>
      <c r="D913" s="54"/>
      <c r="E913" s="115"/>
      <c r="F913" s="223"/>
      <c r="G913" s="54"/>
      <c r="H913" s="115"/>
      <c r="I913" s="115"/>
      <c r="J913" s="54"/>
      <c r="K913" s="115"/>
      <c r="L913" s="115"/>
    </row>
    <row r="914">
      <c r="A914" s="115"/>
      <c r="B914" s="115"/>
      <c r="C914" s="54"/>
      <c r="D914" s="54"/>
      <c r="E914" s="115"/>
      <c r="F914" s="223"/>
      <c r="G914" s="54"/>
      <c r="H914" s="115"/>
      <c r="I914" s="115"/>
      <c r="J914" s="54"/>
      <c r="K914" s="115"/>
      <c r="L914" s="115"/>
    </row>
    <row r="915">
      <c r="A915" s="115"/>
      <c r="B915" s="115"/>
      <c r="C915" s="54"/>
      <c r="D915" s="54"/>
      <c r="E915" s="115"/>
      <c r="F915" s="223"/>
      <c r="G915" s="54"/>
      <c r="H915" s="115"/>
      <c r="I915" s="115"/>
      <c r="J915" s="54"/>
      <c r="K915" s="115"/>
      <c r="L915" s="115"/>
    </row>
    <row r="916">
      <c r="A916" s="115"/>
      <c r="B916" s="115"/>
      <c r="C916" s="54"/>
      <c r="D916" s="54"/>
      <c r="E916" s="115"/>
      <c r="F916" s="223"/>
      <c r="G916" s="54"/>
      <c r="H916" s="115"/>
      <c r="I916" s="115"/>
      <c r="J916" s="54"/>
      <c r="K916" s="115"/>
      <c r="L916" s="115"/>
    </row>
    <row r="917">
      <c r="A917" s="115"/>
      <c r="B917" s="115"/>
      <c r="C917" s="54"/>
      <c r="D917" s="54"/>
      <c r="E917" s="115"/>
      <c r="F917" s="223"/>
      <c r="G917" s="54"/>
      <c r="H917" s="115"/>
      <c r="I917" s="115"/>
      <c r="J917" s="54"/>
      <c r="K917" s="115"/>
      <c r="L917" s="115"/>
    </row>
    <row r="918">
      <c r="A918" s="115"/>
      <c r="B918" s="115"/>
      <c r="C918" s="54"/>
      <c r="D918" s="54"/>
      <c r="E918" s="115"/>
      <c r="F918" s="223"/>
      <c r="G918" s="54"/>
      <c r="H918" s="115"/>
      <c r="I918" s="115"/>
      <c r="J918" s="54"/>
      <c r="K918" s="115"/>
      <c r="L918" s="115"/>
    </row>
    <row r="919">
      <c r="A919" s="115"/>
      <c r="B919" s="115"/>
      <c r="C919" s="54"/>
      <c r="D919" s="54"/>
      <c r="E919" s="115"/>
      <c r="F919" s="223"/>
      <c r="G919" s="54"/>
      <c r="H919" s="115"/>
      <c r="I919" s="115"/>
      <c r="J919" s="54"/>
      <c r="K919" s="115"/>
      <c r="L919" s="115"/>
    </row>
    <row r="920">
      <c r="A920" s="115"/>
      <c r="B920" s="115"/>
      <c r="C920" s="54"/>
      <c r="D920" s="54"/>
      <c r="E920" s="115"/>
      <c r="F920" s="223"/>
      <c r="G920" s="54"/>
      <c r="H920" s="115"/>
      <c r="I920" s="115"/>
      <c r="J920" s="54"/>
      <c r="K920" s="115"/>
      <c r="L920" s="115"/>
    </row>
    <row r="921">
      <c r="A921" s="115"/>
      <c r="B921" s="115"/>
      <c r="C921" s="54"/>
      <c r="D921" s="54"/>
      <c r="E921" s="115"/>
      <c r="F921" s="223"/>
      <c r="G921" s="54"/>
      <c r="H921" s="115"/>
      <c r="I921" s="115"/>
      <c r="J921" s="54"/>
      <c r="K921" s="115"/>
      <c r="L921" s="115"/>
    </row>
    <row r="922">
      <c r="A922" s="115"/>
      <c r="B922" s="115"/>
      <c r="C922" s="54"/>
      <c r="D922" s="54"/>
      <c r="E922" s="115"/>
      <c r="F922" s="223"/>
      <c r="G922" s="54"/>
      <c r="H922" s="115"/>
      <c r="I922" s="115"/>
      <c r="J922" s="54"/>
      <c r="K922" s="115"/>
      <c r="L922" s="115"/>
    </row>
    <row r="923">
      <c r="A923" s="115"/>
      <c r="B923" s="115"/>
      <c r="C923" s="54"/>
      <c r="D923" s="54"/>
      <c r="E923" s="115"/>
      <c r="F923" s="223"/>
      <c r="G923" s="54"/>
      <c r="H923" s="115"/>
      <c r="I923" s="115"/>
      <c r="J923" s="54"/>
      <c r="K923" s="115"/>
      <c r="L923" s="115"/>
    </row>
    <row r="924">
      <c r="A924" s="115"/>
      <c r="B924" s="115"/>
      <c r="C924" s="54"/>
      <c r="D924" s="54"/>
      <c r="E924" s="115"/>
      <c r="F924" s="223"/>
      <c r="G924" s="54"/>
      <c r="H924" s="115"/>
      <c r="I924" s="115"/>
      <c r="J924" s="54"/>
      <c r="K924" s="115"/>
      <c r="L924" s="115"/>
    </row>
    <row r="925">
      <c r="A925" s="115"/>
      <c r="B925" s="115"/>
      <c r="C925" s="54"/>
      <c r="D925" s="54"/>
      <c r="E925" s="115"/>
      <c r="F925" s="223"/>
      <c r="G925" s="54"/>
      <c r="H925" s="115"/>
      <c r="I925" s="115"/>
      <c r="J925" s="54"/>
      <c r="K925" s="115"/>
      <c r="L925" s="115"/>
    </row>
    <row r="926">
      <c r="A926" s="115"/>
      <c r="B926" s="115"/>
      <c r="C926" s="54"/>
      <c r="D926" s="54"/>
      <c r="E926" s="115"/>
      <c r="F926" s="223"/>
      <c r="G926" s="54"/>
      <c r="H926" s="115"/>
      <c r="I926" s="115"/>
      <c r="J926" s="54"/>
      <c r="K926" s="115"/>
      <c r="L926" s="115"/>
    </row>
    <row r="927">
      <c r="A927" s="115"/>
      <c r="B927" s="115"/>
      <c r="C927" s="54"/>
      <c r="D927" s="54"/>
      <c r="E927" s="115"/>
      <c r="F927" s="223"/>
      <c r="G927" s="54"/>
      <c r="H927" s="115"/>
      <c r="I927" s="115"/>
      <c r="J927" s="54"/>
      <c r="K927" s="115"/>
      <c r="L927" s="115"/>
    </row>
    <row r="928">
      <c r="A928" s="115"/>
      <c r="B928" s="115"/>
      <c r="C928" s="54"/>
      <c r="D928" s="54"/>
      <c r="E928" s="115"/>
      <c r="F928" s="223"/>
      <c r="G928" s="54"/>
      <c r="H928" s="115"/>
      <c r="I928" s="115"/>
      <c r="J928" s="54"/>
      <c r="K928" s="115"/>
      <c r="L928" s="115"/>
    </row>
    <row r="929">
      <c r="A929" s="115"/>
      <c r="B929" s="115"/>
      <c r="C929" s="54"/>
      <c r="D929" s="54"/>
      <c r="E929" s="115"/>
      <c r="F929" s="223"/>
      <c r="G929" s="54"/>
      <c r="H929" s="115"/>
      <c r="I929" s="115"/>
      <c r="J929" s="54"/>
      <c r="K929" s="115"/>
      <c r="L929" s="115"/>
    </row>
    <row r="930">
      <c r="A930" s="115"/>
      <c r="B930" s="115"/>
      <c r="C930" s="54"/>
      <c r="D930" s="54"/>
      <c r="E930" s="115"/>
      <c r="F930" s="223"/>
      <c r="G930" s="54"/>
      <c r="H930" s="115"/>
      <c r="I930" s="115"/>
      <c r="J930" s="54"/>
      <c r="K930" s="115"/>
      <c r="L930" s="115"/>
    </row>
    <row r="931">
      <c r="A931" s="115"/>
      <c r="B931" s="115"/>
      <c r="C931" s="54"/>
      <c r="D931" s="54"/>
      <c r="E931" s="115"/>
      <c r="F931" s="223"/>
      <c r="G931" s="54"/>
      <c r="H931" s="115"/>
      <c r="I931" s="115"/>
      <c r="J931" s="54"/>
      <c r="K931" s="115"/>
      <c r="L931" s="115"/>
    </row>
    <row r="932">
      <c r="A932" s="115"/>
      <c r="B932" s="115"/>
      <c r="C932" s="54"/>
      <c r="D932" s="54"/>
      <c r="E932" s="115"/>
      <c r="F932" s="223"/>
      <c r="G932" s="54"/>
      <c r="H932" s="115"/>
      <c r="I932" s="115"/>
      <c r="J932" s="54"/>
      <c r="K932" s="115"/>
      <c r="L932" s="115"/>
    </row>
    <row r="933">
      <c r="A933" s="115"/>
      <c r="B933" s="115"/>
      <c r="C933" s="54"/>
      <c r="D933" s="54"/>
      <c r="E933" s="115"/>
      <c r="F933" s="223"/>
      <c r="G933" s="54"/>
      <c r="H933" s="115"/>
      <c r="I933" s="115"/>
      <c r="J933" s="54"/>
      <c r="K933" s="115"/>
      <c r="L933" s="115"/>
    </row>
    <row r="934">
      <c r="A934" s="115"/>
      <c r="B934" s="115"/>
      <c r="C934" s="54"/>
      <c r="D934" s="54"/>
      <c r="E934" s="115"/>
      <c r="F934" s="223"/>
      <c r="G934" s="54"/>
      <c r="H934" s="115"/>
      <c r="I934" s="115"/>
      <c r="J934" s="54"/>
      <c r="K934" s="115"/>
      <c r="L934" s="115"/>
    </row>
    <row r="935">
      <c r="A935" s="115"/>
      <c r="B935" s="115"/>
      <c r="C935" s="54"/>
      <c r="D935" s="54"/>
      <c r="E935" s="115"/>
      <c r="F935" s="223"/>
      <c r="G935" s="54"/>
      <c r="H935" s="115"/>
      <c r="I935" s="115"/>
      <c r="J935" s="54"/>
      <c r="K935" s="115"/>
      <c r="L935" s="115"/>
    </row>
    <row r="936">
      <c r="A936" s="115"/>
      <c r="B936" s="115"/>
      <c r="C936" s="54"/>
      <c r="D936" s="54"/>
      <c r="E936" s="115"/>
      <c r="F936" s="223"/>
      <c r="G936" s="54"/>
      <c r="H936" s="115"/>
      <c r="I936" s="115"/>
      <c r="J936" s="54"/>
      <c r="K936" s="115"/>
      <c r="L936" s="115"/>
    </row>
    <row r="937">
      <c r="A937" s="115"/>
      <c r="B937" s="115"/>
      <c r="C937" s="54"/>
      <c r="D937" s="54"/>
      <c r="E937" s="115"/>
      <c r="F937" s="223"/>
      <c r="G937" s="54"/>
      <c r="H937" s="115"/>
      <c r="I937" s="115"/>
      <c r="J937" s="54"/>
      <c r="K937" s="115"/>
      <c r="L937" s="115"/>
    </row>
    <row r="938">
      <c r="A938" s="115"/>
      <c r="B938" s="115"/>
      <c r="C938" s="54"/>
      <c r="D938" s="54"/>
      <c r="E938" s="115"/>
      <c r="F938" s="223"/>
      <c r="G938" s="54"/>
      <c r="H938" s="115"/>
      <c r="I938" s="115"/>
      <c r="J938" s="54"/>
      <c r="K938" s="115"/>
      <c r="L938" s="115"/>
    </row>
    <row r="939">
      <c r="A939" s="115"/>
      <c r="B939" s="115"/>
      <c r="C939" s="54"/>
      <c r="D939" s="54"/>
      <c r="E939" s="115"/>
      <c r="F939" s="223"/>
      <c r="G939" s="54"/>
      <c r="H939" s="115"/>
      <c r="I939" s="115"/>
      <c r="J939" s="54"/>
      <c r="K939" s="115"/>
      <c r="L939" s="115"/>
    </row>
    <row r="940">
      <c r="A940" s="115"/>
      <c r="B940" s="115"/>
      <c r="C940" s="54"/>
      <c r="D940" s="54"/>
      <c r="E940" s="115"/>
      <c r="F940" s="223"/>
      <c r="G940" s="54"/>
      <c r="H940" s="115"/>
      <c r="I940" s="115"/>
      <c r="J940" s="54"/>
      <c r="K940" s="115"/>
      <c r="L940" s="115"/>
    </row>
    <row r="941">
      <c r="A941" s="115"/>
      <c r="B941" s="115"/>
      <c r="C941" s="54"/>
      <c r="D941" s="54"/>
      <c r="E941" s="115"/>
      <c r="F941" s="223"/>
      <c r="G941" s="54"/>
      <c r="H941" s="115"/>
      <c r="I941" s="115"/>
      <c r="J941" s="54"/>
      <c r="K941" s="115"/>
      <c r="L941" s="115"/>
    </row>
    <row r="942">
      <c r="A942" s="115"/>
      <c r="B942" s="115"/>
      <c r="C942" s="54"/>
      <c r="D942" s="54"/>
      <c r="E942" s="115"/>
      <c r="F942" s="223"/>
      <c r="G942" s="54"/>
      <c r="H942" s="115"/>
      <c r="I942" s="115"/>
      <c r="J942" s="54"/>
      <c r="K942" s="115"/>
      <c r="L942" s="115"/>
    </row>
    <row r="943">
      <c r="A943" s="115"/>
      <c r="B943" s="115"/>
      <c r="C943" s="54"/>
      <c r="D943" s="54"/>
      <c r="E943" s="115"/>
      <c r="F943" s="223"/>
      <c r="G943" s="54"/>
      <c r="H943" s="115"/>
      <c r="I943" s="115"/>
      <c r="J943" s="54"/>
      <c r="K943" s="115"/>
      <c r="L943" s="115"/>
    </row>
    <row r="944">
      <c r="A944" s="115"/>
      <c r="B944" s="115"/>
      <c r="C944" s="54"/>
      <c r="D944" s="54"/>
      <c r="E944" s="115"/>
      <c r="F944" s="223"/>
      <c r="G944" s="54"/>
      <c r="H944" s="115"/>
      <c r="I944" s="115"/>
      <c r="J944" s="54"/>
      <c r="K944" s="115"/>
      <c r="L944" s="115"/>
    </row>
    <row r="945">
      <c r="A945" s="115"/>
      <c r="B945" s="115"/>
      <c r="C945" s="54"/>
      <c r="D945" s="54"/>
      <c r="E945" s="115"/>
      <c r="F945" s="223"/>
      <c r="G945" s="54"/>
      <c r="H945" s="115"/>
      <c r="I945" s="115"/>
      <c r="J945" s="54"/>
      <c r="K945" s="115"/>
      <c r="L945" s="115"/>
    </row>
    <row r="946">
      <c r="A946" s="115"/>
      <c r="B946" s="115"/>
      <c r="C946" s="54"/>
      <c r="D946" s="54"/>
      <c r="E946" s="115"/>
      <c r="F946" s="223"/>
      <c r="G946" s="54"/>
      <c r="H946" s="115"/>
      <c r="I946" s="115"/>
      <c r="J946" s="54"/>
      <c r="K946" s="115"/>
      <c r="L946" s="115"/>
    </row>
    <row r="947">
      <c r="A947" s="115"/>
      <c r="B947" s="115"/>
      <c r="C947" s="54"/>
      <c r="D947" s="54"/>
      <c r="E947" s="115"/>
      <c r="F947" s="223"/>
      <c r="G947" s="54"/>
      <c r="H947" s="115"/>
      <c r="I947" s="115"/>
      <c r="J947" s="54"/>
      <c r="K947" s="115"/>
      <c r="L947" s="115"/>
    </row>
    <row r="948">
      <c r="A948" s="115"/>
      <c r="B948" s="115"/>
      <c r="C948" s="54"/>
      <c r="D948" s="54"/>
      <c r="E948" s="115"/>
      <c r="F948" s="223"/>
      <c r="G948" s="54"/>
      <c r="H948" s="115"/>
      <c r="I948" s="115"/>
      <c r="J948" s="54"/>
      <c r="K948" s="115"/>
      <c r="L948" s="115"/>
    </row>
    <row r="949">
      <c r="A949" s="115"/>
      <c r="B949" s="115"/>
      <c r="C949" s="54"/>
      <c r="D949" s="54"/>
      <c r="E949" s="115"/>
      <c r="F949" s="223"/>
      <c r="G949" s="54"/>
      <c r="H949" s="115"/>
      <c r="I949" s="115"/>
      <c r="J949" s="54"/>
      <c r="K949" s="115"/>
      <c r="L949" s="115"/>
    </row>
    <row r="950">
      <c r="A950" s="115"/>
      <c r="B950" s="115"/>
      <c r="C950" s="54"/>
      <c r="D950" s="54"/>
      <c r="E950" s="115"/>
      <c r="F950" s="223"/>
      <c r="G950" s="54"/>
      <c r="H950" s="115"/>
      <c r="I950" s="115"/>
      <c r="J950" s="54"/>
      <c r="K950" s="115"/>
      <c r="L950" s="115"/>
    </row>
    <row r="951">
      <c r="A951" s="115"/>
      <c r="B951" s="115"/>
      <c r="C951" s="54"/>
      <c r="D951" s="54"/>
      <c r="E951" s="115"/>
      <c r="F951" s="223"/>
      <c r="G951" s="54"/>
      <c r="H951" s="115"/>
      <c r="I951" s="115"/>
      <c r="J951" s="54"/>
      <c r="K951" s="115"/>
      <c r="L951" s="115"/>
    </row>
    <row r="952">
      <c r="A952" s="115"/>
      <c r="B952" s="115"/>
      <c r="C952" s="54"/>
      <c r="D952" s="54"/>
      <c r="E952" s="115"/>
      <c r="F952" s="223"/>
      <c r="G952" s="54"/>
      <c r="H952" s="115"/>
      <c r="I952" s="115"/>
      <c r="J952" s="54"/>
      <c r="K952" s="115"/>
      <c r="L952" s="115"/>
    </row>
    <row r="953">
      <c r="A953" s="115"/>
      <c r="B953" s="115"/>
      <c r="C953" s="54"/>
      <c r="D953" s="54"/>
      <c r="E953" s="115"/>
      <c r="F953" s="223"/>
      <c r="G953" s="54"/>
      <c r="H953" s="115"/>
      <c r="I953" s="115"/>
      <c r="J953" s="54"/>
      <c r="K953" s="115"/>
      <c r="L953" s="115"/>
    </row>
    <row r="954">
      <c r="A954" s="115"/>
      <c r="B954" s="115"/>
      <c r="C954" s="54"/>
      <c r="D954" s="54"/>
      <c r="E954" s="115"/>
      <c r="F954" s="223"/>
      <c r="G954" s="54"/>
      <c r="H954" s="115"/>
      <c r="I954" s="115"/>
      <c r="J954" s="54"/>
      <c r="K954" s="115"/>
      <c r="L954" s="115"/>
    </row>
    <row r="955">
      <c r="A955" s="115"/>
      <c r="B955" s="115"/>
      <c r="C955" s="54"/>
      <c r="D955" s="54"/>
      <c r="E955" s="115"/>
      <c r="F955" s="223"/>
      <c r="G955" s="54"/>
      <c r="H955" s="115"/>
      <c r="I955" s="115"/>
      <c r="J955" s="54"/>
      <c r="K955" s="115"/>
      <c r="L955" s="115"/>
    </row>
    <row r="956">
      <c r="A956" s="115"/>
      <c r="B956" s="115"/>
      <c r="C956" s="54"/>
      <c r="D956" s="54"/>
      <c r="E956" s="115"/>
      <c r="F956" s="223"/>
      <c r="G956" s="54"/>
      <c r="H956" s="115"/>
      <c r="I956" s="115"/>
      <c r="J956" s="54"/>
      <c r="K956" s="115"/>
      <c r="L956" s="115"/>
    </row>
    <row r="957">
      <c r="A957" s="115"/>
      <c r="B957" s="115"/>
      <c r="C957" s="54"/>
      <c r="D957" s="54"/>
      <c r="E957" s="115"/>
      <c r="F957" s="223"/>
      <c r="G957" s="54"/>
      <c r="H957" s="115"/>
      <c r="I957" s="115"/>
      <c r="J957" s="54"/>
      <c r="K957" s="115"/>
      <c r="L957" s="115"/>
    </row>
    <row r="958">
      <c r="A958" s="115"/>
      <c r="B958" s="115"/>
      <c r="C958" s="54"/>
      <c r="D958" s="54"/>
      <c r="E958" s="115"/>
      <c r="F958" s="223"/>
      <c r="G958" s="54"/>
      <c r="H958" s="115"/>
      <c r="I958" s="115"/>
      <c r="J958" s="54"/>
      <c r="K958" s="115"/>
      <c r="L958" s="115"/>
    </row>
    <row r="959">
      <c r="A959" s="115"/>
      <c r="B959" s="115"/>
      <c r="C959" s="54"/>
      <c r="D959" s="54"/>
      <c r="E959" s="115"/>
      <c r="F959" s="223"/>
      <c r="G959" s="54"/>
      <c r="H959" s="115"/>
      <c r="I959" s="115"/>
      <c r="J959" s="54"/>
      <c r="K959" s="115"/>
      <c r="L959" s="115"/>
    </row>
    <row r="960">
      <c r="A960" s="115"/>
      <c r="B960" s="115"/>
      <c r="C960" s="54"/>
      <c r="D960" s="54"/>
      <c r="E960" s="115"/>
      <c r="F960" s="223"/>
      <c r="G960" s="54"/>
      <c r="H960" s="115"/>
      <c r="I960" s="115"/>
      <c r="J960" s="54"/>
      <c r="K960" s="115"/>
      <c r="L960" s="115"/>
    </row>
    <row r="961">
      <c r="A961" s="115"/>
      <c r="B961" s="115"/>
      <c r="C961" s="54"/>
      <c r="D961" s="54"/>
      <c r="E961" s="115"/>
      <c r="F961" s="223"/>
      <c r="G961" s="54"/>
      <c r="H961" s="115"/>
      <c r="I961" s="115"/>
      <c r="J961" s="54"/>
      <c r="K961" s="115"/>
      <c r="L961" s="115"/>
    </row>
    <row r="962">
      <c r="A962" s="115"/>
      <c r="B962" s="115"/>
      <c r="C962" s="54"/>
      <c r="D962" s="54"/>
      <c r="E962" s="115"/>
      <c r="F962" s="223"/>
      <c r="G962" s="54"/>
      <c r="H962" s="115"/>
      <c r="I962" s="115"/>
      <c r="J962" s="54"/>
      <c r="K962" s="115"/>
      <c r="L962" s="115"/>
    </row>
    <row r="963">
      <c r="A963" s="115"/>
      <c r="B963" s="115"/>
      <c r="C963" s="54"/>
      <c r="D963" s="54"/>
      <c r="E963" s="115"/>
      <c r="F963" s="223"/>
      <c r="G963" s="54"/>
      <c r="H963" s="115"/>
      <c r="I963" s="115"/>
      <c r="J963" s="54"/>
      <c r="K963" s="115"/>
      <c r="L963" s="115"/>
    </row>
    <row r="964">
      <c r="A964" s="115"/>
      <c r="B964" s="115"/>
      <c r="C964" s="54"/>
      <c r="D964" s="54"/>
      <c r="E964" s="115"/>
      <c r="F964" s="223"/>
      <c r="G964" s="54"/>
      <c r="H964" s="115"/>
      <c r="I964" s="115"/>
      <c r="J964" s="54"/>
      <c r="K964" s="115"/>
      <c r="L964" s="115"/>
    </row>
    <row r="965">
      <c r="A965" s="115"/>
      <c r="B965" s="115"/>
      <c r="C965" s="54"/>
      <c r="D965" s="54"/>
      <c r="E965" s="115"/>
      <c r="F965" s="223"/>
      <c r="G965" s="54"/>
      <c r="H965" s="115"/>
      <c r="I965" s="115"/>
      <c r="J965" s="54"/>
      <c r="K965" s="115"/>
      <c r="L965" s="115"/>
    </row>
    <row r="966">
      <c r="A966" s="115"/>
      <c r="B966" s="115"/>
      <c r="C966" s="54"/>
      <c r="D966" s="54"/>
      <c r="E966" s="115"/>
      <c r="F966" s="223"/>
      <c r="G966" s="54"/>
      <c r="H966" s="115"/>
      <c r="I966" s="115"/>
      <c r="J966" s="54"/>
      <c r="K966" s="115"/>
      <c r="L966" s="115"/>
    </row>
    <row r="967">
      <c r="A967" s="115"/>
      <c r="B967" s="115"/>
      <c r="C967" s="54"/>
      <c r="D967" s="54"/>
      <c r="E967" s="115"/>
      <c r="F967" s="223"/>
      <c r="G967" s="54"/>
      <c r="H967" s="115"/>
      <c r="I967" s="115"/>
      <c r="J967" s="54"/>
      <c r="K967" s="115"/>
      <c r="L967" s="115"/>
    </row>
    <row r="968">
      <c r="A968" s="115"/>
      <c r="B968" s="115"/>
      <c r="C968" s="54"/>
      <c r="D968" s="54"/>
      <c r="E968" s="115"/>
      <c r="F968" s="223"/>
      <c r="G968" s="54"/>
      <c r="H968" s="115"/>
      <c r="I968" s="115"/>
      <c r="J968" s="54"/>
      <c r="K968" s="115"/>
      <c r="L968" s="115"/>
    </row>
    <row r="969">
      <c r="A969" s="115"/>
      <c r="B969" s="115"/>
      <c r="C969" s="54"/>
      <c r="D969" s="54"/>
      <c r="E969" s="115"/>
      <c r="F969" s="223"/>
      <c r="G969" s="54"/>
      <c r="H969" s="115"/>
      <c r="I969" s="115"/>
      <c r="J969" s="54"/>
      <c r="K969" s="115"/>
      <c r="L969" s="115"/>
    </row>
    <row r="970">
      <c r="A970" s="115"/>
      <c r="B970" s="115"/>
      <c r="C970" s="54"/>
      <c r="D970" s="54"/>
      <c r="E970" s="115"/>
      <c r="F970" s="223"/>
      <c r="G970" s="54"/>
      <c r="H970" s="115"/>
      <c r="I970" s="115"/>
      <c r="J970" s="54"/>
      <c r="K970" s="115"/>
      <c r="L970" s="115"/>
    </row>
    <row r="971">
      <c r="A971" s="115"/>
      <c r="B971" s="115"/>
      <c r="C971" s="54"/>
      <c r="D971" s="54"/>
      <c r="E971" s="115"/>
      <c r="F971" s="223"/>
      <c r="G971" s="54"/>
      <c r="H971" s="115"/>
      <c r="I971" s="115"/>
      <c r="J971" s="54"/>
      <c r="K971" s="115"/>
      <c r="L971" s="115"/>
    </row>
    <row r="972">
      <c r="A972" s="115"/>
      <c r="B972" s="115"/>
      <c r="C972" s="54"/>
      <c r="D972" s="54"/>
      <c r="E972" s="115"/>
      <c r="F972" s="223"/>
      <c r="G972" s="54"/>
      <c r="H972" s="115"/>
      <c r="I972" s="115"/>
      <c r="J972" s="54"/>
      <c r="K972" s="115"/>
      <c r="L972" s="115"/>
    </row>
    <row r="973">
      <c r="A973" s="115"/>
      <c r="B973" s="115"/>
      <c r="C973" s="54"/>
      <c r="D973" s="54"/>
      <c r="E973" s="115"/>
      <c r="F973" s="223"/>
      <c r="G973" s="54"/>
      <c r="H973" s="115"/>
      <c r="I973" s="115"/>
      <c r="J973" s="54"/>
      <c r="K973" s="115"/>
      <c r="L973" s="115"/>
    </row>
    <row r="974">
      <c r="A974" s="115"/>
      <c r="B974" s="115"/>
      <c r="C974" s="54"/>
      <c r="D974" s="54"/>
      <c r="E974" s="115"/>
      <c r="F974" s="223"/>
      <c r="G974" s="54"/>
      <c r="H974" s="115"/>
      <c r="I974" s="115"/>
      <c r="J974" s="54"/>
      <c r="K974" s="115"/>
      <c r="L974" s="115"/>
    </row>
    <row r="975">
      <c r="A975" s="115"/>
      <c r="B975" s="115"/>
      <c r="C975" s="54"/>
      <c r="D975" s="54"/>
      <c r="E975" s="115"/>
      <c r="F975" s="223"/>
      <c r="G975" s="54"/>
      <c r="H975" s="115"/>
      <c r="I975" s="115"/>
      <c r="J975" s="54"/>
      <c r="K975" s="115"/>
      <c r="L975" s="115"/>
    </row>
    <row r="976">
      <c r="A976" s="115"/>
      <c r="B976" s="115"/>
      <c r="C976" s="54"/>
      <c r="D976" s="54"/>
      <c r="E976" s="115"/>
      <c r="F976" s="223"/>
      <c r="G976" s="54"/>
      <c r="H976" s="115"/>
      <c r="I976" s="115"/>
      <c r="J976" s="54"/>
      <c r="K976" s="115"/>
      <c r="L976" s="115"/>
    </row>
    <row r="977">
      <c r="A977" s="115"/>
      <c r="B977" s="115"/>
      <c r="C977" s="54"/>
      <c r="D977" s="54"/>
      <c r="E977" s="115"/>
      <c r="F977" s="223"/>
      <c r="G977" s="54"/>
      <c r="H977" s="115"/>
      <c r="I977" s="115"/>
      <c r="J977" s="54"/>
      <c r="K977" s="115"/>
      <c r="L977" s="115"/>
    </row>
    <row r="978">
      <c r="A978" s="115"/>
      <c r="B978" s="115"/>
      <c r="C978" s="54"/>
      <c r="D978" s="54"/>
      <c r="E978" s="115"/>
      <c r="F978" s="223"/>
      <c r="G978" s="54"/>
      <c r="H978" s="115"/>
      <c r="I978" s="115"/>
      <c r="J978" s="54"/>
      <c r="K978" s="115"/>
      <c r="L978" s="115"/>
    </row>
    <row r="979">
      <c r="A979" s="115"/>
      <c r="B979" s="115"/>
      <c r="C979" s="54"/>
      <c r="D979" s="54"/>
      <c r="E979" s="115"/>
      <c r="F979" s="223"/>
      <c r="G979" s="54"/>
      <c r="H979" s="115"/>
      <c r="I979" s="115"/>
      <c r="J979" s="54"/>
      <c r="K979" s="115"/>
      <c r="L979" s="115"/>
    </row>
    <row r="980">
      <c r="A980" s="115"/>
      <c r="B980" s="115"/>
      <c r="C980" s="54"/>
      <c r="D980" s="54"/>
      <c r="E980" s="115"/>
      <c r="F980" s="223"/>
      <c r="G980" s="54"/>
      <c r="H980" s="115"/>
      <c r="I980" s="115"/>
      <c r="J980" s="54"/>
      <c r="K980" s="115"/>
      <c r="L980" s="115"/>
    </row>
    <row r="981">
      <c r="A981" s="115"/>
      <c r="B981" s="115"/>
      <c r="C981" s="54"/>
      <c r="D981" s="54"/>
      <c r="E981" s="115"/>
      <c r="F981" s="223"/>
      <c r="G981" s="54"/>
      <c r="H981" s="115"/>
      <c r="I981" s="115"/>
      <c r="J981" s="54"/>
      <c r="K981" s="115"/>
      <c r="L981" s="115"/>
    </row>
    <row r="982">
      <c r="A982" s="115"/>
      <c r="B982" s="115"/>
      <c r="C982" s="54"/>
      <c r="D982" s="54"/>
      <c r="E982" s="115"/>
      <c r="F982" s="223"/>
      <c r="G982" s="54"/>
      <c r="H982" s="115"/>
      <c r="I982" s="115"/>
      <c r="J982" s="54"/>
      <c r="K982" s="115"/>
      <c r="L982" s="115"/>
    </row>
    <row r="983">
      <c r="A983" s="115"/>
      <c r="B983" s="115"/>
      <c r="C983" s="54"/>
      <c r="D983" s="54"/>
      <c r="E983" s="115"/>
      <c r="F983" s="223"/>
      <c r="G983" s="54"/>
      <c r="H983" s="115"/>
      <c r="I983" s="115"/>
      <c r="J983" s="54"/>
      <c r="K983" s="115"/>
      <c r="L983" s="115"/>
    </row>
    <row r="984">
      <c r="A984" s="115"/>
      <c r="B984" s="115"/>
      <c r="C984" s="54"/>
      <c r="D984" s="54"/>
      <c r="E984" s="115"/>
      <c r="F984" s="223"/>
      <c r="G984" s="54"/>
      <c r="H984" s="115"/>
      <c r="I984" s="115"/>
      <c r="J984" s="54"/>
      <c r="K984" s="115"/>
      <c r="L984" s="115"/>
    </row>
    <row r="985">
      <c r="A985" s="115"/>
      <c r="B985" s="115"/>
      <c r="C985" s="54"/>
      <c r="D985" s="54"/>
      <c r="E985" s="115"/>
      <c r="F985" s="223"/>
      <c r="G985" s="54"/>
      <c r="H985" s="115"/>
      <c r="I985" s="115"/>
      <c r="J985" s="54"/>
      <c r="K985" s="115"/>
      <c r="L985" s="115"/>
    </row>
    <row r="986">
      <c r="A986" s="115"/>
      <c r="B986" s="115"/>
      <c r="C986" s="54"/>
      <c r="D986" s="54"/>
      <c r="E986" s="115"/>
      <c r="F986" s="223"/>
      <c r="G986" s="54"/>
      <c r="H986" s="115"/>
      <c r="I986" s="115"/>
      <c r="J986" s="54"/>
      <c r="K986" s="115"/>
      <c r="L986" s="115"/>
    </row>
    <row r="987">
      <c r="A987" s="115"/>
      <c r="B987" s="115"/>
      <c r="C987" s="54"/>
      <c r="D987" s="54"/>
      <c r="E987" s="115"/>
      <c r="F987" s="223"/>
      <c r="G987" s="54"/>
      <c r="H987" s="115"/>
      <c r="I987" s="115"/>
      <c r="J987" s="54"/>
      <c r="K987" s="115"/>
      <c r="L987" s="115"/>
    </row>
    <row r="988">
      <c r="A988" s="115"/>
      <c r="B988" s="115"/>
      <c r="C988" s="54"/>
      <c r="D988" s="54"/>
      <c r="E988" s="115"/>
      <c r="F988" s="223"/>
      <c r="G988" s="54"/>
      <c r="H988" s="115"/>
      <c r="I988" s="115"/>
      <c r="J988" s="54"/>
      <c r="K988" s="115"/>
      <c r="L988" s="115"/>
    </row>
    <row r="989">
      <c r="A989" s="115"/>
      <c r="B989" s="115"/>
      <c r="C989" s="54"/>
      <c r="D989" s="54"/>
      <c r="E989" s="115"/>
      <c r="F989" s="223"/>
      <c r="G989" s="54"/>
      <c r="H989" s="115"/>
      <c r="I989" s="115"/>
      <c r="J989" s="54"/>
      <c r="K989" s="115"/>
      <c r="L989" s="115"/>
    </row>
    <row r="990">
      <c r="A990" s="115"/>
      <c r="B990" s="115"/>
      <c r="C990" s="54"/>
      <c r="D990" s="54"/>
      <c r="E990" s="115"/>
      <c r="F990" s="223"/>
      <c r="G990" s="54"/>
      <c r="H990" s="115"/>
      <c r="I990" s="115"/>
      <c r="J990" s="54"/>
      <c r="K990" s="115"/>
      <c r="L990" s="115"/>
    </row>
    <row r="991">
      <c r="A991" s="115"/>
      <c r="B991" s="115"/>
      <c r="C991" s="54"/>
      <c r="D991" s="54"/>
      <c r="E991" s="115"/>
      <c r="F991" s="223"/>
      <c r="G991" s="54"/>
      <c r="H991" s="115"/>
      <c r="I991" s="115"/>
      <c r="J991" s="54"/>
      <c r="K991" s="115"/>
      <c r="L991" s="115"/>
    </row>
    <row r="992">
      <c r="A992" s="115"/>
      <c r="B992" s="115"/>
      <c r="C992" s="54"/>
      <c r="D992" s="54"/>
      <c r="E992" s="115"/>
      <c r="F992" s="223"/>
      <c r="G992" s="54"/>
      <c r="H992" s="115"/>
      <c r="I992" s="115"/>
      <c r="J992" s="54"/>
      <c r="K992" s="115"/>
      <c r="L992" s="115"/>
    </row>
    <row r="993">
      <c r="A993" s="115"/>
      <c r="B993" s="115"/>
      <c r="C993" s="54"/>
      <c r="D993" s="54"/>
      <c r="E993" s="115"/>
      <c r="F993" s="223"/>
      <c r="G993" s="54"/>
      <c r="H993" s="115"/>
      <c r="I993" s="115"/>
      <c r="J993" s="54"/>
      <c r="K993" s="115"/>
      <c r="L993" s="115"/>
    </row>
    <row r="994">
      <c r="A994" s="115"/>
      <c r="B994" s="115"/>
      <c r="C994" s="54"/>
      <c r="D994" s="54"/>
      <c r="E994" s="115"/>
      <c r="F994" s="223"/>
      <c r="G994" s="54"/>
      <c r="H994" s="115"/>
      <c r="I994" s="115"/>
      <c r="J994" s="54"/>
      <c r="K994" s="115"/>
      <c r="L994" s="115"/>
    </row>
    <row r="995">
      <c r="A995" s="115"/>
      <c r="B995" s="115"/>
      <c r="C995" s="54"/>
      <c r="D995" s="54"/>
      <c r="E995" s="115"/>
      <c r="F995" s="223"/>
      <c r="G995" s="54"/>
      <c r="H995" s="115"/>
      <c r="I995" s="115"/>
      <c r="J995" s="54"/>
      <c r="K995" s="115"/>
      <c r="L995" s="115"/>
    </row>
  </sheetData>
  <dataValidations>
    <dataValidation type="list" allowBlank="1" showErrorMessage="1" sqref="A2:A192 A194:A211 A213:A304 A306:A423 A425:A516 A518:A635 A637:A728 A730:A847">
      <formula1>"Urgente,Mediana,Normal,Análise Concluída,Falta Tutoria,Falta Documentação,Falta Financeiro,Falta Plataforma,Aluno certificado,Aluno no Setor de Cobrança,Processo de certificação,Falta extensão"</formula1>
    </dataValidation>
    <dataValidation type="list" allowBlank="1" showErrorMessage="1" sqref="C2:C205">
      <formula1>"040.211.946-06,340.673.278-03,039.234.944-24,101.414.377-23,018.849.412-06	,039.269.459-07,117.818.307-62,926.965.970-49,013.187.702-03,908.804.802-97,131.250.556-79,969.293.671-68,369.365.528-62,027.239.532-38,144.865.267-75,452.933.091-53,075.162.167-63"&amp;",007.384.971-50,088.934.844-80,278.532.038-70,091.333.296-80,120.531.938-75,003.590.910-24,574.558.135-20,102.063.806-07,126.551.137-30,115.042.786-82,031.361.690-69,072.748.191-60,039.733.329-32,660.226.652-72,000.808.821-70,13369518775,090.807.287-21,85"&amp;"8.961.872-20,647.073.005-10,106.027.036-62,357.577.603-20,008.051.343-36,	041.861.144-04,133.776.668-26,027.738.751-50
,900.398.404-25,214.916.258-05,028.888.919-30,002.543.375-03,039.985.886-55,006.079.150-05,062.172.386-08,001.795.255-73,049.103.991-35,"&amp;"013.137.450-81,406.305.281-87,321.551.838-44,909-907-652.53,554.006.476-34,979.966.291-53,089.349.486-04,068.175.544-03,716.498.162-00,759.509.362-72,045.552.656-70,325.961.268-85,781.800.905-15,397.697.528-19 ,184.616.678-08,340.084.478-06,107.998.887-45"&amp;",066.803.661-35,042.452.983-16,304.990.838-65,010.721.154-84,061.811.346-03,064.664.283-97,021.310.741-40,017.927.627-12,283.211.462-87,000.298.240-44,106.310.137-92,008.432.185-76,	285.943.998-63,132.233.838-83,100.531.876-01,017.412.527-50,352.165.458-3"&amp;"2,	044.868.764-07,395.650.921-87,398.986.558-79
, 098.152.219-06
,092.350.467-26,094.819.549-51,014.349.243-86,065.494.949-23,866.803.071-04,297.651.338-47,064.915.759-18,992.329.796-91,simple,729.748.341-91,738.488.752- 68,887.319.283-15,365.291.925-49,4"&amp;"03.203.165-73,057.718.759-70,039.919.576-98,075.305.725-55,007.495.737-67,546.138.501-00,006.916.421-50,285.943.998-63,8776630765,006.951.992-77,139.181.698-63,011.197.031-82,625.398.091-20,274.098.418-93,299.543.803-10,397.697.528-19,748.462.132-34,040.3"&amp;"78.361-57,327.751.028-08,368.282.288-71,016.168.403-31,089.409.279-07,098.694.628-12,115.292.686-13,054.197.923-03,309.834.238-22,841.527.881-00,075.056.186-60,477.986.707-00,022.290.624-33,628.432.653-04,057.948.061-50,335.410.26-08,028.917.992-08,041.40"&amp;"3.699-90,066.298.439-08,311.016.388-85,215.114.768-18,705.105.713-87,340.626.808-07,097.078.417-10,012.607.426-79,007.633.082-69,216.640.388-33,039.908.834-29,4347561482,783.650.746-72,019.798.225-57,055.921.326-38,080.950.548-79"</formula1>
    </dataValidation>
    <dataValidation type="list" allowBlank="1" showErrorMessage="1" sqref="A193">
      <formula1>"Urgente,Mediana,Normal,Análise Concluída,Falta Tutoria,Falta Documentação,Falta Financeiro,Falta Plataforma,Aluno certificado,Aluno no Setor de Cobrança,Processo de certificação"</formula1>
    </dataValidation>
  </dataValidations>
  <printOptions gridLines="1" horizontalCentered="1"/>
  <pageMargins bottom="0.75" footer="0.0" header="0.0" left="0.7" right="0.7" top="0.75"/>
  <pageSetup fitToHeight="0" paperSize="9" cellComments="atEnd" orientation="landscape" pageOrder="overThenDown"/>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57.13"/>
    <col customWidth="1" min="2" max="2" width="40.38"/>
    <col customWidth="1" min="3" max="3" width="23.5"/>
    <col customWidth="1" min="4" max="4" width="16.0"/>
    <col customWidth="1" min="5" max="5" width="74.5"/>
    <col customWidth="1" min="6" max="6" width="116.88"/>
    <col customWidth="1" min="7" max="7" width="44.75"/>
    <col customWidth="1" min="8" max="8" width="38.0"/>
    <col customWidth="1" min="9" max="9" width="66.5"/>
    <col customWidth="1" min="10" max="10" width="25.0"/>
    <col customWidth="1" min="11" max="11" width="53.75"/>
    <col customWidth="1" min="12" max="12" width="25.0"/>
  </cols>
  <sheetData>
    <row r="1" ht="42.75" customHeight="1">
      <c r="A1" s="224"/>
      <c r="B1" s="225" t="s">
        <v>2</v>
      </c>
      <c r="C1" s="225" t="s">
        <v>1</v>
      </c>
      <c r="D1" s="225" t="s">
        <v>3</v>
      </c>
      <c r="E1" s="226" t="s">
        <v>4</v>
      </c>
      <c r="F1" s="225" t="s">
        <v>568</v>
      </c>
      <c r="G1" s="225" t="s">
        <v>569</v>
      </c>
      <c r="H1" s="225" t="s">
        <v>7</v>
      </c>
      <c r="I1" s="225" t="s">
        <v>570</v>
      </c>
      <c r="J1" s="225" t="s">
        <v>571</v>
      </c>
      <c r="K1" s="225" t="s">
        <v>572</v>
      </c>
      <c r="L1" s="227"/>
    </row>
    <row r="2">
      <c r="A2" s="62" t="s">
        <v>171</v>
      </c>
      <c r="B2" s="70" t="s">
        <v>2644</v>
      </c>
      <c r="C2" s="68" t="s">
        <v>2645</v>
      </c>
      <c r="D2" s="45" t="s">
        <v>556</v>
      </c>
      <c r="E2" s="62" t="s">
        <v>2646</v>
      </c>
      <c r="F2" s="76" t="s">
        <v>2647</v>
      </c>
      <c r="G2" s="84" t="s">
        <v>24</v>
      </c>
      <c r="H2" s="91" t="s">
        <v>2648</v>
      </c>
      <c r="I2" s="91" t="s">
        <v>2649</v>
      </c>
      <c r="J2" s="54"/>
      <c r="K2" s="70" t="s">
        <v>2650</v>
      </c>
      <c r="L2" s="115"/>
    </row>
    <row r="3">
      <c r="A3" s="62" t="s">
        <v>11</v>
      </c>
      <c r="B3" s="228" t="s">
        <v>2651</v>
      </c>
      <c r="C3" s="68" t="s">
        <v>2652</v>
      </c>
      <c r="D3" s="68" t="s">
        <v>556</v>
      </c>
      <c r="E3" s="70" t="s">
        <v>463</v>
      </c>
      <c r="F3" s="229" t="s">
        <v>2653</v>
      </c>
      <c r="G3" s="84" t="s">
        <v>24</v>
      </c>
      <c r="H3" s="78" t="s">
        <v>2654</v>
      </c>
      <c r="I3" s="228" t="s">
        <v>1195</v>
      </c>
      <c r="J3" s="54"/>
      <c r="K3" s="115"/>
      <c r="L3" s="115"/>
    </row>
    <row r="4">
      <c r="A4" s="62" t="s">
        <v>171</v>
      </c>
      <c r="B4" s="70" t="s">
        <v>2655</v>
      </c>
      <c r="C4" s="230" t="s">
        <v>2656</v>
      </c>
      <c r="D4" s="68" t="s">
        <v>1917</v>
      </c>
      <c r="E4" s="62" t="s">
        <v>2657</v>
      </c>
      <c r="F4" s="44" t="s">
        <v>2658</v>
      </c>
      <c r="G4" s="84" t="s">
        <v>24</v>
      </c>
      <c r="H4" s="228" t="s">
        <v>40</v>
      </c>
      <c r="I4" s="62" t="s">
        <v>2659</v>
      </c>
      <c r="J4" s="54"/>
      <c r="K4" s="115"/>
      <c r="L4" s="115"/>
    </row>
    <row r="5">
      <c r="A5" s="62" t="s">
        <v>171</v>
      </c>
      <c r="B5" s="70" t="s">
        <v>2660</v>
      </c>
      <c r="C5" s="230" t="s">
        <v>2661</v>
      </c>
      <c r="D5" s="68" t="s">
        <v>1917</v>
      </c>
      <c r="E5" s="62" t="s">
        <v>2662</v>
      </c>
      <c r="F5" s="228" t="s">
        <v>2663</v>
      </c>
      <c r="G5" s="84" t="s">
        <v>24</v>
      </c>
      <c r="H5" s="228" t="s">
        <v>40</v>
      </c>
      <c r="I5" s="231" t="s">
        <v>2664</v>
      </c>
      <c r="J5" s="54"/>
      <c r="K5" s="70" t="s">
        <v>2665</v>
      </c>
      <c r="L5" s="115"/>
    </row>
    <row r="6">
      <c r="A6" s="62" t="s">
        <v>11</v>
      </c>
      <c r="B6" s="228" t="s">
        <v>2666</v>
      </c>
      <c r="C6" s="68" t="s">
        <v>2468</v>
      </c>
      <c r="D6" s="105">
        <v>45712.0</v>
      </c>
      <c r="E6" s="70" t="s">
        <v>2667</v>
      </c>
      <c r="F6" s="228" t="s">
        <v>2668</v>
      </c>
      <c r="G6" s="84" t="s">
        <v>24</v>
      </c>
      <c r="H6" s="228" t="s">
        <v>40</v>
      </c>
      <c r="I6" s="228" t="s">
        <v>2669</v>
      </c>
      <c r="J6" s="54"/>
      <c r="K6" s="115"/>
      <c r="L6" s="115"/>
    </row>
    <row r="7">
      <c r="A7" s="62" t="s">
        <v>11</v>
      </c>
      <c r="B7" s="228" t="s">
        <v>2670</v>
      </c>
      <c r="C7" s="68" t="s">
        <v>2671</v>
      </c>
      <c r="D7" s="68" t="s">
        <v>556</v>
      </c>
      <c r="E7" s="70" t="s">
        <v>2672</v>
      </c>
      <c r="F7" s="228" t="s">
        <v>2673</v>
      </c>
      <c r="G7" s="80" t="s">
        <v>898</v>
      </c>
      <c r="H7" s="228" t="s">
        <v>40</v>
      </c>
      <c r="I7" s="228" t="s">
        <v>103</v>
      </c>
      <c r="J7" s="54"/>
      <c r="K7" s="115"/>
      <c r="L7" s="115"/>
    </row>
    <row r="8">
      <c r="A8" s="62" t="s">
        <v>11</v>
      </c>
      <c r="B8" s="228" t="s">
        <v>2674</v>
      </c>
      <c r="C8" s="68" t="s">
        <v>2675</v>
      </c>
      <c r="D8" s="102">
        <v>45594.0</v>
      </c>
      <c r="E8" s="70" t="s">
        <v>2676</v>
      </c>
      <c r="F8" s="228" t="s">
        <v>2677</v>
      </c>
      <c r="G8" s="84" t="s">
        <v>24</v>
      </c>
      <c r="H8" s="228" t="s">
        <v>40</v>
      </c>
      <c r="I8" s="232" t="s">
        <v>2678</v>
      </c>
      <c r="J8" s="68" t="s">
        <v>2679</v>
      </c>
      <c r="K8" s="115"/>
      <c r="L8" s="115"/>
    </row>
    <row r="9">
      <c r="A9" s="62" t="s">
        <v>11</v>
      </c>
      <c r="B9" s="228" t="s">
        <v>1847</v>
      </c>
      <c r="C9" s="68" t="s">
        <v>2680</v>
      </c>
      <c r="D9" s="68" t="s">
        <v>2205</v>
      </c>
      <c r="E9" s="70" t="s">
        <v>2681</v>
      </c>
      <c r="F9" s="228" t="s">
        <v>2682</v>
      </c>
      <c r="G9" s="84" t="s">
        <v>24</v>
      </c>
      <c r="H9" s="228" t="s">
        <v>2683</v>
      </c>
      <c r="I9" s="228" t="s">
        <v>2684</v>
      </c>
      <c r="J9" s="54"/>
      <c r="K9" s="115"/>
      <c r="L9" s="115"/>
    </row>
    <row r="10">
      <c r="A10" s="62" t="s">
        <v>11</v>
      </c>
      <c r="B10" s="228" t="s">
        <v>1962</v>
      </c>
      <c r="C10" s="68" t="s">
        <v>2685</v>
      </c>
      <c r="D10" s="68" t="s">
        <v>2686</v>
      </c>
      <c r="E10" s="70" t="s">
        <v>565</v>
      </c>
      <c r="F10" s="228" t="s">
        <v>2687</v>
      </c>
      <c r="G10" s="80" t="s">
        <v>898</v>
      </c>
      <c r="H10" s="228" t="s">
        <v>40</v>
      </c>
      <c r="I10" s="228" t="s">
        <v>2230</v>
      </c>
      <c r="J10" s="54"/>
      <c r="K10" s="115"/>
      <c r="L10" s="115"/>
    </row>
    <row r="11">
      <c r="A11" s="62" t="s">
        <v>11</v>
      </c>
      <c r="B11" s="228" t="s">
        <v>2403</v>
      </c>
      <c r="C11" s="68" t="s">
        <v>2404</v>
      </c>
      <c r="D11" s="68" t="s">
        <v>556</v>
      </c>
      <c r="E11" s="70" t="s">
        <v>2688</v>
      </c>
      <c r="F11" s="228" t="s">
        <v>2689</v>
      </c>
      <c r="G11" s="84" t="s">
        <v>24</v>
      </c>
      <c r="H11" s="228" t="s">
        <v>40</v>
      </c>
      <c r="I11" s="228" t="s">
        <v>2690</v>
      </c>
      <c r="J11" s="54"/>
      <c r="K11" s="115"/>
      <c r="L11" s="115"/>
    </row>
    <row r="12">
      <c r="A12" s="62" t="s">
        <v>27</v>
      </c>
      <c r="B12" s="228" t="s">
        <v>2691</v>
      </c>
      <c r="C12" s="68" t="s">
        <v>2692</v>
      </c>
      <c r="D12" s="54"/>
      <c r="E12" s="70" t="s">
        <v>2693</v>
      </c>
      <c r="F12" s="228" t="s">
        <v>2694</v>
      </c>
      <c r="G12" s="84" t="s">
        <v>24</v>
      </c>
      <c r="H12" s="228" t="s">
        <v>40</v>
      </c>
      <c r="I12" s="228" t="s">
        <v>18</v>
      </c>
      <c r="J12" s="54"/>
      <c r="K12" s="115"/>
      <c r="L12" s="115"/>
    </row>
    <row r="13">
      <c r="A13" s="62" t="s">
        <v>171</v>
      </c>
      <c r="B13" s="70" t="s">
        <v>2695</v>
      </c>
      <c r="C13" s="68" t="s">
        <v>2696</v>
      </c>
      <c r="D13" s="68" t="s">
        <v>556</v>
      </c>
      <c r="E13" s="70" t="s">
        <v>2697</v>
      </c>
      <c r="F13" s="228" t="s">
        <v>2698</v>
      </c>
      <c r="G13" s="80" t="s">
        <v>2699</v>
      </c>
      <c r="H13" s="233" t="s">
        <v>2700</v>
      </c>
      <c r="I13" s="228" t="s">
        <v>1195</v>
      </c>
      <c r="J13" s="54"/>
      <c r="K13" s="115"/>
      <c r="L13" s="115"/>
    </row>
    <row r="14">
      <c r="A14" s="62" t="s">
        <v>11</v>
      </c>
      <c r="B14" s="228" t="s">
        <v>2701</v>
      </c>
      <c r="C14" s="68" t="s">
        <v>2702</v>
      </c>
      <c r="D14" s="105">
        <v>45706.0</v>
      </c>
      <c r="E14" s="228" t="s">
        <v>2703</v>
      </c>
      <c r="F14" s="233" t="s">
        <v>2704</v>
      </c>
      <c r="G14" s="80" t="s">
        <v>898</v>
      </c>
      <c r="H14" s="228" t="s">
        <v>40</v>
      </c>
      <c r="I14" s="228" t="s">
        <v>2664</v>
      </c>
      <c r="J14" s="68" t="s">
        <v>2679</v>
      </c>
      <c r="K14" s="115"/>
      <c r="L14" s="115"/>
    </row>
    <row r="15">
      <c r="A15" s="62" t="s">
        <v>171</v>
      </c>
      <c r="B15" s="70" t="s">
        <v>2705</v>
      </c>
      <c r="C15" s="68">
        <v>9.474886776E9</v>
      </c>
      <c r="D15" s="68" t="s">
        <v>556</v>
      </c>
      <c r="E15" s="70" t="s">
        <v>2706</v>
      </c>
      <c r="F15" s="228" t="s">
        <v>2707</v>
      </c>
      <c r="G15" s="80" t="s">
        <v>2699</v>
      </c>
      <c r="H15" s="233" t="s">
        <v>2699</v>
      </c>
      <c r="I15" s="233" t="s">
        <v>2708</v>
      </c>
      <c r="J15" s="54"/>
      <c r="K15" s="115"/>
      <c r="L15" s="115"/>
    </row>
    <row r="16">
      <c r="A16" s="62" t="s">
        <v>11</v>
      </c>
      <c r="B16" s="228" t="s">
        <v>2709</v>
      </c>
      <c r="C16" s="68" t="s">
        <v>2710</v>
      </c>
      <c r="D16" s="68" t="s">
        <v>556</v>
      </c>
      <c r="E16" s="70" t="s">
        <v>2711</v>
      </c>
      <c r="F16" s="228" t="s">
        <v>2712</v>
      </c>
      <c r="G16" s="234" t="s">
        <v>2713</v>
      </c>
      <c r="H16" s="233" t="s">
        <v>2714</v>
      </c>
      <c r="I16" s="228" t="s">
        <v>103</v>
      </c>
      <c r="J16" s="54"/>
      <c r="K16" s="115"/>
      <c r="L16" s="115"/>
    </row>
    <row r="17">
      <c r="A17" s="62" t="s">
        <v>11</v>
      </c>
      <c r="B17" s="228" t="s">
        <v>2715</v>
      </c>
      <c r="C17" s="68" t="s">
        <v>2716</v>
      </c>
      <c r="D17" s="105">
        <v>45691.0</v>
      </c>
      <c r="E17" s="70" t="s">
        <v>2717</v>
      </c>
      <c r="F17" s="228" t="s">
        <v>2718</v>
      </c>
      <c r="G17" s="84" t="s">
        <v>24</v>
      </c>
      <c r="H17" s="228" t="s">
        <v>25</v>
      </c>
      <c r="I17" s="228" t="s">
        <v>626</v>
      </c>
      <c r="J17" s="54"/>
      <c r="K17" s="115"/>
      <c r="L17" s="115"/>
    </row>
    <row r="18">
      <c r="A18" s="62" t="s">
        <v>171</v>
      </c>
      <c r="B18" s="70" t="s">
        <v>2719</v>
      </c>
      <c r="C18" s="68" t="s">
        <v>2720</v>
      </c>
      <c r="D18" s="68" t="s">
        <v>556</v>
      </c>
      <c r="E18" s="70" t="s">
        <v>2721</v>
      </c>
      <c r="F18" s="228" t="s">
        <v>2722</v>
      </c>
      <c r="G18" s="80" t="s">
        <v>898</v>
      </c>
      <c r="H18" s="228" t="s">
        <v>25</v>
      </c>
      <c r="I18" s="233" t="s">
        <v>2708</v>
      </c>
      <c r="J18" s="54"/>
      <c r="K18" s="115"/>
      <c r="L18" s="115"/>
    </row>
    <row r="19">
      <c r="A19" s="62" t="s">
        <v>11</v>
      </c>
      <c r="B19" s="228" t="s">
        <v>2723</v>
      </c>
      <c r="C19" s="68" t="s">
        <v>2724</v>
      </c>
      <c r="D19" s="105">
        <v>45705.0</v>
      </c>
      <c r="E19" s="70" t="s">
        <v>1148</v>
      </c>
      <c r="F19" s="228" t="s">
        <v>2725</v>
      </c>
      <c r="G19" s="80" t="s">
        <v>898</v>
      </c>
      <c r="H19" s="228" t="s">
        <v>40</v>
      </c>
      <c r="I19" s="228" t="s">
        <v>2726</v>
      </c>
      <c r="J19" s="54"/>
      <c r="K19" s="115"/>
      <c r="L19" s="115"/>
    </row>
    <row r="20">
      <c r="A20" s="62" t="s">
        <v>171</v>
      </c>
      <c r="B20" s="70" t="s">
        <v>2727</v>
      </c>
      <c r="C20" s="68" t="s">
        <v>2728</v>
      </c>
      <c r="D20" s="68" t="s">
        <v>556</v>
      </c>
      <c r="E20" s="70" t="s">
        <v>271</v>
      </c>
      <c r="F20" s="228" t="s">
        <v>2729</v>
      </c>
      <c r="G20" s="84" t="s">
        <v>24</v>
      </c>
      <c r="H20" s="228" t="s">
        <v>40</v>
      </c>
      <c r="I20" s="228" t="s">
        <v>626</v>
      </c>
      <c r="J20" s="54"/>
      <c r="K20" s="70" t="s">
        <v>2730</v>
      </c>
      <c r="L20" s="115"/>
    </row>
    <row r="21">
      <c r="A21" s="62" t="s">
        <v>171</v>
      </c>
      <c r="B21" s="70" t="s">
        <v>2731</v>
      </c>
      <c r="C21" s="68" t="s">
        <v>2732</v>
      </c>
      <c r="D21" s="68" t="s">
        <v>556</v>
      </c>
      <c r="E21" s="70" t="s">
        <v>2733</v>
      </c>
      <c r="F21" s="228" t="s">
        <v>2734</v>
      </c>
      <c r="G21" s="84" t="s">
        <v>24</v>
      </c>
      <c r="H21" s="228" t="s">
        <v>40</v>
      </c>
      <c r="I21" s="228" t="s">
        <v>103</v>
      </c>
      <c r="J21" s="54"/>
      <c r="K21" s="115"/>
      <c r="L21" s="115"/>
    </row>
    <row r="22">
      <c r="A22" s="62" t="s">
        <v>11</v>
      </c>
      <c r="B22" s="228" t="s">
        <v>2735</v>
      </c>
      <c r="C22" s="68" t="s">
        <v>2736</v>
      </c>
      <c r="D22" s="68" t="s">
        <v>556</v>
      </c>
      <c r="E22" s="70" t="s">
        <v>130</v>
      </c>
      <c r="F22" s="228" t="s">
        <v>2737</v>
      </c>
      <c r="G22" s="84" t="s">
        <v>24</v>
      </c>
      <c r="H22" s="228" t="s">
        <v>40</v>
      </c>
      <c r="I22" s="228" t="s">
        <v>626</v>
      </c>
      <c r="J22" s="54"/>
      <c r="K22" s="115"/>
      <c r="L22" s="115"/>
    </row>
    <row r="23">
      <c r="A23" s="62" t="s">
        <v>171</v>
      </c>
      <c r="B23" s="70" t="s">
        <v>2738</v>
      </c>
      <c r="C23" s="68" t="s">
        <v>2739</v>
      </c>
      <c r="D23" s="105">
        <v>45540.0</v>
      </c>
      <c r="E23" s="70" t="s">
        <v>1206</v>
      </c>
      <c r="F23" s="228" t="s">
        <v>2740</v>
      </c>
      <c r="G23" s="84" t="s">
        <v>24</v>
      </c>
      <c r="H23" s="228" t="s">
        <v>2741</v>
      </c>
      <c r="I23" s="228" t="s">
        <v>626</v>
      </c>
      <c r="J23" s="54"/>
      <c r="K23" s="70" t="s">
        <v>2730</v>
      </c>
      <c r="L23" s="115"/>
    </row>
    <row r="24">
      <c r="A24" s="62" t="s">
        <v>171</v>
      </c>
      <c r="B24" s="70" t="s">
        <v>2742</v>
      </c>
      <c r="C24" s="68" t="s">
        <v>2743</v>
      </c>
      <c r="D24" s="68" t="s">
        <v>556</v>
      </c>
      <c r="E24" s="70" t="s">
        <v>188</v>
      </c>
      <c r="F24" s="228" t="s">
        <v>2744</v>
      </c>
      <c r="G24" s="80" t="s">
        <v>898</v>
      </c>
      <c r="H24" s="228" t="s">
        <v>40</v>
      </c>
      <c r="I24" s="228" t="s">
        <v>626</v>
      </c>
      <c r="J24" s="54"/>
      <c r="K24" s="115"/>
      <c r="L24" s="115"/>
    </row>
    <row r="25">
      <c r="A25" s="62" t="s">
        <v>11</v>
      </c>
      <c r="B25" s="228" t="s">
        <v>655</v>
      </c>
      <c r="C25" s="68" t="s">
        <v>656</v>
      </c>
      <c r="D25" s="105">
        <v>45659.0</v>
      </c>
      <c r="E25" s="70" t="s">
        <v>2745</v>
      </c>
      <c r="F25" s="228" t="s">
        <v>2746</v>
      </c>
      <c r="G25" s="84" t="s">
        <v>24</v>
      </c>
      <c r="H25" s="228" t="s">
        <v>40</v>
      </c>
      <c r="I25" s="228" t="s">
        <v>626</v>
      </c>
      <c r="J25" s="54"/>
      <c r="K25" s="115"/>
      <c r="L25" s="115"/>
    </row>
    <row r="26">
      <c r="A26" s="62" t="s">
        <v>171</v>
      </c>
      <c r="B26" s="70" t="s">
        <v>2747</v>
      </c>
      <c r="C26" s="68" t="s">
        <v>2748</v>
      </c>
      <c r="D26" s="105">
        <v>45701.0</v>
      </c>
      <c r="E26" s="70" t="s">
        <v>2749</v>
      </c>
      <c r="F26" s="181" t="s">
        <v>2750</v>
      </c>
      <c r="G26" s="84" t="s">
        <v>24</v>
      </c>
      <c r="H26" s="228" t="s">
        <v>40</v>
      </c>
      <c r="I26" s="228" t="s">
        <v>2751</v>
      </c>
      <c r="J26" s="54"/>
      <c r="K26" s="115"/>
      <c r="L26" s="115"/>
    </row>
    <row r="27">
      <c r="A27" s="62"/>
      <c r="B27" s="70" t="s">
        <v>2752</v>
      </c>
      <c r="C27" s="54"/>
      <c r="D27" s="54"/>
      <c r="E27" s="235" t="s">
        <v>1087</v>
      </c>
      <c r="F27" s="223"/>
      <c r="G27" s="84" t="s">
        <v>24</v>
      </c>
      <c r="H27" s="115"/>
      <c r="I27" s="229" t="s">
        <v>2753</v>
      </c>
      <c r="J27" s="54"/>
      <c r="K27" s="115"/>
      <c r="L27" s="115"/>
    </row>
    <row r="28">
      <c r="A28" s="62" t="s">
        <v>171</v>
      </c>
      <c r="B28" s="70" t="s">
        <v>2754</v>
      </c>
      <c r="C28" s="68">
        <v>2.2363965892E10</v>
      </c>
      <c r="D28" s="105">
        <v>45684.0</v>
      </c>
      <c r="E28" s="70" t="s">
        <v>565</v>
      </c>
      <c r="F28" s="228" t="s">
        <v>2755</v>
      </c>
      <c r="G28" s="84" t="s">
        <v>24</v>
      </c>
      <c r="H28" s="228" t="s">
        <v>40</v>
      </c>
      <c r="I28" s="228" t="s">
        <v>2751</v>
      </c>
      <c r="J28" s="54"/>
      <c r="K28" s="115"/>
      <c r="L28" s="115"/>
    </row>
    <row r="29">
      <c r="A29" s="62" t="s">
        <v>11</v>
      </c>
      <c r="B29" s="228" t="s">
        <v>2756</v>
      </c>
      <c r="C29" s="68" t="s">
        <v>2757</v>
      </c>
      <c r="D29" s="105">
        <v>45714.0</v>
      </c>
      <c r="E29" s="70" t="s">
        <v>2758</v>
      </c>
      <c r="F29" s="228" t="s">
        <v>2759</v>
      </c>
      <c r="G29" s="84" t="s">
        <v>24</v>
      </c>
      <c r="H29" s="228" t="s">
        <v>40</v>
      </c>
      <c r="I29" s="228" t="s">
        <v>1195</v>
      </c>
      <c r="J29" s="54"/>
      <c r="K29" s="115"/>
      <c r="L29" s="115"/>
    </row>
    <row r="30">
      <c r="A30" s="62" t="s">
        <v>171</v>
      </c>
      <c r="B30" s="70" t="s">
        <v>2760</v>
      </c>
      <c r="C30" s="68" t="s">
        <v>2761</v>
      </c>
      <c r="D30" s="68" t="s">
        <v>2097</v>
      </c>
      <c r="E30" s="70" t="s">
        <v>2762</v>
      </c>
      <c r="F30" s="62" t="s">
        <v>2763</v>
      </c>
      <c r="G30" s="234" t="s">
        <v>2713</v>
      </c>
      <c r="H30" s="228" t="s">
        <v>40</v>
      </c>
      <c r="I30" s="228" t="s">
        <v>2751</v>
      </c>
      <c r="J30" s="54"/>
      <c r="K30" s="115"/>
      <c r="L30" s="115"/>
    </row>
    <row r="31">
      <c r="A31" s="62" t="s">
        <v>171</v>
      </c>
      <c r="B31" s="70" t="s">
        <v>2760</v>
      </c>
      <c r="C31" s="68" t="s">
        <v>2764</v>
      </c>
      <c r="D31" s="68" t="s">
        <v>556</v>
      </c>
      <c r="E31" s="70" t="s">
        <v>194</v>
      </c>
      <c r="F31" s="62" t="s">
        <v>2765</v>
      </c>
      <c r="G31" s="234" t="s">
        <v>2713</v>
      </c>
      <c r="H31" s="228" t="s">
        <v>40</v>
      </c>
      <c r="I31" s="228" t="s">
        <v>1195</v>
      </c>
      <c r="J31" s="54"/>
      <c r="K31" s="115"/>
      <c r="L31" s="115"/>
    </row>
    <row r="32">
      <c r="A32" s="62" t="s">
        <v>11</v>
      </c>
      <c r="B32" s="228" t="s">
        <v>2766</v>
      </c>
      <c r="C32" s="68" t="s">
        <v>2767</v>
      </c>
      <c r="D32" s="68" t="s">
        <v>556</v>
      </c>
      <c r="E32" s="70" t="s">
        <v>2768</v>
      </c>
      <c r="F32" s="62" t="s">
        <v>2769</v>
      </c>
      <c r="G32" s="84" t="s">
        <v>24</v>
      </c>
      <c r="H32" s="228" t="s">
        <v>40</v>
      </c>
      <c r="I32" s="228" t="s">
        <v>2751</v>
      </c>
      <c r="J32" s="54"/>
      <c r="K32" s="115"/>
      <c r="L32" s="115"/>
    </row>
    <row r="33">
      <c r="A33" s="62" t="s">
        <v>11</v>
      </c>
      <c r="B33" s="228" t="s">
        <v>1700</v>
      </c>
      <c r="C33" s="68" t="s">
        <v>1701</v>
      </c>
      <c r="D33" s="105">
        <v>45406.0</v>
      </c>
      <c r="E33" s="70" t="s">
        <v>1206</v>
      </c>
      <c r="F33" s="62" t="s">
        <v>2770</v>
      </c>
      <c r="G33" s="84" t="s">
        <v>24</v>
      </c>
      <c r="H33" s="228" t="s">
        <v>40</v>
      </c>
      <c r="I33" s="228" t="s">
        <v>1195</v>
      </c>
      <c r="J33" s="54"/>
      <c r="K33" s="115"/>
      <c r="L33" s="115"/>
    </row>
    <row r="34">
      <c r="A34" s="62" t="s">
        <v>11</v>
      </c>
      <c r="B34" s="228" t="s">
        <v>2771</v>
      </c>
      <c r="C34" s="68" t="s">
        <v>2772</v>
      </c>
      <c r="D34" s="68" t="s">
        <v>556</v>
      </c>
      <c r="E34" s="70" t="s">
        <v>2773</v>
      </c>
      <c r="F34" s="62" t="s">
        <v>2774</v>
      </c>
      <c r="G34" s="84" t="s">
        <v>24</v>
      </c>
      <c r="H34" s="228" t="s">
        <v>25</v>
      </c>
      <c r="I34" s="228" t="s">
        <v>2751</v>
      </c>
      <c r="J34" s="54"/>
      <c r="K34" s="115"/>
      <c r="L34" s="115"/>
    </row>
    <row r="35">
      <c r="A35" s="62" t="s">
        <v>171</v>
      </c>
      <c r="B35" s="70" t="s">
        <v>2775</v>
      </c>
      <c r="C35" s="68" t="s">
        <v>2776</v>
      </c>
      <c r="D35" s="105">
        <v>45505.0</v>
      </c>
      <c r="E35" s="70" t="s">
        <v>2777</v>
      </c>
      <c r="F35" s="62" t="s">
        <v>2778</v>
      </c>
      <c r="G35" s="80" t="s">
        <v>898</v>
      </c>
      <c r="H35" s="228" t="s">
        <v>40</v>
      </c>
      <c r="I35" s="228" t="s">
        <v>1195</v>
      </c>
      <c r="J35" s="54"/>
      <c r="K35" s="115"/>
      <c r="L35" s="115"/>
    </row>
    <row r="36">
      <c r="A36" s="62" t="s">
        <v>354</v>
      </c>
      <c r="B36" s="70" t="s">
        <v>2779</v>
      </c>
      <c r="C36" s="68" t="s">
        <v>2415</v>
      </c>
      <c r="D36" s="68" t="s">
        <v>556</v>
      </c>
      <c r="E36" s="70" t="s">
        <v>2780</v>
      </c>
      <c r="F36" s="62" t="s">
        <v>2781</v>
      </c>
      <c r="G36" s="84" t="s">
        <v>24</v>
      </c>
      <c r="H36" s="228" t="s">
        <v>40</v>
      </c>
      <c r="I36" s="70" t="s">
        <v>2782</v>
      </c>
      <c r="J36" s="54"/>
      <c r="K36" s="115"/>
      <c r="L36" s="115"/>
    </row>
    <row r="37">
      <c r="A37" s="62" t="s">
        <v>11</v>
      </c>
      <c r="B37" s="228" t="s">
        <v>2783</v>
      </c>
      <c r="C37" s="68" t="s">
        <v>2784</v>
      </c>
      <c r="D37" s="68" t="s">
        <v>556</v>
      </c>
      <c r="E37" s="70" t="s">
        <v>1148</v>
      </c>
      <c r="F37" s="223"/>
      <c r="G37" s="84" t="s">
        <v>24</v>
      </c>
      <c r="H37" s="228" t="s">
        <v>40</v>
      </c>
      <c r="I37" s="236" t="s">
        <v>2785</v>
      </c>
      <c r="J37" s="54"/>
      <c r="K37" s="115"/>
      <c r="L37" s="115"/>
    </row>
    <row r="38">
      <c r="A38" s="62" t="s">
        <v>11</v>
      </c>
      <c r="B38" s="228" t="s">
        <v>2786</v>
      </c>
      <c r="C38" s="43" t="s">
        <v>2787</v>
      </c>
      <c r="D38" s="68" t="s">
        <v>556</v>
      </c>
      <c r="E38" s="43" t="s">
        <v>814</v>
      </c>
      <c r="F38" s="223"/>
      <c r="G38" s="84" t="s">
        <v>24</v>
      </c>
      <c r="H38" s="228" t="s">
        <v>40</v>
      </c>
      <c r="I38" s="228" t="s">
        <v>2751</v>
      </c>
      <c r="J38" s="54"/>
      <c r="K38" s="115"/>
      <c r="L38" s="115"/>
    </row>
    <row r="39">
      <c r="A39" s="62" t="s">
        <v>171</v>
      </c>
      <c r="B39" s="70" t="s">
        <v>2788</v>
      </c>
      <c r="C39" s="68" t="s">
        <v>2789</v>
      </c>
      <c r="D39" s="68" t="s">
        <v>556</v>
      </c>
      <c r="E39" s="70" t="s">
        <v>188</v>
      </c>
      <c r="F39" s="76" t="s">
        <v>2790</v>
      </c>
      <c r="G39" s="84" t="s">
        <v>24</v>
      </c>
      <c r="H39" s="228" t="s">
        <v>40</v>
      </c>
      <c r="I39" s="76" t="s">
        <v>2791</v>
      </c>
      <c r="J39" s="54"/>
      <c r="K39" s="115"/>
      <c r="L39" s="115"/>
    </row>
    <row r="40">
      <c r="A40" s="62" t="s">
        <v>11</v>
      </c>
      <c r="B40" s="228" t="s">
        <v>2792</v>
      </c>
      <c r="C40" s="68" t="s">
        <v>1209</v>
      </c>
      <c r="D40" s="105">
        <v>45677.0</v>
      </c>
      <c r="E40" s="70" t="s">
        <v>1814</v>
      </c>
      <c r="F40" s="228" t="s">
        <v>2793</v>
      </c>
      <c r="G40" s="84" t="s">
        <v>24</v>
      </c>
      <c r="H40" s="228" t="s">
        <v>40</v>
      </c>
      <c r="I40" s="228" t="s">
        <v>2751</v>
      </c>
      <c r="J40" s="54"/>
      <c r="K40" s="115"/>
      <c r="L40" s="115"/>
    </row>
    <row r="41">
      <c r="A41" s="62" t="s">
        <v>171</v>
      </c>
      <c r="B41" s="70" t="s">
        <v>2794</v>
      </c>
      <c r="C41" s="68" t="s">
        <v>803</v>
      </c>
      <c r="D41" s="105">
        <v>45529.0</v>
      </c>
      <c r="E41" s="70" t="s">
        <v>271</v>
      </c>
      <c r="F41" s="228" t="s">
        <v>2795</v>
      </c>
      <c r="G41" s="80" t="s">
        <v>898</v>
      </c>
      <c r="H41" s="233" t="s">
        <v>736</v>
      </c>
      <c r="I41" s="228" t="s">
        <v>626</v>
      </c>
      <c r="J41" s="54"/>
      <c r="K41" s="115"/>
      <c r="L41" s="115"/>
    </row>
    <row r="42">
      <c r="A42" s="62" t="s">
        <v>11</v>
      </c>
      <c r="B42" s="228" t="s">
        <v>737</v>
      </c>
      <c r="C42" s="68" t="s">
        <v>2796</v>
      </c>
      <c r="D42" s="105">
        <v>45695.0</v>
      </c>
      <c r="E42" s="70" t="s">
        <v>2797</v>
      </c>
      <c r="F42" s="62" t="s">
        <v>2798</v>
      </c>
      <c r="G42" s="84" t="s">
        <v>24</v>
      </c>
      <c r="H42" s="228" t="s">
        <v>40</v>
      </c>
      <c r="I42" s="228" t="s">
        <v>626</v>
      </c>
      <c r="J42" s="54"/>
      <c r="K42" s="115"/>
      <c r="L42" s="115"/>
    </row>
    <row r="43">
      <c r="A43" s="62" t="s">
        <v>11</v>
      </c>
      <c r="B43" s="228" t="s">
        <v>2799</v>
      </c>
      <c r="C43" s="68" t="s">
        <v>2800</v>
      </c>
      <c r="D43" s="105">
        <v>45716.0</v>
      </c>
      <c r="E43" s="70" t="s">
        <v>2801</v>
      </c>
      <c r="F43" s="228" t="s">
        <v>2802</v>
      </c>
      <c r="G43" s="84" t="s">
        <v>24</v>
      </c>
      <c r="H43" s="228" t="s">
        <v>40</v>
      </c>
      <c r="I43" s="228" t="s">
        <v>626</v>
      </c>
      <c r="J43" s="54"/>
      <c r="K43" s="115"/>
      <c r="L43" s="115"/>
    </row>
    <row r="44">
      <c r="A44" s="62" t="s">
        <v>171</v>
      </c>
      <c r="B44" s="70" t="s">
        <v>2803</v>
      </c>
      <c r="C44" s="68" t="s">
        <v>2804</v>
      </c>
      <c r="D44" s="68" t="s">
        <v>556</v>
      </c>
      <c r="E44" s="70" t="s">
        <v>2270</v>
      </c>
      <c r="F44" s="228" t="s">
        <v>775</v>
      </c>
      <c r="G44" s="234" t="s">
        <v>2713</v>
      </c>
      <c r="H44" s="233" t="s">
        <v>736</v>
      </c>
      <c r="I44" s="228" t="s">
        <v>626</v>
      </c>
      <c r="J44" s="54"/>
      <c r="K44" s="115"/>
      <c r="L44" s="115"/>
    </row>
    <row r="45">
      <c r="A45" s="62" t="s">
        <v>171</v>
      </c>
      <c r="B45" s="70" t="s">
        <v>2803</v>
      </c>
      <c r="C45" s="68" t="s">
        <v>2805</v>
      </c>
      <c r="D45" s="68" t="s">
        <v>556</v>
      </c>
      <c r="E45" s="70" t="s">
        <v>357</v>
      </c>
      <c r="F45" s="228" t="s">
        <v>2806</v>
      </c>
      <c r="G45" s="234" t="s">
        <v>2713</v>
      </c>
      <c r="H45" s="233" t="s">
        <v>2807</v>
      </c>
      <c r="I45" s="233" t="s">
        <v>2808</v>
      </c>
      <c r="J45" s="54"/>
      <c r="K45" s="115"/>
      <c r="L45" s="115"/>
    </row>
    <row r="46">
      <c r="A46" s="62" t="s">
        <v>171</v>
      </c>
      <c r="B46" s="70" t="s">
        <v>2809</v>
      </c>
      <c r="C46" s="68" t="s">
        <v>2810</v>
      </c>
      <c r="D46" s="68" t="s">
        <v>556</v>
      </c>
      <c r="E46" s="70" t="s">
        <v>292</v>
      </c>
      <c r="F46" s="228" t="s">
        <v>2811</v>
      </c>
      <c r="G46" s="84" t="s">
        <v>24</v>
      </c>
      <c r="H46" s="228" t="s">
        <v>25</v>
      </c>
      <c r="I46" s="233" t="s">
        <v>2808</v>
      </c>
      <c r="J46" s="54"/>
      <c r="K46" s="115"/>
      <c r="L46" s="115"/>
    </row>
    <row r="47">
      <c r="A47" s="62" t="s">
        <v>11</v>
      </c>
      <c r="B47" s="228" t="s">
        <v>2812</v>
      </c>
      <c r="C47" s="68" t="s">
        <v>2813</v>
      </c>
      <c r="D47" s="68" t="s">
        <v>556</v>
      </c>
      <c r="E47" s="70" t="s">
        <v>188</v>
      </c>
      <c r="F47" s="228" t="s">
        <v>2814</v>
      </c>
      <c r="G47" s="84" t="s">
        <v>24</v>
      </c>
      <c r="H47" s="228" t="s">
        <v>25</v>
      </c>
      <c r="I47" s="228" t="s">
        <v>626</v>
      </c>
      <c r="J47" s="54"/>
      <c r="K47" s="115"/>
      <c r="L47" s="115"/>
    </row>
    <row r="48">
      <c r="A48" s="62" t="s">
        <v>171</v>
      </c>
      <c r="B48" s="70" t="s">
        <v>2815</v>
      </c>
      <c r="C48" s="68" t="s">
        <v>2816</v>
      </c>
      <c r="D48" s="68" t="s">
        <v>556</v>
      </c>
      <c r="E48" s="70" t="s">
        <v>2817</v>
      </c>
      <c r="F48" s="233" t="s">
        <v>2818</v>
      </c>
      <c r="G48" s="234" t="s">
        <v>2713</v>
      </c>
      <c r="H48" s="233" t="s">
        <v>736</v>
      </c>
      <c r="I48" s="233" t="s">
        <v>2808</v>
      </c>
      <c r="J48" s="54"/>
      <c r="K48" s="237" t="s">
        <v>2819</v>
      </c>
      <c r="L48" s="115"/>
    </row>
    <row r="49">
      <c r="A49" s="62" t="s">
        <v>11</v>
      </c>
      <c r="B49" s="228" t="s">
        <v>2405</v>
      </c>
      <c r="C49" s="68" t="s">
        <v>2820</v>
      </c>
      <c r="D49" s="68" t="s">
        <v>556</v>
      </c>
      <c r="E49" s="70" t="s">
        <v>2821</v>
      </c>
      <c r="F49" s="228" t="s">
        <v>2822</v>
      </c>
      <c r="G49" s="84" t="s">
        <v>24</v>
      </c>
      <c r="H49" s="228" t="s">
        <v>25</v>
      </c>
      <c r="I49" s="228" t="s">
        <v>626</v>
      </c>
      <c r="J49" s="54"/>
      <c r="K49" s="115"/>
      <c r="L49" s="115"/>
    </row>
    <row r="50">
      <c r="A50" s="62" t="s">
        <v>11</v>
      </c>
      <c r="B50" s="228" t="s">
        <v>2624</v>
      </c>
      <c r="C50" s="68">
        <v>4.347561482E9</v>
      </c>
      <c r="D50" s="105">
        <v>45712.0</v>
      </c>
      <c r="E50" s="70" t="s">
        <v>1148</v>
      </c>
      <c r="F50" s="228" t="s">
        <v>2625</v>
      </c>
      <c r="G50" s="84" t="s">
        <v>24</v>
      </c>
      <c r="H50" s="228" t="s">
        <v>40</v>
      </c>
      <c r="I50" s="228" t="s">
        <v>626</v>
      </c>
      <c r="J50" s="54"/>
      <c r="K50" s="115"/>
      <c r="L50" s="115"/>
    </row>
    <row r="51">
      <c r="A51" s="62" t="s">
        <v>171</v>
      </c>
      <c r="B51" s="70" t="s">
        <v>2823</v>
      </c>
      <c r="C51" s="68" t="s">
        <v>2824</v>
      </c>
      <c r="D51" s="68" t="s">
        <v>556</v>
      </c>
      <c r="E51" s="70" t="s">
        <v>869</v>
      </c>
      <c r="F51" s="228" t="s">
        <v>2825</v>
      </c>
      <c r="G51" s="80" t="s">
        <v>898</v>
      </c>
      <c r="H51" s="228" t="s">
        <v>40</v>
      </c>
      <c r="I51" s="228" t="s">
        <v>626</v>
      </c>
      <c r="J51" s="54"/>
      <c r="K51" s="115"/>
      <c r="L51" s="115"/>
    </row>
    <row r="52">
      <c r="A52" s="62" t="s">
        <v>171</v>
      </c>
      <c r="B52" s="70" t="s">
        <v>129</v>
      </c>
      <c r="C52" s="68" t="s">
        <v>2826</v>
      </c>
      <c r="D52" s="68" t="s">
        <v>556</v>
      </c>
      <c r="E52" s="70" t="s">
        <v>292</v>
      </c>
      <c r="F52" s="233" t="s">
        <v>2827</v>
      </c>
      <c r="G52" s="80" t="s">
        <v>898</v>
      </c>
      <c r="H52" s="233" t="s">
        <v>736</v>
      </c>
      <c r="I52" s="233" t="s">
        <v>2808</v>
      </c>
      <c r="J52" s="54"/>
      <c r="K52" s="115"/>
      <c r="L52" s="115"/>
    </row>
    <row r="53">
      <c r="A53" s="62" t="s">
        <v>171</v>
      </c>
      <c r="B53" s="70" t="s">
        <v>129</v>
      </c>
      <c r="C53" s="68" t="s">
        <v>2828</v>
      </c>
      <c r="D53" s="68" t="s">
        <v>556</v>
      </c>
      <c r="E53" s="70" t="s">
        <v>2829</v>
      </c>
      <c r="F53" s="233" t="s">
        <v>2827</v>
      </c>
      <c r="G53" s="80" t="s">
        <v>898</v>
      </c>
      <c r="H53" s="228" t="s">
        <v>25</v>
      </c>
      <c r="I53" s="228" t="s">
        <v>626</v>
      </c>
      <c r="J53" s="54"/>
      <c r="K53" s="115"/>
      <c r="L53" s="115"/>
    </row>
    <row r="54">
      <c r="A54" s="62" t="s">
        <v>11</v>
      </c>
      <c r="B54" s="228" t="s">
        <v>2830</v>
      </c>
      <c r="C54" s="68" t="s">
        <v>2831</v>
      </c>
      <c r="D54" s="68" t="s">
        <v>556</v>
      </c>
      <c r="E54" s="70" t="s">
        <v>2832</v>
      </c>
      <c r="F54" s="228" t="s">
        <v>2833</v>
      </c>
      <c r="G54" s="84" t="s">
        <v>24</v>
      </c>
      <c r="H54" s="228" t="s">
        <v>40</v>
      </c>
      <c r="I54" s="228" t="s">
        <v>1042</v>
      </c>
      <c r="J54" s="54"/>
      <c r="K54" s="115"/>
      <c r="L54" s="115"/>
    </row>
    <row r="55">
      <c r="A55" s="62" t="s">
        <v>11</v>
      </c>
      <c r="B55" s="228" t="s">
        <v>2834</v>
      </c>
      <c r="C55" s="68" t="s">
        <v>2835</v>
      </c>
      <c r="D55" s="68" t="s">
        <v>2836</v>
      </c>
      <c r="E55" s="70" t="s">
        <v>2837</v>
      </c>
      <c r="F55" s="228" t="s">
        <v>2838</v>
      </c>
      <c r="G55" s="84" t="s">
        <v>24</v>
      </c>
      <c r="H55" s="228" t="s">
        <v>40</v>
      </c>
      <c r="I55" s="228" t="s">
        <v>2839</v>
      </c>
      <c r="J55" s="54"/>
      <c r="K55" s="70" t="s">
        <v>2840</v>
      </c>
      <c r="L55" s="115"/>
    </row>
    <row r="56">
      <c r="A56" s="62" t="s">
        <v>171</v>
      </c>
      <c r="B56" s="70" t="s">
        <v>2841</v>
      </c>
      <c r="C56" s="68" t="s">
        <v>2842</v>
      </c>
      <c r="D56" s="102">
        <v>45655.0</v>
      </c>
      <c r="E56" s="70" t="s">
        <v>2843</v>
      </c>
      <c r="F56" s="228" t="s">
        <v>2844</v>
      </c>
      <c r="G56" s="80" t="s">
        <v>898</v>
      </c>
      <c r="H56" s="228" t="s">
        <v>40</v>
      </c>
      <c r="I56" s="228" t="s">
        <v>626</v>
      </c>
      <c r="J56" s="54"/>
      <c r="K56" s="115"/>
      <c r="L56" s="115"/>
    </row>
    <row r="57">
      <c r="A57" s="62" t="s">
        <v>11</v>
      </c>
      <c r="B57" s="228" t="s">
        <v>2845</v>
      </c>
      <c r="C57" s="68" t="s">
        <v>2846</v>
      </c>
      <c r="D57" s="68" t="s">
        <v>556</v>
      </c>
      <c r="E57" s="70" t="s">
        <v>2043</v>
      </c>
      <c r="F57" s="228" t="s">
        <v>2847</v>
      </c>
      <c r="G57" s="84" t="s">
        <v>24</v>
      </c>
      <c r="H57" s="228" t="s">
        <v>40</v>
      </c>
      <c r="I57" s="228" t="s">
        <v>2848</v>
      </c>
      <c r="J57" s="54"/>
      <c r="K57" s="115"/>
      <c r="L57" s="115"/>
    </row>
    <row r="58">
      <c r="A58" s="62" t="s">
        <v>11</v>
      </c>
      <c r="B58" s="228" t="s">
        <v>2849</v>
      </c>
      <c r="C58" s="68" t="s">
        <v>2850</v>
      </c>
      <c r="D58" s="68" t="s">
        <v>556</v>
      </c>
      <c r="E58" s="70" t="s">
        <v>130</v>
      </c>
      <c r="F58" s="228" t="s">
        <v>2851</v>
      </c>
      <c r="G58" s="84" t="s">
        <v>24</v>
      </c>
      <c r="H58" s="228" t="s">
        <v>40</v>
      </c>
      <c r="I58" s="228" t="s">
        <v>626</v>
      </c>
      <c r="J58" s="54"/>
      <c r="K58" s="115"/>
      <c r="L58" s="115"/>
    </row>
    <row r="59">
      <c r="A59" s="62" t="s">
        <v>11</v>
      </c>
      <c r="B59" s="228" t="s">
        <v>2852</v>
      </c>
      <c r="C59" s="68" t="s">
        <v>2853</v>
      </c>
      <c r="D59" s="68" t="s">
        <v>556</v>
      </c>
      <c r="E59" s="70" t="s">
        <v>2854</v>
      </c>
      <c r="F59" s="228" t="s">
        <v>2855</v>
      </c>
      <c r="G59" s="84" t="s">
        <v>24</v>
      </c>
      <c r="H59" s="228" t="s">
        <v>40</v>
      </c>
      <c r="I59" s="228" t="s">
        <v>626</v>
      </c>
      <c r="J59" s="54"/>
      <c r="K59" s="115"/>
      <c r="L59" s="115"/>
    </row>
    <row r="60">
      <c r="A60" s="62" t="s">
        <v>171</v>
      </c>
      <c r="B60" s="62" t="s">
        <v>2856</v>
      </c>
      <c r="C60" s="68" t="s">
        <v>2857</v>
      </c>
      <c r="D60" s="68" t="s">
        <v>556</v>
      </c>
      <c r="E60" s="70" t="s">
        <v>2858</v>
      </c>
      <c r="F60" s="228" t="s">
        <v>2859</v>
      </c>
      <c r="G60" s="84" t="s">
        <v>24</v>
      </c>
      <c r="H60" s="228" t="s">
        <v>40</v>
      </c>
      <c r="I60" s="228" t="s">
        <v>18</v>
      </c>
      <c r="J60" s="54"/>
      <c r="K60" s="115"/>
      <c r="L60" s="115"/>
    </row>
    <row r="61">
      <c r="A61" s="62" t="s">
        <v>171</v>
      </c>
      <c r="B61" s="70" t="s">
        <v>2860</v>
      </c>
      <c r="C61" s="68" t="s">
        <v>2861</v>
      </c>
      <c r="D61" s="68" t="s">
        <v>556</v>
      </c>
      <c r="E61" s="70" t="s">
        <v>2862</v>
      </c>
      <c r="F61" s="228" t="s">
        <v>2863</v>
      </c>
      <c r="G61" s="84" t="s">
        <v>24</v>
      </c>
      <c r="H61" s="233" t="s">
        <v>736</v>
      </c>
      <c r="I61" s="228" t="s">
        <v>626</v>
      </c>
      <c r="J61" s="54"/>
      <c r="K61" s="115"/>
      <c r="L61" s="115"/>
    </row>
    <row r="62">
      <c r="A62" s="62" t="s">
        <v>11</v>
      </c>
      <c r="B62" s="228" t="s">
        <v>2864</v>
      </c>
      <c r="C62" s="68" t="s">
        <v>2865</v>
      </c>
      <c r="D62" s="105">
        <v>45684.0</v>
      </c>
      <c r="E62" s="70" t="s">
        <v>292</v>
      </c>
      <c r="F62" s="228" t="s">
        <v>2866</v>
      </c>
      <c r="G62" s="84" t="s">
        <v>24</v>
      </c>
      <c r="H62" s="228" t="s">
        <v>40</v>
      </c>
      <c r="I62" s="228" t="s">
        <v>579</v>
      </c>
      <c r="J62" s="54"/>
      <c r="K62" s="115"/>
      <c r="L62" s="115"/>
    </row>
    <row r="63">
      <c r="A63" s="62" t="s">
        <v>171</v>
      </c>
      <c r="B63" s="70" t="s">
        <v>2670</v>
      </c>
      <c r="C63" s="68" t="s">
        <v>2865</v>
      </c>
      <c r="D63" s="68" t="s">
        <v>2097</v>
      </c>
      <c r="E63" s="70" t="s">
        <v>2867</v>
      </c>
      <c r="F63" s="228" t="s">
        <v>2868</v>
      </c>
      <c r="G63" s="80" t="s">
        <v>898</v>
      </c>
      <c r="H63" s="228" t="s">
        <v>40</v>
      </c>
      <c r="I63" s="228" t="s">
        <v>626</v>
      </c>
      <c r="J63" s="54"/>
      <c r="K63" s="115"/>
      <c r="L63" s="115"/>
    </row>
    <row r="64">
      <c r="A64" s="62" t="s">
        <v>171</v>
      </c>
      <c r="B64" s="70" t="s">
        <v>2869</v>
      </c>
      <c r="C64" s="68" t="s">
        <v>2870</v>
      </c>
      <c r="D64" s="105">
        <v>45675.0</v>
      </c>
      <c r="E64" s="70" t="s">
        <v>107</v>
      </c>
      <c r="F64" s="228" t="s">
        <v>2871</v>
      </c>
      <c r="G64" s="80" t="s">
        <v>898</v>
      </c>
      <c r="H64" s="233" t="s">
        <v>2872</v>
      </c>
      <c r="I64" s="228" t="s">
        <v>626</v>
      </c>
      <c r="J64" s="54"/>
      <c r="K64" s="115"/>
      <c r="L64" s="115"/>
    </row>
    <row r="65">
      <c r="A65" s="62" t="s">
        <v>11</v>
      </c>
      <c r="B65" s="228" t="s">
        <v>2873</v>
      </c>
      <c r="C65" s="68" t="s">
        <v>2874</v>
      </c>
      <c r="D65" s="105">
        <v>45677.0</v>
      </c>
      <c r="E65" s="70" t="s">
        <v>2875</v>
      </c>
      <c r="F65" s="228" t="s">
        <v>775</v>
      </c>
      <c r="G65" s="84" t="s">
        <v>24</v>
      </c>
      <c r="H65" s="228" t="s">
        <v>40</v>
      </c>
      <c r="I65" s="228" t="s">
        <v>626</v>
      </c>
      <c r="J65" s="54"/>
      <c r="K65" s="115"/>
      <c r="L65" s="115"/>
    </row>
    <row r="66">
      <c r="A66" s="62" t="s">
        <v>171</v>
      </c>
      <c r="B66" s="70" t="s">
        <v>2876</v>
      </c>
      <c r="C66" s="68" t="s">
        <v>2877</v>
      </c>
      <c r="D66" s="68" t="s">
        <v>556</v>
      </c>
      <c r="E66" s="70" t="s">
        <v>1905</v>
      </c>
      <c r="F66" s="228" t="s">
        <v>2878</v>
      </c>
      <c r="G66" s="234" t="s">
        <v>2713</v>
      </c>
      <c r="H66" s="233" t="s">
        <v>736</v>
      </c>
      <c r="I66" s="233" t="s">
        <v>2808</v>
      </c>
      <c r="J66" s="54"/>
      <c r="K66" s="115"/>
      <c r="L66" s="115"/>
    </row>
    <row r="67">
      <c r="A67" s="62" t="s">
        <v>11</v>
      </c>
      <c r="B67" s="228" t="s">
        <v>1138</v>
      </c>
      <c r="C67" s="68" t="s">
        <v>1139</v>
      </c>
      <c r="D67" s="54"/>
      <c r="E67" s="70" t="s">
        <v>2430</v>
      </c>
      <c r="F67" s="228" t="s">
        <v>2879</v>
      </c>
      <c r="G67" s="84" t="s">
        <v>24</v>
      </c>
      <c r="H67" s="228" t="s">
        <v>40</v>
      </c>
      <c r="I67" s="228" t="s">
        <v>626</v>
      </c>
      <c r="J67" s="54"/>
      <c r="K67" s="115"/>
      <c r="L67" s="115"/>
    </row>
    <row r="68" ht="16.5" customHeight="1">
      <c r="A68" s="62" t="s">
        <v>11</v>
      </c>
      <c r="B68" s="228" t="s">
        <v>2880</v>
      </c>
      <c r="C68" s="68" t="s">
        <v>2881</v>
      </c>
      <c r="D68" s="68" t="s">
        <v>556</v>
      </c>
      <c r="E68" s="70" t="s">
        <v>586</v>
      </c>
      <c r="F68" s="228" t="s">
        <v>2882</v>
      </c>
      <c r="G68" s="84" t="s">
        <v>24</v>
      </c>
      <c r="H68" s="228" t="s">
        <v>40</v>
      </c>
      <c r="I68" s="228" t="s">
        <v>579</v>
      </c>
      <c r="J68" s="54"/>
      <c r="K68" s="115"/>
      <c r="L68" s="115"/>
    </row>
    <row r="69" ht="16.5" customHeight="1">
      <c r="A69" s="62" t="s">
        <v>171</v>
      </c>
      <c r="B69" s="70" t="s">
        <v>2883</v>
      </c>
      <c r="C69" s="68" t="s">
        <v>2884</v>
      </c>
      <c r="D69" s="68" t="s">
        <v>556</v>
      </c>
      <c r="E69" s="70" t="s">
        <v>107</v>
      </c>
      <c r="F69" s="233" t="s">
        <v>2885</v>
      </c>
      <c r="G69" s="234" t="s">
        <v>2713</v>
      </c>
      <c r="H69" s="228" t="s">
        <v>40</v>
      </c>
      <c r="I69" s="228" t="s">
        <v>626</v>
      </c>
      <c r="J69" s="54"/>
      <c r="K69" s="115"/>
      <c r="L69" s="115"/>
    </row>
    <row r="70">
      <c r="A70" s="62" t="s">
        <v>171</v>
      </c>
      <c r="B70" s="70" t="s">
        <v>2886</v>
      </c>
      <c r="C70" s="68" t="s">
        <v>2887</v>
      </c>
      <c r="D70" s="68" t="s">
        <v>556</v>
      </c>
      <c r="E70" s="70" t="s">
        <v>292</v>
      </c>
      <c r="F70" s="228" t="s">
        <v>2888</v>
      </c>
      <c r="G70" s="84" t="s">
        <v>24</v>
      </c>
      <c r="H70" s="228" t="s">
        <v>40</v>
      </c>
      <c r="I70" s="228" t="s">
        <v>579</v>
      </c>
      <c r="J70" s="54"/>
      <c r="K70" s="115"/>
      <c r="L70" s="115"/>
    </row>
    <row r="71">
      <c r="A71" s="62" t="s">
        <v>11</v>
      </c>
      <c r="B71" s="228" t="s">
        <v>2889</v>
      </c>
      <c r="C71" s="68" t="s">
        <v>2890</v>
      </c>
      <c r="D71" s="68" t="s">
        <v>556</v>
      </c>
      <c r="E71" s="70" t="s">
        <v>854</v>
      </c>
      <c r="F71" s="228" t="s">
        <v>2891</v>
      </c>
      <c r="G71" s="84" t="s">
        <v>24</v>
      </c>
      <c r="H71" s="228" t="s">
        <v>40</v>
      </c>
      <c r="I71" s="228" t="s">
        <v>579</v>
      </c>
      <c r="J71" s="54"/>
      <c r="K71" s="115"/>
      <c r="L71" s="115"/>
    </row>
    <row r="72">
      <c r="A72" s="62" t="s">
        <v>11</v>
      </c>
      <c r="B72" s="228" t="s">
        <v>323</v>
      </c>
      <c r="C72" s="68" t="s">
        <v>322</v>
      </c>
      <c r="D72" s="68" t="s">
        <v>556</v>
      </c>
      <c r="E72" s="70" t="s">
        <v>324</v>
      </c>
      <c r="F72" s="228" t="s">
        <v>2892</v>
      </c>
      <c r="G72" s="84" t="s">
        <v>24</v>
      </c>
      <c r="H72" s="228" t="s">
        <v>40</v>
      </c>
      <c r="I72" s="228" t="s">
        <v>2893</v>
      </c>
      <c r="J72" s="54"/>
      <c r="K72" s="115"/>
      <c r="L72" s="115"/>
    </row>
    <row r="73">
      <c r="A73" s="62" t="s">
        <v>11</v>
      </c>
      <c r="B73" s="228" t="s">
        <v>2894</v>
      </c>
      <c r="C73" s="68" t="s">
        <v>2895</v>
      </c>
      <c r="D73" s="68" t="s">
        <v>556</v>
      </c>
      <c r="E73" s="70" t="s">
        <v>1272</v>
      </c>
      <c r="F73" s="228" t="s">
        <v>2896</v>
      </c>
      <c r="G73" s="84" t="s">
        <v>24</v>
      </c>
      <c r="H73" s="228" t="s">
        <v>40</v>
      </c>
      <c r="I73" s="228" t="s">
        <v>2893</v>
      </c>
      <c r="J73" s="54"/>
      <c r="K73" s="115"/>
      <c r="L73" s="115"/>
    </row>
    <row r="74">
      <c r="A74" s="62" t="s">
        <v>171</v>
      </c>
      <c r="B74" s="70" t="s">
        <v>2894</v>
      </c>
      <c r="C74" s="68" t="s">
        <v>2895</v>
      </c>
      <c r="D74" s="68" t="s">
        <v>556</v>
      </c>
      <c r="E74" s="70" t="s">
        <v>2897</v>
      </c>
      <c r="F74" s="228" t="s">
        <v>2896</v>
      </c>
      <c r="G74" s="84" t="s">
        <v>24</v>
      </c>
      <c r="H74" s="228" t="s">
        <v>40</v>
      </c>
      <c r="I74" s="228" t="s">
        <v>626</v>
      </c>
      <c r="J74" s="54"/>
      <c r="K74" s="115"/>
      <c r="L74" s="115"/>
    </row>
    <row r="75">
      <c r="A75" s="62" t="s">
        <v>171</v>
      </c>
      <c r="B75" s="70" t="s">
        <v>2898</v>
      </c>
      <c r="C75" s="68" t="s">
        <v>2899</v>
      </c>
      <c r="D75" s="105">
        <v>45526.0</v>
      </c>
      <c r="E75" s="70" t="s">
        <v>2900</v>
      </c>
      <c r="F75" s="228" t="s">
        <v>2901</v>
      </c>
      <c r="G75" s="80" t="s">
        <v>898</v>
      </c>
      <c r="H75" s="228" t="s">
        <v>40</v>
      </c>
      <c r="I75" s="228" t="s">
        <v>2751</v>
      </c>
      <c r="J75" s="54"/>
      <c r="K75" s="115"/>
      <c r="L75" s="115"/>
    </row>
    <row r="76">
      <c r="A76" s="62" t="s">
        <v>171</v>
      </c>
      <c r="B76" s="70" t="s">
        <v>2061</v>
      </c>
      <c r="C76" s="68" t="s">
        <v>2062</v>
      </c>
      <c r="D76" s="105">
        <v>45315.0</v>
      </c>
      <c r="E76" s="70" t="s">
        <v>357</v>
      </c>
      <c r="F76" s="228" t="s">
        <v>2902</v>
      </c>
      <c r="G76" s="80" t="s">
        <v>898</v>
      </c>
      <c r="H76" s="233" t="s">
        <v>2903</v>
      </c>
      <c r="I76" s="233" t="s">
        <v>2808</v>
      </c>
      <c r="J76" s="54"/>
      <c r="K76" s="115"/>
      <c r="L76" s="115"/>
    </row>
    <row r="77">
      <c r="A77" s="62" t="s">
        <v>171</v>
      </c>
      <c r="B77" s="70" t="s">
        <v>2904</v>
      </c>
      <c r="C77" s="68" t="s">
        <v>2905</v>
      </c>
      <c r="D77" s="68" t="s">
        <v>2205</v>
      </c>
      <c r="E77" s="70" t="s">
        <v>188</v>
      </c>
      <c r="F77" s="228" t="s">
        <v>2906</v>
      </c>
      <c r="G77" s="80" t="s">
        <v>898</v>
      </c>
      <c r="H77" s="233" t="s">
        <v>2807</v>
      </c>
      <c r="I77" s="228" t="s">
        <v>2907</v>
      </c>
      <c r="J77" s="54"/>
      <c r="K77" s="115"/>
      <c r="L77" s="115"/>
    </row>
    <row r="78">
      <c r="A78" s="62" t="s">
        <v>171</v>
      </c>
      <c r="B78" s="70" t="s">
        <v>2908</v>
      </c>
      <c r="C78" s="68" t="s">
        <v>2909</v>
      </c>
      <c r="D78" s="68" t="s">
        <v>2205</v>
      </c>
      <c r="E78" s="70" t="s">
        <v>2910</v>
      </c>
      <c r="F78" s="228" t="s">
        <v>2911</v>
      </c>
      <c r="G78" s="84" t="s">
        <v>24</v>
      </c>
      <c r="H78" s="228" t="s">
        <v>25</v>
      </c>
      <c r="I78" s="228" t="s">
        <v>1742</v>
      </c>
      <c r="J78" s="54"/>
      <c r="K78" s="115"/>
      <c r="L78" s="115"/>
    </row>
    <row r="79">
      <c r="A79" s="62" t="s">
        <v>171</v>
      </c>
      <c r="B79" s="70" t="s">
        <v>623</v>
      </c>
      <c r="C79" s="68" t="s">
        <v>2912</v>
      </c>
      <c r="D79" s="68" t="s">
        <v>556</v>
      </c>
      <c r="E79" s="70" t="s">
        <v>292</v>
      </c>
      <c r="F79" s="228" t="s">
        <v>2913</v>
      </c>
      <c r="G79" s="84" t="s">
        <v>24</v>
      </c>
      <c r="H79" s="228" t="s">
        <v>40</v>
      </c>
      <c r="I79" s="228" t="s">
        <v>1742</v>
      </c>
      <c r="J79" s="54"/>
      <c r="K79" s="115"/>
      <c r="L79" s="115"/>
    </row>
    <row r="80">
      <c r="A80" s="62" t="s">
        <v>171</v>
      </c>
      <c r="B80" s="70" t="s">
        <v>2914</v>
      </c>
      <c r="C80" s="68" t="s">
        <v>2915</v>
      </c>
      <c r="D80" s="68" t="s">
        <v>556</v>
      </c>
      <c r="E80" s="70" t="s">
        <v>2916</v>
      </c>
      <c r="F80" s="228" t="s">
        <v>2917</v>
      </c>
      <c r="G80" s="80" t="s">
        <v>898</v>
      </c>
      <c r="H80" s="233" t="s">
        <v>736</v>
      </c>
      <c r="I80" s="233" t="s">
        <v>2808</v>
      </c>
      <c r="J80" s="54"/>
      <c r="K80" s="115"/>
      <c r="L80" s="115"/>
    </row>
    <row r="81">
      <c r="A81" s="62" t="s">
        <v>171</v>
      </c>
      <c r="B81" s="70" t="s">
        <v>2918</v>
      </c>
      <c r="C81" s="68" t="s">
        <v>2919</v>
      </c>
      <c r="D81" s="68" t="s">
        <v>556</v>
      </c>
      <c r="E81" s="70" t="s">
        <v>2646</v>
      </c>
      <c r="F81" s="233" t="s">
        <v>2920</v>
      </c>
      <c r="G81" s="84" t="s">
        <v>24</v>
      </c>
      <c r="H81" s="233" t="s">
        <v>736</v>
      </c>
      <c r="I81" s="233" t="s">
        <v>2808</v>
      </c>
      <c r="J81" s="54"/>
      <c r="K81" s="115"/>
      <c r="L81" s="115"/>
    </row>
    <row r="82">
      <c r="A82" s="62" t="s">
        <v>171</v>
      </c>
      <c r="B82" s="70" t="s">
        <v>2921</v>
      </c>
      <c r="C82" s="68" t="s">
        <v>2922</v>
      </c>
      <c r="D82" s="68" t="s">
        <v>556</v>
      </c>
      <c r="E82" s="70" t="s">
        <v>2923</v>
      </c>
      <c r="F82" s="228" t="s">
        <v>2924</v>
      </c>
      <c r="G82" s="84" t="s">
        <v>24</v>
      </c>
      <c r="H82" s="233" t="s">
        <v>2925</v>
      </c>
      <c r="I82" s="228" t="s">
        <v>626</v>
      </c>
      <c r="J82" s="54"/>
      <c r="K82" s="115"/>
      <c r="L82" s="115"/>
    </row>
    <row r="83">
      <c r="A83" s="62" t="s">
        <v>171</v>
      </c>
      <c r="B83" s="70" t="s">
        <v>2926</v>
      </c>
      <c r="C83" s="68" t="s">
        <v>2927</v>
      </c>
      <c r="D83" s="68" t="s">
        <v>556</v>
      </c>
      <c r="E83" s="70" t="s">
        <v>575</v>
      </c>
      <c r="F83" s="228" t="s">
        <v>2928</v>
      </c>
      <c r="G83" s="80" t="s">
        <v>898</v>
      </c>
      <c r="H83" s="233" t="s">
        <v>2929</v>
      </c>
      <c r="I83" s="233" t="s">
        <v>2808</v>
      </c>
      <c r="J83" s="54"/>
      <c r="K83" s="115"/>
      <c r="L83" s="115"/>
    </row>
    <row r="84">
      <c r="A84" s="62" t="s">
        <v>171</v>
      </c>
      <c r="B84" s="70" t="s">
        <v>2926</v>
      </c>
      <c r="C84" s="68" t="s">
        <v>2930</v>
      </c>
      <c r="D84" s="68" t="s">
        <v>556</v>
      </c>
      <c r="E84" s="70" t="s">
        <v>2931</v>
      </c>
      <c r="F84" s="228" t="s">
        <v>775</v>
      </c>
      <c r="G84" s="80" t="s">
        <v>898</v>
      </c>
      <c r="H84" s="233" t="s">
        <v>1301</v>
      </c>
      <c r="I84" s="228" t="s">
        <v>626</v>
      </c>
      <c r="J84" s="54"/>
      <c r="K84" s="115"/>
      <c r="L84" s="115"/>
    </row>
    <row r="85">
      <c r="A85" s="62" t="s">
        <v>171</v>
      </c>
      <c r="B85" s="70" t="s">
        <v>2932</v>
      </c>
      <c r="C85" s="68" t="s">
        <v>2933</v>
      </c>
      <c r="D85" s="68" t="s">
        <v>556</v>
      </c>
      <c r="E85" s="70" t="s">
        <v>292</v>
      </c>
      <c r="F85" s="228" t="s">
        <v>2934</v>
      </c>
      <c r="G85" s="84" t="s">
        <v>24</v>
      </c>
      <c r="H85" s="228" t="s">
        <v>40</v>
      </c>
      <c r="I85" s="62" t="s">
        <v>2935</v>
      </c>
      <c r="J85" s="54"/>
      <c r="K85" s="115"/>
      <c r="L85" s="115"/>
    </row>
    <row r="86">
      <c r="A86" s="62" t="s">
        <v>171</v>
      </c>
      <c r="B86" s="70" t="s">
        <v>2936</v>
      </c>
      <c r="C86" s="68" t="s">
        <v>2937</v>
      </c>
      <c r="D86" s="68" t="s">
        <v>556</v>
      </c>
      <c r="E86" s="70" t="s">
        <v>2270</v>
      </c>
      <c r="F86" s="228" t="s">
        <v>2938</v>
      </c>
      <c r="G86" s="80" t="s">
        <v>898</v>
      </c>
      <c r="H86" s="228" t="s">
        <v>40</v>
      </c>
      <c r="I86" s="228" t="s">
        <v>626</v>
      </c>
      <c r="J86" s="54"/>
      <c r="K86" s="115"/>
      <c r="L86" s="115"/>
    </row>
    <row r="87">
      <c r="A87" s="62" t="s">
        <v>171</v>
      </c>
      <c r="B87" s="70" t="s">
        <v>2939</v>
      </c>
      <c r="C87" s="68" t="s">
        <v>2940</v>
      </c>
      <c r="D87" s="68" t="s">
        <v>556</v>
      </c>
      <c r="E87" s="70" t="s">
        <v>2941</v>
      </c>
      <c r="F87" s="228" t="s">
        <v>2942</v>
      </c>
      <c r="G87" s="84" t="s">
        <v>24</v>
      </c>
      <c r="H87" s="228" t="s">
        <v>40</v>
      </c>
      <c r="I87" s="228" t="s">
        <v>1742</v>
      </c>
      <c r="J87" s="54"/>
      <c r="K87" s="115"/>
      <c r="L87" s="115"/>
    </row>
    <row r="88">
      <c r="A88" s="62" t="s">
        <v>171</v>
      </c>
      <c r="B88" s="70" t="s">
        <v>2943</v>
      </c>
      <c r="C88" s="68" t="s">
        <v>2944</v>
      </c>
      <c r="D88" s="68" t="s">
        <v>556</v>
      </c>
      <c r="E88" s="70" t="s">
        <v>357</v>
      </c>
      <c r="F88" s="228" t="s">
        <v>2945</v>
      </c>
      <c r="G88" s="80" t="s">
        <v>898</v>
      </c>
      <c r="H88" s="228" t="s">
        <v>40</v>
      </c>
      <c r="I88" s="30" t="s">
        <v>1343</v>
      </c>
      <c r="J88" s="54"/>
      <c r="K88" s="115"/>
      <c r="L88" s="115"/>
    </row>
    <row r="89">
      <c r="A89" s="62" t="s">
        <v>11</v>
      </c>
      <c r="B89" s="228" t="s">
        <v>2946</v>
      </c>
      <c r="C89" s="68" t="s">
        <v>2947</v>
      </c>
      <c r="D89" s="68" t="s">
        <v>556</v>
      </c>
      <c r="E89" s="70" t="s">
        <v>1469</v>
      </c>
      <c r="F89" s="228" t="s">
        <v>2948</v>
      </c>
      <c r="G89" s="84" t="s">
        <v>24</v>
      </c>
      <c r="H89" s="228" t="s">
        <v>40</v>
      </c>
      <c r="I89" s="228" t="s">
        <v>626</v>
      </c>
      <c r="J89" s="54"/>
      <c r="K89" s="115"/>
      <c r="L89" s="115"/>
    </row>
    <row r="90">
      <c r="A90" s="62" t="s">
        <v>171</v>
      </c>
      <c r="B90" s="70" t="s">
        <v>2949</v>
      </c>
      <c r="C90" s="68" t="s">
        <v>2950</v>
      </c>
      <c r="D90" s="105">
        <v>45695.0</v>
      </c>
      <c r="E90" s="70" t="s">
        <v>2951</v>
      </c>
      <c r="F90" s="228" t="s">
        <v>2952</v>
      </c>
      <c r="G90" s="80" t="s">
        <v>898</v>
      </c>
      <c r="H90" s="228" t="s">
        <v>40</v>
      </c>
      <c r="I90" s="30" t="s">
        <v>2953</v>
      </c>
      <c r="J90" s="54"/>
      <c r="K90" s="115"/>
      <c r="L90" s="115"/>
    </row>
    <row r="91">
      <c r="A91" s="62" t="s">
        <v>11</v>
      </c>
      <c r="B91" s="228" t="s">
        <v>1159</v>
      </c>
      <c r="C91" s="68" t="s">
        <v>2954</v>
      </c>
      <c r="D91" s="68" t="s">
        <v>556</v>
      </c>
      <c r="E91" s="70" t="s">
        <v>2955</v>
      </c>
      <c r="F91" s="228" t="s">
        <v>2956</v>
      </c>
      <c r="G91" s="84" t="s">
        <v>24</v>
      </c>
      <c r="H91" s="228" t="s">
        <v>40</v>
      </c>
      <c r="I91" s="228" t="s">
        <v>626</v>
      </c>
      <c r="J91" s="54"/>
      <c r="K91" s="115"/>
      <c r="L91" s="115"/>
    </row>
    <row r="92">
      <c r="A92" s="62" t="s">
        <v>11</v>
      </c>
      <c r="B92" s="228" t="s">
        <v>1159</v>
      </c>
      <c r="C92" s="68" t="s">
        <v>2957</v>
      </c>
      <c r="D92" s="68" t="s">
        <v>556</v>
      </c>
      <c r="E92" s="70" t="s">
        <v>2958</v>
      </c>
      <c r="F92" s="228" t="s">
        <v>2956</v>
      </c>
      <c r="G92" s="84" t="s">
        <v>24</v>
      </c>
      <c r="H92" s="228" t="s">
        <v>40</v>
      </c>
      <c r="I92" s="228" t="s">
        <v>626</v>
      </c>
      <c r="J92" s="54"/>
      <c r="K92" s="115"/>
      <c r="L92" s="115"/>
    </row>
    <row r="93">
      <c r="A93" s="62" t="s">
        <v>11</v>
      </c>
      <c r="B93" s="228" t="s">
        <v>2959</v>
      </c>
      <c r="C93" s="68" t="s">
        <v>2960</v>
      </c>
      <c r="D93" s="105">
        <v>45702.0</v>
      </c>
      <c r="E93" s="70" t="s">
        <v>2961</v>
      </c>
      <c r="F93" s="228" t="s">
        <v>775</v>
      </c>
      <c r="G93" s="84" t="s">
        <v>24</v>
      </c>
      <c r="H93" s="228" t="s">
        <v>40</v>
      </c>
      <c r="I93" s="228" t="s">
        <v>626</v>
      </c>
      <c r="J93" s="54"/>
      <c r="K93" s="115"/>
      <c r="L93" s="115"/>
    </row>
    <row r="94">
      <c r="A94" s="62" t="s">
        <v>171</v>
      </c>
      <c r="B94" s="70" t="s">
        <v>2959</v>
      </c>
      <c r="C94" s="68" t="s">
        <v>2962</v>
      </c>
      <c r="D94" s="105">
        <v>45703.0</v>
      </c>
      <c r="E94" s="70" t="s">
        <v>814</v>
      </c>
      <c r="F94" s="228" t="s">
        <v>2963</v>
      </c>
      <c r="G94" s="84" t="s">
        <v>24</v>
      </c>
      <c r="H94" s="228" t="s">
        <v>40</v>
      </c>
      <c r="I94" s="62" t="s">
        <v>2964</v>
      </c>
      <c r="J94" s="54"/>
      <c r="K94" s="115"/>
      <c r="L94" s="115"/>
    </row>
    <row r="95">
      <c r="A95" s="62" t="s">
        <v>171</v>
      </c>
      <c r="B95" s="70" t="s">
        <v>2965</v>
      </c>
      <c r="C95" s="68" t="s">
        <v>2966</v>
      </c>
      <c r="D95" s="105">
        <v>45702.0</v>
      </c>
      <c r="E95" s="70" t="s">
        <v>746</v>
      </c>
      <c r="F95" s="228" t="s">
        <v>2967</v>
      </c>
      <c r="G95" s="80" t="s">
        <v>898</v>
      </c>
      <c r="H95" s="228" t="s">
        <v>40</v>
      </c>
      <c r="I95" s="233" t="s">
        <v>2808</v>
      </c>
      <c r="J95" s="54"/>
      <c r="K95" s="115"/>
      <c r="L95" s="115"/>
    </row>
    <row r="96">
      <c r="A96" s="62" t="s">
        <v>171</v>
      </c>
      <c r="B96" s="70" t="s">
        <v>2965</v>
      </c>
      <c r="C96" s="68" t="s">
        <v>2968</v>
      </c>
      <c r="D96" s="105">
        <v>45703.0</v>
      </c>
      <c r="E96" s="70" t="s">
        <v>750</v>
      </c>
      <c r="F96" s="228" t="s">
        <v>2969</v>
      </c>
      <c r="G96" s="80" t="s">
        <v>898</v>
      </c>
      <c r="H96" s="228" t="s">
        <v>40</v>
      </c>
      <c r="I96" s="228" t="s">
        <v>626</v>
      </c>
      <c r="J96" s="54"/>
      <c r="K96" s="115"/>
      <c r="L96" s="115"/>
    </row>
    <row r="97">
      <c r="A97" s="62" t="s">
        <v>11</v>
      </c>
      <c r="B97" s="228" t="s">
        <v>2970</v>
      </c>
      <c r="C97" s="68" t="s">
        <v>2971</v>
      </c>
      <c r="D97" s="105">
        <v>45631.0</v>
      </c>
      <c r="E97" s="70" t="s">
        <v>2972</v>
      </c>
      <c r="F97" s="228" t="s">
        <v>2973</v>
      </c>
      <c r="G97" s="84" t="s">
        <v>24</v>
      </c>
      <c r="H97" s="228" t="s">
        <v>40</v>
      </c>
      <c r="I97" s="228" t="s">
        <v>626</v>
      </c>
      <c r="J97" s="54"/>
      <c r="K97" s="115"/>
      <c r="L97" s="115"/>
    </row>
    <row r="98">
      <c r="A98" s="62" t="s">
        <v>171</v>
      </c>
      <c r="B98" s="70" t="s">
        <v>2974</v>
      </c>
      <c r="C98" s="68" t="s">
        <v>2975</v>
      </c>
      <c r="D98" s="68" t="s">
        <v>556</v>
      </c>
      <c r="E98" s="70" t="s">
        <v>2976</v>
      </c>
      <c r="F98" s="228" t="s">
        <v>2977</v>
      </c>
      <c r="G98" s="234" t="s">
        <v>2713</v>
      </c>
      <c r="H98" s="233" t="s">
        <v>736</v>
      </c>
      <c r="I98" s="228" t="s">
        <v>626</v>
      </c>
      <c r="J98" s="54"/>
      <c r="K98" s="115"/>
      <c r="L98" s="115"/>
    </row>
    <row r="99">
      <c r="A99" s="62" t="s">
        <v>11</v>
      </c>
      <c r="B99" s="228" t="s">
        <v>2978</v>
      </c>
      <c r="C99" s="68" t="s">
        <v>2979</v>
      </c>
      <c r="D99" s="68" t="s">
        <v>556</v>
      </c>
      <c r="E99" s="70" t="s">
        <v>2980</v>
      </c>
      <c r="F99" s="228" t="s">
        <v>2981</v>
      </c>
      <c r="G99" s="84" t="s">
        <v>24</v>
      </c>
      <c r="H99" s="228" t="s">
        <v>40</v>
      </c>
      <c r="I99" s="228" t="s">
        <v>626</v>
      </c>
      <c r="J99" s="54"/>
      <c r="K99" s="70" t="s">
        <v>2982</v>
      </c>
      <c r="L99" s="115"/>
    </row>
    <row r="100">
      <c r="A100" s="62" t="s">
        <v>11</v>
      </c>
      <c r="B100" s="228" t="s">
        <v>2983</v>
      </c>
      <c r="C100" s="68" t="s">
        <v>2984</v>
      </c>
      <c r="D100" s="68" t="s">
        <v>556</v>
      </c>
      <c r="E100" s="70" t="s">
        <v>2985</v>
      </c>
      <c r="F100" s="228" t="s">
        <v>775</v>
      </c>
      <c r="G100" s="84" t="s">
        <v>24</v>
      </c>
      <c r="H100" s="228" t="s">
        <v>40</v>
      </c>
      <c r="I100" s="228" t="s">
        <v>626</v>
      </c>
      <c r="J100" s="54"/>
      <c r="K100" s="115"/>
      <c r="L100" s="115"/>
    </row>
    <row r="101">
      <c r="A101" s="62" t="s">
        <v>171</v>
      </c>
      <c r="B101" s="70" t="s">
        <v>2986</v>
      </c>
      <c r="C101" s="68" t="s">
        <v>2987</v>
      </c>
      <c r="D101" s="105">
        <v>45726.0</v>
      </c>
      <c r="E101" s="70" t="s">
        <v>735</v>
      </c>
      <c r="F101" s="228" t="s">
        <v>2988</v>
      </c>
      <c r="G101" s="80" t="s">
        <v>898</v>
      </c>
      <c r="H101" s="228" t="s">
        <v>40</v>
      </c>
      <c r="I101" s="228" t="s">
        <v>626</v>
      </c>
      <c r="J101" s="54"/>
      <c r="K101" s="115"/>
      <c r="L101" s="115"/>
    </row>
    <row r="102">
      <c r="A102" s="62" t="s">
        <v>171</v>
      </c>
      <c r="B102" s="70" t="s">
        <v>2989</v>
      </c>
      <c r="C102" s="68" t="s">
        <v>2990</v>
      </c>
      <c r="D102" s="105">
        <v>45726.0</v>
      </c>
      <c r="E102" s="70" t="s">
        <v>130</v>
      </c>
      <c r="F102" s="233" t="s">
        <v>2991</v>
      </c>
      <c r="G102" s="80" t="s">
        <v>898</v>
      </c>
      <c r="H102" s="228" t="s">
        <v>40</v>
      </c>
      <c r="I102" s="228" t="s">
        <v>626</v>
      </c>
      <c r="J102" s="54"/>
      <c r="K102" s="115"/>
      <c r="L102" s="115"/>
    </row>
    <row r="103">
      <c r="A103" s="62" t="s">
        <v>11</v>
      </c>
      <c r="B103" s="228" t="s">
        <v>2992</v>
      </c>
      <c r="C103" s="68" t="s">
        <v>2993</v>
      </c>
      <c r="D103" s="105">
        <v>45454.0</v>
      </c>
      <c r="E103" s="70" t="s">
        <v>292</v>
      </c>
      <c r="F103" s="228" t="s">
        <v>2994</v>
      </c>
      <c r="G103" s="84" t="s">
        <v>24</v>
      </c>
      <c r="H103" s="228" t="s">
        <v>2995</v>
      </c>
      <c r="I103" s="228" t="s">
        <v>567</v>
      </c>
      <c r="J103" s="54"/>
      <c r="K103" s="115"/>
      <c r="L103" s="115"/>
    </row>
    <row r="104">
      <c r="A104" s="62" t="s">
        <v>11</v>
      </c>
      <c r="B104" s="228" t="s">
        <v>2996</v>
      </c>
      <c r="C104" s="68" t="s">
        <v>2997</v>
      </c>
      <c r="D104" s="105">
        <v>45733.0</v>
      </c>
      <c r="E104" s="70" t="s">
        <v>2998</v>
      </c>
      <c r="F104" s="228" t="s">
        <v>2999</v>
      </c>
      <c r="G104" s="84" t="s">
        <v>24</v>
      </c>
      <c r="H104" s="228" t="s">
        <v>2995</v>
      </c>
      <c r="I104" s="228" t="s">
        <v>567</v>
      </c>
      <c r="J104" s="54"/>
      <c r="K104" s="115"/>
      <c r="L104" s="115"/>
    </row>
    <row r="105">
      <c r="A105" s="62" t="s">
        <v>171</v>
      </c>
      <c r="B105" s="70" t="s">
        <v>3000</v>
      </c>
      <c r="C105" s="68" t="s">
        <v>3001</v>
      </c>
      <c r="D105" s="68" t="s">
        <v>556</v>
      </c>
      <c r="E105" s="70" t="s">
        <v>3002</v>
      </c>
      <c r="F105" s="228" t="s">
        <v>3003</v>
      </c>
      <c r="G105" s="84" t="s">
        <v>24</v>
      </c>
      <c r="H105" s="228" t="s">
        <v>40</v>
      </c>
      <c r="I105" s="228" t="s">
        <v>567</v>
      </c>
      <c r="J105" s="54"/>
      <c r="K105" s="115"/>
      <c r="L105" s="115"/>
    </row>
    <row r="106">
      <c r="A106" s="62" t="s">
        <v>11</v>
      </c>
      <c r="B106" s="228" t="s">
        <v>1381</v>
      </c>
      <c r="C106" s="68" t="s">
        <v>3004</v>
      </c>
      <c r="D106" s="68" t="s">
        <v>556</v>
      </c>
      <c r="E106" s="70" t="s">
        <v>1382</v>
      </c>
      <c r="F106" s="228" t="s">
        <v>3005</v>
      </c>
      <c r="G106" s="84" t="s">
        <v>24</v>
      </c>
      <c r="H106" s="228" t="s">
        <v>40</v>
      </c>
      <c r="I106" s="228" t="s">
        <v>2751</v>
      </c>
      <c r="J106" s="54"/>
      <c r="K106" s="115"/>
      <c r="L106" s="115"/>
    </row>
    <row r="107">
      <c r="A107" s="62" t="s">
        <v>11</v>
      </c>
      <c r="B107" s="228" t="s">
        <v>3006</v>
      </c>
      <c r="C107" s="68">
        <v>3.7029478843E10</v>
      </c>
      <c r="D107" s="105">
        <v>45672.0</v>
      </c>
      <c r="E107" s="70" t="s">
        <v>2559</v>
      </c>
      <c r="F107" s="228" t="s">
        <v>3007</v>
      </c>
      <c r="G107" s="84" t="s">
        <v>24</v>
      </c>
      <c r="H107" s="228" t="s">
        <v>40</v>
      </c>
      <c r="I107" s="228" t="s">
        <v>2751</v>
      </c>
      <c r="J107" s="54"/>
      <c r="K107" s="115"/>
      <c r="L107" s="115"/>
    </row>
    <row r="108">
      <c r="A108" s="62" t="s">
        <v>171</v>
      </c>
      <c r="B108" s="70" t="s">
        <v>3008</v>
      </c>
      <c r="C108" s="68" t="s">
        <v>3009</v>
      </c>
      <c r="D108" s="68" t="s">
        <v>556</v>
      </c>
      <c r="E108" s="70" t="s">
        <v>357</v>
      </c>
      <c r="F108" s="228" t="s">
        <v>3010</v>
      </c>
      <c r="G108" s="80" t="s">
        <v>898</v>
      </c>
      <c r="H108" s="228" t="s">
        <v>40</v>
      </c>
      <c r="I108" s="232" t="s">
        <v>3011</v>
      </c>
      <c r="J108" s="54"/>
      <c r="K108" s="115"/>
      <c r="L108" s="115"/>
    </row>
    <row r="109">
      <c r="A109" s="62" t="s">
        <v>11</v>
      </c>
      <c r="B109" s="228" t="s">
        <v>3012</v>
      </c>
      <c r="C109" s="68" t="s">
        <v>3013</v>
      </c>
      <c r="D109" s="68" t="s">
        <v>556</v>
      </c>
      <c r="E109" s="70" t="s">
        <v>1148</v>
      </c>
      <c r="F109" s="76" t="s">
        <v>3014</v>
      </c>
      <c r="G109" s="84" t="s">
        <v>24</v>
      </c>
      <c r="H109" s="228" t="s">
        <v>40</v>
      </c>
      <c r="I109" s="228" t="s">
        <v>567</v>
      </c>
      <c r="J109" s="54"/>
      <c r="K109" s="115"/>
      <c r="L109" s="115"/>
    </row>
    <row r="110">
      <c r="A110" s="62" t="s">
        <v>11</v>
      </c>
      <c r="B110" s="228" t="s">
        <v>3015</v>
      </c>
      <c r="C110" s="68" t="s">
        <v>3016</v>
      </c>
      <c r="D110" s="102">
        <v>45614.0</v>
      </c>
      <c r="E110" s="70" t="s">
        <v>3002</v>
      </c>
      <c r="F110" s="228" t="s">
        <v>3017</v>
      </c>
      <c r="G110" s="84" t="s">
        <v>24</v>
      </c>
      <c r="H110" s="228" t="s">
        <v>40</v>
      </c>
      <c r="I110" s="228" t="s">
        <v>567</v>
      </c>
      <c r="J110" s="54"/>
      <c r="K110" s="115"/>
      <c r="L110" s="115"/>
    </row>
    <row r="111">
      <c r="A111" s="62" t="s">
        <v>171</v>
      </c>
      <c r="B111" s="70" t="s">
        <v>3018</v>
      </c>
      <c r="C111" s="68" t="s">
        <v>3019</v>
      </c>
      <c r="D111" s="68" t="s">
        <v>556</v>
      </c>
      <c r="E111" s="70" t="s">
        <v>746</v>
      </c>
      <c r="F111" s="228" t="s">
        <v>3020</v>
      </c>
      <c r="G111" s="84" t="s">
        <v>24</v>
      </c>
      <c r="H111" s="228" t="s">
        <v>40</v>
      </c>
      <c r="I111" s="228" t="s">
        <v>567</v>
      </c>
      <c r="J111" s="54"/>
      <c r="K111" s="115"/>
      <c r="L111" s="115"/>
    </row>
    <row r="112">
      <c r="A112" s="62" t="s">
        <v>171</v>
      </c>
      <c r="B112" s="70" t="s">
        <v>3021</v>
      </c>
      <c r="C112" s="68" t="s">
        <v>3022</v>
      </c>
      <c r="D112" s="105">
        <v>45394.0</v>
      </c>
      <c r="E112" s="70" t="s">
        <v>3023</v>
      </c>
      <c r="F112" s="233" t="s">
        <v>3024</v>
      </c>
      <c r="G112" s="80" t="s">
        <v>898</v>
      </c>
      <c r="H112" s="228" t="s">
        <v>40</v>
      </c>
      <c r="I112" s="228" t="s">
        <v>626</v>
      </c>
      <c r="J112" s="54"/>
      <c r="K112" s="115"/>
      <c r="L112" s="115"/>
    </row>
    <row r="113">
      <c r="A113" s="62" t="s">
        <v>11</v>
      </c>
      <c r="B113" s="228" t="s">
        <v>3025</v>
      </c>
      <c r="C113" s="68" t="s">
        <v>3026</v>
      </c>
      <c r="D113" s="68" t="s">
        <v>1917</v>
      </c>
      <c r="E113" s="70" t="s">
        <v>463</v>
      </c>
      <c r="F113" s="228" t="s">
        <v>3027</v>
      </c>
      <c r="G113" s="84" t="s">
        <v>24</v>
      </c>
      <c r="H113" s="228" t="s">
        <v>40</v>
      </c>
      <c r="I113" s="228" t="s">
        <v>1398</v>
      </c>
      <c r="J113" s="54"/>
      <c r="K113" s="115"/>
      <c r="L113" s="115"/>
    </row>
    <row r="114">
      <c r="A114" s="62" t="s">
        <v>171</v>
      </c>
      <c r="B114" s="70" t="s">
        <v>3028</v>
      </c>
      <c r="C114" s="68" t="s">
        <v>3029</v>
      </c>
      <c r="D114" s="102">
        <v>45623.0</v>
      </c>
      <c r="E114" s="70" t="s">
        <v>1052</v>
      </c>
      <c r="F114" s="228" t="s">
        <v>3030</v>
      </c>
      <c r="G114" s="84" t="s">
        <v>24</v>
      </c>
      <c r="H114" s="228" t="s">
        <v>40</v>
      </c>
      <c r="I114" s="229" t="s">
        <v>3031</v>
      </c>
      <c r="J114" s="54"/>
      <c r="K114" s="115"/>
      <c r="L114" s="115"/>
    </row>
    <row r="115">
      <c r="A115" s="62" t="s">
        <v>11</v>
      </c>
      <c r="B115" s="228" t="s">
        <v>1308</v>
      </c>
      <c r="C115" s="68" t="s">
        <v>1309</v>
      </c>
      <c r="D115" s="105">
        <v>45658.0</v>
      </c>
      <c r="E115" s="70" t="s">
        <v>3032</v>
      </c>
      <c r="F115" s="228" t="s">
        <v>775</v>
      </c>
      <c r="G115" s="84" t="s">
        <v>24</v>
      </c>
      <c r="H115" s="228" t="s">
        <v>40</v>
      </c>
      <c r="I115" s="228" t="s">
        <v>626</v>
      </c>
      <c r="J115" s="54"/>
      <c r="K115" s="115"/>
      <c r="L115" s="115"/>
    </row>
    <row r="116">
      <c r="A116" s="62" t="s">
        <v>171</v>
      </c>
      <c r="B116" s="70" t="s">
        <v>3033</v>
      </c>
      <c r="C116" s="68" t="s">
        <v>3034</v>
      </c>
      <c r="D116" s="105">
        <v>45662.0</v>
      </c>
      <c r="E116" s="70" t="s">
        <v>73</v>
      </c>
      <c r="F116" s="228" t="s">
        <v>3035</v>
      </c>
      <c r="G116" s="84" t="s">
        <v>24</v>
      </c>
      <c r="H116" s="228" t="s">
        <v>40</v>
      </c>
      <c r="I116" s="229" t="s">
        <v>3031</v>
      </c>
      <c r="J116" s="54"/>
      <c r="K116" s="115"/>
      <c r="L116" s="115"/>
    </row>
    <row r="117">
      <c r="A117" s="62" t="s">
        <v>3036</v>
      </c>
      <c r="B117" s="70" t="s">
        <v>3033</v>
      </c>
      <c r="C117" s="68" t="s">
        <v>3037</v>
      </c>
      <c r="D117" s="105">
        <v>45663.0</v>
      </c>
      <c r="E117" s="70" t="s">
        <v>194</v>
      </c>
      <c r="F117" s="238" t="s">
        <v>775</v>
      </c>
      <c r="G117" s="84" t="s">
        <v>24</v>
      </c>
      <c r="H117" s="233" t="s">
        <v>736</v>
      </c>
      <c r="I117" s="228" t="s">
        <v>626</v>
      </c>
      <c r="J117" s="54"/>
      <c r="K117" s="115"/>
      <c r="L117" s="115"/>
    </row>
    <row r="118">
      <c r="A118" s="62" t="s">
        <v>11</v>
      </c>
      <c r="B118" s="228" t="s">
        <v>3038</v>
      </c>
      <c r="C118" s="68" t="s">
        <v>3039</v>
      </c>
      <c r="D118" s="68" t="s">
        <v>1917</v>
      </c>
      <c r="E118" s="70" t="s">
        <v>451</v>
      </c>
      <c r="F118" s="228" t="s">
        <v>3040</v>
      </c>
      <c r="G118" s="84" t="s">
        <v>24</v>
      </c>
      <c r="H118" s="228" t="s">
        <v>40</v>
      </c>
      <c r="I118" s="228" t="s">
        <v>1042</v>
      </c>
      <c r="J118" s="54"/>
      <c r="K118" s="115"/>
      <c r="L118" s="115"/>
    </row>
    <row r="119">
      <c r="A119" s="62" t="s">
        <v>11</v>
      </c>
      <c r="B119" s="228" t="s">
        <v>3041</v>
      </c>
      <c r="C119" s="68" t="s">
        <v>3042</v>
      </c>
      <c r="D119" s="68" t="s">
        <v>1917</v>
      </c>
      <c r="E119" s="70" t="s">
        <v>107</v>
      </c>
      <c r="F119" s="228" t="s">
        <v>3043</v>
      </c>
      <c r="G119" s="84" t="s">
        <v>24</v>
      </c>
      <c r="H119" s="228" t="s">
        <v>40</v>
      </c>
      <c r="I119" s="228" t="s">
        <v>626</v>
      </c>
      <c r="J119" s="54"/>
      <c r="K119" s="115"/>
      <c r="L119" s="115"/>
    </row>
    <row r="120">
      <c r="A120" s="62" t="s">
        <v>171</v>
      </c>
      <c r="B120" s="70" t="s">
        <v>3044</v>
      </c>
      <c r="C120" s="68" t="s">
        <v>3045</v>
      </c>
      <c r="D120" s="68" t="s">
        <v>1917</v>
      </c>
      <c r="E120" s="70" t="s">
        <v>3046</v>
      </c>
      <c r="F120" s="228" t="s">
        <v>3047</v>
      </c>
      <c r="G120" s="84" t="s">
        <v>24</v>
      </c>
      <c r="H120" s="228" t="s">
        <v>40</v>
      </c>
      <c r="I120" s="228" t="s">
        <v>626</v>
      </c>
      <c r="J120" s="54"/>
      <c r="K120" s="115"/>
      <c r="L120" s="115"/>
    </row>
    <row r="121">
      <c r="A121" s="62" t="s">
        <v>171</v>
      </c>
      <c r="B121" s="70" t="s">
        <v>3048</v>
      </c>
      <c r="C121" s="68" t="s">
        <v>3049</v>
      </c>
      <c r="D121" s="68" t="s">
        <v>1917</v>
      </c>
      <c r="E121" s="70" t="s">
        <v>1791</v>
      </c>
      <c r="F121" s="228" t="s">
        <v>3050</v>
      </c>
      <c r="G121" s="84" t="s">
        <v>24</v>
      </c>
      <c r="H121" s="228" t="s">
        <v>40</v>
      </c>
      <c r="I121" s="228" t="s">
        <v>567</v>
      </c>
      <c r="J121" s="54"/>
      <c r="K121" s="115"/>
      <c r="L121" s="115"/>
    </row>
    <row r="122">
      <c r="A122" s="62" t="s">
        <v>171</v>
      </c>
      <c r="B122" s="228" t="s">
        <v>3051</v>
      </c>
      <c r="C122" s="68" t="s">
        <v>3052</v>
      </c>
      <c r="D122" s="68" t="s">
        <v>1917</v>
      </c>
      <c r="E122" s="70" t="s">
        <v>83</v>
      </c>
      <c r="F122" s="228" t="s">
        <v>3053</v>
      </c>
      <c r="G122" s="84" t="s">
        <v>24</v>
      </c>
      <c r="H122" s="228" t="s">
        <v>40</v>
      </c>
      <c r="I122" s="228" t="s">
        <v>567</v>
      </c>
      <c r="J122" s="54"/>
      <c r="K122" s="115"/>
      <c r="L122" s="115"/>
    </row>
    <row r="123">
      <c r="A123" s="62" t="s">
        <v>171</v>
      </c>
      <c r="B123" s="70" t="s">
        <v>3054</v>
      </c>
      <c r="C123" s="68" t="s">
        <v>3055</v>
      </c>
      <c r="D123" s="68" t="s">
        <v>556</v>
      </c>
      <c r="E123" s="70" t="s">
        <v>746</v>
      </c>
      <c r="F123" s="228" t="s">
        <v>3056</v>
      </c>
      <c r="G123" s="234" t="s">
        <v>2713</v>
      </c>
      <c r="H123" s="228" t="s">
        <v>40</v>
      </c>
      <c r="I123" s="239" t="s">
        <v>3057</v>
      </c>
      <c r="J123" s="54"/>
      <c r="K123" s="115"/>
      <c r="L123" s="115"/>
    </row>
    <row r="124">
      <c r="A124" s="62" t="s">
        <v>171</v>
      </c>
      <c r="B124" s="70" t="s">
        <v>3058</v>
      </c>
      <c r="C124" s="68" t="s">
        <v>3059</v>
      </c>
      <c r="D124" s="68" t="s">
        <v>1917</v>
      </c>
      <c r="E124" s="70" t="s">
        <v>3060</v>
      </c>
      <c r="F124" s="228" t="s">
        <v>3061</v>
      </c>
      <c r="G124" s="84" t="s">
        <v>24</v>
      </c>
      <c r="H124" s="228" t="s">
        <v>40</v>
      </c>
      <c r="I124" s="228" t="s">
        <v>1042</v>
      </c>
      <c r="J124" s="54"/>
      <c r="K124" s="115"/>
      <c r="L124" s="115"/>
    </row>
    <row r="125">
      <c r="A125" s="62" t="s">
        <v>171</v>
      </c>
      <c r="B125" s="70" t="s">
        <v>3062</v>
      </c>
      <c r="C125" s="105">
        <v>45600.0</v>
      </c>
      <c r="D125" s="68" t="s">
        <v>556</v>
      </c>
      <c r="E125" s="70" t="s">
        <v>3063</v>
      </c>
      <c r="F125" s="228" t="s">
        <v>3064</v>
      </c>
      <c r="G125" s="84" t="s">
        <v>24</v>
      </c>
      <c r="H125" s="228" t="s">
        <v>40</v>
      </c>
      <c r="I125" s="70" t="s">
        <v>915</v>
      </c>
      <c r="J125" s="54"/>
      <c r="K125" s="115"/>
      <c r="L125" s="115"/>
    </row>
    <row r="126">
      <c r="A126" s="62" t="s">
        <v>171</v>
      </c>
      <c r="B126" s="70" t="s">
        <v>3065</v>
      </c>
      <c r="C126" s="68" t="s">
        <v>3066</v>
      </c>
      <c r="D126" s="68" t="s">
        <v>556</v>
      </c>
      <c r="E126" s="70" t="s">
        <v>463</v>
      </c>
      <c r="F126" s="228" t="s">
        <v>3067</v>
      </c>
      <c r="G126" s="234" t="s">
        <v>2713</v>
      </c>
      <c r="H126" s="228" t="s">
        <v>40</v>
      </c>
      <c r="I126" s="228" t="s">
        <v>1398</v>
      </c>
      <c r="J126" s="54"/>
      <c r="K126" s="115"/>
      <c r="L126" s="115"/>
    </row>
    <row r="127">
      <c r="A127" s="62" t="s">
        <v>274</v>
      </c>
      <c r="B127" s="70" t="s">
        <v>3068</v>
      </c>
      <c r="C127" s="68" t="s">
        <v>3069</v>
      </c>
      <c r="D127" s="68" t="s">
        <v>556</v>
      </c>
      <c r="E127" s="70" t="s">
        <v>463</v>
      </c>
      <c r="F127" s="228" t="s">
        <v>3070</v>
      </c>
      <c r="G127" s="80" t="s">
        <v>898</v>
      </c>
      <c r="H127" s="115"/>
      <c r="I127" s="70" t="s">
        <v>915</v>
      </c>
      <c r="J127" s="54"/>
      <c r="K127" s="115"/>
      <c r="L127" s="115"/>
    </row>
    <row r="128">
      <c r="A128" s="62" t="s">
        <v>171</v>
      </c>
      <c r="B128" s="70" t="s">
        <v>3071</v>
      </c>
      <c r="C128" s="68" t="s">
        <v>3072</v>
      </c>
      <c r="D128" s="68" t="s">
        <v>1917</v>
      </c>
      <c r="E128" s="70" t="s">
        <v>357</v>
      </c>
      <c r="F128" s="228" t="s">
        <v>3073</v>
      </c>
      <c r="G128" s="84" t="s">
        <v>24</v>
      </c>
      <c r="H128" s="228" t="s">
        <v>40</v>
      </c>
      <c r="I128" s="228" t="s">
        <v>1042</v>
      </c>
      <c r="J128" s="54"/>
      <c r="K128" s="233" t="s">
        <v>3074</v>
      </c>
      <c r="L128" s="115"/>
    </row>
    <row r="129">
      <c r="A129" s="62" t="s">
        <v>274</v>
      </c>
      <c r="B129" s="70" t="s">
        <v>3075</v>
      </c>
      <c r="C129" s="68" t="s">
        <v>3076</v>
      </c>
      <c r="D129" s="54"/>
      <c r="E129" s="70" t="s">
        <v>339</v>
      </c>
      <c r="F129" s="228" t="s">
        <v>3077</v>
      </c>
      <c r="G129" s="80" t="s">
        <v>898</v>
      </c>
      <c r="H129" s="233" t="s">
        <v>3078</v>
      </c>
      <c r="I129" s="228" t="s">
        <v>3079</v>
      </c>
      <c r="J129" s="54"/>
      <c r="K129" s="115"/>
      <c r="L129" s="115"/>
    </row>
    <row r="130">
      <c r="A130" s="62" t="s">
        <v>11</v>
      </c>
      <c r="B130" s="228" t="s">
        <v>3080</v>
      </c>
      <c r="C130" s="68" t="s">
        <v>3081</v>
      </c>
      <c r="D130" s="54"/>
      <c r="E130" s="70" t="s">
        <v>292</v>
      </c>
      <c r="F130" s="228" t="s">
        <v>3082</v>
      </c>
      <c r="G130" s="84" t="s">
        <v>24</v>
      </c>
      <c r="H130" s="228" t="s">
        <v>40</v>
      </c>
      <c r="I130" s="228" t="s">
        <v>1042</v>
      </c>
      <c r="J130" s="54"/>
      <c r="K130" s="115"/>
      <c r="L130" s="115"/>
    </row>
    <row r="131">
      <c r="A131" s="62" t="s">
        <v>11</v>
      </c>
      <c r="B131" s="228" t="s">
        <v>1648</v>
      </c>
      <c r="C131" s="68" t="s">
        <v>3083</v>
      </c>
      <c r="D131" s="54"/>
      <c r="E131" s="70" t="s">
        <v>463</v>
      </c>
      <c r="F131" s="228" t="s">
        <v>3084</v>
      </c>
      <c r="G131" s="84" t="s">
        <v>24</v>
      </c>
      <c r="H131" s="228" t="s">
        <v>40</v>
      </c>
      <c r="I131" s="70" t="s">
        <v>915</v>
      </c>
      <c r="J131" s="54"/>
      <c r="K131" s="115"/>
      <c r="L131" s="115"/>
    </row>
    <row r="132">
      <c r="A132" s="62" t="s">
        <v>171</v>
      </c>
      <c r="B132" s="70" t="s">
        <v>3085</v>
      </c>
      <c r="C132" s="68" t="s">
        <v>3086</v>
      </c>
      <c r="D132" s="68" t="s">
        <v>1917</v>
      </c>
      <c r="E132" s="70" t="s">
        <v>101</v>
      </c>
      <c r="F132" s="228" t="s">
        <v>3087</v>
      </c>
      <c r="G132" s="84" t="s">
        <v>24</v>
      </c>
      <c r="H132" s="228" t="s">
        <v>40</v>
      </c>
      <c r="I132" s="228" t="s">
        <v>567</v>
      </c>
      <c r="J132" s="54"/>
      <c r="K132" s="115"/>
      <c r="L132" s="115"/>
    </row>
    <row r="133">
      <c r="A133" s="62" t="s">
        <v>354</v>
      </c>
      <c r="B133" s="70" t="s">
        <v>3088</v>
      </c>
      <c r="C133" s="68" t="s">
        <v>3089</v>
      </c>
      <c r="D133" s="54"/>
      <c r="E133" s="70" t="s">
        <v>188</v>
      </c>
      <c r="F133" s="62" t="s">
        <v>1300</v>
      </c>
      <c r="G133" s="80" t="s">
        <v>898</v>
      </c>
      <c r="H133" s="115"/>
      <c r="I133" s="70" t="s">
        <v>915</v>
      </c>
      <c r="J133" s="54"/>
      <c r="K133" s="115"/>
      <c r="L133" s="115"/>
    </row>
    <row r="134">
      <c r="A134" s="62" t="s">
        <v>171</v>
      </c>
      <c r="B134" s="70" t="s">
        <v>3090</v>
      </c>
      <c r="C134" s="68" t="s">
        <v>3091</v>
      </c>
      <c r="D134" s="54"/>
      <c r="E134" s="43" t="s">
        <v>3092</v>
      </c>
      <c r="F134" s="228" t="s">
        <v>3093</v>
      </c>
      <c r="G134" s="84" t="s">
        <v>24</v>
      </c>
      <c r="H134" s="228" t="s">
        <v>40</v>
      </c>
      <c r="I134" s="228" t="s">
        <v>567</v>
      </c>
      <c r="J134" s="54"/>
      <c r="K134" s="115"/>
      <c r="L134" s="115"/>
    </row>
    <row r="135">
      <c r="A135" s="62" t="s">
        <v>171</v>
      </c>
      <c r="B135" s="70" t="s">
        <v>3094</v>
      </c>
      <c r="C135" s="68" t="s">
        <v>3095</v>
      </c>
      <c r="D135" s="54"/>
      <c r="E135" s="70" t="s">
        <v>3096</v>
      </c>
      <c r="F135" s="228" t="s">
        <v>3097</v>
      </c>
      <c r="G135" s="84" t="s">
        <v>24</v>
      </c>
      <c r="H135" s="228" t="s">
        <v>40</v>
      </c>
      <c r="I135" s="228" t="s">
        <v>567</v>
      </c>
      <c r="J135" s="54"/>
      <c r="K135" s="115"/>
      <c r="L135" s="115"/>
    </row>
    <row r="136">
      <c r="A136" s="62" t="s">
        <v>2088</v>
      </c>
      <c r="B136" s="70" t="s">
        <v>3098</v>
      </c>
      <c r="C136" s="68" t="s">
        <v>3099</v>
      </c>
      <c r="D136" s="54"/>
      <c r="E136" s="70" t="s">
        <v>3100</v>
      </c>
      <c r="F136" s="228" t="s">
        <v>3101</v>
      </c>
      <c r="G136" s="234" t="s">
        <v>2713</v>
      </c>
      <c r="H136" s="228" t="s">
        <v>40</v>
      </c>
      <c r="I136" s="70" t="s">
        <v>915</v>
      </c>
      <c r="J136" s="54"/>
      <c r="K136" s="115"/>
      <c r="L136" s="115"/>
    </row>
    <row r="137" ht="15.75" customHeight="1">
      <c r="A137" s="62" t="s">
        <v>171</v>
      </c>
      <c r="B137" s="70" t="s">
        <v>3102</v>
      </c>
      <c r="C137" s="68" t="s">
        <v>2661</v>
      </c>
      <c r="D137" s="54"/>
      <c r="E137" s="70" t="s">
        <v>738</v>
      </c>
      <c r="F137" s="228" t="s">
        <v>3103</v>
      </c>
      <c r="G137" s="84" t="s">
        <v>24</v>
      </c>
      <c r="H137" s="228" t="s">
        <v>40</v>
      </c>
      <c r="I137" s="228" t="s">
        <v>3104</v>
      </c>
      <c r="J137" s="54"/>
      <c r="K137" s="115"/>
      <c r="L137" s="115"/>
    </row>
    <row r="138">
      <c r="A138" s="62" t="s">
        <v>171</v>
      </c>
      <c r="B138" s="70" t="s">
        <v>3105</v>
      </c>
      <c r="C138" s="68" t="s">
        <v>3106</v>
      </c>
      <c r="D138" s="68" t="s">
        <v>1917</v>
      </c>
      <c r="E138" s="70" t="s">
        <v>1791</v>
      </c>
      <c r="F138" s="228" t="s">
        <v>3107</v>
      </c>
      <c r="G138" s="84" t="s">
        <v>24</v>
      </c>
      <c r="H138" s="228" t="s">
        <v>40</v>
      </c>
      <c r="I138" s="228" t="s">
        <v>1042</v>
      </c>
      <c r="J138" s="54"/>
      <c r="K138" s="115"/>
      <c r="L138" s="115"/>
    </row>
    <row r="139">
      <c r="A139" s="62" t="s">
        <v>171</v>
      </c>
      <c r="B139" s="70" t="s">
        <v>3108</v>
      </c>
      <c r="C139" s="68" t="s">
        <v>3095</v>
      </c>
      <c r="D139" s="54"/>
      <c r="E139" s="70" t="s">
        <v>158</v>
      </c>
      <c r="F139" s="76" t="s">
        <v>3097</v>
      </c>
      <c r="G139" s="84" t="s">
        <v>24</v>
      </c>
      <c r="H139" s="228" t="s">
        <v>40</v>
      </c>
      <c r="I139" s="70" t="s">
        <v>3109</v>
      </c>
      <c r="J139" s="54"/>
      <c r="K139" s="115"/>
      <c r="L139" s="115"/>
    </row>
    <row r="140">
      <c r="A140" s="62" t="s">
        <v>171</v>
      </c>
      <c r="B140" s="70" t="s">
        <v>3108</v>
      </c>
      <c r="C140" s="68" t="s">
        <v>3095</v>
      </c>
      <c r="D140" s="54"/>
      <c r="E140" s="70" t="s">
        <v>1469</v>
      </c>
      <c r="F140" s="76" t="s">
        <v>3097</v>
      </c>
      <c r="G140" s="84" t="s">
        <v>24</v>
      </c>
      <c r="H140" s="228" t="s">
        <v>40</v>
      </c>
      <c r="I140" s="70" t="s">
        <v>915</v>
      </c>
      <c r="J140" s="54"/>
      <c r="K140" s="115"/>
      <c r="L140" s="115"/>
    </row>
    <row r="141">
      <c r="A141" s="62" t="s">
        <v>171</v>
      </c>
      <c r="B141" s="70" t="s">
        <v>3110</v>
      </c>
      <c r="C141" s="68" t="s">
        <v>3111</v>
      </c>
      <c r="D141" s="54"/>
      <c r="E141" s="70" t="s">
        <v>3112</v>
      </c>
      <c r="F141" s="181" t="s">
        <v>3113</v>
      </c>
      <c r="G141" s="84" t="s">
        <v>24</v>
      </c>
      <c r="H141" s="228" t="s">
        <v>25</v>
      </c>
      <c r="I141" s="240" t="s">
        <v>3114</v>
      </c>
      <c r="J141" s="54"/>
      <c r="K141" s="115"/>
      <c r="L141" s="115"/>
    </row>
    <row r="142">
      <c r="A142" s="62"/>
      <c r="B142" s="70" t="s">
        <v>3115</v>
      </c>
      <c r="C142" s="68" t="s">
        <v>3116</v>
      </c>
      <c r="D142" s="68"/>
      <c r="E142" s="70" t="s">
        <v>1184</v>
      </c>
      <c r="F142" s="228" t="s">
        <v>3117</v>
      </c>
      <c r="G142" s="84" t="s">
        <v>24</v>
      </c>
      <c r="H142" s="228" t="s">
        <v>25</v>
      </c>
      <c r="I142" s="229" t="s">
        <v>3118</v>
      </c>
      <c r="J142" s="54"/>
      <c r="K142" s="115"/>
      <c r="L142" s="115"/>
    </row>
    <row r="143">
      <c r="A143" s="62" t="s">
        <v>11</v>
      </c>
      <c r="B143" s="228" t="s">
        <v>3119</v>
      </c>
      <c r="C143" s="68" t="s">
        <v>3120</v>
      </c>
      <c r="D143" s="105">
        <v>45737.0</v>
      </c>
      <c r="E143" s="70" t="s">
        <v>3121</v>
      </c>
      <c r="F143" s="228" t="s">
        <v>3122</v>
      </c>
      <c r="G143" s="84" t="s">
        <v>24</v>
      </c>
      <c r="H143" s="228" t="s">
        <v>3123</v>
      </c>
      <c r="I143" s="228" t="s">
        <v>567</v>
      </c>
      <c r="J143" s="54"/>
      <c r="K143" s="115"/>
      <c r="L143" s="115"/>
    </row>
    <row r="144">
      <c r="A144" s="62" t="s">
        <v>11</v>
      </c>
      <c r="B144" s="228" t="s">
        <v>3124</v>
      </c>
      <c r="C144" s="68" t="s">
        <v>3125</v>
      </c>
      <c r="D144" s="68" t="s">
        <v>1917</v>
      </c>
      <c r="E144" s="70" t="s">
        <v>188</v>
      </c>
      <c r="F144" s="228" t="s">
        <v>3126</v>
      </c>
      <c r="G144" s="84" t="s">
        <v>24</v>
      </c>
      <c r="H144" s="228" t="s">
        <v>40</v>
      </c>
      <c r="I144" s="228" t="s">
        <v>626</v>
      </c>
      <c r="J144" s="54"/>
      <c r="K144" s="115"/>
      <c r="L144" s="115"/>
    </row>
    <row r="145">
      <c r="A145" s="62" t="s">
        <v>1450</v>
      </c>
      <c r="B145" s="70" t="s">
        <v>3127</v>
      </c>
      <c r="C145" s="68" t="s">
        <v>3128</v>
      </c>
      <c r="D145" s="54"/>
      <c r="E145" s="70" t="s">
        <v>3129</v>
      </c>
      <c r="F145" s="62" t="s">
        <v>3130</v>
      </c>
      <c r="G145" s="80" t="s">
        <v>898</v>
      </c>
      <c r="H145" s="115"/>
      <c r="I145" s="229" t="s">
        <v>3131</v>
      </c>
      <c r="J145" s="54"/>
      <c r="K145" s="115"/>
      <c r="L145" s="115"/>
    </row>
    <row r="146">
      <c r="A146" s="62" t="s">
        <v>11</v>
      </c>
      <c r="B146" s="228" t="s">
        <v>3132</v>
      </c>
      <c r="C146" s="68" t="s">
        <v>3133</v>
      </c>
      <c r="D146" s="68" t="s">
        <v>1917</v>
      </c>
      <c r="E146" s="70" t="s">
        <v>130</v>
      </c>
      <c r="F146" s="228" t="s">
        <v>3134</v>
      </c>
      <c r="G146" s="84" t="s">
        <v>24</v>
      </c>
      <c r="H146" s="228" t="s">
        <v>40</v>
      </c>
      <c r="I146" s="70" t="s">
        <v>988</v>
      </c>
      <c r="J146" s="54"/>
      <c r="K146" s="115"/>
      <c r="L146" s="115"/>
    </row>
    <row r="147">
      <c r="A147" s="62" t="s">
        <v>11</v>
      </c>
      <c r="B147" s="228" t="s">
        <v>3132</v>
      </c>
      <c r="C147" s="68" t="s">
        <v>3133</v>
      </c>
      <c r="D147" s="68" t="s">
        <v>1917</v>
      </c>
      <c r="E147" s="70" t="s">
        <v>3135</v>
      </c>
      <c r="F147" s="228" t="s">
        <v>3134</v>
      </c>
      <c r="G147" s="84" t="s">
        <v>24</v>
      </c>
      <c r="H147" s="228" t="s">
        <v>25</v>
      </c>
      <c r="I147" s="228" t="s">
        <v>567</v>
      </c>
      <c r="J147" s="54"/>
      <c r="K147" s="115"/>
      <c r="L147" s="115"/>
    </row>
    <row r="148">
      <c r="A148" s="62" t="s">
        <v>171</v>
      </c>
      <c r="B148" s="70" t="s">
        <v>3136</v>
      </c>
      <c r="C148" s="68" t="s">
        <v>3137</v>
      </c>
      <c r="D148" s="105">
        <v>45699.0</v>
      </c>
      <c r="E148" s="70" t="s">
        <v>1131</v>
      </c>
      <c r="F148" s="228" t="s">
        <v>3138</v>
      </c>
      <c r="G148" s="80" t="s">
        <v>898</v>
      </c>
      <c r="H148" s="228" t="s">
        <v>40</v>
      </c>
      <c r="I148" s="228" t="s">
        <v>3139</v>
      </c>
      <c r="J148" s="54"/>
      <c r="K148" s="115"/>
      <c r="L148" s="115"/>
    </row>
    <row r="149">
      <c r="A149" s="62" t="s">
        <v>171</v>
      </c>
      <c r="B149" s="70" t="s">
        <v>3140</v>
      </c>
      <c r="C149" s="68" t="s">
        <v>3141</v>
      </c>
      <c r="D149" s="105">
        <v>45709.0</v>
      </c>
      <c r="E149" s="70" t="s">
        <v>869</v>
      </c>
      <c r="F149" s="228" t="s">
        <v>3142</v>
      </c>
      <c r="G149" s="84" t="s">
        <v>24</v>
      </c>
      <c r="H149" s="228" t="s">
        <v>40</v>
      </c>
      <c r="I149" s="228" t="s">
        <v>626</v>
      </c>
      <c r="J149" s="54"/>
      <c r="K149" s="115"/>
      <c r="L149" s="115"/>
    </row>
    <row r="150">
      <c r="A150" s="62" t="s">
        <v>11</v>
      </c>
      <c r="B150" s="228" t="s">
        <v>596</v>
      </c>
      <c r="C150" s="68" t="s">
        <v>597</v>
      </c>
      <c r="D150" s="105">
        <v>45674.0</v>
      </c>
      <c r="E150" s="70" t="s">
        <v>357</v>
      </c>
      <c r="F150" s="228" t="s">
        <v>3143</v>
      </c>
      <c r="G150" s="84" t="s">
        <v>24</v>
      </c>
      <c r="H150" s="228" t="s">
        <v>40</v>
      </c>
      <c r="I150" s="228" t="s">
        <v>3144</v>
      </c>
      <c r="J150" s="72"/>
      <c r="K150" s="115"/>
      <c r="L150" s="115"/>
    </row>
    <row r="151">
      <c r="A151" s="62" t="s">
        <v>171</v>
      </c>
      <c r="B151" s="70" t="s">
        <v>3145</v>
      </c>
      <c r="C151" s="68" t="s">
        <v>3146</v>
      </c>
      <c r="D151" s="105">
        <v>45502.0</v>
      </c>
      <c r="E151" s="70" t="s">
        <v>3147</v>
      </c>
      <c r="F151" s="228" t="s">
        <v>3148</v>
      </c>
      <c r="G151" s="84" t="s">
        <v>24</v>
      </c>
      <c r="H151" s="233" t="s">
        <v>3149</v>
      </c>
      <c r="I151" s="233" t="s">
        <v>3150</v>
      </c>
      <c r="J151" s="54"/>
      <c r="K151" s="115"/>
      <c r="L151" s="115"/>
    </row>
    <row r="152">
      <c r="A152" s="62" t="s">
        <v>11</v>
      </c>
      <c r="B152" s="228" t="s">
        <v>3151</v>
      </c>
      <c r="C152" s="68" t="s">
        <v>1193</v>
      </c>
      <c r="D152" s="105">
        <v>45730.0</v>
      </c>
      <c r="E152" s="70" t="s">
        <v>228</v>
      </c>
      <c r="F152" s="228" t="s">
        <v>775</v>
      </c>
      <c r="G152" s="84" t="s">
        <v>24</v>
      </c>
      <c r="H152" s="228" t="s">
        <v>40</v>
      </c>
      <c r="I152" s="228" t="s">
        <v>626</v>
      </c>
      <c r="J152" s="54"/>
      <c r="K152" s="115"/>
      <c r="L152" s="115"/>
    </row>
    <row r="153">
      <c r="A153" s="62"/>
      <c r="B153" s="70" t="s">
        <v>3152</v>
      </c>
      <c r="C153" s="68" t="s">
        <v>3153</v>
      </c>
      <c r="D153" s="54"/>
      <c r="E153" s="70" t="s">
        <v>3129</v>
      </c>
      <c r="F153" s="228" t="s">
        <v>3154</v>
      </c>
      <c r="G153" s="84" t="s">
        <v>24</v>
      </c>
      <c r="H153" s="228" t="s">
        <v>40</v>
      </c>
      <c r="I153" s="232" t="s">
        <v>3155</v>
      </c>
      <c r="J153" s="54"/>
      <c r="K153" s="115"/>
      <c r="L153" s="115"/>
    </row>
    <row r="154">
      <c r="A154" s="62"/>
      <c r="B154" s="70" t="s">
        <v>3156</v>
      </c>
      <c r="C154" s="241" t="s">
        <v>3157</v>
      </c>
      <c r="D154" s="54"/>
      <c r="E154" s="70" t="s">
        <v>130</v>
      </c>
      <c r="F154" s="223"/>
      <c r="G154" s="84" t="s">
        <v>24</v>
      </c>
      <c r="H154" s="115"/>
      <c r="I154" s="70" t="s">
        <v>988</v>
      </c>
      <c r="J154" s="54"/>
      <c r="K154" s="115"/>
      <c r="L154" s="115"/>
    </row>
    <row r="155">
      <c r="A155" s="62" t="s">
        <v>11</v>
      </c>
      <c r="B155" s="228" t="s">
        <v>2860</v>
      </c>
      <c r="C155" s="68" t="s">
        <v>2861</v>
      </c>
      <c r="D155" s="68" t="s">
        <v>556</v>
      </c>
      <c r="E155" s="70" t="s">
        <v>3158</v>
      </c>
      <c r="F155" s="228" t="s">
        <v>3159</v>
      </c>
      <c r="G155" s="84" t="s">
        <v>24</v>
      </c>
      <c r="H155" s="228" t="s">
        <v>40</v>
      </c>
      <c r="I155" s="228" t="s">
        <v>626</v>
      </c>
      <c r="J155" s="54"/>
      <c r="K155" s="115"/>
      <c r="L155" s="115"/>
    </row>
    <row r="156">
      <c r="A156" s="62" t="s">
        <v>11</v>
      </c>
      <c r="B156" s="228" t="s">
        <v>2212</v>
      </c>
      <c r="C156" s="68" t="s">
        <v>3160</v>
      </c>
      <c r="D156" s="68" t="s">
        <v>556</v>
      </c>
      <c r="E156" s="70" t="s">
        <v>451</v>
      </c>
      <c r="F156" s="228" t="s">
        <v>3161</v>
      </c>
      <c r="G156" s="84" t="s">
        <v>24</v>
      </c>
      <c r="H156" s="228" t="s">
        <v>40</v>
      </c>
      <c r="I156" s="228" t="s">
        <v>3139</v>
      </c>
      <c r="J156" s="54"/>
      <c r="K156" s="115"/>
      <c r="L156" s="115"/>
    </row>
    <row r="157">
      <c r="A157" s="62" t="s">
        <v>171</v>
      </c>
      <c r="B157" s="70" t="s">
        <v>3162</v>
      </c>
      <c r="C157" s="68" t="s">
        <v>3163</v>
      </c>
      <c r="D157" s="54"/>
      <c r="E157" s="70" t="s">
        <v>3164</v>
      </c>
      <c r="F157" s="228" t="s">
        <v>3165</v>
      </c>
      <c r="G157" s="84" t="s">
        <v>24</v>
      </c>
      <c r="H157" s="228" t="s">
        <v>40</v>
      </c>
      <c r="I157" s="228" t="s">
        <v>3139</v>
      </c>
      <c r="J157" s="54"/>
      <c r="K157" s="115"/>
      <c r="L157" s="115"/>
    </row>
    <row r="158">
      <c r="A158" s="62"/>
      <c r="B158" s="70" t="s">
        <v>3166</v>
      </c>
      <c r="C158" s="68" t="s">
        <v>3167</v>
      </c>
      <c r="D158" s="68" t="s">
        <v>1917</v>
      </c>
      <c r="E158" s="62" t="s">
        <v>107</v>
      </c>
      <c r="F158" s="62" t="s">
        <v>3168</v>
      </c>
      <c r="G158" s="80" t="s">
        <v>898</v>
      </c>
      <c r="H158" s="228" t="s">
        <v>40</v>
      </c>
      <c r="I158" s="228" t="s">
        <v>626</v>
      </c>
      <c r="J158" s="54"/>
      <c r="K158" s="115"/>
      <c r="L158" s="115"/>
    </row>
    <row r="159">
      <c r="A159" s="62"/>
      <c r="B159" s="70" t="s">
        <v>3169</v>
      </c>
      <c r="C159" s="68" t="s">
        <v>3170</v>
      </c>
      <c r="D159" s="68" t="s">
        <v>1917</v>
      </c>
      <c r="E159" s="70" t="s">
        <v>357</v>
      </c>
      <c r="F159" s="228" t="s">
        <v>3171</v>
      </c>
      <c r="G159" s="234" t="s">
        <v>2713</v>
      </c>
      <c r="H159" s="228" t="s">
        <v>40</v>
      </c>
      <c r="I159" s="229" t="s">
        <v>3172</v>
      </c>
      <c r="J159" s="54"/>
      <c r="K159" s="115"/>
      <c r="L159" s="115"/>
    </row>
    <row r="160">
      <c r="A160" s="62" t="s">
        <v>171</v>
      </c>
      <c r="B160" s="70" t="s">
        <v>3173</v>
      </c>
      <c r="C160" s="68" t="s">
        <v>3174</v>
      </c>
      <c r="D160" s="68" t="s">
        <v>1917</v>
      </c>
      <c r="E160" s="70" t="s">
        <v>3175</v>
      </c>
      <c r="F160" s="233" t="s">
        <v>3176</v>
      </c>
      <c r="G160" s="80" t="s">
        <v>898</v>
      </c>
      <c r="H160" s="228" t="s">
        <v>40</v>
      </c>
      <c r="I160" s="228" t="s">
        <v>626</v>
      </c>
      <c r="J160" s="54"/>
      <c r="K160" s="115"/>
      <c r="L160" s="115"/>
    </row>
    <row r="161">
      <c r="A161" s="62" t="s">
        <v>11</v>
      </c>
      <c r="B161" s="228" t="s">
        <v>3177</v>
      </c>
      <c r="C161" s="68" t="s">
        <v>3178</v>
      </c>
      <c r="D161" s="68" t="s">
        <v>556</v>
      </c>
      <c r="E161" s="70" t="s">
        <v>2270</v>
      </c>
      <c r="F161" s="228" t="s">
        <v>3179</v>
      </c>
      <c r="G161" s="80" t="s">
        <v>898</v>
      </c>
      <c r="H161" s="228" t="s">
        <v>40</v>
      </c>
      <c r="I161" s="228" t="s">
        <v>626</v>
      </c>
      <c r="J161" s="54"/>
      <c r="K161" s="115"/>
      <c r="L161" s="115"/>
    </row>
    <row r="162">
      <c r="A162" s="62" t="s">
        <v>11</v>
      </c>
      <c r="B162" s="228" t="s">
        <v>3177</v>
      </c>
      <c r="C162" s="68" t="s">
        <v>3180</v>
      </c>
      <c r="D162" s="68" t="s">
        <v>556</v>
      </c>
      <c r="E162" s="70" t="s">
        <v>3181</v>
      </c>
      <c r="F162" s="228" t="s">
        <v>3182</v>
      </c>
      <c r="G162" s="80" t="s">
        <v>898</v>
      </c>
      <c r="H162" s="233" t="s">
        <v>3183</v>
      </c>
      <c r="I162" s="228" t="s">
        <v>3184</v>
      </c>
      <c r="J162" s="54"/>
      <c r="K162" s="115"/>
      <c r="L162" s="115"/>
    </row>
    <row r="163">
      <c r="A163" s="62" t="s">
        <v>1562</v>
      </c>
      <c r="B163" s="70" t="s">
        <v>3185</v>
      </c>
      <c r="C163" s="68" t="s">
        <v>3186</v>
      </c>
      <c r="D163" s="54"/>
      <c r="E163" s="70" t="s">
        <v>3187</v>
      </c>
      <c r="F163" s="228" t="s">
        <v>3188</v>
      </c>
      <c r="G163" s="80" t="s">
        <v>898</v>
      </c>
      <c r="H163" s="228" t="s">
        <v>40</v>
      </c>
      <c r="I163" s="228" t="s">
        <v>3189</v>
      </c>
      <c r="J163" s="54"/>
      <c r="K163" s="115"/>
      <c r="L163" s="115"/>
    </row>
    <row r="164">
      <c r="A164" s="62" t="s">
        <v>171</v>
      </c>
      <c r="B164" s="70" t="s">
        <v>3190</v>
      </c>
      <c r="C164" s="68" t="s">
        <v>3191</v>
      </c>
      <c r="D164" s="54"/>
      <c r="E164" s="70" t="s">
        <v>357</v>
      </c>
      <c r="F164" s="223"/>
      <c r="G164" s="80" t="s">
        <v>898</v>
      </c>
      <c r="H164" s="228" t="s">
        <v>40</v>
      </c>
      <c r="I164" s="233" t="s">
        <v>1933</v>
      </c>
      <c r="J164" s="54"/>
      <c r="K164" s="115"/>
      <c r="L164" s="115"/>
    </row>
    <row r="165">
      <c r="A165" s="62" t="s">
        <v>274</v>
      </c>
      <c r="B165" s="242" t="s">
        <v>3192</v>
      </c>
      <c r="C165" s="68" t="s">
        <v>3193</v>
      </c>
      <c r="D165" s="102">
        <v>45652.0</v>
      </c>
      <c r="E165" s="70" t="s">
        <v>1094</v>
      </c>
      <c r="F165" s="181" t="s">
        <v>3194</v>
      </c>
      <c r="G165" s="84" t="s">
        <v>24</v>
      </c>
      <c r="H165" s="228" t="s">
        <v>40</v>
      </c>
      <c r="I165" s="228" t="s">
        <v>567</v>
      </c>
      <c r="J165" s="54"/>
      <c r="K165" s="115"/>
      <c r="L165" s="115"/>
    </row>
    <row r="166">
      <c r="A166" s="62" t="s">
        <v>171</v>
      </c>
      <c r="B166" s="70" t="s">
        <v>3195</v>
      </c>
      <c r="C166" s="68" t="s">
        <v>3196</v>
      </c>
      <c r="D166" s="68" t="s">
        <v>556</v>
      </c>
      <c r="E166" s="70" t="s">
        <v>3197</v>
      </c>
      <c r="F166" s="228" t="s">
        <v>3198</v>
      </c>
      <c r="G166" s="84" t="s">
        <v>24</v>
      </c>
      <c r="H166" s="228" t="s">
        <v>40</v>
      </c>
      <c r="I166" s="229" t="s">
        <v>3199</v>
      </c>
      <c r="J166" s="54"/>
      <c r="K166" s="115"/>
      <c r="L166" s="115"/>
    </row>
    <row r="167">
      <c r="A167" s="62" t="s">
        <v>171</v>
      </c>
      <c r="B167" s="70" t="s">
        <v>3200</v>
      </c>
      <c r="C167" s="68" t="s">
        <v>3201</v>
      </c>
      <c r="D167" s="68" t="s">
        <v>1917</v>
      </c>
      <c r="E167" s="70" t="s">
        <v>3202</v>
      </c>
      <c r="F167" s="228" t="s">
        <v>3203</v>
      </c>
      <c r="G167" s="84" t="s">
        <v>24</v>
      </c>
      <c r="H167" s="228" t="s">
        <v>40</v>
      </c>
      <c r="I167" s="229" t="s">
        <v>3204</v>
      </c>
      <c r="J167" s="54"/>
      <c r="K167" s="115"/>
      <c r="L167" s="115"/>
    </row>
    <row r="168">
      <c r="A168" s="62" t="s">
        <v>580</v>
      </c>
      <c r="B168" s="70" t="s">
        <v>3205</v>
      </c>
      <c r="C168" s="68" t="s">
        <v>3206</v>
      </c>
      <c r="D168" s="68" t="s">
        <v>1917</v>
      </c>
      <c r="E168" s="70" t="s">
        <v>3207</v>
      </c>
      <c r="F168" s="228" t="s">
        <v>3208</v>
      </c>
      <c r="G168" s="84" t="s">
        <v>24</v>
      </c>
      <c r="H168" s="228" t="s">
        <v>40</v>
      </c>
      <c r="I168" s="233" t="s">
        <v>1933</v>
      </c>
      <c r="J168" s="68"/>
      <c r="K168" s="115"/>
      <c r="L168" s="115"/>
    </row>
    <row r="169">
      <c r="A169" s="62" t="s">
        <v>11</v>
      </c>
      <c r="B169" s="228" t="s">
        <v>3209</v>
      </c>
      <c r="C169" s="68" t="s">
        <v>3210</v>
      </c>
      <c r="D169" s="68" t="s">
        <v>1917</v>
      </c>
      <c r="E169" s="70" t="s">
        <v>188</v>
      </c>
      <c r="F169" s="228" t="s">
        <v>3211</v>
      </c>
      <c r="G169" s="84" t="s">
        <v>24</v>
      </c>
      <c r="H169" s="228" t="s">
        <v>40</v>
      </c>
      <c r="I169" s="228" t="s">
        <v>626</v>
      </c>
      <c r="J169" s="54"/>
      <c r="K169" s="115"/>
      <c r="L169" s="115"/>
    </row>
    <row r="170">
      <c r="A170" s="62" t="s">
        <v>27</v>
      </c>
      <c r="B170" s="70" t="s">
        <v>3212</v>
      </c>
      <c r="C170" s="68" t="s">
        <v>3213</v>
      </c>
      <c r="D170" s="68" t="s">
        <v>556</v>
      </c>
      <c r="E170" s="70" t="s">
        <v>3214</v>
      </c>
      <c r="F170" s="228" t="s">
        <v>3215</v>
      </c>
      <c r="G170" s="84" t="s">
        <v>24</v>
      </c>
      <c r="H170" s="228" t="s">
        <v>40</v>
      </c>
      <c r="I170" s="228" t="s">
        <v>103</v>
      </c>
      <c r="J170" s="54"/>
      <c r="K170" s="115"/>
      <c r="L170" s="115"/>
    </row>
    <row r="171">
      <c r="A171" s="62" t="s">
        <v>171</v>
      </c>
      <c r="B171" s="70" t="s">
        <v>3212</v>
      </c>
      <c r="C171" s="68" t="s">
        <v>3213</v>
      </c>
      <c r="D171" s="68" t="s">
        <v>556</v>
      </c>
      <c r="E171" s="70" t="s">
        <v>3216</v>
      </c>
      <c r="F171" s="228" t="s">
        <v>3215</v>
      </c>
      <c r="G171" s="84" t="s">
        <v>24</v>
      </c>
      <c r="H171" s="233" t="s">
        <v>3217</v>
      </c>
      <c r="I171" s="233" t="s">
        <v>1933</v>
      </c>
      <c r="J171" s="54"/>
      <c r="K171" s="115"/>
      <c r="L171" s="115"/>
    </row>
    <row r="172">
      <c r="A172" s="62" t="s">
        <v>11</v>
      </c>
      <c r="B172" s="228" t="s">
        <v>3218</v>
      </c>
      <c r="C172" s="68" t="s">
        <v>3219</v>
      </c>
      <c r="D172" s="68" t="s">
        <v>556</v>
      </c>
      <c r="E172" s="70" t="s">
        <v>3220</v>
      </c>
      <c r="F172" s="228" t="s">
        <v>3221</v>
      </c>
      <c r="G172" s="84" t="s">
        <v>24</v>
      </c>
      <c r="H172" s="228" t="s">
        <v>40</v>
      </c>
      <c r="I172" s="228" t="s">
        <v>626</v>
      </c>
      <c r="J172" s="54"/>
      <c r="K172" s="115"/>
      <c r="L172" s="115"/>
    </row>
    <row r="173">
      <c r="A173" s="62" t="s">
        <v>171</v>
      </c>
      <c r="B173" s="70" t="s">
        <v>3205</v>
      </c>
      <c r="C173" s="68" t="s">
        <v>3206</v>
      </c>
      <c r="D173" s="68" t="s">
        <v>1917</v>
      </c>
      <c r="E173" s="70" t="s">
        <v>3222</v>
      </c>
      <c r="F173" s="228" t="s">
        <v>3223</v>
      </c>
      <c r="G173" s="84" t="s">
        <v>24</v>
      </c>
      <c r="H173" s="228" t="s">
        <v>40</v>
      </c>
      <c r="I173" s="228" t="s">
        <v>626</v>
      </c>
      <c r="J173" s="54"/>
      <c r="K173" s="115"/>
      <c r="L173" s="115"/>
    </row>
    <row r="174">
      <c r="A174" s="62" t="s">
        <v>171</v>
      </c>
      <c r="B174" s="70" t="s">
        <v>227</v>
      </c>
      <c r="C174" s="68" t="s">
        <v>226</v>
      </c>
      <c r="D174" s="68" t="s">
        <v>1917</v>
      </c>
      <c r="E174" s="70" t="s">
        <v>1094</v>
      </c>
      <c r="F174" s="228" t="s">
        <v>3224</v>
      </c>
      <c r="G174" s="84" t="s">
        <v>24</v>
      </c>
      <c r="H174" s="228" t="s">
        <v>40</v>
      </c>
      <c r="I174" s="243" t="s">
        <v>3225</v>
      </c>
      <c r="J174" s="54"/>
      <c r="K174" s="115"/>
      <c r="L174" s="115"/>
    </row>
    <row r="175">
      <c r="A175" s="62" t="s">
        <v>11</v>
      </c>
      <c r="B175" s="228" t="s">
        <v>3226</v>
      </c>
      <c r="C175" s="68" t="s">
        <v>3227</v>
      </c>
      <c r="D175" s="68" t="s">
        <v>1917</v>
      </c>
      <c r="E175" s="70" t="s">
        <v>107</v>
      </c>
      <c r="F175" s="228" t="s">
        <v>3228</v>
      </c>
      <c r="G175" s="84" t="s">
        <v>24</v>
      </c>
      <c r="H175" s="228" t="s">
        <v>40</v>
      </c>
      <c r="I175" s="228" t="s">
        <v>626</v>
      </c>
      <c r="J175" s="54"/>
      <c r="K175" s="115"/>
      <c r="L175" s="115"/>
    </row>
    <row r="176">
      <c r="A176" s="62" t="s">
        <v>3229</v>
      </c>
      <c r="B176" s="70" t="s">
        <v>3230</v>
      </c>
      <c r="C176" s="68" t="s">
        <v>3231</v>
      </c>
      <c r="D176" s="68" t="s">
        <v>1917</v>
      </c>
      <c r="E176" s="70" t="s">
        <v>1372</v>
      </c>
      <c r="F176" s="181" t="s">
        <v>3232</v>
      </c>
      <c r="G176" s="84" t="s">
        <v>24</v>
      </c>
      <c r="H176" s="62"/>
      <c r="I176" s="244" t="s">
        <v>1042</v>
      </c>
      <c r="J176" s="54"/>
      <c r="K176" s="115"/>
      <c r="L176" s="115"/>
    </row>
    <row r="177">
      <c r="A177" s="62" t="s">
        <v>171</v>
      </c>
      <c r="B177" s="70" t="s">
        <v>3233</v>
      </c>
      <c r="C177" s="68" t="s">
        <v>3234</v>
      </c>
      <c r="D177" s="68" t="s">
        <v>556</v>
      </c>
      <c r="E177" s="70" t="s">
        <v>1581</v>
      </c>
      <c r="F177" s="228" t="s">
        <v>3235</v>
      </c>
      <c r="G177" s="84" t="s">
        <v>24</v>
      </c>
      <c r="H177" s="228" t="s">
        <v>40</v>
      </c>
      <c r="I177" s="228" t="s">
        <v>567</v>
      </c>
      <c r="J177" s="54"/>
      <c r="K177" s="115"/>
      <c r="L177" s="115"/>
    </row>
    <row r="178">
      <c r="A178" s="62" t="s">
        <v>171</v>
      </c>
      <c r="B178" s="70" t="s">
        <v>3233</v>
      </c>
      <c r="C178" s="68" t="s">
        <v>3234</v>
      </c>
      <c r="D178" s="68" t="s">
        <v>556</v>
      </c>
      <c r="E178" s="70" t="s">
        <v>3236</v>
      </c>
      <c r="F178" s="245" t="s">
        <v>3237</v>
      </c>
      <c r="G178" s="84" t="s">
        <v>24</v>
      </c>
      <c r="H178" s="228" t="s">
        <v>40</v>
      </c>
      <c r="I178" s="228" t="s">
        <v>567</v>
      </c>
      <c r="J178" s="54"/>
      <c r="K178" s="115"/>
      <c r="L178" s="115"/>
    </row>
    <row r="179">
      <c r="A179" s="62" t="s">
        <v>171</v>
      </c>
      <c r="B179" s="70" t="s">
        <v>3233</v>
      </c>
      <c r="C179" s="68" t="s">
        <v>3234</v>
      </c>
      <c r="D179" s="68" t="s">
        <v>556</v>
      </c>
      <c r="E179" s="70" t="s">
        <v>3238</v>
      </c>
      <c r="F179" s="245" t="s">
        <v>3237</v>
      </c>
      <c r="G179" s="84" t="s">
        <v>24</v>
      </c>
      <c r="H179" s="228" t="s">
        <v>40</v>
      </c>
      <c r="I179" s="228" t="s">
        <v>567</v>
      </c>
      <c r="J179" s="54"/>
      <c r="K179" s="115"/>
      <c r="L179" s="115"/>
    </row>
    <row r="180">
      <c r="A180" s="62" t="s">
        <v>171</v>
      </c>
      <c r="B180" s="70" t="s">
        <v>3239</v>
      </c>
      <c r="C180" s="68" t="s">
        <v>3240</v>
      </c>
      <c r="D180" s="68" t="s">
        <v>1917</v>
      </c>
      <c r="E180" s="70" t="s">
        <v>158</v>
      </c>
      <c r="F180" s="228" t="s">
        <v>3241</v>
      </c>
      <c r="G180" s="84" t="s">
        <v>24</v>
      </c>
      <c r="H180" s="228" t="s">
        <v>40</v>
      </c>
      <c r="I180" s="70" t="s">
        <v>3242</v>
      </c>
      <c r="J180" s="54"/>
      <c r="K180" s="115"/>
      <c r="L180" s="115"/>
    </row>
    <row r="181">
      <c r="A181" s="62"/>
      <c r="B181" s="70" t="s">
        <v>3243</v>
      </c>
      <c r="C181" s="68" t="s">
        <v>3244</v>
      </c>
      <c r="D181" s="54"/>
      <c r="E181" s="70" t="s">
        <v>3245</v>
      </c>
      <c r="F181" s="223"/>
      <c r="G181" s="45"/>
      <c r="H181" s="115"/>
      <c r="I181" s="115"/>
      <c r="J181" s="54"/>
      <c r="K181" s="115"/>
      <c r="L181" s="115"/>
    </row>
    <row r="182">
      <c r="A182" s="62"/>
      <c r="B182" s="70" t="s">
        <v>3246</v>
      </c>
      <c r="C182" s="68" t="s">
        <v>3247</v>
      </c>
      <c r="D182" s="68" t="s">
        <v>556</v>
      </c>
      <c r="E182" s="70" t="s">
        <v>3248</v>
      </c>
      <c r="F182" s="228" t="s">
        <v>3249</v>
      </c>
      <c r="G182" s="80" t="s">
        <v>898</v>
      </c>
      <c r="H182" s="233" t="s">
        <v>3250</v>
      </c>
      <c r="I182" s="228" t="s">
        <v>626</v>
      </c>
      <c r="J182" s="54"/>
      <c r="K182" s="115"/>
      <c r="L182" s="115"/>
    </row>
    <row r="183">
      <c r="A183" s="62"/>
      <c r="B183" s="70" t="s">
        <v>3251</v>
      </c>
      <c r="C183" s="68" t="s">
        <v>3252</v>
      </c>
      <c r="D183" s="68" t="s">
        <v>1917</v>
      </c>
      <c r="E183" s="70" t="s">
        <v>3253</v>
      </c>
      <c r="F183" s="223"/>
      <c r="G183" s="234" t="s">
        <v>2713</v>
      </c>
      <c r="H183" s="228" t="s">
        <v>40</v>
      </c>
      <c r="I183" s="228" t="s">
        <v>626</v>
      </c>
      <c r="J183" s="54"/>
      <c r="K183" s="115"/>
      <c r="L183" s="115"/>
    </row>
    <row r="184">
      <c r="A184" s="62" t="s">
        <v>171</v>
      </c>
      <c r="B184" s="70" t="s">
        <v>3108</v>
      </c>
      <c r="C184" s="68" t="s">
        <v>3095</v>
      </c>
      <c r="D184" s="68" t="s">
        <v>3254</v>
      </c>
      <c r="E184" s="70" t="s">
        <v>1094</v>
      </c>
      <c r="F184" s="228" t="s">
        <v>3097</v>
      </c>
      <c r="G184" s="84" t="s">
        <v>24</v>
      </c>
      <c r="H184" s="228" t="s">
        <v>40</v>
      </c>
      <c r="I184" s="228" t="s">
        <v>567</v>
      </c>
      <c r="J184" s="54"/>
      <c r="K184" s="115"/>
      <c r="L184" s="115"/>
    </row>
    <row r="185">
      <c r="A185" s="62"/>
      <c r="B185" s="70" t="s">
        <v>3255</v>
      </c>
      <c r="C185" s="68" t="s">
        <v>3256</v>
      </c>
      <c r="D185" s="68" t="s">
        <v>556</v>
      </c>
      <c r="E185" s="70" t="s">
        <v>3257</v>
      </c>
      <c r="F185" s="228" t="s">
        <v>3258</v>
      </c>
      <c r="G185" s="80" t="s">
        <v>898</v>
      </c>
      <c r="H185" s="228" t="s">
        <v>40</v>
      </c>
      <c r="I185" s="228"/>
      <c r="J185" s="54"/>
      <c r="K185" s="115"/>
      <c r="L185" s="115"/>
    </row>
    <row r="186">
      <c r="A186" s="62"/>
      <c r="B186" s="70" t="s">
        <v>3259</v>
      </c>
      <c r="C186" s="68" t="s">
        <v>3260</v>
      </c>
      <c r="D186" s="68" t="s">
        <v>1917</v>
      </c>
      <c r="E186" s="70" t="s">
        <v>1905</v>
      </c>
      <c r="F186" s="228" t="s">
        <v>3261</v>
      </c>
      <c r="G186" s="84" t="s">
        <v>24</v>
      </c>
      <c r="H186" s="228" t="s">
        <v>40</v>
      </c>
      <c r="I186" s="228" t="s">
        <v>103</v>
      </c>
      <c r="J186" s="54"/>
      <c r="K186" s="115"/>
      <c r="L186" s="115"/>
    </row>
    <row r="187">
      <c r="A187" s="62" t="s">
        <v>274</v>
      </c>
      <c r="B187" s="70" t="s">
        <v>3259</v>
      </c>
      <c r="C187" s="68" t="s">
        <v>3260</v>
      </c>
      <c r="D187" s="68" t="s">
        <v>1917</v>
      </c>
      <c r="E187" s="70" t="s">
        <v>3262</v>
      </c>
      <c r="F187" s="228" t="s">
        <v>775</v>
      </c>
      <c r="G187" s="84" t="s">
        <v>24</v>
      </c>
      <c r="H187" s="246" t="s">
        <v>3263</v>
      </c>
      <c r="I187" s="228" t="s">
        <v>626</v>
      </c>
      <c r="J187" s="54"/>
      <c r="K187" s="115"/>
      <c r="L187" s="115"/>
    </row>
    <row r="188">
      <c r="A188" s="62" t="s">
        <v>171</v>
      </c>
      <c r="B188" s="70" t="s">
        <v>3264</v>
      </c>
      <c r="C188" s="68" t="s">
        <v>3265</v>
      </c>
      <c r="D188" s="68" t="s">
        <v>1917</v>
      </c>
      <c r="E188" s="70" t="s">
        <v>278</v>
      </c>
      <c r="F188" s="228" t="s">
        <v>3266</v>
      </c>
      <c r="G188" s="84" t="s">
        <v>24</v>
      </c>
      <c r="H188" s="233" t="s">
        <v>3078</v>
      </c>
      <c r="I188" s="233" t="s">
        <v>988</v>
      </c>
      <c r="J188" s="54"/>
      <c r="K188" s="115"/>
      <c r="L188" s="115"/>
    </row>
    <row r="189">
      <c r="A189" s="62" t="s">
        <v>171</v>
      </c>
      <c r="B189" s="70" t="s">
        <v>3264</v>
      </c>
      <c r="C189" s="68" t="s">
        <v>3265</v>
      </c>
      <c r="D189" s="68" t="s">
        <v>1917</v>
      </c>
      <c r="E189" s="70" t="s">
        <v>3267</v>
      </c>
      <c r="F189" s="228" t="s">
        <v>3268</v>
      </c>
      <c r="G189" s="84" t="s">
        <v>24</v>
      </c>
      <c r="H189" s="228" t="s">
        <v>40</v>
      </c>
      <c r="I189" s="228" t="s">
        <v>567</v>
      </c>
      <c r="J189" s="54"/>
      <c r="K189" s="115"/>
      <c r="L189" s="115"/>
    </row>
    <row r="190">
      <c r="A190" s="62" t="s">
        <v>171</v>
      </c>
      <c r="B190" s="70" t="s">
        <v>3269</v>
      </c>
      <c r="C190" s="68" t="s">
        <v>3270</v>
      </c>
      <c r="D190" s="68" t="s">
        <v>556</v>
      </c>
      <c r="E190" s="70" t="s">
        <v>3271</v>
      </c>
      <c r="F190" s="228" t="s">
        <v>3272</v>
      </c>
      <c r="G190" s="84" t="s">
        <v>24</v>
      </c>
      <c r="H190" s="228" t="s">
        <v>40</v>
      </c>
      <c r="I190" s="232" t="s">
        <v>3273</v>
      </c>
      <c r="J190" s="54"/>
      <c r="K190" s="70" t="s">
        <v>3274</v>
      </c>
      <c r="L190" s="115"/>
    </row>
    <row r="191">
      <c r="A191" s="62" t="s">
        <v>171</v>
      </c>
      <c r="B191" s="70" t="s">
        <v>3275</v>
      </c>
      <c r="C191" s="68" t="s">
        <v>3276</v>
      </c>
      <c r="D191" s="105">
        <v>45499.0</v>
      </c>
      <c r="E191" s="70" t="s">
        <v>2662</v>
      </c>
      <c r="F191" s="228" t="s">
        <v>3277</v>
      </c>
      <c r="G191" s="84" t="s">
        <v>24</v>
      </c>
      <c r="H191" s="228" t="s">
        <v>40</v>
      </c>
      <c r="I191" s="232" t="s">
        <v>3278</v>
      </c>
      <c r="J191" s="54"/>
      <c r="K191" s="115"/>
      <c r="L191" s="115"/>
    </row>
    <row r="192">
      <c r="A192" s="62" t="s">
        <v>171</v>
      </c>
      <c r="B192" s="70" t="s">
        <v>3279</v>
      </c>
      <c r="C192" s="68" t="s">
        <v>3280</v>
      </c>
      <c r="D192" s="105">
        <v>45719.0</v>
      </c>
      <c r="E192" s="70" t="s">
        <v>1372</v>
      </c>
      <c r="F192" s="228" t="s">
        <v>3281</v>
      </c>
      <c r="G192" s="84" t="s">
        <v>24</v>
      </c>
      <c r="H192" s="228" t="s">
        <v>40</v>
      </c>
      <c r="I192" s="228" t="s">
        <v>567</v>
      </c>
      <c r="J192" s="54"/>
      <c r="K192" s="115"/>
      <c r="L192" s="115"/>
    </row>
    <row r="193">
      <c r="A193" s="62" t="s">
        <v>171</v>
      </c>
      <c r="B193" s="70" t="s">
        <v>3282</v>
      </c>
      <c r="C193" s="68" t="s">
        <v>3283</v>
      </c>
      <c r="D193" s="105">
        <v>45674.0</v>
      </c>
      <c r="E193" s="70" t="s">
        <v>63</v>
      </c>
      <c r="F193" s="228" t="s">
        <v>40</v>
      </c>
      <c r="G193" s="80" t="s">
        <v>3284</v>
      </c>
      <c r="H193" s="228" t="s">
        <v>40</v>
      </c>
      <c r="I193" s="228" t="s">
        <v>626</v>
      </c>
      <c r="J193" s="54"/>
      <c r="K193" s="115"/>
      <c r="L193" s="115"/>
    </row>
    <row r="194" ht="18.0" customHeight="1">
      <c r="A194" s="62" t="s">
        <v>171</v>
      </c>
      <c r="B194" s="70" t="s">
        <v>3285</v>
      </c>
      <c r="C194" s="68" t="s">
        <v>3286</v>
      </c>
      <c r="D194" s="68" t="s">
        <v>1917</v>
      </c>
      <c r="E194" s="70" t="s">
        <v>451</v>
      </c>
      <c r="F194" s="228" t="s">
        <v>3287</v>
      </c>
      <c r="G194" s="84" t="s">
        <v>24</v>
      </c>
      <c r="H194" s="228" t="s">
        <v>40</v>
      </c>
      <c r="I194" s="228" t="s">
        <v>3288</v>
      </c>
      <c r="J194" s="50"/>
      <c r="K194" s="115"/>
      <c r="L194" s="50"/>
    </row>
    <row r="195">
      <c r="A195" s="62"/>
      <c r="B195" s="70" t="s">
        <v>3289</v>
      </c>
      <c r="C195" s="68" t="s">
        <v>3290</v>
      </c>
      <c r="D195" s="68" t="s">
        <v>1917</v>
      </c>
      <c r="E195" s="70" t="s">
        <v>1094</v>
      </c>
      <c r="F195" s="223"/>
      <c r="G195" s="84" t="s">
        <v>24</v>
      </c>
      <c r="H195" s="228" t="s">
        <v>40</v>
      </c>
      <c r="I195" s="231" t="s">
        <v>3291</v>
      </c>
      <c r="J195" s="54"/>
      <c r="K195" s="115"/>
      <c r="L195" s="115"/>
    </row>
    <row r="196">
      <c r="A196" s="62" t="s">
        <v>171</v>
      </c>
      <c r="B196" s="115" t="s">
        <v>3292</v>
      </c>
      <c r="C196" s="68" t="s">
        <v>3293</v>
      </c>
      <c r="D196" s="68" t="s">
        <v>1917</v>
      </c>
      <c r="E196" s="70" t="s">
        <v>3294</v>
      </c>
      <c r="F196" s="228" t="s">
        <v>3295</v>
      </c>
      <c r="G196" s="84" t="s">
        <v>24</v>
      </c>
      <c r="H196" s="228" t="s">
        <v>40</v>
      </c>
      <c r="I196" s="228" t="s">
        <v>579</v>
      </c>
      <c r="J196" s="54"/>
      <c r="K196" s="115"/>
      <c r="L196" s="115"/>
    </row>
    <row r="197">
      <c r="A197" s="62" t="s">
        <v>171</v>
      </c>
      <c r="B197" s="115" t="s">
        <v>3292</v>
      </c>
      <c r="C197" s="68" t="s">
        <v>3293</v>
      </c>
      <c r="D197" s="68" t="s">
        <v>1917</v>
      </c>
      <c r="E197" s="70" t="s">
        <v>1941</v>
      </c>
      <c r="F197" s="228" t="s">
        <v>3296</v>
      </c>
      <c r="G197" s="84" t="s">
        <v>24</v>
      </c>
      <c r="H197" s="228" t="s">
        <v>40</v>
      </c>
      <c r="I197" s="228" t="s">
        <v>579</v>
      </c>
      <c r="J197" s="54"/>
      <c r="K197" s="115"/>
      <c r="L197" s="115"/>
    </row>
    <row r="198">
      <c r="A198" s="62" t="s">
        <v>171</v>
      </c>
      <c r="B198" s="115" t="s">
        <v>3292</v>
      </c>
      <c r="C198" s="68" t="s">
        <v>3293</v>
      </c>
      <c r="D198" s="68" t="s">
        <v>1917</v>
      </c>
      <c r="E198" s="70" t="s">
        <v>3297</v>
      </c>
      <c r="F198" s="228" t="s">
        <v>775</v>
      </c>
      <c r="G198" s="84" t="s">
        <v>24</v>
      </c>
      <c r="H198" s="233" t="s">
        <v>3078</v>
      </c>
      <c r="I198" s="228" t="s">
        <v>626</v>
      </c>
      <c r="J198" s="54"/>
      <c r="K198" s="115"/>
      <c r="L198" s="115"/>
    </row>
    <row r="199">
      <c r="A199" s="62" t="s">
        <v>171</v>
      </c>
      <c r="B199" s="115" t="s">
        <v>3298</v>
      </c>
      <c r="C199" s="68" t="s">
        <v>3299</v>
      </c>
      <c r="D199" s="68" t="s">
        <v>556</v>
      </c>
      <c r="E199" s="70" t="s">
        <v>3300</v>
      </c>
      <c r="F199" s="228" t="s">
        <v>3301</v>
      </c>
      <c r="G199" s="80" t="s">
        <v>3284</v>
      </c>
      <c r="H199" s="233" t="s">
        <v>3302</v>
      </c>
      <c r="I199" s="228" t="s">
        <v>626</v>
      </c>
      <c r="J199" s="54"/>
      <c r="K199" s="115"/>
      <c r="L199" s="115"/>
    </row>
    <row r="200">
      <c r="A200" s="62" t="s">
        <v>3303</v>
      </c>
      <c r="B200" s="115" t="s">
        <v>3304</v>
      </c>
      <c r="C200" s="68" t="s">
        <v>3305</v>
      </c>
      <c r="D200" s="68" t="s">
        <v>1917</v>
      </c>
      <c r="E200" s="70" t="s">
        <v>1094</v>
      </c>
      <c r="F200" s="223"/>
      <c r="G200" s="80" t="s">
        <v>898</v>
      </c>
      <c r="H200" s="233" t="s">
        <v>3306</v>
      </c>
      <c r="I200" s="115"/>
      <c r="J200" s="54"/>
      <c r="K200" s="115"/>
      <c r="L200" s="115"/>
    </row>
    <row r="201">
      <c r="A201" s="62" t="s">
        <v>580</v>
      </c>
      <c r="B201" s="115" t="s">
        <v>3307</v>
      </c>
      <c r="C201" s="68" t="s">
        <v>3308</v>
      </c>
      <c r="D201" s="68" t="s">
        <v>1917</v>
      </c>
      <c r="E201" s="70" t="s">
        <v>746</v>
      </c>
      <c r="F201" s="228" t="s">
        <v>3309</v>
      </c>
      <c r="G201" s="84" t="s">
        <v>24</v>
      </c>
      <c r="H201" s="228" t="s">
        <v>40</v>
      </c>
      <c r="I201" s="231" t="s">
        <v>3310</v>
      </c>
      <c r="J201" s="54"/>
      <c r="K201" s="115"/>
      <c r="L201" s="115"/>
    </row>
    <row r="202">
      <c r="A202" s="62" t="s">
        <v>2035</v>
      </c>
      <c r="B202" s="70" t="s">
        <v>3307</v>
      </c>
      <c r="C202" s="68" t="s">
        <v>3308</v>
      </c>
      <c r="D202" s="68" t="s">
        <v>1917</v>
      </c>
      <c r="E202" s="70" t="s">
        <v>1608</v>
      </c>
      <c r="F202" s="228" t="s">
        <v>3311</v>
      </c>
      <c r="G202" s="84" t="s">
        <v>24</v>
      </c>
      <c r="H202" s="228" t="s">
        <v>40</v>
      </c>
      <c r="I202" s="228" t="s">
        <v>626</v>
      </c>
      <c r="J202" s="54"/>
      <c r="K202" s="115"/>
      <c r="L202" s="115"/>
    </row>
    <row r="203">
      <c r="A203" s="62" t="s">
        <v>580</v>
      </c>
      <c r="B203" s="115" t="s">
        <v>3312</v>
      </c>
      <c r="C203" s="68" t="s">
        <v>3313</v>
      </c>
      <c r="D203" s="68" t="s">
        <v>1917</v>
      </c>
      <c r="E203" s="70" t="s">
        <v>451</v>
      </c>
      <c r="F203" s="223"/>
      <c r="G203" s="80" t="s">
        <v>898</v>
      </c>
      <c r="H203" s="115"/>
      <c r="I203" s="70" t="s">
        <v>3314</v>
      </c>
      <c r="J203" s="54"/>
      <c r="K203" s="115"/>
      <c r="L203" s="115"/>
    </row>
    <row r="204" ht="18.0" customHeight="1">
      <c r="A204" s="62" t="s">
        <v>580</v>
      </c>
      <c r="B204" s="115" t="s">
        <v>3312</v>
      </c>
      <c r="C204" s="68" t="s">
        <v>3313</v>
      </c>
      <c r="D204" s="68" t="s">
        <v>1917</v>
      </c>
      <c r="E204" s="70" t="s">
        <v>73</v>
      </c>
      <c r="F204" s="223"/>
      <c r="G204" s="80" t="s">
        <v>898</v>
      </c>
      <c r="H204" s="228" t="s">
        <v>40</v>
      </c>
      <c r="I204" s="70" t="s">
        <v>3288</v>
      </c>
      <c r="J204" s="54"/>
      <c r="K204" s="115"/>
      <c r="L204" s="115"/>
    </row>
    <row r="205">
      <c r="A205" s="62" t="s">
        <v>2231</v>
      </c>
      <c r="B205" s="115" t="s">
        <v>3312</v>
      </c>
      <c r="C205" s="68" t="s">
        <v>3313</v>
      </c>
      <c r="D205" s="68" t="s">
        <v>1917</v>
      </c>
      <c r="E205" s="70" t="s">
        <v>3315</v>
      </c>
      <c r="F205" s="223"/>
      <c r="G205" s="80" t="s">
        <v>898</v>
      </c>
      <c r="H205" s="228" t="s">
        <v>40</v>
      </c>
      <c r="I205" s="115"/>
      <c r="J205" s="54"/>
      <c r="K205" s="115"/>
      <c r="L205" s="115"/>
    </row>
    <row r="206">
      <c r="A206" s="62" t="s">
        <v>2231</v>
      </c>
      <c r="B206" s="70" t="s">
        <v>3316</v>
      </c>
      <c r="C206" s="68" t="s">
        <v>3317</v>
      </c>
      <c r="D206" s="68" t="s">
        <v>2205</v>
      </c>
      <c r="E206" s="70" t="s">
        <v>3318</v>
      </c>
      <c r="F206" s="233" t="s">
        <v>3319</v>
      </c>
      <c r="G206" s="80" t="s">
        <v>3284</v>
      </c>
      <c r="H206" s="115"/>
      <c r="I206" s="70" t="s">
        <v>915</v>
      </c>
      <c r="J206" s="54"/>
      <c r="K206" s="115"/>
      <c r="L206" s="115"/>
    </row>
    <row r="207" ht="18.0" customHeight="1">
      <c r="A207" s="62" t="s">
        <v>2231</v>
      </c>
      <c r="B207" s="70" t="s">
        <v>3320</v>
      </c>
      <c r="C207" s="68" t="s">
        <v>3321</v>
      </c>
      <c r="D207" s="68" t="s">
        <v>1917</v>
      </c>
      <c r="E207" s="70" t="s">
        <v>3300</v>
      </c>
      <c r="F207" s="223"/>
      <c r="G207" s="80" t="s">
        <v>3284</v>
      </c>
      <c r="H207" s="228" t="s">
        <v>40</v>
      </c>
      <c r="I207" s="229" t="s">
        <v>3322</v>
      </c>
      <c r="J207" s="54"/>
      <c r="K207" s="115"/>
      <c r="L207" s="115"/>
    </row>
    <row r="208">
      <c r="A208" s="62" t="s">
        <v>171</v>
      </c>
      <c r="B208" s="70" t="s">
        <v>3323</v>
      </c>
      <c r="C208" s="68" t="s">
        <v>3324</v>
      </c>
      <c r="D208" s="68" t="s">
        <v>1917</v>
      </c>
      <c r="E208" s="70" t="s">
        <v>463</v>
      </c>
      <c r="F208" s="233" t="s">
        <v>3325</v>
      </c>
      <c r="G208" s="80" t="s">
        <v>3284</v>
      </c>
      <c r="H208" s="228" t="s">
        <v>40</v>
      </c>
      <c r="I208" s="228" t="s">
        <v>626</v>
      </c>
      <c r="J208" s="54"/>
      <c r="K208" s="115"/>
      <c r="L208" s="115"/>
    </row>
    <row r="209">
      <c r="A209" s="62" t="s">
        <v>2231</v>
      </c>
      <c r="B209" s="70" t="s">
        <v>2823</v>
      </c>
      <c r="C209" s="68" t="s">
        <v>2824</v>
      </c>
      <c r="D209" s="68" t="s">
        <v>1917</v>
      </c>
      <c r="E209" s="70" t="s">
        <v>451</v>
      </c>
      <c r="F209" s="223"/>
      <c r="G209" s="80" t="s">
        <v>898</v>
      </c>
      <c r="H209" s="228" t="s">
        <v>40</v>
      </c>
      <c r="I209" s="70" t="s">
        <v>915</v>
      </c>
      <c r="J209" s="54"/>
      <c r="K209" s="115"/>
      <c r="L209" s="115"/>
    </row>
    <row r="210">
      <c r="A210" s="62" t="s">
        <v>2231</v>
      </c>
      <c r="B210" s="70" t="s">
        <v>2823</v>
      </c>
      <c r="C210" s="68" t="s">
        <v>2824</v>
      </c>
      <c r="D210" s="68" t="s">
        <v>1917</v>
      </c>
      <c r="E210" s="70" t="s">
        <v>869</v>
      </c>
      <c r="F210" s="62"/>
      <c r="G210" s="80" t="s">
        <v>898</v>
      </c>
      <c r="H210" s="233" t="s">
        <v>3326</v>
      </c>
      <c r="I210" s="70" t="s">
        <v>915</v>
      </c>
      <c r="J210" s="54"/>
      <c r="K210" s="115"/>
      <c r="L210" s="115"/>
    </row>
    <row r="211">
      <c r="A211" s="62" t="s">
        <v>11</v>
      </c>
      <c r="B211" s="70" t="s">
        <v>2495</v>
      </c>
      <c r="C211" s="68" t="s">
        <v>3327</v>
      </c>
      <c r="D211" s="68" t="s">
        <v>2205</v>
      </c>
      <c r="E211" s="70" t="s">
        <v>814</v>
      </c>
      <c r="F211" s="228" t="s">
        <v>3328</v>
      </c>
      <c r="G211" s="84" t="s">
        <v>3329</v>
      </c>
      <c r="H211" s="228" t="s">
        <v>40</v>
      </c>
      <c r="I211" s="228" t="s">
        <v>567</v>
      </c>
      <c r="J211" s="54"/>
      <c r="K211" s="115"/>
      <c r="L211" s="115"/>
    </row>
    <row r="212">
      <c r="A212" s="62" t="s">
        <v>171</v>
      </c>
      <c r="B212" s="70" t="s">
        <v>3330</v>
      </c>
      <c r="C212" s="68" t="s">
        <v>3331</v>
      </c>
      <c r="D212" s="68" t="s">
        <v>556</v>
      </c>
      <c r="E212" s="70" t="s">
        <v>3332</v>
      </c>
      <c r="F212" s="228" t="s">
        <v>3333</v>
      </c>
      <c r="G212" s="84" t="s">
        <v>3329</v>
      </c>
      <c r="H212" s="233" t="s">
        <v>3250</v>
      </c>
      <c r="I212" s="232" t="s">
        <v>3334</v>
      </c>
      <c r="J212" s="54"/>
      <c r="K212" s="115"/>
      <c r="L212" s="115"/>
    </row>
    <row r="213">
      <c r="A213" s="62" t="s">
        <v>171</v>
      </c>
      <c r="B213" s="70" t="s">
        <v>3330</v>
      </c>
      <c r="C213" s="68" t="s">
        <v>3335</v>
      </c>
      <c r="D213" s="68" t="s">
        <v>556</v>
      </c>
      <c r="E213" s="70" t="s">
        <v>3336</v>
      </c>
      <c r="F213" s="228" t="s">
        <v>3337</v>
      </c>
      <c r="G213" s="84" t="s">
        <v>3329</v>
      </c>
      <c r="H213" s="228" t="s">
        <v>40</v>
      </c>
      <c r="I213" s="228" t="s">
        <v>626</v>
      </c>
      <c r="J213" s="54"/>
      <c r="K213" s="115"/>
      <c r="L213" s="115"/>
    </row>
    <row r="214">
      <c r="A214" s="62" t="s">
        <v>595</v>
      </c>
      <c r="B214" s="70" t="s">
        <v>3338</v>
      </c>
      <c r="C214" s="68" t="s">
        <v>3339</v>
      </c>
      <c r="D214" s="68" t="s">
        <v>1917</v>
      </c>
      <c r="E214" s="247" t="s">
        <v>778</v>
      </c>
      <c r="F214" s="228" t="s">
        <v>3340</v>
      </c>
      <c r="G214" s="80" t="s">
        <v>898</v>
      </c>
      <c r="H214" s="228" t="s">
        <v>40</v>
      </c>
      <c r="I214" s="228" t="s">
        <v>567</v>
      </c>
      <c r="J214" s="54"/>
      <c r="K214" s="115"/>
      <c r="L214" s="115"/>
    </row>
    <row r="215">
      <c r="A215" s="62" t="s">
        <v>11</v>
      </c>
      <c r="B215" s="228" t="s">
        <v>3341</v>
      </c>
      <c r="C215" s="68" t="s">
        <v>3342</v>
      </c>
      <c r="D215" s="68" t="s">
        <v>556</v>
      </c>
      <c r="E215" s="70" t="s">
        <v>292</v>
      </c>
      <c r="F215" s="228" t="s">
        <v>3343</v>
      </c>
      <c r="G215" s="84" t="s">
        <v>3329</v>
      </c>
      <c r="H215" s="228" t="s">
        <v>40</v>
      </c>
      <c r="I215" s="228" t="s">
        <v>567</v>
      </c>
      <c r="J215" s="54"/>
      <c r="K215" s="115"/>
      <c r="L215" s="115"/>
    </row>
    <row r="216">
      <c r="A216" s="62" t="s">
        <v>171</v>
      </c>
      <c r="B216" s="70" t="s">
        <v>3344</v>
      </c>
      <c r="C216" s="68" t="s">
        <v>3345</v>
      </c>
      <c r="D216" s="105">
        <v>45730.0</v>
      </c>
      <c r="E216" s="70" t="s">
        <v>463</v>
      </c>
      <c r="F216" s="228" t="s">
        <v>3346</v>
      </c>
      <c r="G216" s="84" t="s">
        <v>3329</v>
      </c>
      <c r="H216" s="228" t="s">
        <v>40</v>
      </c>
      <c r="I216" s="228" t="s">
        <v>626</v>
      </c>
      <c r="J216" s="54"/>
      <c r="K216" s="115"/>
      <c r="L216" s="115"/>
    </row>
    <row r="217">
      <c r="A217" s="62" t="s">
        <v>3347</v>
      </c>
      <c r="B217" s="70" t="s">
        <v>3348</v>
      </c>
      <c r="C217" s="68" t="s">
        <v>3349</v>
      </c>
      <c r="D217" s="54"/>
      <c r="E217" s="70" t="s">
        <v>3350</v>
      </c>
      <c r="F217" s="223"/>
      <c r="G217" s="80" t="s">
        <v>556</v>
      </c>
      <c r="H217" s="115"/>
      <c r="I217" s="115"/>
      <c r="J217" s="54"/>
      <c r="K217" s="115"/>
      <c r="L217" s="115"/>
    </row>
    <row r="218">
      <c r="A218" s="62" t="s">
        <v>171</v>
      </c>
      <c r="B218" s="70" t="s">
        <v>3351</v>
      </c>
      <c r="C218" s="68" t="s">
        <v>3352</v>
      </c>
      <c r="D218" s="68" t="s">
        <v>3353</v>
      </c>
      <c r="E218" s="70" t="s">
        <v>3354</v>
      </c>
      <c r="F218" s="228" t="s">
        <v>3355</v>
      </c>
      <c r="G218" s="80" t="s">
        <v>898</v>
      </c>
      <c r="H218" s="233" t="s">
        <v>3356</v>
      </c>
      <c r="I218" s="233" t="s">
        <v>1933</v>
      </c>
      <c r="J218" s="54"/>
      <c r="K218" s="115"/>
      <c r="L218" s="115"/>
    </row>
    <row r="219">
      <c r="A219" s="62" t="s">
        <v>171</v>
      </c>
      <c r="B219" s="70" t="s">
        <v>3357</v>
      </c>
      <c r="C219" s="68" t="s">
        <v>3358</v>
      </c>
      <c r="D219" s="68" t="s">
        <v>556</v>
      </c>
      <c r="E219" s="70" t="s">
        <v>1087</v>
      </c>
      <c r="F219" s="233" t="s">
        <v>3359</v>
      </c>
      <c r="G219" s="80" t="s">
        <v>898</v>
      </c>
      <c r="H219" s="228" t="s">
        <v>40</v>
      </c>
      <c r="I219" s="233" t="s">
        <v>3360</v>
      </c>
      <c r="J219" s="54"/>
      <c r="K219" s="115"/>
      <c r="L219" s="115"/>
    </row>
    <row r="220">
      <c r="A220" s="62" t="s">
        <v>171</v>
      </c>
      <c r="B220" s="70" t="s">
        <v>3068</v>
      </c>
      <c r="C220" s="68" t="s">
        <v>3069</v>
      </c>
      <c r="D220" s="68" t="s">
        <v>556</v>
      </c>
      <c r="E220" s="70" t="s">
        <v>271</v>
      </c>
      <c r="F220" s="228" t="s">
        <v>3361</v>
      </c>
      <c r="G220" s="80" t="s">
        <v>898</v>
      </c>
      <c r="H220" s="228" t="s">
        <v>40</v>
      </c>
      <c r="I220" s="228" t="s">
        <v>626</v>
      </c>
      <c r="J220" s="54"/>
      <c r="K220" s="115"/>
      <c r="L220" s="115"/>
    </row>
    <row r="221">
      <c r="A221" s="62" t="s">
        <v>171</v>
      </c>
      <c r="B221" s="70" t="s">
        <v>3362</v>
      </c>
      <c r="C221" s="68" t="s">
        <v>3363</v>
      </c>
      <c r="D221" s="68" t="s">
        <v>556</v>
      </c>
      <c r="E221" s="62" t="s">
        <v>357</v>
      </c>
      <c r="F221" s="228" t="s">
        <v>3364</v>
      </c>
      <c r="G221" s="80" t="s">
        <v>898</v>
      </c>
      <c r="H221" s="233" t="s">
        <v>3365</v>
      </c>
      <c r="I221" s="233" t="s">
        <v>1933</v>
      </c>
      <c r="J221" s="54"/>
      <c r="K221" s="115"/>
      <c r="L221" s="115"/>
    </row>
    <row r="222">
      <c r="A222" s="62" t="s">
        <v>171</v>
      </c>
      <c r="B222" s="70" t="s">
        <v>3362</v>
      </c>
      <c r="C222" s="68" t="s">
        <v>3366</v>
      </c>
      <c r="D222" s="68" t="s">
        <v>556</v>
      </c>
      <c r="E222" s="70" t="s">
        <v>3181</v>
      </c>
      <c r="F222" s="228" t="s">
        <v>3367</v>
      </c>
      <c r="G222" s="80" t="s">
        <v>898</v>
      </c>
      <c r="H222" s="233" t="s">
        <v>3250</v>
      </c>
      <c r="I222" s="233" t="s">
        <v>3150</v>
      </c>
      <c r="J222" s="54"/>
      <c r="K222" s="115"/>
      <c r="L222" s="115"/>
    </row>
    <row r="223">
      <c r="A223" s="62" t="s">
        <v>171</v>
      </c>
      <c r="B223" s="70" t="s">
        <v>3362</v>
      </c>
      <c r="C223" s="68" t="s">
        <v>3368</v>
      </c>
      <c r="D223" s="68" t="s">
        <v>556</v>
      </c>
      <c r="E223" s="70" t="s">
        <v>3369</v>
      </c>
      <c r="F223" s="228" t="s">
        <v>3370</v>
      </c>
      <c r="G223" s="80" t="s">
        <v>898</v>
      </c>
      <c r="H223" s="228" t="s">
        <v>3371</v>
      </c>
      <c r="I223" s="228" t="s">
        <v>626</v>
      </c>
      <c r="J223" s="54"/>
      <c r="K223" s="115"/>
      <c r="L223" s="115"/>
    </row>
    <row r="224">
      <c r="A224" s="62" t="s">
        <v>171</v>
      </c>
      <c r="B224" s="70" t="s">
        <v>834</v>
      </c>
      <c r="C224" s="68" t="s">
        <v>3372</v>
      </c>
      <c r="D224" s="68" t="s">
        <v>556</v>
      </c>
      <c r="E224" s="70" t="s">
        <v>3373</v>
      </c>
      <c r="F224" s="228" t="s">
        <v>3374</v>
      </c>
      <c r="G224" s="80" t="s">
        <v>898</v>
      </c>
      <c r="H224" s="228" t="s">
        <v>25</v>
      </c>
      <c r="I224" s="228" t="s">
        <v>626</v>
      </c>
      <c r="J224" s="54"/>
      <c r="K224" s="115"/>
      <c r="L224" s="115"/>
    </row>
    <row r="225">
      <c r="A225" s="62" t="s">
        <v>171</v>
      </c>
      <c r="B225" s="70" t="s">
        <v>1799</v>
      </c>
      <c r="C225" s="68" t="s">
        <v>1800</v>
      </c>
      <c r="D225" s="68" t="s">
        <v>556</v>
      </c>
      <c r="E225" s="70" t="s">
        <v>3375</v>
      </c>
      <c r="F225" s="228" t="s">
        <v>3376</v>
      </c>
      <c r="G225" s="84" t="s">
        <v>3329</v>
      </c>
      <c r="H225" s="228" t="s">
        <v>25</v>
      </c>
      <c r="I225" s="228" t="s">
        <v>626</v>
      </c>
      <c r="J225" s="54"/>
      <c r="K225" s="70" t="s">
        <v>3377</v>
      </c>
      <c r="L225" s="115"/>
    </row>
    <row r="226">
      <c r="A226" s="62" t="s">
        <v>171</v>
      </c>
      <c r="B226" s="62" t="s">
        <v>3140</v>
      </c>
      <c r="C226" s="68" t="s">
        <v>3141</v>
      </c>
      <c r="D226" s="68" t="s">
        <v>556</v>
      </c>
      <c r="E226" s="70" t="s">
        <v>1272</v>
      </c>
      <c r="F226" s="228" t="s">
        <v>3142</v>
      </c>
      <c r="G226" s="84" t="s">
        <v>3329</v>
      </c>
      <c r="H226" s="228" t="s">
        <v>25</v>
      </c>
      <c r="I226" s="233" t="s">
        <v>1933</v>
      </c>
      <c r="J226" s="54"/>
      <c r="K226" s="115"/>
      <c r="L226" s="115"/>
    </row>
    <row r="227">
      <c r="A227" s="62" t="s">
        <v>171</v>
      </c>
      <c r="B227" s="62" t="s">
        <v>3140</v>
      </c>
      <c r="C227" s="68" t="s">
        <v>3378</v>
      </c>
      <c r="D227" s="68" t="s">
        <v>556</v>
      </c>
      <c r="E227" s="70" t="s">
        <v>869</v>
      </c>
      <c r="F227" s="228" t="s">
        <v>775</v>
      </c>
      <c r="G227" s="84" t="s">
        <v>3329</v>
      </c>
      <c r="H227" s="228" t="s">
        <v>25</v>
      </c>
      <c r="I227" s="228" t="s">
        <v>626</v>
      </c>
      <c r="J227" s="54"/>
      <c r="K227" s="115"/>
      <c r="L227" s="115"/>
    </row>
    <row r="228">
      <c r="A228" s="62" t="s">
        <v>171</v>
      </c>
      <c r="B228" s="70" t="s">
        <v>3379</v>
      </c>
      <c r="C228" s="68" t="s">
        <v>3380</v>
      </c>
      <c r="D228" s="54"/>
      <c r="E228" s="70" t="s">
        <v>107</v>
      </c>
      <c r="F228" s="228" t="s">
        <v>3381</v>
      </c>
      <c r="G228" s="84" t="s">
        <v>3329</v>
      </c>
      <c r="H228" s="228" t="s">
        <v>25</v>
      </c>
      <c r="I228" s="228" t="s">
        <v>626</v>
      </c>
      <c r="J228" s="54"/>
      <c r="K228" s="115"/>
      <c r="L228" s="115"/>
    </row>
    <row r="229">
      <c r="A229" s="62" t="s">
        <v>171</v>
      </c>
      <c r="B229" s="70" t="s">
        <v>3382</v>
      </c>
      <c r="C229" s="68" t="s">
        <v>3383</v>
      </c>
      <c r="D229" s="105">
        <v>45741.0</v>
      </c>
      <c r="E229" s="70" t="s">
        <v>814</v>
      </c>
      <c r="F229" s="228" t="s">
        <v>3384</v>
      </c>
      <c r="G229" s="84" t="s">
        <v>3329</v>
      </c>
      <c r="H229" s="228" t="s">
        <v>40</v>
      </c>
      <c r="I229" s="228" t="s">
        <v>103</v>
      </c>
      <c r="J229" s="54"/>
      <c r="K229" s="115"/>
      <c r="L229" s="115"/>
    </row>
    <row r="230">
      <c r="A230" s="62" t="s">
        <v>171</v>
      </c>
      <c r="B230" s="70" t="s">
        <v>2000</v>
      </c>
      <c r="C230" s="68" t="s">
        <v>2419</v>
      </c>
      <c r="D230" s="105">
        <v>45705.0</v>
      </c>
      <c r="E230" s="70" t="s">
        <v>2422</v>
      </c>
      <c r="F230" s="228" t="s">
        <v>2423</v>
      </c>
      <c r="G230" s="84" t="s">
        <v>3329</v>
      </c>
      <c r="H230" s="228" t="s">
        <v>40</v>
      </c>
      <c r="I230" s="228" t="s">
        <v>103</v>
      </c>
      <c r="J230" s="54"/>
      <c r="K230" s="115"/>
      <c r="L230" s="115"/>
    </row>
    <row r="231">
      <c r="A231" s="62" t="s">
        <v>171</v>
      </c>
      <c r="B231" s="70" t="s">
        <v>3385</v>
      </c>
      <c r="C231" s="68" t="s">
        <v>3386</v>
      </c>
      <c r="D231" s="68" t="s">
        <v>556</v>
      </c>
      <c r="E231" s="70" t="s">
        <v>1094</v>
      </c>
      <c r="F231" s="228" t="s">
        <v>3387</v>
      </c>
      <c r="G231" s="80" t="s">
        <v>556</v>
      </c>
      <c r="H231" s="233" t="s">
        <v>556</v>
      </c>
      <c r="I231" s="233" t="s">
        <v>556</v>
      </c>
      <c r="J231" s="54"/>
      <c r="K231" s="115"/>
      <c r="L231" s="115"/>
    </row>
    <row r="232">
      <c r="A232" s="62"/>
      <c r="B232" s="70" t="s">
        <v>3388</v>
      </c>
      <c r="C232" s="68" t="s">
        <v>3389</v>
      </c>
      <c r="D232" s="68" t="s">
        <v>3390</v>
      </c>
      <c r="E232" s="115"/>
      <c r="F232" s="223"/>
      <c r="G232" s="84" t="s">
        <v>3391</v>
      </c>
      <c r="H232" s="115"/>
      <c r="I232" s="115"/>
      <c r="J232" s="54"/>
      <c r="K232" s="115"/>
      <c r="L232" s="115"/>
    </row>
    <row r="233">
      <c r="A233" s="62" t="s">
        <v>171</v>
      </c>
      <c r="B233" s="70" t="s">
        <v>2873</v>
      </c>
      <c r="C233" s="68" t="s">
        <v>2874</v>
      </c>
      <c r="D233" s="105">
        <v>45677.0</v>
      </c>
      <c r="E233" s="70" t="s">
        <v>1581</v>
      </c>
      <c r="F233" s="228" t="s">
        <v>3340</v>
      </c>
      <c r="G233" s="84" t="s">
        <v>3391</v>
      </c>
      <c r="H233" s="233" t="s">
        <v>3392</v>
      </c>
      <c r="I233" s="228" t="s">
        <v>103</v>
      </c>
      <c r="J233" s="54"/>
      <c r="K233" s="115"/>
      <c r="L233" s="115"/>
    </row>
    <row r="234">
      <c r="A234" s="62" t="s">
        <v>171</v>
      </c>
      <c r="B234" s="70" t="s">
        <v>2873</v>
      </c>
      <c r="C234" s="68" t="s">
        <v>2874</v>
      </c>
      <c r="D234" s="105">
        <v>45677.0</v>
      </c>
      <c r="E234" s="70" t="s">
        <v>451</v>
      </c>
      <c r="F234" s="228" t="s">
        <v>3340</v>
      </c>
      <c r="G234" s="84" t="s">
        <v>3391</v>
      </c>
      <c r="H234" s="228" t="s">
        <v>40</v>
      </c>
      <c r="I234" s="228" t="s">
        <v>103</v>
      </c>
      <c r="J234" s="54"/>
      <c r="K234" s="115"/>
      <c r="L234" s="115"/>
    </row>
    <row r="235">
      <c r="A235" s="248" t="s">
        <v>171</v>
      </c>
      <c r="B235" s="70" t="s">
        <v>3351</v>
      </c>
      <c r="C235" s="68" t="s">
        <v>3352</v>
      </c>
      <c r="D235" s="68" t="s">
        <v>3393</v>
      </c>
      <c r="E235" s="70" t="s">
        <v>3394</v>
      </c>
      <c r="F235" s="228" t="s">
        <v>3395</v>
      </c>
      <c r="G235" s="84" t="s">
        <v>3391</v>
      </c>
      <c r="H235" s="233" t="s">
        <v>3396</v>
      </c>
      <c r="I235" s="228" t="s">
        <v>626</v>
      </c>
      <c r="J235" s="54"/>
      <c r="K235" s="115"/>
      <c r="L235" s="115"/>
    </row>
    <row r="236">
      <c r="A236" s="248" t="s">
        <v>171</v>
      </c>
      <c r="B236" s="70" t="s">
        <v>3351</v>
      </c>
      <c r="C236" s="68" t="s">
        <v>3397</v>
      </c>
      <c r="D236" s="68" t="s">
        <v>3393</v>
      </c>
      <c r="E236" s="70" t="s">
        <v>1279</v>
      </c>
      <c r="F236" s="228" t="s">
        <v>3398</v>
      </c>
      <c r="G236" s="84" t="s">
        <v>3391</v>
      </c>
      <c r="H236" s="228" t="s">
        <v>40</v>
      </c>
      <c r="I236" s="228" t="s">
        <v>626</v>
      </c>
      <c r="J236" s="54"/>
      <c r="K236" s="115"/>
      <c r="L236" s="115"/>
    </row>
    <row r="237">
      <c r="A237" s="248" t="s">
        <v>171</v>
      </c>
      <c r="B237" s="70" t="s">
        <v>3351</v>
      </c>
      <c r="C237" s="68" t="s">
        <v>3399</v>
      </c>
      <c r="D237" s="68" t="s">
        <v>3393</v>
      </c>
      <c r="E237" s="70" t="s">
        <v>3400</v>
      </c>
      <c r="F237" s="228" t="s">
        <v>3395</v>
      </c>
      <c r="G237" s="84" t="s">
        <v>3391</v>
      </c>
      <c r="H237" s="228" t="s">
        <v>40</v>
      </c>
      <c r="I237" s="228" t="s">
        <v>626</v>
      </c>
      <c r="J237" s="54"/>
      <c r="K237" s="115"/>
      <c r="L237" s="115"/>
    </row>
    <row r="238">
      <c r="A238" s="248" t="s">
        <v>171</v>
      </c>
      <c r="B238" s="70" t="s">
        <v>3200</v>
      </c>
      <c r="C238" s="68" t="s">
        <v>3201</v>
      </c>
      <c r="D238" s="68" t="s">
        <v>3393</v>
      </c>
      <c r="E238" s="70" t="s">
        <v>575</v>
      </c>
      <c r="F238" s="228" t="s">
        <v>3401</v>
      </c>
      <c r="G238" s="84" t="s">
        <v>3391</v>
      </c>
      <c r="H238" s="228" t="s">
        <v>25</v>
      </c>
      <c r="I238" s="228" t="s">
        <v>103</v>
      </c>
      <c r="J238" s="54"/>
      <c r="K238" s="115"/>
      <c r="L238" s="115"/>
    </row>
    <row r="239">
      <c r="A239" s="248" t="s">
        <v>171</v>
      </c>
      <c r="B239" s="70" t="s">
        <v>3230</v>
      </c>
      <c r="C239" s="68" t="s">
        <v>3231</v>
      </c>
      <c r="D239" s="68" t="s">
        <v>3393</v>
      </c>
      <c r="E239" s="70" t="s">
        <v>1372</v>
      </c>
      <c r="F239" s="228" t="s">
        <v>3402</v>
      </c>
      <c r="G239" s="80" t="s">
        <v>898</v>
      </c>
      <c r="H239" s="233" t="s">
        <v>3403</v>
      </c>
      <c r="I239" s="229" t="s">
        <v>3404</v>
      </c>
      <c r="J239" s="54"/>
      <c r="K239" s="115"/>
      <c r="L239" s="115"/>
    </row>
    <row r="240">
      <c r="A240" s="248" t="s">
        <v>171</v>
      </c>
      <c r="B240" s="70" t="s">
        <v>3405</v>
      </c>
      <c r="C240" s="68" t="s">
        <v>3406</v>
      </c>
      <c r="D240" s="68" t="s">
        <v>3393</v>
      </c>
      <c r="E240" s="70" t="s">
        <v>1814</v>
      </c>
      <c r="F240" s="228" t="s">
        <v>3407</v>
      </c>
      <c r="G240" s="84" t="s">
        <v>3408</v>
      </c>
      <c r="H240" s="228" t="s">
        <v>40</v>
      </c>
      <c r="I240" s="228" t="s">
        <v>103</v>
      </c>
      <c r="J240" s="54"/>
      <c r="K240" s="115"/>
      <c r="L240" s="115"/>
    </row>
    <row r="241">
      <c r="A241" s="248" t="s">
        <v>171</v>
      </c>
      <c r="B241" s="70" t="s">
        <v>3405</v>
      </c>
      <c r="C241" s="68" t="s">
        <v>3409</v>
      </c>
      <c r="D241" s="68" t="s">
        <v>3393</v>
      </c>
      <c r="E241" s="70" t="s">
        <v>676</v>
      </c>
      <c r="F241" s="228" t="s">
        <v>3410</v>
      </c>
      <c r="G241" s="84" t="s">
        <v>3408</v>
      </c>
      <c r="H241" s="233" t="s">
        <v>3411</v>
      </c>
      <c r="I241" s="228" t="s">
        <v>3412</v>
      </c>
      <c r="J241" s="54"/>
      <c r="K241" s="115"/>
      <c r="L241" s="115"/>
    </row>
    <row r="242">
      <c r="A242" s="248" t="s">
        <v>171</v>
      </c>
      <c r="B242" s="70" t="s">
        <v>3413</v>
      </c>
      <c r="C242" s="68" t="s">
        <v>3414</v>
      </c>
      <c r="D242" s="68" t="s">
        <v>3393</v>
      </c>
      <c r="E242" s="70" t="s">
        <v>676</v>
      </c>
      <c r="F242" s="228" t="s">
        <v>3415</v>
      </c>
      <c r="G242" s="80" t="s">
        <v>898</v>
      </c>
      <c r="H242" s="233" t="s">
        <v>3416</v>
      </c>
      <c r="I242" s="229" t="s">
        <v>3417</v>
      </c>
      <c r="J242" s="54"/>
      <c r="K242" s="115"/>
      <c r="L242" s="115"/>
    </row>
    <row r="243">
      <c r="A243" s="248" t="s">
        <v>171</v>
      </c>
      <c r="B243" s="70" t="s">
        <v>3413</v>
      </c>
      <c r="C243" s="68" t="s">
        <v>3418</v>
      </c>
      <c r="D243" s="68" t="s">
        <v>3393</v>
      </c>
      <c r="E243" s="70" t="s">
        <v>3419</v>
      </c>
      <c r="F243" s="228" t="s">
        <v>775</v>
      </c>
      <c r="G243" s="80" t="s">
        <v>898</v>
      </c>
      <c r="H243" s="233" t="s">
        <v>3420</v>
      </c>
      <c r="I243" s="228" t="s">
        <v>626</v>
      </c>
      <c r="J243" s="54"/>
      <c r="K243" s="115"/>
      <c r="L243" s="115"/>
    </row>
    <row r="244">
      <c r="A244" s="249" t="s">
        <v>171</v>
      </c>
      <c r="B244" s="70" t="s">
        <v>3421</v>
      </c>
      <c r="C244" s="68" t="s">
        <v>3422</v>
      </c>
      <c r="D244" s="68" t="s">
        <v>3393</v>
      </c>
      <c r="E244" s="70" t="s">
        <v>3423</v>
      </c>
      <c r="F244" s="228" t="s">
        <v>3424</v>
      </c>
      <c r="G244" s="84" t="s">
        <v>3408</v>
      </c>
      <c r="H244" s="228" t="s">
        <v>40</v>
      </c>
      <c r="I244" s="228" t="s">
        <v>626</v>
      </c>
      <c r="J244" s="54"/>
      <c r="K244" s="115"/>
      <c r="L244" s="115"/>
    </row>
    <row r="245">
      <c r="A245" s="249" t="s">
        <v>171</v>
      </c>
      <c r="B245" s="70" t="s">
        <v>3312</v>
      </c>
      <c r="C245" s="68" t="s">
        <v>3313</v>
      </c>
      <c r="D245" s="68" t="s">
        <v>3393</v>
      </c>
      <c r="E245" s="62" t="s">
        <v>3425</v>
      </c>
      <c r="F245" s="228" t="s">
        <v>3426</v>
      </c>
      <c r="G245" s="84" t="s">
        <v>3408</v>
      </c>
      <c r="H245" s="228" t="s">
        <v>25</v>
      </c>
      <c r="I245" s="228" t="s">
        <v>626</v>
      </c>
      <c r="J245" s="54"/>
      <c r="K245" s="115"/>
      <c r="L245" s="115"/>
    </row>
    <row r="246">
      <c r="A246" s="249" t="s">
        <v>171</v>
      </c>
      <c r="B246" s="70" t="s">
        <v>3312</v>
      </c>
      <c r="C246" s="68" t="s">
        <v>3427</v>
      </c>
      <c r="D246" s="68" t="s">
        <v>3393</v>
      </c>
      <c r="E246" s="70" t="s">
        <v>3428</v>
      </c>
      <c r="F246" s="228" t="s">
        <v>775</v>
      </c>
      <c r="G246" s="84" t="s">
        <v>3408</v>
      </c>
      <c r="H246" s="233" t="s">
        <v>3429</v>
      </c>
      <c r="I246" s="233" t="s">
        <v>3430</v>
      </c>
      <c r="J246" s="54"/>
      <c r="K246" s="115"/>
      <c r="L246" s="115"/>
    </row>
    <row r="247">
      <c r="A247" s="249" t="s">
        <v>171</v>
      </c>
      <c r="B247" s="70" t="s">
        <v>3431</v>
      </c>
      <c r="C247" s="68" t="s">
        <v>3432</v>
      </c>
      <c r="D247" s="70" t="s">
        <v>3393</v>
      </c>
      <c r="E247" s="250" t="s">
        <v>3129</v>
      </c>
      <c r="F247" s="228" t="s">
        <v>3433</v>
      </c>
      <c r="G247" s="84" t="s">
        <v>3408</v>
      </c>
      <c r="H247" s="228" t="s">
        <v>40</v>
      </c>
      <c r="I247" s="228" t="s">
        <v>103</v>
      </c>
      <c r="J247" s="54"/>
      <c r="K247" s="115"/>
      <c r="L247" s="115"/>
    </row>
    <row r="248">
      <c r="A248" s="249" t="s">
        <v>580</v>
      </c>
      <c r="B248" s="70" t="s">
        <v>3434</v>
      </c>
      <c r="C248" s="68" t="s">
        <v>3435</v>
      </c>
      <c r="D248" s="68" t="s">
        <v>3393</v>
      </c>
      <c r="E248" s="70" t="s">
        <v>3436</v>
      </c>
      <c r="F248" s="228" t="s">
        <v>3437</v>
      </c>
      <c r="G248" s="251" t="s">
        <v>3438</v>
      </c>
      <c r="H248" s="228" t="s">
        <v>25</v>
      </c>
      <c r="I248" s="229" t="s">
        <v>3439</v>
      </c>
      <c r="J248" s="54"/>
      <c r="K248" s="115"/>
      <c r="L248" s="115"/>
    </row>
    <row r="249">
      <c r="A249" s="249" t="s">
        <v>171</v>
      </c>
      <c r="B249" s="70" t="s">
        <v>3440</v>
      </c>
      <c r="C249" s="68" t="s">
        <v>3157</v>
      </c>
      <c r="D249" s="68" t="s">
        <v>3393</v>
      </c>
      <c r="E249" s="70" t="s">
        <v>1240</v>
      </c>
      <c r="F249" s="228" t="s">
        <v>3441</v>
      </c>
      <c r="G249" s="80" t="s">
        <v>3442</v>
      </c>
      <c r="H249" s="233" t="s">
        <v>3420</v>
      </c>
      <c r="I249" s="233" t="s">
        <v>2606</v>
      </c>
      <c r="J249" s="54"/>
      <c r="K249" s="115"/>
      <c r="L249" s="115"/>
    </row>
    <row r="250">
      <c r="A250" s="249" t="s">
        <v>171</v>
      </c>
      <c r="B250" s="70" t="s">
        <v>3440</v>
      </c>
      <c r="C250" s="68" t="s">
        <v>3443</v>
      </c>
      <c r="D250" s="68" t="s">
        <v>3393</v>
      </c>
      <c r="E250" s="70" t="s">
        <v>130</v>
      </c>
      <c r="F250" s="228" t="s">
        <v>775</v>
      </c>
      <c r="G250" s="80" t="s">
        <v>3442</v>
      </c>
      <c r="H250" s="233" t="s">
        <v>3420</v>
      </c>
      <c r="I250" s="228" t="s">
        <v>626</v>
      </c>
      <c r="J250" s="54"/>
      <c r="K250" s="115"/>
      <c r="L250" s="115"/>
    </row>
    <row r="251">
      <c r="A251" s="249" t="s">
        <v>171</v>
      </c>
      <c r="B251" s="70" t="s">
        <v>3444</v>
      </c>
      <c r="C251" s="68" t="s">
        <v>3445</v>
      </c>
      <c r="D251" s="68" t="s">
        <v>3393</v>
      </c>
      <c r="E251" s="250" t="s">
        <v>3446</v>
      </c>
      <c r="F251" s="228" t="s">
        <v>3447</v>
      </c>
      <c r="G251" s="80" t="s">
        <v>3442</v>
      </c>
      <c r="H251" s="233" t="s">
        <v>3420</v>
      </c>
      <c r="I251" s="229" t="s">
        <v>1933</v>
      </c>
      <c r="J251" s="54"/>
      <c r="K251" s="115"/>
      <c r="L251" s="115"/>
    </row>
    <row r="252">
      <c r="A252" s="249" t="s">
        <v>171</v>
      </c>
      <c r="B252" s="70" t="s">
        <v>3448</v>
      </c>
      <c r="C252" s="68" t="s">
        <v>3449</v>
      </c>
      <c r="D252" s="68" t="s">
        <v>3393</v>
      </c>
      <c r="E252" s="70" t="s">
        <v>3253</v>
      </c>
      <c r="F252" s="228" t="s">
        <v>775</v>
      </c>
      <c r="G252" s="80" t="s">
        <v>2713</v>
      </c>
      <c r="H252" s="228" t="s">
        <v>40</v>
      </c>
      <c r="I252" s="228" t="s">
        <v>626</v>
      </c>
      <c r="J252" s="54"/>
      <c r="K252" s="115"/>
      <c r="L252" s="115"/>
    </row>
    <row r="253">
      <c r="A253" s="249" t="s">
        <v>171</v>
      </c>
      <c r="B253" s="70" t="s">
        <v>3448</v>
      </c>
      <c r="C253" s="68" t="s">
        <v>3450</v>
      </c>
      <c r="D253" s="68" t="s">
        <v>3393</v>
      </c>
      <c r="E253" s="70" t="s">
        <v>3451</v>
      </c>
      <c r="F253" s="228" t="s">
        <v>3452</v>
      </c>
      <c r="G253" s="80" t="s">
        <v>2713</v>
      </c>
      <c r="H253" s="233" t="s">
        <v>2929</v>
      </c>
      <c r="I253" s="229" t="s">
        <v>3453</v>
      </c>
      <c r="J253" s="54"/>
      <c r="K253" s="115"/>
      <c r="L253" s="115"/>
    </row>
    <row r="254">
      <c r="A254" s="249" t="s">
        <v>171</v>
      </c>
      <c r="B254" s="70" t="s">
        <v>3454</v>
      </c>
      <c r="C254" s="68" t="s">
        <v>3455</v>
      </c>
      <c r="D254" s="68" t="s">
        <v>3393</v>
      </c>
      <c r="E254" s="70" t="s">
        <v>854</v>
      </c>
      <c r="F254" s="228" t="s">
        <v>3456</v>
      </c>
      <c r="G254" s="84" t="s">
        <v>24</v>
      </c>
      <c r="H254" s="228" t="s">
        <v>3457</v>
      </c>
      <c r="I254" s="228" t="s">
        <v>3458</v>
      </c>
      <c r="J254" s="54"/>
      <c r="K254" s="115"/>
      <c r="L254" s="115"/>
    </row>
    <row r="255">
      <c r="A255" s="249" t="s">
        <v>171</v>
      </c>
      <c r="B255" s="70" t="s">
        <v>3454</v>
      </c>
      <c r="C255" s="68" t="s">
        <v>3455</v>
      </c>
      <c r="D255" s="68" t="s">
        <v>3393</v>
      </c>
      <c r="E255" s="70" t="s">
        <v>3459</v>
      </c>
      <c r="F255" s="228" t="s">
        <v>775</v>
      </c>
      <c r="G255" s="84" t="s">
        <v>24</v>
      </c>
      <c r="H255" s="228" t="s">
        <v>3460</v>
      </c>
      <c r="I255" s="228" t="s">
        <v>626</v>
      </c>
      <c r="J255" s="54"/>
      <c r="K255" s="115"/>
      <c r="L255" s="115"/>
    </row>
    <row r="256">
      <c r="A256" s="249" t="s">
        <v>171</v>
      </c>
      <c r="B256" s="70" t="s">
        <v>3461</v>
      </c>
      <c r="C256" s="68" t="s">
        <v>3462</v>
      </c>
      <c r="D256" s="105">
        <v>45742.0</v>
      </c>
      <c r="E256" s="70" t="s">
        <v>1988</v>
      </c>
      <c r="F256" s="228" t="s">
        <v>3463</v>
      </c>
      <c r="G256" s="80" t="s">
        <v>898</v>
      </c>
      <c r="H256" s="233" t="s">
        <v>3411</v>
      </c>
      <c r="I256" s="233" t="s">
        <v>2606</v>
      </c>
      <c r="J256" s="54"/>
      <c r="K256" s="115"/>
      <c r="L256" s="115"/>
    </row>
    <row r="257">
      <c r="A257" s="249" t="s">
        <v>171</v>
      </c>
      <c r="B257" s="70" t="s">
        <v>1755</v>
      </c>
      <c r="C257" s="68" t="s">
        <v>1756</v>
      </c>
      <c r="D257" s="105">
        <v>45740.0</v>
      </c>
      <c r="E257" s="70" t="s">
        <v>3464</v>
      </c>
      <c r="F257" s="228" t="s">
        <v>3465</v>
      </c>
      <c r="G257" s="84" t="s">
        <v>24</v>
      </c>
      <c r="H257" s="228" t="s">
        <v>40</v>
      </c>
      <c r="I257" s="228" t="s">
        <v>103</v>
      </c>
      <c r="J257" s="54"/>
      <c r="K257" s="115"/>
      <c r="L257" s="115"/>
    </row>
    <row r="258">
      <c r="A258" s="249" t="s">
        <v>171</v>
      </c>
      <c r="B258" s="70" t="s">
        <v>1897</v>
      </c>
      <c r="C258" s="68" t="s">
        <v>3466</v>
      </c>
      <c r="D258" s="68" t="s">
        <v>556</v>
      </c>
      <c r="E258" s="70" t="s">
        <v>3369</v>
      </c>
      <c r="F258" s="228" t="s">
        <v>3467</v>
      </c>
      <c r="G258" s="84" t="s">
        <v>24</v>
      </c>
      <c r="H258" s="228" t="s">
        <v>25</v>
      </c>
      <c r="I258" s="228" t="s">
        <v>626</v>
      </c>
      <c r="J258" s="54"/>
      <c r="K258" s="115"/>
      <c r="L258" s="115"/>
    </row>
    <row r="259">
      <c r="A259" s="249" t="s">
        <v>171</v>
      </c>
      <c r="B259" s="70" t="s">
        <v>3468</v>
      </c>
      <c r="C259" s="68" t="s">
        <v>3252</v>
      </c>
      <c r="D259" s="68" t="s">
        <v>3469</v>
      </c>
      <c r="E259" s="70" t="s">
        <v>3470</v>
      </c>
      <c r="F259" s="228" t="s">
        <v>3471</v>
      </c>
      <c r="G259" s="80" t="s">
        <v>2713</v>
      </c>
      <c r="H259" s="228" t="s">
        <v>25</v>
      </c>
      <c r="I259" s="228" t="s">
        <v>626</v>
      </c>
      <c r="J259" s="54"/>
      <c r="K259" s="115"/>
      <c r="L259" s="115"/>
    </row>
    <row r="260">
      <c r="A260" s="249" t="s">
        <v>171</v>
      </c>
      <c r="B260" s="70" t="s">
        <v>1907</v>
      </c>
      <c r="C260" s="68" t="s">
        <v>3472</v>
      </c>
      <c r="D260" s="105">
        <v>45740.0</v>
      </c>
      <c r="E260" s="70" t="s">
        <v>3473</v>
      </c>
      <c r="F260" s="228" t="s">
        <v>3474</v>
      </c>
      <c r="G260" s="80" t="s">
        <v>898</v>
      </c>
      <c r="H260" s="228" t="s">
        <v>40</v>
      </c>
      <c r="I260" s="233" t="s">
        <v>2606</v>
      </c>
      <c r="J260" s="54"/>
      <c r="K260" s="115"/>
      <c r="L260" s="115"/>
    </row>
    <row r="261">
      <c r="A261" s="249" t="s">
        <v>171</v>
      </c>
      <c r="B261" s="70" t="s">
        <v>2655</v>
      </c>
      <c r="C261" s="68" t="s">
        <v>2656</v>
      </c>
      <c r="D261" s="68" t="s">
        <v>556</v>
      </c>
      <c r="E261" s="70" t="s">
        <v>2657</v>
      </c>
      <c r="F261" s="228" t="s">
        <v>3475</v>
      </c>
      <c r="G261" s="84" t="s">
        <v>24</v>
      </c>
      <c r="H261" s="228" t="s">
        <v>40</v>
      </c>
      <c r="I261" s="229" t="s">
        <v>1042</v>
      </c>
      <c r="J261" s="54"/>
      <c r="K261" s="115"/>
      <c r="L261" s="115"/>
    </row>
    <row r="262">
      <c r="A262" s="249" t="s">
        <v>171</v>
      </c>
      <c r="B262" s="70" t="s">
        <v>2655</v>
      </c>
      <c r="C262" s="68" t="s">
        <v>3476</v>
      </c>
      <c r="D262" s="68" t="s">
        <v>556</v>
      </c>
      <c r="E262" s="70" t="s">
        <v>3477</v>
      </c>
      <c r="F262" s="228" t="s">
        <v>775</v>
      </c>
      <c r="G262" s="84" t="s">
        <v>24</v>
      </c>
      <c r="H262" s="228" t="s">
        <v>40</v>
      </c>
      <c r="I262" s="228" t="s">
        <v>626</v>
      </c>
      <c r="J262" s="54"/>
      <c r="K262" s="115"/>
      <c r="L262" s="115"/>
    </row>
    <row r="263">
      <c r="A263" s="249" t="s">
        <v>3478</v>
      </c>
      <c r="B263" s="70" t="s">
        <v>3479</v>
      </c>
      <c r="C263" s="68" t="s">
        <v>3480</v>
      </c>
      <c r="D263" s="68" t="s">
        <v>556</v>
      </c>
      <c r="E263" s="70" t="s">
        <v>1087</v>
      </c>
      <c r="F263" s="228" t="s">
        <v>3481</v>
      </c>
      <c r="G263" s="252"/>
      <c r="H263" s="228" t="s">
        <v>25</v>
      </c>
      <c r="I263" s="228" t="s">
        <v>3482</v>
      </c>
      <c r="J263" s="54"/>
      <c r="K263" s="115"/>
      <c r="L263" s="115"/>
    </row>
    <row r="264">
      <c r="A264" s="249" t="s">
        <v>171</v>
      </c>
      <c r="B264" s="70" t="s">
        <v>3483</v>
      </c>
      <c r="C264" s="68" t="s">
        <v>3484</v>
      </c>
      <c r="D264" s="105">
        <v>45660.0</v>
      </c>
      <c r="E264" s="70" t="s">
        <v>3485</v>
      </c>
      <c r="F264" s="228" t="s">
        <v>3486</v>
      </c>
      <c r="G264" s="84" t="s">
        <v>24</v>
      </c>
      <c r="H264" s="228" t="s">
        <v>40</v>
      </c>
      <c r="I264" s="228" t="s">
        <v>3482</v>
      </c>
      <c r="J264" s="54"/>
      <c r="K264" s="115"/>
      <c r="L264" s="115"/>
    </row>
    <row r="265">
      <c r="A265" s="249" t="s">
        <v>171</v>
      </c>
      <c r="B265" s="70" t="s">
        <v>3487</v>
      </c>
      <c r="C265" s="68" t="s">
        <v>3488</v>
      </c>
      <c r="D265" s="68" t="s">
        <v>556</v>
      </c>
      <c r="E265" s="70" t="s">
        <v>3489</v>
      </c>
      <c r="F265" s="231" t="s">
        <v>775</v>
      </c>
      <c r="G265" s="80" t="s">
        <v>898</v>
      </c>
      <c r="H265" s="228" t="s">
        <v>2326</v>
      </c>
      <c r="I265" s="228" t="s">
        <v>626</v>
      </c>
      <c r="J265" s="54"/>
      <c r="K265" s="115"/>
      <c r="L265" s="115"/>
    </row>
    <row r="266">
      <c r="A266" s="249" t="s">
        <v>171</v>
      </c>
      <c r="B266" s="70" t="s">
        <v>3487</v>
      </c>
      <c r="C266" s="68" t="s">
        <v>3490</v>
      </c>
      <c r="D266" s="68" t="s">
        <v>556</v>
      </c>
      <c r="E266" s="70" t="s">
        <v>588</v>
      </c>
      <c r="F266" s="233" t="s">
        <v>3491</v>
      </c>
      <c r="G266" s="80" t="s">
        <v>898</v>
      </c>
      <c r="H266" s="233" t="s">
        <v>3492</v>
      </c>
      <c r="I266" s="233" t="s">
        <v>2606</v>
      </c>
      <c r="J266" s="54"/>
      <c r="K266" s="115"/>
      <c r="L266" s="115"/>
    </row>
    <row r="267">
      <c r="A267" s="249" t="s">
        <v>171</v>
      </c>
      <c r="B267" s="70" t="s">
        <v>3493</v>
      </c>
      <c r="C267" s="68" t="s">
        <v>3494</v>
      </c>
      <c r="D267" s="68" t="s">
        <v>556</v>
      </c>
      <c r="E267" s="70" t="s">
        <v>3495</v>
      </c>
      <c r="F267" s="228" t="s">
        <v>3496</v>
      </c>
      <c r="G267" s="84" t="s">
        <v>24</v>
      </c>
      <c r="H267" s="228" t="s">
        <v>40</v>
      </c>
      <c r="I267" s="228" t="s">
        <v>626</v>
      </c>
      <c r="J267" s="54"/>
      <c r="K267" s="115"/>
      <c r="L267" s="115"/>
    </row>
    <row r="268">
      <c r="A268" s="249" t="s">
        <v>743</v>
      </c>
      <c r="B268" s="70" t="s">
        <v>3497</v>
      </c>
      <c r="C268" s="68" t="s">
        <v>3498</v>
      </c>
      <c r="D268" s="68" t="s">
        <v>1917</v>
      </c>
      <c r="E268" s="70" t="s">
        <v>107</v>
      </c>
      <c r="F268" s="233" t="s">
        <v>3499</v>
      </c>
      <c r="G268" s="84" t="s">
        <v>24</v>
      </c>
      <c r="H268" s="228" t="s">
        <v>40</v>
      </c>
      <c r="I268" s="228" t="s">
        <v>626</v>
      </c>
      <c r="J268" s="54"/>
      <c r="K268" s="115"/>
      <c r="L268" s="115"/>
    </row>
    <row r="269">
      <c r="A269" s="249" t="s">
        <v>171</v>
      </c>
      <c r="B269" s="70" t="s">
        <v>3500</v>
      </c>
      <c r="C269" s="68" t="s">
        <v>3501</v>
      </c>
      <c r="D269" s="68" t="s">
        <v>556</v>
      </c>
      <c r="E269" s="70" t="s">
        <v>1520</v>
      </c>
      <c r="F269" s="228" t="s">
        <v>3502</v>
      </c>
      <c r="G269" s="84" t="s">
        <v>24</v>
      </c>
      <c r="H269" s="228" t="s">
        <v>40</v>
      </c>
      <c r="I269" s="228" t="s">
        <v>626</v>
      </c>
      <c r="J269" s="54"/>
      <c r="K269" s="115"/>
      <c r="L269" s="115"/>
    </row>
    <row r="270">
      <c r="A270" s="249" t="s">
        <v>743</v>
      </c>
      <c r="B270" s="70" t="s">
        <v>1086</v>
      </c>
      <c r="C270" s="68" t="s">
        <v>3503</v>
      </c>
      <c r="D270" s="105">
        <v>45666.0</v>
      </c>
      <c r="E270" s="70" t="s">
        <v>1087</v>
      </c>
      <c r="F270" s="228" t="s">
        <v>3504</v>
      </c>
      <c r="G270" s="80" t="s">
        <v>898</v>
      </c>
      <c r="H270" s="228" t="s">
        <v>40</v>
      </c>
      <c r="I270" s="228" t="s">
        <v>3482</v>
      </c>
      <c r="J270" s="54"/>
      <c r="K270" s="115"/>
      <c r="L270" s="115"/>
    </row>
    <row r="271">
      <c r="A271" s="249" t="s">
        <v>171</v>
      </c>
      <c r="B271" s="70" t="s">
        <v>3505</v>
      </c>
      <c r="C271" s="68" t="s">
        <v>3506</v>
      </c>
      <c r="D271" s="68" t="s">
        <v>556</v>
      </c>
      <c r="E271" s="70" t="s">
        <v>3507</v>
      </c>
      <c r="F271" s="228" t="s">
        <v>2668</v>
      </c>
      <c r="G271" s="84" t="s">
        <v>24</v>
      </c>
      <c r="H271" s="228" t="s">
        <v>40</v>
      </c>
      <c r="I271" s="228" t="s">
        <v>103</v>
      </c>
      <c r="J271" s="54"/>
      <c r="K271" s="115"/>
      <c r="L271" s="115"/>
    </row>
    <row r="272">
      <c r="A272" s="115"/>
      <c r="B272" s="70" t="s">
        <v>3508</v>
      </c>
      <c r="C272" s="68" t="s">
        <v>3321</v>
      </c>
      <c r="D272" s="68" t="s">
        <v>556</v>
      </c>
      <c r="E272" s="70" t="s">
        <v>3495</v>
      </c>
      <c r="F272" s="228" t="s">
        <v>3509</v>
      </c>
      <c r="G272" s="80" t="s">
        <v>2713</v>
      </c>
      <c r="H272" s="228" t="s">
        <v>40</v>
      </c>
      <c r="I272" s="229" t="s">
        <v>3510</v>
      </c>
      <c r="J272" s="54"/>
      <c r="K272" s="115"/>
      <c r="L272" s="115"/>
    </row>
    <row r="273">
      <c r="A273" s="249" t="s">
        <v>171</v>
      </c>
      <c r="B273" s="253" t="s">
        <v>3511</v>
      </c>
      <c r="C273" s="68" t="s">
        <v>3512</v>
      </c>
      <c r="D273" s="54"/>
      <c r="E273" s="70" t="s">
        <v>357</v>
      </c>
      <c r="F273" s="254" t="s">
        <v>3513</v>
      </c>
      <c r="G273" s="84" t="s">
        <v>24</v>
      </c>
      <c r="H273" s="228" t="s">
        <v>40</v>
      </c>
      <c r="I273" s="228" t="s">
        <v>3482</v>
      </c>
      <c r="J273" s="54"/>
      <c r="K273" s="115"/>
      <c r="L273" s="115"/>
    </row>
    <row r="274">
      <c r="A274" s="249" t="s">
        <v>171</v>
      </c>
      <c r="B274" s="70" t="s">
        <v>198</v>
      </c>
      <c r="C274" s="68" t="s">
        <v>197</v>
      </c>
      <c r="D274" s="54"/>
      <c r="E274" s="70" t="s">
        <v>3514</v>
      </c>
      <c r="F274" s="228" t="s">
        <v>3515</v>
      </c>
      <c r="G274" s="84" t="s">
        <v>24</v>
      </c>
      <c r="H274" s="228" t="s">
        <v>40</v>
      </c>
      <c r="I274" s="233" t="s">
        <v>3516</v>
      </c>
      <c r="J274" s="54"/>
      <c r="K274" s="115"/>
      <c r="L274" s="115"/>
    </row>
    <row r="275">
      <c r="A275" s="249" t="s">
        <v>171</v>
      </c>
      <c r="B275" s="70" t="s">
        <v>3517</v>
      </c>
      <c r="C275" s="68" t="s">
        <v>3518</v>
      </c>
      <c r="D275" s="68" t="s">
        <v>556</v>
      </c>
      <c r="E275" s="70" t="s">
        <v>3519</v>
      </c>
      <c r="F275" s="228" t="s">
        <v>3520</v>
      </c>
      <c r="G275" s="84" t="s">
        <v>24</v>
      </c>
      <c r="H275" s="228" t="s">
        <v>40</v>
      </c>
      <c r="I275" s="228" t="s">
        <v>3521</v>
      </c>
      <c r="J275" s="54"/>
      <c r="K275" s="115"/>
      <c r="L275" s="115"/>
    </row>
    <row r="276">
      <c r="A276" s="249" t="s">
        <v>2602</v>
      </c>
      <c r="B276" s="70" t="s">
        <v>3522</v>
      </c>
      <c r="C276" s="68" t="s">
        <v>3523</v>
      </c>
      <c r="D276" s="68" t="s">
        <v>556</v>
      </c>
      <c r="E276" s="115"/>
      <c r="F276" s="223"/>
      <c r="G276" s="54"/>
      <c r="H276" s="115"/>
      <c r="I276" s="115"/>
      <c r="J276" s="54"/>
      <c r="K276" s="115"/>
      <c r="L276" s="115"/>
    </row>
  </sheetData>
  <dataValidations>
    <dataValidation type="list" allowBlank="1" showErrorMessage="1" sqref="A2:A276">
      <formula1>"Urgente,Mediana,Normal,Análise Concluída,Falta Tutoria,Falta Documentação,Falta Financeiro,Falta Plataforma,Aluno certificado,Aluno no Setor de Cobrança,Processo de certificação,Falta extensão,Duplicado"</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57.13"/>
    <col customWidth="1" min="2" max="2" width="40.38"/>
    <col customWidth="1" min="3" max="3" width="21.0"/>
    <col customWidth="1" min="4" max="4" width="27.25"/>
    <col customWidth="1" min="5" max="5" width="55.0"/>
    <col customWidth="1" min="6" max="6" width="68.25"/>
    <col customWidth="1" min="7" max="7" width="44.75"/>
    <col customWidth="1" min="8" max="8" width="38.0"/>
    <col customWidth="1" min="9" max="9" width="56.13"/>
    <col customWidth="1" min="10" max="10" width="25.0"/>
    <col customWidth="1" min="11" max="11" width="53.75"/>
    <col customWidth="1" min="12" max="12" width="25.0"/>
  </cols>
  <sheetData>
    <row r="1" ht="42.75" customHeight="1">
      <c r="A1" s="255"/>
      <c r="B1" s="225" t="s">
        <v>2</v>
      </c>
      <c r="C1" s="225" t="s">
        <v>1</v>
      </c>
      <c r="D1" s="225" t="s">
        <v>3</v>
      </c>
      <c r="E1" s="226" t="s">
        <v>4</v>
      </c>
      <c r="F1" s="225" t="s">
        <v>568</v>
      </c>
      <c r="G1" s="225" t="s">
        <v>569</v>
      </c>
      <c r="H1" s="225" t="s">
        <v>7</v>
      </c>
      <c r="I1" s="225" t="s">
        <v>570</v>
      </c>
      <c r="J1" s="225" t="s">
        <v>571</v>
      </c>
      <c r="K1" s="225" t="s">
        <v>572</v>
      </c>
      <c r="L1" s="227"/>
    </row>
    <row r="2">
      <c r="A2" s="249" t="s">
        <v>171</v>
      </c>
      <c r="B2" s="70" t="s">
        <v>3524</v>
      </c>
      <c r="C2" s="68" t="s">
        <v>3525</v>
      </c>
      <c r="D2" s="105">
        <v>45499.0</v>
      </c>
      <c r="E2" s="70" t="s">
        <v>1087</v>
      </c>
      <c r="F2" s="228" t="s">
        <v>3526</v>
      </c>
      <c r="G2" s="84" t="s">
        <v>24</v>
      </c>
      <c r="H2" s="228" t="s">
        <v>40</v>
      </c>
      <c r="I2" s="228" t="s">
        <v>3527</v>
      </c>
      <c r="J2" s="54"/>
      <c r="K2" s="115"/>
      <c r="L2" s="115"/>
    </row>
    <row r="3">
      <c r="A3" s="249" t="s">
        <v>171</v>
      </c>
      <c r="B3" s="70" t="s">
        <v>3528</v>
      </c>
      <c r="C3" s="68" t="s">
        <v>3529</v>
      </c>
      <c r="D3" s="105">
        <v>45710.0</v>
      </c>
      <c r="E3" s="70" t="s">
        <v>3519</v>
      </c>
      <c r="F3" s="228" t="s">
        <v>3530</v>
      </c>
      <c r="G3" s="84" t="s">
        <v>24</v>
      </c>
      <c r="H3" s="228" t="s">
        <v>40</v>
      </c>
      <c r="I3" s="228" t="s">
        <v>3531</v>
      </c>
      <c r="J3" s="54"/>
      <c r="K3" s="115"/>
      <c r="L3" s="115"/>
    </row>
    <row r="4" ht="15.75" customHeight="1">
      <c r="A4" s="249" t="s">
        <v>171</v>
      </c>
      <c r="B4" s="70" t="s">
        <v>3532</v>
      </c>
      <c r="C4" s="68" t="s">
        <v>3533</v>
      </c>
      <c r="D4" s="68" t="s">
        <v>556</v>
      </c>
      <c r="E4" s="70" t="s">
        <v>575</v>
      </c>
      <c r="F4" s="228" t="s">
        <v>3534</v>
      </c>
      <c r="G4" s="80" t="s">
        <v>898</v>
      </c>
      <c r="H4" s="233" t="s">
        <v>3535</v>
      </c>
      <c r="I4" s="233" t="s">
        <v>3536</v>
      </c>
      <c r="J4" s="54"/>
      <c r="K4" s="115"/>
      <c r="L4" s="115"/>
    </row>
    <row r="5">
      <c r="A5" s="249" t="s">
        <v>171</v>
      </c>
      <c r="B5" s="70" t="s">
        <v>3537</v>
      </c>
      <c r="C5" s="68" t="s">
        <v>3538</v>
      </c>
      <c r="D5" s="50"/>
      <c r="E5" s="70" t="s">
        <v>2900</v>
      </c>
      <c r="F5" s="228" t="s">
        <v>3539</v>
      </c>
      <c r="G5" s="80" t="s">
        <v>2713</v>
      </c>
      <c r="H5" s="233" t="s">
        <v>736</v>
      </c>
      <c r="I5" s="233" t="s">
        <v>3536</v>
      </c>
      <c r="J5" s="54"/>
      <c r="K5" s="115"/>
      <c r="L5" s="115"/>
    </row>
    <row r="6">
      <c r="A6" s="249" t="s">
        <v>171</v>
      </c>
      <c r="B6" s="70" t="s">
        <v>3540</v>
      </c>
      <c r="C6" s="68" t="s">
        <v>3541</v>
      </c>
      <c r="D6" s="105">
        <v>45546.0</v>
      </c>
      <c r="E6" s="70" t="s">
        <v>575</v>
      </c>
      <c r="F6" s="228" t="s">
        <v>3542</v>
      </c>
      <c r="G6" s="84" t="s">
        <v>24</v>
      </c>
      <c r="H6" s="228" t="s">
        <v>40</v>
      </c>
      <c r="I6" s="256" t="s">
        <v>1343</v>
      </c>
      <c r="J6" s="54"/>
      <c r="K6" s="115"/>
      <c r="L6" s="115"/>
    </row>
    <row r="7">
      <c r="A7" s="249" t="s">
        <v>171</v>
      </c>
      <c r="B7" s="70" t="s">
        <v>3543</v>
      </c>
      <c r="C7" s="68" t="s">
        <v>3544</v>
      </c>
      <c r="D7" s="68" t="s">
        <v>556</v>
      </c>
      <c r="E7" s="70" t="s">
        <v>2900</v>
      </c>
      <c r="F7" s="228" t="s">
        <v>3545</v>
      </c>
      <c r="G7" s="80" t="s">
        <v>898</v>
      </c>
      <c r="H7" s="228" t="s">
        <v>40</v>
      </c>
      <c r="I7" s="257" t="s">
        <v>3546</v>
      </c>
      <c r="J7" s="54"/>
      <c r="K7" s="115"/>
      <c r="L7" s="115"/>
    </row>
    <row r="8">
      <c r="A8" s="249" t="s">
        <v>171</v>
      </c>
      <c r="B8" s="70" t="s">
        <v>3547</v>
      </c>
      <c r="C8" s="68" t="s">
        <v>3548</v>
      </c>
      <c r="D8" s="68" t="s">
        <v>556</v>
      </c>
      <c r="E8" s="70" t="s">
        <v>3549</v>
      </c>
      <c r="F8" s="228" t="s">
        <v>3550</v>
      </c>
      <c r="G8" s="84" t="s">
        <v>24</v>
      </c>
      <c r="H8" s="228" t="s">
        <v>25</v>
      </c>
      <c r="I8" s="258" t="s">
        <v>3551</v>
      </c>
      <c r="J8" s="54"/>
      <c r="K8" s="115"/>
      <c r="L8" s="115"/>
    </row>
    <row r="9">
      <c r="A9" s="249" t="s">
        <v>171</v>
      </c>
      <c r="B9" s="70" t="s">
        <v>3552</v>
      </c>
      <c r="C9" s="68" t="s">
        <v>3553</v>
      </c>
      <c r="D9" s="68" t="s">
        <v>2836</v>
      </c>
      <c r="E9" s="70" t="s">
        <v>3554</v>
      </c>
      <c r="F9" s="228" t="s">
        <v>3555</v>
      </c>
      <c r="G9" s="84" t="s">
        <v>24</v>
      </c>
      <c r="H9" s="228" t="s">
        <v>3556</v>
      </c>
      <c r="I9" s="228" t="s">
        <v>626</v>
      </c>
      <c r="J9" s="54"/>
      <c r="K9" s="115"/>
      <c r="L9" s="115"/>
    </row>
    <row r="10">
      <c r="A10" s="249" t="s">
        <v>171</v>
      </c>
      <c r="B10" s="70" t="s">
        <v>3557</v>
      </c>
      <c r="C10" s="68" t="s">
        <v>3001</v>
      </c>
      <c r="D10" s="68" t="s">
        <v>556</v>
      </c>
      <c r="E10" s="70" t="s">
        <v>1087</v>
      </c>
      <c r="F10" s="228" t="s">
        <v>3558</v>
      </c>
      <c r="G10" s="84" t="s">
        <v>24</v>
      </c>
      <c r="H10" s="228" t="s">
        <v>3556</v>
      </c>
      <c r="I10" s="228" t="s">
        <v>3559</v>
      </c>
      <c r="J10" s="54"/>
      <c r="K10" s="115"/>
      <c r="L10" s="115"/>
    </row>
    <row r="11">
      <c r="A11" s="249" t="s">
        <v>305</v>
      </c>
      <c r="B11" s="228" t="s">
        <v>3557</v>
      </c>
      <c r="C11" s="68" t="s">
        <v>3560</v>
      </c>
      <c r="D11" s="68" t="s">
        <v>556</v>
      </c>
      <c r="E11" s="70" t="s">
        <v>3561</v>
      </c>
      <c r="F11" s="228" t="s">
        <v>775</v>
      </c>
      <c r="G11" s="84" t="s">
        <v>24</v>
      </c>
      <c r="H11" s="228" t="s">
        <v>3556</v>
      </c>
      <c r="I11" s="228" t="s">
        <v>626</v>
      </c>
      <c r="J11" s="54"/>
      <c r="K11" s="115"/>
      <c r="L11" s="115"/>
    </row>
    <row r="12">
      <c r="A12" s="249" t="s">
        <v>171</v>
      </c>
      <c r="B12" s="70" t="s">
        <v>3562</v>
      </c>
      <c r="C12" s="68" t="s">
        <v>3563</v>
      </c>
      <c r="D12" s="68" t="s">
        <v>1917</v>
      </c>
      <c r="E12" s="70" t="s">
        <v>3564</v>
      </c>
      <c r="F12" s="228" t="s">
        <v>3565</v>
      </c>
      <c r="G12" s="80" t="s">
        <v>898</v>
      </c>
      <c r="H12" s="228" t="s">
        <v>3556</v>
      </c>
      <c r="I12" s="233" t="s">
        <v>3566</v>
      </c>
      <c r="J12" s="54"/>
      <c r="K12" s="115"/>
      <c r="L12" s="115"/>
    </row>
    <row r="13">
      <c r="A13" s="249" t="s">
        <v>171</v>
      </c>
      <c r="B13" s="70" t="s">
        <v>3567</v>
      </c>
      <c r="C13" s="68" t="s">
        <v>3568</v>
      </c>
      <c r="D13" s="68" t="s">
        <v>556</v>
      </c>
      <c r="E13" s="70" t="s">
        <v>3569</v>
      </c>
      <c r="F13" s="228" t="s">
        <v>3570</v>
      </c>
      <c r="G13" s="84" t="s">
        <v>3571</v>
      </c>
      <c r="H13" s="228" t="s">
        <v>3556</v>
      </c>
      <c r="I13" s="231" t="s">
        <v>3572</v>
      </c>
      <c r="J13" s="54"/>
      <c r="K13" s="115"/>
      <c r="L13" s="115"/>
    </row>
    <row r="14">
      <c r="A14" s="249" t="s">
        <v>171</v>
      </c>
      <c r="B14" s="70" t="s">
        <v>3567</v>
      </c>
      <c r="C14" s="68" t="s">
        <v>3573</v>
      </c>
      <c r="D14" s="68" t="s">
        <v>556</v>
      </c>
      <c r="E14" s="70" t="s">
        <v>292</v>
      </c>
      <c r="F14" s="228" t="s">
        <v>3570</v>
      </c>
      <c r="G14" s="84" t="s">
        <v>3571</v>
      </c>
      <c r="H14" s="228" t="s">
        <v>3556</v>
      </c>
      <c r="I14" s="256" t="s">
        <v>3574</v>
      </c>
      <c r="J14" s="54"/>
      <c r="K14" s="115"/>
      <c r="L14" s="115"/>
    </row>
    <row r="15">
      <c r="A15" s="249" t="s">
        <v>171</v>
      </c>
      <c r="B15" s="70" t="s">
        <v>1748</v>
      </c>
      <c r="C15" s="68" t="s">
        <v>3575</v>
      </c>
      <c r="D15" s="102">
        <v>45642.0</v>
      </c>
      <c r="E15" s="70" t="s">
        <v>3576</v>
      </c>
      <c r="F15" s="228" t="s">
        <v>3577</v>
      </c>
      <c r="G15" s="84" t="s">
        <v>24</v>
      </c>
      <c r="H15" s="228" t="s">
        <v>3556</v>
      </c>
      <c r="I15" s="228" t="s">
        <v>3531</v>
      </c>
      <c r="J15" s="54"/>
      <c r="K15" s="115"/>
      <c r="L15" s="115"/>
    </row>
    <row r="16">
      <c r="A16" s="249" t="s">
        <v>171</v>
      </c>
      <c r="B16" s="70" t="s">
        <v>3578</v>
      </c>
      <c r="C16" s="68" t="s">
        <v>3579</v>
      </c>
      <c r="D16" s="68" t="s">
        <v>556</v>
      </c>
      <c r="E16" s="70" t="s">
        <v>97</v>
      </c>
      <c r="F16" s="228" t="s">
        <v>3580</v>
      </c>
      <c r="G16" s="80" t="s">
        <v>2713</v>
      </c>
      <c r="H16" s="228" t="s">
        <v>3556</v>
      </c>
      <c r="I16" s="228" t="s">
        <v>626</v>
      </c>
      <c r="J16" s="54"/>
      <c r="K16" s="115"/>
      <c r="L16" s="115"/>
    </row>
    <row r="17">
      <c r="A17" s="249" t="s">
        <v>3581</v>
      </c>
      <c r="B17" s="70" t="s">
        <v>2207</v>
      </c>
      <c r="C17" s="68" t="s">
        <v>3582</v>
      </c>
      <c r="D17" s="105">
        <v>45545.0</v>
      </c>
      <c r="E17" s="70" t="s">
        <v>3583</v>
      </c>
      <c r="F17" s="228" t="s">
        <v>3584</v>
      </c>
      <c r="G17" s="80" t="s">
        <v>898</v>
      </c>
      <c r="H17" s="233" t="s">
        <v>3585</v>
      </c>
      <c r="I17" s="229" t="s">
        <v>3586</v>
      </c>
      <c r="J17" s="54"/>
      <c r="K17" s="115"/>
      <c r="L17" s="115"/>
    </row>
    <row r="18">
      <c r="A18" s="249" t="s">
        <v>3587</v>
      </c>
      <c r="B18" s="70" t="s">
        <v>3588</v>
      </c>
      <c r="C18" s="68" t="s">
        <v>3589</v>
      </c>
      <c r="D18" s="68" t="s">
        <v>556</v>
      </c>
      <c r="E18" s="70" t="s">
        <v>3590</v>
      </c>
      <c r="F18" s="228" t="s">
        <v>775</v>
      </c>
      <c r="G18" s="84" t="s">
        <v>24</v>
      </c>
      <c r="H18" s="228" t="s">
        <v>25</v>
      </c>
      <c r="I18" s="228" t="s">
        <v>626</v>
      </c>
      <c r="J18" s="54"/>
      <c r="K18" s="115"/>
      <c r="L18" s="115"/>
    </row>
    <row r="19">
      <c r="A19" s="249" t="s">
        <v>3587</v>
      </c>
      <c r="B19" s="70" t="s">
        <v>3591</v>
      </c>
      <c r="C19" s="68" t="s">
        <v>3592</v>
      </c>
      <c r="D19" s="68" t="s">
        <v>556</v>
      </c>
      <c r="E19" s="70" t="s">
        <v>735</v>
      </c>
      <c r="F19" s="233" t="s">
        <v>3593</v>
      </c>
      <c r="G19" s="80" t="s">
        <v>2713</v>
      </c>
      <c r="H19" s="233" t="s">
        <v>3594</v>
      </c>
      <c r="I19" s="228" t="s">
        <v>626</v>
      </c>
      <c r="J19" s="54"/>
      <c r="K19" s="115"/>
      <c r="L19" s="115"/>
    </row>
    <row r="20" ht="17.25" customHeight="1">
      <c r="A20" s="249" t="s">
        <v>274</v>
      </c>
      <c r="B20" s="70" t="s">
        <v>3595</v>
      </c>
      <c r="C20" s="68" t="s">
        <v>3596</v>
      </c>
      <c r="D20" s="68" t="s">
        <v>556</v>
      </c>
      <c r="E20" s="70" t="s">
        <v>565</v>
      </c>
      <c r="F20" s="233" t="s">
        <v>3597</v>
      </c>
      <c r="G20" s="80" t="s">
        <v>2713</v>
      </c>
      <c r="H20" s="115"/>
      <c r="I20" s="233" t="s">
        <v>3566</v>
      </c>
      <c r="J20" s="54"/>
      <c r="K20" s="115"/>
      <c r="L20" s="115"/>
    </row>
    <row r="21">
      <c r="A21" s="249" t="s">
        <v>171</v>
      </c>
      <c r="B21" s="70" t="s">
        <v>3598</v>
      </c>
      <c r="C21" s="45" t="s">
        <v>3599</v>
      </c>
      <c r="D21" s="68" t="s">
        <v>2686</v>
      </c>
      <c r="E21" s="70" t="s">
        <v>1628</v>
      </c>
      <c r="F21" s="228" t="s">
        <v>3600</v>
      </c>
      <c r="G21" s="80" t="s">
        <v>2713</v>
      </c>
      <c r="H21" s="233" t="s">
        <v>3601</v>
      </c>
      <c r="I21" s="229" t="s">
        <v>3602</v>
      </c>
      <c r="J21" s="54"/>
      <c r="K21" s="115"/>
      <c r="L21" s="115"/>
    </row>
    <row r="22">
      <c r="A22" s="249" t="s">
        <v>171</v>
      </c>
      <c r="B22" s="70" t="s">
        <v>3598</v>
      </c>
      <c r="C22" s="45" t="s">
        <v>3599</v>
      </c>
      <c r="D22" s="54"/>
      <c r="E22" s="74" t="s">
        <v>3271</v>
      </c>
      <c r="F22" s="228" t="s">
        <v>3603</v>
      </c>
      <c r="G22" s="80" t="s">
        <v>2713</v>
      </c>
      <c r="H22" s="228" t="s">
        <v>25</v>
      </c>
      <c r="I22" s="229" t="s">
        <v>3602</v>
      </c>
      <c r="J22" s="54"/>
      <c r="K22" s="115"/>
      <c r="L22" s="115"/>
    </row>
    <row r="23">
      <c r="A23" s="249" t="s">
        <v>171</v>
      </c>
      <c r="B23" s="70" t="s">
        <v>3604</v>
      </c>
      <c r="C23" s="54"/>
      <c r="D23" s="54"/>
      <c r="E23" s="70" t="s">
        <v>1094</v>
      </c>
      <c r="F23" s="259" t="s">
        <v>3605</v>
      </c>
      <c r="G23" s="84" t="s">
        <v>24</v>
      </c>
      <c r="H23" s="228" t="s">
        <v>25</v>
      </c>
      <c r="I23" s="229" t="s">
        <v>3606</v>
      </c>
      <c r="J23" s="54"/>
      <c r="K23" s="115"/>
      <c r="L23" s="115"/>
    </row>
    <row r="24">
      <c r="A24" s="249" t="s">
        <v>171</v>
      </c>
      <c r="B24" s="70" t="s">
        <v>3607</v>
      </c>
      <c r="C24" s="68">
        <v>2.21851194E10</v>
      </c>
      <c r="D24" s="68" t="s">
        <v>2686</v>
      </c>
      <c r="E24" s="70" t="s">
        <v>3608</v>
      </c>
      <c r="F24" s="228" t="s">
        <v>3609</v>
      </c>
      <c r="G24" s="80" t="s">
        <v>2713</v>
      </c>
      <c r="H24" s="233" t="s">
        <v>736</v>
      </c>
      <c r="I24" s="233" t="s">
        <v>626</v>
      </c>
      <c r="J24" s="54"/>
      <c r="K24" s="115"/>
      <c r="L24" s="115"/>
    </row>
    <row r="25">
      <c r="A25" s="249" t="s">
        <v>171</v>
      </c>
      <c r="B25" s="70" t="s">
        <v>3610</v>
      </c>
      <c r="C25" s="68" t="s">
        <v>3611</v>
      </c>
      <c r="D25" s="68" t="s">
        <v>2686</v>
      </c>
      <c r="E25" s="70" t="s">
        <v>3612</v>
      </c>
      <c r="F25" s="233" t="s">
        <v>3613</v>
      </c>
      <c r="G25" s="80" t="s">
        <v>898</v>
      </c>
      <c r="H25" s="228" t="s">
        <v>40</v>
      </c>
      <c r="I25" s="229" t="s">
        <v>3614</v>
      </c>
      <c r="J25" s="54"/>
      <c r="K25" s="115"/>
      <c r="L25" s="115"/>
    </row>
    <row r="26">
      <c r="A26" s="249" t="s">
        <v>171</v>
      </c>
      <c r="B26" s="70" t="s">
        <v>3615</v>
      </c>
      <c r="C26" s="68" t="s">
        <v>3616</v>
      </c>
      <c r="D26" s="68" t="s">
        <v>2686</v>
      </c>
      <c r="E26" s="70" t="s">
        <v>3617</v>
      </c>
      <c r="F26" s="228" t="s">
        <v>3618</v>
      </c>
      <c r="G26" s="84" t="s">
        <v>24</v>
      </c>
      <c r="H26" s="228" t="s">
        <v>40</v>
      </c>
      <c r="I26" s="228" t="s">
        <v>3619</v>
      </c>
      <c r="J26" s="54"/>
      <c r="K26" s="115"/>
      <c r="L26" s="115"/>
    </row>
    <row r="27">
      <c r="A27" s="249" t="s">
        <v>171</v>
      </c>
      <c r="B27" s="70" t="s">
        <v>3620</v>
      </c>
      <c r="C27" s="68" t="s">
        <v>2266</v>
      </c>
      <c r="D27" s="105">
        <v>45666.0</v>
      </c>
      <c r="E27" s="70" t="s">
        <v>854</v>
      </c>
      <c r="F27" s="228" t="s">
        <v>3621</v>
      </c>
      <c r="G27" s="84" t="s">
        <v>24</v>
      </c>
      <c r="H27" s="228" t="s">
        <v>40</v>
      </c>
      <c r="I27" s="228" t="s">
        <v>3531</v>
      </c>
      <c r="J27" s="54"/>
      <c r="K27" s="115"/>
      <c r="L27" s="115"/>
    </row>
    <row r="28">
      <c r="A28" s="249" t="s">
        <v>171</v>
      </c>
      <c r="B28" s="70" t="s">
        <v>3620</v>
      </c>
      <c r="C28" s="68" t="s">
        <v>2266</v>
      </c>
      <c r="D28" s="105">
        <v>45666.0</v>
      </c>
      <c r="E28" s="70" t="s">
        <v>3253</v>
      </c>
      <c r="F28" s="228" t="s">
        <v>3223</v>
      </c>
      <c r="G28" s="84" t="s">
        <v>24</v>
      </c>
      <c r="H28" s="233" t="s">
        <v>3622</v>
      </c>
      <c r="I28" s="228" t="s">
        <v>626</v>
      </c>
      <c r="J28" s="54"/>
      <c r="K28" s="115"/>
      <c r="L28" s="115"/>
    </row>
    <row r="29">
      <c r="A29" s="249" t="s">
        <v>171</v>
      </c>
      <c r="B29" s="70" t="s">
        <v>3623</v>
      </c>
      <c r="C29" s="68" t="s">
        <v>3624</v>
      </c>
      <c r="D29" s="68" t="s">
        <v>556</v>
      </c>
      <c r="E29" s="70" t="s">
        <v>3625</v>
      </c>
      <c r="F29" s="228" t="s">
        <v>3626</v>
      </c>
      <c r="G29" s="80" t="s">
        <v>2713</v>
      </c>
      <c r="H29" s="233" t="s">
        <v>3627</v>
      </c>
      <c r="I29" s="233" t="s">
        <v>3628</v>
      </c>
      <c r="J29" s="54"/>
      <c r="K29" s="115"/>
      <c r="L29" s="115"/>
    </row>
    <row r="30">
      <c r="A30" s="249" t="s">
        <v>171</v>
      </c>
      <c r="B30" s="70" t="s">
        <v>3623</v>
      </c>
      <c r="C30" s="68" t="s">
        <v>3629</v>
      </c>
      <c r="D30" s="68" t="s">
        <v>556</v>
      </c>
      <c r="E30" s="70" t="s">
        <v>3630</v>
      </c>
      <c r="F30" s="228" t="s">
        <v>3223</v>
      </c>
      <c r="G30" s="80" t="s">
        <v>2713</v>
      </c>
      <c r="H30" s="233" t="s">
        <v>3627</v>
      </c>
      <c r="I30" s="228" t="s">
        <v>626</v>
      </c>
      <c r="J30" s="54"/>
      <c r="K30" s="115"/>
      <c r="L30" s="115"/>
    </row>
    <row r="31">
      <c r="A31" s="249" t="s">
        <v>171</v>
      </c>
      <c r="B31" s="70" t="s">
        <v>3631</v>
      </c>
      <c r="C31" s="68" t="s">
        <v>3632</v>
      </c>
      <c r="D31" s="68" t="s">
        <v>556</v>
      </c>
      <c r="E31" s="70" t="s">
        <v>292</v>
      </c>
      <c r="F31" s="228" t="s">
        <v>3633</v>
      </c>
      <c r="G31" s="84" t="s">
        <v>24</v>
      </c>
      <c r="H31" s="228" t="s">
        <v>3634</v>
      </c>
      <c r="I31" s="228" t="s">
        <v>3635</v>
      </c>
      <c r="J31" s="54"/>
      <c r="K31" s="115"/>
      <c r="L31" s="115"/>
    </row>
    <row r="32">
      <c r="A32" s="249" t="s">
        <v>171</v>
      </c>
      <c r="B32" s="70" t="s">
        <v>3636</v>
      </c>
      <c r="C32" s="68" t="s">
        <v>3637</v>
      </c>
      <c r="D32" s="105">
        <v>45548.0</v>
      </c>
      <c r="E32" s="70" t="s">
        <v>1215</v>
      </c>
      <c r="F32" s="228" t="s">
        <v>3638</v>
      </c>
      <c r="G32" s="84" t="s">
        <v>24</v>
      </c>
      <c r="H32" s="228" t="s">
        <v>3634</v>
      </c>
      <c r="I32" s="229" t="s">
        <v>3639</v>
      </c>
      <c r="J32" s="54"/>
      <c r="K32" s="115"/>
      <c r="L32" s="115"/>
    </row>
    <row r="33">
      <c r="A33" s="249" t="s">
        <v>171</v>
      </c>
      <c r="B33" s="70" t="s">
        <v>3640</v>
      </c>
      <c r="C33" s="68" t="s">
        <v>3641</v>
      </c>
      <c r="D33" s="68" t="s">
        <v>556</v>
      </c>
      <c r="E33" s="70" t="s">
        <v>1131</v>
      </c>
      <c r="F33" s="228" t="s">
        <v>3642</v>
      </c>
      <c r="G33" s="80" t="s">
        <v>2713</v>
      </c>
      <c r="H33" s="233" t="s">
        <v>736</v>
      </c>
      <c r="I33" s="233" t="s">
        <v>1933</v>
      </c>
      <c r="J33" s="54"/>
      <c r="K33" s="115"/>
      <c r="L33" s="115"/>
    </row>
    <row r="34">
      <c r="A34" s="249" t="s">
        <v>171</v>
      </c>
      <c r="B34" s="70" t="s">
        <v>3162</v>
      </c>
      <c r="C34" s="68" t="s">
        <v>3163</v>
      </c>
      <c r="D34" s="105">
        <v>45704.0</v>
      </c>
      <c r="E34" s="70" t="s">
        <v>1087</v>
      </c>
      <c r="F34" s="228" t="s">
        <v>3188</v>
      </c>
      <c r="G34" s="84" t="s">
        <v>24</v>
      </c>
      <c r="H34" s="228" t="s">
        <v>25</v>
      </c>
      <c r="I34" s="228" t="s">
        <v>3531</v>
      </c>
      <c r="J34" s="54"/>
      <c r="K34" s="115"/>
      <c r="L34" s="115"/>
    </row>
    <row r="35">
      <c r="A35" s="249" t="s">
        <v>171</v>
      </c>
      <c r="B35" s="70" t="s">
        <v>2441</v>
      </c>
      <c r="C35" s="68" t="s">
        <v>3163</v>
      </c>
      <c r="D35" s="105">
        <v>45704.0</v>
      </c>
      <c r="E35" s="70" t="s">
        <v>3220</v>
      </c>
      <c r="F35" s="228" t="s">
        <v>3223</v>
      </c>
      <c r="G35" s="84" t="s">
        <v>24</v>
      </c>
      <c r="H35" s="228" t="s">
        <v>25</v>
      </c>
      <c r="I35" s="233" t="s">
        <v>1933</v>
      </c>
      <c r="J35" s="54"/>
      <c r="K35" s="115"/>
      <c r="L35" s="115"/>
    </row>
    <row r="36">
      <c r="A36" s="249" t="s">
        <v>171</v>
      </c>
      <c r="B36" s="70" t="s">
        <v>3643</v>
      </c>
      <c r="C36" s="68" t="s">
        <v>3644</v>
      </c>
      <c r="D36" s="68" t="s">
        <v>556</v>
      </c>
      <c r="E36" s="70" t="s">
        <v>463</v>
      </c>
      <c r="F36" s="228" t="s">
        <v>3645</v>
      </c>
      <c r="G36" s="84" t="s">
        <v>24</v>
      </c>
      <c r="H36" s="228" t="s">
        <v>25</v>
      </c>
      <c r="I36" s="228" t="s">
        <v>626</v>
      </c>
      <c r="J36" s="54"/>
      <c r="K36" s="115"/>
      <c r="L36" s="115"/>
    </row>
    <row r="37">
      <c r="A37" s="249" t="s">
        <v>171</v>
      </c>
      <c r="B37" s="70" t="s">
        <v>3643</v>
      </c>
      <c r="C37" s="68" t="s">
        <v>3646</v>
      </c>
      <c r="D37" s="68" t="s">
        <v>556</v>
      </c>
      <c r="E37" s="70" t="s">
        <v>3647</v>
      </c>
      <c r="F37" s="228" t="s">
        <v>3223</v>
      </c>
      <c r="G37" s="84" t="s">
        <v>24</v>
      </c>
      <c r="H37" s="228" t="s">
        <v>736</v>
      </c>
      <c r="I37" s="228" t="s">
        <v>626</v>
      </c>
      <c r="J37" s="54"/>
      <c r="K37" s="115"/>
      <c r="L37" s="115"/>
    </row>
    <row r="38">
      <c r="A38" s="249" t="s">
        <v>171</v>
      </c>
      <c r="B38" s="70" t="s">
        <v>3648</v>
      </c>
      <c r="C38" s="68" t="s">
        <v>3649</v>
      </c>
      <c r="D38" s="68" t="s">
        <v>556</v>
      </c>
      <c r="E38" s="70" t="s">
        <v>3650</v>
      </c>
      <c r="F38" s="228" t="s">
        <v>3651</v>
      </c>
      <c r="G38" s="84" t="s">
        <v>24</v>
      </c>
      <c r="H38" s="228" t="s">
        <v>40</v>
      </c>
      <c r="I38" s="231" t="s">
        <v>3652</v>
      </c>
      <c r="J38" s="54"/>
      <c r="K38" s="115"/>
      <c r="L38" s="115"/>
    </row>
    <row r="39">
      <c r="A39" s="249" t="s">
        <v>171</v>
      </c>
      <c r="B39" s="70" t="s">
        <v>3653</v>
      </c>
      <c r="C39" s="68" t="s">
        <v>3654</v>
      </c>
      <c r="D39" s="102">
        <v>45643.0</v>
      </c>
      <c r="E39" s="70" t="s">
        <v>3655</v>
      </c>
      <c r="F39" s="228" t="s">
        <v>3656</v>
      </c>
      <c r="G39" s="84" t="s">
        <v>24</v>
      </c>
      <c r="H39" s="228" t="s">
        <v>40</v>
      </c>
      <c r="I39" s="228" t="s">
        <v>626</v>
      </c>
      <c r="J39" s="54"/>
      <c r="K39" s="115"/>
      <c r="L39" s="115"/>
    </row>
    <row r="40">
      <c r="A40" s="249" t="s">
        <v>171</v>
      </c>
      <c r="B40" s="70" t="s">
        <v>3657</v>
      </c>
      <c r="C40" s="68" t="s">
        <v>3658</v>
      </c>
      <c r="D40" s="68" t="s">
        <v>556</v>
      </c>
      <c r="E40" s="70" t="s">
        <v>3564</v>
      </c>
      <c r="F40" s="228" t="s">
        <v>3659</v>
      </c>
      <c r="G40" s="84" t="s">
        <v>24</v>
      </c>
      <c r="H40" s="228" t="s">
        <v>3660</v>
      </c>
      <c r="I40" s="233" t="s">
        <v>3551</v>
      </c>
      <c r="J40" s="54"/>
      <c r="K40" s="115"/>
      <c r="L40" s="115"/>
    </row>
    <row r="41">
      <c r="A41" s="249" t="s">
        <v>171</v>
      </c>
      <c r="B41" s="70" t="s">
        <v>2280</v>
      </c>
      <c r="C41" s="68" t="s">
        <v>2281</v>
      </c>
      <c r="D41" s="68" t="s">
        <v>556</v>
      </c>
      <c r="E41" s="70" t="s">
        <v>575</v>
      </c>
      <c r="F41" s="228" t="s">
        <v>3661</v>
      </c>
      <c r="G41" s="84" t="s">
        <v>24</v>
      </c>
      <c r="H41" s="228" t="s">
        <v>3660</v>
      </c>
      <c r="I41" s="233" t="s">
        <v>3551</v>
      </c>
      <c r="J41" s="54"/>
      <c r="K41" s="115"/>
      <c r="L41" s="115"/>
    </row>
    <row r="42">
      <c r="A42" s="249" t="s">
        <v>171</v>
      </c>
      <c r="B42" s="70" t="s">
        <v>3662</v>
      </c>
      <c r="C42" s="68" t="s">
        <v>3663</v>
      </c>
      <c r="D42" s="68" t="s">
        <v>556</v>
      </c>
      <c r="E42" s="70" t="s">
        <v>3664</v>
      </c>
      <c r="F42" s="228" t="s">
        <v>3665</v>
      </c>
      <c r="G42" s="84" t="s">
        <v>24</v>
      </c>
      <c r="H42" s="228" t="s">
        <v>3660</v>
      </c>
      <c r="I42" s="260" t="s">
        <v>3666</v>
      </c>
      <c r="J42" s="54"/>
      <c r="K42" s="115"/>
      <c r="L42" s="115"/>
    </row>
    <row r="43">
      <c r="A43" s="249" t="s">
        <v>171</v>
      </c>
      <c r="B43" s="70" t="s">
        <v>3662</v>
      </c>
      <c r="C43" s="68" t="s">
        <v>3667</v>
      </c>
      <c r="D43" s="68" t="s">
        <v>556</v>
      </c>
      <c r="E43" s="70" t="s">
        <v>3197</v>
      </c>
      <c r="F43" s="228" t="s">
        <v>3223</v>
      </c>
      <c r="G43" s="84" t="s">
        <v>24</v>
      </c>
      <c r="H43" s="233" t="s">
        <v>731</v>
      </c>
      <c r="I43" s="228" t="s">
        <v>626</v>
      </c>
      <c r="J43" s="54"/>
      <c r="K43" s="115"/>
      <c r="L43" s="115"/>
    </row>
    <row r="44">
      <c r="A44" s="249" t="s">
        <v>171</v>
      </c>
      <c r="B44" s="70" t="s">
        <v>3105</v>
      </c>
      <c r="C44" s="68" t="s">
        <v>3106</v>
      </c>
      <c r="D44" s="105">
        <v>45493.0</v>
      </c>
      <c r="E44" s="70" t="s">
        <v>1272</v>
      </c>
      <c r="F44" s="228" t="s">
        <v>3668</v>
      </c>
      <c r="G44" s="84" t="s">
        <v>24</v>
      </c>
      <c r="H44" s="228" t="s">
        <v>40</v>
      </c>
      <c r="I44" s="260" t="s">
        <v>3669</v>
      </c>
      <c r="J44" s="54"/>
      <c r="K44" s="115"/>
      <c r="L44" s="115"/>
    </row>
    <row r="45">
      <c r="A45" s="249" t="s">
        <v>171</v>
      </c>
      <c r="B45" s="70" t="s">
        <v>3670</v>
      </c>
      <c r="C45" s="68" t="s">
        <v>3671</v>
      </c>
      <c r="D45" s="68" t="s">
        <v>556</v>
      </c>
      <c r="E45" s="70" t="s">
        <v>107</v>
      </c>
      <c r="F45" s="233" t="s">
        <v>3672</v>
      </c>
      <c r="G45" s="80" t="s">
        <v>2713</v>
      </c>
      <c r="H45" s="233" t="s">
        <v>736</v>
      </c>
      <c r="I45" s="228" t="s">
        <v>626</v>
      </c>
      <c r="J45" s="54"/>
      <c r="K45" s="115"/>
      <c r="L45" s="115"/>
    </row>
    <row r="46">
      <c r="A46" s="249" t="s">
        <v>171</v>
      </c>
      <c r="B46" s="70" t="s">
        <v>3673</v>
      </c>
      <c r="C46" s="68" t="s">
        <v>3308</v>
      </c>
      <c r="D46" s="68" t="s">
        <v>556</v>
      </c>
      <c r="E46" s="70" t="s">
        <v>3674</v>
      </c>
      <c r="F46" s="233" t="s">
        <v>736</v>
      </c>
      <c r="G46" s="80" t="s">
        <v>2713</v>
      </c>
      <c r="H46" s="233" t="s">
        <v>736</v>
      </c>
      <c r="I46" s="228" t="s">
        <v>626</v>
      </c>
      <c r="J46" s="54"/>
      <c r="K46" s="115"/>
      <c r="L46" s="115"/>
    </row>
    <row r="47">
      <c r="A47" s="249" t="s">
        <v>171</v>
      </c>
      <c r="B47" s="70" t="s">
        <v>3675</v>
      </c>
      <c r="C47" s="68" t="s">
        <v>3676</v>
      </c>
      <c r="D47" s="68" t="s">
        <v>556</v>
      </c>
      <c r="E47" s="70" t="s">
        <v>3318</v>
      </c>
      <c r="F47" s="228" t="s">
        <v>3677</v>
      </c>
      <c r="G47" s="84" t="s">
        <v>24</v>
      </c>
      <c r="H47" s="228" t="s">
        <v>3678</v>
      </c>
      <c r="I47" s="233" t="s">
        <v>3679</v>
      </c>
      <c r="J47" s="54"/>
      <c r="K47" s="115"/>
      <c r="L47" s="115"/>
    </row>
    <row r="48">
      <c r="A48" s="249" t="s">
        <v>171</v>
      </c>
      <c r="B48" s="70" t="s">
        <v>3680</v>
      </c>
      <c r="C48" s="68" t="s">
        <v>3681</v>
      </c>
      <c r="D48" s="68" t="s">
        <v>556</v>
      </c>
      <c r="E48" s="70" t="s">
        <v>3682</v>
      </c>
      <c r="F48" s="233" t="s">
        <v>3683</v>
      </c>
      <c r="G48" s="80" t="s">
        <v>2713</v>
      </c>
      <c r="H48" s="233" t="s">
        <v>3684</v>
      </c>
      <c r="I48" s="233" t="s">
        <v>3684</v>
      </c>
      <c r="J48" s="54"/>
      <c r="K48" s="115"/>
      <c r="L48" s="115"/>
    </row>
    <row r="49">
      <c r="A49" s="249" t="s">
        <v>171</v>
      </c>
      <c r="B49" s="70" t="s">
        <v>3685</v>
      </c>
      <c r="C49" s="68" t="s">
        <v>3686</v>
      </c>
      <c r="D49" s="68" t="s">
        <v>556</v>
      </c>
      <c r="E49" s="70" t="s">
        <v>3687</v>
      </c>
      <c r="F49" s="233" t="s">
        <v>3688</v>
      </c>
      <c r="G49" s="80" t="s">
        <v>2713</v>
      </c>
      <c r="H49" s="233" t="s">
        <v>3684</v>
      </c>
      <c r="I49" s="233" t="s">
        <v>3684</v>
      </c>
      <c r="J49" s="54"/>
      <c r="K49" s="115"/>
      <c r="L49" s="115"/>
    </row>
    <row r="50">
      <c r="A50" s="249" t="s">
        <v>171</v>
      </c>
      <c r="B50" s="70" t="s">
        <v>3689</v>
      </c>
      <c r="C50" s="68" t="s">
        <v>3690</v>
      </c>
      <c r="D50" s="68" t="s">
        <v>556</v>
      </c>
      <c r="E50" s="70" t="s">
        <v>121</v>
      </c>
      <c r="F50" s="228" t="s">
        <v>3691</v>
      </c>
      <c r="G50" s="84" t="s">
        <v>24</v>
      </c>
      <c r="H50" s="233" t="s">
        <v>3692</v>
      </c>
      <c r="I50" s="228" t="s">
        <v>626</v>
      </c>
      <c r="J50" s="54"/>
      <c r="K50" s="115"/>
      <c r="L50" s="115"/>
    </row>
    <row r="51">
      <c r="A51" s="249" t="s">
        <v>171</v>
      </c>
      <c r="B51" s="70" t="s">
        <v>3693</v>
      </c>
      <c r="C51" s="68" t="s">
        <v>3694</v>
      </c>
      <c r="D51" s="105">
        <v>45598.0</v>
      </c>
      <c r="E51" s="70" t="s">
        <v>1581</v>
      </c>
      <c r="F51" s="228" t="s">
        <v>3695</v>
      </c>
      <c r="G51" s="80" t="s">
        <v>898</v>
      </c>
      <c r="H51" s="233" t="s">
        <v>3696</v>
      </c>
      <c r="I51" s="233" t="s">
        <v>1933</v>
      </c>
      <c r="J51" s="54"/>
      <c r="K51" s="115"/>
      <c r="L51" s="115"/>
    </row>
    <row r="52">
      <c r="A52" s="249" t="s">
        <v>171</v>
      </c>
      <c r="B52" s="70" t="s">
        <v>3697</v>
      </c>
      <c r="C52" s="68" t="s">
        <v>3698</v>
      </c>
      <c r="D52" s="68" t="s">
        <v>556</v>
      </c>
      <c r="E52" s="70" t="s">
        <v>172</v>
      </c>
      <c r="F52" s="228" t="s">
        <v>3699</v>
      </c>
      <c r="G52" s="80" t="s">
        <v>2713</v>
      </c>
      <c r="H52" s="233" t="s">
        <v>3700</v>
      </c>
      <c r="I52" s="233" t="s">
        <v>1933</v>
      </c>
      <c r="J52" s="54"/>
      <c r="K52" s="115"/>
      <c r="L52" s="115"/>
    </row>
    <row r="53">
      <c r="A53" s="249" t="s">
        <v>171</v>
      </c>
      <c r="B53" s="70" t="s">
        <v>3697</v>
      </c>
      <c r="C53" s="68" t="s">
        <v>3701</v>
      </c>
      <c r="D53" s="68" t="s">
        <v>556</v>
      </c>
      <c r="E53" s="70" t="s">
        <v>107</v>
      </c>
      <c r="F53" s="228" t="s">
        <v>3223</v>
      </c>
      <c r="G53" s="80" t="s">
        <v>2713</v>
      </c>
      <c r="H53" s="233" t="s">
        <v>736</v>
      </c>
      <c r="I53" s="228" t="s">
        <v>626</v>
      </c>
      <c r="J53" s="54"/>
      <c r="K53" s="115"/>
      <c r="L53" s="115"/>
    </row>
    <row r="54">
      <c r="A54" s="249" t="s">
        <v>171</v>
      </c>
      <c r="B54" s="70" t="s">
        <v>3702</v>
      </c>
      <c r="C54" s="68" t="s">
        <v>3703</v>
      </c>
      <c r="D54" s="68" t="s">
        <v>556</v>
      </c>
      <c r="E54" s="70" t="s">
        <v>3704</v>
      </c>
      <c r="F54" s="228" t="s">
        <v>3705</v>
      </c>
      <c r="G54" s="80" t="s">
        <v>2713</v>
      </c>
      <c r="H54" s="228" t="s">
        <v>3706</v>
      </c>
      <c r="I54" s="233" t="s">
        <v>1933</v>
      </c>
      <c r="J54" s="54"/>
      <c r="K54" s="115"/>
      <c r="L54" s="115"/>
    </row>
    <row r="55">
      <c r="A55" s="249" t="s">
        <v>171</v>
      </c>
      <c r="B55" s="70" t="s">
        <v>1099</v>
      </c>
      <c r="C55" s="68" t="s">
        <v>3707</v>
      </c>
      <c r="D55" s="68" t="s">
        <v>556</v>
      </c>
      <c r="E55" s="70" t="s">
        <v>3708</v>
      </c>
      <c r="F55" s="228" t="s">
        <v>3709</v>
      </c>
      <c r="G55" s="84" t="s">
        <v>24</v>
      </c>
      <c r="H55" s="228" t="s">
        <v>3706</v>
      </c>
      <c r="I55" s="228" t="s">
        <v>18</v>
      </c>
      <c r="J55" s="54"/>
      <c r="K55" s="115"/>
      <c r="L55" s="115"/>
    </row>
    <row r="56">
      <c r="A56" s="249" t="s">
        <v>171</v>
      </c>
      <c r="B56" s="70" t="s">
        <v>3710</v>
      </c>
      <c r="C56" s="68" t="s">
        <v>3711</v>
      </c>
      <c r="D56" s="68" t="s">
        <v>3393</v>
      </c>
      <c r="E56" s="70" t="s">
        <v>3032</v>
      </c>
      <c r="F56" s="228" t="s">
        <v>3712</v>
      </c>
      <c r="G56" s="80" t="s">
        <v>898</v>
      </c>
      <c r="H56" s="233" t="s">
        <v>736</v>
      </c>
      <c r="I56" s="228" t="s">
        <v>626</v>
      </c>
      <c r="J56" s="54"/>
      <c r="K56" s="115"/>
      <c r="L56" s="115"/>
    </row>
    <row r="57">
      <c r="A57" s="249" t="s">
        <v>171</v>
      </c>
      <c r="B57" s="70" t="s">
        <v>3713</v>
      </c>
      <c r="C57" s="68" t="s">
        <v>3714</v>
      </c>
      <c r="D57" s="68" t="s">
        <v>3393</v>
      </c>
      <c r="E57" s="70" t="s">
        <v>3715</v>
      </c>
      <c r="F57" s="228" t="s">
        <v>3716</v>
      </c>
      <c r="G57" s="80" t="s">
        <v>1011</v>
      </c>
      <c r="H57" s="233" t="s">
        <v>556</v>
      </c>
      <c r="I57" s="233" t="s">
        <v>2686</v>
      </c>
      <c r="J57" s="54"/>
      <c r="K57" s="115"/>
      <c r="L57" s="115"/>
    </row>
    <row r="58">
      <c r="A58" s="249" t="s">
        <v>171</v>
      </c>
      <c r="B58" s="70" t="s">
        <v>3717</v>
      </c>
      <c r="C58" s="68" t="s">
        <v>3718</v>
      </c>
      <c r="D58" s="68" t="s">
        <v>3393</v>
      </c>
      <c r="E58" s="70" t="s">
        <v>3719</v>
      </c>
      <c r="F58" s="228" t="s">
        <v>3720</v>
      </c>
      <c r="G58" s="84" t="s">
        <v>24</v>
      </c>
      <c r="H58" s="228" t="s">
        <v>40</v>
      </c>
      <c r="I58" s="228" t="s">
        <v>103</v>
      </c>
      <c r="J58" s="54"/>
      <c r="K58" s="115"/>
      <c r="L58" s="115"/>
    </row>
    <row r="59">
      <c r="A59" s="249" t="s">
        <v>171</v>
      </c>
      <c r="B59" s="70" t="s">
        <v>3721</v>
      </c>
      <c r="C59" s="68" t="s">
        <v>3722</v>
      </c>
      <c r="D59" s="68" t="s">
        <v>3393</v>
      </c>
      <c r="E59" s="70" t="s">
        <v>1324</v>
      </c>
      <c r="F59" s="228" t="s">
        <v>3723</v>
      </c>
      <c r="G59" s="84" t="s">
        <v>24</v>
      </c>
      <c r="H59" s="233" t="s">
        <v>736</v>
      </c>
      <c r="I59" s="233" t="s">
        <v>3724</v>
      </c>
      <c r="J59" s="54"/>
      <c r="K59" s="115"/>
      <c r="L59" s="115"/>
    </row>
    <row r="60">
      <c r="A60" s="249" t="s">
        <v>171</v>
      </c>
      <c r="B60" s="70" t="s">
        <v>3725</v>
      </c>
      <c r="C60" s="68" t="s">
        <v>3726</v>
      </c>
      <c r="D60" s="68" t="s">
        <v>3393</v>
      </c>
      <c r="E60" s="70" t="s">
        <v>3727</v>
      </c>
      <c r="F60" s="228" t="s">
        <v>3728</v>
      </c>
      <c r="G60" s="80" t="s">
        <v>556</v>
      </c>
      <c r="H60" s="233" t="s">
        <v>3729</v>
      </c>
      <c r="I60" s="228" t="s">
        <v>626</v>
      </c>
      <c r="J60" s="54"/>
      <c r="K60" s="115"/>
      <c r="L60" s="115"/>
    </row>
    <row r="61">
      <c r="A61" s="249" t="s">
        <v>171</v>
      </c>
      <c r="B61" s="70" t="s">
        <v>3730</v>
      </c>
      <c r="C61" s="68" t="s">
        <v>3731</v>
      </c>
      <c r="D61" s="68" t="s">
        <v>3393</v>
      </c>
      <c r="E61" s="70" t="s">
        <v>3732</v>
      </c>
      <c r="F61" s="228" t="s">
        <v>3733</v>
      </c>
      <c r="G61" s="84" t="s">
        <v>24</v>
      </c>
      <c r="H61" s="228" t="s">
        <v>40</v>
      </c>
      <c r="I61" s="233" t="s">
        <v>3734</v>
      </c>
      <c r="J61" s="54"/>
      <c r="K61" s="115"/>
      <c r="L61" s="115"/>
    </row>
    <row r="62">
      <c r="A62" s="249" t="s">
        <v>171</v>
      </c>
      <c r="B62" s="70" t="s">
        <v>3730</v>
      </c>
      <c r="C62" s="68" t="s">
        <v>3735</v>
      </c>
      <c r="D62" s="68" t="s">
        <v>3393</v>
      </c>
      <c r="E62" s="70" t="s">
        <v>3736</v>
      </c>
      <c r="F62" s="228" t="s">
        <v>3737</v>
      </c>
      <c r="G62" s="84" t="s">
        <v>24</v>
      </c>
      <c r="H62" s="233" t="s">
        <v>3738</v>
      </c>
      <c r="I62" s="233" t="s">
        <v>3739</v>
      </c>
      <c r="J62" s="54"/>
      <c r="K62" s="115"/>
      <c r="L62" s="115"/>
    </row>
    <row r="63">
      <c r="A63" s="249" t="s">
        <v>171</v>
      </c>
      <c r="B63" s="70" t="s">
        <v>3730</v>
      </c>
      <c r="C63" s="68" t="s">
        <v>3740</v>
      </c>
      <c r="D63" s="68" t="s">
        <v>3393</v>
      </c>
      <c r="E63" s="70" t="s">
        <v>3741</v>
      </c>
      <c r="F63" s="228" t="s">
        <v>3742</v>
      </c>
      <c r="G63" s="84" t="s">
        <v>24</v>
      </c>
      <c r="H63" s="233" t="s">
        <v>3743</v>
      </c>
      <c r="I63" s="233" t="s">
        <v>3744</v>
      </c>
      <c r="J63" s="54"/>
      <c r="K63" s="115"/>
      <c r="L63" s="115"/>
    </row>
    <row r="64">
      <c r="A64" s="249" t="s">
        <v>171</v>
      </c>
      <c r="B64" s="70" t="s">
        <v>3730</v>
      </c>
      <c r="C64" s="68" t="s">
        <v>3745</v>
      </c>
      <c r="D64" s="68" t="s">
        <v>3393</v>
      </c>
      <c r="E64" s="70" t="s">
        <v>3746</v>
      </c>
      <c r="F64" s="228" t="s">
        <v>775</v>
      </c>
      <c r="G64" s="84" t="s">
        <v>24</v>
      </c>
      <c r="H64" s="228" t="s">
        <v>40</v>
      </c>
      <c r="I64" s="228" t="s">
        <v>626</v>
      </c>
      <c r="J64" s="54"/>
      <c r="K64" s="115"/>
      <c r="L64" s="115"/>
    </row>
    <row r="65">
      <c r="A65" s="249" t="s">
        <v>171</v>
      </c>
      <c r="B65" s="70" t="s">
        <v>3747</v>
      </c>
      <c r="C65" s="68" t="s">
        <v>3748</v>
      </c>
      <c r="D65" s="68" t="s">
        <v>3393</v>
      </c>
      <c r="E65" s="70" t="s">
        <v>3749</v>
      </c>
      <c r="F65" s="228" t="s">
        <v>3750</v>
      </c>
      <c r="G65" s="80" t="s">
        <v>2713</v>
      </c>
      <c r="H65" s="228" t="s">
        <v>25</v>
      </c>
      <c r="I65" s="229" t="s">
        <v>3751</v>
      </c>
      <c r="J65" s="54"/>
      <c r="K65" s="115"/>
      <c r="L65" s="115"/>
    </row>
    <row r="66">
      <c r="A66" s="249" t="s">
        <v>171</v>
      </c>
      <c r="B66" s="70" t="s">
        <v>3747</v>
      </c>
      <c r="C66" s="68" t="s">
        <v>3752</v>
      </c>
      <c r="D66" s="68" t="s">
        <v>3393</v>
      </c>
      <c r="E66" s="70" t="s">
        <v>3753</v>
      </c>
      <c r="F66" s="228" t="s">
        <v>775</v>
      </c>
      <c r="G66" s="80" t="s">
        <v>2713</v>
      </c>
      <c r="H66" s="228" t="s">
        <v>25</v>
      </c>
      <c r="I66" s="228" t="s">
        <v>3754</v>
      </c>
      <c r="J66" s="54"/>
      <c r="K66" s="115"/>
      <c r="L66" s="115"/>
    </row>
    <row r="67" ht="16.5" customHeight="1">
      <c r="A67" s="249" t="s">
        <v>171</v>
      </c>
      <c r="B67" s="70" t="s">
        <v>3755</v>
      </c>
      <c r="C67" s="68" t="s">
        <v>3756</v>
      </c>
      <c r="D67" s="68" t="s">
        <v>3393</v>
      </c>
      <c r="E67" s="70" t="s">
        <v>1203</v>
      </c>
      <c r="F67" s="228" t="s">
        <v>3757</v>
      </c>
      <c r="G67" s="84" t="s">
        <v>24</v>
      </c>
      <c r="H67" s="228" t="s">
        <v>25</v>
      </c>
      <c r="I67" s="228" t="s">
        <v>626</v>
      </c>
      <c r="J67" s="54"/>
      <c r="K67" s="115"/>
      <c r="L67" s="115"/>
    </row>
    <row r="68" ht="15.75" customHeight="1">
      <c r="A68" s="249" t="s">
        <v>171</v>
      </c>
      <c r="B68" s="70" t="s">
        <v>3758</v>
      </c>
      <c r="C68" s="68" t="s">
        <v>3759</v>
      </c>
      <c r="D68" s="68" t="s">
        <v>3393</v>
      </c>
      <c r="E68" s="70" t="s">
        <v>2430</v>
      </c>
      <c r="F68" s="228" t="s">
        <v>3760</v>
      </c>
      <c r="G68" s="80" t="s">
        <v>2713</v>
      </c>
      <c r="H68" s="233" t="s">
        <v>3761</v>
      </c>
      <c r="I68" s="228" t="s">
        <v>626</v>
      </c>
      <c r="J68" s="54"/>
      <c r="K68" s="115"/>
      <c r="L68" s="115"/>
    </row>
    <row r="69" ht="16.5" customHeight="1">
      <c r="A69" s="249" t="s">
        <v>171</v>
      </c>
      <c r="B69" s="70" t="s">
        <v>3758</v>
      </c>
      <c r="C69" s="68" t="s">
        <v>3762</v>
      </c>
      <c r="D69" s="68" t="s">
        <v>3393</v>
      </c>
      <c r="E69" s="70" t="s">
        <v>3763</v>
      </c>
      <c r="F69" s="228" t="s">
        <v>3760</v>
      </c>
      <c r="G69" s="80" t="s">
        <v>2713</v>
      </c>
      <c r="H69" s="233" t="s">
        <v>3764</v>
      </c>
      <c r="I69" s="233" t="s">
        <v>2152</v>
      </c>
      <c r="J69" s="54"/>
      <c r="K69" s="115"/>
      <c r="L69" s="115"/>
    </row>
    <row r="70">
      <c r="A70" s="249" t="s">
        <v>171</v>
      </c>
      <c r="B70" s="70" t="s">
        <v>3765</v>
      </c>
      <c r="C70" s="68" t="s">
        <v>3766</v>
      </c>
      <c r="D70" s="68" t="s">
        <v>3393</v>
      </c>
      <c r="E70" s="70" t="s">
        <v>3767</v>
      </c>
      <c r="F70" s="228" t="s">
        <v>3768</v>
      </c>
      <c r="G70" s="80" t="s">
        <v>898</v>
      </c>
      <c r="H70" s="233" t="s">
        <v>2807</v>
      </c>
      <c r="I70" s="228" t="s">
        <v>3769</v>
      </c>
      <c r="J70" s="54"/>
      <c r="K70" s="115"/>
      <c r="L70" s="115"/>
    </row>
    <row r="71">
      <c r="A71" s="249" t="s">
        <v>171</v>
      </c>
      <c r="B71" s="70" t="s">
        <v>3765</v>
      </c>
      <c r="C71" s="68" t="s">
        <v>3770</v>
      </c>
      <c r="D71" s="68" t="s">
        <v>3393</v>
      </c>
      <c r="E71" s="70" t="s">
        <v>3771</v>
      </c>
      <c r="F71" s="228" t="s">
        <v>775</v>
      </c>
      <c r="G71" s="80" t="s">
        <v>898</v>
      </c>
      <c r="H71" s="228" t="s">
        <v>40</v>
      </c>
      <c r="I71" s="228" t="s">
        <v>626</v>
      </c>
      <c r="J71" s="54"/>
      <c r="K71" s="115"/>
      <c r="L71" s="115"/>
    </row>
    <row r="72">
      <c r="A72" s="249" t="s">
        <v>171</v>
      </c>
      <c r="B72" s="70" t="s">
        <v>1638</v>
      </c>
      <c r="C72" s="68" t="s">
        <v>1639</v>
      </c>
      <c r="D72" s="68" t="s">
        <v>3393</v>
      </c>
      <c r="E72" s="70" t="s">
        <v>2858</v>
      </c>
      <c r="F72" s="228" t="s">
        <v>3772</v>
      </c>
      <c r="G72" s="84" t="s">
        <v>24</v>
      </c>
      <c r="H72" s="228" t="s">
        <v>40</v>
      </c>
      <c r="I72" s="228" t="s">
        <v>103</v>
      </c>
      <c r="J72" s="54"/>
      <c r="K72" s="115"/>
      <c r="L72" s="115"/>
    </row>
    <row r="73">
      <c r="A73" s="249" t="s">
        <v>274</v>
      </c>
      <c r="B73" s="70" t="s">
        <v>3773</v>
      </c>
      <c r="C73" s="68" t="s">
        <v>3774</v>
      </c>
      <c r="D73" s="68" t="s">
        <v>3393</v>
      </c>
      <c r="E73" s="70" t="s">
        <v>2646</v>
      </c>
      <c r="F73" s="62" t="s">
        <v>3775</v>
      </c>
      <c r="G73" s="80" t="s">
        <v>898</v>
      </c>
      <c r="H73" s="115"/>
      <c r="I73" s="233" t="s">
        <v>855</v>
      </c>
      <c r="J73" s="54"/>
      <c r="K73" s="115"/>
      <c r="L73" s="115"/>
    </row>
    <row r="74">
      <c r="A74" s="249" t="s">
        <v>274</v>
      </c>
      <c r="B74" s="70" t="s">
        <v>3776</v>
      </c>
      <c r="C74" s="68" t="s">
        <v>3777</v>
      </c>
      <c r="D74" s="68" t="s">
        <v>3393</v>
      </c>
      <c r="E74" s="70" t="s">
        <v>188</v>
      </c>
      <c r="F74" s="228" t="s">
        <v>3778</v>
      </c>
      <c r="G74" s="80" t="s">
        <v>898</v>
      </c>
      <c r="H74" s="115"/>
      <c r="I74" s="233" t="s">
        <v>855</v>
      </c>
      <c r="J74" s="54"/>
      <c r="K74" s="115"/>
      <c r="L74" s="115"/>
    </row>
    <row r="75">
      <c r="A75" s="249" t="s">
        <v>171</v>
      </c>
      <c r="B75" s="70" t="s">
        <v>3779</v>
      </c>
      <c r="C75" s="68" t="s">
        <v>3780</v>
      </c>
      <c r="D75" s="68" t="s">
        <v>3393</v>
      </c>
      <c r="E75" s="70" t="s">
        <v>107</v>
      </c>
      <c r="F75" s="259" t="s">
        <v>3781</v>
      </c>
      <c r="G75" s="80" t="s">
        <v>556</v>
      </c>
      <c r="H75" s="80" t="s">
        <v>556</v>
      </c>
      <c r="I75" s="233" t="s">
        <v>855</v>
      </c>
      <c r="J75" s="54"/>
      <c r="K75" s="115"/>
      <c r="L75" s="115"/>
    </row>
    <row r="76">
      <c r="A76" s="249" t="s">
        <v>171</v>
      </c>
      <c r="B76" s="70" t="s">
        <v>2131</v>
      </c>
      <c r="C76" s="68" t="s">
        <v>3782</v>
      </c>
      <c r="D76" s="68" t="s">
        <v>3393</v>
      </c>
      <c r="E76" s="70" t="s">
        <v>1184</v>
      </c>
      <c r="F76" s="228" t="s">
        <v>2132</v>
      </c>
      <c r="G76" s="80" t="s">
        <v>556</v>
      </c>
      <c r="H76" s="80" t="s">
        <v>556</v>
      </c>
      <c r="I76" s="228" t="s">
        <v>103</v>
      </c>
      <c r="J76" s="54"/>
      <c r="K76" s="115"/>
      <c r="L76" s="115"/>
    </row>
    <row r="77">
      <c r="A77" s="249" t="s">
        <v>274</v>
      </c>
      <c r="B77" s="70" t="s">
        <v>3783</v>
      </c>
      <c r="C77" s="68" t="s">
        <v>3784</v>
      </c>
      <c r="D77" s="68" t="s">
        <v>3393</v>
      </c>
      <c r="E77" s="70" t="s">
        <v>451</v>
      </c>
      <c r="F77" s="228" t="s">
        <v>3785</v>
      </c>
      <c r="G77" s="80" t="s">
        <v>898</v>
      </c>
      <c r="H77" s="115"/>
      <c r="I77" s="229" t="s">
        <v>3786</v>
      </c>
      <c r="J77" s="54"/>
      <c r="K77" s="115"/>
      <c r="L77" s="115"/>
    </row>
    <row r="78">
      <c r="A78" s="249" t="s">
        <v>171</v>
      </c>
      <c r="B78" s="70" t="s">
        <v>3787</v>
      </c>
      <c r="C78" s="68" t="s">
        <v>3788</v>
      </c>
      <c r="D78" s="68" t="s">
        <v>3393</v>
      </c>
      <c r="E78" s="70" t="s">
        <v>1281</v>
      </c>
      <c r="F78" s="228" t="s">
        <v>3789</v>
      </c>
      <c r="G78" s="84" t="s">
        <v>24</v>
      </c>
      <c r="H78" s="228" t="s">
        <v>40</v>
      </c>
      <c r="I78" s="228" t="s">
        <v>567</v>
      </c>
      <c r="J78" s="54"/>
      <c r="K78" s="115"/>
      <c r="L78" s="115"/>
    </row>
    <row r="79">
      <c r="A79" s="249" t="s">
        <v>171</v>
      </c>
      <c r="B79" s="70" t="s">
        <v>3787</v>
      </c>
      <c r="C79" s="68" t="s">
        <v>3788</v>
      </c>
      <c r="D79" s="68" t="s">
        <v>3393</v>
      </c>
      <c r="E79" s="70" t="s">
        <v>2270</v>
      </c>
      <c r="F79" s="228" t="s">
        <v>775</v>
      </c>
      <c r="G79" s="84" t="s">
        <v>24</v>
      </c>
      <c r="H79" s="228" t="s">
        <v>40</v>
      </c>
      <c r="I79" s="233" t="s">
        <v>556</v>
      </c>
      <c r="J79" s="54"/>
      <c r="K79" s="115"/>
      <c r="L79" s="115"/>
    </row>
    <row r="80">
      <c r="A80" s="249" t="s">
        <v>171</v>
      </c>
      <c r="B80" s="70" t="s">
        <v>3790</v>
      </c>
      <c r="C80" s="68" t="s">
        <v>3791</v>
      </c>
      <c r="D80" s="68" t="s">
        <v>3393</v>
      </c>
      <c r="E80" s="70" t="s">
        <v>3792</v>
      </c>
      <c r="F80" s="228" t="s">
        <v>3793</v>
      </c>
      <c r="G80" s="80" t="s">
        <v>556</v>
      </c>
      <c r="H80" s="233" t="s">
        <v>556</v>
      </c>
      <c r="I80" s="233" t="s">
        <v>556</v>
      </c>
      <c r="J80" s="54"/>
      <c r="K80" s="115"/>
      <c r="L80" s="115"/>
    </row>
    <row r="81">
      <c r="A81" s="249" t="s">
        <v>171</v>
      </c>
      <c r="B81" s="70" t="s">
        <v>3794</v>
      </c>
      <c r="C81" s="68" t="s">
        <v>3795</v>
      </c>
      <c r="D81" s="68" t="s">
        <v>3393</v>
      </c>
      <c r="E81" s="70" t="s">
        <v>3796</v>
      </c>
      <c r="F81" s="228" t="s">
        <v>3797</v>
      </c>
      <c r="G81" s="80" t="s">
        <v>2713</v>
      </c>
      <c r="H81" s="233" t="s">
        <v>3798</v>
      </c>
      <c r="I81" s="233" t="s">
        <v>3799</v>
      </c>
      <c r="J81" s="54"/>
      <c r="K81" s="115"/>
      <c r="L81" s="115"/>
    </row>
    <row r="82">
      <c r="A82" s="249" t="s">
        <v>171</v>
      </c>
      <c r="B82" s="70" t="s">
        <v>3246</v>
      </c>
      <c r="C82" s="68" t="s">
        <v>3800</v>
      </c>
      <c r="D82" s="68" t="s">
        <v>3393</v>
      </c>
      <c r="E82" s="70" t="s">
        <v>3248</v>
      </c>
      <c r="F82" s="228" t="s">
        <v>3801</v>
      </c>
      <c r="G82" s="80" t="s">
        <v>2713</v>
      </c>
      <c r="H82" s="233" t="s">
        <v>3802</v>
      </c>
      <c r="I82" s="228" t="s">
        <v>626</v>
      </c>
      <c r="J82" s="54"/>
      <c r="K82" s="115"/>
      <c r="L82" s="115"/>
    </row>
    <row r="83">
      <c r="A83" s="249" t="s">
        <v>171</v>
      </c>
      <c r="B83" s="70" t="s">
        <v>2823</v>
      </c>
      <c r="C83" s="68" t="s">
        <v>2824</v>
      </c>
      <c r="D83" s="68" t="s">
        <v>3393</v>
      </c>
      <c r="E83" s="70" t="s">
        <v>3625</v>
      </c>
      <c r="F83" s="228" t="s">
        <v>3803</v>
      </c>
      <c r="G83" s="80" t="s">
        <v>898</v>
      </c>
      <c r="H83" s="228" t="s">
        <v>3804</v>
      </c>
      <c r="I83" s="233" t="s">
        <v>3551</v>
      </c>
      <c r="J83" s="54"/>
      <c r="K83" s="115"/>
      <c r="L83" s="115"/>
    </row>
    <row r="84">
      <c r="A84" s="249" t="s">
        <v>171</v>
      </c>
      <c r="B84" s="70" t="s">
        <v>2823</v>
      </c>
      <c r="C84" s="68" t="s">
        <v>3805</v>
      </c>
      <c r="D84" s="68" t="s">
        <v>3393</v>
      </c>
      <c r="E84" s="70" t="s">
        <v>869</v>
      </c>
      <c r="F84" s="228" t="s">
        <v>775</v>
      </c>
      <c r="G84" s="80" t="s">
        <v>898</v>
      </c>
      <c r="H84" s="228" t="s">
        <v>25</v>
      </c>
      <c r="I84" s="228" t="s">
        <v>626</v>
      </c>
      <c r="J84" s="54"/>
      <c r="K84" s="115"/>
      <c r="L84" s="115"/>
    </row>
    <row r="85">
      <c r="A85" s="249" t="s">
        <v>171</v>
      </c>
      <c r="B85" s="70" t="s">
        <v>3806</v>
      </c>
      <c r="C85" s="68" t="s">
        <v>3807</v>
      </c>
      <c r="D85" s="105">
        <v>45681.0</v>
      </c>
      <c r="E85" s="70" t="s">
        <v>1087</v>
      </c>
      <c r="F85" s="228" t="s">
        <v>3808</v>
      </c>
      <c r="G85" s="80" t="s">
        <v>898</v>
      </c>
      <c r="H85" s="228" t="s">
        <v>25</v>
      </c>
      <c r="I85" s="229" t="s">
        <v>3809</v>
      </c>
      <c r="J85" s="54"/>
      <c r="K85" s="115"/>
      <c r="L85" s="115"/>
    </row>
    <row r="86">
      <c r="A86" s="249" t="s">
        <v>171</v>
      </c>
      <c r="B86" s="70" t="s">
        <v>3810</v>
      </c>
      <c r="C86" s="68" t="s">
        <v>2692</v>
      </c>
      <c r="D86" s="105">
        <v>45722.0</v>
      </c>
      <c r="E86" s="70" t="s">
        <v>1087</v>
      </c>
      <c r="F86" s="228" t="s">
        <v>3811</v>
      </c>
      <c r="G86" s="84" t="s">
        <v>24</v>
      </c>
      <c r="H86" s="228" t="s">
        <v>3371</v>
      </c>
      <c r="I86" s="228" t="s">
        <v>25</v>
      </c>
      <c r="J86" s="54"/>
      <c r="K86" s="115"/>
      <c r="L86" s="115"/>
    </row>
    <row r="87">
      <c r="A87" s="249" t="s">
        <v>171</v>
      </c>
      <c r="B87" s="70" t="s">
        <v>3812</v>
      </c>
      <c r="C87" s="68" t="s">
        <v>1314</v>
      </c>
      <c r="D87" s="68" t="s">
        <v>3393</v>
      </c>
      <c r="E87" s="70" t="s">
        <v>172</v>
      </c>
      <c r="F87" s="228" t="s">
        <v>3813</v>
      </c>
      <c r="G87" s="84" t="s">
        <v>24</v>
      </c>
      <c r="H87" s="233" t="s">
        <v>3814</v>
      </c>
      <c r="I87" s="229" t="s">
        <v>1114</v>
      </c>
      <c r="J87" s="54"/>
      <c r="K87" s="115"/>
      <c r="L87" s="115"/>
    </row>
    <row r="88">
      <c r="A88" s="249" t="s">
        <v>171</v>
      </c>
      <c r="B88" s="70" t="s">
        <v>3815</v>
      </c>
      <c r="C88" s="68" t="s">
        <v>3816</v>
      </c>
      <c r="D88" s="68" t="s">
        <v>3393</v>
      </c>
      <c r="E88" s="70" t="s">
        <v>3817</v>
      </c>
      <c r="F88" s="233" t="s">
        <v>3818</v>
      </c>
      <c r="G88" s="80" t="s">
        <v>3819</v>
      </c>
      <c r="H88" s="228" t="s">
        <v>40</v>
      </c>
      <c r="I88" s="233" t="s">
        <v>3820</v>
      </c>
      <c r="J88" s="54"/>
      <c r="K88" s="115"/>
      <c r="L88" s="115"/>
    </row>
    <row r="89">
      <c r="A89" s="249" t="s">
        <v>171</v>
      </c>
      <c r="B89" s="62" t="s">
        <v>3821</v>
      </c>
      <c r="C89" s="68" t="s">
        <v>3822</v>
      </c>
      <c r="D89" s="68" t="s">
        <v>3393</v>
      </c>
      <c r="E89" s="70" t="s">
        <v>73</v>
      </c>
      <c r="F89" s="228" t="s">
        <v>3823</v>
      </c>
      <c r="G89" s="84" t="s">
        <v>24</v>
      </c>
      <c r="H89" s="228" t="s">
        <v>40</v>
      </c>
      <c r="I89" s="231" t="s">
        <v>3824</v>
      </c>
      <c r="J89" s="54"/>
      <c r="K89" s="115"/>
      <c r="L89" s="115"/>
    </row>
    <row r="90">
      <c r="A90" s="249" t="s">
        <v>171</v>
      </c>
      <c r="B90" s="70" t="s">
        <v>3821</v>
      </c>
      <c r="C90" s="68" t="s">
        <v>3825</v>
      </c>
      <c r="D90" s="68" t="s">
        <v>3393</v>
      </c>
      <c r="E90" s="70" t="s">
        <v>1087</v>
      </c>
      <c r="F90" s="76" t="s">
        <v>3826</v>
      </c>
      <c r="G90" s="84" t="s">
        <v>24</v>
      </c>
      <c r="H90" s="228" t="s">
        <v>40</v>
      </c>
      <c r="I90" s="231" t="s">
        <v>3824</v>
      </c>
      <c r="J90" s="54"/>
      <c r="K90" s="115"/>
      <c r="L90" s="115"/>
    </row>
    <row r="91">
      <c r="A91" s="249" t="s">
        <v>171</v>
      </c>
      <c r="B91" s="70" t="s">
        <v>3827</v>
      </c>
      <c r="C91" s="68" t="s">
        <v>3828</v>
      </c>
      <c r="D91" s="105">
        <v>45673.0</v>
      </c>
      <c r="E91" s="70" t="s">
        <v>3564</v>
      </c>
      <c r="F91" s="228" t="s">
        <v>3829</v>
      </c>
      <c r="G91" s="84" t="s">
        <v>24</v>
      </c>
      <c r="H91" s="228" t="s">
        <v>40</v>
      </c>
      <c r="I91" s="229" t="s">
        <v>3809</v>
      </c>
      <c r="J91" s="54"/>
      <c r="K91" s="115"/>
      <c r="L91" s="115"/>
    </row>
    <row r="92">
      <c r="A92" s="249" t="s">
        <v>171</v>
      </c>
      <c r="B92" s="70" t="s">
        <v>3830</v>
      </c>
      <c r="C92" s="68" t="s">
        <v>3831</v>
      </c>
      <c r="D92" s="68" t="s">
        <v>3393</v>
      </c>
      <c r="E92" s="70" t="s">
        <v>1215</v>
      </c>
      <c r="F92" s="228" t="s">
        <v>3832</v>
      </c>
      <c r="G92" s="84" t="s">
        <v>24</v>
      </c>
      <c r="H92" s="228" t="s">
        <v>40</v>
      </c>
      <c r="I92" s="228" t="s">
        <v>567</v>
      </c>
      <c r="J92" s="54"/>
      <c r="K92" s="115"/>
      <c r="L92" s="115"/>
    </row>
    <row r="93">
      <c r="A93" s="249" t="s">
        <v>171</v>
      </c>
      <c r="B93" s="70" t="s">
        <v>3833</v>
      </c>
      <c r="C93" s="68" t="s">
        <v>3834</v>
      </c>
      <c r="D93" s="68" t="s">
        <v>3393</v>
      </c>
      <c r="E93" s="70" t="s">
        <v>770</v>
      </c>
      <c r="F93" s="228" t="s">
        <v>3835</v>
      </c>
      <c r="G93" s="84" t="s">
        <v>24</v>
      </c>
      <c r="H93" s="228" t="s">
        <v>40</v>
      </c>
      <c r="I93" s="228" t="s">
        <v>103</v>
      </c>
      <c r="J93" s="54"/>
      <c r="K93" s="115"/>
      <c r="L93" s="115"/>
    </row>
    <row r="94">
      <c r="A94" s="249" t="s">
        <v>171</v>
      </c>
      <c r="B94" s="70" t="s">
        <v>3833</v>
      </c>
      <c r="C94" s="68" t="s">
        <v>3834</v>
      </c>
      <c r="D94" s="68" t="s">
        <v>3393</v>
      </c>
      <c r="E94" s="70" t="s">
        <v>3836</v>
      </c>
      <c r="F94" s="228" t="s">
        <v>775</v>
      </c>
      <c r="G94" s="84" t="s">
        <v>24</v>
      </c>
      <c r="H94" s="228" t="s">
        <v>40</v>
      </c>
      <c r="I94" s="228" t="s">
        <v>626</v>
      </c>
      <c r="J94" s="54"/>
      <c r="K94" s="115"/>
      <c r="L94" s="115"/>
    </row>
    <row r="95">
      <c r="A95" s="249" t="s">
        <v>171</v>
      </c>
      <c r="B95" s="70" t="s">
        <v>3833</v>
      </c>
      <c r="C95" s="68" t="s">
        <v>3834</v>
      </c>
      <c r="D95" s="68" t="s">
        <v>3393</v>
      </c>
      <c r="E95" s="70" t="s">
        <v>3837</v>
      </c>
      <c r="F95" s="228" t="s">
        <v>775</v>
      </c>
      <c r="G95" s="84" t="s">
        <v>24</v>
      </c>
      <c r="H95" s="228" t="s">
        <v>40</v>
      </c>
      <c r="I95" s="228" t="s">
        <v>626</v>
      </c>
      <c r="J95" s="54"/>
      <c r="K95" s="115"/>
      <c r="L95" s="115"/>
    </row>
    <row r="96">
      <c r="A96" s="249" t="s">
        <v>171</v>
      </c>
      <c r="B96" s="70" t="s">
        <v>3838</v>
      </c>
      <c r="C96" s="68" t="s">
        <v>3839</v>
      </c>
      <c r="D96" s="68" t="s">
        <v>3393</v>
      </c>
      <c r="E96" s="70" t="s">
        <v>3840</v>
      </c>
      <c r="F96" s="228" t="s">
        <v>3311</v>
      </c>
      <c r="G96" s="80" t="s">
        <v>3819</v>
      </c>
      <c r="H96" s="233" t="s">
        <v>3841</v>
      </c>
      <c r="I96" s="228" t="s">
        <v>626</v>
      </c>
      <c r="J96" s="54"/>
      <c r="K96" s="115"/>
      <c r="L96" s="115"/>
    </row>
    <row r="97">
      <c r="A97" s="249" t="s">
        <v>171</v>
      </c>
      <c r="B97" s="70" t="s">
        <v>1178</v>
      </c>
      <c r="C97" s="68" t="s">
        <v>1179</v>
      </c>
      <c r="D97" s="68" t="s">
        <v>3393</v>
      </c>
      <c r="E97" s="70" t="s">
        <v>3842</v>
      </c>
      <c r="F97" s="228" t="s">
        <v>3843</v>
      </c>
      <c r="G97" s="84" t="s">
        <v>24</v>
      </c>
      <c r="H97" s="228" t="s">
        <v>25</v>
      </c>
      <c r="I97" s="229" t="s">
        <v>3809</v>
      </c>
      <c r="J97" s="54"/>
      <c r="K97" s="115"/>
      <c r="L97" s="115"/>
    </row>
    <row r="98">
      <c r="A98" s="249" t="s">
        <v>171</v>
      </c>
      <c r="B98" s="70" t="s">
        <v>1178</v>
      </c>
      <c r="C98" s="68" t="s">
        <v>3844</v>
      </c>
      <c r="D98" s="68" t="s">
        <v>3393</v>
      </c>
      <c r="E98" s="70" t="s">
        <v>3845</v>
      </c>
      <c r="F98" s="228" t="s">
        <v>775</v>
      </c>
      <c r="G98" s="84" t="s">
        <v>24</v>
      </c>
      <c r="H98" s="228" t="s">
        <v>25</v>
      </c>
      <c r="I98" s="229" t="s">
        <v>3846</v>
      </c>
      <c r="J98" s="54"/>
      <c r="K98" s="115"/>
      <c r="L98" s="115"/>
    </row>
    <row r="99">
      <c r="A99" s="249" t="s">
        <v>171</v>
      </c>
      <c r="B99" s="70" t="s">
        <v>3847</v>
      </c>
      <c r="C99" s="68" t="s">
        <v>3848</v>
      </c>
      <c r="D99" s="68" t="s">
        <v>3393</v>
      </c>
      <c r="E99" s="70" t="s">
        <v>3849</v>
      </c>
      <c r="F99" s="228" t="s">
        <v>3850</v>
      </c>
      <c r="G99" s="80" t="s">
        <v>3819</v>
      </c>
      <c r="H99" s="233" t="s">
        <v>3851</v>
      </c>
      <c r="I99" s="233" t="s">
        <v>3820</v>
      </c>
      <c r="J99" s="54"/>
      <c r="K99" s="115"/>
      <c r="L99" s="115"/>
    </row>
    <row r="100">
      <c r="A100" s="249" t="s">
        <v>171</v>
      </c>
      <c r="B100" s="70" t="s">
        <v>3852</v>
      </c>
      <c r="C100" s="68" t="s">
        <v>3853</v>
      </c>
      <c r="D100" s="68" t="s">
        <v>3393</v>
      </c>
      <c r="E100" s="70" t="s">
        <v>3854</v>
      </c>
      <c r="F100" s="228" t="s">
        <v>3855</v>
      </c>
      <c r="G100" s="80" t="s">
        <v>556</v>
      </c>
      <c r="H100" s="233" t="s">
        <v>556</v>
      </c>
      <c r="I100" s="233" t="s">
        <v>556</v>
      </c>
      <c r="J100" s="54"/>
      <c r="K100" s="115"/>
      <c r="L100" s="115"/>
    </row>
    <row r="101">
      <c r="A101" s="249" t="s">
        <v>171</v>
      </c>
      <c r="B101" s="70" t="s">
        <v>3856</v>
      </c>
      <c r="C101" s="68" t="s">
        <v>3857</v>
      </c>
      <c r="D101" s="68" t="s">
        <v>3393</v>
      </c>
      <c r="E101" s="70" t="s">
        <v>2900</v>
      </c>
      <c r="F101" s="228" t="s">
        <v>3858</v>
      </c>
      <c r="G101" s="80" t="s">
        <v>898</v>
      </c>
      <c r="H101" s="228" t="s">
        <v>25</v>
      </c>
      <c r="I101" s="233" t="s">
        <v>1933</v>
      </c>
      <c r="J101" s="54"/>
      <c r="K101" s="115"/>
      <c r="L101" s="115"/>
    </row>
    <row r="102">
      <c r="A102" s="249" t="s">
        <v>171</v>
      </c>
      <c r="B102" s="70" t="s">
        <v>3856</v>
      </c>
      <c r="C102" s="68" t="s">
        <v>3857</v>
      </c>
      <c r="D102" s="68" t="s">
        <v>3393</v>
      </c>
      <c r="E102" s="70" t="s">
        <v>3197</v>
      </c>
      <c r="F102" s="228" t="s">
        <v>775</v>
      </c>
      <c r="G102" s="80" t="s">
        <v>898</v>
      </c>
      <c r="H102" s="233" t="s">
        <v>736</v>
      </c>
      <c r="I102" s="228" t="s">
        <v>626</v>
      </c>
      <c r="J102" s="54"/>
      <c r="K102" s="115"/>
      <c r="L102" s="115"/>
    </row>
    <row r="103">
      <c r="A103" s="249" t="s">
        <v>171</v>
      </c>
      <c r="B103" s="70" t="s">
        <v>3859</v>
      </c>
      <c r="C103" s="68" t="s">
        <v>3860</v>
      </c>
      <c r="D103" s="102">
        <v>45596.0</v>
      </c>
      <c r="E103" s="70" t="s">
        <v>3861</v>
      </c>
      <c r="F103" s="228" t="s">
        <v>3862</v>
      </c>
      <c r="G103" s="80" t="s">
        <v>898</v>
      </c>
      <c r="H103" s="228" t="s">
        <v>40</v>
      </c>
      <c r="I103" s="229" t="s">
        <v>3863</v>
      </c>
      <c r="J103" s="54"/>
      <c r="K103" s="115"/>
      <c r="L103" s="115"/>
    </row>
    <row r="104">
      <c r="A104" s="249" t="s">
        <v>171</v>
      </c>
      <c r="B104" s="70" t="s">
        <v>3864</v>
      </c>
      <c r="C104" s="68" t="s">
        <v>3865</v>
      </c>
      <c r="D104" s="68" t="s">
        <v>3393</v>
      </c>
      <c r="E104" s="70" t="s">
        <v>3792</v>
      </c>
      <c r="F104" s="228" t="s">
        <v>3866</v>
      </c>
      <c r="G104" s="80" t="s">
        <v>556</v>
      </c>
      <c r="H104" s="233" t="s">
        <v>556</v>
      </c>
      <c r="I104" s="233" t="s">
        <v>556</v>
      </c>
      <c r="J104" s="54"/>
      <c r="K104" s="115"/>
      <c r="L104" s="115"/>
    </row>
    <row r="105">
      <c r="A105" s="249" t="s">
        <v>11</v>
      </c>
      <c r="B105" s="228" t="s">
        <v>3867</v>
      </c>
      <c r="C105" s="45" t="s">
        <v>3868</v>
      </c>
      <c r="D105" s="46">
        <v>45739.0</v>
      </c>
      <c r="E105" s="62" t="s">
        <v>3869</v>
      </c>
      <c r="F105" s="228" t="s">
        <v>3870</v>
      </c>
      <c r="G105" s="84" t="s">
        <v>24</v>
      </c>
      <c r="H105" s="228" t="s">
        <v>40</v>
      </c>
      <c r="I105" s="228" t="s">
        <v>3871</v>
      </c>
      <c r="J105" s="60"/>
      <c r="K105" s="223"/>
      <c r="L105" s="223"/>
    </row>
    <row r="106">
      <c r="A106" s="249" t="s">
        <v>171</v>
      </c>
      <c r="B106" s="70" t="s">
        <v>3867</v>
      </c>
      <c r="C106" s="68" t="s">
        <v>3872</v>
      </c>
      <c r="D106" s="105">
        <v>45740.0</v>
      </c>
      <c r="E106" s="70" t="s">
        <v>1958</v>
      </c>
      <c r="F106" s="228" t="s">
        <v>775</v>
      </c>
      <c r="G106" s="84" t="s">
        <v>24</v>
      </c>
      <c r="H106" s="228" t="s">
        <v>40</v>
      </c>
      <c r="I106" s="228" t="s">
        <v>626</v>
      </c>
      <c r="J106" s="54"/>
      <c r="K106" s="115"/>
      <c r="L106" s="115"/>
    </row>
    <row r="107">
      <c r="A107" s="249" t="s">
        <v>171</v>
      </c>
      <c r="B107" s="70" t="s">
        <v>3873</v>
      </c>
      <c r="C107" s="68" t="s">
        <v>3874</v>
      </c>
      <c r="D107" s="105">
        <v>45348.0</v>
      </c>
      <c r="E107" s="70" t="s">
        <v>451</v>
      </c>
      <c r="F107" s="228" t="s">
        <v>3875</v>
      </c>
      <c r="G107" s="80" t="s">
        <v>898</v>
      </c>
      <c r="H107" s="91" t="s">
        <v>3078</v>
      </c>
      <c r="I107" s="260" t="s">
        <v>3876</v>
      </c>
      <c r="J107" s="54"/>
      <c r="K107" s="115"/>
      <c r="L107" s="115"/>
    </row>
    <row r="108">
      <c r="A108" s="249" t="s">
        <v>171</v>
      </c>
      <c r="B108" s="70" t="s">
        <v>2168</v>
      </c>
      <c r="C108" s="68" t="s">
        <v>3877</v>
      </c>
      <c r="D108" s="68" t="s">
        <v>556</v>
      </c>
      <c r="E108" s="70" t="s">
        <v>811</v>
      </c>
      <c r="F108" s="233" t="s">
        <v>3878</v>
      </c>
      <c r="G108" s="80" t="s">
        <v>898</v>
      </c>
      <c r="H108" s="228" t="s">
        <v>25</v>
      </c>
      <c r="I108" s="233" t="s">
        <v>1933</v>
      </c>
      <c r="J108" s="54"/>
      <c r="K108" s="115"/>
      <c r="L108" s="115"/>
    </row>
    <row r="109">
      <c r="A109" s="249" t="s">
        <v>171</v>
      </c>
      <c r="B109" s="70" t="s">
        <v>3879</v>
      </c>
      <c r="C109" s="68" t="s">
        <v>3880</v>
      </c>
      <c r="D109" s="68" t="s">
        <v>556</v>
      </c>
      <c r="E109" s="70" t="s">
        <v>854</v>
      </c>
      <c r="F109" s="228" t="s">
        <v>3881</v>
      </c>
      <c r="G109" s="84" t="s">
        <v>24</v>
      </c>
      <c r="H109" s="228" t="s">
        <v>25</v>
      </c>
      <c r="I109" s="229" t="s">
        <v>3809</v>
      </c>
      <c r="J109" s="54"/>
      <c r="K109" s="115"/>
      <c r="L109" s="115"/>
    </row>
    <row r="110">
      <c r="A110" s="249" t="s">
        <v>171</v>
      </c>
      <c r="B110" s="70" t="s">
        <v>3882</v>
      </c>
      <c r="C110" s="68" t="s">
        <v>156</v>
      </c>
      <c r="D110" s="68" t="s">
        <v>556</v>
      </c>
      <c r="E110" s="70" t="s">
        <v>3883</v>
      </c>
      <c r="F110" s="228" t="s">
        <v>3884</v>
      </c>
      <c r="G110" s="80" t="s">
        <v>898</v>
      </c>
      <c r="H110" s="228" t="s">
        <v>40</v>
      </c>
      <c r="I110" s="228" t="s">
        <v>626</v>
      </c>
      <c r="J110" s="54"/>
      <c r="K110" s="115"/>
      <c r="L110" s="115"/>
    </row>
    <row r="111">
      <c r="A111" s="249" t="s">
        <v>171</v>
      </c>
      <c r="B111" s="70" t="s">
        <v>3885</v>
      </c>
      <c r="C111" s="68" t="s">
        <v>3886</v>
      </c>
      <c r="D111" s="68" t="s">
        <v>556</v>
      </c>
      <c r="E111" s="70" t="s">
        <v>3887</v>
      </c>
      <c r="F111" s="228" t="s">
        <v>3888</v>
      </c>
      <c r="G111" s="80" t="s">
        <v>3819</v>
      </c>
      <c r="H111" s="228" t="s">
        <v>25</v>
      </c>
      <c r="I111" s="228" t="s">
        <v>626</v>
      </c>
      <c r="J111" s="54"/>
      <c r="K111" s="115"/>
      <c r="L111" s="115"/>
    </row>
    <row r="112">
      <c r="A112" s="249" t="s">
        <v>171</v>
      </c>
      <c r="B112" s="70" t="s">
        <v>3889</v>
      </c>
      <c r="C112" s="68" t="s">
        <v>3890</v>
      </c>
      <c r="D112" s="68" t="s">
        <v>556</v>
      </c>
      <c r="E112" s="70" t="s">
        <v>3891</v>
      </c>
      <c r="F112" s="228" t="s">
        <v>3892</v>
      </c>
      <c r="G112" s="80" t="s">
        <v>898</v>
      </c>
      <c r="H112" s="233" t="s">
        <v>736</v>
      </c>
      <c r="I112" s="233" t="s">
        <v>988</v>
      </c>
      <c r="J112" s="54"/>
      <c r="K112" s="115"/>
      <c r="L112" s="115"/>
    </row>
    <row r="113">
      <c r="A113" s="249" t="s">
        <v>171</v>
      </c>
      <c r="B113" s="70" t="s">
        <v>2243</v>
      </c>
      <c r="C113" s="68" t="s">
        <v>3893</v>
      </c>
      <c r="D113" s="68" t="s">
        <v>556</v>
      </c>
      <c r="E113" s="70" t="s">
        <v>357</v>
      </c>
      <c r="F113" s="228" t="s">
        <v>3894</v>
      </c>
      <c r="G113" s="80" t="s">
        <v>898</v>
      </c>
      <c r="H113" s="228" t="s">
        <v>25</v>
      </c>
      <c r="I113" s="229" t="s">
        <v>3895</v>
      </c>
      <c r="J113" s="54"/>
      <c r="K113" s="115"/>
      <c r="L113" s="115"/>
    </row>
    <row r="114">
      <c r="A114" s="249" t="s">
        <v>171</v>
      </c>
      <c r="B114" s="70" t="s">
        <v>3896</v>
      </c>
      <c r="C114" s="68" t="s">
        <v>3897</v>
      </c>
      <c r="D114" s="68" t="s">
        <v>556</v>
      </c>
      <c r="E114" s="70" t="s">
        <v>3898</v>
      </c>
      <c r="F114" s="228" t="s">
        <v>3899</v>
      </c>
      <c r="G114" s="84" t="s">
        <v>24</v>
      </c>
      <c r="H114" s="228" t="s">
        <v>25</v>
      </c>
      <c r="I114" s="228" t="s">
        <v>579</v>
      </c>
      <c r="J114" s="54"/>
      <c r="K114" s="115"/>
      <c r="L114" s="115"/>
    </row>
    <row r="115">
      <c r="A115" s="249" t="s">
        <v>171</v>
      </c>
      <c r="B115" s="70" t="s">
        <v>3896</v>
      </c>
      <c r="C115" s="68" t="s">
        <v>3900</v>
      </c>
      <c r="D115" s="68" t="s">
        <v>556</v>
      </c>
      <c r="E115" s="70" t="s">
        <v>3842</v>
      </c>
      <c r="F115" s="228" t="s">
        <v>3901</v>
      </c>
      <c r="G115" s="84" t="s">
        <v>24</v>
      </c>
      <c r="H115" s="228" t="s">
        <v>25</v>
      </c>
      <c r="I115" s="228" t="s">
        <v>579</v>
      </c>
      <c r="J115" s="54"/>
      <c r="K115" s="115"/>
      <c r="L115" s="115"/>
    </row>
    <row r="116">
      <c r="A116" s="249" t="s">
        <v>171</v>
      </c>
      <c r="B116" s="70" t="s">
        <v>3902</v>
      </c>
      <c r="C116" s="68" t="s">
        <v>3903</v>
      </c>
      <c r="D116" s="68" t="s">
        <v>556</v>
      </c>
      <c r="E116" s="70" t="s">
        <v>3904</v>
      </c>
      <c r="F116" s="228" t="s">
        <v>3905</v>
      </c>
      <c r="G116" s="80" t="s">
        <v>898</v>
      </c>
      <c r="H116" s="233" t="s">
        <v>3627</v>
      </c>
      <c r="I116" s="233" t="s">
        <v>3150</v>
      </c>
      <c r="J116" s="54"/>
      <c r="K116" s="115"/>
      <c r="L116" s="115"/>
    </row>
    <row r="117">
      <c r="A117" s="249" t="s">
        <v>171</v>
      </c>
      <c r="B117" s="70" t="s">
        <v>3776</v>
      </c>
      <c r="C117" s="68" t="s">
        <v>3777</v>
      </c>
      <c r="D117" s="68" t="s">
        <v>556</v>
      </c>
      <c r="E117" s="70" t="s">
        <v>463</v>
      </c>
      <c r="F117" s="228" t="s">
        <v>3778</v>
      </c>
      <c r="G117" s="80" t="s">
        <v>898</v>
      </c>
      <c r="H117" s="228" t="s">
        <v>25</v>
      </c>
      <c r="I117" s="228" t="s">
        <v>626</v>
      </c>
      <c r="J117" s="54"/>
      <c r="K117" s="115"/>
      <c r="L117" s="115"/>
    </row>
    <row r="118" ht="18.75" customHeight="1">
      <c r="A118" s="249" t="s">
        <v>171</v>
      </c>
      <c r="B118" s="70" t="s">
        <v>3906</v>
      </c>
      <c r="C118" s="68" t="s">
        <v>3907</v>
      </c>
      <c r="D118" s="105">
        <v>45705.0</v>
      </c>
      <c r="E118" s="70" t="s">
        <v>854</v>
      </c>
      <c r="F118" s="228" t="s">
        <v>3785</v>
      </c>
      <c r="G118" s="80" t="s">
        <v>898</v>
      </c>
      <c r="H118" s="228" t="s">
        <v>40</v>
      </c>
      <c r="I118" s="228"/>
      <c r="J118" s="54"/>
      <c r="K118" s="115"/>
      <c r="L118" s="115"/>
    </row>
    <row r="119">
      <c r="A119" s="249" t="s">
        <v>171</v>
      </c>
      <c r="B119" s="70" t="s">
        <v>3908</v>
      </c>
      <c r="C119" s="45" t="s">
        <v>3568</v>
      </c>
      <c r="D119" s="68" t="s">
        <v>556</v>
      </c>
      <c r="E119" s="70" t="s">
        <v>292</v>
      </c>
      <c r="F119" s="76" t="s">
        <v>3570</v>
      </c>
      <c r="G119" s="84" t="s">
        <v>24</v>
      </c>
      <c r="H119" s="228" t="s">
        <v>40</v>
      </c>
      <c r="I119" s="228" t="s">
        <v>3909</v>
      </c>
      <c r="J119" s="54"/>
      <c r="K119" s="115"/>
      <c r="L119" s="115"/>
    </row>
    <row r="120">
      <c r="A120" s="249" t="s">
        <v>171</v>
      </c>
      <c r="B120" s="70" t="s">
        <v>3908</v>
      </c>
      <c r="C120" s="45" t="s">
        <v>3568</v>
      </c>
      <c r="D120" s="68" t="s">
        <v>556</v>
      </c>
      <c r="E120" s="70" t="s">
        <v>3569</v>
      </c>
      <c r="F120" s="76" t="s">
        <v>3570</v>
      </c>
      <c r="G120" s="84" t="s">
        <v>24</v>
      </c>
      <c r="H120" s="228" t="s">
        <v>40</v>
      </c>
      <c r="I120" s="233" t="s">
        <v>3910</v>
      </c>
      <c r="J120" s="54"/>
      <c r="K120" s="115"/>
      <c r="L120" s="115"/>
    </row>
    <row r="121">
      <c r="A121" s="249" t="s">
        <v>171</v>
      </c>
      <c r="B121" s="70" t="s">
        <v>3911</v>
      </c>
      <c r="C121" s="68" t="s">
        <v>3912</v>
      </c>
      <c r="D121" s="68" t="s">
        <v>556</v>
      </c>
      <c r="E121" s="70" t="s">
        <v>3913</v>
      </c>
      <c r="F121" s="228" t="s">
        <v>3914</v>
      </c>
      <c r="G121" s="80" t="s">
        <v>556</v>
      </c>
      <c r="H121" s="80" t="s">
        <v>556</v>
      </c>
      <c r="I121" s="80" t="s">
        <v>556</v>
      </c>
      <c r="J121" s="54"/>
      <c r="K121" s="115"/>
      <c r="L121" s="115"/>
    </row>
    <row r="122">
      <c r="A122" s="249" t="s">
        <v>171</v>
      </c>
      <c r="B122" s="70" t="s">
        <v>3915</v>
      </c>
      <c r="C122" s="68" t="s">
        <v>3916</v>
      </c>
      <c r="D122" s="68" t="s">
        <v>556</v>
      </c>
      <c r="E122" s="70" t="s">
        <v>1757</v>
      </c>
      <c r="F122" s="228" t="s">
        <v>3917</v>
      </c>
      <c r="G122" s="84" t="s">
        <v>24</v>
      </c>
      <c r="H122" s="228" t="s">
        <v>40</v>
      </c>
      <c r="I122" s="261" t="s">
        <v>3918</v>
      </c>
      <c r="J122" s="54"/>
      <c r="K122" s="115"/>
      <c r="L122" s="115"/>
    </row>
    <row r="123">
      <c r="A123" s="249" t="s">
        <v>171</v>
      </c>
      <c r="B123" s="70" t="s">
        <v>3915</v>
      </c>
      <c r="C123" s="68" t="s">
        <v>3919</v>
      </c>
      <c r="D123" s="68" t="s">
        <v>556</v>
      </c>
      <c r="E123" s="70" t="s">
        <v>3920</v>
      </c>
      <c r="F123" s="228" t="s">
        <v>3921</v>
      </c>
      <c r="G123" s="84" t="s">
        <v>24</v>
      </c>
      <c r="H123" s="228" t="s">
        <v>556</v>
      </c>
      <c r="I123" s="233" t="s">
        <v>1933</v>
      </c>
      <c r="J123" s="54"/>
      <c r="K123" s="115"/>
      <c r="L123" s="115"/>
    </row>
    <row r="124">
      <c r="A124" s="249" t="s">
        <v>171</v>
      </c>
      <c r="B124" s="70" t="s">
        <v>3922</v>
      </c>
      <c r="C124" s="68" t="s">
        <v>3923</v>
      </c>
      <c r="D124" s="68" t="s">
        <v>556</v>
      </c>
      <c r="E124" s="70" t="s">
        <v>357</v>
      </c>
      <c r="F124" s="233" t="s">
        <v>3924</v>
      </c>
      <c r="G124" s="80" t="s">
        <v>3819</v>
      </c>
      <c r="H124" s="233" t="s">
        <v>3925</v>
      </c>
      <c r="I124" s="232" t="s">
        <v>3926</v>
      </c>
      <c r="J124" s="54"/>
      <c r="K124" s="115"/>
      <c r="L124" s="115"/>
    </row>
    <row r="125">
      <c r="A125" s="249" t="s">
        <v>171</v>
      </c>
      <c r="B125" s="70" t="s">
        <v>3927</v>
      </c>
      <c r="C125" s="68" t="s">
        <v>3928</v>
      </c>
      <c r="D125" s="68" t="s">
        <v>556</v>
      </c>
      <c r="E125" s="70" t="s">
        <v>3929</v>
      </c>
      <c r="F125" s="233" t="s">
        <v>3930</v>
      </c>
      <c r="G125" s="80" t="s">
        <v>898</v>
      </c>
      <c r="H125" s="228" t="s">
        <v>40</v>
      </c>
      <c r="I125" s="233" t="s">
        <v>3910</v>
      </c>
      <c r="J125" s="54"/>
      <c r="K125" s="115"/>
      <c r="L125" s="115"/>
    </row>
    <row r="126">
      <c r="A126" s="249" t="s">
        <v>171</v>
      </c>
      <c r="B126" s="70" t="s">
        <v>3931</v>
      </c>
      <c r="C126" s="68" t="s">
        <v>3932</v>
      </c>
      <c r="D126" s="68" t="s">
        <v>1917</v>
      </c>
      <c r="E126" s="70" t="s">
        <v>357</v>
      </c>
      <c r="F126" s="76" t="s">
        <v>3933</v>
      </c>
      <c r="G126" s="84" t="s">
        <v>24</v>
      </c>
      <c r="H126" s="228" t="s">
        <v>40</v>
      </c>
      <c r="I126" s="261" t="s">
        <v>3918</v>
      </c>
      <c r="J126" s="54"/>
      <c r="K126" s="115"/>
      <c r="L126" s="115"/>
    </row>
    <row r="127">
      <c r="A127" s="249" t="s">
        <v>171</v>
      </c>
      <c r="B127" s="70" t="s">
        <v>3934</v>
      </c>
      <c r="C127" s="68" t="s">
        <v>3935</v>
      </c>
      <c r="D127" s="68" t="s">
        <v>1917</v>
      </c>
      <c r="E127" s="70" t="s">
        <v>862</v>
      </c>
      <c r="F127" s="228" t="s">
        <v>3936</v>
      </c>
      <c r="G127" s="84" t="s">
        <v>24</v>
      </c>
      <c r="H127" s="228" t="s">
        <v>40</v>
      </c>
      <c r="I127" s="228" t="s">
        <v>626</v>
      </c>
      <c r="J127" s="54"/>
      <c r="K127" s="115"/>
      <c r="L127" s="115"/>
    </row>
    <row r="128">
      <c r="A128" s="249" t="s">
        <v>171</v>
      </c>
      <c r="B128" s="70" t="s">
        <v>3937</v>
      </c>
      <c r="C128" s="45" t="s">
        <v>3938</v>
      </c>
      <c r="D128" s="68" t="s">
        <v>1917</v>
      </c>
      <c r="E128" s="43" t="s">
        <v>3939</v>
      </c>
      <c r="F128" s="76" t="s">
        <v>3940</v>
      </c>
      <c r="G128" s="80" t="s">
        <v>898</v>
      </c>
      <c r="H128" s="59" t="s">
        <v>3941</v>
      </c>
      <c r="I128" s="228" t="s">
        <v>626</v>
      </c>
      <c r="J128" s="54"/>
      <c r="K128" s="115"/>
      <c r="L128" s="115"/>
    </row>
    <row r="129">
      <c r="A129" s="249" t="s">
        <v>171</v>
      </c>
      <c r="B129" s="70" t="s">
        <v>3937</v>
      </c>
      <c r="C129" s="45" t="s">
        <v>3938</v>
      </c>
      <c r="D129" s="68" t="s">
        <v>1917</v>
      </c>
      <c r="E129" s="70" t="s">
        <v>1128</v>
      </c>
      <c r="F129" s="76" t="s">
        <v>3942</v>
      </c>
      <c r="G129" s="80" t="s">
        <v>898</v>
      </c>
      <c r="H129" s="233" t="s">
        <v>3627</v>
      </c>
      <c r="I129" s="228" t="s">
        <v>626</v>
      </c>
      <c r="J129" s="54"/>
      <c r="K129" s="115"/>
      <c r="L129" s="115"/>
    </row>
    <row r="130">
      <c r="A130" s="249" t="s">
        <v>171</v>
      </c>
      <c r="B130" s="70" t="s">
        <v>3937</v>
      </c>
      <c r="C130" s="45" t="s">
        <v>3938</v>
      </c>
      <c r="D130" s="68" t="s">
        <v>1917</v>
      </c>
      <c r="E130" s="70" t="s">
        <v>1184</v>
      </c>
      <c r="F130" s="76" t="s">
        <v>3943</v>
      </c>
      <c r="G130" s="80" t="s">
        <v>898</v>
      </c>
      <c r="H130" s="91" t="s">
        <v>3263</v>
      </c>
      <c r="I130" s="233" t="s">
        <v>3944</v>
      </c>
      <c r="J130" s="54"/>
      <c r="K130" s="115"/>
      <c r="L130" s="115"/>
    </row>
    <row r="131">
      <c r="A131" s="249" t="s">
        <v>171</v>
      </c>
      <c r="B131" s="70" t="s">
        <v>3945</v>
      </c>
      <c r="C131" s="45" t="s">
        <v>3946</v>
      </c>
      <c r="D131" s="54"/>
      <c r="E131" s="70" t="s">
        <v>676</v>
      </c>
      <c r="F131" s="76" t="s">
        <v>3947</v>
      </c>
      <c r="G131" s="84" t="s">
        <v>24</v>
      </c>
      <c r="H131" s="228" t="s">
        <v>40</v>
      </c>
      <c r="I131" s="262" t="s">
        <v>2504</v>
      </c>
      <c r="J131" s="54"/>
      <c r="K131" s="115"/>
      <c r="L131" s="115"/>
    </row>
    <row r="132" ht="15.75" customHeight="1">
      <c r="A132" s="249" t="s">
        <v>171</v>
      </c>
      <c r="B132" s="70" t="s">
        <v>3948</v>
      </c>
      <c r="C132" s="68" t="s">
        <v>3949</v>
      </c>
      <c r="D132" s="54"/>
      <c r="E132" s="70" t="s">
        <v>188</v>
      </c>
      <c r="F132" s="263" t="s">
        <v>3950</v>
      </c>
      <c r="G132" s="80" t="s">
        <v>898</v>
      </c>
      <c r="H132" s="228" t="s">
        <v>40</v>
      </c>
      <c r="I132" s="228" t="s">
        <v>626</v>
      </c>
      <c r="J132" s="54"/>
      <c r="K132" s="115"/>
      <c r="L132" s="115"/>
    </row>
    <row r="133">
      <c r="A133" s="249" t="s">
        <v>171</v>
      </c>
      <c r="B133" s="70" t="s">
        <v>3833</v>
      </c>
      <c r="C133" s="68" t="s">
        <v>3951</v>
      </c>
      <c r="D133" s="105">
        <v>45755.0</v>
      </c>
      <c r="E133" s="62" t="s">
        <v>292</v>
      </c>
      <c r="F133" s="264" t="s">
        <v>3952</v>
      </c>
      <c r="G133" s="84" t="s">
        <v>24</v>
      </c>
      <c r="H133" s="228" t="s">
        <v>40</v>
      </c>
      <c r="I133" s="228" t="s">
        <v>103</v>
      </c>
      <c r="J133" s="54"/>
      <c r="K133" s="115"/>
      <c r="L133" s="115"/>
    </row>
    <row r="134">
      <c r="A134" s="249" t="s">
        <v>171</v>
      </c>
      <c r="B134" s="70" t="s">
        <v>3833</v>
      </c>
      <c r="C134" s="68" t="s">
        <v>3953</v>
      </c>
      <c r="D134" s="105">
        <v>45756.0</v>
      </c>
      <c r="E134" s="62" t="s">
        <v>3954</v>
      </c>
      <c r="F134" s="265" t="s">
        <v>775</v>
      </c>
      <c r="G134" s="84" t="s">
        <v>24</v>
      </c>
      <c r="H134" s="228" t="s">
        <v>40</v>
      </c>
      <c r="I134" s="228" t="s">
        <v>626</v>
      </c>
      <c r="J134" s="54"/>
      <c r="K134" s="115"/>
      <c r="L134" s="115"/>
    </row>
    <row r="135">
      <c r="A135" s="249" t="s">
        <v>171</v>
      </c>
      <c r="B135" s="70" t="s">
        <v>3833</v>
      </c>
      <c r="C135" s="68" t="s">
        <v>3955</v>
      </c>
      <c r="D135" s="105">
        <v>45757.0</v>
      </c>
      <c r="E135" s="62" t="s">
        <v>130</v>
      </c>
      <c r="F135" s="265" t="s">
        <v>775</v>
      </c>
      <c r="G135" s="84" t="s">
        <v>24</v>
      </c>
      <c r="H135" s="228" t="s">
        <v>40</v>
      </c>
      <c r="I135" s="228" t="s">
        <v>626</v>
      </c>
      <c r="J135" s="54"/>
      <c r="K135" s="115"/>
      <c r="L135" s="115"/>
    </row>
    <row r="136">
      <c r="A136" s="249" t="s">
        <v>171</v>
      </c>
      <c r="B136" s="70" t="s">
        <v>3956</v>
      </c>
      <c r="C136" s="68" t="s">
        <v>3957</v>
      </c>
      <c r="D136" s="68" t="s">
        <v>556</v>
      </c>
      <c r="E136" s="70" t="s">
        <v>357</v>
      </c>
      <c r="F136" s="228" t="s">
        <v>3958</v>
      </c>
      <c r="G136" s="80" t="s">
        <v>3819</v>
      </c>
      <c r="H136" s="228" t="s">
        <v>40</v>
      </c>
      <c r="I136" s="260" t="s">
        <v>3959</v>
      </c>
      <c r="J136" s="54"/>
      <c r="K136" s="115"/>
      <c r="L136" s="115"/>
    </row>
    <row r="137">
      <c r="A137" s="249" t="s">
        <v>171</v>
      </c>
      <c r="B137" s="70" t="s">
        <v>3960</v>
      </c>
      <c r="C137" s="68" t="s">
        <v>3961</v>
      </c>
      <c r="D137" s="68" t="s">
        <v>556</v>
      </c>
      <c r="E137" s="70" t="s">
        <v>1324</v>
      </c>
      <c r="F137" s="228" t="s">
        <v>3962</v>
      </c>
      <c r="G137" s="84" t="s">
        <v>24</v>
      </c>
      <c r="H137" s="228" t="s">
        <v>3371</v>
      </c>
      <c r="I137" s="260" t="s">
        <v>3959</v>
      </c>
      <c r="J137" s="54"/>
      <c r="K137" s="115"/>
      <c r="L137" s="115"/>
    </row>
    <row r="138">
      <c r="A138" s="249" t="s">
        <v>171</v>
      </c>
      <c r="B138" s="70" t="s">
        <v>3963</v>
      </c>
      <c r="C138" s="68" t="s">
        <v>3964</v>
      </c>
      <c r="D138" s="68" t="s">
        <v>556</v>
      </c>
      <c r="E138" s="70" t="s">
        <v>3965</v>
      </c>
      <c r="F138" s="228" t="s">
        <v>3966</v>
      </c>
      <c r="G138" s="80" t="s">
        <v>3819</v>
      </c>
      <c r="H138" s="233" t="s">
        <v>736</v>
      </c>
      <c r="I138" s="233" t="s">
        <v>1933</v>
      </c>
      <c r="J138" s="54"/>
      <c r="K138" s="115"/>
      <c r="L138" s="115"/>
    </row>
    <row r="139">
      <c r="A139" s="249" t="s">
        <v>171</v>
      </c>
      <c r="B139" s="70" t="s">
        <v>3967</v>
      </c>
      <c r="C139" s="68" t="s">
        <v>3968</v>
      </c>
      <c r="D139" s="68" t="s">
        <v>556</v>
      </c>
      <c r="E139" s="70" t="s">
        <v>107</v>
      </c>
      <c r="F139" s="233" t="s">
        <v>3969</v>
      </c>
      <c r="G139" s="80" t="s">
        <v>3819</v>
      </c>
      <c r="H139" s="228" t="s">
        <v>3371</v>
      </c>
      <c r="I139" s="228" t="s">
        <v>3970</v>
      </c>
      <c r="J139" s="54"/>
      <c r="K139" s="115"/>
      <c r="L139" s="115"/>
    </row>
    <row r="140">
      <c r="A140" s="249" t="s">
        <v>171</v>
      </c>
      <c r="B140" s="70" t="s">
        <v>3971</v>
      </c>
      <c r="C140" s="68" t="s">
        <v>3972</v>
      </c>
      <c r="D140" s="68" t="s">
        <v>556</v>
      </c>
      <c r="E140" s="70" t="s">
        <v>357</v>
      </c>
      <c r="F140" s="228" t="s">
        <v>3973</v>
      </c>
      <c r="G140" s="80" t="s">
        <v>898</v>
      </c>
      <c r="H140" s="233" t="s">
        <v>3365</v>
      </c>
      <c r="I140" s="260" t="s">
        <v>3974</v>
      </c>
      <c r="J140" s="54"/>
      <c r="K140" s="115"/>
      <c r="L140" s="115"/>
    </row>
    <row r="141">
      <c r="A141" s="249" t="s">
        <v>171</v>
      </c>
      <c r="B141" s="70" t="s">
        <v>3044</v>
      </c>
      <c r="C141" s="68" t="s">
        <v>3045</v>
      </c>
      <c r="D141" s="68" t="s">
        <v>556</v>
      </c>
      <c r="E141" s="70" t="s">
        <v>3046</v>
      </c>
      <c r="F141" s="228" t="s">
        <v>3975</v>
      </c>
      <c r="G141" s="80" t="s">
        <v>3819</v>
      </c>
      <c r="H141" s="228" t="s">
        <v>40</v>
      </c>
      <c r="I141" s="228" t="s">
        <v>626</v>
      </c>
      <c r="J141" s="54"/>
      <c r="K141" s="115"/>
      <c r="L141" s="115"/>
    </row>
    <row r="142">
      <c r="A142" s="249" t="s">
        <v>171</v>
      </c>
      <c r="B142" s="70" t="s">
        <v>3044</v>
      </c>
      <c r="C142" s="68" t="s">
        <v>3976</v>
      </c>
      <c r="D142" s="68" t="s">
        <v>556</v>
      </c>
      <c r="E142" s="70" t="s">
        <v>107</v>
      </c>
      <c r="F142" s="228" t="s">
        <v>775</v>
      </c>
      <c r="G142" s="80" t="s">
        <v>3819</v>
      </c>
      <c r="H142" s="233" t="s">
        <v>3977</v>
      </c>
      <c r="I142" s="228" t="s">
        <v>626</v>
      </c>
      <c r="J142" s="54"/>
      <c r="K142" s="115"/>
      <c r="L142" s="115"/>
    </row>
    <row r="143">
      <c r="A143" s="249" t="s">
        <v>171</v>
      </c>
      <c r="B143" s="70" t="s">
        <v>3978</v>
      </c>
      <c r="C143" s="68" t="s">
        <v>3979</v>
      </c>
      <c r="D143" s="68" t="s">
        <v>556</v>
      </c>
      <c r="E143" s="68" t="s">
        <v>3980</v>
      </c>
      <c r="F143" s="228" t="s">
        <v>3981</v>
      </c>
      <c r="G143" s="80" t="s">
        <v>3819</v>
      </c>
      <c r="H143" s="228" t="s">
        <v>3634</v>
      </c>
      <c r="I143" s="233" t="s">
        <v>3982</v>
      </c>
      <c r="J143" s="54"/>
      <c r="K143" s="115"/>
      <c r="L143" s="115"/>
    </row>
    <row r="144">
      <c r="A144" s="249" t="s">
        <v>171</v>
      </c>
      <c r="B144" s="70" t="s">
        <v>3983</v>
      </c>
      <c r="C144" s="68" t="s">
        <v>3984</v>
      </c>
      <c r="D144" s="68" t="s">
        <v>556</v>
      </c>
      <c r="E144" s="70" t="s">
        <v>1941</v>
      </c>
      <c r="F144" s="76" t="s">
        <v>3985</v>
      </c>
      <c r="G144" s="84" t="s">
        <v>24</v>
      </c>
      <c r="H144" s="228" t="s">
        <v>40</v>
      </c>
      <c r="I144" s="233" t="s">
        <v>3551</v>
      </c>
      <c r="J144" s="54"/>
      <c r="K144" s="266" t="s">
        <v>3986</v>
      </c>
      <c r="L144" s="115"/>
    </row>
    <row r="145">
      <c r="A145" s="249" t="s">
        <v>171</v>
      </c>
      <c r="B145" s="70" t="s">
        <v>3983</v>
      </c>
      <c r="C145" s="68" t="s">
        <v>3735</v>
      </c>
      <c r="D145" s="68" t="s">
        <v>556</v>
      </c>
      <c r="E145" s="70" t="s">
        <v>750</v>
      </c>
      <c r="F145" s="76" t="s">
        <v>3987</v>
      </c>
      <c r="G145" s="84" t="s">
        <v>24</v>
      </c>
      <c r="H145" s="228" t="s">
        <v>40</v>
      </c>
      <c r="I145" s="228" t="s">
        <v>626</v>
      </c>
      <c r="J145" s="54"/>
      <c r="K145" s="266" t="s">
        <v>3986</v>
      </c>
      <c r="L145" s="115"/>
    </row>
    <row r="146">
      <c r="A146" s="249" t="s">
        <v>171</v>
      </c>
      <c r="B146" s="70" t="s">
        <v>3988</v>
      </c>
      <c r="C146" s="45" t="s">
        <v>3989</v>
      </c>
      <c r="D146" s="68" t="s">
        <v>556</v>
      </c>
      <c r="E146" s="70" t="s">
        <v>3990</v>
      </c>
      <c r="F146" s="76" t="s">
        <v>3991</v>
      </c>
      <c r="G146" s="84" t="s">
        <v>24</v>
      </c>
      <c r="H146" s="228" t="s">
        <v>40</v>
      </c>
      <c r="I146" s="231" t="s">
        <v>3992</v>
      </c>
      <c r="J146" s="54"/>
      <c r="K146" s="267"/>
      <c r="L146" s="115"/>
    </row>
    <row r="147" ht="16.5" customHeight="1">
      <c r="A147" s="249" t="s">
        <v>171</v>
      </c>
      <c r="B147" s="70" t="s">
        <v>3993</v>
      </c>
      <c r="C147" s="68" t="s">
        <v>3994</v>
      </c>
      <c r="D147" s="68"/>
      <c r="E147" s="70" t="s">
        <v>1094</v>
      </c>
      <c r="F147" s="233" t="s">
        <v>3995</v>
      </c>
      <c r="G147" s="80" t="s">
        <v>556</v>
      </c>
      <c r="H147" s="80" t="s">
        <v>556</v>
      </c>
      <c r="I147" s="80" t="s">
        <v>556</v>
      </c>
      <c r="J147" s="54"/>
      <c r="K147" s="115"/>
      <c r="L147" s="115"/>
    </row>
    <row r="148">
      <c r="A148" s="249" t="s">
        <v>171</v>
      </c>
      <c r="B148" s="70" t="s">
        <v>3996</v>
      </c>
      <c r="C148" s="45" t="s">
        <v>3997</v>
      </c>
      <c r="D148" s="68"/>
      <c r="E148" s="70" t="s">
        <v>357</v>
      </c>
      <c r="F148" s="76" t="s">
        <v>3998</v>
      </c>
      <c r="G148" s="84" t="s">
        <v>24</v>
      </c>
      <c r="H148" s="228" t="s">
        <v>40</v>
      </c>
      <c r="I148" s="261" t="s">
        <v>3999</v>
      </c>
      <c r="J148" s="54"/>
      <c r="K148" s="115"/>
      <c r="L148" s="115"/>
    </row>
    <row r="149">
      <c r="A149" s="249" t="s">
        <v>171</v>
      </c>
      <c r="B149" s="70" t="s">
        <v>4000</v>
      </c>
      <c r="C149" s="45" t="s">
        <v>4001</v>
      </c>
      <c r="D149" s="68"/>
      <c r="E149" s="70" t="s">
        <v>4002</v>
      </c>
      <c r="F149" s="91" t="s">
        <v>4003</v>
      </c>
      <c r="G149" s="80" t="s">
        <v>898</v>
      </c>
      <c r="H149" s="91" t="s">
        <v>4004</v>
      </c>
      <c r="I149" s="261" t="s">
        <v>4005</v>
      </c>
      <c r="J149" s="54"/>
      <c r="K149" s="115"/>
      <c r="L149" s="115"/>
    </row>
    <row r="150" ht="18.0" customHeight="1">
      <c r="A150" s="249" t="s">
        <v>171</v>
      </c>
      <c r="B150" s="70" t="s">
        <v>4006</v>
      </c>
      <c r="C150" s="68" t="s">
        <v>4007</v>
      </c>
      <c r="D150" s="68"/>
      <c r="E150" s="70" t="s">
        <v>4008</v>
      </c>
      <c r="F150" s="228" t="s">
        <v>4009</v>
      </c>
      <c r="G150" s="80" t="s">
        <v>898</v>
      </c>
      <c r="H150" s="233" t="s">
        <v>4010</v>
      </c>
      <c r="I150" s="228" t="s">
        <v>3970</v>
      </c>
      <c r="J150" s="54"/>
      <c r="K150" s="115"/>
      <c r="L150" s="115"/>
    </row>
    <row r="151">
      <c r="A151" s="249" t="s">
        <v>171</v>
      </c>
      <c r="B151" s="70" t="s">
        <v>4011</v>
      </c>
      <c r="C151" s="68" t="s">
        <v>4012</v>
      </c>
      <c r="D151" s="68" t="s">
        <v>556</v>
      </c>
      <c r="E151" s="70" t="s">
        <v>4013</v>
      </c>
      <c r="F151" s="228" t="s">
        <v>4014</v>
      </c>
      <c r="G151" s="80" t="s">
        <v>3819</v>
      </c>
      <c r="H151" s="228" t="s">
        <v>40</v>
      </c>
      <c r="I151" s="228" t="s">
        <v>3970</v>
      </c>
      <c r="J151" s="54"/>
      <c r="K151" s="115"/>
      <c r="L151" s="115"/>
    </row>
    <row r="152">
      <c r="A152" s="249" t="s">
        <v>171</v>
      </c>
      <c r="B152" s="70" t="s">
        <v>4011</v>
      </c>
      <c r="C152" s="68" t="s">
        <v>4015</v>
      </c>
      <c r="D152" s="68" t="s">
        <v>556</v>
      </c>
      <c r="E152" s="70" t="s">
        <v>4016</v>
      </c>
      <c r="F152" s="228" t="s">
        <v>4017</v>
      </c>
      <c r="G152" s="80" t="s">
        <v>3819</v>
      </c>
      <c r="H152" s="228" t="s">
        <v>40</v>
      </c>
      <c r="I152" s="260" t="s">
        <v>4018</v>
      </c>
      <c r="J152" s="54"/>
      <c r="K152" s="115"/>
      <c r="L152" s="115"/>
    </row>
    <row r="153">
      <c r="A153" s="249" t="s">
        <v>171</v>
      </c>
      <c r="B153" s="70" t="s">
        <v>4019</v>
      </c>
      <c r="C153" s="68" t="s">
        <v>4020</v>
      </c>
      <c r="D153" s="68" t="s">
        <v>556</v>
      </c>
      <c r="E153" s="70" t="s">
        <v>4021</v>
      </c>
      <c r="F153" s="76" t="s">
        <v>4022</v>
      </c>
      <c r="G153" s="84" t="s">
        <v>24</v>
      </c>
      <c r="H153" s="228" t="s">
        <v>40</v>
      </c>
      <c r="I153" s="228" t="s">
        <v>690</v>
      </c>
      <c r="J153" s="54"/>
      <c r="K153" s="115"/>
      <c r="L153" s="115"/>
    </row>
    <row r="154">
      <c r="A154" s="249" t="s">
        <v>171</v>
      </c>
      <c r="B154" s="70" t="s">
        <v>4019</v>
      </c>
      <c r="C154" s="68" t="s">
        <v>4023</v>
      </c>
      <c r="D154" s="68" t="s">
        <v>556</v>
      </c>
      <c r="E154" s="70" t="s">
        <v>4024</v>
      </c>
      <c r="F154" s="76" t="s">
        <v>4022</v>
      </c>
      <c r="G154" s="84" t="s">
        <v>24</v>
      </c>
      <c r="H154" s="233" t="s">
        <v>736</v>
      </c>
      <c r="I154" s="228" t="s">
        <v>626</v>
      </c>
      <c r="J154" s="54"/>
      <c r="K154" s="115"/>
      <c r="L154" s="115"/>
    </row>
    <row r="155">
      <c r="A155" s="249" t="s">
        <v>171</v>
      </c>
      <c r="B155" s="70" t="s">
        <v>4025</v>
      </c>
      <c r="C155" s="68" t="s">
        <v>4026</v>
      </c>
      <c r="D155" s="102">
        <v>45279.0</v>
      </c>
      <c r="E155" s="70" t="s">
        <v>4027</v>
      </c>
      <c r="F155" s="76" t="s">
        <v>4028</v>
      </c>
      <c r="G155" s="84" t="s">
        <v>24</v>
      </c>
      <c r="H155" s="228" t="s">
        <v>40</v>
      </c>
      <c r="I155" s="260" t="s">
        <v>4029</v>
      </c>
      <c r="J155" s="54"/>
      <c r="K155" s="115"/>
      <c r="L155" s="115"/>
    </row>
    <row r="156">
      <c r="A156" s="249" t="s">
        <v>171</v>
      </c>
      <c r="B156" s="70" t="s">
        <v>4030</v>
      </c>
      <c r="C156" s="68" t="s">
        <v>4031</v>
      </c>
      <c r="D156" s="105">
        <v>45498.0</v>
      </c>
      <c r="E156" s="70" t="s">
        <v>784</v>
      </c>
      <c r="F156" s="76" t="s">
        <v>4032</v>
      </c>
      <c r="G156" s="84" t="s">
        <v>24</v>
      </c>
      <c r="H156" s="228" t="s">
        <v>40</v>
      </c>
      <c r="I156" s="233" t="s">
        <v>4033</v>
      </c>
      <c r="J156" s="54"/>
      <c r="K156" s="115"/>
      <c r="L156" s="115"/>
    </row>
    <row r="157">
      <c r="A157" s="249" t="s">
        <v>171</v>
      </c>
      <c r="B157" s="70" t="s">
        <v>4034</v>
      </c>
      <c r="C157" s="68" t="s">
        <v>4035</v>
      </c>
      <c r="D157" s="68" t="s">
        <v>556</v>
      </c>
      <c r="E157" s="70" t="s">
        <v>463</v>
      </c>
      <c r="F157" s="76" t="s">
        <v>4036</v>
      </c>
      <c r="G157" s="80" t="s">
        <v>898</v>
      </c>
      <c r="H157" s="233" t="s">
        <v>4037</v>
      </c>
      <c r="I157" s="233" t="s">
        <v>4038</v>
      </c>
      <c r="J157" s="54"/>
      <c r="K157" s="115"/>
      <c r="L157" s="115"/>
    </row>
    <row r="158">
      <c r="A158" s="249" t="s">
        <v>171</v>
      </c>
      <c r="B158" s="70" t="s">
        <v>4039</v>
      </c>
      <c r="C158" s="68" t="s">
        <v>4040</v>
      </c>
      <c r="D158" s="68" t="s">
        <v>556</v>
      </c>
      <c r="E158" s="70" t="s">
        <v>4041</v>
      </c>
      <c r="F158" s="76" t="s">
        <v>4042</v>
      </c>
      <c r="G158" s="80" t="s">
        <v>3819</v>
      </c>
      <c r="H158" s="233" t="s">
        <v>4043</v>
      </c>
      <c r="I158" s="233" t="s">
        <v>4033</v>
      </c>
      <c r="J158" s="54"/>
      <c r="K158" s="115"/>
      <c r="L158" s="115"/>
    </row>
    <row r="159">
      <c r="A159" s="249" t="s">
        <v>171</v>
      </c>
      <c r="B159" s="70" t="s">
        <v>4044</v>
      </c>
      <c r="C159" s="68" t="s">
        <v>4045</v>
      </c>
      <c r="D159" s="68" t="s">
        <v>556</v>
      </c>
      <c r="E159" s="70" t="s">
        <v>4046</v>
      </c>
      <c r="F159" s="76" t="s">
        <v>4047</v>
      </c>
      <c r="G159" s="80" t="s">
        <v>556</v>
      </c>
      <c r="H159" s="233" t="s">
        <v>4048</v>
      </c>
      <c r="I159" s="233" t="s">
        <v>988</v>
      </c>
      <c r="J159" s="54"/>
      <c r="K159" s="115"/>
      <c r="L159" s="115"/>
    </row>
    <row r="160">
      <c r="A160" s="249" t="s">
        <v>171</v>
      </c>
      <c r="B160" s="70" t="s">
        <v>4049</v>
      </c>
      <c r="C160" s="68" t="s">
        <v>4050</v>
      </c>
      <c r="D160" s="68" t="s">
        <v>556</v>
      </c>
      <c r="E160" s="70" t="s">
        <v>3842</v>
      </c>
      <c r="F160" s="76" t="s">
        <v>4051</v>
      </c>
      <c r="G160" s="80" t="s">
        <v>898</v>
      </c>
      <c r="H160" s="228" t="s">
        <v>40</v>
      </c>
      <c r="I160" s="260" t="s">
        <v>4052</v>
      </c>
      <c r="J160" s="54"/>
      <c r="K160" s="115"/>
      <c r="L160" s="115"/>
    </row>
    <row r="161">
      <c r="A161" s="249" t="s">
        <v>171</v>
      </c>
      <c r="B161" s="70" t="s">
        <v>4053</v>
      </c>
      <c r="C161" s="68" t="s">
        <v>4054</v>
      </c>
      <c r="D161" s="68" t="s">
        <v>556</v>
      </c>
      <c r="E161" s="70" t="s">
        <v>4055</v>
      </c>
      <c r="F161" s="233" t="s">
        <v>4056</v>
      </c>
      <c r="G161" s="80" t="s">
        <v>556</v>
      </c>
      <c r="H161" s="233" t="s">
        <v>736</v>
      </c>
      <c r="I161" s="233" t="s">
        <v>4033</v>
      </c>
      <c r="J161" s="54"/>
      <c r="K161" s="115"/>
      <c r="L161" s="115"/>
    </row>
    <row r="162">
      <c r="A162" s="249" t="s">
        <v>171</v>
      </c>
      <c r="B162" s="70" t="s">
        <v>3662</v>
      </c>
      <c r="C162" s="68" t="s">
        <v>3663</v>
      </c>
      <c r="D162" s="68" t="s">
        <v>556</v>
      </c>
      <c r="E162" s="70" t="s">
        <v>3861</v>
      </c>
      <c r="F162" s="76" t="s">
        <v>4057</v>
      </c>
      <c r="G162" s="84" t="s">
        <v>24</v>
      </c>
      <c r="H162" s="228" t="s">
        <v>40</v>
      </c>
      <c r="I162" s="228" t="s">
        <v>2368</v>
      </c>
      <c r="J162" s="54"/>
      <c r="K162" s="115"/>
      <c r="L162" s="115"/>
    </row>
    <row r="163">
      <c r="A163" s="249" t="s">
        <v>171</v>
      </c>
      <c r="B163" s="70" t="s">
        <v>3662</v>
      </c>
      <c r="C163" s="68" t="s">
        <v>3667</v>
      </c>
      <c r="D163" s="68" t="s">
        <v>556</v>
      </c>
      <c r="E163" s="70" t="s">
        <v>228</v>
      </c>
      <c r="F163" s="76" t="s">
        <v>4057</v>
      </c>
      <c r="G163" s="84" t="s">
        <v>24</v>
      </c>
      <c r="H163" s="233" t="s">
        <v>736</v>
      </c>
      <c r="I163" s="228" t="s">
        <v>626</v>
      </c>
      <c r="J163" s="54"/>
      <c r="K163" s="115"/>
      <c r="L163" s="115"/>
    </row>
    <row r="164">
      <c r="A164" s="249" t="s">
        <v>171</v>
      </c>
      <c r="B164" s="70" t="s">
        <v>4058</v>
      </c>
      <c r="C164" s="68" t="s">
        <v>3349</v>
      </c>
      <c r="D164" s="68" t="s">
        <v>556</v>
      </c>
      <c r="E164" s="70" t="s">
        <v>4059</v>
      </c>
      <c r="F164" s="228" t="s">
        <v>4060</v>
      </c>
      <c r="G164" s="84" t="s">
        <v>24</v>
      </c>
      <c r="H164" s="233" t="s">
        <v>556</v>
      </c>
      <c r="I164" s="228" t="s">
        <v>4061</v>
      </c>
      <c r="J164" s="54"/>
      <c r="K164" s="115"/>
      <c r="L164" s="115"/>
    </row>
    <row r="165">
      <c r="A165" s="249" t="s">
        <v>171</v>
      </c>
      <c r="B165" s="70" t="s">
        <v>4058</v>
      </c>
      <c r="C165" s="68" t="s">
        <v>4062</v>
      </c>
      <c r="D165" s="68" t="s">
        <v>556</v>
      </c>
      <c r="E165" s="70" t="s">
        <v>4063</v>
      </c>
      <c r="F165" s="228" t="s">
        <v>4060</v>
      </c>
      <c r="G165" s="84" t="s">
        <v>24</v>
      </c>
      <c r="H165" s="233" t="s">
        <v>556</v>
      </c>
      <c r="I165" s="228" t="s">
        <v>4061</v>
      </c>
      <c r="J165" s="54"/>
      <c r="K165" s="115"/>
      <c r="L165" s="115"/>
    </row>
    <row r="166">
      <c r="A166" s="249" t="s">
        <v>171</v>
      </c>
      <c r="B166" s="70" t="s">
        <v>4058</v>
      </c>
      <c r="C166" s="68" t="s">
        <v>4064</v>
      </c>
      <c r="D166" s="68" t="s">
        <v>556</v>
      </c>
      <c r="E166" s="70" t="s">
        <v>4065</v>
      </c>
      <c r="F166" s="228" t="s">
        <v>4060</v>
      </c>
      <c r="G166" s="84" t="s">
        <v>24</v>
      </c>
      <c r="H166" s="233" t="s">
        <v>556</v>
      </c>
      <c r="I166" s="228" t="s">
        <v>4061</v>
      </c>
      <c r="J166" s="54"/>
      <c r="K166" s="115"/>
      <c r="L166" s="115"/>
    </row>
    <row r="167">
      <c r="A167" s="249" t="s">
        <v>171</v>
      </c>
      <c r="B167" s="70" t="s">
        <v>3673</v>
      </c>
      <c r="C167" s="68" t="s">
        <v>4066</v>
      </c>
      <c r="D167" s="68" t="s">
        <v>556</v>
      </c>
      <c r="E167" s="70" t="s">
        <v>4067</v>
      </c>
      <c r="F167" s="233" t="s">
        <v>4068</v>
      </c>
      <c r="G167" s="84" t="s">
        <v>24</v>
      </c>
      <c r="H167" s="233" t="s">
        <v>736</v>
      </c>
      <c r="I167" s="228" t="s">
        <v>626</v>
      </c>
      <c r="J167" s="54"/>
      <c r="K167" s="115"/>
      <c r="L167" s="115"/>
    </row>
    <row r="168">
      <c r="A168" s="249" t="s">
        <v>171</v>
      </c>
      <c r="B168" s="70" t="s">
        <v>4069</v>
      </c>
      <c r="C168" s="68" t="s">
        <v>4070</v>
      </c>
      <c r="D168" s="68" t="s">
        <v>556</v>
      </c>
      <c r="E168" s="70" t="s">
        <v>463</v>
      </c>
      <c r="F168" s="228" t="s">
        <v>4071</v>
      </c>
      <c r="G168" s="80" t="s">
        <v>556</v>
      </c>
      <c r="H168" s="233" t="s">
        <v>4072</v>
      </c>
      <c r="I168" s="228" t="s">
        <v>626</v>
      </c>
      <c r="J168" s="54"/>
      <c r="K168" s="115"/>
      <c r="L168" s="115"/>
    </row>
    <row r="169">
      <c r="A169" s="249" t="s">
        <v>171</v>
      </c>
      <c r="B169" s="70" t="s">
        <v>3233</v>
      </c>
      <c r="C169" s="68" t="s">
        <v>3234</v>
      </c>
      <c r="D169" s="68" t="s">
        <v>556</v>
      </c>
      <c r="E169" s="70" t="s">
        <v>1581</v>
      </c>
      <c r="F169" s="228" t="s">
        <v>4073</v>
      </c>
      <c r="G169" s="84" t="s">
        <v>24</v>
      </c>
      <c r="H169" s="233" t="s">
        <v>736</v>
      </c>
      <c r="I169" s="228" t="s">
        <v>103</v>
      </c>
      <c r="J169" s="54"/>
      <c r="K169" s="115"/>
      <c r="L169" s="115"/>
    </row>
    <row r="170">
      <c r="A170" s="249" t="s">
        <v>171</v>
      </c>
      <c r="B170" s="70" t="s">
        <v>3233</v>
      </c>
      <c r="C170" s="68" t="s">
        <v>4074</v>
      </c>
      <c r="D170" s="68" t="s">
        <v>556</v>
      </c>
      <c r="E170" s="70" t="s">
        <v>4075</v>
      </c>
      <c r="F170" s="228" t="s">
        <v>4076</v>
      </c>
      <c r="G170" s="84" t="s">
        <v>24</v>
      </c>
      <c r="H170" s="233" t="s">
        <v>2872</v>
      </c>
      <c r="I170" s="228" t="s">
        <v>103</v>
      </c>
      <c r="J170" s="54"/>
      <c r="K170" s="115"/>
      <c r="L170" s="115"/>
    </row>
    <row r="171">
      <c r="A171" s="249" t="s">
        <v>171</v>
      </c>
      <c r="B171" s="70" t="s">
        <v>3233</v>
      </c>
      <c r="C171" s="68" t="s">
        <v>4077</v>
      </c>
      <c r="D171" s="68" t="s">
        <v>556</v>
      </c>
      <c r="E171" s="70" t="s">
        <v>3904</v>
      </c>
      <c r="F171" s="228" t="s">
        <v>4076</v>
      </c>
      <c r="G171" s="84" t="s">
        <v>24</v>
      </c>
      <c r="H171" s="233" t="s">
        <v>2872</v>
      </c>
      <c r="I171" s="228" t="s">
        <v>103</v>
      </c>
      <c r="J171" s="54"/>
      <c r="K171" s="115"/>
      <c r="L171" s="115"/>
    </row>
    <row r="172">
      <c r="A172" s="249" t="s">
        <v>171</v>
      </c>
      <c r="B172" s="70" t="s">
        <v>2265</v>
      </c>
      <c r="C172" s="68" t="s">
        <v>4078</v>
      </c>
      <c r="D172" s="68" t="s">
        <v>556</v>
      </c>
      <c r="E172" s="70" t="s">
        <v>3253</v>
      </c>
      <c r="F172" s="76" t="s">
        <v>4079</v>
      </c>
      <c r="G172" s="84" t="s">
        <v>24</v>
      </c>
      <c r="H172" s="233" t="s">
        <v>4080</v>
      </c>
      <c r="I172" s="228" t="s">
        <v>3970</v>
      </c>
      <c r="J172" s="54"/>
      <c r="K172" s="115"/>
      <c r="L172" s="115"/>
    </row>
    <row r="173" ht="18.75" customHeight="1">
      <c r="A173" s="249" t="s">
        <v>171</v>
      </c>
      <c r="B173" s="70" t="s">
        <v>4081</v>
      </c>
      <c r="C173" s="68" t="s">
        <v>4082</v>
      </c>
      <c r="D173" s="68" t="s">
        <v>556</v>
      </c>
      <c r="E173" s="70" t="s">
        <v>4083</v>
      </c>
      <c r="F173" s="233" t="s">
        <v>4084</v>
      </c>
      <c r="G173" s="80" t="s">
        <v>556</v>
      </c>
      <c r="H173" s="233" t="s">
        <v>556</v>
      </c>
      <c r="I173" s="233" t="s">
        <v>556</v>
      </c>
      <c r="J173" s="54"/>
      <c r="K173" s="115"/>
      <c r="L173" s="115"/>
    </row>
    <row r="174">
      <c r="A174" s="249" t="s">
        <v>171</v>
      </c>
      <c r="B174" s="70" t="s">
        <v>4085</v>
      </c>
      <c r="C174" s="68" t="s">
        <v>4086</v>
      </c>
      <c r="D174" s="68" t="s">
        <v>556</v>
      </c>
      <c r="E174" s="70" t="s">
        <v>73</v>
      </c>
      <c r="F174" s="228" t="s">
        <v>4087</v>
      </c>
      <c r="G174" s="84" t="s">
        <v>24</v>
      </c>
      <c r="H174" s="228" t="s">
        <v>40</v>
      </c>
      <c r="I174" s="228" t="s">
        <v>2368</v>
      </c>
      <c r="J174" s="54"/>
      <c r="K174" s="115"/>
      <c r="L174" s="115"/>
    </row>
    <row r="175">
      <c r="A175" s="249" t="s">
        <v>171</v>
      </c>
      <c r="B175" s="70" t="s">
        <v>4088</v>
      </c>
      <c r="C175" s="68" t="s">
        <v>4089</v>
      </c>
      <c r="D175" s="68" t="s">
        <v>556</v>
      </c>
      <c r="E175" s="70" t="s">
        <v>4090</v>
      </c>
      <c r="F175" s="76" t="s">
        <v>4091</v>
      </c>
      <c r="G175" s="84" t="s">
        <v>24</v>
      </c>
      <c r="H175" s="91" t="s">
        <v>3365</v>
      </c>
      <c r="I175" s="260" t="s">
        <v>4092</v>
      </c>
      <c r="J175" s="54"/>
      <c r="K175" s="115"/>
      <c r="L175" s="115"/>
    </row>
    <row r="176">
      <c r="A176" s="249" t="s">
        <v>171</v>
      </c>
      <c r="B176" s="70" t="s">
        <v>4093</v>
      </c>
      <c r="C176" s="68" t="s">
        <v>2465</v>
      </c>
      <c r="D176" s="68" t="s">
        <v>556</v>
      </c>
      <c r="E176" s="70" t="s">
        <v>3861</v>
      </c>
      <c r="F176" s="76" t="s">
        <v>4094</v>
      </c>
      <c r="G176" s="80" t="s">
        <v>898</v>
      </c>
      <c r="H176" s="233" t="s">
        <v>4095</v>
      </c>
      <c r="I176" s="233" t="s">
        <v>3724</v>
      </c>
      <c r="J176" s="54"/>
      <c r="K176" s="115"/>
      <c r="L176" s="115"/>
    </row>
    <row r="177">
      <c r="A177" s="249" t="s">
        <v>171</v>
      </c>
      <c r="B177" s="70" t="s">
        <v>4096</v>
      </c>
      <c r="C177" s="68" t="s">
        <v>4097</v>
      </c>
      <c r="D177" s="68" t="s">
        <v>556</v>
      </c>
      <c r="E177" s="70" t="s">
        <v>4041</v>
      </c>
      <c r="F177" s="76" t="s">
        <v>4098</v>
      </c>
      <c r="G177" s="80" t="s">
        <v>3819</v>
      </c>
      <c r="H177" s="233" t="s">
        <v>4099</v>
      </c>
      <c r="I177" s="233" t="s">
        <v>3724</v>
      </c>
      <c r="J177" s="54"/>
      <c r="K177" s="115"/>
      <c r="L177" s="115"/>
    </row>
    <row r="178">
      <c r="A178" s="249" t="s">
        <v>171</v>
      </c>
      <c r="B178" s="70" t="s">
        <v>4100</v>
      </c>
      <c r="C178" s="68" t="s">
        <v>4101</v>
      </c>
      <c r="D178" s="105">
        <v>45457.0</v>
      </c>
      <c r="E178" s="70" t="s">
        <v>4102</v>
      </c>
      <c r="F178" s="228" t="s">
        <v>4103</v>
      </c>
      <c r="G178" s="80" t="s">
        <v>898</v>
      </c>
      <c r="H178" s="233" t="s">
        <v>25</v>
      </c>
      <c r="I178" s="233" t="s">
        <v>1933</v>
      </c>
      <c r="J178" s="54"/>
      <c r="K178" s="115"/>
      <c r="L178" s="115"/>
    </row>
    <row r="179">
      <c r="A179" s="249" t="s">
        <v>171</v>
      </c>
      <c r="B179" s="70" t="s">
        <v>4104</v>
      </c>
      <c r="C179" s="68" t="s">
        <v>4105</v>
      </c>
      <c r="D179" s="68" t="s">
        <v>556</v>
      </c>
      <c r="E179" s="70" t="s">
        <v>107</v>
      </c>
      <c r="F179" s="233" t="s">
        <v>4106</v>
      </c>
      <c r="G179" s="80" t="s">
        <v>3819</v>
      </c>
      <c r="H179" s="233" t="s">
        <v>4107</v>
      </c>
      <c r="I179" s="228" t="s">
        <v>626</v>
      </c>
      <c r="J179" s="54"/>
      <c r="K179" s="115"/>
      <c r="L179" s="115"/>
    </row>
    <row r="180">
      <c r="A180" s="249" t="s">
        <v>171</v>
      </c>
      <c r="B180" s="70" t="s">
        <v>650</v>
      </c>
      <c r="C180" s="68" t="s">
        <v>4108</v>
      </c>
      <c r="D180" s="68" t="s">
        <v>556</v>
      </c>
      <c r="E180" s="70" t="s">
        <v>460</v>
      </c>
      <c r="F180" s="76" t="s">
        <v>4109</v>
      </c>
      <c r="G180" s="80" t="s">
        <v>3819</v>
      </c>
      <c r="H180" s="228" t="s">
        <v>40</v>
      </c>
      <c r="I180" s="260" t="s">
        <v>4052</v>
      </c>
      <c r="J180" s="54"/>
      <c r="K180" s="115"/>
      <c r="L180" s="115"/>
    </row>
    <row r="181">
      <c r="A181" s="249" t="s">
        <v>171</v>
      </c>
      <c r="B181" s="70" t="s">
        <v>4110</v>
      </c>
      <c r="C181" s="68" t="s">
        <v>4108</v>
      </c>
      <c r="D181" s="105">
        <v>45727.0</v>
      </c>
      <c r="E181" s="70" t="s">
        <v>4111</v>
      </c>
      <c r="F181" s="228" t="s">
        <v>4112</v>
      </c>
      <c r="G181" s="84" t="s">
        <v>24</v>
      </c>
      <c r="H181" s="228" t="s">
        <v>40</v>
      </c>
      <c r="I181" s="228" t="s">
        <v>3139</v>
      </c>
      <c r="J181" s="54"/>
      <c r="K181" s="115"/>
      <c r="L181" s="115"/>
    </row>
    <row r="182">
      <c r="A182" s="249" t="s">
        <v>171</v>
      </c>
      <c r="B182" s="70" t="s">
        <v>4113</v>
      </c>
      <c r="C182" s="68" t="s">
        <v>4114</v>
      </c>
      <c r="D182" s="68" t="s">
        <v>1917</v>
      </c>
      <c r="E182" s="70" t="s">
        <v>1372</v>
      </c>
      <c r="F182" s="228" t="s">
        <v>4115</v>
      </c>
      <c r="G182" s="84" t="s">
        <v>24</v>
      </c>
      <c r="H182" s="228" t="s">
        <v>40</v>
      </c>
      <c r="I182" s="260" t="s">
        <v>4116</v>
      </c>
      <c r="J182" s="54"/>
      <c r="K182" s="115"/>
      <c r="L182" s="115"/>
    </row>
    <row r="183">
      <c r="A183" s="249" t="s">
        <v>171</v>
      </c>
      <c r="B183" s="70" t="s">
        <v>4117</v>
      </c>
      <c r="C183" s="68" t="s">
        <v>4118</v>
      </c>
      <c r="D183" s="68" t="s">
        <v>556</v>
      </c>
      <c r="E183" s="70" t="s">
        <v>4119</v>
      </c>
      <c r="F183" s="76" t="s">
        <v>4120</v>
      </c>
      <c r="G183" s="80" t="s">
        <v>3819</v>
      </c>
      <c r="H183" s="233" t="s">
        <v>4121</v>
      </c>
      <c r="I183" s="228" t="s">
        <v>4122</v>
      </c>
      <c r="J183" s="54"/>
      <c r="K183" s="115"/>
      <c r="L183" s="115"/>
    </row>
    <row r="184">
      <c r="A184" s="249" t="s">
        <v>171</v>
      </c>
      <c r="B184" s="70" t="s">
        <v>4123</v>
      </c>
      <c r="C184" s="45" t="s">
        <v>4124</v>
      </c>
      <c r="D184" s="68" t="s">
        <v>556</v>
      </c>
      <c r="E184" s="70" t="s">
        <v>4125</v>
      </c>
      <c r="F184" s="76" t="s">
        <v>4126</v>
      </c>
      <c r="G184" s="84" t="s">
        <v>24</v>
      </c>
      <c r="H184" s="228" t="s">
        <v>3706</v>
      </c>
      <c r="I184" s="231" t="s">
        <v>4127</v>
      </c>
      <c r="J184" s="54"/>
      <c r="K184" s="115"/>
      <c r="L184" s="115"/>
    </row>
    <row r="185">
      <c r="A185" s="249" t="s">
        <v>171</v>
      </c>
      <c r="B185" s="70" t="s">
        <v>4128</v>
      </c>
      <c r="C185" s="68" t="s">
        <v>4129</v>
      </c>
      <c r="D185" s="68" t="s">
        <v>556</v>
      </c>
      <c r="E185" s="70" t="s">
        <v>2900</v>
      </c>
      <c r="F185" s="76" t="s">
        <v>3605</v>
      </c>
      <c r="G185" s="80" t="s">
        <v>898</v>
      </c>
      <c r="H185" s="228" t="s">
        <v>40</v>
      </c>
      <c r="I185" s="231" t="s">
        <v>4130</v>
      </c>
      <c r="J185" s="54"/>
      <c r="K185" s="115"/>
      <c r="L185" s="115"/>
    </row>
    <row r="186">
      <c r="A186" s="249" t="s">
        <v>171</v>
      </c>
      <c r="B186" s="70" t="s">
        <v>3610</v>
      </c>
      <c r="C186" s="68" t="s">
        <v>3611</v>
      </c>
      <c r="D186" s="68" t="s">
        <v>556</v>
      </c>
      <c r="E186" s="70" t="s">
        <v>3704</v>
      </c>
      <c r="F186" s="228" t="s">
        <v>4131</v>
      </c>
      <c r="G186" s="80" t="s">
        <v>898</v>
      </c>
      <c r="H186" s="228" t="s">
        <v>40</v>
      </c>
      <c r="I186" s="231" t="s">
        <v>4127</v>
      </c>
      <c r="J186" s="54"/>
      <c r="K186" s="115"/>
      <c r="L186" s="115"/>
    </row>
    <row r="187">
      <c r="A187" s="249" t="s">
        <v>171</v>
      </c>
      <c r="B187" s="70" t="s">
        <v>4132</v>
      </c>
      <c r="C187" s="68" t="s">
        <v>4133</v>
      </c>
      <c r="D187" s="68" t="s">
        <v>556</v>
      </c>
      <c r="E187" s="70" t="s">
        <v>292</v>
      </c>
      <c r="F187" s="76" t="s">
        <v>4134</v>
      </c>
      <c r="G187" s="80" t="s">
        <v>898</v>
      </c>
      <c r="H187" s="233" t="s">
        <v>4135</v>
      </c>
      <c r="I187" s="231" t="s">
        <v>4127</v>
      </c>
      <c r="J187" s="54"/>
      <c r="K187" s="115"/>
      <c r="L187" s="115"/>
    </row>
    <row r="188">
      <c r="A188" s="249" t="s">
        <v>171</v>
      </c>
      <c r="B188" s="70" t="s">
        <v>4136</v>
      </c>
      <c r="C188" s="68" t="s">
        <v>4137</v>
      </c>
      <c r="D188" s="105">
        <v>45308.0</v>
      </c>
      <c r="E188" s="70" t="s">
        <v>292</v>
      </c>
      <c r="F188" s="76" t="s">
        <v>4138</v>
      </c>
      <c r="G188" s="80" t="s">
        <v>898</v>
      </c>
      <c r="H188" s="233" t="s">
        <v>4139</v>
      </c>
      <c r="I188" s="233" t="s">
        <v>1933</v>
      </c>
      <c r="J188" s="54"/>
      <c r="K188" s="115"/>
      <c r="L188" s="115"/>
    </row>
    <row r="189">
      <c r="A189" s="249" t="s">
        <v>171</v>
      </c>
      <c r="B189" s="70" t="s">
        <v>4140</v>
      </c>
      <c r="C189" s="68" t="s">
        <v>4141</v>
      </c>
      <c r="D189" s="54"/>
      <c r="E189" s="43" t="s">
        <v>2900</v>
      </c>
      <c r="F189" s="76" t="s">
        <v>4142</v>
      </c>
      <c r="G189" s="84" t="s">
        <v>24</v>
      </c>
      <c r="H189" s="228" t="s">
        <v>40</v>
      </c>
      <c r="I189" s="268" t="s">
        <v>103</v>
      </c>
      <c r="J189" s="54"/>
      <c r="K189" s="115"/>
      <c r="L189" s="115"/>
    </row>
    <row r="190">
      <c r="A190" s="249" t="s">
        <v>1450</v>
      </c>
      <c r="B190" s="70" t="s">
        <v>4143</v>
      </c>
      <c r="C190" s="68" t="s">
        <v>4144</v>
      </c>
      <c r="D190" s="54"/>
      <c r="E190" s="70" t="s">
        <v>3216</v>
      </c>
      <c r="F190" s="76" t="s">
        <v>4145</v>
      </c>
      <c r="G190" s="80" t="s">
        <v>898</v>
      </c>
      <c r="H190" s="115"/>
      <c r="I190" s="233" t="s">
        <v>1933</v>
      </c>
      <c r="J190" s="54"/>
      <c r="K190" s="115"/>
      <c r="L190" s="115"/>
    </row>
    <row r="191">
      <c r="A191" s="249" t="s">
        <v>4146</v>
      </c>
      <c r="B191" s="70" t="s">
        <v>4147</v>
      </c>
      <c r="C191" s="68" t="s">
        <v>4148</v>
      </c>
      <c r="D191" s="54"/>
      <c r="E191" s="70" t="s">
        <v>1094</v>
      </c>
      <c r="F191" s="228" t="s">
        <v>4149</v>
      </c>
      <c r="G191" s="80" t="s">
        <v>898</v>
      </c>
      <c r="H191" s="228" t="s">
        <v>3706</v>
      </c>
      <c r="I191" s="228" t="s">
        <v>3551</v>
      </c>
      <c r="J191" s="54"/>
      <c r="K191" s="115"/>
      <c r="L191" s="115"/>
    </row>
    <row r="192">
      <c r="A192" s="249" t="s">
        <v>171</v>
      </c>
      <c r="B192" s="70" t="s">
        <v>4150</v>
      </c>
      <c r="C192" s="68" t="s">
        <v>4151</v>
      </c>
      <c r="D192" s="54"/>
      <c r="E192" s="70" t="s">
        <v>4152</v>
      </c>
      <c r="F192" s="156" t="s">
        <v>4153</v>
      </c>
      <c r="G192" s="80" t="s">
        <v>898</v>
      </c>
      <c r="H192" s="228" t="s">
        <v>3706</v>
      </c>
      <c r="I192" s="231" t="s">
        <v>4154</v>
      </c>
      <c r="J192" s="54"/>
      <c r="K192" s="115"/>
      <c r="L192" s="115"/>
    </row>
    <row r="193">
      <c r="A193" s="249" t="s">
        <v>171</v>
      </c>
      <c r="B193" s="70" t="s">
        <v>4155</v>
      </c>
      <c r="C193" s="68" t="s">
        <v>4156</v>
      </c>
      <c r="D193" s="105">
        <v>45743.0</v>
      </c>
      <c r="E193" s="70" t="s">
        <v>3840</v>
      </c>
      <c r="F193" s="156" t="s">
        <v>4157</v>
      </c>
      <c r="G193" s="80" t="s">
        <v>898</v>
      </c>
      <c r="H193" s="228" t="s">
        <v>3706</v>
      </c>
      <c r="I193" s="233" t="s">
        <v>1933</v>
      </c>
      <c r="J193" s="54"/>
      <c r="K193" s="115"/>
      <c r="L193" s="115"/>
    </row>
    <row r="194" ht="18.0" customHeight="1">
      <c r="A194" s="249" t="s">
        <v>171</v>
      </c>
      <c r="B194" s="70" t="s">
        <v>4155</v>
      </c>
      <c r="C194" s="68" t="s">
        <v>4158</v>
      </c>
      <c r="D194" s="105">
        <v>45744.0</v>
      </c>
      <c r="E194" s="70" t="s">
        <v>228</v>
      </c>
      <c r="F194" s="259" t="s">
        <v>4159</v>
      </c>
      <c r="G194" s="80" t="s">
        <v>898</v>
      </c>
      <c r="H194" s="233" t="s">
        <v>4160</v>
      </c>
      <c r="I194" s="228" t="s">
        <v>626</v>
      </c>
      <c r="J194" s="54"/>
      <c r="K194" s="115"/>
      <c r="L194" s="115"/>
    </row>
    <row r="195">
      <c r="A195" s="249" t="s">
        <v>1450</v>
      </c>
      <c r="B195" s="70" t="s">
        <v>4161</v>
      </c>
      <c r="C195" s="68" t="s">
        <v>4162</v>
      </c>
      <c r="D195" s="54"/>
      <c r="E195" s="70" t="s">
        <v>3425</v>
      </c>
      <c r="F195" s="156" t="s">
        <v>4163</v>
      </c>
      <c r="G195" s="80" t="s">
        <v>3819</v>
      </c>
      <c r="H195" s="115"/>
      <c r="I195" s="231" t="s">
        <v>4164</v>
      </c>
      <c r="J195" s="54"/>
      <c r="K195" s="115"/>
      <c r="L195" s="115"/>
    </row>
    <row r="196">
      <c r="A196" s="249" t="s">
        <v>305</v>
      </c>
      <c r="B196" s="62" t="s">
        <v>4165</v>
      </c>
      <c r="C196" s="68" t="s">
        <v>4166</v>
      </c>
      <c r="D196" s="105">
        <v>45665.0</v>
      </c>
      <c r="E196" s="70" t="s">
        <v>4167</v>
      </c>
      <c r="F196" s="156" t="s">
        <v>4168</v>
      </c>
      <c r="G196" s="84" t="s">
        <v>24</v>
      </c>
      <c r="H196" s="228" t="s">
        <v>40</v>
      </c>
      <c r="I196" s="228" t="s">
        <v>1042</v>
      </c>
      <c r="J196" s="54"/>
      <c r="K196" s="115"/>
      <c r="L196" s="115"/>
    </row>
    <row r="197">
      <c r="A197" s="249" t="s">
        <v>171</v>
      </c>
      <c r="B197" s="70" t="s">
        <v>4165</v>
      </c>
      <c r="C197" s="68" t="s">
        <v>4169</v>
      </c>
      <c r="D197" s="105">
        <v>45666.0</v>
      </c>
      <c r="E197" s="70" t="s">
        <v>4170</v>
      </c>
      <c r="F197" s="259" t="s">
        <v>4168</v>
      </c>
      <c r="G197" s="84" t="s">
        <v>24</v>
      </c>
      <c r="H197" s="228" t="s">
        <v>40</v>
      </c>
      <c r="I197" s="228" t="s">
        <v>626</v>
      </c>
      <c r="J197" s="54"/>
      <c r="K197" s="115"/>
      <c r="L197" s="115"/>
    </row>
    <row r="198">
      <c r="A198" s="249" t="s">
        <v>171</v>
      </c>
      <c r="B198" s="70" t="s">
        <v>4171</v>
      </c>
      <c r="C198" s="68" t="s">
        <v>4172</v>
      </c>
      <c r="D198" s="54"/>
      <c r="E198" s="70" t="s">
        <v>1814</v>
      </c>
      <c r="F198" s="76" t="s">
        <v>4173</v>
      </c>
      <c r="G198" s="80" t="s">
        <v>898</v>
      </c>
      <c r="H198" s="233" t="s">
        <v>4174</v>
      </c>
      <c r="I198" s="231" t="s">
        <v>4175</v>
      </c>
      <c r="J198" s="54"/>
      <c r="K198" s="115"/>
      <c r="L198" s="115"/>
    </row>
    <row r="199">
      <c r="A199" s="249" t="s">
        <v>171</v>
      </c>
      <c r="B199" s="70" t="s">
        <v>4176</v>
      </c>
      <c r="C199" s="68" t="s">
        <v>4177</v>
      </c>
      <c r="D199" s="105" t="s">
        <v>556</v>
      </c>
      <c r="E199" s="70" t="s">
        <v>1576</v>
      </c>
      <c r="F199" s="156" t="s">
        <v>4178</v>
      </c>
      <c r="G199" s="80" t="s">
        <v>3819</v>
      </c>
      <c r="H199" s="233" t="s">
        <v>736</v>
      </c>
      <c r="I199" s="231" t="s">
        <v>4179</v>
      </c>
      <c r="J199" s="54"/>
      <c r="K199" s="115"/>
      <c r="L199" s="115"/>
    </row>
    <row r="200">
      <c r="A200" s="249"/>
      <c r="B200" s="231" t="s">
        <v>4180</v>
      </c>
      <c r="C200" s="68" t="s">
        <v>4181</v>
      </c>
      <c r="D200" s="105" t="s">
        <v>556</v>
      </c>
      <c r="E200" s="70" t="s">
        <v>4182</v>
      </c>
      <c r="F200" s="228" t="s">
        <v>4183</v>
      </c>
      <c r="G200" s="84" t="s">
        <v>24</v>
      </c>
      <c r="H200" s="228" t="s">
        <v>40</v>
      </c>
      <c r="I200" s="228" t="s">
        <v>3970</v>
      </c>
      <c r="J200" s="54"/>
      <c r="K200" s="115"/>
      <c r="L200" s="115"/>
    </row>
    <row r="201">
      <c r="A201" s="249"/>
      <c r="B201" s="231" t="s">
        <v>4180</v>
      </c>
      <c r="C201" s="68" t="s">
        <v>4184</v>
      </c>
      <c r="D201" s="105" t="s">
        <v>556</v>
      </c>
      <c r="E201" s="70" t="s">
        <v>4185</v>
      </c>
      <c r="F201" s="228" t="s">
        <v>4183</v>
      </c>
      <c r="G201" s="84" t="s">
        <v>24</v>
      </c>
      <c r="H201" s="228" t="s">
        <v>40</v>
      </c>
      <c r="I201" s="233" t="s">
        <v>4186</v>
      </c>
      <c r="J201" s="54"/>
      <c r="K201" s="115"/>
      <c r="L201" s="115"/>
    </row>
    <row r="202" ht="18.0" customHeight="1">
      <c r="A202" s="249" t="s">
        <v>305</v>
      </c>
      <c r="B202" s="228" t="s">
        <v>4180</v>
      </c>
      <c r="C202" s="68" t="s">
        <v>4187</v>
      </c>
      <c r="D202" s="105" t="s">
        <v>556</v>
      </c>
      <c r="E202" s="70" t="s">
        <v>3817</v>
      </c>
      <c r="F202" s="269" t="s">
        <v>4188</v>
      </c>
      <c r="G202" s="84" t="s">
        <v>24</v>
      </c>
      <c r="H202" s="228" t="s">
        <v>40</v>
      </c>
      <c r="I202" s="228" t="s">
        <v>103</v>
      </c>
      <c r="J202" s="54"/>
      <c r="K202" s="115"/>
      <c r="L202" s="115"/>
    </row>
    <row r="203">
      <c r="A203" s="249"/>
      <c r="B203" s="231" t="s">
        <v>4180</v>
      </c>
      <c r="C203" s="68" t="s">
        <v>4189</v>
      </c>
      <c r="D203" s="105" t="s">
        <v>556</v>
      </c>
      <c r="E203" s="70" t="s">
        <v>4190</v>
      </c>
      <c r="F203" s="270" t="s">
        <v>4183</v>
      </c>
      <c r="G203" s="84" t="s">
        <v>24</v>
      </c>
      <c r="H203" s="228" t="s">
        <v>40</v>
      </c>
      <c r="I203" s="228" t="s">
        <v>626</v>
      </c>
      <c r="J203" s="54"/>
      <c r="K203" s="115"/>
      <c r="L203" s="115"/>
    </row>
    <row r="204">
      <c r="A204" s="249"/>
      <c r="B204" s="231" t="s">
        <v>4191</v>
      </c>
      <c r="C204" s="68" t="s">
        <v>4192</v>
      </c>
      <c r="D204" s="105" t="s">
        <v>556</v>
      </c>
      <c r="E204" s="70" t="s">
        <v>1087</v>
      </c>
      <c r="F204" s="62" t="s">
        <v>4193</v>
      </c>
      <c r="G204" s="84" t="s">
        <v>24</v>
      </c>
      <c r="H204" s="228" t="s">
        <v>40</v>
      </c>
      <c r="I204" s="231" t="s">
        <v>4194</v>
      </c>
      <c r="J204" s="54"/>
      <c r="K204" s="115"/>
      <c r="L204" s="115"/>
    </row>
    <row r="205" ht="18.0" customHeight="1">
      <c r="A205" s="249"/>
      <c r="B205" s="231" t="s">
        <v>4195</v>
      </c>
      <c r="C205" s="68" t="s">
        <v>4196</v>
      </c>
      <c r="D205" s="105" t="s">
        <v>556</v>
      </c>
      <c r="E205" s="70" t="s">
        <v>1087</v>
      </c>
      <c r="F205" s="62" t="s">
        <v>4193</v>
      </c>
      <c r="G205" s="80" t="s">
        <v>3819</v>
      </c>
      <c r="H205" s="228" t="s">
        <v>40</v>
      </c>
      <c r="I205" s="231" t="s">
        <v>4194</v>
      </c>
      <c r="J205" s="54"/>
      <c r="K205" s="115"/>
      <c r="L205" s="115"/>
    </row>
    <row r="206">
      <c r="A206" s="249" t="s">
        <v>171</v>
      </c>
      <c r="B206" s="70" t="s">
        <v>4197</v>
      </c>
      <c r="C206" s="68" t="s">
        <v>3106</v>
      </c>
      <c r="D206" s="105" t="s">
        <v>556</v>
      </c>
      <c r="E206" s="70" t="s">
        <v>228</v>
      </c>
      <c r="F206" s="228" t="s">
        <v>775</v>
      </c>
      <c r="G206" s="84" t="s">
        <v>24</v>
      </c>
      <c r="H206" s="228" t="s">
        <v>40</v>
      </c>
      <c r="I206" s="228" t="s">
        <v>626</v>
      </c>
      <c r="J206" s="54"/>
      <c r="K206" s="115"/>
      <c r="L206" s="115"/>
    </row>
    <row r="207">
      <c r="A207" s="249" t="s">
        <v>149</v>
      </c>
      <c r="B207" s="70" t="s">
        <v>4198</v>
      </c>
      <c r="C207" s="68" t="s">
        <v>4199</v>
      </c>
      <c r="D207" s="105" t="s">
        <v>556</v>
      </c>
      <c r="E207" s="70" t="s">
        <v>3554</v>
      </c>
      <c r="F207" s="228" t="s">
        <v>4200</v>
      </c>
      <c r="G207" s="80" t="s">
        <v>3819</v>
      </c>
      <c r="H207" s="228" t="s">
        <v>40</v>
      </c>
      <c r="I207" s="228" t="s">
        <v>626</v>
      </c>
      <c r="J207" s="54"/>
      <c r="K207" s="115"/>
      <c r="L207" s="115"/>
    </row>
    <row r="208">
      <c r="A208" s="249" t="s">
        <v>171</v>
      </c>
      <c r="B208" s="70" t="s">
        <v>4201</v>
      </c>
      <c r="C208" s="68" t="s">
        <v>4202</v>
      </c>
      <c r="D208" s="105" t="s">
        <v>556</v>
      </c>
      <c r="E208" s="70" t="s">
        <v>3817</v>
      </c>
      <c r="F208" s="259" t="s">
        <v>4203</v>
      </c>
      <c r="G208" s="84" t="s">
        <v>24</v>
      </c>
      <c r="H208" s="233" t="s">
        <v>4204</v>
      </c>
      <c r="I208" s="233" t="s">
        <v>4205</v>
      </c>
      <c r="J208" s="54"/>
      <c r="K208" s="115"/>
      <c r="L208" s="115"/>
    </row>
    <row r="209">
      <c r="A209" s="249" t="s">
        <v>1450</v>
      </c>
      <c r="B209" s="231" t="s">
        <v>3006</v>
      </c>
      <c r="C209" s="68" t="s">
        <v>4206</v>
      </c>
      <c r="D209" s="54"/>
      <c r="E209" s="70" t="s">
        <v>4207</v>
      </c>
      <c r="F209" s="62" t="s">
        <v>4208</v>
      </c>
      <c r="G209" s="84" t="s">
        <v>24</v>
      </c>
      <c r="H209" s="115"/>
      <c r="I209" s="70" t="s">
        <v>4209</v>
      </c>
      <c r="J209" s="54"/>
      <c r="K209" s="115"/>
      <c r="L209" s="115"/>
    </row>
    <row r="210">
      <c r="A210" s="249" t="s">
        <v>1450</v>
      </c>
      <c r="B210" s="70" t="s">
        <v>2501</v>
      </c>
      <c r="C210" s="68" t="s">
        <v>4210</v>
      </c>
      <c r="D210" s="54"/>
      <c r="E210" s="70" t="s">
        <v>2374</v>
      </c>
      <c r="F210" s="156" t="s">
        <v>4211</v>
      </c>
      <c r="G210" s="84" t="s">
        <v>24</v>
      </c>
      <c r="H210" s="115"/>
      <c r="I210" s="70" t="s">
        <v>4212</v>
      </c>
      <c r="J210" s="54"/>
      <c r="K210" s="115"/>
      <c r="L210" s="115"/>
    </row>
    <row r="211">
      <c r="A211" s="249" t="s">
        <v>305</v>
      </c>
      <c r="B211" s="228" t="s">
        <v>4213</v>
      </c>
      <c r="C211" s="68" t="s">
        <v>4206</v>
      </c>
      <c r="D211" s="105">
        <v>45672.0</v>
      </c>
      <c r="E211" s="70" t="s">
        <v>2559</v>
      </c>
      <c r="F211" s="259" t="s">
        <v>4214</v>
      </c>
      <c r="G211" s="84" t="s">
        <v>24</v>
      </c>
      <c r="H211" s="228" t="s">
        <v>25</v>
      </c>
      <c r="I211" s="228" t="s">
        <v>4215</v>
      </c>
      <c r="J211" s="54"/>
      <c r="K211" s="115"/>
      <c r="L211" s="115"/>
    </row>
    <row r="212">
      <c r="A212" s="249" t="s">
        <v>171</v>
      </c>
      <c r="B212" s="70" t="s">
        <v>4216</v>
      </c>
      <c r="C212" s="68" t="s">
        <v>4217</v>
      </c>
      <c r="D212" s="102">
        <v>45576.0</v>
      </c>
      <c r="E212" s="70" t="s">
        <v>357</v>
      </c>
      <c r="F212" s="228" t="s">
        <v>4218</v>
      </c>
      <c r="G212" s="80" t="s">
        <v>898</v>
      </c>
      <c r="H212" s="228" t="s">
        <v>25</v>
      </c>
      <c r="I212" s="231" t="s">
        <v>4219</v>
      </c>
      <c r="J212" s="54"/>
      <c r="K212" s="115"/>
      <c r="L212" s="115"/>
    </row>
    <row r="213">
      <c r="A213" s="249" t="s">
        <v>171</v>
      </c>
      <c r="B213" s="70" t="s">
        <v>4143</v>
      </c>
      <c r="C213" s="68" t="s">
        <v>4220</v>
      </c>
      <c r="D213" s="68" t="s">
        <v>556</v>
      </c>
      <c r="E213" s="70" t="s">
        <v>3216</v>
      </c>
      <c r="F213" s="259" t="s">
        <v>4145</v>
      </c>
      <c r="G213" s="80" t="s">
        <v>898</v>
      </c>
      <c r="H213" s="228" t="s">
        <v>25</v>
      </c>
      <c r="I213" s="233" t="s">
        <v>1933</v>
      </c>
      <c r="J213" s="54"/>
      <c r="K213" s="115"/>
      <c r="L213" s="115"/>
    </row>
    <row r="214">
      <c r="A214" s="249" t="s">
        <v>274</v>
      </c>
      <c r="B214" s="70" t="s">
        <v>3006</v>
      </c>
      <c r="C214" s="68" t="s">
        <v>4206</v>
      </c>
      <c r="D214" s="68"/>
      <c r="E214" s="70" t="s">
        <v>4221</v>
      </c>
      <c r="F214" s="228" t="s">
        <v>4222</v>
      </c>
      <c r="G214" s="84" t="s">
        <v>24</v>
      </c>
      <c r="H214" s="115"/>
      <c r="I214" s="70" t="s">
        <v>4209</v>
      </c>
      <c r="J214" s="54"/>
      <c r="K214" s="115"/>
      <c r="L214" s="115"/>
    </row>
    <row r="215">
      <c r="A215" s="249" t="s">
        <v>171</v>
      </c>
      <c r="B215" s="70" t="s">
        <v>4223</v>
      </c>
      <c r="C215" s="68" t="s">
        <v>4224</v>
      </c>
      <c r="D215" s="271"/>
      <c r="E215" s="70" t="s">
        <v>1281</v>
      </c>
      <c r="F215" s="228" t="s">
        <v>4225</v>
      </c>
      <c r="G215" s="84" t="s">
        <v>24</v>
      </c>
      <c r="H215" s="228" t="s">
        <v>3706</v>
      </c>
      <c r="I215" s="233" t="s">
        <v>1933</v>
      </c>
      <c r="J215" s="54"/>
      <c r="K215" s="115"/>
      <c r="L215" s="115"/>
    </row>
    <row r="216">
      <c r="A216" s="249" t="s">
        <v>171</v>
      </c>
      <c r="B216" s="70" t="s">
        <v>4223</v>
      </c>
      <c r="C216" s="68" t="s">
        <v>4224</v>
      </c>
      <c r="D216" s="271"/>
      <c r="E216" s="70" t="s">
        <v>4226</v>
      </c>
      <c r="F216" s="228" t="s">
        <v>4225</v>
      </c>
      <c r="G216" s="84" t="s">
        <v>24</v>
      </c>
      <c r="H216" s="228" t="s">
        <v>3706</v>
      </c>
      <c r="I216" s="228" t="s">
        <v>626</v>
      </c>
      <c r="J216" s="54"/>
      <c r="K216" s="115"/>
      <c r="L216" s="115"/>
    </row>
    <row r="217">
      <c r="A217" s="249" t="s">
        <v>171</v>
      </c>
      <c r="B217" s="70" t="s">
        <v>4223</v>
      </c>
      <c r="C217" s="68" t="s">
        <v>4224</v>
      </c>
      <c r="D217" s="271"/>
      <c r="E217" s="70" t="s">
        <v>1146</v>
      </c>
      <c r="F217" s="228" t="s">
        <v>4225</v>
      </c>
      <c r="G217" s="84" t="s">
        <v>24</v>
      </c>
      <c r="H217" s="228" t="s">
        <v>3706</v>
      </c>
      <c r="I217" s="228" t="s">
        <v>626</v>
      </c>
      <c r="J217" s="54"/>
      <c r="K217" s="115"/>
      <c r="L217" s="115"/>
    </row>
    <row r="218">
      <c r="A218" s="249" t="s">
        <v>171</v>
      </c>
      <c r="B218" s="70" t="s">
        <v>4227</v>
      </c>
      <c r="C218" s="68" t="s">
        <v>4228</v>
      </c>
      <c r="D218" s="68" t="s">
        <v>556</v>
      </c>
      <c r="E218" s="70" t="s">
        <v>727</v>
      </c>
      <c r="F218" s="228" t="s">
        <v>4229</v>
      </c>
      <c r="G218" s="80" t="s">
        <v>898</v>
      </c>
      <c r="H218" s="233" t="s">
        <v>3250</v>
      </c>
      <c r="I218" s="228" t="s">
        <v>3150</v>
      </c>
      <c r="J218" s="54"/>
      <c r="K218" s="115"/>
      <c r="L218" s="115"/>
    </row>
    <row r="219">
      <c r="A219" s="249" t="s">
        <v>171</v>
      </c>
      <c r="B219" s="70" t="s">
        <v>4230</v>
      </c>
      <c r="C219" s="68" t="s">
        <v>4231</v>
      </c>
      <c r="D219" s="105">
        <v>45762.0</v>
      </c>
      <c r="E219" s="70" t="s">
        <v>4232</v>
      </c>
      <c r="F219" s="272" t="s">
        <v>4233</v>
      </c>
      <c r="G219" s="80" t="s">
        <v>898</v>
      </c>
      <c r="H219" s="233" t="s">
        <v>4234</v>
      </c>
      <c r="I219" s="228" t="s">
        <v>4235</v>
      </c>
      <c r="J219" s="54"/>
      <c r="K219" s="115"/>
      <c r="L219" s="115"/>
    </row>
    <row r="220">
      <c r="A220" s="249" t="s">
        <v>171</v>
      </c>
      <c r="B220" s="70" t="s">
        <v>4230</v>
      </c>
      <c r="C220" s="68" t="s">
        <v>4236</v>
      </c>
      <c r="D220" s="105">
        <v>45763.0</v>
      </c>
      <c r="E220" s="70" t="s">
        <v>727</v>
      </c>
      <c r="F220" s="272" t="s">
        <v>4233</v>
      </c>
      <c r="G220" s="80" t="s">
        <v>898</v>
      </c>
      <c r="H220" s="233" t="s">
        <v>3250</v>
      </c>
      <c r="I220" s="233" t="s">
        <v>3150</v>
      </c>
      <c r="J220" s="54"/>
      <c r="K220" s="115"/>
      <c r="L220" s="115"/>
    </row>
    <row r="221">
      <c r="A221" s="249" t="s">
        <v>171</v>
      </c>
      <c r="B221" s="70" t="s">
        <v>4237</v>
      </c>
      <c r="C221" s="68" t="s">
        <v>4238</v>
      </c>
      <c r="D221" s="68" t="s">
        <v>556</v>
      </c>
      <c r="E221" s="70" t="s">
        <v>738</v>
      </c>
      <c r="F221" s="228" t="s">
        <v>4239</v>
      </c>
      <c r="G221" s="84" t="s">
        <v>24</v>
      </c>
      <c r="H221" s="228" t="s">
        <v>40</v>
      </c>
      <c r="I221" s="231" t="s">
        <v>4052</v>
      </c>
      <c r="J221" s="54"/>
      <c r="K221" s="115"/>
      <c r="L221" s="115"/>
    </row>
    <row r="222">
      <c r="A222" s="249" t="s">
        <v>171</v>
      </c>
      <c r="B222" s="70" t="s">
        <v>4240</v>
      </c>
      <c r="C222" s="68" t="s">
        <v>4241</v>
      </c>
      <c r="D222" s="68" t="s">
        <v>556</v>
      </c>
      <c r="E222" s="70" t="s">
        <v>3861</v>
      </c>
      <c r="F222" s="156" t="s">
        <v>4242</v>
      </c>
      <c r="G222" s="80" t="s">
        <v>3819</v>
      </c>
      <c r="H222" s="233" t="s">
        <v>4243</v>
      </c>
      <c r="I222" s="233" t="s">
        <v>1933</v>
      </c>
      <c r="J222" s="54"/>
      <c r="K222" s="115"/>
      <c r="L222" s="115"/>
    </row>
    <row r="223">
      <c r="A223" s="249" t="s">
        <v>171</v>
      </c>
      <c r="B223" s="70" t="s">
        <v>4240</v>
      </c>
      <c r="C223" s="68" t="s">
        <v>4244</v>
      </c>
      <c r="D223" s="68" t="s">
        <v>556</v>
      </c>
      <c r="E223" s="70" t="s">
        <v>1469</v>
      </c>
      <c r="F223" s="228" t="s">
        <v>775</v>
      </c>
      <c r="G223" s="80" t="s">
        <v>3819</v>
      </c>
      <c r="H223" s="233" t="s">
        <v>4243</v>
      </c>
      <c r="I223" s="233" t="s">
        <v>1933</v>
      </c>
      <c r="J223" s="54"/>
      <c r="K223" s="115"/>
      <c r="L223" s="115"/>
    </row>
    <row r="224">
      <c r="A224" s="249" t="s">
        <v>171</v>
      </c>
      <c r="B224" s="70" t="s">
        <v>4245</v>
      </c>
      <c r="C224" s="68" t="s">
        <v>4246</v>
      </c>
      <c r="D224" s="68" t="s">
        <v>556</v>
      </c>
      <c r="E224" s="70" t="s">
        <v>4247</v>
      </c>
      <c r="F224" s="259" t="s">
        <v>4248</v>
      </c>
      <c r="G224" s="84" t="s">
        <v>24</v>
      </c>
      <c r="H224" s="228" t="s">
        <v>40</v>
      </c>
      <c r="I224" s="231" t="s">
        <v>4249</v>
      </c>
      <c r="J224" s="54"/>
      <c r="K224" s="115"/>
      <c r="L224" s="115"/>
    </row>
    <row r="225">
      <c r="A225" s="249" t="s">
        <v>171</v>
      </c>
      <c r="B225" s="70" t="s">
        <v>4245</v>
      </c>
      <c r="C225" s="68" t="s">
        <v>4250</v>
      </c>
      <c r="D225" s="68" t="s">
        <v>556</v>
      </c>
      <c r="E225" s="70" t="s">
        <v>4251</v>
      </c>
      <c r="F225" s="228" t="s">
        <v>775</v>
      </c>
      <c r="G225" s="84" t="s">
        <v>24</v>
      </c>
      <c r="H225" s="228" t="s">
        <v>25</v>
      </c>
      <c r="I225" s="228" t="s">
        <v>3970</v>
      </c>
      <c r="J225" s="54"/>
      <c r="K225" s="115"/>
      <c r="L225" s="115"/>
    </row>
    <row r="226">
      <c r="A226" s="249" t="s">
        <v>171</v>
      </c>
      <c r="B226" s="70" t="s">
        <v>4252</v>
      </c>
      <c r="C226" s="68" t="s">
        <v>4162</v>
      </c>
      <c r="D226" s="68" t="s">
        <v>556</v>
      </c>
      <c r="E226" s="70" t="s">
        <v>4253</v>
      </c>
      <c r="F226" s="259" t="s">
        <v>4254</v>
      </c>
      <c r="G226" s="84" t="s">
        <v>24</v>
      </c>
      <c r="H226" s="228" t="s">
        <v>25</v>
      </c>
      <c r="I226" s="229" t="s">
        <v>4255</v>
      </c>
      <c r="J226" s="54"/>
      <c r="K226" s="115"/>
      <c r="L226" s="115"/>
    </row>
    <row r="227">
      <c r="A227" s="249" t="s">
        <v>171</v>
      </c>
      <c r="B227" s="70" t="s">
        <v>4132</v>
      </c>
      <c r="C227" s="68" t="s">
        <v>4256</v>
      </c>
      <c r="D227" s="68" t="s">
        <v>556</v>
      </c>
      <c r="E227" s="70" t="s">
        <v>4257</v>
      </c>
      <c r="F227" s="259" t="s">
        <v>4134</v>
      </c>
      <c r="G227" s="80" t="s">
        <v>898</v>
      </c>
      <c r="H227" s="228" t="s">
        <v>25</v>
      </c>
      <c r="I227" s="233" t="s">
        <v>3551</v>
      </c>
      <c r="J227" s="54"/>
      <c r="K227" s="115"/>
      <c r="L227" s="115"/>
    </row>
    <row r="228">
      <c r="A228" s="249" t="s">
        <v>171</v>
      </c>
      <c r="B228" s="70" t="s">
        <v>4258</v>
      </c>
      <c r="C228" s="68" t="s">
        <v>4259</v>
      </c>
      <c r="D228" s="68" t="s">
        <v>556</v>
      </c>
      <c r="E228" s="70" t="s">
        <v>3954</v>
      </c>
      <c r="F228" s="156" t="s">
        <v>4260</v>
      </c>
      <c r="G228" s="80" t="s">
        <v>898</v>
      </c>
      <c r="H228" s="228" t="s">
        <v>25</v>
      </c>
      <c r="I228" s="228" t="s">
        <v>626</v>
      </c>
      <c r="J228" s="54"/>
      <c r="K228" s="115"/>
      <c r="L228" s="115"/>
    </row>
    <row r="229">
      <c r="A229" s="249" t="s">
        <v>171</v>
      </c>
      <c r="B229" s="70" t="s">
        <v>4261</v>
      </c>
      <c r="C229" s="68" t="s">
        <v>2250</v>
      </c>
      <c r="D229" s="68" t="s">
        <v>556</v>
      </c>
      <c r="E229" s="70" t="s">
        <v>4262</v>
      </c>
      <c r="F229" s="228" t="s">
        <v>2251</v>
      </c>
      <c r="G229" s="80" t="s">
        <v>3819</v>
      </c>
      <c r="H229" s="228" t="s">
        <v>25</v>
      </c>
      <c r="I229" s="231" t="s">
        <v>2504</v>
      </c>
      <c r="J229" s="54"/>
      <c r="K229" s="115"/>
      <c r="L229" s="115"/>
    </row>
    <row r="230">
      <c r="A230" s="249" t="s">
        <v>171</v>
      </c>
      <c r="B230" s="70" t="s">
        <v>4261</v>
      </c>
      <c r="C230" s="68" t="s">
        <v>4263</v>
      </c>
      <c r="D230" s="68" t="s">
        <v>556</v>
      </c>
      <c r="E230" s="70" t="s">
        <v>4264</v>
      </c>
      <c r="F230" s="156" t="s">
        <v>775</v>
      </c>
      <c r="G230" s="80" t="s">
        <v>3819</v>
      </c>
      <c r="H230" s="228" t="s">
        <v>25</v>
      </c>
      <c r="I230" s="228" t="s">
        <v>626</v>
      </c>
      <c r="J230" s="54"/>
      <c r="K230" s="115"/>
      <c r="L230" s="115"/>
    </row>
    <row r="231">
      <c r="A231" s="249" t="s">
        <v>171</v>
      </c>
      <c r="B231" s="70" t="s">
        <v>4265</v>
      </c>
      <c r="C231" s="68" t="s">
        <v>3293</v>
      </c>
      <c r="D231" s="68" t="s">
        <v>556</v>
      </c>
      <c r="E231" s="70" t="s">
        <v>784</v>
      </c>
      <c r="F231" s="259" t="s">
        <v>4266</v>
      </c>
      <c r="G231" s="84" t="s">
        <v>24</v>
      </c>
      <c r="H231" s="228" t="s">
        <v>40</v>
      </c>
      <c r="I231" s="228" t="s">
        <v>4267</v>
      </c>
      <c r="J231" s="54"/>
      <c r="K231" s="115"/>
      <c r="L231" s="115"/>
    </row>
    <row r="232">
      <c r="A232" s="249" t="s">
        <v>171</v>
      </c>
      <c r="B232" s="70" t="s">
        <v>4265</v>
      </c>
      <c r="C232" s="68" t="s">
        <v>4268</v>
      </c>
      <c r="D232" s="68" t="s">
        <v>556</v>
      </c>
      <c r="E232" s="70" t="s">
        <v>781</v>
      </c>
      <c r="F232" s="259" t="s">
        <v>4266</v>
      </c>
      <c r="G232" s="84" t="s">
        <v>24</v>
      </c>
      <c r="H232" s="228" t="s">
        <v>25</v>
      </c>
      <c r="I232" s="231" t="s">
        <v>4269</v>
      </c>
      <c r="J232" s="54"/>
      <c r="K232" s="115"/>
      <c r="L232" s="115"/>
    </row>
    <row r="233">
      <c r="A233" s="249" t="s">
        <v>171</v>
      </c>
      <c r="B233" s="70" t="s">
        <v>4265</v>
      </c>
      <c r="C233" s="68" t="s">
        <v>4270</v>
      </c>
      <c r="D233" s="68" t="s">
        <v>556</v>
      </c>
      <c r="E233" s="70" t="s">
        <v>4271</v>
      </c>
      <c r="F233" s="228" t="s">
        <v>775</v>
      </c>
      <c r="G233" s="84" t="s">
        <v>24</v>
      </c>
      <c r="H233" s="233" t="s">
        <v>2903</v>
      </c>
      <c r="I233" s="228" t="s">
        <v>626</v>
      </c>
      <c r="J233" s="54"/>
      <c r="K233" s="115"/>
      <c r="L233" s="115"/>
    </row>
    <row r="234">
      <c r="A234" s="249" t="s">
        <v>171</v>
      </c>
      <c r="B234" s="70" t="s">
        <v>3996</v>
      </c>
      <c r="C234" s="68" t="s">
        <v>3997</v>
      </c>
      <c r="D234" s="105">
        <v>45483.0</v>
      </c>
      <c r="E234" s="70" t="s">
        <v>234</v>
      </c>
      <c r="F234" s="156" t="s">
        <v>3998</v>
      </c>
      <c r="G234" s="80" t="s">
        <v>898</v>
      </c>
      <c r="H234" s="228" t="s">
        <v>25</v>
      </c>
      <c r="I234" s="231" t="s">
        <v>4272</v>
      </c>
      <c r="J234" s="54"/>
      <c r="K234" s="115"/>
      <c r="L234" s="115"/>
    </row>
    <row r="235">
      <c r="A235" s="249" t="s">
        <v>171</v>
      </c>
      <c r="B235" s="70" t="s">
        <v>4273</v>
      </c>
      <c r="C235" s="68" t="s">
        <v>4274</v>
      </c>
      <c r="D235" s="68" t="s">
        <v>556</v>
      </c>
      <c r="E235" s="70" t="s">
        <v>583</v>
      </c>
      <c r="F235" s="259" t="s">
        <v>4275</v>
      </c>
      <c r="G235" s="84" t="s">
        <v>24</v>
      </c>
      <c r="H235" s="228" t="s">
        <v>25</v>
      </c>
      <c r="I235" s="156" t="s">
        <v>4276</v>
      </c>
      <c r="J235" s="54"/>
      <c r="K235" s="273" t="s">
        <v>4277</v>
      </c>
      <c r="L235" s="115"/>
    </row>
    <row r="236">
      <c r="A236" s="249" t="s">
        <v>171</v>
      </c>
      <c r="B236" s="70" t="s">
        <v>4278</v>
      </c>
      <c r="C236" s="68" t="s">
        <v>3946</v>
      </c>
      <c r="D236" s="105">
        <v>45693.0</v>
      </c>
      <c r="E236" s="70" t="s">
        <v>676</v>
      </c>
      <c r="F236" s="156" t="s">
        <v>3947</v>
      </c>
      <c r="G236" s="80" t="s">
        <v>898</v>
      </c>
      <c r="H236" s="228" t="s">
        <v>25</v>
      </c>
      <c r="I236" s="231" t="s">
        <v>4279</v>
      </c>
      <c r="J236" s="54"/>
      <c r="K236" s="115"/>
      <c r="L236" s="115"/>
    </row>
    <row r="237">
      <c r="A237" s="249" t="s">
        <v>171</v>
      </c>
      <c r="B237" s="70" t="s">
        <v>4280</v>
      </c>
      <c r="C237" s="68" t="s">
        <v>4281</v>
      </c>
      <c r="D237" s="105">
        <v>45667.0</v>
      </c>
      <c r="E237" s="70" t="s">
        <v>676</v>
      </c>
      <c r="F237" s="259" t="s">
        <v>4282</v>
      </c>
      <c r="G237" s="80" t="s">
        <v>898</v>
      </c>
      <c r="H237" s="233" t="s">
        <v>2903</v>
      </c>
      <c r="I237" s="228" t="s">
        <v>3531</v>
      </c>
      <c r="J237" s="54"/>
      <c r="K237" s="115"/>
      <c r="L237" s="115"/>
    </row>
    <row r="238">
      <c r="A238" s="249" t="s">
        <v>171</v>
      </c>
      <c r="B238" s="70" t="s">
        <v>674</v>
      </c>
      <c r="C238" s="68" t="s">
        <v>675</v>
      </c>
      <c r="D238" s="105">
        <v>45668.0</v>
      </c>
      <c r="E238" s="70" t="s">
        <v>862</v>
      </c>
      <c r="F238" s="259" t="s">
        <v>4282</v>
      </c>
      <c r="G238" s="80" t="s">
        <v>898</v>
      </c>
      <c r="H238" s="228" t="s">
        <v>3371</v>
      </c>
      <c r="I238" s="228" t="s">
        <v>626</v>
      </c>
      <c r="J238" s="54"/>
      <c r="K238" s="115"/>
      <c r="L238" s="115"/>
    </row>
    <row r="239">
      <c r="A239" s="249" t="s">
        <v>171</v>
      </c>
      <c r="B239" s="70" t="s">
        <v>4283</v>
      </c>
      <c r="C239" s="68" t="s">
        <v>4284</v>
      </c>
      <c r="D239" s="68" t="s">
        <v>556</v>
      </c>
      <c r="E239" s="70" t="s">
        <v>4021</v>
      </c>
      <c r="F239" s="233" t="s">
        <v>4285</v>
      </c>
      <c r="G239" s="80" t="s">
        <v>3819</v>
      </c>
      <c r="H239" s="233" t="s">
        <v>4286</v>
      </c>
      <c r="I239" s="233" t="s">
        <v>4287</v>
      </c>
      <c r="J239" s="54"/>
      <c r="K239" s="115"/>
      <c r="L239" s="115"/>
    </row>
    <row r="240">
      <c r="A240" s="249" t="s">
        <v>171</v>
      </c>
      <c r="B240" s="70" t="s">
        <v>4288</v>
      </c>
      <c r="C240" s="68" t="s">
        <v>4289</v>
      </c>
      <c r="D240" s="68" t="s">
        <v>556</v>
      </c>
      <c r="E240" s="70" t="s">
        <v>4290</v>
      </c>
      <c r="F240" s="259" t="s">
        <v>4291</v>
      </c>
      <c r="G240" s="80" t="s">
        <v>898</v>
      </c>
      <c r="H240" s="228" t="s">
        <v>25</v>
      </c>
      <c r="I240" s="228" t="s">
        <v>626</v>
      </c>
      <c r="J240" s="54"/>
      <c r="K240" s="115"/>
      <c r="L240" s="115"/>
    </row>
    <row r="241">
      <c r="A241" s="249" t="s">
        <v>171</v>
      </c>
      <c r="B241" s="70" t="s">
        <v>3119</v>
      </c>
      <c r="C241" s="68" t="s">
        <v>3120</v>
      </c>
      <c r="D241" s="105">
        <v>45737.0</v>
      </c>
      <c r="E241" s="70" t="s">
        <v>463</v>
      </c>
      <c r="F241" s="259" t="s">
        <v>4292</v>
      </c>
      <c r="G241" s="84" t="s">
        <v>24</v>
      </c>
      <c r="H241" s="233" t="s">
        <v>736</v>
      </c>
      <c r="I241" s="228" t="s">
        <v>3970</v>
      </c>
      <c r="J241" s="54"/>
      <c r="K241" s="115"/>
      <c r="L241" s="115"/>
    </row>
    <row r="242">
      <c r="A242" s="249" t="s">
        <v>171</v>
      </c>
      <c r="B242" s="70" t="s">
        <v>4293</v>
      </c>
      <c r="C242" s="68" t="s">
        <v>4294</v>
      </c>
      <c r="D242" s="68" t="s">
        <v>556</v>
      </c>
      <c r="E242" s="70" t="s">
        <v>4295</v>
      </c>
      <c r="F242" s="269" t="s">
        <v>4296</v>
      </c>
      <c r="G242" s="80" t="s">
        <v>3819</v>
      </c>
      <c r="H242" s="233" t="s">
        <v>736</v>
      </c>
      <c r="I242" s="228" t="s">
        <v>3970</v>
      </c>
      <c r="J242" s="54"/>
      <c r="K242" s="115"/>
      <c r="L242" s="115"/>
    </row>
    <row r="243">
      <c r="A243" s="249" t="s">
        <v>171</v>
      </c>
      <c r="B243" s="70" t="s">
        <v>4293</v>
      </c>
      <c r="C243" s="68" t="s">
        <v>4297</v>
      </c>
      <c r="D243" s="68" t="s">
        <v>556</v>
      </c>
      <c r="E243" s="70" t="s">
        <v>1520</v>
      </c>
      <c r="F243" s="270" t="s">
        <v>775</v>
      </c>
      <c r="G243" s="80" t="s">
        <v>3819</v>
      </c>
      <c r="H243" s="233" t="s">
        <v>736</v>
      </c>
      <c r="I243" s="228" t="s">
        <v>3970</v>
      </c>
      <c r="J243" s="54"/>
      <c r="K243" s="115"/>
      <c r="L243" s="115"/>
    </row>
    <row r="244">
      <c r="A244" s="249" t="s">
        <v>171</v>
      </c>
      <c r="B244" s="70" t="s">
        <v>2501</v>
      </c>
      <c r="C244" s="68" t="s">
        <v>4298</v>
      </c>
      <c r="D244" s="68" t="s">
        <v>556</v>
      </c>
      <c r="E244" s="70" t="s">
        <v>2374</v>
      </c>
      <c r="F244" s="259" t="s">
        <v>4211</v>
      </c>
      <c r="G244" s="84" t="s">
        <v>24</v>
      </c>
      <c r="H244" s="233" t="s">
        <v>2903</v>
      </c>
      <c r="I244" s="233" t="s">
        <v>4299</v>
      </c>
      <c r="J244" s="54"/>
      <c r="K244" s="115"/>
      <c r="L244" s="115"/>
    </row>
    <row r="245">
      <c r="A245" s="249" t="s">
        <v>171</v>
      </c>
      <c r="B245" s="70" t="s">
        <v>4300</v>
      </c>
      <c r="C245" s="68" t="s">
        <v>4301</v>
      </c>
      <c r="D245" s="68" t="s">
        <v>556</v>
      </c>
      <c r="E245" s="70" t="s">
        <v>4302</v>
      </c>
      <c r="F245" s="259" t="s">
        <v>4303</v>
      </c>
      <c r="G245" s="84" t="s">
        <v>24</v>
      </c>
      <c r="H245" s="228" t="s">
        <v>40</v>
      </c>
      <c r="I245" s="233" t="s">
        <v>1933</v>
      </c>
      <c r="J245" s="54"/>
      <c r="K245" s="115"/>
      <c r="L245" s="115"/>
    </row>
    <row r="246">
      <c r="A246" s="249" t="s">
        <v>171</v>
      </c>
      <c r="B246" s="70" t="s">
        <v>4304</v>
      </c>
      <c r="C246" s="68" t="s">
        <v>4305</v>
      </c>
      <c r="D246" s="68" t="s">
        <v>556</v>
      </c>
      <c r="E246" s="70" t="s">
        <v>1087</v>
      </c>
      <c r="F246" s="259" t="s">
        <v>4306</v>
      </c>
      <c r="G246" s="84" t="s">
        <v>24</v>
      </c>
      <c r="H246" s="228" t="s">
        <v>40</v>
      </c>
      <c r="I246" s="231" t="s">
        <v>4307</v>
      </c>
      <c r="J246" s="54"/>
      <c r="K246" s="115"/>
      <c r="L246" s="115"/>
    </row>
    <row r="247">
      <c r="A247" s="249" t="s">
        <v>171</v>
      </c>
      <c r="B247" s="70" t="s">
        <v>2639</v>
      </c>
      <c r="C247" s="68" t="s">
        <v>2640</v>
      </c>
      <c r="D247" s="68" t="s">
        <v>556</v>
      </c>
      <c r="E247" s="70" t="s">
        <v>4308</v>
      </c>
      <c r="F247" s="156" t="s">
        <v>4309</v>
      </c>
      <c r="G247" s="84" t="s">
        <v>24</v>
      </c>
      <c r="H247" s="228" t="s">
        <v>40</v>
      </c>
      <c r="I247" s="233" t="s">
        <v>1933</v>
      </c>
      <c r="J247" s="54"/>
      <c r="K247" s="115"/>
      <c r="L247" s="115"/>
    </row>
    <row r="248">
      <c r="A248" s="249" t="s">
        <v>171</v>
      </c>
      <c r="B248" s="70" t="s">
        <v>4310</v>
      </c>
      <c r="C248" s="68" t="s">
        <v>4311</v>
      </c>
      <c r="D248" s="68" t="s">
        <v>556</v>
      </c>
      <c r="E248" s="70" t="s">
        <v>4312</v>
      </c>
      <c r="F248" s="259" t="s">
        <v>4313</v>
      </c>
      <c r="G248" s="80" t="s">
        <v>898</v>
      </c>
      <c r="H248" s="233" t="s">
        <v>2686</v>
      </c>
      <c r="I248" s="233" t="s">
        <v>556</v>
      </c>
      <c r="J248" s="54"/>
      <c r="K248" s="115"/>
      <c r="L248" s="115"/>
    </row>
    <row r="249">
      <c r="A249" s="249" t="s">
        <v>171</v>
      </c>
      <c r="B249" s="70" t="s">
        <v>4314</v>
      </c>
      <c r="C249" s="68" t="s">
        <v>4315</v>
      </c>
      <c r="D249" s="68" t="s">
        <v>556</v>
      </c>
      <c r="E249" s="70" t="s">
        <v>4316</v>
      </c>
      <c r="F249" s="228" t="s">
        <v>4317</v>
      </c>
      <c r="G249" s="80" t="s">
        <v>3819</v>
      </c>
      <c r="H249" s="228" t="s">
        <v>40</v>
      </c>
      <c r="I249" s="233" t="s">
        <v>1933</v>
      </c>
      <c r="J249" s="54"/>
      <c r="K249" s="115"/>
      <c r="L249" s="115"/>
    </row>
    <row r="250">
      <c r="A250" s="249" t="s">
        <v>171</v>
      </c>
      <c r="B250" s="70" t="s">
        <v>4318</v>
      </c>
      <c r="C250" s="68" t="s">
        <v>4319</v>
      </c>
      <c r="D250" s="68" t="s">
        <v>556</v>
      </c>
      <c r="E250" s="70" t="s">
        <v>676</v>
      </c>
      <c r="F250" s="259" t="s">
        <v>4320</v>
      </c>
      <c r="G250" s="80" t="s">
        <v>898</v>
      </c>
      <c r="H250" s="233" t="s">
        <v>4321</v>
      </c>
      <c r="I250" s="233" t="s">
        <v>1933</v>
      </c>
      <c r="J250" s="54"/>
      <c r="K250" s="115"/>
      <c r="L250" s="115"/>
    </row>
    <row r="251">
      <c r="A251" s="249" t="s">
        <v>171</v>
      </c>
      <c r="B251" s="70" t="s">
        <v>3648</v>
      </c>
      <c r="C251" s="68" t="s">
        <v>3649</v>
      </c>
      <c r="D251" s="68" t="s">
        <v>556</v>
      </c>
      <c r="E251" s="70" t="s">
        <v>4247</v>
      </c>
      <c r="F251" s="156" t="s">
        <v>4322</v>
      </c>
      <c r="G251" s="84" t="s">
        <v>24</v>
      </c>
      <c r="H251" s="228" t="s">
        <v>40</v>
      </c>
      <c r="I251" s="231" t="s">
        <v>3652</v>
      </c>
      <c r="J251" s="54"/>
      <c r="K251" s="115"/>
      <c r="L251" s="115"/>
    </row>
    <row r="252">
      <c r="A252" s="249" t="s">
        <v>171</v>
      </c>
      <c r="B252" s="70" t="s">
        <v>4323</v>
      </c>
      <c r="C252" s="68" t="s">
        <v>4324</v>
      </c>
      <c r="D252" s="68" t="s">
        <v>556</v>
      </c>
      <c r="E252" s="70" t="s">
        <v>3002</v>
      </c>
      <c r="F252" s="259" t="s">
        <v>4325</v>
      </c>
      <c r="G252" s="84" t="s">
        <v>24</v>
      </c>
      <c r="H252" s="228" t="s">
        <v>40</v>
      </c>
      <c r="I252" s="231" t="s">
        <v>4326</v>
      </c>
      <c r="J252" s="54"/>
      <c r="K252" s="115"/>
      <c r="L252" s="115"/>
    </row>
    <row r="253">
      <c r="A253" s="249" t="s">
        <v>171</v>
      </c>
      <c r="B253" s="70" t="s">
        <v>4327</v>
      </c>
      <c r="C253" s="68" t="s">
        <v>4328</v>
      </c>
      <c r="D253" s="68" t="s">
        <v>4329</v>
      </c>
      <c r="E253" s="70" t="s">
        <v>4330</v>
      </c>
      <c r="F253" s="272" t="s">
        <v>4331</v>
      </c>
      <c r="G253" s="80" t="s">
        <v>3819</v>
      </c>
      <c r="H253" s="233" t="s">
        <v>4332</v>
      </c>
      <c r="I253" s="228" t="s">
        <v>626</v>
      </c>
      <c r="J253" s="54"/>
      <c r="K253" s="115"/>
      <c r="L253" s="115"/>
    </row>
    <row r="254">
      <c r="A254" s="249" t="s">
        <v>171</v>
      </c>
      <c r="B254" s="70" t="s">
        <v>4333</v>
      </c>
      <c r="C254" s="68" t="s">
        <v>4334</v>
      </c>
      <c r="D254" s="68" t="s">
        <v>4329</v>
      </c>
      <c r="E254" s="70" t="s">
        <v>357</v>
      </c>
      <c r="F254" s="228" t="s">
        <v>4335</v>
      </c>
      <c r="G254" s="80" t="s">
        <v>898</v>
      </c>
      <c r="H254" s="233" t="s">
        <v>4336</v>
      </c>
      <c r="I254" s="231" t="s">
        <v>1933</v>
      </c>
      <c r="J254" s="54"/>
      <c r="K254" s="115"/>
      <c r="L254" s="115"/>
    </row>
    <row r="255">
      <c r="A255" s="249" t="s">
        <v>171</v>
      </c>
      <c r="B255" s="70" t="s">
        <v>4337</v>
      </c>
      <c r="C255" s="68" t="s">
        <v>4338</v>
      </c>
      <c r="D255" s="68" t="s">
        <v>4329</v>
      </c>
      <c r="E255" s="70" t="s">
        <v>746</v>
      </c>
      <c r="F255" s="272" t="s">
        <v>4339</v>
      </c>
      <c r="G255" s="84" t="s">
        <v>24</v>
      </c>
      <c r="H255" s="233" t="s">
        <v>4340</v>
      </c>
      <c r="I255" s="233" t="s">
        <v>1933</v>
      </c>
      <c r="J255" s="54"/>
      <c r="K255" s="115"/>
      <c r="L255" s="115"/>
    </row>
    <row r="256">
      <c r="A256" s="249" t="s">
        <v>171</v>
      </c>
      <c r="B256" s="70" t="s">
        <v>2280</v>
      </c>
      <c r="C256" s="68" t="s">
        <v>2281</v>
      </c>
      <c r="D256" s="68" t="s">
        <v>4329</v>
      </c>
      <c r="E256" s="70" t="s">
        <v>565</v>
      </c>
      <c r="F256" s="259" t="s">
        <v>4341</v>
      </c>
      <c r="G256" s="80" t="s">
        <v>898</v>
      </c>
      <c r="H256" s="233" t="s">
        <v>4340</v>
      </c>
      <c r="I256" s="233" t="s">
        <v>1933</v>
      </c>
      <c r="J256" s="54"/>
      <c r="K256" s="115"/>
      <c r="L256" s="115"/>
    </row>
    <row r="257">
      <c r="A257" s="249" t="s">
        <v>171</v>
      </c>
      <c r="B257" s="70" t="s">
        <v>4342</v>
      </c>
      <c r="C257" s="68" t="s">
        <v>4343</v>
      </c>
      <c r="D257" s="105">
        <v>45534.0</v>
      </c>
      <c r="E257" s="70" t="s">
        <v>4344</v>
      </c>
      <c r="F257" s="259" t="s">
        <v>4345</v>
      </c>
      <c r="G257" s="84" t="s">
        <v>24</v>
      </c>
      <c r="H257" s="228" t="s">
        <v>40</v>
      </c>
      <c r="I257" s="228" t="s">
        <v>626</v>
      </c>
      <c r="J257" s="54"/>
      <c r="K257" s="115"/>
      <c r="L257" s="115"/>
    </row>
    <row r="258">
      <c r="A258" s="249" t="s">
        <v>171</v>
      </c>
      <c r="B258" s="70" t="s">
        <v>4346</v>
      </c>
      <c r="C258" s="68" t="s">
        <v>4347</v>
      </c>
      <c r="D258" s="68" t="s">
        <v>556</v>
      </c>
      <c r="E258" s="70" t="s">
        <v>4041</v>
      </c>
      <c r="F258" s="156" t="s">
        <v>4348</v>
      </c>
      <c r="G258" s="84" t="s">
        <v>24</v>
      </c>
      <c r="H258" s="228" t="s">
        <v>40</v>
      </c>
      <c r="I258" s="231" t="s">
        <v>4349</v>
      </c>
      <c r="J258" s="54"/>
      <c r="K258" s="115"/>
      <c r="L258" s="115"/>
    </row>
    <row r="259">
      <c r="A259" s="249" t="s">
        <v>171</v>
      </c>
      <c r="B259" s="70" t="s">
        <v>4350</v>
      </c>
      <c r="C259" s="68" t="s">
        <v>4351</v>
      </c>
      <c r="D259" s="54"/>
      <c r="E259" s="70" t="s">
        <v>4352</v>
      </c>
      <c r="F259" s="259" t="s">
        <v>4112</v>
      </c>
      <c r="G259" s="80" t="s">
        <v>3819</v>
      </c>
      <c r="H259" s="272" t="s">
        <v>4353</v>
      </c>
      <c r="I259" s="228" t="s">
        <v>626</v>
      </c>
      <c r="J259" s="54"/>
      <c r="K259" s="115"/>
      <c r="L259" s="115"/>
    </row>
    <row r="260">
      <c r="A260" s="249" t="s">
        <v>171</v>
      </c>
      <c r="B260" s="70" t="s">
        <v>4354</v>
      </c>
      <c r="C260" s="68" t="s">
        <v>4355</v>
      </c>
      <c r="D260" s="68" t="s">
        <v>556</v>
      </c>
      <c r="E260" s="70" t="s">
        <v>575</v>
      </c>
      <c r="F260" s="228" t="s">
        <v>4356</v>
      </c>
      <c r="G260" s="84" t="s">
        <v>24</v>
      </c>
      <c r="H260" s="228" t="s">
        <v>40</v>
      </c>
      <c r="I260" s="228" t="s">
        <v>567</v>
      </c>
      <c r="J260" s="54"/>
      <c r="K260" s="115"/>
      <c r="L260" s="115"/>
    </row>
    <row r="261">
      <c r="A261" s="249" t="s">
        <v>171</v>
      </c>
      <c r="B261" s="70" t="s">
        <v>4357</v>
      </c>
      <c r="C261" s="68" t="s">
        <v>4358</v>
      </c>
      <c r="D261" s="68" t="s">
        <v>556</v>
      </c>
      <c r="E261" s="70" t="s">
        <v>4359</v>
      </c>
      <c r="F261" s="274" t="s">
        <v>4360</v>
      </c>
      <c r="G261" s="275" t="s">
        <v>988</v>
      </c>
      <c r="H261" s="233" t="s">
        <v>2686</v>
      </c>
      <c r="I261" s="233" t="s">
        <v>2686</v>
      </c>
      <c r="J261" s="54"/>
      <c r="K261" s="115"/>
      <c r="L261" s="115"/>
    </row>
    <row r="262">
      <c r="A262" s="249" t="s">
        <v>171</v>
      </c>
      <c r="B262" s="70" t="s">
        <v>4361</v>
      </c>
      <c r="C262" s="68" t="s">
        <v>4362</v>
      </c>
      <c r="D262" s="68" t="s">
        <v>556</v>
      </c>
      <c r="E262" s="70" t="s">
        <v>2657</v>
      </c>
      <c r="F262" s="228" t="s">
        <v>4363</v>
      </c>
      <c r="G262" s="80" t="s">
        <v>3819</v>
      </c>
      <c r="H262" s="233" t="s">
        <v>736</v>
      </c>
      <c r="I262" s="233" t="s">
        <v>4364</v>
      </c>
      <c r="J262" s="54"/>
      <c r="K262" s="115"/>
      <c r="L262" s="115"/>
    </row>
    <row r="263">
      <c r="A263" s="249" t="s">
        <v>171</v>
      </c>
      <c r="B263" s="70" t="s">
        <v>1888</v>
      </c>
      <c r="C263" s="68" t="s">
        <v>4365</v>
      </c>
      <c r="D263" s="68" t="s">
        <v>556</v>
      </c>
      <c r="E263" s="70" t="s">
        <v>4366</v>
      </c>
      <c r="F263" s="233" t="s">
        <v>4367</v>
      </c>
      <c r="G263" s="80" t="s">
        <v>3819</v>
      </c>
      <c r="H263" s="233" t="s">
        <v>4368</v>
      </c>
      <c r="I263" s="233" t="s">
        <v>4364</v>
      </c>
      <c r="J263" s="54"/>
      <c r="K263" s="115"/>
      <c r="L263" s="115"/>
    </row>
    <row r="264">
      <c r="A264" s="249" t="s">
        <v>171</v>
      </c>
      <c r="B264" s="70" t="s">
        <v>4369</v>
      </c>
      <c r="C264" s="68" t="s">
        <v>2493</v>
      </c>
      <c r="D264" s="68" t="s">
        <v>556</v>
      </c>
      <c r="E264" s="70" t="s">
        <v>357</v>
      </c>
      <c r="F264" s="156" t="s">
        <v>4370</v>
      </c>
      <c r="G264" s="84" t="s">
        <v>24</v>
      </c>
      <c r="H264" s="228" t="s">
        <v>25</v>
      </c>
      <c r="I264" s="228" t="s">
        <v>18</v>
      </c>
      <c r="J264" s="54"/>
      <c r="K264" s="115"/>
      <c r="L264" s="115"/>
    </row>
    <row r="265">
      <c r="A265" s="249" t="s">
        <v>171</v>
      </c>
      <c r="B265" s="70" t="s">
        <v>4371</v>
      </c>
      <c r="C265" s="68" t="s">
        <v>4372</v>
      </c>
      <c r="D265" s="68" t="s">
        <v>556</v>
      </c>
      <c r="E265" s="70" t="s">
        <v>4373</v>
      </c>
      <c r="F265" s="259" t="s">
        <v>4374</v>
      </c>
      <c r="G265" s="84" t="s">
        <v>24</v>
      </c>
      <c r="H265" s="228" t="s">
        <v>40</v>
      </c>
      <c r="I265" s="228" t="s">
        <v>18</v>
      </c>
      <c r="J265" s="54"/>
      <c r="K265" s="115"/>
      <c r="L265" s="115"/>
    </row>
    <row r="266">
      <c r="A266" s="249" t="s">
        <v>171</v>
      </c>
      <c r="B266" s="70" t="s">
        <v>4375</v>
      </c>
      <c r="C266" s="68" t="s">
        <v>4376</v>
      </c>
      <c r="D266" s="68" t="s">
        <v>556</v>
      </c>
      <c r="E266" s="70" t="s">
        <v>4207</v>
      </c>
      <c r="F266" s="259" t="s">
        <v>4377</v>
      </c>
      <c r="G266" s="84" t="s">
        <v>24</v>
      </c>
      <c r="H266" s="228" t="s">
        <v>40</v>
      </c>
      <c r="I266" s="228" t="s">
        <v>18</v>
      </c>
      <c r="J266" s="54"/>
      <c r="K266" s="115"/>
      <c r="L266" s="115"/>
    </row>
    <row r="267">
      <c r="A267" s="249" t="s">
        <v>171</v>
      </c>
      <c r="B267" s="70" t="s">
        <v>4378</v>
      </c>
      <c r="C267" s="68" t="s">
        <v>4379</v>
      </c>
      <c r="D267" s="68" t="s">
        <v>556</v>
      </c>
      <c r="E267" s="70" t="s">
        <v>4380</v>
      </c>
      <c r="F267" s="228" t="s">
        <v>4381</v>
      </c>
      <c r="G267" s="84" t="s">
        <v>24</v>
      </c>
      <c r="H267" s="228" t="s">
        <v>40</v>
      </c>
      <c r="I267" s="233" t="s">
        <v>4382</v>
      </c>
      <c r="J267" s="54"/>
      <c r="K267" s="115"/>
      <c r="L267" s="115"/>
    </row>
    <row r="268">
      <c r="A268" s="249" t="s">
        <v>171</v>
      </c>
      <c r="B268" s="70" t="s">
        <v>4378</v>
      </c>
      <c r="C268" s="68" t="s">
        <v>4383</v>
      </c>
      <c r="D268" s="68" t="s">
        <v>556</v>
      </c>
      <c r="E268" s="70" t="s">
        <v>4384</v>
      </c>
      <c r="F268" s="228" t="s">
        <v>775</v>
      </c>
      <c r="G268" s="84" t="s">
        <v>24</v>
      </c>
      <c r="H268" s="228" t="s">
        <v>40</v>
      </c>
      <c r="I268" s="228" t="s">
        <v>626</v>
      </c>
      <c r="J268" s="54"/>
      <c r="K268" s="115"/>
      <c r="L268" s="115"/>
    </row>
    <row r="269">
      <c r="A269" s="249" t="s">
        <v>171</v>
      </c>
      <c r="B269" s="70" t="s">
        <v>1154</v>
      </c>
      <c r="C269" s="68" t="s">
        <v>1155</v>
      </c>
      <c r="D269" s="105">
        <v>45331.0</v>
      </c>
      <c r="E269" s="70" t="s">
        <v>1087</v>
      </c>
      <c r="F269" s="156" t="s">
        <v>4385</v>
      </c>
      <c r="G269" s="84" t="s">
        <v>24</v>
      </c>
      <c r="H269" s="228" t="s">
        <v>40</v>
      </c>
      <c r="I269" s="228" t="s">
        <v>4386</v>
      </c>
      <c r="J269" s="54"/>
      <c r="K269" s="115"/>
      <c r="L269" s="115"/>
    </row>
    <row r="270">
      <c r="A270" s="249" t="s">
        <v>171</v>
      </c>
      <c r="B270" s="70" t="s">
        <v>4387</v>
      </c>
      <c r="C270" s="68" t="s">
        <v>4388</v>
      </c>
      <c r="D270" s="105">
        <v>45484.0</v>
      </c>
      <c r="E270" s="70" t="s">
        <v>1625</v>
      </c>
      <c r="F270" s="216" t="s">
        <v>556</v>
      </c>
      <c r="G270" s="80" t="s">
        <v>898</v>
      </c>
      <c r="H270" s="228" t="s">
        <v>40</v>
      </c>
      <c r="I270" s="231" t="s">
        <v>4389</v>
      </c>
      <c r="J270" s="54"/>
      <c r="K270" s="115"/>
      <c r="L270" s="115"/>
    </row>
    <row r="271">
      <c r="A271" s="249" t="s">
        <v>171</v>
      </c>
      <c r="B271" s="70" t="s">
        <v>4390</v>
      </c>
      <c r="C271" s="68" t="s">
        <v>4391</v>
      </c>
      <c r="D271" s="54"/>
      <c r="E271" s="276" t="s">
        <v>451</v>
      </c>
      <c r="F271" s="156" t="s">
        <v>4392</v>
      </c>
      <c r="G271" s="80" t="s">
        <v>3819</v>
      </c>
      <c r="H271" s="228" t="s">
        <v>40</v>
      </c>
      <c r="I271" s="231" t="s">
        <v>4393</v>
      </c>
      <c r="J271" s="54"/>
      <c r="K271" s="115"/>
      <c r="L271" s="115"/>
    </row>
    <row r="272">
      <c r="A272" s="249" t="s">
        <v>171</v>
      </c>
      <c r="B272" s="70" t="s">
        <v>4394</v>
      </c>
      <c r="C272" s="68" t="s">
        <v>4395</v>
      </c>
      <c r="D272" s="68" t="s">
        <v>556</v>
      </c>
      <c r="E272" s="70" t="s">
        <v>3898</v>
      </c>
      <c r="F272" s="228" t="s">
        <v>4396</v>
      </c>
      <c r="G272" s="84" t="s">
        <v>24</v>
      </c>
      <c r="H272" s="228" t="s">
        <v>40</v>
      </c>
      <c r="I272" s="231" t="s">
        <v>4397</v>
      </c>
      <c r="J272" s="54"/>
      <c r="K272" s="115"/>
      <c r="L272" s="115"/>
    </row>
    <row r="273">
      <c r="A273" s="249" t="s">
        <v>171</v>
      </c>
      <c r="B273" s="70" t="s">
        <v>4398</v>
      </c>
      <c r="C273" s="68" t="s">
        <v>4399</v>
      </c>
      <c r="D273" s="68" t="s">
        <v>556</v>
      </c>
      <c r="E273" s="70" t="s">
        <v>1625</v>
      </c>
      <c r="F273" s="228" t="s">
        <v>4400</v>
      </c>
      <c r="G273" s="80" t="s">
        <v>3819</v>
      </c>
      <c r="H273" s="233" t="s">
        <v>736</v>
      </c>
      <c r="I273" s="233" t="s">
        <v>1933</v>
      </c>
      <c r="J273" s="54"/>
      <c r="K273" s="115"/>
      <c r="L273" s="115"/>
    </row>
    <row r="274">
      <c r="A274" s="249" t="s">
        <v>171</v>
      </c>
      <c r="B274" s="70" t="s">
        <v>4398</v>
      </c>
      <c r="C274" s="68" t="s">
        <v>4401</v>
      </c>
      <c r="D274" s="68" t="s">
        <v>556</v>
      </c>
      <c r="E274" s="70" t="s">
        <v>4402</v>
      </c>
      <c r="F274" s="228" t="s">
        <v>3223</v>
      </c>
      <c r="G274" s="80" t="s">
        <v>3819</v>
      </c>
      <c r="H274" s="233" t="s">
        <v>736</v>
      </c>
      <c r="I274" s="233" t="s">
        <v>3150</v>
      </c>
      <c r="J274" s="54"/>
      <c r="K274" s="115"/>
      <c r="L274" s="115"/>
    </row>
    <row r="275">
      <c r="A275" s="249" t="s">
        <v>171</v>
      </c>
      <c r="B275" s="70" t="s">
        <v>4403</v>
      </c>
      <c r="C275" s="68" t="s">
        <v>4404</v>
      </c>
      <c r="D275" s="68" t="s">
        <v>556</v>
      </c>
      <c r="E275" s="70" t="s">
        <v>4405</v>
      </c>
      <c r="F275" s="228" t="s">
        <v>4406</v>
      </c>
      <c r="G275" s="80" t="s">
        <v>3819</v>
      </c>
      <c r="H275" s="233" t="s">
        <v>736</v>
      </c>
      <c r="I275" s="233" t="s">
        <v>2686</v>
      </c>
      <c r="J275" s="54"/>
      <c r="K275" s="115"/>
      <c r="L275" s="115"/>
    </row>
    <row r="276">
      <c r="A276" s="249" t="s">
        <v>171</v>
      </c>
      <c r="B276" s="70" t="s">
        <v>4407</v>
      </c>
      <c r="C276" s="68" t="s">
        <v>4408</v>
      </c>
      <c r="D276" s="68" t="s">
        <v>556</v>
      </c>
      <c r="E276" s="70" t="s">
        <v>135</v>
      </c>
      <c r="F276" s="228" t="s">
        <v>4409</v>
      </c>
      <c r="G276" s="80" t="s">
        <v>898</v>
      </c>
      <c r="H276" s="228" t="s">
        <v>40</v>
      </c>
      <c r="I276" s="228" t="s">
        <v>626</v>
      </c>
      <c r="J276" s="54"/>
      <c r="K276" s="115"/>
      <c r="L276" s="115"/>
    </row>
    <row r="277">
      <c r="A277" s="249" t="s">
        <v>171</v>
      </c>
      <c r="B277" s="70" t="s">
        <v>4410</v>
      </c>
      <c r="C277" s="68" t="s">
        <v>4411</v>
      </c>
      <c r="D277" s="68" t="s">
        <v>556</v>
      </c>
      <c r="E277" s="70" t="s">
        <v>2004</v>
      </c>
      <c r="F277" s="228" t="s">
        <v>775</v>
      </c>
      <c r="G277" s="84" t="s">
        <v>24</v>
      </c>
      <c r="H277" s="228" t="s">
        <v>40</v>
      </c>
      <c r="I277" s="228" t="s">
        <v>626</v>
      </c>
      <c r="J277" s="54"/>
      <c r="K277" s="115"/>
      <c r="L277" s="115"/>
    </row>
    <row r="278">
      <c r="A278" s="249" t="s">
        <v>171</v>
      </c>
      <c r="B278" s="70" t="s">
        <v>4412</v>
      </c>
      <c r="C278" s="68" t="s">
        <v>4413</v>
      </c>
      <c r="D278" s="68" t="s">
        <v>556</v>
      </c>
      <c r="E278" s="70" t="s">
        <v>1988</v>
      </c>
      <c r="F278" s="233" t="s">
        <v>4414</v>
      </c>
      <c r="G278" s="80" t="s">
        <v>898</v>
      </c>
      <c r="H278" s="233" t="s">
        <v>4415</v>
      </c>
      <c r="I278" s="233" t="s">
        <v>1933</v>
      </c>
      <c r="J278" s="54"/>
      <c r="K278" s="115"/>
      <c r="L278" s="115"/>
    </row>
    <row r="279">
      <c r="A279" s="249" t="s">
        <v>171</v>
      </c>
      <c r="B279" s="70" t="s">
        <v>4416</v>
      </c>
      <c r="C279" s="68" t="s">
        <v>4417</v>
      </c>
      <c r="D279" s="68" t="s">
        <v>556</v>
      </c>
      <c r="E279" s="70" t="s">
        <v>3608</v>
      </c>
      <c r="F279" s="228" t="s">
        <v>4418</v>
      </c>
      <c r="G279" s="80" t="s">
        <v>898</v>
      </c>
      <c r="H279" s="228" t="s">
        <v>40</v>
      </c>
      <c r="I279" s="233" t="s">
        <v>626</v>
      </c>
      <c r="J279" s="54"/>
      <c r="K279" s="115"/>
      <c r="L279" s="115"/>
    </row>
    <row r="280" ht="17.25" customHeight="1">
      <c r="A280" s="249" t="s">
        <v>171</v>
      </c>
      <c r="B280" s="70" t="s">
        <v>4419</v>
      </c>
      <c r="C280" s="68" t="s">
        <v>4420</v>
      </c>
      <c r="D280" s="105">
        <v>45376.0</v>
      </c>
      <c r="E280" s="70" t="s">
        <v>1859</v>
      </c>
      <c r="F280" s="228" t="s">
        <v>4421</v>
      </c>
      <c r="G280" s="84" t="s">
        <v>24</v>
      </c>
      <c r="H280" s="228" t="s">
        <v>40</v>
      </c>
      <c r="I280" s="228" t="s">
        <v>103</v>
      </c>
      <c r="J280" s="54"/>
      <c r="K280" s="115"/>
      <c r="L280" s="115"/>
    </row>
    <row r="281">
      <c r="A281" s="249" t="s">
        <v>171</v>
      </c>
      <c r="B281" s="70" t="s">
        <v>4422</v>
      </c>
      <c r="C281" s="68" t="s">
        <v>4423</v>
      </c>
      <c r="D281" s="105">
        <v>45316.0</v>
      </c>
      <c r="E281" s="70" t="s">
        <v>1087</v>
      </c>
      <c r="F281" s="228" t="s">
        <v>4424</v>
      </c>
      <c r="G281" s="80" t="s">
        <v>898</v>
      </c>
      <c r="H281" s="233" t="s">
        <v>4425</v>
      </c>
      <c r="I281" s="233" t="s">
        <v>1933</v>
      </c>
      <c r="J281" s="54"/>
      <c r="K281" s="115"/>
      <c r="L281" s="115"/>
    </row>
    <row r="282">
      <c r="A282" s="249" t="s">
        <v>171</v>
      </c>
      <c r="B282" s="70" t="s">
        <v>4426</v>
      </c>
      <c r="C282" s="68" t="s">
        <v>4427</v>
      </c>
      <c r="D282" s="68" t="s">
        <v>556</v>
      </c>
      <c r="E282" s="70" t="s">
        <v>4428</v>
      </c>
      <c r="F282" s="233" t="s">
        <v>4429</v>
      </c>
      <c r="G282" s="84" t="s">
        <v>24</v>
      </c>
      <c r="H282" s="228" t="s">
        <v>40</v>
      </c>
      <c r="I282" s="233" t="s">
        <v>4364</v>
      </c>
      <c r="J282" s="54"/>
      <c r="K282" s="115"/>
      <c r="L282" s="115"/>
    </row>
    <row r="283">
      <c r="A283" s="249" t="s">
        <v>171</v>
      </c>
      <c r="B283" s="70" t="s">
        <v>2442</v>
      </c>
      <c r="C283" s="68" t="s">
        <v>2443</v>
      </c>
      <c r="D283" s="105">
        <v>45713.0</v>
      </c>
      <c r="E283" s="70" t="s">
        <v>4430</v>
      </c>
      <c r="F283" s="228" t="s">
        <v>4431</v>
      </c>
      <c r="G283" s="80" t="s">
        <v>898</v>
      </c>
      <c r="H283" s="228" t="s">
        <v>40</v>
      </c>
      <c r="I283" s="260" t="s">
        <v>4432</v>
      </c>
      <c r="J283" s="54"/>
      <c r="K283" s="115"/>
      <c r="L283" s="115"/>
    </row>
    <row r="284">
      <c r="A284" s="249" t="s">
        <v>171</v>
      </c>
      <c r="B284" s="70" t="s">
        <v>1638</v>
      </c>
      <c r="C284" s="68" t="s">
        <v>1639</v>
      </c>
      <c r="D284" s="68" t="s">
        <v>556</v>
      </c>
      <c r="E284" s="70" t="s">
        <v>4433</v>
      </c>
      <c r="F284" s="228" t="s">
        <v>4434</v>
      </c>
      <c r="G284" s="84" t="s">
        <v>24</v>
      </c>
      <c r="H284" s="228" t="s">
        <v>40</v>
      </c>
      <c r="I284" s="228" t="s">
        <v>103</v>
      </c>
      <c r="J284" s="54"/>
      <c r="K284" s="115"/>
      <c r="L284" s="115"/>
    </row>
    <row r="285">
      <c r="A285" s="249" t="s">
        <v>171</v>
      </c>
      <c r="B285" s="70" t="s">
        <v>4435</v>
      </c>
      <c r="C285" s="68" t="s">
        <v>4436</v>
      </c>
      <c r="D285" s="68" t="s">
        <v>556</v>
      </c>
      <c r="E285" s="70" t="s">
        <v>3129</v>
      </c>
      <c r="F285" s="228" t="s">
        <v>4437</v>
      </c>
      <c r="G285" s="80" t="s">
        <v>2713</v>
      </c>
      <c r="H285" s="233" t="s">
        <v>3250</v>
      </c>
      <c r="I285" s="228" t="s">
        <v>4438</v>
      </c>
      <c r="J285" s="54"/>
      <c r="K285" s="115"/>
      <c r="L285" s="115"/>
    </row>
    <row r="286">
      <c r="A286" s="249" t="s">
        <v>171</v>
      </c>
      <c r="B286" s="70" t="s">
        <v>4435</v>
      </c>
      <c r="C286" s="68" t="s">
        <v>4436</v>
      </c>
      <c r="D286" s="68" t="s">
        <v>556</v>
      </c>
      <c r="E286" s="70" t="s">
        <v>565</v>
      </c>
      <c r="F286" s="228" t="s">
        <v>4439</v>
      </c>
      <c r="G286" s="80" t="s">
        <v>2713</v>
      </c>
      <c r="H286" s="233" t="s">
        <v>4440</v>
      </c>
      <c r="I286" s="233" t="s">
        <v>1933</v>
      </c>
      <c r="J286" s="54"/>
      <c r="K286" s="115"/>
      <c r="L286" s="115"/>
    </row>
    <row r="287">
      <c r="A287" s="249" t="s">
        <v>171</v>
      </c>
      <c r="B287" s="70" t="s">
        <v>4441</v>
      </c>
      <c r="C287" s="68" t="s">
        <v>4442</v>
      </c>
      <c r="D287" s="68" t="s">
        <v>556</v>
      </c>
      <c r="E287" s="70" t="s">
        <v>4443</v>
      </c>
      <c r="F287" s="228" t="s">
        <v>4444</v>
      </c>
      <c r="G287" s="80" t="s">
        <v>556</v>
      </c>
      <c r="H287" s="233" t="s">
        <v>556</v>
      </c>
      <c r="I287" s="233" t="s">
        <v>556</v>
      </c>
      <c r="J287" s="54"/>
      <c r="K287" s="115"/>
      <c r="L287" s="115"/>
    </row>
    <row r="288">
      <c r="A288" s="249" t="s">
        <v>171</v>
      </c>
      <c r="B288" s="70" t="s">
        <v>4441</v>
      </c>
      <c r="C288" s="68" t="s">
        <v>4442</v>
      </c>
      <c r="D288" s="68" t="s">
        <v>556</v>
      </c>
      <c r="E288" s="70" t="s">
        <v>4445</v>
      </c>
      <c r="F288" s="233" t="s">
        <v>556</v>
      </c>
      <c r="G288" s="80" t="s">
        <v>556</v>
      </c>
      <c r="H288" s="233" t="s">
        <v>556</v>
      </c>
      <c r="I288" s="233" t="s">
        <v>556</v>
      </c>
      <c r="J288" s="54"/>
      <c r="K288" s="115"/>
      <c r="L288" s="115"/>
    </row>
    <row r="289">
      <c r="A289" s="249" t="s">
        <v>171</v>
      </c>
      <c r="B289" s="70" t="s">
        <v>4446</v>
      </c>
      <c r="C289" s="68" t="s">
        <v>4447</v>
      </c>
      <c r="D289" s="68" t="s">
        <v>556</v>
      </c>
      <c r="E289" s="70" t="s">
        <v>1087</v>
      </c>
      <c r="F289" s="228" t="s">
        <v>4448</v>
      </c>
      <c r="G289" s="80" t="s">
        <v>2713</v>
      </c>
      <c r="H289" s="233" t="s">
        <v>736</v>
      </c>
      <c r="I289" s="233" t="s">
        <v>1933</v>
      </c>
      <c r="J289" s="54"/>
      <c r="K289" s="115"/>
      <c r="L289" s="115"/>
    </row>
    <row r="290">
      <c r="A290" s="249" t="s">
        <v>171</v>
      </c>
      <c r="B290" s="70" t="s">
        <v>4449</v>
      </c>
      <c r="C290" s="68" t="s">
        <v>4450</v>
      </c>
      <c r="D290" s="54"/>
      <c r="E290" s="70" t="s">
        <v>4352</v>
      </c>
      <c r="F290" s="228" t="s">
        <v>4451</v>
      </c>
      <c r="G290" s="84" t="s">
        <v>24</v>
      </c>
      <c r="H290" s="272" t="s">
        <v>4452</v>
      </c>
      <c r="I290" s="228" t="s">
        <v>626</v>
      </c>
      <c r="J290" s="54"/>
      <c r="K290" s="115"/>
      <c r="L290" s="115"/>
    </row>
    <row r="291">
      <c r="A291" s="249" t="s">
        <v>171</v>
      </c>
      <c r="B291" s="70" t="s">
        <v>4453</v>
      </c>
      <c r="C291" s="68" t="s">
        <v>4454</v>
      </c>
      <c r="D291" s="68" t="s">
        <v>556</v>
      </c>
      <c r="E291" s="70" t="s">
        <v>746</v>
      </c>
      <c r="F291" s="228" t="s">
        <v>4455</v>
      </c>
      <c r="G291" s="84" t="s">
        <v>24</v>
      </c>
      <c r="H291" s="228" t="s">
        <v>2326</v>
      </c>
      <c r="I291" s="228" t="s">
        <v>103</v>
      </c>
      <c r="J291" s="54"/>
      <c r="K291" s="115"/>
      <c r="L291" s="115"/>
    </row>
    <row r="292">
      <c r="A292" s="249" t="s">
        <v>171</v>
      </c>
      <c r="B292" s="70" t="s">
        <v>4456</v>
      </c>
      <c r="C292" s="68" t="s">
        <v>4457</v>
      </c>
      <c r="D292" s="68" t="s">
        <v>556</v>
      </c>
      <c r="E292" s="70" t="s">
        <v>1094</v>
      </c>
      <c r="F292" s="228" t="s">
        <v>4458</v>
      </c>
      <c r="G292" s="84" t="s">
        <v>24</v>
      </c>
      <c r="H292" s="233" t="s">
        <v>3250</v>
      </c>
      <c r="I292" s="231" t="s">
        <v>4459</v>
      </c>
      <c r="J292" s="54"/>
      <c r="K292" s="115"/>
      <c r="L292" s="115"/>
    </row>
    <row r="293">
      <c r="A293" s="249" t="s">
        <v>171</v>
      </c>
      <c r="B293" s="70" t="s">
        <v>4460</v>
      </c>
      <c r="C293" s="68" t="s">
        <v>4461</v>
      </c>
      <c r="D293" s="68" t="s">
        <v>556</v>
      </c>
      <c r="E293" s="70" t="s">
        <v>4462</v>
      </c>
      <c r="F293" s="228" t="s">
        <v>4463</v>
      </c>
      <c r="G293" s="80" t="s">
        <v>898</v>
      </c>
      <c r="H293" s="233" t="s">
        <v>4464</v>
      </c>
      <c r="I293" s="228" t="s">
        <v>626</v>
      </c>
      <c r="J293" s="54"/>
      <c r="K293" s="115"/>
      <c r="L293" s="115"/>
    </row>
    <row r="294">
      <c r="A294" s="249" t="s">
        <v>171</v>
      </c>
      <c r="B294" s="70" t="s">
        <v>787</v>
      </c>
      <c r="C294" s="68" t="s">
        <v>788</v>
      </c>
      <c r="D294" s="54"/>
      <c r="E294" s="70" t="s">
        <v>1215</v>
      </c>
      <c r="F294" s="228" t="s">
        <v>4465</v>
      </c>
      <c r="G294" s="80" t="s">
        <v>898</v>
      </c>
      <c r="H294" s="228" t="s">
        <v>40</v>
      </c>
      <c r="I294" s="231" t="s">
        <v>4466</v>
      </c>
      <c r="J294" s="54"/>
      <c r="K294" s="115"/>
      <c r="L294" s="115"/>
    </row>
    <row r="295">
      <c r="A295" s="249" t="s">
        <v>171</v>
      </c>
      <c r="B295" s="70" t="s">
        <v>4467</v>
      </c>
      <c r="C295" s="68" t="s">
        <v>4468</v>
      </c>
      <c r="D295" s="68" t="s">
        <v>556</v>
      </c>
      <c r="E295" s="62" t="s">
        <v>4469</v>
      </c>
      <c r="F295" s="228" t="s">
        <v>4470</v>
      </c>
      <c r="G295" s="84" t="s">
        <v>24</v>
      </c>
      <c r="H295" s="228" t="s">
        <v>40</v>
      </c>
      <c r="I295" s="231" t="s">
        <v>1343</v>
      </c>
      <c r="J295" s="54"/>
      <c r="K295" s="115"/>
      <c r="L295" s="115"/>
    </row>
    <row r="296">
      <c r="A296" s="249" t="s">
        <v>171</v>
      </c>
      <c r="B296" s="70" t="s">
        <v>4471</v>
      </c>
      <c r="C296" s="68" t="s">
        <v>4472</v>
      </c>
      <c r="D296" s="68" t="s">
        <v>556</v>
      </c>
      <c r="E296" s="70" t="s">
        <v>4473</v>
      </c>
      <c r="F296" s="228" t="s">
        <v>4474</v>
      </c>
      <c r="G296" s="84" t="s">
        <v>24</v>
      </c>
      <c r="H296" s="228" t="s">
        <v>40</v>
      </c>
      <c r="I296" s="228" t="s">
        <v>626</v>
      </c>
      <c r="J296" s="54"/>
      <c r="K296" s="115"/>
      <c r="L296" s="115"/>
    </row>
    <row r="297">
      <c r="A297" s="249" t="s">
        <v>171</v>
      </c>
      <c r="B297" s="70" t="s">
        <v>4475</v>
      </c>
      <c r="C297" s="68" t="s">
        <v>4476</v>
      </c>
      <c r="D297" s="68" t="s">
        <v>556</v>
      </c>
      <c r="E297" s="70" t="s">
        <v>4477</v>
      </c>
      <c r="F297" s="228" t="s">
        <v>4478</v>
      </c>
      <c r="G297" s="84" t="s">
        <v>24</v>
      </c>
      <c r="H297" s="228" t="s">
        <v>40</v>
      </c>
      <c r="I297" s="231" t="s">
        <v>1343</v>
      </c>
      <c r="J297" s="54"/>
      <c r="K297" s="115"/>
      <c r="L297" s="115"/>
    </row>
    <row r="298" ht="18.0" customHeight="1">
      <c r="A298" s="249" t="s">
        <v>743</v>
      </c>
      <c r="B298" s="70" t="s">
        <v>4479</v>
      </c>
      <c r="C298" s="68" t="s">
        <v>4480</v>
      </c>
      <c r="D298" s="68" t="s">
        <v>556</v>
      </c>
      <c r="E298" s="70" t="s">
        <v>4481</v>
      </c>
      <c r="F298" s="228" t="s">
        <v>4482</v>
      </c>
      <c r="G298" s="54"/>
      <c r="H298" s="231" t="s">
        <v>4483</v>
      </c>
      <c r="I298" s="231" t="s">
        <v>4484</v>
      </c>
      <c r="J298" s="54"/>
      <c r="K298" s="115"/>
      <c r="L298" s="115"/>
    </row>
    <row r="299">
      <c r="A299" s="249" t="s">
        <v>171</v>
      </c>
      <c r="B299" s="70" t="s">
        <v>4485</v>
      </c>
      <c r="C299" s="68" t="s">
        <v>4486</v>
      </c>
      <c r="D299" s="68" t="s">
        <v>556</v>
      </c>
      <c r="E299" s="70" t="s">
        <v>4487</v>
      </c>
      <c r="F299" s="228" t="s">
        <v>4488</v>
      </c>
      <c r="G299" s="84" t="s">
        <v>4489</v>
      </c>
      <c r="H299" s="228" t="s">
        <v>40</v>
      </c>
      <c r="I299" s="30" t="s">
        <v>4490</v>
      </c>
      <c r="J299" s="54"/>
      <c r="K299" s="115"/>
      <c r="L299" s="115"/>
    </row>
    <row r="300">
      <c r="A300" s="249" t="s">
        <v>171</v>
      </c>
      <c r="B300" s="70" t="s">
        <v>4491</v>
      </c>
      <c r="C300" s="68" t="s">
        <v>4492</v>
      </c>
      <c r="D300" s="54"/>
      <c r="E300" s="70" t="s">
        <v>107</v>
      </c>
      <c r="F300" s="156" t="s">
        <v>4493</v>
      </c>
      <c r="G300" s="84" t="s">
        <v>24</v>
      </c>
      <c r="H300" s="228" t="s">
        <v>40</v>
      </c>
      <c r="I300" s="228" t="s">
        <v>626</v>
      </c>
      <c r="J300" s="54"/>
      <c r="K300" s="115"/>
      <c r="L300" s="115"/>
    </row>
    <row r="301">
      <c r="A301" s="249" t="s">
        <v>171</v>
      </c>
      <c r="B301" s="70" t="s">
        <v>4494</v>
      </c>
      <c r="C301" s="68" t="s">
        <v>4495</v>
      </c>
      <c r="D301" s="68" t="s">
        <v>556</v>
      </c>
      <c r="E301" s="70" t="s">
        <v>4496</v>
      </c>
      <c r="F301" s="228" t="s">
        <v>4497</v>
      </c>
      <c r="G301" s="80" t="s">
        <v>2713</v>
      </c>
      <c r="H301" s="233" t="s">
        <v>4498</v>
      </c>
      <c r="I301" s="277" t="s">
        <v>4459</v>
      </c>
      <c r="J301" s="54"/>
      <c r="K301" s="115"/>
      <c r="L301" s="115"/>
    </row>
    <row r="302">
      <c r="A302" s="249" t="s">
        <v>171</v>
      </c>
      <c r="B302" s="70" t="s">
        <v>4499</v>
      </c>
      <c r="C302" s="68" t="s">
        <v>4500</v>
      </c>
      <c r="D302" s="68" t="s">
        <v>556</v>
      </c>
      <c r="E302" s="70" t="s">
        <v>1814</v>
      </c>
      <c r="F302" s="228" t="s">
        <v>4501</v>
      </c>
      <c r="G302" s="80" t="s">
        <v>2713</v>
      </c>
      <c r="H302" s="233" t="s">
        <v>736</v>
      </c>
      <c r="I302" s="277" t="s">
        <v>1343</v>
      </c>
      <c r="J302" s="54"/>
      <c r="K302" s="115"/>
      <c r="L302" s="115"/>
    </row>
    <row r="303">
      <c r="A303" s="249" t="s">
        <v>171</v>
      </c>
      <c r="B303" s="70" t="s">
        <v>4502</v>
      </c>
      <c r="C303" s="68" t="s">
        <v>4503</v>
      </c>
      <c r="D303" s="68" t="s">
        <v>556</v>
      </c>
      <c r="E303" s="70" t="s">
        <v>1272</v>
      </c>
      <c r="F303" s="228" t="s">
        <v>4504</v>
      </c>
      <c r="G303" s="84" t="s">
        <v>24</v>
      </c>
      <c r="H303" s="233" t="s">
        <v>4505</v>
      </c>
      <c r="I303" s="231" t="s">
        <v>4506</v>
      </c>
      <c r="J303" s="54"/>
      <c r="K303" s="115"/>
      <c r="L303" s="115"/>
    </row>
    <row r="304">
      <c r="A304" s="249" t="s">
        <v>171</v>
      </c>
      <c r="B304" s="70" t="s">
        <v>4502</v>
      </c>
      <c r="C304" s="68" t="s">
        <v>4507</v>
      </c>
      <c r="D304" s="68" t="s">
        <v>556</v>
      </c>
      <c r="E304" s="70" t="s">
        <v>1469</v>
      </c>
      <c r="F304" s="228" t="s">
        <v>4508</v>
      </c>
      <c r="G304" s="84" t="s">
        <v>24</v>
      </c>
      <c r="H304" s="228" t="s">
        <v>40</v>
      </c>
      <c r="I304" s="228" t="s">
        <v>626</v>
      </c>
      <c r="J304" s="54"/>
      <c r="K304" s="115"/>
      <c r="L304" s="115"/>
    </row>
    <row r="305">
      <c r="A305" s="249" t="s">
        <v>171</v>
      </c>
      <c r="B305" s="70" t="s">
        <v>4509</v>
      </c>
      <c r="C305" s="68" t="s">
        <v>4510</v>
      </c>
      <c r="D305" s="102">
        <v>45576.0</v>
      </c>
      <c r="E305" s="62" t="s">
        <v>101</v>
      </c>
      <c r="F305" s="228" t="s">
        <v>4511</v>
      </c>
      <c r="G305" s="84" t="s">
        <v>24</v>
      </c>
      <c r="H305" s="233" t="s">
        <v>4512</v>
      </c>
      <c r="I305" s="268" t="s">
        <v>4513</v>
      </c>
      <c r="J305" s="54"/>
      <c r="K305" s="115"/>
      <c r="L305" s="115"/>
    </row>
    <row r="306">
      <c r="A306" s="249" t="s">
        <v>171</v>
      </c>
      <c r="B306" s="70" t="s">
        <v>4514</v>
      </c>
      <c r="C306" s="68" t="s">
        <v>4515</v>
      </c>
      <c r="D306" s="105">
        <v>45667.0</v>
      </c>
      <c r="E306" s="70" t="s">
        <v>4516</v>
      </c>
      <c r="F306" s="228" t="s">
        <v>4517</v>
      </c>
      <c r="G306" s="84" t="s">
        <v>24</v>
      </c>
      <c r="H306" s="233" t="s">
        <v>4518</v>
      </c>
      <c r="I306" s="228" t="s">
        <v>1195</v>
      </c>
      <c r="J306" s="54"/>
      <c r="K306" s="115"/>
      <c r="L306" s="115"/>
    </row>
    <row r="307">
      <c r="A307" s="249" t="s">
        <v>171</v>
      </c>
      <c r="B307" s="70" t="s">
        <v>4519</v>
      </c>
      <c r="C307" s="68" t="s">
        <v>4520</v>
      </c>
      <c r="D307" s="68" t="s">
        <v>556</v>
      </c>
      <c r="E307" s="70" t="s">
        <v>4521</v>
      </c>
      <c r="F307" s="228" t="s">
        <v>4522</v>
      </c>
      <c r="G307" s="80" t="s">
        <v>2713</v>
      </c>
      <c r="H307" s="228" t="s">
        <v>40</v>
      </c>
      <c r="I307" s="239" t="s">
        <v>4523</v>
      </c>
      <c r="J307" s="54"/>
      <c r="K307" s="115"/>
      <c r="L307" s="115"/>
    </row>
    <row r="308">
      <c r="A308" s="249" t="s">
        <v>171</v>
      </c>
      <c r="B308" s="70" t="s">
        <v>4524</v>
      </c>
      <c r="C308" s="68" t="s">
        <v>4525</v>
      </c>
      <c r="D308" s="68" t="s">
        <v>556</v>
      </c>
      <c r="E308" s="70" t="s">
        <v>392</v>
      </c>
      <c r="F308" s="228" t="s">
        <v>4526</v>
      </c>
      <c r="G308" s="80" t="s">
        <v>2713</v>
      </c>
      <c r="H308" s="233" t="s">
        <v>4527</v>
      </c>
      <c r="I308" s="228" t="s">
        <v>626</v>
      </c>
      <c r="J308" s="54"/>
      <c r="K308" s="115"/>
      <c r="L308" s="115"/>
    </row>
    <row r="309">
      <c r="A309" s="249" t="s">
        <v>171</v>
      </c>
      <c r="B309" s="70" t="s">
        <v>4524</v>
      </c>
      <c r="C309" s="68" t="s">
        <v>4528</v>
      </c>
      <c r="D309" s="68" t="s">
        <v>556</v>
      </c>
      <c r="E309" s="70" t="s">
        <v>188</v>
      </c>
      <c r="F309" s="228" t="s">
        <v>4529</v>
      </c>
      <c r="G309" s="80" t="s">
        <v>2713</v>
      </c>
      <c r="H309" s="233" t="s">
        <v>4530</v>
      </c>
      <c r="I309" s="228" t="s">
        <v>626</v>
      </c>
      <c r="J309" s="54"/>
      <c r="K309" s="115"/>
      <c r="L309" s="115"/>
    </row>
    <row r="310">
      <c r="A310" s="249" t="s">
        <v>171</v>
      </c>
      <c r="B310" s="70" t="s">
        <v>4531</v>
      </c>
      <c r="C310" s="68" t="s">
        <v>4532</v>
      </c>
      <c r="D310" s="105">
        <v>45336.0</v>
      </c>
      <c r="E310" s="70" t="s">
        <v>1436</v>
      </c>
      <c r="F310" s="233" t="s">
        <v>4533</v>
      </c>
      <c r="G310" s="80" t="s">
        <v>898</v>
      </c>
      <c r="H310" s="228" t="s">
        <v>40</v>
      </c>
      <c r="I310" s="233" t="s">
        <v>4534</v>
      </c>
      <c r="J310" s="54"/>
      <c r="K310" s="115"/>
      <c r="L310" s="115"/>
    </row>
    <row r="311">
      <c r="A311" s="249" t="s">
        <v>171</v>
      </c>
      <c r="B311" s="70" t="s">
        <v>4535</v>
      </c>
      <c r="C311" s="68" t="s">
        <v>4536</v>
      </c>
      <c r="D311" s="54"/>
      <c r="E311" s="70" t="s">
        <v>4537</v>
      </c>
      <c r="F311" s="228" t="s">
        <v>4538</v>
      </c>
      <c r="G311" s="80" t="s">
        <v>2713</v>
      </c>
      <c r="H311" s="228" t="s">
        <v>40</v>
      </c>
      <c r="I311" s="233" t="s">
        <v>4534</v>
      </c>
      <c r="J311" s="54"/>
      <c r="K311" s="115"/>
      <c r="L311" s="115"/>
    </row>
    <row r="312">
      <c r="A312" s="249" t="s">
        <v>171</v>
      </c>
      <c r="B312" s="70" t="s">
        <v>4539</v>
      </c>
      <c r="C312" s="68" t="s">
        <v>4540</v>
      </c>
      <c r="D312" s="105">
        <v>45672.0</v>
      </c>
      <c r="E312" s="70" t="s">
        <v>4541</v>
      </c>
      <c r="F312" s="228" t="s">
        <v>4542</v>
      </c>
      <c r="G312" s="84" t="s">
        <v>24</v>
      </c>
      <c r="H312" s="228" t="s">
        <v>40</v>
      </c>
      <c r="I312" s="228" t="s">
        <v>4543</v>
      </c>
      <c r="J312" s="54"/>
      <c r="K312" s="115"/>
      <c r="L312" s="115"/>
    </row>
    <row r="313">
      <c r="A313" s="249" t="s">
        <v>171</v>
      </c>
      <c r="B313" s="70" t="s">
        <v>831</v>
      </c>
      <c r="C313" s="68" t="s">
        <v>4544</v>
      </c>
      <c r="D313" s="105">
        <v>45551.0</v>
      </c>
      <c r="E313" s="70" t="s">
        <v>107</v>
      </c>
      <c r="F313" s="228" t="s">
        <v>4545</v>
      </c>
      <c r="G313" s="80" t="s">
        <v>898</v>
      </c>
      <c r="H313" s="233" t="s">
        <v>4546</v>
      </c>
      <c r="I313" s="228" t="s">
        <v>3619</v>
      </c>
      <c r="J313" s="54"/>
      <c r="K313" s="115"/>
      <c r="L313" s="115"/>
    </row>
    <row r="314">
      <c r="A314" s="249" t="s">
        <v>171</v>
      </c>
      <c r="B314" s="70" t="s">
        <v>4547</v>
      </c>
      <c r="C314" s="68" t="s">
        <v>4548</v>
      </c>
      <c r="D314" s="54"/>
      <c r="E314" s="70" t="s">
        <v>4549</v>
      </c>
      <c r="F314" s="259" t="s">
        <v>4550</v>
      </c>
      <c r="G314" s="80" t="s">
        <v>2713</v>
      </c>
      <c r="H314" s="233" t="s">
        <v>3535</v>
      </c>
      <c r="I314" s="233" t="s">
        <v>4534</v>
      </c>
      <c r="J314" s="54"/>
      <c r="K314" s="115"/>
      <c r="L314" s="115"/>
    </row>
    <row r="315">
      <c r="A315" s="249" t="s">
        <v>171</v>
      </c>
      <c r="B315" s="70" t="s">
        <v>4551</v>
      </c>
      <c r="C315" s="68" t="s">
        <v>4552</v>
      </c>
      <c r="D315" s="105">
        <v>45684.0</v>
      </c>
      <c r="E315" s="278" t="s">
        <v>4553</v>
      </c>
      <c r="F315" s="228" t="s">
        <v>4554</v>
      </c>
      <c r="G315" s="80" t="s">
        <v>898</v>
      </c>
      <c r="H315" s="228" t="s">
        <v>40</v>
      </c>
      <c r="I315" s="228" t="s">
        <v>626</v>
      </c>
      <c r="J315" s="54"/>
      <c r="K315" s="115"/>
      <c r="L315" s="115"/>
    </row>
    <row r="316">
      <c r="A316" s="249" t="s">
        <v>171</v>
      </c>
      <c r="B316" s="70" t="s">
        <v>4555</v>
      </c>
      <c r="C316" s="68" t="s">
        <v>4556</v>
      </c>
      <c r="D316" s="68" t="s">
        <v>556</v>
      </c>
      <c r="E316" s="70" t="s">
        <v>1324</v>
      </c>
      <c r="F316" s="228" t="s">
        <v>4557</v>
      </c>
      <c r="G316" s="80" t="s">
        <v>898</v>
      </c>
      <c r="H316" s="233" t="s">
        <v>4558</v>
      </c>
      <c r="I316" s="228" t="s">
        <v>3139</v>
      </c>
      <c r="J316" s="54"/>
      <c r="K316" s="115"/>
      <c r="L316" s="115"/>
    </row>
    <row r="317">
      <c r="A317" s="249" t="s">
        <v>4559</v>
      </c>
      <c r="B317" s="70" t="s">
        <v>4560</v>
      </c>
      <c r="C317" s="68" t="s">
        <v>4561</v>
      </c>
      <c r="D317" s="68" t="s">
        <v>556</v>
      </c>
      <c r="E317" s="70" t="s">
        <v>4262</v>
      </c>
      <c r="F317" s="228" t="s">
        <v>4562</v>
      </c>
      <c r="G317" s="84" t="s">
        <v>24</v>
      </c>
      <c r="H317" s="228" t="s">
        <v>4563</v>
      </c>
      <c r="I317" s="228" t="s">
        <v>3139</v>
      </c>
      <c r="J317" s="54"/>
      <c r="K317" s="115"/>
      <c r="L317" s="115"/>
    </row>
    <row r="318">
      <c r="A318" s="249" t="s">
        <v>171</v>
      </c>
      <c r="B318" s="70" t="s">
        <v>4564</v>
      </c>
      <c r="C318" s="68" t="s">
        <v>4565</v>
      </c>
      <c r="D318" s="68" t="s">
        <v>556</v>
      </c>
      <c r="E318" s="70" t="s">
        <v>194</v>
      </c>
      <c r="F318" s="156" t="s">
        <v>4566</v>
      </c>
      <c r="G318" s="80" t="s">
        <v>898</v>
      </c>
      <c r="H318" s="233" t="s">
        <v>161</v>
      </c>
      <c r="I318" s="228" t="s">
        <v>626</v>
      </c>
      <c r="J318" s="54"/>
      <c r="K318" s="115"/>
      <c r="L318" s="115"/>
    </row>
    <row r="319">
      <c r="A319" s="249" t="s">
        <v>171</v>
      </c>
      <c r="B319" s="70" t="s">
        <v>4567</v>
      </c>
      <c r="C319" s="68" t="s">
        <v>4568</v>
      </c>
      <c r="D319" s="68" t="s">
        <v>556</v>
      </c>
      <c r="E319" s="276" t="s">
        <v>1372</v>
      </c>
      <c r="F319" s="156" t="s">
        <v>4569</v>
      </c>
      <c r="G319" s="80" t="s">
        <v>2713</v>
      </c>
      <c r="H319" s="272" t="s">
        <v>2553</v>
      </c>
      <c r="I319" s="262" t="s">
        <v>4570</v>
      </c>
      <c r="J319" s="54"/>
      <c r="K319" s="115"/>
      <c r="L319" s="115"/>
    </row>
    <row r="320">
      <c r="A320" s="249" t="s">
        <v>171</v>
      </c>
      <c r="B320" s="70" t="s">
        <v>3717</v>
      </c>
      <c r="C320" s="68" t="s">
        <v>4571</v>
      </c>
      <c r="D320" s="68" t="s">
        <v>556</v>
      </c>
      <c r="E320" s="70" t="s">
        <v>1905</v>
      </c>
      <c r="F320" s="259" t="s">
        <v>4572</v>
      </c>
      <c r="G320" s="84" t="s">
        <v>24</v>
      </c>
      <c r="H320" s="233" t="s">
        <v>161</v>
      </c>
      <c r="I320" s="262" t="s">
        <v>4573</v>
      </c>
      <c r="J320" s="54"/>
      <c r="K320" s="115"/>
      <c r="L320" s="115"/>
    </row>
    <row r="321">
      <c r="A321" s="249" t="s">
        <v>171</v>
      </c>
      <c r="B321" s="70" t="s">
        <v>4574</v>
      </c>
      <c r="C321" s="68" t="s">
        <v>4575</v>
      </c>
      <c r="D321" s="68" t="s">
        <v>556</v>
      </c>
      <c r="E321" s="70" t="s">
        <v>73</v>
      </c>
      <c r="F321" s="259" t="s">
        <v>4576</v>
      </c>
      <c r="G321" s="84" t="s">
        <v>24</v>
      </c>
      <c r="H321" s="228" t="s">
        <v>40</v>
      </c>
      <c r="I321" s="233" t="s">
        <v>4534</v>
      </c>
      <c r="J321" s="54"/>
      <c r="K321" s="115"/>
      <c r="L321" s="115"/>
    </row>
    <row r="322">
      <c r="A322" s="249" t="s">
        <v>4577</v>
      </c>
      <c r="B322" s="70" t="s">
        <v>4578</v>
      </c>
      <c r="C322" s="68" t="s">
        <v>4579</v>
      </c>
      <c r="D322" s="68" t="s">
        <v>556</v>
      </c>
      <c r="E322" s="70" t="s">
        <v>1581</v>
      </c>
      <c r="F322" s="62" t="s">
        <v>4580</v>
      </c>
      <c r="G322" s="80" t="s">
        <v>898</v>
      </c>
      <c r="H322" s="228" t="s">
        <v>40</v>
      </c>
      <c r="I322" s="228" t="s">
        <v>3139</v>
      </c>
      <c r="J322" s="54"/>
      <c r="K322" s="115"/>
      <c r="L322" s="115"/>
    </row>
    <row r="323">
      <c r="A323" s="249" t="s">
        <v>171</v>
      </c>
      <c r="B323" s="70" t="s">
        <v>4581</v>
      </c>
      <c r="C323" s="68" t="s">
        <v>4582</v>
      </c>
      <c r="D323" s="68" t="s">
        <v>556</v>
      </c>
      <c r="E323" s="70" t="s">
        <v>4583</v>
      </c>
      <c r="F323" s="259" t="s">
        <v>4584</v>
      </c>
      <c r="G323" s="84" t="s">
        <v>24</v>
      </c>
      <c r="H323" s="228" t="s">
        <v>40</v>
      </c>
      <c r="I323" s="233" t="s">
        <v>4534</v>
      </c>
      <c r="J323" s="54"/>
      <c r="K323" s="115"/>
      <c r="L323" s="115"/>
    </row>
    <row r="324">
      <c r="A324" s="249" t="s">
        <v>171</v>
      </c>
      <c r="B324" s="70" t="s">
        <v>1957</v>
      </c>
      <c r="C324" s="68" t="s">
        <v>208</v>
      </c>
      <c r="D324" s="68" t="s">
        <v>556</v>
      </c>
      <c r="E324" s="70" t="s">
        <v>814</v>
      </c>
      <c r="F324" s="156" t="s">
        <v>4585</v>
      </c>
      <c r="G324" s="84" t="s">
        <v>24</v>
      </c>
      <c r="H324" s="228" t="s">
        <v>40</v>
      </c>
      <c r="I324" s="231" t="s">
        <v>4586</v>
      </c>
      <c r="J324" s="54"/>
      <c r="K324" s="115"/>
      <c r="L324" s="115"/>
    </row>
    <row r="325">
      <c r="A325" s="249" t="s">
        <v>171</v>
      </c>
      <c r="B325" s="70" t="s">
        <v>4587</v>
      </c>
      <c r="C325" s="68" t="s">
        <v>4588</v>
      </c>
      <c r="D325" s="68" t="s">
        <v>556</v>
      </c>
      <c r="E325" s="70" t="s">
        <v>1324</v>
      </c>
      <c r="F325" s="156" t="s">
        <v>4589</v>
      </c>
      <c r="G325" s="84" t="s">
        <v>24</v>
      </c>
      <c r="H325" s="228" t="s">
        <v>40</v>
      </c>
      <c r="I325" s="228" t="s">
        <v>103</v>
      </c>
      <c r="J325" s="54"/>
      <c r="K325" s="115"/>
      <c r="L325" s="115"/>
    </row>
    <row r="326">
      <c r="A326" s="249" t="s">
        <v>171</v>
      </c>
      <c r="B326" s="70" t="s">
        <v>4590</v>
      </c>
      <c r="C326" s="68" t="s">
        <v>4591</v>
      </c>
      <c r="D326" s="68" t="s">
        <v>556</v>
      </c>
      <c r="E326" s="70" t="s">
        <v>107</v>
      </c>
      <c r="F326" s="156" t="s">
        <v>4592</v>
      </c>
      <c r="G326" s="80" t="s">
        <v>2713</v>
      </c>
      <c r="H326" s="233" t="s">
        <v>4593</v>
      </c>
      <c r="I326" s="228" t="s">
        <v>626</v>
      </c>
      <c r="J326" s="54"/>
      <c r="K326" s="115"/>
      <c r="L326" s="115"/>
    </row>
    <row r="327">
      <c r="A327" s="249" t="s">
        <v>171</v>
      </c>
      <c r="B327" s="70" t="s">
        <v>4590</v>
      </c>
      <c r="C327" s="68" t="s">
        <v>4591</v>
      </c>
      <c r="D327" s="68" t="s">
        <v>556</v>
      </c>
      <c r="E327" s="70" t="s">
        <v>130</v>
      </c>
      <c r="F327" s="156" t="s">
        <v>4594</v>
      </c>
      <c r="G327" s="80" t="s">
        <v>2713</v>
      </c>
      <c r="H327" s="233" t="s">
        <v>4595</v>
      </c>
      <c r="I327" s="228" t="s">
        <v>626</v>
      </c>
      <c r="J327" s="54"/>
      <c r="K327" s="115"/>
      <c r="L327" s="115"/>
    </row>
    <row r="328">
      <c r="A328" s="249" t="s">
        <v>171</v>
      </c>
      <c r="B328" s="70" t="s">
        <v>4596</v>
      </c>
      <c r="C328" s="68" t="s">
        <v>4597</v>
      </c>
      <c r="D328" s="68" t="s">
        <v>556</v>
      </c>
      <c r="E328" s="70" t="s">
        <v>324</v>
      </c>
      <c r="F328" s="259" t="s">
        <v>4598</v>
      </c>
      <c r="G328" s="84" t="s">
        <v>24</v>
      </c>
      <c r="H328" s="228" t="s">
        <v>40</v>
      </c>
      <c r="I328" s="231" t="s">
        <v>4599</v>
      </c>
      <c r="J328" s="54"/>
      <c r="K328" s="115"/>
      <c r="L328" s="115"/>
    </row>
    <row r="329">
      <c r="A329" s="249" t="s">
        <v>171</v>
      </c>
      <c r="B329" s="70" t="s">
        <v>4600</v>
      </c>
      <c r="C329" s="68" t="s">
        <v>4601</v>
      </c>
      <c r="D329" s="68" t="s">
        <v>556</v>
      </c>
      <c r="E329" s="70" t="s">
        <v>2646</v>
      </c>
      <c r="F329" s="259" t="s">
        <v>4602</v>
      </c>
      <c r="G329" s="84" t="s">
        <v>24</v>
      </c>
      <c r="H329" s="228" t="s">
        <v>40</v>
      </c>
      <c r="I329" s="228" t="s">
        <v>103</v>
      </c>
      <c r="J329" s="54"/>
      <c r="K329" s="115"/>
      <c r="L329" s="115"/>
    </row>
    <row r="330">
      <c r="A330" s="249" t="s">
        <v>171</v>
      </c>
      <c r="B330" s="70" t="s">
        <v>4603</v>
      </c>
      <c r="C330" s="68" t="s">
        <v>4604</v>
      </c>
      <c r="D330" s="68" t="s">
        <v>556</v>
      </c>
      <c r="E330" s="70" t="s">
        <v>4067</v>
      </c>
      <c r="F330" s="259" t="s">
        <v>4605</v>
      </c>
      <c r="G330" s="84" t="s">
        <v>24</v>
      </c>
      <c r="H330" s="228" t="s">
        <v>40</v>
      </c>
      <c r="I330" s="228" t="s">
        <v>626</v>
      </c>
      <c r="J330" s="54"/>
      <c r="K330" s="115"/>
      <c r="L330" s="115"/>
    </row>
    <row r="331">
      <c r="A331" s="249" t="s">
        <v>171</v>
      </c>
      <c r="B331" s="70" t="s">
        <v>4606</v>
      </c>
      <c r="C331" s="279" t="s">
        <v>4607</v>
      </c>
      <c r="D331" s="68" t="s">
        <v>556</v>
      </c>
      <c r="E331" s="70" t="s">
        <v>130</v>
      </c>
      <c r="F331" s="259" t="s">
        <v>4608</v>
      </c>
      <c r="G331" s="80" t="s">
        <v>898</v>
      </c>
      <c r="H331" s="272" t="s">
        <v>4010</v>
      </c>
      <c r="I331" s="228" t="s">
        <v>626</v>
      </c>
      <c r="J331" s="54"/>
      <c r="K331" s="115"/>
      <c r="L331" s="115"/>
    </row>
    <row r="332">
      <c r="A332" s="249" t="s">
        <v>171</v>
      </c>
      <c r="B332" s="70" t="s">
        <v>4606</v>
      </c>
      <c r="C332" s="279" t="s">
        <v>4607</v>
      </c>
      <c r="D332" s="68" t="s">
        <v>556</v>
      </c>
      <c r="E332" s="70" t="s">
        <v>401</v>
      </c>
      <c r="F332" s="259" t="s">
        <v>4609</v>
      </c>
      <c r="G332" s="80" t="s">
        <v>898</v>
      </c>
      <c r="H332" s="272" t="s">
        <v>4610</v>
      </c>
      <c r="I332" s="228" t="s">
        <v>626</v>
      </c>
      <c r="J332" s="54"/>
      <c r="K332" s="115"/>
      <c r="L332" s="115"/>
    </row>
    <row r="333">
      <c r="A333" s="249" t="s">
        <v>171</v>
      </c>
      <c r="B333" s="70" t="s">
        <v>1891</v>
      </c>
      <c r="C333" s="68" t="s">
        <v>1892</v>
      </c>
      <c r="D333" s="68" t="s">
        <v>556</v>
      </c>
      <c r="E333" s="276" t="s">
        <v>4611</v>
      </c>
      <c r="F333" s="259" t="s">
        <v>4612</v>
      </c>
      <c r="G333" s="84" t="s">
        <v>24</v>
      </c>
      <c r="H333" s="228" t="s">
        <v>40</v>
      </c>
      <c r="I333" s="228" t="s">
        <v>626</v>
      </c>
      <c r="J333" s="54"/>
      <c r="K333" s="115"/>
      <c r="L333" s="115"/>
    </row>
    <row r="334">
      <c r="A334" s="249" t="s">
        <v>171</v>
      </c>
      <c r="B334" s="70" t="s">
        <v>4613</v>
      </c>
      <c r="C334" s="54"/>
      <c r="D334" s="68" t="s">
        <v>556</v>
      </c>
      <c r="E334" s="70" t="s">
        <v>3425</v>
      </c>
      <c r="F334" s="259" t="s">
        <v>4614</v>
      </c>
      <c r="G334" s="84" t="s">
        <v>24</v>
      </c>
      <c r="H334" s="228" t="s">
        <v>40</v>
      </c>
      <c r="I334" s="231" t="s">
        <v>4599</v>
      </c>
      <c r="J334" s="54"/>
      <c r="K334" s="115"/>
      <c r="L334" s="115"/>
    </row>
    <row r="335">
      <c r="A335" s="249" t="s">
        <v>171</v>
      </c>
      <c r="B335" s="70" t="s">
        <v>4615</v>
      </c>
      <c r="C335" s="68" t="s">
        <v>4616</v>
      </c>
      <c r="D335" s="68" t="s">
        <v>556</v>
      </c>
      <c r="E335" s="70" t="s">
        <v>4617</v>
      </c>
      <c r="F335" s="259" t="s">
        <v>4618</v>
      </c>
      <c r="G335" s="80" t="s">
        <v>2713</v>
      </c>
      <c r="H335" s="272" t="s">
        <v>4610</v>
      </c>
      <c r="I335" s="233" t="s">
        <v>4534</v>
      </c>
      <c r="J335" s="54"/>
      <c r="K335" s="115"/>
      <c r="L335" s="115"/>
    </row>
    <row r="336">
      <c r="A336" s="249" t="s">
        <v>171</v>
      </c>
      <c r="B336" s="70" t="s">
        <v>4619</v>
      </c>
      <c r="C336" s="68" t="s">
        <v>4620</v>
      </c>
      <c r="D336" s="68" t="s">
        <v>556</v>
      </c>
      <c r="E336" s="70" t="s">
        <v>4621</v>
      </c>
      <c r="F336" s="259" t="s">
        <v>4622</v>
      </c>
      <c r="G336" s="80" t="s">
        <v>2713</v>
      </c>
      <c r="H336" s="228" t="s">
        <v>40</v>
      </c>
      <c r="I336" s="228" t="s">
        <v>626</v>
      </c>
      <c r="J336" s="54"/>
      <c r="K336" s="115"/>
      <c r="L336" s="115"/>
    </row>
    <row r="337">
      <c r="A337" s="249" t="s">
        <v>171</v>
      </c>
      <c r="B337" s="70" t="s">
        <v>4623</v>
      </c>
      <c r="C337" s="68" t="s">
        <v>4624</v>
      </c>
      <c r="D337" s="68" t="s">
        <v>556</v>
      </c>
      <c r="E337" s="70" t="s">
        <v>814</v>
      </c>
      <c r="F337" s="259" t="s">
        <v>4625</v>
      </c>
      <c r="G337" s="80" t="s">
        <v>2713</v>
      </c>
      <c r="H337" s="272" t="s">
        <v>4010</v>
      </c>
      <c r="I337" s="233" t="s">
        <v>4534</v>
      </c>
      <c r="J337" s="54"/>
      <c r="K337" s="115"/>
      <c r="L337" s="115"/>
    </row>
    <row r="338">
      <c r="A338" s="249" t="s">
        <v>171</v>
      </c>
      <c r="B338" s="70" t="s">
        <v>4626</v>
      </c>
      <c r="C338" s="68" t="s">
        <v>4627</v>
      </c>
      <c r="D338" s="68" t="s">
        <v>556</v>
      </c>
      <c r="E338" s="70" t="s">
        <v>4628</v>
      </c>
      <c r="F338" s="259" t="s">
        <v>4629</v>
      </c>
      <c r="G338" s="80" t="s">
        <v>2713</v>
      </c>
      <c r="H338" s="228" t="s">
        <v>40</v>
      </c>
      <c r="I338" s="30" t="s">
        <v>4630</v>
      </c>
      <c r="J338" s="54"/>
      <c r="K338" s="115"/>
      <c r="L338" s="115"/>
    </row>
    <row r="339">
      <c r="A339" s="249" t="s">
        <v>171</v>
      </c>
      <c r="B339" s="70" t="s">
        <v>4631</v>
      </c>
      <c r="C339" s="68" t="s">
        <v>4632</v>
      </c>
      <c r="D339" s="68" t="s">
        <v>556</v>
      </c>
      <c r="E339" s="70" t="s">
        <v>1184</v>
      </c>
      <c r="F339" s="259" t="s">
        <v>4633</v>
      </c>
      <c r="G339" s="80" t="s">
        <v>2713</v>
      </c>
      <c r="H339" s="233" t="s">
        <v>161</v>
      </c>
      <c r="I339" s="240" t="s">
        <v>4432</v>
      </c>
      <c r="J339" s="54"/>
      <c r="K339" s="115"/>
      <c r="L339" s="115"/>
    </row>
    <row r="340">
      <c r="A340" s="249" t="s">
        <v>171</v>
      </c>
      <c r="B340" s="70" t="s">
        <v>4634</v>
      </c>
      <c r="C340" s="68" t="s">
        <v>4635</v>
      </c>
      <c r="D340" s="68" t="s">
        <v>556</v>
      </c>
      <c r="E340" s="70" t="s">
        <v>141</v>
      </c>
      <c r="F340" s="280" t="s">
        <v>4636</v>
      </c>
      <c r="G340" s="84" t="s">
        <v>24</v>
      </c>
      <c r="H340" s="228" t="s">
        <v>40</v>
      </c>
      <c r="I340" s="228" t="s">
        <v>626</v>
      </c>
      <c r="J340" s="54"/>
      <c r="K340" s="115"/>
      <c r="L340" s="115"/>
    </row>
    <row r="341">
      <c r="A341" s="249" t="s">
        <v>171</v>
      </c>
      <c r="B341" s="70" t="s">
        <v>4637</v>
      </c>
      <c r="C341" s="68" t="s">
        <v>4638</v>
      </c>
      <c r="D341" s="68" t="s">
        <v>556</v>
      </c>
      <c r="E341" s="70" t="s">
        <v>4380</v>
      </c>
      <c r="F341" s="228" t="s">
        <v>4639</v>
      </c>
      <c r="G341" s="80" t="s">
        <v>898</v>
      </c>
      <c r="H341" s="228" t="s">
        <v>40</v>
      </c>
      <c r="I341" s="231" t="s">
        <v>4640</v>
      </c>
      <c r="J341" s="54"/>
      <c r="K341" s="115"/>
      <c r="L341" s="115"/>
    </row>
    <row r="342">
      <c r="A342" s="249" t="s">
        <v>171</v>
      </c>
      <c r="B342" s="70" t="s">
        <v>4641</v>
      </c>
      <c r="C342" s="68" t="s">
        <v>4642</v>
      </c>
      <c r="D342" s="105">
        <v>45686.0</v>
      </c>
      <c r="E342" s="70" t="s">
        <v>727</v>
      </c>
      <c r="F342" s="228" t="s">
        <v>4643</v>
      </c>
      <c r="G342" s="80" t="s">
        <v>898</v>
      </c>
      <c r="H342" s="228" t="s">
        <v>40</v>
      </c>
      <c r="I342" s="231" t="s">
        <v>4644</v>
      </c>
      <c r="J342" s="54"/>
      <c r="K342" s="115"/>
      <c r="L342" s="115"/>
    </row>
    <row r="343">
      <c r="A343" s="249" t="s">
        <v>171</v>
      </c>
      <c r="B343" s="70" t="s">
        <v>4645</v>
      </c>
      <c r="C343" s="68" t="s">
        <v>4646</v>
      </c>
      <c r="D343" s="68" t="s">
        <v>556</v>
      </c>
      <c r="E343" s="70" t="s">
        <v>4647</v>
      </c>
      <c r="F343" s="228" t="s">
        <v>4648</v>
      </c>
      <c r="G343" s="80" t="s">
        <v>556</v>
      </c>
      <c r="H343" s="233" t="s">
        <v>556</v>
      </c>
      <c r="I343" s="233" t="s">
        <v>4649</v>
      </c>
      <c r="J343" s="54"/>
      <c r="K343" s="115"/>
      <c r="L343" s="115"/>
    </row>
    <row r="344">
      <c r="A344" s="249" t="s">
        <v>171</v>
      </c>
      <c r="B344" s="70" t="s">
        <v>4650</v>
      </c>
      <c r="C344" s="68" t="s">
        <v>4651</v>
      </c>
      <c r="D344" s="68" t="s">
        <v>556</v>
      </c>
      <c r="E344" s="281" t="s">
        <v>854</v>
      </c>
      <c r="F344" s="228" t="s">
        <v>4652</v>
      </c>
      <c r="G344" s="80" t="s">
        <v>898</v>
      </c>
      <c r="H344" s="228" t="s">
        <v>4653</v>
      </c>
      <c r="I344" s="115"/>
      <c r="J344" s="54"/>
      <c r="K344" s="115"/>
      <c r="L344" s="115"/>
    </row>
    <row r="345">
      <c r="A345" s="249" t="s">
        <v>171</v>
      </c>
      <c r="B345" s="70" t="s">
        <v>4654</v>
      </c>
      <c r="C345" s="68" t="s">
        <v>4655</v>
      </c>
      <c r="D345" s="68" t="s">
        <v>556</v>
      </c>
      <c r="E345" s="70" t="s">
        <v>3129</v>
      </c>
      <c r="F345" s="228" t="s">
        <v>4656</v>
      </c>
      <c r="G345" s="84" t="s">
        <v>24</v>
      </c>
      <c r="H345" s="233" t="s">
        <v>556</v>
      </c>
      <c r="I345" s="233" t="s">
        <v>556</v>
      </c>
      <c r="J345" s="54"/>
      <c r="K345" s="115"/>
      <c r="L345" s="115"/>
    </row>
    <row r="346">
      <c r="A346" s="249" t="s">
        <v>171</v>
      </c>
      <c r="B346" s="70" t="s">
        <v>4654</v>
      </c>
      <c r="C346" s="68" t="s">
        <v>4657</v>
      </c>
      <c r="D346" s="68" t="s">
        <v>556</v>
      </c>
      <c r="E346" s="70" t="s">
        <v>4658</v>
      </c>
      <c r="F346" s="228" t="s">
        <v>4659</v>
      </c>
      <c r="G346" s="84" t="s">
        <v>24</v>
      </c>
      <c r="H346" s="233" t="s">
        <v>556</v>
      </c>
      <c r="I346" s="233" t="s">
        <v>556</v>
      </c>
      <c r="J346" s="54"/>
      <c r="K346" s="115"/>
      <c r="L346" s="115"/>
    </row>
    <row r="347">
      <c r="A347" s="249" t="s">
        <v>171</v>
      </c>
      <c r="B347" s="70" t="s">
        <v>3730</v>
      </c>
      <c r="C347" s="68" t="s">
        <v>3731</v>
      </c>
      <c r="D347" s="68" t="s">
        <v>556</v>
      </c>
      <c r="E347" s="70" t="s">
        <v>583</v>
      </c>
      <c r="F347" s="228" t="s">
        <v>4660</v>
      </c>
      <c r="G347" s="80" t="s">
        <v>898</v>
      </c>
      <c r="H347" s="233" t="s">
        <v>4661</v>
      </c>
      <c r="I347" s="30" t="s">
        <v>4662</v>
      </c>
      <c r="J347" s="54"/>
      <c r="K347" s="115"/>
      <c r="L347" s="115"/>
    </row>
    <row r="348">
      <c r="A348" s="249" t="s">
        <v>171</v>
      </c>
      <c r="B348" s="70" t="s">
        <v>3730</v>
      </c>
      <c r="C348" s="68" t="s">
        <v>3735</v>
      </c>
      <c r="D348" s="68" t="s">
        <v>556</v>
      </c>
      <c r="E348" s="70" t="s">
        <v>586</v>
      </c>
      <c r="F348" s="228" t="s">
        <v>4663</v>
      </c>
      <c r="G348" s="80" t="s">
        <v>898</v>
      </c>
      <c r="H348" s="228" t="s">
        <v>2326</v>
      </c>
      <c r="I348" s="30" t="s">
        <v>4662</v>
      </c>
      <c r="J348" s="54"/>
      <c r="K348" s="115"/>
      <c r="L348" s="115"/>
    </row>
    <row r="349">
      <c r="A349" s="249" t="s">
        <v>171</v>
      </c>
      <c r="B349" s="70" t="s">
        <v>4664</v>
      </c>
      <c r="C349" s="68" t="s">
        <v>4665</v>
      </c>
      <c r="D349" s="68" t="s">
        <v>556</v>
      </c>
      <c r="E349" s="70" t="s">
        <v>188</v>
      </c>
      <c r="F349" s="228" t="s">
        <v>4666</v>
      </c>
      <c r="G349" s="80" t="s">
        <v>2713</v>
      </c>
      <c r="H349" s="233" t="s">
        <v>4667</v>
      </c>
      <c r="I349" s="228" t="s">
        <v>626</v>
      </c>
      <c r="J349" s="54"/>
      <c r="K349" s="115"/>
      <c r="L349" s="115"/>
    </row>
    <row r="350">
      <c r="A350" s="249" t="s">
        <v>171</v>
      </c>
      <c r="B350" s="70" t="s">
        <v>4664</v>
      </c>
      <c r="C350" s="68" t="s">
        <v>4665</v>
      </c>
      <c r="D350" s="68" t="s">
        <v>556</v>
      </c>
      <c r="E350" s="70" t="s">
        <v>1203</v>
      </c>
      <c r="F350" s="228" t="s">
        <v>4666</v>
      </c>
      <c r="G350" s="80" t="s">
        <v>2713</v>
      </c>
      <c r="H350" s="233" t="s">
        <v>4668</v>
      </c>
      <c r="I350" s="228" t="s">
        <v>626</v>
      </c>
      <c r="J350" s="54"/>
      <c r="K350" s="115"/>
      <c r="L350" s="115"/>
    </row>
    <row r="351">
      <c r="A351" s="249" t="s">
        <v>171</v>
      </c>
      <c r="B351" s="70" t="s">
        <v>4669</v>
      </c>
      <c r="C351" s="68" t="s">
        <v>4670</v>
      </c>
      <c r="D351" s="68" t="s">
        <v>556</v>
      </c>
      <c r="E351" s="70" t="s">
        <v>271</v>
      </c>
      <c r="F351" s="228" t="s">
        <v>4671</v>
      </c>
      <c r="G351" s="80" t="s">
        <v>2713</v>
      </c>
      <c r="H351" s="233" t="s">
        <v>736</v>
      </c>
      <c r="I351" s="228" t="s">
        <v>626</v>
      </c>
      <c r="J351" s="54"/>
      <c r="K351" s="115"/>
      <c r="L351" s="115"/>
    </row>
    <row r="352">
      <c r="A352" s="249" t="s">
        <v>171</v>
      </c>
      <c r="B352" s="70" t="s">
        <v>4672</v>
      </c>
      <c r="C352" s="68" t="s">
        <v>4673</v>
      </c>
      <c r="D352" s="105">
        <v>45406.0</v>
      </c>
      <c r="E352" s="70" t="s">
        <v>3300</v>
      </c>
      <c r="F352" s="228" t="s">
        <v>4674</v>
      </c>
      <c r="G352" s="84" t="s">
        <v>24</v>
      </c>
      <c r="H352" s="228" t="s">
        <v>40</v>
      </c>
      <c r="I352" s="228" t="s">
        <v>1195</v>
      </c>
      <c r="J352" s="54"/>
      <c r="K352" s="115"/>
      <c r="L352" s="115"/>
    </row>
    <row r="353">
      <c r="A353" s="249" t="s">
        <v>743</v>
      </c>
      <c r="B353" s="70" t="s">
        <v>4675</v>
      </c>
      <c r="C353" s="68" t="s">
        <v>4676</v>
      </c>
      <c r="D353" s="68" t="s">
        <v>556</v>
      </c>
      <c r="E353" s="70" t="s">
        <v>107</v>
      </c>
      <c r="F353" s="228" t="s">
        <v>4677</v>
      </c>
      <c r="G353" s="68" t="s">
        <v>4678</v>
      </c>
      <c r="H353" s="228" t="s">
        <v>40</v>
      </c>
      <c r="I353" s="231" t="s">
        <v>4679</v>
      </c>
      <c r="J353" s="54"/>
      <c r="K353" s="115"/>
      <c r="L353" s="115"/>
    </row>
    <row r="354">
      <c r="A354" s="249" t="s">
        <v>171</v>
      </c>
      <c r="B354" s="70" t="s">
        <v>4619</v>
      </c>
      <c r="C354" s="68" t="s">
        <v>4620</v>
      </c>
      <c r="D354" s="68" t="s">
        <v>556</v>
      </c>
      <c r="E354" s="70" t="s">
        <v>4680</v>
      </c>
      <c r="F354" s="228" t="s">
        <v>4681</v>
      </c>
      <c r="G354" s="84" t="s">
        <v>24</v>
      </c>
      <c r="H354" s="228" t="s">
        <v>40</v>
      </c>
      <c r="I354" s="228" t="s">
        <v>626</v>
      </c>
      <c r="J354" s="54"/>
      <c r="K354" s="115"/>
      <c r="L354" s="115"/>
    </row>
    <row r="355">
      <c r="A355" s="249" t="s">
        <v>1450</v>
      </c>
      <c r="B355" s="70" t="s">
        <v>4682</v>
      </c>
      <c r="C355" s="68" t="s">
        <v>4683</v>
      </c>
      <c r="D355" s="68" t="s">
        <v>556</v>
      </c>
      <c r="E355" s="115"/>
      <c r="F355" s="62" t="s">
        <v>4684</v>
      </c>
      <c r="G355" s="80" t="s">
        <v>2713</v>
      </c>
      <c r="H355" s="115"/>
      <c r="I355" s="115"/>
      <c r="J355" s="54"/>
      <c r="K355" s="115"/>
      <c r="L355" s="115"/>
    </row>
  </sheetData>
  <dataValidations>
    <dataValidation type="list" allowBlank="1" showErrorMessage="1" sqref="A1:A355">
      <formula1>"Urgente,Mediana,Normal,Análise Concluída,Falta Tutoria,Falta Documentação,Falta Financeiro,Falta Plataforma,Aluno certificado,Aluno no Setor de Cobrança,Processo de certificação,Falta extensão,Aguardando Gringa voltar,Analisando Caso,Analisando Caso, Falt"&amp;"a Financeiro,Análise Concluída, Aluno certificado,Análise Concluída, Analisando Caso,Análise Concluída, Falta extensão,Análise Concluída, Falta Tutoria,Falta extensão, Análise Concluída,Falta Financeiro, Falta Plataforma,Falta Plataforma, Falta Tutoria,Fa"&amp;"lta Plataforma, Falta Tutoria, Falta Financeiro,Falta Tutoria, Falta Plataforma"</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43.88"/>
    <col customWidth="1" min="2" max="2" width="35.13"/>
    <col customWidth="1" min="3" max="3" width="22.75"/>
    <col customWidth="1" min="4" max="4" width="29.88"/>
    <col customWidth="1" min="5" max="5" width="55.0"/>
    <col customWidth="1" min="6" max="6" width="62.38"/>
    <col customWidth="1" min="7" max="7" width="44.75"/>
    <col customWidth="1" min="8" max="8" width="38.0"/>
    <col customWidth="1" min="9" max="9" width="63.5"/>
    <col customWidth="1" min="10" max="10" width="32.0"/>
    <col customWidth="1" min="11" max="12" width="53.75"/>
  </cols>
  <sheetData>
    <row r="1" ht="42.75" customHeight="1">
      <c r="A1" s="282"/>
      <c r="B1" s="283" t="s">
        <v>2</v>
      </c>
      <c r="C1" s="283" t="s">
        <v>1</v>
      </c>
      <c r="D1" s="283" t="s">
        <v>3</v>
      </c>
      <c r="E1" s="284" t="s">
        <v>4</v>
      </c>
      <c r="F1" s="283" t="s">
        <v>568</v>
      </c>
      <c r="G1" s="283" t="s">
        <v>569</v>
      </c>
      <c r="H1" s="283" t="s">
        <v>7</v>
      </c>
      <c r="I1" s="283" t="s">
        <v>570</v>
      </c>
      <c r="J1" s="283" t="s">
        <v>571</v>
      </c>
      <c r="K1" s="283" t="s">
        <v>572</v>
      </c>
      <c r="L1" s="285"/>
    </row>
    <row r="2" ht="17.25" customHeight="1">
      <c r="A2" s="286" t="s">
        <v>171</v>
      </c>
      <c r="B2" s="287" t="s">
        <v>4685</v>
      </c>
      <c r="C2" s="288" t="s">
        <v>4686</v>
      </c>
      <c r="D2" s="288" t="s">
        <v>556</v>
      </c>
      <c r="E2" s="287" t="s">
        <v>210</v>
      </c>
      <c r="F2" s="289" t="s">
        <v>4687</v>
      </c>
      <c r="G2" s="290" t="s">
        <v>1973</v>
      </c>
      <c r="H2" s="289" t="s">
        <v>2326</v>
      </c>
      <c r="I2" s="291" t="s">
        <v>4688</v>
      </c>
      <c r="J2" s="292"/>
      <c r="K2" s="293"/>
      <c r="L2" s="294"/>
    </row>
    <row r="3">
      <c r="A3" s="286" t="s">
        <v>171</v>
      </c>
      <c r="B3" s="287" t="s">
        <v>4689</v>
      </c>
      <c r="C3" s="288" t="s">
        <v>4690</v>
      </c>
      <c r="D3" s="288" t="s">
        <v>556</v>
      </c>
      <c r="E3" s="287" t="s">
        <v>4691</v>
      </c>
      <c r="F3" s="289" t="s">
        <v>4692</v>
      </c>
      <c r="G3" s="290" t="s">
        <v>1973</v>
      </c>
      <c r="H3" s="289" t="s">
        <v>40</v>
      </c>
      <c r="I3" s="291" t="s">
        <v>4693</v>
      </c>
      <c r="J3" s="292"/>
      <c r="K3" s="293"/>
      <c r="L3" s="294"/>
    </row>
    <row r="4" ht="15.75" customHeight="1">
      <c r="A4" s="286" t="s">
        <v>171</v>
      </c>
      <c r="B4" s="287" t="s">
        <v>4694</v>
      </c>
      <c r="C4" s="288" t="s">
        <v>4695</v>
      </c>
      <c r="D4" s="288" t="s">
        <v>556</v>
      </c>
      <c r="E4" s="287" t="s">
        <v>4696</v>
      </c>
      <c r="F4" s="295" t="s">
        <v>556</v>
      </c>
      <c r="G4" s="290" t="s">
        <v>556</v>
      </c>
      <c r="H4" s="289" t="s">
        <v>40</v>
      </c>
      <c r="I4" s="295" t="s">
        <v>556</v>
      </c>
      <c r="J4" s="292"/>
      <c r="K4" s="293"/>
      <c r="L4" s="294"/>
    </row>
    <row r="5">
      <c r="A5" s="286" t="s">
        <v>171</v>
      </c>
      <c r="B5" s="287" t="s">
        <v>4697</v>
      </c>
      <c r="C5" s="288" t="s">
        <v>4698</v>
      </c>
      <c r="D5" s="288" t="s">
        <v>556</v>
      </c>
      <c r="E5" s="287" t="s">
        <v>4699</v>
      </c>
      <c r="F5" s="289" t="s">
        <v>4700</v>
      </c>
      <c r="G5" s="290" t="s">
        <v>1973</v>
      </c>
      <c r="H5" s="295" t="s">
        <v>4701</v>
      </c>
      <c r="I5" s="291" t="s">
        <v>4702</v>
      </c>
      <c r="J5" s="292"/>
      <c r="K5" s="293"/>
      <c r="L5" s="294"/>
    </row>
    <row r="6">
      <c r="A6" s="286" t="s">
        <v>171</v>
      </c>
      <c r="B6" s="287" t="s">
        <v>3006</v>
      </c>
      <c r="C6" s="288" t="s">
        <v>4703</v>
      </c>
      <c r="D6" s="288" t="s">
        <v>556</v>
      </c>
      <c r="E6" s="287" t="s">
        <v>4704</v>
      </c>
      <c r="F6" s="295" t="s">
        <v>556</v>
      </c>
      <c r="G6" s="296" t="s">
        <v>24</v>
      </c>
      <c r="H6" s="289" t="s">
        <v>25</v>
      </c>
      <c r="I6" s="289" t="s">
        <v>4705</v>
      </c>
      <c r="J6" s="292"/>
      <c r="K6" s="293"/>
      <c r="L6" s="294"/>
    </row>
    <row r="7">
      <c r="A7" s="286" t="s">
        <v>171</v>
      </c>
      <c r="B7" s="287" t="s">
        <v>2501</v>
      </c>
      <c r="C7" s="288" t="s">
        <v>4210</v>
      </c>
      <c r="D7" s="288" t="s">
        <v>556</v>
      </c>
      <c r="E7" s="287" t="s">
        <v>4706</v>
      </c>
      <c r="F7" s="289" t="s">
        <v>4707</v>
      </c>
      <c r="G7" s="296" t="s">
        <v>24</v>
      </c>
      <c r="H7" s="289" t="s">
        <v>25</v>
      </c>
      <c r="I7" s="289" t="s">
        <v>4708</v>
      </c>
      <c r="J7" s="292"/>
      <c r="K7" s="293"/>
      <c r="L7" s="294"/>
    </row>
    <row r="8">
      <c r="A8" s="286" t="s">
        <v>171</v>
      </c>
      <c r="B8" s="287" t="s">
        <v>4709</v>
      </c>
      <c r="C8" s="288" t="s">
        <v>4710</v>
      </c>
      <c r="D8" s="288" t="s">
        <v>556</v>
      </c>
      <c r="E8" s="287" t="s">
        <v>3129</v>
      </c>
      <c r="F8" s="289" t="s">
        <v>4711</v>
      </c>
      <c r="G8" s="290" t="s">
        <v>2713</v>
      </c>
      <c r="H8" s="295" t="s">
        <v>4712</v>
      </c>
      <c r="I8" s="295" t="s">
        <v>556</v>
      </c>
      <c r="J8" s="292"/>
      <c r="K8" s="293"/>
      <c r="L8" s="294"/>
    </row>
    <row r="9">
      <c r="A9" s="286" t="s">
        <v>171</v>
      </c>
      <c r="B9" s="287" t="s">
        <v>4713</v>
      </c>
      <c r="C9" s="288" t="s">
        <v>4714</v>
      </c>
      <c r="D9" s="288" t="s">
        <v>556</v>
      </c>
      <c r="E9" s="287" t="s">
        <v>107</v>
      </c>
      <c r="F9" s="289" t="s">
        <v>4715</v>
      </c>
      <c r="G9" s="290" t="s">
        <v>2713</v>
      </c>
      <c r="H9" s="295" t="s">
        <v>736</v>
      </c>
      <c r="I9" s="289" t="s">
        <v>1398</v>
      </c>
      <c r="J9" s="292"/>
      <c r="K9" s="293"/>
      <c r="L9" s="294"/>
    </row>
    <row r="10">
      <c r="A10" s="286" t="s">
        <v>171</v>
      </c>
      <c r="B10" s="287" t="s">
        <v>3717</v>
      </c>
      <c r="C10" s="288" t="s">
        <v>4571</v>
      </c>
      <c r="D10" s="288" t="s">
        <v>556</v>
      </c>
      <c r="E10" s="287" t="s">
        <v>1184</v>
      </c>
      <c r="F10" s="289" t="s">
        <v>4716</v>
      </c>
      <c r="G10" s="296" t="s">
        <v>24</v>
      </c>
      <c r="H10" s="289" t="s">
        <v>25</v>
      </c>
      <c r="I10" s="289" t="s">
        <v>4717</v>
      </c>
      <c r="J10" s="292"/>
      <c r="K10" s="293"/>
      <c r="L10" s="294"/>
    </row>
    <row r="11">
      <c r="A11" s="286" t="s">
        <v>171</v>
      </c>
      <c r="B11" s="287" t="s">
        <v>4718</v>
      </c>
      <c r="C11" s="288" t="s">
        <v>4719</v>
      </c>
      <c r="D11" s="288" t="s">
        <v>556</v>
      </c>
      <c r="E11" s="287" t="s">
        <v>4720</v>
      </c>
      <c r="F11" s="289" t="s">
        <v>4721</v>
      </c>
      <c r="G11" s="290" t="s">
        <v>2713</v>
      </c>
      <c r="H11" s="289" t="s">
        <v>25</v>
      </c>
      <c r="I11" s="295" t="s">
        <v>556</v>
      </c>
      <c r="J11" s="292"/>
      <c r="K11" s="293"/>
      <c r="L11" s="294"/>
    </row>
    <row r="12">
      <c r="A12" s="286" t="s">
        <v>171</v>
      </c>
      <c r="B12" s="287" t="s">
        <v>4722</v>
      </c>
      <c r="C12" s="288" t="s">
        <v>4723</v>
      </c>
      <c r="D12" s="288" t="s">
        <v>556</v>
      </c>
      <c r="E12" s="287" t="s">
        <v>4724</v>
      </c>
      <c r="F12" s="289" t="s">
        <v>4725</v>
      </c>
      <c r="G12" s="290" t="s">
        <v>2713</v>
      </c>
      <c r="H12" s="295" t="s">
        <v>4701</v>
      </c>
      <c r="I12" s="295" t="s">
        <v>556</v>
      </c>
      <c r="J12" s="292"/>
      <c r="K12" s="293"/>
      <c r="L12" s="294"/>
    </row>
    <row r="13">
      <c r="A13" s="286" t="s">
        <v>4726</v>
      </c>
      <c r="B13" s="287" t="s">
        <v>4727</v>
      </c>
      <c r="C13" s="288" t="s">
        <v>4728</v>
      </c>
      <c r="D13" s="288" t="s">
        <v>556</v>
      </c>
      <c r="E13" s="287" t="s">
        <v>130</v>
      </c>
      <c r="F13" s="289" t="s">
        <v>4729</v>
      </c>
      <c r="G13" s="296" t="s">
        <v>24</v>
      </c>
      <c r="H13" s="289" t="s">
        <v>25</v>
      </c>
      <c r="I13" s="289" t="s">
        <v>1398</v>
      </c>
      <c r="J13" s="292"/>
      <c r="K13" s="293"/>
      <c r="L13" s="294"/>
    </row>
    <row r="14">
      <c r="A14" s="286" t="s">
        <v>171</v>
      </c>
      <c r="B14" s="287" t="s">
        <v>4730</v>
      </c>
      <c r="C14" s="288" t="s">
        <v>4731</v>
      </c>
      <c r="D14" s="288" t="s">
        <v>556</v>
      </c>
      <c r="E14" s="287" t="s">
        <v>107</v>
      </c>
      <c r="F14" s="289" t="s">
        <v>4732</v>
      </c>
      <c r="G14" s="290" t="s">
        <v>1973</v>
      </c>
      <c r="H14" s="295" t="s">
        <v>4733</v>
      </c>
      <c r="I14" s="289" t="s">
        <v>1398</v>
      </c>
      <c r="J14" s="292"/>
      <c r="K14" s="293"/>
      <c r="L14" s="294"/>
    </row>
    <row r="15">
      <c r="A15" s="286" t="s">
        <v>305</v>
      </c>
      <c r="B15" s="287" t="s">
        <v>4734</v>
      </c>
      <c r="C15" s="288" t="s">
        <v>4735</v>
      </c>
      <c r="D15" s="288" t="s">
        <v>556</v>
      </c>
      <c r="E15" s="287" t="s">
        <v>4736</v>
      </c>
      <c r="F15" s="289" t="s">
        <v>4737</v>
      </c>
      <c r="G15" s="296" t="s">
        <v>24</v>
      </c>
      <c r="H15" s="295" t="s">
        <v>556</v>
      </c>
      <c r="I15" s="289" t="s">
        <v>4738</v>
      </c>
      <c r="J15" s="292"/>
      <c r="K15" s="293"/>
      <c r="L15" s="294"/>
    </row>
    <row r="16">
      <c r="A16" s="286" t="s">
        <v>171</v>
      </c>
      <c r="B16" s="287" t="s">
        <v>4739</v>
      </c>
      <c r="C16" s="288" t="s">
        <v>4740</v>
      </c>
      <c r="D16" s="288" t="s">
        <v>556</v>
      </c>
      <c r="E16" s="287" t="s">
        <v>357</v>
      </c>
      <c r="F16" s="289" t="s">
        <v>4741</v>
      </c>
      <c r="G16" s="290" t="s">
        <v>2713</v>
      </c>
      <c r="H16" s="295" t="s">
        <v>4733</v>
      </c>
      <c r="I16" s="295" t="s">
        <v>556</v>
      </c>
      <c r="J16" s="292"/>
      <c r="K16" s="293"/>
      <c r="L16" s="294"/>
    </row>
    <row r="17">
      <c r="A17" s="286" t="s">
        <v>4726</v>
      </c>
      <c r="B17" s="287" t="s">
        <v>4742</v>
      </c>
      <c r="C17" s="288" t="s">
        <v>4743</v>
      </c>
      <c r="D17" s="288" t="s">
        <v>556</v>
      </c>
      <c r="E17" s="287" t="s">
        <v>188</v>
      </c>
      <c r="F17" s="295" t="s">
        <v>4744</v>
      </c>
      <c r="G17" s="290" t="s">
        <v>2713</v>
      </c>
      <c r="H17" s="295" t="s">
        <v>4745</v>
      </c>
      <c r="I17" s="289" t="s">
        <v>1398</v>
      </c>
      <c r="J17" s="292"/>
      <c r="K17" s="293"/>
      <c r="L17" s="294"/>
    </row>
    <row r="18">
      <c r="A18" s="286" t="s">
        <v>171</v>
      </c>
      <c r="B18" s="287" t="s">
        <v>4746</v>
      </c>
      <c r="C18" s="288" t="s">
        <v>4747</v>
      </c>
      <c r="D18" s="288" t="s">
        <v>556</v>
      </c>
      <c r="E18" s="287" t="s">
        <v>357</v>
      </c>
      <c r="F18" s="289" t="s">
        <v>4748</v>
      </c>
      <c r="G18" s="290" t="s">
        <v>556</v>
      </c>
      <c r="H18" s="295" t="s">
        <v>556</v>
      </c>
      <c r="I18" s="295" t="s">
        <v>556</v>
      </c>
      <c r="J18" s="292"/>
      <c r="K18" s="293"/>
      <c r="L18" s="294"/>
    </row>
    <row r="19" ht="17.25" customHeight="1">
      <c r="A19" s="286" t="s">
        <v>171</v>
      </c>
      <c r="B19" s="287" t="s">
        <v>4749</v>
      </c>
      <c r="C19" s="288" t="s">
        <v>4750</v>
      </c>
      <c r="D19" s="288" t="s">
        <v>556</v>
      </c>
      <c r="E19" s="287" t="s">
        <v>3100</v>
      </c>
      <c r="F19" s="289" t="s">
        <v>4751</v>
      </c>
      <c r="G19" s="290" t="s">
        <v>2713</v>
      </c>
      <c r="H19" s="289" t="s">
        <v>25</v>
      </c>
      <c r="I19" s="291" t="s">
        <v>4752</v>
      </c>
      <c r="J19" s="292"/>
      <c r="K19" s="293"/>
      <c r="L19" s="294"/>
    </row>
    <row r="20">
      <c r="A20" s="286" t="s">
        <v>171</v>
      </c>
      <c r="B20" s="287" t="s">
        <v>4753</v>
      </c>
      <c r="C20" s="288" t="s">
        <v>4754</v>
      </c>
      <c r="D20" s="288" t="s">
        <v>556</v>
      </c>
      <c r="E20" s="287" t="s">
        <v>107</v>
      </c>
      <c r="F20" s="289" t="s">
        <v>4755</v>
      </c>
      <c r="G20" s="290" t="s">
        <v>2713</v>
      </c>
      <c r="H20" s="295" t="s">
        <v>736</v>
      </c>
      <c r="I20" s="289" t="s">
        <v>1398</v>
      </c>
      <c r="J20" s="292"/>
      <c r="K20" s="293"/>
      <c r="L20" s="294"/>
    </row>
    <row r="21">
      <c r="A21" s="286" t="s">
        <v>171</v>
      </c>
      <c r="B21" s="287" t="s">
        <v>4756</v>
      </c>
      <c r="C21" s="288" t="s">
        <v>4757</v>
      </c>
      <c r="D21" s="288" t="s">
        <v>556</v>
      </c>
      <c r="E21" s="287" t="s">
        <v>463</v>
      </c>
      <c r="F21" s="295" t="s">
        <v>4758</v>
      </c>
      <c r="G21" s="290" t="s">
        <v>556</v>
      </c>
      <c r="H21" s="295" t="s">
        <v>556</v>
      </c>
      <c r="I21" s="289" t="s">
        <v>1398</v>
      </c>
      <c r="J21" s="292"/>
      <c r="K21" s="293"/>
      <c r="L21" s="294"/>
    </row>
    <row r="22">
      <c r="A22" s="286" t="s">
        <v>171</v>
      </c>
      <c r="B22" s="287" t="s">
        <v>4759</v>
      </c>
      <c r="C22" s="288" t="s">
        <v>4760</v>
      </c>
      <c r="D22" s="288" t="s">
        <v>556</v>
      </c>
      <c r="E22" s="287" t="s">
        <v>463</v>
      </c>
      <c r="F22" s="289" t="s">
        <v>4761</v>
      </c>
      <c r="G22" s="290" t="s">
        <v>556</v>
      </c>
      <c r="H22" s="295" t="s">
        <v>556</v>
      </c>
      <c r="I22" s="295" t="s">
        <v>556</v>
      </c>
      <c r="J22" s="292"/>
      <c r="K22" s="293"/>
      <c r="L22" s="294"/>
    </row>
    <row r="23">
      <c r="A23" s="286" t="s">
        <v>171</v>
      </c>
      <c r="B23" s="287" t="s">
        <v>4762</v>
      </c>
      <c r="C23" s="288" t="s">
        <v>4763</v>
      </c>
      <c r="D23" s="288" t="s">
        <v>556</v>
      </c>
      <c r="E23" s="287" t="s">
        <v>814</v>
      </c>
      <c r="F23" s="295" t="s">
        <v>4764</v>
      </c>
      <c r="G23" s="290" t="s">
        <v>556</v>
      </c>
      <c r="H23" s="295" t="s">
        <v>556</v>
      </c>
      <c r="I23" s="295" t="s">
        <v>556</v>
      </c>
      <c r="J23" s="292"/>
      <c r="K23" s="293"/>
      <c r="L23" s="294"/>
    </row>
    <row r="24">
      <c r="A24" s="286" t="s">
        <v>171</v>
      </c>
      <c r="B24" s="287" t="s">
        <v>1112</v>
      </c>
      <c r="C24" s="288" t="s">
        <v>4765</v>
      </c>
      <c r="D24" s="288" t="s">
        <v>556</v>
      </c>
      <c r="E24" s="287" t="s">
        <v>676</v>
      </c>
      <c r="F24" s="295" t="s">
        <v>4766</v>
      </c>
      <c r="G24" s="290" t="s">
        <v>1973</v>
      </c>
      <c r="H24" s="295" t="s">
        <v>736</v>
      </c>
      <c r="I24" s="295" t="s">
        <v>556</v>
      </c>
      <c r="J24" s="292"/>
      <c r="K24" s="293"/>
      <c r="L24" s="294"/>
    </row>
    <row r="25">
      <c r="A25" s="286" t="s">
        <v>171</v>
      </c>
      <c r="B25" s="287" t="s">
        <v>4767</v>
      </c>
      <c r="C25" s="288" t="s">
        <v>4768</v>
      </c>
      <c r="D25" s="288" t="s">
        <v>556</v>
      </c>
      <c r="E25" s="287" t="s">
        <v>130</v>
      </c>
      <c r="F25" s="295" t="s">
        <v>556</v>
      </c>
      <c r="G25" s="290" t="s">
        <v>556</v>
      </c>
      <c r="H25" s="295" t="s">
        <v>556</v>
      </c>
      <c r="I25" s="289" t="s">
        <v>1398</v>
      </c>
      <c r="J25" s="292"/>
      <c r="K25" s="293"/>
      <c r="L25" s="294"/>
    </row>
    <row r="26">
      <c r="A26" s="286" t="s">
        <v>171</v>
      </c>
      <c r="B26" s="287" t="s">
        <v>4769</v>
      </c>
      <c r="C26" s="288" t="s">
        <v>4770</v>
      </c>
      <c r="D26" s="288" t="s">
        <v>556</v>
      </c>
      <c r="E26" s="287" t="s">
        <v>1462</v>
      </c>
      <c r="F26" s="289" t="s">
        <v>4771</v>
      </c>
      <c r="G26" s="290" t="s">
        <v>2713</v>
      </c>
      <c r="H26" s="289" t="s">
        <v>25</v>
      </c>
      <c r="I26" s="289" t="s">
        <v>1398</v>
      </c>
      <c r="J26" s="292"/>
      <c r="K26" s="293"/>
      <c r="L26" s="294"/>
    </row>
    <row r="27">
      <c r="A27" s="286" t="s">
        <v>171</v>
      </c>
      <c r="B27" s="287" t="s">
        <v>4769</v>
      </c>
      <c r="C27" s="288" t="s">
        <v>4770</v>
      </c>
      <c r="D27" s="288" t="s">
        <v>556</v>
      </c>
      <c r="E27" s="287" t="s">
        <v>1405</v>
      </c>
      <c r="F27" s="289" t="s">
        <v>4771</v>
      </c>
      <c r="G27" s="290" t="s">
        <v>2713</v>
      </c>
      <c r="H27" s="295" t="s">
        <v>736</v>
      </c>
      <c r="I27" s="289" t="s">
        <v>1398</v>
      </c>
      <c r="J27" s="292"/>
      <c r="K27" s="293"/>
      <c r="L27" s="294"/>
    </row>
    <row r="28">
      <c r="A28" s="286" t="s">
        <v>171</v>
      </c>
      <c r="B28" s="287" t="s">
        <v>4769</v>
      </c>
      <c r="C28" s="288" t="s">
        <v>4770</v>
      </c>
      <c r="D28" s="288" t="s">
        <v>556</v>
      </c>
      <c r="E28" s="287" t="s">
        <v>4772</v>
      </c>
      <c r="F28" s="289" t="s">
        <v>4771</v>
      </c>
      <c r="G28" s="290" t="s">
        <v>2713</v>
      </c>
      <c r="H28" s="295" t="s">
        <v>736</v>
      </c>
      <c r="I28" s="295" t="s">
        <v>556</v>
      </c>
      <c r="J28" s="292"/>
      <c r="K28" s="293"/>
      <c r="L28" s="294"/>
    </row>
    <row r="29">
      <c r="A29" s="286" t="s">
        <v>171</v>
      </c>
      <c r="B29" s="287" t="s">
        <v>4773</v>
      </c>
      <c r="C29" s="288" t="s">
        <v>4774</v>
      </c>
      <c r="D29" s="288" t="s">
        <v>556</v>
      </c>
      <c r="E29" s="287" t="s">
        <v>2409</v>
      </c>
      <c r="F29" s="289" t="s">
        <v>4775</v>
      </c>
      <c r="G29" s="290" t="s">
        <v>1973</v>
      </c>
      <c r="H29" s="289" t="s">
        <v>25</v>
      </c>
      <c r="I29" s="295" t="s">
        <v>556</v>
      </c>
      <c r="J29" s="292"/>
      <c r="K29" s="293"/>
      <c r="L29" s="294"/>
    </row>
    <row r="30">
      <c r="A30" s="286" t="s">
        <v>171</v>
      </c>
      <c r="B30" s="287" t="s">
        <v>2407</v>
      </c>
      <c r="C30" s="288" t="s">
        <v>2408</v>
      </c>
      <c r="D30" s="297">
        <v>45606.0</v>
      </c>
      <c r="E30" s="287" t="s">
        <v>4776</v>
      </c>
      <c r="F30" s="289" t="s">
        <v>4777</v>
      </c>
      <c r="G30" s="296" t="s">
        <v>24</v>
      </c>
      <c r="H30" s="289" t="s">
        <v>25</v>
      </c>
      <c r="I30" s="289" t="s">
        <v>4705</v>
      </c>
      <c r="J30" s="292"/>
      <c r="K30" s="293"/>
      <c r="L30" s="294"/>
    </row>
    <row r="31">
      <c r="A31" s="286" t="s">
        <v>171</v>
      </c>
      <c r="B31" s="287" t="s">
        <v>4778</v>
      </c>
      <c r="C31" s="288" t="s">
        <v>4540</v>
      </c>
      <c r="D31" s="298">
        <v>45672.0</v>
      </c>
      <c r="E31" s="287" t="s">
        <v>228</v>
      </c>
      <c r="F31" s="289" t="s">
        <v>4779</v>
      </c>
      <c r="G31" s="296" t="s">
        <v>24</v>
      </c>
      <c r="H31" s="289" t="s">
        <v>25</v>
      </c>
      <c r="I31" s="289" t="s">
        <v>1398</v>
      </c>
      <c r="J31" s="292"/>
      <c r="K31" s="293"/>
      <c r="L31" s="294"/>
    </row>
    <row r="32">
      <c r="A32" s="286" t="s">
        <v>171</v>
      </c>
      <c r="B32" s="287" t="s">
        <v>4780</v>
      </c>
      <c r="C32" s="288" t="s">
        <v>4781</v>
      </c>
      <c r="D32" s="288" t="s">
        <v>556</v>
      </c>
      <c r="E32" s="287" t="s">
        <v>3253</v>
      </c>
      <c r="F32" s="289" t="s">
        <v>4782</v>
      </c>
      <c r="G32" s="290" t="s">
        <v>2713</v>
      </c>
      <c r="H32" s="295" t="s">
        <v>4783</v>
      </c>
      <c r="I32" s="289" t="s">
        <v>1398</v>
      </c>
      <c r="J32" s="292"/>
      <c r="K32" s="293"/>
      <c r="L32" s="294"/>
    </row>
    <row r="33">
      <c r="A33" s="286" t="s">
        <v>171</v>
      </c>
      <c r="B33" s="287" t="s">
        <v>4784</v>
      </c>
      <c r="C33" s="288" t="s">
        <v>4785</v>
      </c>
      <c r="D33" s="288" t="s">
        <v>556</v>
      </c>
      <c r="E33" s="287" t="s">
        <v>107</v>
      </c>
      <c r="F33" s="295" t="s">
        <v>4786</v>
      </c>
      <c r="G33" s="290" t="s">
        <v>556</v>
      </c>
      <c r="H33" s="295" t="s">
        <v>556</v>
      </c>
      <c r="I33" s="295" t="s">
        <v>556</v>
      </c>
      <c r="J33" s="292"/>
      <c r="K33" s="293"/>
      <c r="L33" s="294"/>
    </row>
    <row r="34">
      <c r="A34" s="286" t="s">
        <v>171</v>
      </c>
      <c r="B34" s="287" t="s">
        <v>4787</v>
      </c>
      <c r="C34" s="288" t="s">
        <v>4788</v>
      </c>
      <c r="D34" s="288" t="s">
        <v>556</v>
      </c>
      <c r="E34" s="287" t="s">
        <v>4789</v>
      </c>
      <c r="F34" s="289" t="s">
        <v>4790</v>
      </c>
      <c r="G34" s="290" t="s">
        <v>1973</v>
      </c>
      <c r="H34" s="289" t="s">
        <v>25</v>
      </c>
      <c r="I34" s="289" t="s">
        <v>567</v>
      </c>
      <c r="J34" s="292"/>
      <c r="K34" s="293"/>
      <c r="L34" s="294"/>
    </row>
    <row r="35">
      <c r="A35" s="286" t="s">
        <v>171</v>
      </c>
      <c r="B35" s="287" t="s">
        <v>4791</v>
      </c>
      <c r="C35" s="288" t="s">
        <v>4792</v>
      </c>
      <c r="D35" s="288" t="s">
        <v>556</v>
      </c>
      <c r="E35" s="287" t="s">
        <v>1240</v>
      </c>
      <c r="F35" s="295" t="s">
        <v>4793</v>
      </c>
      <c r="G35" s="290" t="s">
        <v>2713</v>
      </c>
      <c r="H35" s="295" t="s">
        <v>4794</v>
      </c>
      <c r="I35" s="295" t="s">
        <v>556</v>
      </c>
      <c r="J35" s="292"/>
      <c r="K35" s="293"/>
      <c r="L35" s="294"/>
    </row>
    <row r="36">
      <c r="A36" s="286" t="s">
        <v>171</v>
      </c>
      <c r="B36" s="287" t="s">
        <v>4435</v>
      </c>
      <c r="C36" s="288" t="s">
        <v>4436</v>
      </c>
      <c r="D36" s="288" t="s">
        <v>556</v>
      </c>
      <c r="E36" s="287" t="s">
        <v>575</v>
      </c>
      <c r="F36" s="289" t="s">
        <v>4795</v>
      </c>
      <c r="G36" s="290" t="s">
        <v>2713</v>
      </c>
      <c r="H36" s="295" t="s">
        <v>4712</v>
      </c>
      <c r="I36" s="295" t="s">
        <v>556</v>
      </c>
      <c r="J36" s="292"/>
      <c r="K36" s="293"/>
      <c r="L36" s="294"/>
    </row>
    <row r="37">
      <c r="A37" s="286" t="s">
        <v>171</v>
      </c>
      <c r="B37" s="287" t="s">
        <v>2529</v>
      </c>
      <c r="C37" s="288" t="s">
        <v>4796</v>
      </c>
      <c r="D37" s="288" t="s">
        <v>556</v>
      </c>
      <c r="E37" s="287" t="s">
        <v>357</v>
      </c>
      <c r="F37" s="289" t="s">
        <v>2530</v>
      </c>
      <c r="G37" s="290" t="s">
        <v>1973</v>
      </c>
      <c r="H37" s="295" t="s">
        <v>4797</v>
      </c>
      <c r="I37" s="295" t="s">
        <v>556</v>
      </c>
      <c r="J37" s="292"/>
      <c r="K37" s="293"/>
      <c r="L37" s="294"/>
    </row>
    <row r="38">
      <c r="A38" s="286" t="s">
        <v>171</v>
      </c>
      <c r="B38" s="287" t="s">
        <v>4798</v>
      </c>
      <c r="C38" s="288" t="s">
        <v>4799</v>
      </c>
      <c r="D38" s="288" t="s">
        <v>556</v>
      </c>
      <c r="E38" s="287" t="s">
        <v>4800</v>
      </c>
      <c r="F38" s="289" t="s">
        <v>4801</v>
      </c>
      <c r="G38" s="290" t="s">
        <v>1973</v>
      </c>
      <c r="H38" s="289" t="s">
        <v>25</v>
      </c>
      <c r="I38" s="291" t="s">
        <v>4802</v>
      </c>
      <c r="J38" s="292"/>
      <c r="K38" s="293"/>
      <c r="L38" s="294"/>
    </row>
    <row r="39">
      <c r="A39" s="286" t="s">
        <v>171</v>
      </c>
      <c r="B39" s="287" t="s">
        <v>4803</v>
      </c>
      <c r="C39" s="288" t="s">
        <v>4804</v>
      </c>
      <c r="D39" s="288" t="s">
        <v>556</v>
      </c>
      <c r="E39" s="287" t="s">
        <v>4805</v>
      </c>
      <c r="F39" s="289" t="s">
        <v>4806</v>
      </c>
      <c r="G39" s="296" t="s">
        <v>24</v>
      </c>
      <c r="H39" s="289" t="s">
        <v>25</v>
      </c>
      <c r="I39" s="289" t="s">
        <v>1398</v>
      </c>
      <c r="J39" s="292"/>
      <c r="K39" s="293"/>
      <c r="L39" s="294"/>
    </row>
    <row r="40">
      <c r="A40" s="286" t="s">
        <v>171</v>
      </c>
      <c r="B40" s="287" t="s">
        <v>4807</v>
      </c>
      <c r="C40" s="288" t="s">
        <v>4808</v>
      </c>
      <c r="D40" s="288" t="s">
        <v>556</v>
      </c>
      <c r="E40" s="287" t="s">
        <v>130</v>
      </c>
      <c r="F40" s="289" t="s">
        <v>4809</v>
      </c>
      <c r="G40" s="290" t="s">
        <v>2713</v>
      </c>
      <c r="H40" s="295" t="s">
        <v>4810</v>
      </c>
      <c r="I40" s="289" t="s">
        <v>1398</v>
      </c>
      <c r="J40" s="292"/>
      <c r="K40" s="293"/>
      <c r="L40" s="294"/>
    </row>
    <row r="41">
      <c r="A41" s="286" t="s">
        <v>171</v>
      </c>
      <c r="B41" s="287" t="s">
        <v>4811</v>
      </c>
      <c r="C41" s="288" t="s">
        <v>4812</v>
      </c>
      <c r="D41" s="288" t="s">
        <v>556</v>
      </c>
      <c r="E41" s="287" t="s">
        <v>228</v>
      </c>
      <c r="F41" s="289" t="s">
        <v>4813</v>
      </c>
      <c r="G41" s="290" t="s">
        <v>2713</v>
      </c>
      <c r="H41" s="295" t="s">
        <v>4814</v>
      </c>
      <c r="I41" s="289" t="s">
        <v>1398</v>
      </c>
      <c r="J41" s="292"/>
      <c r="K41" s="293"/>
      <c r="L41" s="294"/>
    </row>
    <row r="42">
      <c r="A42" s="286" t="s">
        <v>171</v>
      </c>
      <c r="B42" s="287" t="s">
        <v>4815</v>
      </c>
      <c r="C42" s="288" t="s">
        <v>4816</v>
      </c>
      <c r="D42" s="288" t="s">
        <v>556</v>
      </c>
      <c r="E42" s="287" t="s">
        <v>1094</v>
      </c>
      <c r="F42" s="289" t="s">
        <v>4817</v>
      </c>
      <c r="G42" s="290" t="s">
        <v>2713</v>
      </c>
      <c r="H42" s="295" t="s">
        <v>736</v>
      </c>
      <c r="I42" s="295" t="s">
        <v>556</v>
      </c>
      <c r="J42" s="292"/>
      <c r="K42" s="293"/>
      <c r="L42" s="294"/>
    </row>
    <row r="43">
      <c r="A43" s="286" t="s">
        <v>171</v>
      </c>
      <c r="B43" s="287" t="s">
        <v>4818</v>
      </c>
      <c r="C43" s="288" t="s">
        <v>4819</v>
      </c>
      <c r="D43" s="288" t="s">
        <v>556</v>
      </c>
      <c r="E43" s="287" t="s">
        <v>3147</v>
      </c>
      <c r="F43" s="289" t="s">
        <v>4820</v>
      </c>
      <c r="G43" s="296" t="s">
        <v>24</v>
      </c>
      <c r="H43" s="295" t="s">
        <v>736</v>
      </c>
      <c r="I43" s="295" t="s">
        <v>556</v>
      </c>
      <c r="J43" s="292"/>
      <c r="K43" s="293"/>
      <c r="L43" s="294"/>
    </row>
    <row r="44">
      <c r="A44" s="286" t="s">
        <v>171</v>
      </c>
      <c r="B44" s="287" t="s">
        <v>4818</v>
      </c>
      <c r="C44" s="288" t="s">
        <v>4819</v>
      </c>
      <c r="D44" s="288" t="s">
        <v>556</v>
      </c>
      <c r="E44" s="287" t="s">
        <v>4821</v>
      </c>
      <c r="F44" s="289" t="s">
        <v>4820</v>
      </c>
      <c r="G44" s="296" t="s">
        <v>24</v>
      </c>
      <c r="H44" s="289" t="s">
        <v>25</v>
      </c>
      <c r="I44" s="289" t="s">
        <v>1398</v>
      </c>
      <c r="J44" s="292"/>
      <c r="K44" s="293"/>
      <c r="L44" s="294"/>
    </row>
    <row r="45">
      <c r="A45" s="286" t="s">
        <v>171</v>
      </c>
      <c r="B45" s="287" t="s">
        <v>3595</v>
      </c>
      <c r="C45" s="288" t="s">
        <v>3596</v>
      </c>
      <c r="D45" s="288" t="s">
        <v>556</v>
      </c>
      <c r="E45" s="287" t="s">
        <v>575</v>
      </c>
      <c r="F45" s="289" t="s">
        <v>4822</v>
      </c>
      <c r="G45" s="296" t="s">
        <v>24</v>
      </c>
      <c r="H45" s="289" t="s">
        <v>25</v>
      </c>
      <c r="I45" s="289" t="s">
        <v>567</v>
      </c>
      <c r="J45" s="292"/>
      <c r="K45" s="293"/>
      <c r="L45" s="294"/>
    </row>
    <row r="46">
      <c r="A46" s="286" t="s">
        <v>171</v>
      </c>
      <c r="B46" s="287" t="s">
        <v>3233</v>
      </c>
      <c r="C46" s="288" t="s">
        <v>3234</v>
      </c>
      <c r="D46" s="288" t="s">
        <v>556</v>
      </c>
      <c r="E46" s="287" t="s">
        <v>4823</v>
      </c>
      <c r="F46" s="289" t="s">
        <v>4073</v>
      </c>
      <c r="G46" s="296" t="s">
        <v>24</v>
      </c>
      <c r="H46" s="289" t="s">
        <v>25</v>
      </c>
      <c r="I46" s="289" t="s">
        <v>567</v>
      </c>
      <c r="J46" s="292"/>
      <c r="K46" s="293"/>
      <c r="L46" s="294"/>
    </row>
    <row r="47">
      <c r="A47" s="286" t="s">
        <v>171</v>
      </c>
      <c r="B47" s="287" t="s">
        <v>3233</v>
      </c>
      <c r="C47" s="288" t="s">
        <v>3234</v>
      </c>
      <c r="D47" s="288" t="s">
        <v>556</v>
      </c>
      <c r="E47" s="287" t="s">
        <v>1581</v>
      </c>
      <c r="F47" s="289" t="s">
        <v>4073</v>
      </c>
      <c r="G47" s="296" t="s">
        <v>24</v>
      </c>
      <c r="H47" s="289" t="s">
        <v>25</v>
      </c>
      <c r="I47" s="289" t="s">
        <v>567</v>
      </c>
      <c r="J47" s="292"/>
      <c r="K47" s="293"/>
      <c r="L47" s="294"/>
    </row>
    <row r="48">
      <c r="A48" s="286" t="s">
        <v>171</v>
      </c>
      <c r="B48" s="287" t="s">
        <v>3233</v>
      </c>
      <c r="C48" s="288" t="s">
        <v>3234</v>
      </c>
      <c r="D48" s="288" t="s">
        <v>556</v>
      </c>
      <c r="E48" s="287" t="s">
        <v>1148</v>
      </c>
      <c r="F48" s="289" t="s">
        <v>4073</v>
      </c>
      <c r="G48" s="296" t="s">
        <v>24</v>
      </c>
      <c r="H48" s="289" t="s">
        <v>25</v>
      </c>
      <c r="I48" s="289" t="s">
        <v>567</v>
      </c>
      <c r="J48" s="292"/>
      <c r="K48" s="293"/>
      <c r="L48" s="294"/>
    </row>
    <row r="49">
      <c r="A49" s="286" t="s">
        <v>171</v>
      </c>
      <c r="B49" s="287" t="s">
        <v>106</v>
      </c>
      <c r="C49" s="288" t="s">
        <v>105</v>
      </c>
      <c r="D49" s="288" t="s">
        <v>556</v>
      </c>
      <c r="E49" s="287" t="s">
        <v>357</v>
      </c>
      <c r="F49" s="289" t="s">
        <v>4824</v>
      </c>
      <c r="G49" s="296" t="s">
        <v>24</v>
      </c>
      <c r="H49" s="289" t="s">
        <v>25</v>
      </c>
      <c r="I49" s="289" t="s">
        <v>1742</v>
      </c>
      <c r="J49" s="292"/>
      <c r="K49" s="293"/>
      <c r="L49" s="294"/>
    </row>
    <row r="50">
      <c r="A50" s="286" t="s">
        <v>171</v>
      </c>
      <c r="B50" s="287" t="s">
        <v>4825</v>
      </c>
      <c r="C50" s="288" t="s">
        <v>4826</v>
      </c>
      <c r="D50" s="288" t="s">
        <v>556</v>
      </c>
      <c r="E50" s="287" t="s">
        <v>3100</v>
      </c>
      <c r="F50" s="289" t="s">
        <v>4827</v>
      </c>
      <c r="G50" s="296" t="s">
        <v>24</v>
      </c>
      <c r="H50" s="289" t="s">
        <v>25</v>
      </c>
      <c r="I50" s="289" t="s">
        <v>567</v>
      </c>
      <c r="J50" s="292"/>
      <c r="K50" s="293"/>
      <c r="L50" s="294"/>
    </row>
    <row r="51">
      <c r="A51" s="286" t="s">
        <v>171</v>
      </c>
      <c r="B51" s="287" t="s">
        <v>4828</v>
      </c>
      <c r="C51" s="288" t="s">
        <v>4829</v>
      </c>
      <c r="D51" s="288" t="s">
        <v>556</v>
      </c>
      <c r="E51" s="287" t="s">
        <v>463</v>
      </c>
      <c r="F51" s="295" t="s">
        <v>4830</v>
      </c>
      <c r="G51" s="290" t="s">
        <v>556</v>
      </c>
      <c r="H51" s="295" t="s">
        <v>556</v>
      </c>
      <c r="I51" s="295" t="s">
        <v>556</v>
      </c>
      <c r="J51" s="292"/>
      <c r="K51" s="293"/>
      <c r="L51" s="294"/>
    </row>
    <row r="52">
      <c r="A52" s="299" t="s">
        <v>171</v>
      </c>
      <c r="B52" s="300" t="s">
        <v>4831</v>
      </c>
      <c r="C52" s="301" t="s">
        <v>4832</v>
      </c>
      <c r="D52" s="288" t="s">
        <v>556</v>
      </c>
      <c r="E52" s="300" t="s">
        <v>4833</v>
      </c>
      <c r="F52" s="289" t="s">
        <v>4834</v>
      </c>
      <c r="G52" s="296" t="s">
        <v>24</v>
      </c>
      <c r="H52" s="289" t="s">
        <v>25</v>
      </c>
      <c r="I52" s="289" t="s">
        <v>1398</v>
      </c>
      <c r="J52" s="302"/>
      <c r="K52" s="303"/>
      <c r="L52" s="304"/>
    </row>
    <row r="53">
      <c r="A53" s="299" t="s">
        <v>171</v>
      </c>
      <c r="B53" s="300" t="s">
        <v>4835</v>
      </c>
      <c r="C53" s="301" t="s">
        <v>4836</v>
      </c>
      <c r="D53" s="288" t="s">
        <v>556</v>
      </c>
      <c r="E53" s="300" t="s">
        <v>451</v>
      </c>
      <c r="F53" s="289" t="s">
        <v>4837</v>
      </c>
      <c r="G53" s="290" t="s">
        <v>2713</v>
      </c>
      <c r="H53" s="295" t="s">
        <v>736</v>
      </c>
      <c r="I53" s="295" t="s">
        <v>556</v>
      </c>
      <c r="J53" s="302"/>
      <c r="K53" s="303"/>
      <c r="L53" s="304"/>
    </row>
    <row r="54">
      <c r="A54" s="299" t="s">
        <v>171</v>
      </c>
      <c r="B54" s="300" t="s">
        <v>4838</v>
      </c>
      <c r="C54" s="301" t="s">
        <v>4839</v>
      </c>
      <c r="D54" s="288" t="s">
        <v>556</v>
      </c>
      <c r="E54" s="300" t="s">
        <v>107</v>
      </c>
      <c r="F54" s="289" t="s">
        <v>4840</v>
      </c>
      <c r="G54" s="290" t="s">
        <v>1973</v>
      </c>
      <c r="H54" s="295" t="s">
        <v>736</v>
      </c>
      <c r="I54" s="291" t="s">
        <v>4841</v>
      </c>
      <c r="J54" s="302"/>
      <c r="K54" s="303"/>
      <c r="L54" s="304"/>
    </row>
    <row r="55">
      <c r="A55" s="299" t="s">
        <v>171</v>
      </c>
      <c r="B55" s="300" t="s">
        <v>4842</v>
      </c>
      <c r="C55" s="301" t="s">
        <v>4843</v>
      </c>
      <c r="D55" s="301" t="s">
        <v>556</v>
      </c>
      <c r="E55" s="300" t="s">
        <v>278</v>
      </c>
      <c r="F55" s="289" t="s">
        <v>4844</v>
      </c>
      <c r="G55" s="290" t="s">
        <v>2713</v>
      </c>
      <c r="H55" s="289" t="s">
        <v>25</v>
      </c>
      <c r="I55" s="291" t="s">
        <v>4845</v>
      </c>
      <c r="J55" s="302"/>
      <c r="K55" s="303"/>
      <c r="L55" s="304"/>
    </row>
    <row r="56">
      <c r="A56" s="299" t="s">
        <v>171</v>
      </c>
      <c r="B56" s="300" t="s">
        <v>4846</v>
      </c>
      <c r="C56" s="301" t="s">
        <v>4847</v>
      </c>
      <c r="D56" s="301" t="s">
        <v>556</v>
      </c>
      <c r="E56" s="300" t="s">
        <v>460</v>
      </c>
      <c r="F56" s="289" t="s">
        <v>4848</v>
      </c>
      <c r="G56" s="296" t="s">
        <v>24</v>
      </c>
      <c r="H56" s="289" t="s">
        <v>25</v>
      </c>
      <c r="I56" s="295" t="s">
        <v>556</v>
      </c>
      <c r="J56" s="302"/>
      <c r="K56" s="303"/>
      <c r="L56" s="304"/>
    </row>
    <row r="57">
      <c r="A57" s="299" t="s">
        <v>171</v>
      </c>
      <c r="B57" s="300" t="s">
        <v>4849</v>
      </c>
      <c r="C57" s="301" t="s">
        <v>4850</v>
      </c>
      <c r="D57" s="301" t="s">
        <v>556</v>
      </c>
      <c r="E57" s="300" t="s">
        <v>814</v>
      </c>
      <c r="F57" s="289" t="s">
        <v>4851</v>
      </c>
      <c r="G57" s="290" t="s">
        <v>2713</v>
      </c>
      <c r="H57" s="289" t="s">
        <v>25</v>
      </c>
      <c r="I57" s="295" t="s">
        <v>556</v>
      </c>
      <c r="J57" s="302"/>
      <c r="K57" s="303"/>
      <c r="L57" s="304"/>
    </row>
    <row r="58">
      <c r="A58" s="299" t="s">
        <v>171</v>
      </c>
      <c r="B58" s="300" t="s">
        <v>4357</v>
      </c>
      <c r="C58" s="301" t="s">
        <v>4358</v>
      </c>
      <c r="D58" s="301" t="s">
        <v>556</v>
      </c>
      <c r="E58" s="300" t="s">
        <v>130</v>
      </c>
      <c r="F58" s="289" t="s">
        <v>4852</v>
      </c>
      <c r="G58" s="290" t="s">
        <v>556</v>
      </c>
      <c r="H58" s="295" t="s">
        <v>556</v>
      </c>
      <c r="I58" s="289" t="s">
        <v>1398</v>
      </c>
      <c r="J58" s="302"/>
      <c r="K58" s="303"/>
      <c r="L58" s="304"/>
    </row>
    <row r="59">
      <c r="A59" s="299" t="s">
        <v>171</v>
      </c>
      <c r="B59" s="300" t="s">
        <v>4853</v>
      </c>
      <c r="C59" s="301" t="s">
        <v>4854</v>
      </c>
      <c r="D59" s="301" t="s">
        <v>556</v>
      </c>
      <c r="E59" s="300" t="s">
        <v>1469</v>
      </c>
      <c r="F59" s="289" t="s">
        <v>4855</v>
      </c>
      <c r="G59" s="290" t="s">
        <v>1973</v>
      </c>
      <c r="H59" s="289" t="s">
        <v>25</v>
      </c>
      <c r="I59" s="289" t="s">
        <v>1398</v>
      </c>
      <c r="J59" s="302"/>
      <c r="K59" s="303"/>
      <c r="L59" s="304"/>
    </row>
    <row r="60">
      <c r="A60" s="299" t="s">
        <v>171</v>
      </c>
      <c r="B60" s="300" t="s">
        <v>2578</v>
      </c>
      <c r="C60" s="301" t="s">
        <v>2579</v>
      </c>
      <c r="D60" s="301" t="s">
        <v>556</v>
      </c>
      <c r="E60" s="300" t="s">
        <v>1905</v>
      </c>
      <c r="F60" s="289" t="s">
        <v>4856</v>
      </c>
      <c r="G60" s="290" t="s">
        <v>2713</v>
      </c>
      <c r="H60" s="295" t="s">
        <v>4701</v>
      </c>
      <c r="I60" s="291" t="s">
        <v>3322</v>
      </c>
      <c r="J60" s="302"/>
      <c r="K60" s="303"/>
      <c r="L60" s="304"/>
    </row>
    <row r="61">
      <c r="A61" s="299" t="s">
        <v>171</v>
      </c>
      <c r="B61" s="300" t="s">
        <v>2578</v>
      </c>
      <c r="C61" s="301" t="s">
        <v>2579</v>
      </c>
      <c r="D61" s="301" t="s">
        <v>556</v>
      </c>
      <c r="E61" s="300" t="s">
        <v>292</v>
      </c>
      <c r="F61" s="289" t="s">
        <v>4857</v>
      </c>
      <c r="G61" s="290" t="s">
        <v>2713</v>
      </c>
      <c r="H61" s="289" t="s">
        <v>25</v>
      </c>
      <c r="I61" s="291" t="s">
        <v>3322</v>
      </c>
      <c r="J61" s="302"/>
      <c r="K61" s="303"/>
      <c r="L61" s="304"/>
    </row>
    <row r="62">
      <c r="A62" s="299" t="s">
        <v>171</v>
      </c>
      <c r="B62" s="300" t="s">
        <v>4858</v>
      </c>
      <c r="C62" s="301" t="s">
        <v>4859</v>
      </c>
      <c r="D62" s="301" t="s">
        <v>556</v>
      </c>
      <c r="E62" s="300" t="s">
        <v>3100</v>
      </c>
      <c r="F62" s="289" t="s">
        <v>4860</v>
      </c>
      <c r="G62" s="296" t="s">
        <v>24</v>
      </c>
      <c r="H62" s="289" t="s">
        <v>25</v>
      </c>
      <c r="I62" s="289" t="s">
        <v>567</v>
      </c>
      <c r="J62" s="302"/>
      <c r="K62" s="303"/>
      <c r="L62" s="304"/>
    </row>
    <row r="63">
      <c r="A63" s="299" t="s">
        <v>171</v>
      </c>
      <c r="B63" s="300" t="s">
        <v>4861</v>
      </c>
      <c r="C63" s="301" t="s">
        <v>4862</v>
      </c>
      <c r="D63" s="301" t="s">
        <v>556</v>
      </c>
      <c r="E63" s="300" t="s">
        <v>4863</v>
      </c>
      <c r="F63" s="289" t="s">
        <v>4864</v>
      </c>
      <c r="G63" s="290" t="s">
        <v>2713</v>
      </c>
      <c r="H63" s="289" t="s">
        <v>25</v>
      </c>
      <c r="I63" s="291" t="s">
        <v>4802</v>
      </c>
      <c r="J63" s="302"/>
      <c r="K63" s="303"/>
      <c r="L63" s="304"/>
    </row>
    <row r="64">
      <c r="A64" s="299" t="s">
        <v>171</v>
      </c>
      <c r="B64" s="300" t="s">
        <v>4865</v>
      </c>
      <c r="C64" s="301" t="s">
        <v>4866</v>
      </c>
      <c r="D64" s="301" t="s">
        <v>556</v>
      </c>
      <c r="E64" s="300" t="s">
        <v>4867</v>
      </c>
      <c r="F64" s="289" t="s">
        <v>4868</v>
      </c>
      <c r="G64" s="290" t="s">
        <v>2713</v>
      </c>
      <c r="H64" s="295" t="s">
        <v>4869</v>
      </c>
      <c r="I64" s="289" t="s">
        <v>1398</v>
      </c>
      <c r="J64" s="302"/>
      <c r="K64" s="303"/>
      <c r="L64" s="304"/>
    </row>
    <row r="65">
      <c r="A65" s="299" t="s">
        <v>171</v>
      </c>
      <c r="B65" s="300" t="s">
        <v>4870</v>
      </c>
      <c r="C65" s="301" t="s">
        <v>4871</v>
      </c>
      <c r="D65" s="301" t="s">
        <v>556</v>
      </c>
      <c r="E65" s="300" t="s">
        <v>4872</v>
      </c>
      <c r="F65" s="289" t="s">
        <v>4873</v>
      </c>
      <c r="G65" s="296" t="s">
        <v>24</v>
      </c>
      <c r="H65" s="295" t="s">
        <v>4874</v>
      </c>
      <c r="I65" s="289" t="s">
        <v>567</v>
      </c>
      <c r="J65" s="302"/>
      <c r="K65" s="303"/>
      <c r="L65" s="304"/>
    </row>
    <row r="66" ht="16.5" customHeight="1">
      <c r="A66" s="299" t="s">
        <v>171</v>
      </c>
      <c r="B66" s="300" t="s">
        <v>4875</v>
      </c>
      <c r="C66" s="301" t="s">
        <v>4876</v>
      </c>
      <c r="D66" s="301" t="s">
        <v>556</v>
      </c>
      <c r="E66" s="300" t="s">
        <v>188</v>
      </c>
      <c r="F66" s="295" t="s">
        <v>4877</v>
      </c>
      <c r="G66" s="290" t="s">
        <v>2713</v>
      </c>
      <c r="H66" s="295" t="s">
        <v>4878</v>
      </c>
      <c r="I66" s="289" t="s">
        <v>1398</v>
      </c>
      <c r="J66" s="302"/>
      <c r="K66" s="303"/>
      <c r="L66" s="304"/>
    </row>
    <row r="67" ht="15.75" customHeight="1">
      <c r="A67" s="299" t="s">
        <v>171</v>
      </c>
      <c r="B67" s="300" t="s">
        <v>4435</v>
      </c>
      <c r="C67" s="301" t="s">
        <v>4436</v>
      </c>
      <c r="D67" s="301" t="s">
        <v>556</v>
      </c>
      <c r="E67" s="287" t="s">
        <v>575</v>
      </c>
      <c r="F67" s="289" t="s">
        <v>4795</v>
      </c>
      <c r="G67" s="290" t="s">
        <v>2713</v>
      </c>
      <c r="H67" s="289" t="s">
        <v>25</v>
      </c>
      <c r="I67" s="291" t="s">
        <v>4802</v>
      </c>
      <c r="J67" s="302"/>
      <c r="K67" s="303"/>
      <c r="L67" s="304"/>
    </row>
    <row r="68" ht="16.5" customHeight="1">
      <c r="A68" s="299" t="s">
        <v>171</v>
      </c>
      <c r="B68" s="300" t="s">
        <v>4879</v>
      </c>
      <c r="C68" s="301" t="s">
        <v>4880</v>
      </c>
      <c r="D68" s="301" t="s">
        <v>556</v>
      </c>
      <c r="E68" s="300" t="s">
        <v>1399</v>
      </c>
      <c r="F68" s="289" t="s">
        <v>4881</v>
      </c>
      <c r="G68" s="290" t="s">
        <v>556</v>
      </c>
      <c r="H68" s="295" t="s">
        <v>556</v>
      </c>
      <c r="I68" s="289" t="s">
        <v>1398</v>
      </c>
      <c r="J68" s="302"/>
      <c r="K68" s="303"/>
      <c r="L68" s="304"/>
    </row>
    <row r="69">
      <c r="A69" s="299" t="s">
        <v>171</v>
      </c>
      <c r="B69" s="300" t="s">
        <v>4882</v>
      </c>
      <c r="C69" s="301" t="s">
        <v>4883</v>
      </c>
      <c r="D69" s="301" t="s">
        <v>556</v>
      </c>
      <c r="E69" s="300" t="s">
        <v>4884</v>
      </c>
      <c r="F69" s="289" t="s">
        <v>4885</v>
      </c>
      <c r="G69" s="290" t="s">
        <v>2713</v>
      </c>
      <c r="H69" s="289" t="s">
        <v>25</v>
      </c>
      <c r="I69" s="289" t="s">
        <v>1398</v>
      </c>
      <c r="J69" s="302"/>
      <c r="K69" s="303"/>
      <c r="L69" s="304"/>
    </row>
    <row r="70">
      <c r="A70" s="299" t="s">
        <v>171</v>
      </c>
      <c r="B70" s="300" t="s">
        <v>4886</v>
      </c>
      <c r="C70" s="301" t="s">
        <v>4887</v>
      </c>
      <c r="D70" s="301" t="s">
        <v>556</v>
      </c>
      <c r="E70" s="300" t="s">
        <v>339</v>
      </c>
      <c r="F70" s="289" t="s">
        <v>4888</v>
      </c>
      <c r="G70" s="290" t="s">
        <v>2713</v>
      </c>
      <c r="H70" s="295" t="s">
        <v>4889</v>
      </c>
      <c r="I70" s="295" t="s">
        <v>556</v>
      </c>
      <c r="J70" s="302"/>
      <c r="K70" s="303"/>
      <c r="L70" s="304"/>
    </row>
    <row r="71">
      <c r="A71" s="299" t="s">
        <v>171</v>
      </c>
      <c r="B71" s="300" t="s">
        <v>4882</v>
      </c>
      <c r="C71" s="301" t="s">
        <v>4883</v>
      </c>
      <c r="D71" s="301" t="s">
        <v>556</v>
      </c>
      <c r="E71" s="300" t="s">
        <v>4884</v>
      </c>
      <c r="F71" s="289" t="s">
        <v>4890</v>
      </c>
      <c r="G71" s="290" t="s">
        <v>2713</v>
      </c>
      <c r="H71" s="289" t="s">
        <v>25</v>
      </c>
      <c r="I71" s="291" t="s">
        <v>4891</v>
      </c>
      <c r="J71" s="302"/>
      <c r="K71" s="303"/>
      <c r="L71" s="304"/>
    </row>
    <row r="72">
      <c r="A72" s="299" t="s">
        <v>171</v>
      </c>
      <c r="B72" s="300" t="s">
        <v>4892</v>
      </c>
      <c r="C72" s="301" t="s">
        <v>4893</v>
      </c>
      <c r="D72" s="301" t="s">
        <v>556</v>
      </c>
      <c r="E72" s="300" t="s">
        <v>188</v>
      </c>
      <c r="F72" s="295" t="s">
        <v>4894</v>
      </c>
      <c r="G72" s="290" t="s">
        <v>2713</v>
      </c>
      <c r="H72" s="295" t="s">
        <v>4593</v>
      </c>
      <c r="I72" s="289" t="s">
        <v>1398</v>
      </c>
      <c r="J72" s="302"/>
      <c r="K72" s="303"/>
      <c r="L72" s="304"/>
    </row>
    <row r="73">
      <c r="A73" s="299" t="s">
        <v>171</v>
      </c>
      <c r="B73" s="300" t="s">
        <v>822</v>
      </c>
      <c r="C73" s="301" t="s">
        <v>4895</v>
      </c>
      <c r="D73" s="301" t="s">
        <v>556</v>
      </c>
      <c r="E73" s="300" t="s">
        <v>107</v>
      </c>
      <c r="F73" s="289" t="s">
        <v>4896</v>
      </c>
      <c r="G73" s="290" t="s">
        <v>1973</v>
      </c>
      <c r="H73" s="295" t="s">
        <v>736</v>
      </c>
      <c r="I73" s="289" t="s">
        <v>1398</v>
      </c>
      <c r="J73" s="302"/>
      <c r="K73" s="303"/>
      <c r="L73" s="304"/>
    </row>
    <row r="74">
      <c r="A74" s="299" t="s">
        <v>171</v>
      </c>
      <c r="B74" s="300" t="s">
        <v>822</v>
      </c>
      <c r="C74" s="301" t="s">
        <v>4895</v>
      </c>
      <c r="D74" s="301" t="s">
        <v>556</v>
      </c>
      <c r="E74" s="300" t="s">
        <v>825</v>
      </c>
      <c r="F74" s="289" t="s">
        <v>4896</v>
      </c>
      <c r="G74" s="290" t="s">
        <v>1973</v>
      </c>
      <c r="H74" s="289" t="s">
        <v>25</v>
      </c>
      <c r="I74" s="289" t="s">
        <v>1398</v>
      </c>
      <c r="J74" s="302"/>
      <c r="K74" s="303"/>
      <c r="L74" s="304"/>
    </row>
    <row r="75">
      <c r="A75" s="299" t="s">
        <v>171</v>
      </c>
      <c r="B75" s="300" t="s">
        <v>4897</v>
      </c>
      <c r="C75" s="301" t="s">
        <v>4898</v>
      </c>
      <c r="D75" s="301" t="s">
        <v>556</v>
      </c>
      <c r="E75" s="300" t="s">
        <v>107</v>
      </c>
      <c r="F75" s="295" t="s">
        <v>556</v>
      </c>
      <c r="G75" s="296" t="s">
        <v>24</v>
      </c>
      <c r="H75" s="289" t="s">
        <v>25</v>
      </c>
      <c r="I75" s="289" t="s">
        <v>1398</v>
      </c>
      <c r="J75" s="302"/>
      <c r="K75" s="303"/>
      <c r="L75" s="304"/>
    </row>
    <row r="76">
      <c r="A76" s="299" t="s">
        <v>171</v>
      </c>
      <c r="B76" s="300" t="s">
        <v>4899</v>
      </c>
      <c r="C76" s="301" t="s">
        <v>4900</v>
      </c>
      <c r="D76" s="301" t="s">
        <v>556</v>
      </c>
      <c r="E76" s="300" t="s">
        <v>451</v>
      </c>
      <c r="F76" s="289" t="s">
        <v>4901</v>
      </c>
      <c r="G76" s="296" t="s">
        <v>24</v>
      </c>
      <c r="H76" s="289" t="s">
        <v>25</v>
      </c>
      <c r="I76" s="291" t="s">
        <v>4902</v>
      </c>
      <c r="J76" s="302"/>
      <c r="K76" s="303"/>
      <c r="L76" s="304"/>
    </row>
    <row r="77">
      <c r="A77" s="299" t="s">
        <v>171</v>
      </c>
      <c r="B77" s="300" t="s">
        <v>4903</v>
      </c>
      <c r="C77" s="301" t="s">
        <v>4904</v>
      </c>
      <c r="D77" s="301" t="s">
        <v>556</v>
      </c>
      <c r="E77" s="300" t="s">
        <v>1203</v>
      </c>
      <c r="F77" s="295" t="s">
        <v>4905</v>
      </c>
      <c r="G77" s="290" t="s">
        <v>2713</v>
      </c>
      <c r="H77" s="295" t="s">
        <v>736</v>
      </c>
      <c r="I77" s="289" t="s">
        <v>1398</v>
      </c>
      <c r="J77" s="302"/>
      <c r="K77" s="303"/>
      <c r="L77" s="304"/>
    </row>
    <row r="78">
      <c r="A78" s="299" t="s">
        <v>171</v>
      </c>
      <c r="B78" s="300" t="s">
        <v>4903</v>
      </c>
      <c r="C78" s="301" t="s">
        <v>4904</v>
      </c>
      <c r="D78" s="301" t="s">
        <v>556</v>
      </c>
      <c r="E78" s="300" t="s">
        <v>3647</v>
      </c>
      <c r="F78" s="295" t="s">
        <v>4905</v>
      </c>
      <c r="G78" s="290" t="s">
        <v>2713</v>
      </c>
      <c r="H78" s="295" t="s">
        <v>736</v>
      </c>
      <c r="I78" s="289" t="s">
        <v>1398</v>
      </c>
      <c r="J78" s="302"/>
      <c r="K78" s="303"/>
      <c r="L78" s="304"/>
    </row>
    <row r="79">
      <c r="A79" s="299" t="s">
        <v>171</v>
      </c>
      <c r="B79" s="300" t="s">
        <v>4906</v>
      </c>
      <c r="C79" s="301" t="s">
        <v>4907</v>
      </c>
      <c r="D79" s="301" t="s">
        <v>556</v>
      </c>
      <c r="E79" s="300" t="s">
        <v>357</v>
      </c>
      <c r="F79" s="289" t="s">
        <v>4908</v>
      </c>
      <c r="G79" s="290" t="s">
        <v>2713</v>
      </c>
      <c r="H79" s="289" t="s">
        <v>25</v>
      </c>
      <c r="I79" s="239" t="s">
        <v>4909</v>
      </c>
      <c r="J79" s="302"/>
      <c r="K79" s="303"/>
      <c r="L79" s="304"/>
    </row>
    <row r="80">
      <c r="A80" s="299" t="s">
        <v>171</v>
      </c>
      <c r="B80" s="300" t="s">
        <v>4910</v>
      </c>
      <c r="C80" s="301" t="s">
        <v>4911</v>
      </c>
      <c r="D80" s="301" t="s">
        <v>556</v>
      </c>
      <c r="E80" s="300" t="s">
        <v>1941</v>
      </c>
      <c r="F80" s="295" t="s">
        <v>4912</v>
      </c>
      <c r="G80" s="290" t="s">
        <v>2713</v>
      </c>
      <c r="H80" s="289" t="s">
        <v>25</v>
      </c>
      <c r="I80" s="295" t="s">
        <v>556</v>
      </c>
      <c r="J80" s="302"/>
      <c r="K80" s="303"/>
      <c r="L80" s="304"/>
    </row>
    <row r="81">
      <c r="A81" s="299" t="s">
        <v>171</v>
      </c>
      <c r="B81" s="300" t="s">
        <v>4913</v>
      </c>
      <c r="C81" s="301" t="s">
        <v>4914</v>
      </c>
      <c r="D81" s="301" t="s">
        <v>556</v>
      </c>
      <c r="E81" s="300" t="s">
        <v>357</v>
      </c>
      <c r="F81" s="295" t="s">
        <v>4915</v>
      </c>
      <c r="G81" s="290" t="s">
        <v>2713</v>
      </c>
      <c r="H81" s="289" t="s">
        <v>25</v>
      </c>
      <c r="I81" s="291" t="s">
        <v>4802</v>
      </c>
      <c r="J81" s="302"/>
      <c r="K81" s="303"/>
      <c r="L81" s="304"/>
    </row>
    <row r="82">
      <c r="A82" s="299" t="s">
        <v>171</v>
      </c>
      <c r="B82" s="300" t="s">
        <v>4916</v>
      </c>
      <c r="C82" s="301" t="s">
        <v>4917</v>
      </c>
      <c r="D82" s="301" t="s">
        <v>556</v>
      </c>
      <c r="E82" s="300" t="s">
        <v>357</v>
      </c>
      <c r="F82" s="289" t="s">
        <v>4918</v>
      </c>
      <c r="G82" s="296" t="s">
        <v>24</v>
      </c>
      <c r="H82" s="289" t="s">
        <v>25</v>
      </c>
      <c r="I82" s="289" t="s">
        <v>103</v>
      </c>
      <c r="J82" s="302"/>
      <c r="K82" s="303"/>
      <c r="L82" s="304"/>
    </row>
    <row r="83">
      <c r="A83" s="299" t="s">
        <v>171</v>
      </c>
      <c r="B83" s="300" t="s">
        <v>4919</v>
      </c>
      <c r="C83" s="301" t="s">
        <v>4920</v>
      </c>
      <c r="D83" s="301" t="s">
        <v>556</v>
      </c>
      <c r="E83" s="300" t="s">
        <v>4921</v>
      </c>
      <c r="F83" s="289" t="s">
        <v>4922</v>
      </c>
      <c r="G83" s="290" t="s">
        <v>556</v>
      </c>
      <c r="H83" s="295" t="s">
        <v>556</v>
      </c>
      <c r="I83" s="295" t="s">
        <v>556</v>
      </c>
      <c r="J83" s="302"/>
      <c r="K83" s="303"/>
      <c r="L83" s="304"/>
    </row>
    <row r="84">
      <c r="A84" s="299" t="s">
        <v>171</v>
      </c>
      <c r="B84" s="300" t="s">
        <v>4923</v>
      </c>
      <c r="C84" s="301" t="s">
        <v>4924</v>
      </c>
      <c r="D84" s="301" t="s">
        <v>556</v>
      </c>
      <c r="E84" s="300" t="s">
        <v>357</v>
      </c>
      <c r="F84" s="289" t="s">
        <v>4925</v>
      </c>
      <c r="G84" s="296" t="s">
        <v>24</v>
      </c>
      <c r="H84" s="289" t="s">
        <v>25</v>
      </c>
      <c r="I84" s="289" t="s">
        <v>103</v>
      </c>
      <c r="J84" s="302"/>
      <c r="K84" s="303"/>
      <c r="L84" s="304"/>
    </row>
    <row r="85">
      <c r="A85" s="299" t="s">
        <v>171</v>
      </c>
      <c r="B85" s="300" t="s">
        <v>4926</v>
      </c>
      <c r="C85" s="301" t="s">
        <v>4927</v>
      </c>
      <c r="D85" s="301" t="s">
        <v>556</v>
      </c>
      <c r="E85" s="300" t="s">
        <v>738</v>
      </c>
      <c r="F85" s="289" t="s">
        <v>4928</v>
      </c>
      <c r="G85" s="296" t="s">
        <v>24</v>
      </c>
      <c r="H85" s="289" t="s">
        <v>25</v>
      </c>
      <c r="I85" s="289" t="s">
        <v>103</v>
      </c>
      <c r="J85" s="302"/>
      <c r="K85" s="303"/>
      <c r="L85" s="304"/>
    </row>
    <row r="86">
      <c r="A86" s="299" t="s">
        <v>171</v>
      </c>
      <c r="B86" s="300" t="s">
        <v>4926</v>
      </c>
      <c r="C86" s="301" t="s">
        <v>4927</v>
      </c>
      <c r="D86" s="301" t="s">
        <v>556</v>
      </c>
      <c r="E86" s="300" t="s">
        <v>1581</v>
      </c>
      <c r="F86" s="289" t="s">
        <v>4928</v>
      </c>
      <c r="G86" s="296" t="s">
        <v>24</v>
      </c>
      <c r="H86" s="289" t="s">
        <v>25</v>
      </c>
      <c r="I86" s="289" t="s">
        <v>103</v>
      </c>
      <c r="J86" s="302"/>
      <c r="K86" s="303"/>
      <c r="L86" s="304"/>
    </row>
    <row r="87">
      <c r="A87" s="299" t="s">
        <v>171</v>
      </c>
      <c r="B87" s="300" t="s">
        <v>4929</v>
      </c>
      <c r="C87" s="301" t="s">
        <v>4930</v>
      </c>
      <c r="D87" s="301" t="s">
        <v>556</v>
      </c>
      <c r="E87" s="300" t="s">
        <v>271</v>
      </c>
      <c r="F87" s="295" t="s">
        <v>4931</v>
      </c>
      <c r="G87" s="290" t="s">
        <v>2713</v>
      </c>
      <c r="H87" s="295" t="s">
        <v>736</v>
      </c>
      <c r="I87" s="295" t="s">
        <v>556</v>
      </c>
      <c r="J87" s="302"/>
      <c r="K87" s="303"/>
      <c r="L87" s="304"/>
    </row>
    <row r="88">
      <c r="A88" s="299" t="s">
        <v>171</v>
      </c>
      <c r="B88" s="300" t="s">
        <v>4932</v>
      </c>
      <c r="C88" s="301" t="s">
        <v>4933</v>
      </c>
      <c r="D88" s="301" t="s">
        <v>556</v>
      </c>
      <c r="E88" s="300" t="s">
        <v>357</v>
      </c>
      <c r="F88" s="289" t="s">
        <v>4934</v>
      </c>
      <c r="G88" s="296" t="s">
        <v>24</v>
      </c>
      <c r="H88" s="289" t="s">
        <v>25</v>
      </c>
      <c r="I88" s="289" t="s">
        <v>103</v>
      </c>
      <c r="J88" s="302"/>
      <c r="K88" s="303"/>
      <c r="L88" s="304"/>
    </row>
    <row r="89">
      <c r="A89" s="299" t="s">
        <v>171</v>
      </c>
      <c r="B89" s="300" t="s">
        <v>4935</v>
      </c>
      <c r="C89" s="301" t="s">
        <v>4936</v>
      </c>
      <c r="D89" s="301" t="s">
        <v>556</v>
      </c>
      <c r="E89" s="300" t="s">
        <v>292</v>
      </c>
      <c r="F89" s="289" t="s">
        <v>4937</v>
      </c>
      <c r="G89" s="290" t="s">
        <v>1973</v>
      </c>
      <c r="H89" s="295" t="s">
        <v>4783</v>
      </c>
      <c r="I89" s="295" t="s">
        <v>556</v>
      </c>
      <c r="J89" s="302"/>
      <c r="K89" s="303"/>
      <c r="L89" s="304"/>
    </row>
    <row r="90">
      <c r="A90" s="299" t="s">
        <v>171</v>
      </c>
      <c r="B90" s="300" t="s">
        <v>4938</v>
      </c>
      <c r="C90" s="301" t="s">
        <v>4939</v>
      </c>
      <c r="D90" s="301" t="s">
        <v>556</v>
      </c>
      <c r="E90" s="300" t="s">
        <v>107</v>
      </c>
      <c r="F90" s="289" t="s">
        <v>4940</v>
      </c>
      <c r="G90" s="290" t="s">
        <v>1973</v>
      </c>
      <c r="H90" s="289" t="s">
        <v>25</v>
      </c>
      <c r="I90" s="289" t="s">
        <v>1398</v>
      </c>
      <c r="J90" s="302"/>
      <c r="K90" s="303"/>
      <c r="L90" s="304"/>
    </row>
    <row r="91">
      <c r="A91" s="299" t="s">
        <v>171</v>
      </c>
      <c r="B91" s="300" t="s">
        <v>4941</v>
      </c>
      <c r="C91" s="301" t="s">
        <v>4942</v>
      </c>
      <c r="D91" s="301" t="s">
        <v>556</v>
      </c>
      <c r="E91" s="300" t="s">
        <v>4805</v>
      </c>
      <c r="F91" s="295" t="s">
        <v>4943</v>
      </c>
      <c r="G91" s="290" t="s">
        <v>2713</v>
      </c>
      <c r="H91" s="295" t="s">
        <v>736</v>
      </c>
      <c r="I91" s="289" t="s">
        <v>1398</v>
      </c>
      <c r="J91" s="302"/>
      <c r="K91" s="303"/>
      <c r="L91" s="304"/>
    </row>
    <row r="92">
      <c r="A92" s="299" t="s">
        <v>171</v>
      </c>
      <c r="B92" s="300" t="s">
        <v>4941</v>
      </c>
      <c r="C92" s="301" t="s">
        <v>4942</v>
      </c>
      <c r="D92" s="301" t="s">
        <v>556</v>
      </c>
      <c r="E92" s="300" t="s">
        <v>4944</v>
      </c>
      <c r="F92" s="295" t="s">
        <v>4943</v>
      </c>
      <c r="G92" s="290" t="s">
        <v>2713</v>
      </c>
      <c r="H92" s="295" t="s">
        <v>4810</v>
      </c>
      <c r="I92" s="289" t="s">
        <v>1398</v>
      </c>
      <c r="J92" s="302"/>
      <c r="K92" s="303"/>
      <c r="L92" s="304"/>
    </row>
    <row r="93">
      <c r="A93" s="299" t="s">
        <v>171</v>
      </c>
      <c r="B93" s="300" t="s">
        <v>4140</v>
      </c>
      <c r="C93" s="301" t="s">
        <v>4141</v>
      </c>
      <c r="D93" s="301" t="s">
        <v>556</v>
      </c>
      <c r="E93" s="300" t="s">
        <v>4945</v>
      </c>
      <c r="F93" s="289" t="s">
        <v>4946</v>
      </c>
      <c r="G93" s="296" t="s">
        <v>24</v>
      </c>
      <c r="H93" s="289" t="s">
        <v>40</v>
      </c>
      <c r="I93" s="289" t="s">
        <v>1398</v>
      </c>
      <c r="J93" s="302"/>
      <c r="K93" s="303"/>
      <c r="L93" s="304"/>
    </row>
    <row r="94">
      <c r="A94" s="299" t="s">
        <v>171</v>
      </c>
      <c r="B94" s="300" t="s">
        <v>4947</v>
      </c>
      <c r="C94" s="301" t="s">
        <v>4948</v>
      </c>
      <c r="D94" s="301" t="s">
        <v>556</v>
      </c>
      <c r="E94" s="300" t="s">
        <v>1094</v>
      </c>
      <c r="F94" s="289" t="s">
        <v>4949</v>
      </c>
      <c r="G94" s="290" t="s">
        <v>1973</v>
      </c>
      <c r="H94" s="295" t="s">
        <v>4814</v>
      </c>
      <c r="I94" s="295" t="s">
        <v>556</v>
      </c>
      <c r="J94" s="302"/>
      <c r="K94" s="303"/>
      <c r="L94" s="304"/>
    </row>
    <row r="95">
      <c r="A95" s="299" t="s">
        <v>171</v>
      </c>
      <c r="B95" s="300" t="s">
        <v>4950</v>
      </c>
      <c r="C95" s="301" t="s">
        <v>4951</v>
      </c>
      <c r="D95" s="301" t="s">
        <v>556</v>
      </c>
      <c r="E95" s="300" t="s">
        <v>238</v>
      </c>
      <c r="F95" s="289" t="s">
        <v>4952</v>
      </c>
      <c r="G95" s="296" t="s">
        <v>24</v>
      </c>
      <c r="H95" s="289" t="s">
        <v>40</v>
      </c>
      <c r="I95" s="289" t="s">
        <v>4953</v>
      </c>
      <c r="J95" s="302"/>
      <c r="K95" s="303"/>
      <c r="L95" s="304"/>
    </row>
    <row r="96">
      <c r="A96" s="299" t="s">
        <v>171</v>
      </c>
      <c r="B96" s="300" t="s">
        <v>4954</v>
      </c>
      <c r="C96" s="301" t="s">
        <v>4955</v>
      </c>
      <c r="D96" s="301" t="s">
        <v>556</v>
      </c>
      <c r="E96" s="300" t="s">
        <v>1094</v>
      </c>
      <c r="F96" s="295" t="s">
        <v>4956</v>
      </c>
      <c r="G96" s="290" t="s">
        <v>2713</v>
      </c>
      <c r="H96" s="295" t="s">
        <v>4667</v>
      </c>
      <c r="I96" s="295" t="s">
        <v>556</v>
      </c>
      <c r="J96" s="302"/>
      <c r="K96" s="303"/>
      <c r="L96" s="304"/>
    </row>
    <row r="97">
      <c r="A97" s="299" t="s">
        <v>171</v>
      </c>
      <c r="B97" s="300" t="s">
        <v>4957</v>
      </c>
      <c r="C97" s="301" t="s">
        <v>4958</v>
      </c>
      <c r="D97" s="301" t="s">
        <v>556</v>
      </c>
      <c r="E97" s="300" t="s">
        <v>357</v>
      </c>
      <c r="F97" s="289" t="s">
        <v>4959</v>
      </c>
      <c r="G97" s="305" t="s">
        <v>4960</v>
      </c>
      <c r="H97" s="295" t="s">
        <v>556</v>
      </c>
      <c r="I97" s="291" t="s">
        <v>4961</v>
      </c>
      <c r="J97" s="302"/>
      <c r="K97" s="300" t="s">
        <v>4962</v>
      </c>
      <c r="L97" s="304"/>
    </row>
    <row r="98">
      <c r="A98" s="299" t="s">
        <v>171</v>
      </c>
      <c r="B98" s="300" t="s">
        <v>4957</v>
      </c>
      <c r="C98" s="301" t="s">
        <v>4958</v>
      </c>
      <c r="D98" s="301" t="s">
        <v>556</v>
      </c>
      <c r="E98" s="300" t="s">
        <v>4963</v>
      </c>
      <c r="F98" s="289" t="s">
        <v>4964</v>
      </c>
      <c r="G98" s="305" t="s">
        <v>4960</v>
      </c>
      <c r="H98" s="295" t="s">
        <v>556</v>
      </c>
      <c r="I98" s="291" t="s">
        <v>556</v>
      </c>
      <c r="J98" s="302"/>
      <c r="K98" s="300" t="s">
        <v>4965</v>
      </c>
      <c r="L98" s="304"/>
    </row>
    <row r="99">
      <c r="A99" s="299" t="s">
        <v>171</v>
      </c>
      <c r="B99" s="300" t="s">
        <v>4966</v>
      </c>
      <c r="C99" s="301" t="s">
        <v>4967</v>
      </c>
      <c r="D99" s="301" t="s">
        <v>556</v>
      </c>
      <c r="E99" s="300" t="s">
        <v>1094</v>
      </c>
      <c r="F99" s="289" t="s">
        <v>4968</v>
      </c>
      <c r="G99" s="290" t="s">
        <v>2713</v>
      </c>
      <c r="H99" s="295" t="s">
        <v>736</v>
      </c>
      <c r="I99" s="295" t="s">
        <v>556</v>
      </c>
      <c r="J99" s="302"/>
      <c r="K99" s="300"/>
      <c r="L99" s="304"/>
    </row>
    <row r="100">
      <c r="A100" s="299" t="s">
        <v>171</v>
      </c>
      <c r="B100" s="300" t="s">
        <v>4969</v>
      </c>
      <c r="C100" s="301" t="s">
        <v>4970</v>
      </c>
      <c r="D100" s="301" t="s">
        <v>556</v>
      </c>
      <c r="E100" s="300" t="s">
        <v>1625</v>
      </c>
      <c r="F100" s="289" t="s">
        <v>4971</v>
      </c>
      <c r="G100" s="296" t="s">
        <v>24</v>
      </c>
      <c r="H100" s="289" t="s">
        <v>40</v>
      </c>
      <c r="I100" s="295" t="s">
        <v>4972</v>
      </c>
      <c r="J100" s="302"/>
      <c r="K100" s="303"/>
      <c r="L100" s="304"/>
    </row>
    <row r="101">
      <c r="A101" s="299" t="s">
        <v>171</v>
      </c>
      <c r="B101" s="300" t="s">
        <v>4969</v>
      </c>
      <c r="C101" s="301" t="s">
        <v>4970</v>
      </c>
      <c r="D101" s="301" t="s">
        <v>556</v>
      </c>
      <c r="E101" s="300" t="s">
        <v>4800</v>
      </c>
      <c r="F101" s="289" t="s">
        <v>4971</v>
      </c>
      <c r="G101" s="296" t="s">
        <v>24</v>
      </c>
      <c r="H101" s="289" t="s">
        <v>40</v>
      </c>
      <c r="I101" s="295" t="s">
        <v>4973</v>
      </c>
      <c r="J101" s="302"/>
      <c r="K101" s="303"/>
      <c r="L101" s="304"/>
    </row>
    <row r="102">
      <c r="A102" s="299" t="s">
        <v>171</v>
      </c>
      <c r="B102" s="300" t="s">
        <v>4974</v>
      </c>
      <c r="C102" s="301" t="s">
        <v>4975</v>
      </c>
      <c r="D102" s="301" t="s">
        <v>556</v>
      </c>
      <c r="E102" s="300" t="s">
        <v>4976</v>
      </c>
      <c r="F102" s="289" t="s">
        <v>4977</v>
      </c>
      <c r="G102" s="290" t="s">
        <v>2713</v>
      </c>
      <c r="H102" s="295" t="s">
        <v>736</v>
      </c>
      <c r="I102" s="289" t="s">
        <v>1398</v>
      </c>
      <c r="J102" s="302"/>
      <c r="K102" s="303"/>
      <c r="L102" s="304"/>
    </row>
    <row r="103">
      <c r="A103" s="299" t="s">
        <v>171</v>
      </c>
      <c r="B103" s="300" t="s">
        <v>4974</v>
      </c>
      <c r="C103" s="301" t="s">
        <v>4975</v>
      </c>
      <c r="D103" s="301" t="s">
        <v>556</v>
      </c>
      <c r="E103" s="300" t="s">
        <v>4978</v>
      </c>
      <c r="F103" s="289" t="s">
        <v>4977</v>
      </c>
      <c r="G103" s="290" t="s">
        <v>2713</v>
      </c>
      <c r="H103" s="295" t="s">
        <v>736</v>
      </c>
      <c r="I103" s="295" t="s">
        <v>556</v>
      </c>
      <c r="J103" s="302"/>
      <c r="K103" s="303"/>
      <c r="L103" s="304"/>
    </row>
    <row r="104">
      <c r="A104" s="299" t="s">
        <v>171</v>
      </c>
      <c r="B104" s="300" t="s">
        <v>4979</v>
      </c>
      <c r="C104" s="301" t="s">
        <v>4980</v>
      </c>
      <c r="D104" s="301" t="s">
        <v>556</v>
      </c>
      <c r="E104" s="300" t="s">
        <v>357</v>
      </c>
      <c r="F104" s="289" t="s">
        <v>4981</v>
      </c>
      <c r="G104" s="296" t="s">
        <v>24</v>
      </c>
      <c r="H104" s="289" t="s">
        <v>40</v>
      </c>
      <c r="I104" s="295" t="s">
        <v>556</v>
      </c>
      <c r="J104" s="302"/>
      <c r="K104" s="303"/>
      <c r="L104" s="304"/>
    </row>
    <row r="105">
      <c r="A105" s="299" t="s">
        <v>171</v>
      </c>
      <c r="B105" s="300" t="s">
        <v>3833</v>
      </c>
      <c r="C105" s="301" t="s">
        <v>3951</v>
      </c>
      <c r="D105" s="301" t="s">
        <v>556</v>
      </c>
      <c r="E105" s="300" t="s">
        <v>292</v>
      </c>
      <c r="F105" s="289" t="s">
        <v>4982</v>
      </c>
      <c r="G105" s="296" t="s">
        <v>24</v>
      </c>
      <c r="H105" s="289" t="s">
        <v>40</v>
      </c>
      <c r="I105" s="289" t="s">
        <v>103</v>
      </c>
      <c r="J105" s="302"/>
      <c r="K105" s="303"/>
      <c r="L105" s="304"/>
    </row>
    <row r="106">
      <c r="A106" s="299" t="s">
        <v>171</v>
      </c>
      <c r="B106" s="300" t="s">
        <v>3833</v>
      </c>
      <c r="C106" s="301" t="s">
        <v>3951</v>
      </c>
      <c r="D106" s="301" t="s">
        <v>556</v>
      </c>
      <c r="E106" s="300" t="s">
        <v>1094</v>
      </c>
      <c r="F106" s="289" t="s">
        <v>4983</v>
      </c>
      <c r="G106" s="296" t="s">
        <v>24</v>
      </c>
      <c r="H106" s="289" t="s">
        <v>40</v>
      </c>
      <c r="I106" s="289" t="s">
        <v>103</v>
      </c>
      <c r="J106" s="302"/>
      <c r="K106" s="303"/>
      <c r="L106" s="304"/>
    </row>
    <row r="107">
      <c r="A107" s="299" t="s">
        <v>171</v>
      </c>
      <c r="B107" s="300" t="s">
        <v>4984</v>
      </c>
      <c r="C107" s="301" t="s">
        <v>4985</v>
      </c>
      <c r="D107" s="301" t="s">
        <v>556</v>
      </c>
      <c r="E107" s="300" t="s">
        <v>107</v>
      </c>
      <c r="F107" s="291" t="s">
        <v>4986</v>
      </c>
      <c r="G107" s="290" t="s">
        <v>2713</v>
      </c>
      <c r="H107" s="295" t="s">
        <v>4987</v>
      </c>
      <c r="I107" s="289" t="s">
        <v>1398</v>
      </c>
      <c r="J107" s="302"/>
      <c r="K107" s="303"/>
      <c r="L107" s="304"/>
    </row>
    <row r="108">
      <c r="A108" s="299" t="s">
        <v>171</v>
      </c>
      <c r="B108" s="300" t="s">
        <v>4988</v>
      </c>
      <c r="C108" s="301" t="s">
        <v>4989</v>
      </c>
      <c r="D108" s="301" t="s">
        <v>556</v>
      </c>
      <c r="E108" s="300" t="s">
        <v>814</v>
      </c>
      <c r="F108" s="289" t="s">
        <v>4990</v>
      </c>
      <c r="G108" s="290" t="s">
        <v>1973</v>
      </c>
      <c r="H108" s="289" t="s">
        <v>40</v>
      </c>
      <c r="I108" s="300" t="s">
        <v>4991</v>
      </c>
      <c r="J108" s="302"/>
      <c r="K108" s="303"/>
      <c r="L108" s="304"/>
    </row>
    <row r="109">
      <c r="A109" s="299" t="s">
        <v>171</v>
      </c>
      <c r="B109" s="300" t="s">
        <v>1975</v>
      </c>
      <c r="C109" s="301" t="s">
        <v>493</v>
      </c>
      <c r="D109" s="301" t="s">
        <v>556</v>
      </c>
      <c r="E109" s="300" t="s">
        <v>73</v>
      </c>
      <c r="F109" s="289" t="s">
        <v>4992</v>
      </c>
      <c r="G109" s="290" t="s">
        <v>1973</v>
      </c>
      <c r="H109" s="295" t="s">
        <v>4993</v>
      </c>
      <c r="I109" s="239" t="s">
        <v>4994</v>
      </c>
      <c r="J109" s="302"/>
      <c r="K109" s="303"/>
      <c r="L109" s="304"/>
    </row>
    <row r="110">
      <c r="A110" s="299" t="s">
        <v>171</v>
      </c>
      <c r="B110" s="300" t="s">
        <v>2220</v>
      </c>
      <c r="C110" s="301" t="s">
        <v>2221</v>
      </c>
      <c r="D110" s="301" t="s">
        <v>556</v>
      </c>
      <c r="E110" s="300" t="s">
        <v>357</v>
      </c>
      <c r="F110" s="289" t="s">
        <v>4995</v>
      </c>
      <c r="G110" s="296" t="s">
        <v>24</v>
      </c>
      <c r="H110" s="289" t="s">
        <v>40</v>
      </c>
      <c r="I110" s="289" t="s">
        <v>103</v>
      </c>
      <c r="J110" s="302"/>
      <c r="K110" s="303"/>
      <c r="L110" s="304"/>
    </row>
    <row r="111">
      <c r="A111" s="299" t="s">
        <v>171</v>
      </c>
      <c r="B111" s="300" t="s">
        <v>4996</v>
      </c>
      <c r="C111" s="301" t="s">
        <v>4997</v>
      </c>
      <c r="D111" s="301" t="s">
        <v>556</v>
      </c>
      <c r="E111" s="300" t="s">
        <v>814</v>
      </c>
      <c r="F111" s="289" t="s">
        <v>4998</v>
      </c>
      <c r="G111" s="290" t="s">
        <v>1973</v>
      </c>
      <c r="H111" s="289" t="s">
        <v>40</v>
      </c>
      <c r="I111" s="291" t="s">
        <v>4523</v>
      </c>
      <c r="J111" s="302"/>
      <c r="K111" s="303"/>
      <c r="L111" s="304"/>
    </row>
    <row r="112">
      <c r="A112" s="299" t="s">
        <v>171</v>
      </c>
      <c r="B112" s="300" t="s">
        <v>4999</v>
      </c>
      <c r="C112" s="301" t="s">
        <v>5000</v>
      </c>
      <c r="D112" s="301" t="s">
        <v>556</v>
      </c>
      <c r="E112" s="300" t="s">
        <v>172</v>
      </c>
      <c r="F112" s="289" t="s">
        <v>5001</v>
      </c>
      <c r="G112" s="290" t="s">
        <v>1973</v>
      </c>
      <c r="H112" s="289" t="s">
        <v>40</v>
      </c>
      <c r="I112" s="291" t="s">
        <v>1343</v>
      </c>
      <c r="J112" s="302"/>
      <c r="K112" s="303"/>
      <c r="L112" s="304"/>
    </row>
    <row r="113">
      <c r="A113" s="299" t="s">
        <v>171</v>
      </c>
      <c r="B113" s="300" t="s">
        <v>4999</v>
      </c>
      <c r="C113" s="301" t="s">
        <v>5000</v>
      </c>
      <c r="D113" s="301" t="s">
        <v>556</v>
      </c>
      <c r="E113" s="300" t="s">
        <v>1094</v>
      </c>
      <c r="F113" s="295" t="s">
        <v>5002</v>
      </c>
      <c r="G113" s="290" t="s">
        <v>1973</v>
      </c>
      <c r="H113" s="289" t="s">
        <v>40</v>
      </c>
      <c r="I113" s="291" t="s">
        <v>5003</v>
      </c>
      <c r="J113" s="302"/>
      <c r="K113" s="303"/>
      <c r="L113" s="304"/>
    </row>
    <row r="114">
      <c r="A114" s="299" t="s">
        <v>171</v>
      </c>
      <c r="B114" s="300" t="s">
        <v>5004</v>
      </c>
      <c r="C114" s="301" t="s">
        <v>5005</v>
      </c>
      <c r="D114" s="301" t="s">
        <v>556</v>
      </c>
      <c r="E114" s="300" t="s">
        <v>5006</v>
      </c>
      <c r="F114" s="289" t="s">
        <v>5007</v>
      </c>
      <c r="G114" s="296" t="s">
        <v>24</v>
      </c>
      <c r="H114" s="289" t="s">
        <v>40</v>
      </c>
      <c r="I114" s="289" t="s">
        <v>18</v>
      </c>
      <c r="J114" s="302"/>
      <c r="K114" s="303"/>
      <c r="L114" s="304"/>
    </row>
    <row r="115">
      <c r="A115" s="299" t="s">
        <v>171</v>
      </c>
      <c r="B115" s="300" t="s">
        <v>5008</v>
      </c>
      <c r="C115" s="301" t="s">
        <v>5009</v>
      </c>
      <c r="D115" s="301" t="s">
        <v>556</v>
      </c>
      <c r="E115" s="300" t="s">
        <v>357</v>
      </c>
      <c r="F115" s="295" t="s">
        <v>5010</v>
      </c>
      <c r="G115" s="290" t="s">
        <v>2713</v>
      </c>
      <c r="H115" s="295" t="s">
        <v>4993</v>
      </c>
      <c r="I115" s="295" t="s">
        <v>556</v>
      </c>
      <c r="J115" s="302"/>
      <c r="K115" s="303"/>
      <c r="L115" s="304"/>
    </row>
    <row r="116">
      <c r="A116" s="299" t="s">
        <v>171</v>
      </c>
      <c r="B116" s="300" t="s">
        <v>5011</v>
      </c>
      <c r="C116" s="301" t="s">
        <v>5012</v>
      </c>
      <c r="D116" s="301" t="s">
        <v>556</v>
      </c>
      <c r="E116" s="300" t="s">
        <v>3100</v>
      </c>
      <c r="F116" s="289" t="s">
        <v>5013</v>
      </c>
      <c r="G116" s="296" t="s">
        <v>24</v>
      </c>
      <c r="H116" s="289" t="s">
        <v>40</v>
      </c>
      <c r="I116" s="303"/>
      <c r="J116" s="302"/>
      <c r="K116" s="303"/>
      <c r="L116" s="304"/>
    </row>
    <row r="117" ht="18.75" customHeight="1">
      <c r="A117" s="299" t="s">
        <v>171</v>
      </c>
      <c r="B117" s="300" t="s">
        <v>5014</v>
      </c>
      <c r="C117" s="301" t="s">
        <v>5015</v>
      </c>
      <c r="D117" s="301" t="s">
        <v>556</v>
      </c>
      <c r="E117" s="300" t="s">
        <v>292</v>
      </c>
      <c r="F117" s="295" t="s">
        <v>5016</v>
      </c>
      <c r="G117" s="290" t="s">
        <v>2713</v>
      </c>
      <c r="H117" s="289" t="s">
        <v>40</v>
      </c>
      <c r="I117" s="295" t="s">
        <v>556</v>
      </c>
      <c r="J117" s="302"/>
      <c r="K117" s="303"/>
      <c r="L117" s="304"/>
    </row>
    <row r="118">
      <c r="A118" s="299" t="s">
        <v>171</v>
      </c>
      <c r="B118" s="300" t="s">
        <v>5014</v>
      </c>
      <c r="C118" s="301" t="s">
        <v>5015</v>
      </c>
      <c r="D118" s="301" t="s">
        <v>556</v>
      </c>
      <c r="E118" s="300" t="s">
        <v>357</v>
      </c>
      <c r="F118" s="295" t="s">
        <v>5016</v>
      </c>
      <c r="G118" s="290" t="s">
        <v>2713</v>
      </c>
      <c r="H118" s="289" t="s">
        <v>40</v>
      </c>
      <c r="I118" s="295" t="s">
        <v>556</v>
      </c>
      <c r="J118" s="302"/>
      <c r="K118" s="303"/>
      <c r="L118" s="304"/>
    </row>
    <row r="119">
      <c r="A119" s="299" t="s">
        <v>171</v>
      </c>
      <c r="B119" s="300" t="s">
        <v>5017</v>
      </c>
      <c r="C119" s="301" t="s">
        <v>5018</v>
      </c>
      <c r="D119" s="301" t="s">
        <v>556</v>
      </c>
      <c r="E119" s="300" t="s">
        <v>357</v>
      </c>
      <c r="F119" s="289" t="s">
        <v>5019</v>
      </c>
      <c r="G119" s="296" t="s">
        <v>24</v>
      </c>
      <c r="H119" s="289" t="s">
        <v>40</v>
      </c>
      <c r="I119" s="289" t="s">
        <v>5020</v>
      </c>
      <c r="J119" s="302"/>
      <c r="K119" s="303"/>
      <c r="L119" s="304"/>
    </row>
    <row r="120">
      <c r="A120" s="299" t="s">
        <v>171</v>
      </c>
      <c r="B120" s="300" t="s">
        <v>5021</v>
      </c>
      <c r="C120" s="301" t="s">
        <v>5022</v>
      </c>
      <c r="D120" s="301" t="s">
        <v>556</v>
      </c>
      <c r="E120" s="300" t="s">
        <v>1581</v>
      </c>
      <c r="F120" s="295" t="s">
        <v>5023</v>
      </c>
      <c r="G120" s="290" t="s">
        <v>1973</v>
      </c>
      <c r="H120" s="289" t="s">
        <v>40</v>
      </c>
      <c r="I120" s="289" t="s">
        <v>103</v>
      </c>
      <c r="J120" s="302"/>
      <c r="K120" s="303"/>
      <c r="L120" s="304"/>
    </row>
    <row r="121">
      <c r="A121" s="299" t="s">
        <v>171</v>
      </c>
      <c r="B121" s="300" t="s">
        <v>5024</v>
      </c>
      <c r="C121" s="301" t="s">
        <v>5025</v>
      </c>
      <c r="D121" s="301" t="s">
        <v>556</v>
      </c>
      <c r="E121" s="300" t="s">
        <v>107</v>
      </c>
      <c r="F121" s="291" t="s">
        <v>5026</v>
      </c>
      <c r="G121" s="290" t="s">
        <v>556</v>
      </c>
      <c r="H121" s="295" t="s">
        <v>556</v>
      </c>
      <c r="I121" s="289" t="s">
        <v>1398</v>
      </c>
      <c r="J121" s="302"/>
      <c r="K121" s="303"/>
      <c r="L121" s="304"/>
    </row>
    <row r="122">
      <c r="A122" s="299" t="s">
        <v>171</v>
      </c>
      <c r="B122" s="300" t="s">
        <v>5027</v>
      </c>
      <c r="C122" s="301" t="s">
        <v>5028</v>
      </c>
      <c r="D122" s="301" t="s">
        <v>556</v>
      </c>
      <c r="E122" s="300" t="s">
        <v>575</v>
      </c>
      <c r="F122" s="295" t="s">
        <v>5029</v>
      </c>
      <c r="G122" s="290" t="s">
        <v>1973</v>
      </c>
      <c r="H122" s="295" t="s">
        <v>4987</v>
      </c>
      <c r="I122" s="295" t="s">
        <v>556</v>
      </c>
      <c r="J122" s="302"/>
      <c r="K122" s="303"/>
      <c r="L122" s="304"/>
    </row>
    <row r="123">
      <c r="A123" s="299" t="s">
        <v>171</v>
      </c>
      <c r="B123" s="300" t="s">
        <v>5027</v>
      </c>
      <c r="C123" s="301" t="s">
        <v>5028</v>
      </c>
      <c r="D123" s="301" t="s">
        <v>556</v>
      </c>
      <c r="E123" s="300" t="s">
        <v>292</v>
      </c>
      <c r="F123" s="295" t="s">
        <v>556</v>
      </c>
      <c r="G123" s="290" t="s">
        <v>1973</v>
      </c>
      <c r="H123" s="295" t="s">
        <v>4701</v>
      </c>
      <c r="I123" s="295" t="s">
        <v>556</v>
      </c>
      <c r="J123" s="302"/>
      <c r="K123" s="303"/>
      <c r="L123" s="304"/>
    </row>
    <row r="124">
      <c r="A124" s="299" t="s">
        <v>171</v>
      </c>
      <c r="B124" s="300" t="s">
        <v>5027</v>
      </c>
      <c r="C124" s="301" t="s">
        <v>5028</v>
      </c>
      <c r="D124" s="301" t="s">
        <v>556</v>
      </c>
      <c r="E124" s="300" t="s">
        <v>357</v>
      </c>
      <c r="F124" s="295" t="s">
        <v>556</v>
      </c>
      <c r="G124" s="290" t="s">
        <v>1973</v>
      </c>
      <c r="H124" s="295" t="s">
        <v>736</v>
      </c>
      <c r="I124" s="295" t="s">
        <v>556</v>
      </c>
      <c r="J124" s="302"/>
      <c r="K124" s="303"/>
      <c r="L124" s="304"/>
    </row>
    <row r="125">
      <c r="A125" s="299" t="s">
        <v>171</v>
      </c>
      <c r="B125" s="300" t="s">
        <v>5030</v>
      </c>
      <c r="C125" s="301" t="s">
        <v>5031</v>
      </c>
      <c r="D125" s="301" t="s">
        <v>556</v>
      </c>
      <c r="E125" s="300" t="s">
        <v>575</v>
      </c>
      <c r="F125" s="289" t="s">
        <v>5032</v>
      </c>
      <c r="G125" s="290" t="s">
        <v>1973</v>
      </c>
      <c r="H125" s="289" t="s">
        <v>40</v>
      </c>
      <c r="I125" s="295" t="s">
        <v>5033</v>
      </c>
      <c r="J125" s="302"/>
      <c r="K125" s="303"/>
      <c r="L125" s="304"/>
    </row>
    <row r="126">
      <c r="A126" s="299" t="s">
        <v>171</v>
      </c>
      <c r="B126" s="300" t="s">
        <v>5034</v>
      </c>
      <c r="C126" s="301" t="s">
        <v>5035</v>
      </c>
      <c r="D126" s="301" t="s">
        <v>556</v>
      </c>
      <c r="E126" s="300" t="s">
        <v>1184</v>
      </c>
      <c r="F126" s="295" t="s">
        <v>5036</v>
      </c>
      <c r="G126" s="290" t="s">
        <v>1973</v>
      </c>
      <c r="H126" s="289" t="s">
        <v>40</v>
      </c>
      <c r="I126" s="291" t="s">
        <v>5037</v>
      </c>
      <c r="J126" s="302"/>
      <c r="K126" s="303"/>
      <c r="L126" s="304"/>
    </row>
    <row r="127">
      <c r="A127" s="299" t="s">
        <v>171</v>
      </c>
      <c r="B127" s="300" t="s">
        <v>5038</v>
      </c>
      <c r="C127" s="301" t="s">
        <v>5039</v>
      </c>
      <c r="D127" s="301" t="s">
        <v>556</v>
      </c>
      <c r="E127" s="300" t="s">
        <v>1184</v>
      </c>
      <c r="F127" s="289" t="s">
        <v>5040</v>
      </c>
      <c r="G127" s="290" t="s">
        <v>1973</v>
      </c>
      <c r="H127" s="289" t="s">
        <v>40</v>
      </c>
      <c r="I127" s="295" t="s">
        <v>556</v>
      </c>
      <c r="J127" s="302"/>
      <c r="K127" s="303"/>
      <c r="L127" s="304"/>
    </row>
    <row r="128">
      <c r="A128" s="299" t="s">
        <v>171</v>
      </c>
      <c r="B128" s="300" t="s">
        <v>5041</v>
      </c>
      <c r="C128" s="301" t="s">
        <v>5042</v>
      </c>
      <c r="D128" s="301" t="s">
        <v>556</v>
      </c>
      <c r="E128" s="300" t="s">
        <v>814</v>
      </c>
      <c r="F128" s="295" t="s">
        <v>5043</v>
      </c>
      <c r="G128" s="290" t="s">
        <v>2713</v>
      </c>
      <c r="H128" s="295" t="s">
        <v>4712</v>
      </c>
      <c r="I128" s="295" t="s">
        <v>556</v>
      </c>
      <c r="J128" s="302"/>
      <c r="K128" s="303"/>
      <c r="L128" s="304"/>
    </row>
    <row r="129">
      <c r="A129" s="299" t="s">
        <v>171</v>
      </c>
      <c r="B129" s="300" t="s">
        <v>1728</v>
      </c>
      <c r="C129" s="301" t="s">
        <v>5044</v>
      </c>
      <c r="D129" s="301" t="s">
        <v>556</v>
      </c>
      <c r="E129" s="300" t="s">
        <v>1469</v>
      </c>
      <c r="F129" s="289" t="s">
        <v>5045</v>
      </c>
      <c r="G129" s="296" t="s">
        <v>24</v>
      </c>
      <c r="H129" s="295" t="s">
        <v>736</v>
      </c>
      <c r="I129" s="289" t="s">
        <v>1398</v>
      </c>
      <c r="J129" s="302"/>
      <c r="K129" s="303"/>
      <c r="L129" s="304"/>
    </row>
    <row r="130">
      <c r="A130" s="299" t="s">
        <v>171</v>
      </c>
      <c r="B130" s="300" t="s">
        <v>664</v>
      </c>
      <c r="C130" s="301" t="s">
        <v>665</v>
      </c>
      <c r="D130" s="301" t="s">
        <v>556</v>
      </c>
      <c r="E130" s="300" t="s">
        <v>357</v>
      </c>
      <c r="F130" s="289" t="s">
        <v>5046</v>
      </c>
      <c r="G130" s="296" t="s">
        <v>24</v>
      </c>
      <c r="H130" s="289" t="s">
        <v>40</v>
      </c>
      <c r="I130" s="289" t="s">
        <v>5047</v>
      </c>
      <c r="J130" s="302"/>
      <c r="K130" s="303"/>
      <c r="L130" s="304"/>
    </row>
    <row r="131" ht="15.75" customHeight="1">
      <c r="A131" s="299" t="s">
        <v>171</v>
      </c>
      <c r="B131" s="300" t="s">
        <v>5048</v>
      </c>
      <c r="C131" s="301" t="s">
        <v>5049</v>
      </c>
      <c r="D131" s="301" t="s">
        <v>556</v>
      </c>
      <c r="E131" s="300" t="s">
        <v>676</v>
      </c>
      <c r="F131" s="289" t="s">
        <v>5050</v>
      </c>
      <c r="G131" s="296" t="s">
        <v>24</v>
      </c>
      <c r="H131" s="289" t="s">
        <v>40</v>
      </c>
      <c r="I131" s="291" t="s">
        <v>1343</v>
      </c>
      <c r="J131" s="302"/>
      <c r="K131" s="303"/>
      <c r="L131" s="304"/>
    </row>
    <row r="132">
      <c r="A132" s="299" t="s">
        <v>171</v>
      </c>
      <c r="B132" s="300" t="s">
        <v>5051</v>
      </c>
      <c r="C132" s="301" t="s">
        <v>5052</v>
      </c>
      <c r="D132" s="301" t="s">
        <v>556</v>
      </c>
      <c r="E132" s="300" t="s">
        <v>1372</v>
      </c>
      <c r="F132" s="289" t="s">
        <v>5053</v>
      </c>
      <c r="G132" s="290" t="s">
        <v>2713</v>
      </c>
      <c r="H132" s="289" t="s">
        <v>40</v>
      </c>
      <c r="I132" s="291" t="s">
        <v>1343</v>
      </c>
      <c r="J132" s="302"/>
      <c r="K132" s="303"/>
      <c r="L132" s="304"/>
    </row>
    <row r="133">
      <c r="A133" s="299" t="s">
        <v>171</v>
      </c>
      <c r="B133" s="300" t="s">
        <v>5054</v>
      </c>
      <c r="C133" s="301" t="s">
        <v>5055</v>
      </c>
      <c r="D133" s="301" t="s">
        <v>556</v>
      </c>
      <c r="E133" s="300" t="s">
        <v>575</v>
      </c>
      <c r="F133" s="289" t="s">
        <v>5056</v>
      </c>
      <c r="G133" s="290" t="s">
        <v>1973</v>
      </c>
      <c r="H133" s="289" t="s">
        <v>40</v>
      </c>
      <c r="I133" s="291" t="s">
        <v>5057</v>
      </c>
      <c r="J133" s="302"/>
      <c r="K133" s="300" t="s">
        <v>5058</v>
      </c>
      <c r="L133" s="304"/>
    </row>
    <row r="134">
      <c r="A134" s="299" t="s">
        <v>171</v>
      </c>
      <c r="B134" s="300" t="s">
        <v>5059</v>
      </c>
      <c r="C134" s="301" t="s">
        <v>5060</v>
      </c>
      <c r="D134" s="301" t="s">
        <v>556</v>
      </c>
      <c r="E134" s="300" t="s">
        <v>575</v>
      </c>
      <c r="F134" s="289" t="s">
        <v>5061</v>
      </c>
      <c r="G134" s="296" t="s">
        <v>24</v>
      </c>
      <c r="H134" s="289" t="s">
        <v>40</v>
      </c>
      <c r="I134" s="291" t="s">
        <v>1343</v>
      </c>
      <c r="J134" s="302"/>
      <c r="K134" s="303"/>
      <c r="L134" s="304"/>
    </row>
    <row r="135">
      <c r="A135" s="299" t="s">
        <v>171</v>
      </c>
      <c r="B135" s="300" t="s">
        <v>1760</v>
      </c>
      <c r="C135" s="301" t="s">
        <v>5062</v>
      </c>
      <c r="D135" s="301" t="s">
        <v>556</v>
      </c>
      <c r="E135" s="300" t="s">
        <v>357</v>
      </c>
      <c r="F135" s="289" t="s">
        <v>5063</v>
      </c>
      <c r="G135" s="290" t="s">
        <v>1973</v>
      </c>
      <c r="H135" s="295" t="s">
        <v>4987</v>
      </c>
      <c r="I135" s="291" t="s">
        <v>5064</v>
      </c>
      <c r="J135" s="302"/>
      <c r="K135" s="303"/>
      <c r="L135" s="304"/>
    </row>
    <row r="136">
      <c r="A136" s="299" t="s">
        <v>171</v>
      </c>
      <c r="B136" s="300" t="s">
        <v>5065</v>
      </c>
      <c r="C136" s="301" t="s">
        <v>5066</v>
      </c>
      <c r="D136" s="301" t="s">
        <v>556</v>
      </c>
      <c r="E136" s="300" t="s">
        <v>3100</v>
      </c>
      <c r="F136" s="289" t="s">
        <v>5067</v>
      </c>
      <c r="G136" s="296" t="s">
        <v>24</v>
      </c>
      <c r="H136" s="289" t="s">
        <v>40</v>
      </c>
      <c r="I136" s="303"/>
      <c r="J136" s="302"/>
      <c r="K136" s="303"/>
      <c r="L136" s="304"/>
    </row>
    <row r="137">
      <c r="A137" s="299" t="s">
        <v>171</v>
      </c>
      <c r="B137" s="300" t="s">
        <v>1064</v>
      </c>
      <c r="C137" s="301" t="s">
        <v>5068</v>
      </c>
      <c r="D137" s="301" t="s">
        <v>556</v>
      </c>
      <c r="E137" s="300" t="s">
        <v>1905</v>
      </c>
      <c r="F137" s="289" t="s">
        <v>5069</v>
      </c>
      <c r="G137" s="290" t="s">
        <v>1973</v>
      </c>
      <c r="H137" s="289" t="s">
        <v>40</v>
      </c>
      <c r="I137" s="295" t="s">
        <v>5070</v>
      </c>
      <c r="J137" s="302"/>
      <c r="K137" s="303"/>
      <c r="L137" s="304"/>
    </row>
    <row r="138">
      <c r="A138" s="299" t="s">
        <v>171</v>
      </c>
      <c r="B138" s="300" t="s">
        <v>3595</v>
      </c>
      <c r="C138" s="301" t="s">
        <v>3596</v>
      </c>
      <c r="D138" s="301" t="s">
        <v>556</v>
      </c>
      <c r="E138" s="300" t="s">
        <v>4884</v>
      </c>
      <c r="F138" s="289" t="s">
        <v>5071</v>
      </c>
      <c r="G138" s="296" t="s">
        <v>24</v>
      </c>
      <c r="H138" s="289" t="s">
        <v>40</v>
      </c>
      <c r="I138" s="289" t="s">
        <v>1398</v>
      </c>
      <c r="J138" s="302"/>
      <c r="K138" s="303"/>
      <c r="L138" s="304"/>
    </row>
    <row r="139">
      <c r="A139" s="299" t="s">
        <v>171</v>
      </c>
      <c r="B139" s="300" t="s">
        <v>5072</v>
      </c>
      <c r="C139" s="301" t="s">
        <v>5073</v>
      </c>
      <c r="D139" s="301" t="s">
        <v>556</v>
      </c>
      <c r="E139" s="300" t="s">
        <v>5074</v>
      </c>
      <c r="F139" s="289" t="s">
        <v>5075</v>
      </c>
      <c r="G139" s="290" t="s">
        <v>556</v>
      </c>
      <c r="H139" s="295" t="s">
        <v>556</v>
      </c>
      <c r="I139" s="295" t="s">
        <v>556</v>
      </c>
      <c r="J139" s="302"/>
      <c r="K139" s="303"/>
      <c r="L139" s="304"/>
    </row>
    <row r="140">
      <c r="A140" s="299" t="s">
        <v>171</v>
      </c>
      <c r="B140" s="300" t="s">
        <v>5076</v>
      </c>
      <c r="C140" s="301" t="s">
        <v>5077</v>
      </c>
      <c r="D140" s="301" t="s">
        <v>556</v>
      </c>
      <c r="E140" s="300" t="s">
        <v>5078</v>
      </c>
      <c r="F140" s="295" t="s">
        <v>5079</v>
      </c>
      <c r="G140" s="290" t="s">
        <v>1973</v>
      </c>
      <c r="H140" s="289" t="s">
        <v>40</v>
      </c>
      <c r="I140" s="289" t="s">
        <v>5080</v>
      </c>
      <c r="J140" s="302"/>
      <c r="K140" s="303"/>
      <c r="L140" s="304"/>
    </row>
    <row r="141">
      <c r="A141" s="299" t="s">
        <v>171</v>
      </c>
      <c r="B141" s="300" t="s">
        <v>5081</v>
      </c>
      <c r="C141" s="301" t="s">
        <v>5082</v>
      </c>
      <c r="D141" s="301" t="s">
        <v>556</v>
      </c>
      <c r="E141" s="300" t="s">
        <v>1094</v>
      </c>
      <c r="F141" s="289" t="s">
        <v>5083</v>
      </c>
      <c r="G141" s="290" t="s">
        <v>1973</v>
      </c>
      <c r="H141" s="295" t="s">
        <v>4987</v>
      </c>
      <c r="I141" s="291" t="s">
        <v>5084</v>
      </c>
      <c r="J141" s="302"/>
      <c r="K141" s="303"/>
      <c r="L141" s="304"/>
    </row>
    <row r="142">
      <c r="A142" s="299" t="s">
        <v>171</v>
      </c>
      <c r="B142" s="300" t="s">
        <v>5081</v>
      </c>
      <c r="C142" s="301" t="s">
        <v>5082</v>
      </c>
      <c r="D142" s="301" t="s">
        <v>556</v>
      </c>
      <c r="E142" s="300" t="s">
        <v>228</v>
      </c>
      <c r="F142" s="289" t="s">
        <v>5083</v>
      </c>
      <c r="G142" s="290" t="s">
        <v>1973</v>
      </c>
      <c r="H142" s="295" t="s">
        <v>5085</v>
      </c>
      <c r="I142" s="289" t="s">
        <v>1398</v>
      </c>
      <c r="J142" s="302"/>
      <c r="K142" s="303"/>
      <c r="L142" s="304"/>
    </row>
    <row r="143">
      <c r="A143" s="299" t="s">
        <v>171</v>
      </c>
      <c r="B143" s="300" t="s">
        <v>5086</v>
      </c>
      <c r="C143" s="301" t="s">
        <v>5087</v>
      </c>
      <c r="D143" s="301" t="s">
        <v>556</v>
      </c>
      <c r="E143" s="300" t="s">
        <v>5006</v>
      </c>
      <c r="F143" s="289" t="s">
        <v>5088</v>
      </c>
      <c r="G143" s="290" t="s">
        <v>1973</v>
      </c>
      <c r="H143" s="295" t="s">
        <v>736</v>
      </c>
      <c r="I143" s="295" t="s">
        <v>556</v>
      </c>
      <c r="J143" s="302"/>
      <c r="K143" s="303"/>
      <c r="L143" s="304"/>
    </row>
    <row r="144">
      <c r="A144" s="299" t="s">
        <v>171</v>
      </c>
      <c r="B144" s="300" t="s">
        <v>5089</v>
      </c>
      <c r="C144" s="301" t="s">
        <v>5090</v>
      </c>
      <c r="D144" s="301" t="s">
        <v>556</v>
      </c>
      <c r="E144" s="300" t="s">
        <v>4805</v>
      </c>
      <c r="F144" s="289" t="s">
        <v>5091</v>
      </c>
      <c r="G144" s="296" t="s">
        <v>24</v>
      </c>
      <c r="H144" s="289" t="s">
        <v>40</v>
      </c>
      <c r="I144" s="289" t="s">
        <v>1398</v>
      </c>
      <c r="J144" s="302"/>
      <c r="K144" s="303"/>
      <c r="L144" s="304"/>
    </row>
    <row r="145">
      <c r="A145" s="299" t="s">
        <v>171</v>
      </c>
      <c r="B145" s="300" t="s">
        <v>605</v>
      </c>
      <c r="C145" s="301" t="s">
        <v>606</v>
      </c>
      <c r="D145" s="301" t="s">
        <v>556</v>
      </c>
      <c r="E145" s="300" t="s">
        <v>5006</v>
      </c>
      <c r="F145" s="289" t="s">
        <v>5092</v>
      </c>
      <c r="G145" s="290" t="s">
        <v>1973</v>
      </c>
      <c r="H145" s="289" t="s">
        <v>40</v>
      </c>
      <c r="I145" s="291" t="s">
        <v>5093</v>
      </c>
      <c r="J145" s="302"/>
      <c r="K145" s="303"/>
      <c r="L145" s="304"/>
    </row>
    <row r="146" ht="16.5" customHeight="1">
      <c r="A146" s="299" t="s">
        <v>171</v>
      </c>
      <c r="B146" s="300" t="s">
        <v>5094</v>
      </c>
      <c r="C146" s="301" t="s">
        <v>5095</v>
      </c>
      <c r="D146" s="301" t="s">
        <v>556</v>
      </c>
      <c r="E146" s="300" t="s">
        <v>1581</v>
      </c>
      <c r="F146" s="295" t="s">
        <v>5096</v>
      </c>
      <c r="G146" s="290" t="s">
        <v>2713</v>
      </c>
      <c r="H146" s="289" t="s">
        <v>40</v>
      </c>
      <c r="I146" s="291" t="s">
        <v>5097</v>
      </c>
      <c r="J146" s="302"/>
      <c r="K146" s="303"/>
      <c r="L146" s="304"/>
    </row>
    <row r="147">
      <c r="A147" s="299" t="s">
        <v>171</v>
      </c>
      <c r="B147" s="300" t="s">
        <v>4818</v>
      </c>
      <c r="C147" s="301" t="s">
        <v>4819</v>
      </c>
      <c r="D147" s="301" t="s">
        <v>556</v>
      </c>
      <c r="E147" s="300" t="s">
        <v>4821</v>
      </c>
      <c r="F147" s="289" t="s">
        <v>5098</v>
      </c>
      <c r="G147" s="290" t="s">
        <v>1973</v>
      </c>
      <c r="H147" s="289" t="s">
        <v>40</v>
      </c>
      <c r="I147" s="289" t="s">
        <v>1398</v>
      </c>
      <c r="J147" s="302"/>
      <c r="K147" s="303"/>
      <c r="L147" s="304"/>
    </row>
    <row r="148">
      <c r="A148" s="299" t="s">
        <v>171</v>
      </c>
      <c r="B148" s="300" t="s">
        <v>2354</v>
      </c>
      <c r="C148" s="301" t="s">
        <v>2355</v>
      </c>
      <c r="D148" s="301" t="s">
        <v>556</v>
      </c>
      <c r="E148" s="300" t="s">
        <v>292</v>
      </c>
      <c r="F148" s="289" t="s">
        <v>5099</v>
      </c>
      <c r="G148" s="290" t="s">
        <v>1973</v>
      </c>
      <c r="H148" s="289" t="s">
        <v>40</v>
      </c>
      <c r="I148" s="291" t="s">
        <v>5100</v>
      </c>
      <c r="J148" s="302"/>
      <c r="K148" s="303"/>
      <c r="L148" s="304"/>
    </row>
    <row r="149" ht="18.0" customHeight="1">
      <c r="A149" s="299" t="s">
        <v>171</v>
      </c>
      <c r="B149" s="300" t="s">
        <v>1908</v>
      </c>
      <c r="C149" s="301" t="s">
        <v>5101</v>
      </c>
      <c r="D149" s="301" t="s">
        <v>556</v>
      </c>
      <c r="E149" s="300" t="s">
        <v>811</v>
      </c>
      <c r="F149" s="289" t="s">
        <v>5102</v>
      </c>
      <c r="G149" s="290" t="s">
        <v>1973</v>
      </c>
      <c r="H149" s="289" t="s">
        <v>40</v>
      </c>
      <c r="I149" s="291" t="s">
        <v>5103</v>
      </c>
      <c r="J149" s="302"/>
      <c r="K149" s="303"/>
      <c r="L149" s="304"/>
    </row>
    <row r="150">
      <c r="A150" s="299" t="s">
        <v>171</v>
      </c>
      <c r="B150" s="300" t="s">
        <v>1908</v>
      </c>
      <c r="C150" s="301" t="s">
        <v>5101</v>
      </c>
      <c r="D150" s="301" t="s">
        <v>556</v>
      </c>
      <c r="E150" s="300" t="s">
        <v>2409</v>
      </c>
      <c r="F150" s="289" t="s">
        <v>5104</v>
      </c>
      <c r="G150" s="290" t="s">
        <v>1973</v>
      </c>
      <c r="H150" s="295" t="s">
        <v>736</v>
      </c>
      <c r="I150" s="291" t="s">
        <v>5103</v>
      </c>
      <c r="J150" s="302"/>
      <c r="K150" s="303"/>
      <c r="L150" s="304"/>
    </row>
    <row r="151">
      <c r="A151" s="299" t="s">
        <v>171</v>
      </c>
      <c r="B151" s="300" t="s">
        <v>5105</v>
      </c>
      <c r="C151" s="301" t="s">
        <v>5106</v>
      </c>
      <c r="D151" s="301" t="s">
        <v>556</v>
      </c>
      <c r="E151" s="300" t="s">
        <v>357</v>
      </c>
      <c r="F151" s="289" t="s">
        <v>5107</v>
      </c>
      <c r="G151" s="290" t="s">
        <v>556</v>
      </c>
      <c r="H151" s="295" t="s">
        <v>556</v>
      </c>
      <c r="I151" s="295" t="s">
        <v>556</v>
      </c>
      <c r="J151" s="302"/>
      <c r="K151" s="303"/>
      <c r="L151" s="304"/>
    </row>
    <row r="152">
      <c r="A152" s="299" t="s">
        <v>171</v>
      </c>
      <c r="B152" s="300" t="s">
        <v>2027</v>
      </c>
      <c r="C152" s="301" t="s">
        <v>2028</v>
      </c>
      <c r="D152" s="301" t="s">
        <v>556</v>
      </c>
      <c r="E152" s="300" t="s">
        <v>1094</v>
      </c>
      <c r="F152" s="289" t="s">
        <v>5108</v>
      </c>
      <c r="G152" s="290" t="s">
        <v>1973</v>
      </c>
      <c r="H152" s="289" t="s">
        <v>40</v>
      </c>
      <c r="I152" s="295" t="s">
        <v>5109</v>
      </c>
      <c r="J152" s="302"/>
      <c r="K152" s="303"/>
      <c r="L152" s="304"/>
    </row>
    <row r="153">
      <c r="A153" s="299" t="s">
        <v>171</v>
      </c>
      <c r="B153" s="300" t="s">
        <v>5110</v>
      </c>
      <c r="C153" s="301" t="s">
        <v>5111</v>
      </c>
      <c r="D153" s="301" t="s">
        <v>556</v>
      </c>
      <c r="E153" s="300" t="s">
        <v>778</v>
      </c>
      <c r="F153" s="289" t="s">
        <v>5112</v>
      </c>
      <c r="G153" s="290" t="s">
        <v>2713</v>
      </c>
      <c r="H153" s="295" t="s">
        <v>5113</v>
      </c>
      <c r="I153" s="295" t="s">
        <v>556</v>
      </c>
      <c r="J153" s="302"/>
      <c r="K153" s="303"/>
      <c r="L153" s="304"/>
    </row>
    <row r="154">
      <c r="A154" s="299" t="s">
        <v>171</v>
      </c>
      <c r="B154" s="300" t="s">
        <v>5114</v>
      </c>
      <c r="C154" s="301" t="s">
        <v>5115</v>
      </c>
      <c r="D154" s="301" t="s">
        <v>556</v>
      </c>
      <c r="E154" s="300" t="s">
        <v>3300</v>
      </c>
      <c r="F154" s="289" t="s">
        <v>5116</v>
      </c>
      <c r="G154" s="290" t="s">
        <v>556</v>
      </c>
      <c r="H154" s="295" t="s">
        <v>556</v>
      </c>
      <c r="I154" s="295" t="s">
        <v>556</v>
      </c>
      <c r="J154" s="302"/>
      <c r="K154" s="300" t="s">
        <v>5117</v>
      </c>
      <c r="L154" s="304"/>
    </row>
    <row r="155">
      <c r="A155" s="299" t="s">
        <v>171</v>
      </c>
      <c r="B155" s="300" t="s">
        <v>5118</v>
      </c>
      <c r="C155" s="301" t="s">
        <v>5119</v>
      </c>
      <c r="D155" s="301" t="s">
        <v>556</v>
      </c>
      <c r="E155" s="300" t="s">
        <v>4884</v>
      </c>
      <c r="F155" s="289" t="s">
        <v>5120</v>
      </c>
      <c r="G155" s="296" t="s">
        <v>24</v>
      </c>
      <c r="H155" s="289" t="s">
        <v>40</v>
      </c>
      <c r="I155" s="289" t="s">
        <v>5121</v>
      </c>
      <c r="J155" s="302"/>
      <c r="K155" s="303"/>
      <c r="L155" s="304"/>
    </row>
    <row r="156">
      <c r="A156" s="299" t="s">
        <v>171</v>
      </c>
      <c r="B156" s="300" t="s">
        <v>5122</v>
      </c>
      <c r="C156" s="301" t="s">
        <v>5123</v>
      </c>
      <c r="D156" s="301" t="s">
        <v>556</v>
      </c>
      <c r="E156" s="300" t="s">
        <v>3100</v>
      </c>
      <c r="F156" s="289" t="s">
        <v>5124</v>
      </c>
      <c r="G156" s="296" t="s">
        <v>24</v>
      </c>
      <c r="H156" s="289" t="s">
        <v>40</v>
      </c>
      <c r="I156" s="303"/>
      <c r="J156" s="302"/>
      <c r="K156" s="303"/>
      <c r="L156" s="304"/>
    </row>
    <row r="157">
      <c r="A157" s="299" t="s">
        <v>171</v>
      </c>
      <c r="B157" s="300" t="s">
        <v>5122</v>
      </c>
      <c r="C157" s="301" t="s">
        <v>5123</v>
      </c>
      <c r="D157" s="301" t="s">
        <v>556</v>
      </c>
      <c r="E157" s="300" t="s">
        <v>893</v>
      </c>
      <c r="F157" s="289" t="s">
        <v>5124</v>
      </c>
      <c r="G157" s="290" t="s">
        <v>1973</v>
      </c>
      <c r="H157" s="289" t="s">
        <v>40</v>
      </c>
      <c r="I157" s="289" t="s">
        <v>1398</v>
      </c>
      <c r="J157" s="302"/>
      <c r="K157" s="303"/>
      <c r="L157" s="304"/>
    </row>
    <row r="158">
      <c r="A158" s="299" t="s">
        <v>171</v>
      </c>
      <c r="B158" s="300" t="s">
        <v>5125</v>
      </c>
      <c r="C158" s="301" t="s">
        <v>5126</v>
      </c>
      <c r="D158" s="301" t="s">
        <v>556</v>
      </c>
      <c r="E158" s="300" t="s">
        <v>463</v>
      </c>
      <c r="F158" s="289" t="s">
        <v>5127</v>
      </c>
      <c r="G158" s="290" t="s">
        <v>556</v>
      </c>
      <c r="H158" s="295" t="s">
        <v>556</v>
      </c>
      <c r="I158" s="295" t="s">
        <v>556</v>
      </c>
      <c r="J158" s="302"/>
      <c r="K158" s="300" t="s">
        <v>5128</v>
      </c>
      <c r="L158" s="304"/>
    </row>
    <row r="159">
      <c r="A159" s="299" t="s">
        <v>171</v>
      </c>
      <c r="B159" s="300" t="s">
        <v>5129</v>
      </c>
      <c r="C159" s="301" t="s">
        <v>5130</v>
      </c>
      <c r="D159" s="301" t="s">
        <v>556</v>
      </c>
      <c r="E159" s="300" t="s">
        <v>814</v>
      </c>
      <c r="F159" s="295" t="s">
        <v>5131</v>
      </c>
      <c r="G159" s="290" t="s">
        <v>2713</v>
      </c>
      <c r="H159" s="295" t="s">
        <v>736</v>
      </c>
      <c r="I159" s="295" t="s">
        <v>556</v>
      </c>
      <c r="J159" s="302"/>
      <c r="K159" s="303"/>
      <c r="L159" s="304"/>
    </row>
    <row r="160">
      <c r="A160" s="299" t="s">
        <v>171</v>
      </c>
      <c r="B160" s="300" t="s">
        <v>4479</v>
      </c>
      <c r="C160" s="301" t="s">
        <v>4480</v>
      </c>
      <c r="D160" s="301" t="s">
        <v>556</v>
      </c>
      <c r="E160" s="300" t="s">
        <v>278</v>
      </c>
      <c r="F160" s="289" t="s">
        <v>5132</v>
      </c>
      <c r="G160" s="290" t="s">
        <v>1973</v>
      </c>
      <c r="H160" s="291" t="s">
        <v>5133</v>
      </c>
      <c r="I160" s="289" t="s">
        <v>103</v>
      </c>
      <c r="J160" s="302"/>
      <c r="K160" s="303"/>
      <c r="L160" s="304"/>
    </row>
    <row r="161">
      <c r="A161" s="299" t="s">
        <v>171</v>
      </c>
      <c r="B161" s="300" t="s">
        <v>5134</v>
      </c>
      <c r="C161" s="301" t="s">
        <v>5135</v>
      </c>
      <c r="D161" s="301" t="s">
        <v>556</v>
      </c>
      <c r="E161" s="300" t="s">
        <v>2422</v>
      </c>
      <c r="F161" s="289" t="s">
        <v>5136</v>
      </c>
      <c r="G161" s="290" t="s">
        <v>1973</v>
      </c>
      <c r="H161" s="289" t="s">
        <v>40</v>
      </c>
      <c r="I161" s="295" t="s">
        <v>556</v>
      </c>
      <c r="J161" s="302"/>
      <c r="K161" s="303"/>
      <c r="L161" s="304"/>
    </row>
    <row r="162">
      <c r="A162" s="299" t="s">
        <v>171</v>
      </c>
      <c r="B162" s="300" t="s">
        <v>3145</v>
      </c>
      <c r="C162" s="301" t="s">
        <v>3146</v>
      </c>
      <c r="D162" s="301"/>
      <c r="E162" s="300" t="s">
        <v>3147</v>
      </c>
      <c r="F162" s="289" t="s">
        <v>5137</v>
      </c>
      <c r="G162" s="296" t="s">
        <v>24</v>
      </c>
      <c r="H162" s="289" t="s">
        <v>40</v>
      </c>
      <c r="I162" s="289" t="s">
        <v>103</v>
      </c>
      <c r="J162" s="302"/>
      <c r="K162" s="303"/>
      <c r="L162" s="304"/>
    </row>
    <row r="163">
      <c r="A163" s="299" t="s">
        <v>171</v>
      </c>
      <c r="B163" s="300" t="s">
        <v>5138</v>
      </c>
      <c r="C163" s="301" t="s">
        <v>5139</v>
      </c>
      <c r="D163" s="301" t="s">
        <v>556</v>
      </c>
      <c r="E163" s="300" t="s">
        <v>463</v>
      </c>
      <c r="F163" s="289" t="s">
        <v>5140</v>
      </c>
      <c r="G163" s="290" t="s">
        <v>2713</v>
      </c>
      <c r="H163" s="295" t="s">
        <v>5141</v>
      </c>
      <c r="I163" s="289" t="s">
        <v>1398</v>
      </c>
      <c r="J163" s="302"/>
      <c r="K163" s="303"/>
      <c r="L163" s="304"/>
    </row>
    <row r="164">
      <c r="A164" s="299" t="s">
        <v>171</v>
      </c>
      <c r="B164" s="300" t="s">
        <v>5142</v>
      </c>
      <c r="C164" s="301" t="s">
        <v>5143</v>
      </c>
      <c r="D164" s="301" t="s">
        <v>556</v>
      </c>
      <c r="E164" s="300" t="s">
        <v>1094</v>
      </c>
      <c r="F164" s="295" t="s">
        <v>5144</v>
      </c>
      <c r="G164" s="290" t="s">
        <v>1973</v>
      </c>
      <c r="H164" s="295" t="s">
        <v>5145</v>
      </c>
      <c r="I164" s="295" t="s">
        <v>556</v>
      </c>
      <c r="J164" s="302"/>
      <c r="K164" s="303"/>
      <c r="L164" s="304"/>
    </row>
    <row r="165">
      <c r="A165" s="299" t="s">
        <v>171</v>
      </c>
      <c r="B165" s="300" t="s">
        <v>5146</v>
      </c>
      <c r="C165" s="301" t="s">
        <v>5147</v>
      </c>
      <c r="D165" s="301" t="s">
        <v>556</v>
      </c>
      <c r="E165" s="300" t="s">
        <v>451</v>
      </c>
      <c r="F165" s="289" t="s">
        <v>5148</v>
      </c>
      <c r="G165" s="296" t="s">
        <v>24</v>
      </c>
      <c r="H165" s="289" t="s">
        <v>40</v>
      </c>
      <c r="I165" s="289" t="s">
        <v>103</v>
      </c>
      <c r="J165" s="302"/>
      <c r="K165" s="303"/>
      <c r="L165" s="304"/>
    </row>
    <row r="166">
      <c r="A166" s="299" t="s">
        <v>171</v>
      </c>
      <c r="B166" s="300" t="s">
        <v>5149</v>
      </c>
      <c r="C166" s="301" t="s">
        <v>5150</v>
      </c>
      <c r="D166" s="306">
        <v>45682.0</v>
      </c>
      <c r="E166" s="300" t="s">
        <v>460</v>
      </c>
      <c r="F166" s="289" t="s">
        <v>5151</v>
      </c>
      <c r="G166" s="296" t="s">
        <v>24</v>
      </c>
      <c r="H166" s="289" t="s">
        <v>40</v>
      </c>
      <c r="I166" s="289" t="s">
        <v>103</v>
      </c>
      <c r="J166" s="302"/>
      <c r="K166" s="303"/>
      <c r="L166" s="304"/>
    </row>
    <row r="167">
      <c r="A167" s="299" t="s">
        <v>171</v>
      </c>
      <c r="B167" s="300" t="s">
        <v>5149</v>
      </c>
      <c r="C167" s="301" t="s">
        <v>5150</v>
      </c>
      <c r="D167" s="306">
        <v>45706.0</v>
      </c>
      <c r="E167" s="300" t="s">
        <v>2072</v>
      </c>
      <c r="F167" s="289" t="s">
        <v>5151</v>
      </c>
      <c r="G167" s="296" t="s">
        <v>24</v>
      </c>
      <c r="H167" s="289" t="s">
        <v>40</v>
      </c>
      <c r="I167" s="289" t="s">
        <v>1398</v>
      </c>
      <c r="J167" s="302"/>
      <c r="K167" s="303"/>
      <c r="L167" s="304"/>
    </row>
    <row r="168">
      <c r="A168" s="299" t="s">
        <v>171</v>
      </c>
      <c r="B168" s="300" t="s">
        <v>5152</v>
      </c>
      <c r="C168" s="301" t="s">
        <v>3339</v>
      </c>
      <c r="D168" s="301" t="s">
        <v>556</v>
      </c>
      <c r="E168" s="300" t="s">
        <v>5153</v>
      </c>
      <c r="F168" s="289" t="s">
        <v>5154</v>
      </c>
      <c r="G168" s="296" t="s">
        <v>24</v>
      </c>
      <c r="H168" s="289" t="s">
        <v>40</v>
      </c>
      <c r="I168" s="289" t="s">
        <v>1398</v>
      </c>
      <c r="J168" s="302"/>
      <c r="K168" s="303"/>
      <c r="L168" s="304"/>
    </row>
    <row r="169">
      <c r="A169" s="299" t="s">
        <v>171</v>
      </c>
      <c r="B169" s="300" t="s">
        <v>5155</v>
      </c>
      <c r="C169" s="301" t="s">
        <v>5156</v>
      </c>
      <c r="D169" s="301" t="s">
        <v>556</v>
      </c>
      <c r="E169" s="300" t="s">
        <v>451</v>
      </c>
      <c r="F169" s="289" t="s">
        <v>5157</v>
      </c>
      <c r="G169" s="290" t="s">
        <v>2713</v>
      </c>
      <c r="H169" s="295" t="s">
        <v>4987</v>
      </c>
      <c r="I169" s="295" t="s">
        <v>556</v>
      </c>
      <c r="J169" s="302"/>
      <c r="K169" s="303"/>
      <c r="L169" s="304"/>
    </row>
    <row r="170">
      <c r="A170" s="299" t="s">
        <v>171</v>
      </c>
      <c r="B170" s="300" t="s">
        <v>5158</v>
      </c>
      <c r="C170" s="301" t="s">
        <v>5159</v>
      </c>
      <c r="D170" s="301" t="s">
        <v>556</v>
      </c>
      <c r="E170" s="300" t="s">
        <v>5160</v>
      </c>
      <c r="F170" s="295" t="s">
        <v>5161</v>
      </c>
      <c r="G170" s="290" t="s">
        <v>2713</v>
      </c>
      <c r="H170" s="295" t="s">
        <v>736</v>
      </c>
      <c r="I170" s="295" t="s">
        <v>556</v>
      </c>
      <c r="J170" s="302"/>
      <c r="K170" s="303"/>
      <c r="L170" s="304"/>
    </row>
    <row r="171">
      <c r="A171" s="299" t="s">
        <v>171</v>
      </c>
      <c r="B171" s="300" t="s">
        <v>1347</v>
      </c>
      <c r="C171" s="301" t="s">
        <v>1348</v>
      </c>
      <c r="D171" s="301" t="s">
        <v>556</v>
      </c>
      <c r="E171" s="300" t="s">
        <v>292</v>
      </c>
      <c r="F171" s="289" t="s">
        <v>5162</v>
      </c>
      <c r="G171" s="290" t="s">
        <v>1973</v>
      </c>
      <c r="H171" s="289" t="s">
        <v>40</v>
      </c>
      <c r="I171" s="291" t="s">
        <v>5163</v>
      </c>
      <c r="J171" s="302"/>
      <c r="K171" s="303"/>
      <c r="L171" s="304"/>
    </row>
    <row r="172" ht="18.75" customHeight="1">
      <c r="A172" s="299" t="s">
        <v>171</v>
      </c>
      <c r="B172" s="300" t="s">
        <v>5164</v>
      </c>
      <c r="C172" s="301" t="s">
        <v>5165</v>
      </c>
      <c r="D172" s="301" t="s">
        <v>556</v>
      </c>
      <c r="E172" s="300" t="s">
        <v>188</v>
      </c>
      <c r="F172" s="295" t="s">
        <v>5166</v>
      </c>
      <c r="G172" s="290" t="s">
        <v>2713</v>
      </c>
      <c r="H172" s="295" t="s">
        <v>736</v>
      </c>
      <c r="I172" s="289" t="s">
        <v>1398</v>
      </c>
      <c r="J172" s="302"/>
      <c r="K172" s="303"/>
      <c r="L172" s="304"/>
    </row>
    <row r="173">
      <c r="A173" s="299" t="s">
        <v>171</v>
      </c>
      <c r="B173" s="300" t="s">
        <v>5167</v>
      </c>
      <c r="C173" s="301" t="s">
        <v>5168</v>
      </c>
      <c r="D173" s="301" t="s">
        <v>556</v>
      </c>
      <c r="E173" s="300" t="s">
        <v>357</v>
      </c>
      <c r="F173" s="289" t="s">
        <v>5169</v>
      </c>
      <c r="G173" s="290" t="s">
        <v>2713</v>
      </c>
      <c r="H173" s="295" t="s">
        <v>5170</v>
      </c>
      <c r="I173" s="295" t="s">
        <v>556</v>
      </c>
      <c r="J173" s="302"/>
      <c r="K173" s="303"/>
      <c r="L173" s="304"/>
    </row>
    <row r="174">
      <c r="A174" s="299" t="s">
        <v>171</v>
      </c>
      <c r="B174" s="300" t="s">
        <v>3205</v>
      </c>
      <c r="C174" s="301" t="s">
        <v>3206</v>
      </c>
      <c r="D174" s="301" t="s">
        <v>556</v>
      </c>
      <c r="E174" s="300" t="s">
        <v>4724</v>
      </c>
      <c r="F174" s="289" t="s">
        <v>5171</v>
      </c>
      <c r="G174" s="296" t="s">
        <v>24</v>
      </c>
      <c r="H174" s="289" t="s">
        <v>40</v>
      </c>
      <c r="I174" s="291" t="s">
        <v>5172</v>
      </c>
      <c r="J174" s="302"/>
      <c r="K174" s="303"/>
      <c r="L174" s="304"/>
    </row>
  </sheetData>
  <dataValidations>
    <dataValidation type="list" allowBlank="1" showErrorMessage="1" sqref="A2:A174">
      <formula1>"Urgente,Mediana,Normal,Análise Concluída,Falta Tutoria,Falta Documentação,Falta Financeiro,Falta Plataforma,Aluno certificado,Aluno no Setor de Cobrança,Processo de certificação,Falta extensão,Aguardando Gringa voltar,Analisando Caso"</formula1>
    </dataValidation>
  </dataValidations>
  <printOptions gridLines="1" horizontalCentered="1"/>
  <pageMargins bottom="0.75" footer="0.0" header="0.0" left="0.7" right="0.7" top="0.75"/>
  <pageSetup fitToHeight="0" paperSize="9" cellComments="atEnd" orientation="landscape" pageOrder="overThenDown"/>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30.38"/>
    <col customWidth="1" min="2" max="2" width="40.0"/>
    <col customWidth="1" min="3" max="4" width="26.5"/>
    <col customWidth="1" min="5" max="5" width="29.38"/>
    <col customWidth="1" min="6" max="7" width="98.75"/>
    <col customWidth="1" min="8" max="8" width="34.5"/>
    <col customWidth="1" min="9" max="9" width="56.75"/>
    <col customWidth="1" min="10" max="10" width="39.88"/>
  </cols>
  <sheetData>
    <row r="1" ht="43.5" customHeight="1">
      <c r="A1" s="307" t="s">
        <v>5173</v>
      </c>
      <c r="B1" s="307" t="s">
        <v>2</v>
      </c>
      <c r="C1" s="307" t="s">
        <v>1384</v>
      </c>
      <c r="D1" s="307" t="s">
        <v>5174</v>
      </c>
      <c r="E1" s="308" t="s">
        <v>4</v>
      </c>
      <c r="F1" s="307" t="s">
        <v>568</v>
      </c>
      <c r="G1" s="307" t="s">
        <v>569</v>
      </c>
      <c r="H1" s="307" t="s">
        <v>5175</v>
      </c>
      <c r="I1" s="307" t="s">
        <v>5176</v>
      </c>
      <c r="J1" s="307" t="s">
        <v>572</v>
      </c>
    </row>
    <row r="2" ht="15.0" customHeight="1">
      <c r="A2" s="309" t="s">
        <v>171</v>
      </c>
      <c r="B2" s="310" t="s">
        <v>5177</v>
      </c>
      <c r="C2" s="311" t="s">
        <v>5178</v>
      </c>
      <c r="D2" s="311" t="s">
        <v>5179</v>
      </c>
      <c r="E2" s="312" t="s">
        <v>1040</v>
      </c>
      <c r="F2" s="313" t="s">
        <v>4982</v>
      </c>
      <c r="G2" s="311" t="s">
        <v>5180</v>
      </c>
      <c r="H2" s="314" t="s">
        <v>5181</v>
      </c>
      <c r="I2" s="315" t="s">
        <v>5182</v>
      </c>
      <c r="J2" s="316"/>
    </row>
    <row r="3">
      <c r="A3" s="309" t="s">
        <v>149</v>
      </c>
      <c r="B3" s="310" t="s">
        <v>4011</v>
      </c>
      <c r="C3" s="311" t="s">
        <v>4012</v>
      </c>
      <c r="D3" s="311" t="s">
        <v>5179</v>
      </c>
      <c r="E3" s="312" t="s">
        <v>1673</v>
      </c>
      <c r="F3" s="313" t="s">
        <v>5183</v>
      </c>
      <c r="G3" s="311" t="s">
        <v>2713</v>
      </c>
      <c r="H3" s="314" t="s">
        <v>5181</v>
      </c>
      <c r="I3" s="315" t="s">
        <v>5184</v>
      </c>
      <c r="J3" s="316"/>
    </row>
    <row r="4">
      <c r="A4" s="309" t="s">
        <v>171</v>
      </c>
      <c r="B4" s="310" t="s">
        <v>5185</v>
      </c>
      <c r="C4" s="311" t="s">
        <v>5186</v>
      </c>
      <c r="D4" s="311" t="s">
        <v>5179</v>
      </c>
      <c r="E4" s="312" t="s">
        <v>1673</v>
      </c>
      <c r="F4" s="313" t="s">
        <v>5187</v>
      </c>
      <c r="G4" s="311" t="s">
        <v>2686</v>
      </c>
      <c r="H4" s="317" t="s">
        <v>2686</v>
      </c>
      <c r="I4" s="317" t="s">
        <v>556</v>
      </c>
      <c r="J4" s="316"/>
    </row>
    <row r="5">
      <c r="A5" s="309" t="s">
        <v>171</v>
      </c>
      <c r="B5" s="310" t="s">
        <v>5188</v>
      </c>
      <c r="C5" s="311" t="s">
        <v>5189</v>
      </c>
      <c r="D5" s="311" t="s">
        <v>5179</v>
      </c>
      <c r="E5" s="312" t="s">
        <v>1040</v>
      </c>
      <c r="F5" s="313" t="s">
        <v>5190</v>
      </c>
      <c r="G5" s="311" t="s">
        <v>1383</v>
      </c>
      <c r="H5" s="314" t="s">
        <v>5181</v>
      </c>
      <c r="I5" s="314" t="s">
        <v>567</v>
      </c>
      <c r="J5" s="316"/>
    </row>
    <row r="6">
      <c r="A6" s="309" t="s">
        <v>171</v>
      </c>
      <c r="B6" s="310" t="s">
        <v>5191</v>
      </c>
      <c r="C6" s="311" t="s">
        <v>5192</v>
      </c>
      <c r="D6" s="311" t="s">
        <v>5193</v>
      </c>
      <c r="E6" s="312" t="s">
        <v>5194</v>
      </c>
      <c r="F6" s="313" t="s">
        <v>5195</v>
      </c>
      <c r="G6" s="311" t="s">
        <v>2713</v>
      </c>
      <c r="H6" s="314" t="s">
        <v>5181</v>
      </c>
      <c r="I6" s="315" t="s">
        <v>5196</v>
      </c>
      <c r="J6" s="316"/>
    </row>
    <row r="7">
      <c r="A7" s="309" t="s">
        <v>171</v>
      </c>
      <c r="B7" s="310" t="s">
        <v>5197</v>
      </c>
      <c r="C7" s="311" t="s">
        <v>5198</v>
      </c>
      <c r="D7" s="311" t="s">
        <v>5199</v>
      </c>
      <c r="E7" s="312" t="s">
        <v>5200</v>
      </c>
      <c r="F7" s="313" t="s">
        <v>5157</v>
      </c>
      <c r="G7" s="311" t="s">
        <v>2713</v>
      </c>
      <c r="H7" s="314" t="s">
        <v>5181</v>
      </c>
      <c r="I7" s="314" t="s">
        <v>1398</v>
      </c>
      <c r="J7" s="316"/>
    </row>
    <row r="8">
      <c r="A8" s="309" t="s">
        <v>171</v>
      </c>
      <c r="B8" s="310" t="s">
        <v>5201</v>
      </c>
      <c r="C8" s="311" t="s">
        <v>5202</v>
      </c>
      <c r="D8" s="311" t="s">
        <v>5203</v>
      </c>
      <c r="E8" s="312" t="s">
        <v>996</v>
      </c>
      <c r="F8" s="313" t="s">
        <v>5204</v>
      </c>
      <c r="G8" s="311" t="s">
        <v>5180</v>
      </c>
      <c r="H8" s="317" t="s">
        <v>5205</v>
      </c>
      <c r="I8" s="315" t="s">
        <v>5206</v>
      </c>
      <c r="J8" s="316"/>
    </row>
    <row r="9">
      <c r="A9" s="309" t="s">
        <v>171</v>
      </c>
      <c r="B9" s="310" t="s">
        <v>5207</v>
      </c>
      <c r="C9" s="311" t="s">
        <v>5208</v>
      </c>
      <c r="D9" s="311" t="s">
        <v>5203</v>
      </c>
      <c r="E9" s="312" t="s">
        <v>5209</v>
      </c>
      <c r="F9" s="313" t="s">
        <v>5210</v>
      </c>
      <c r="G9" s="311" t="s">
        <v>5180</v>
      </c>
      <c r="H9" s="314" t="s">
        <v>5181</v>
      </c>
      <c r="I9" s="314" t="s">
        <v>5211</v>
      </c>
      <c r="J9" s="316"/>
    </row>
    <row r="10">
      <c r="A10" s="309" t="s">
        <v>171</v>
      </c>
      <c r="B10" s="310" t="s">
        <v>5212</v>
      </c>
      <c r="C10" s="311" t="s">
        <v>5213</v>
      </c>
      <c r="D10" s="311" t="s">
        <v>5203</v>
      </c>
      <c r="E10" s="312" t="s">
        <v>996</v>
      </c>
      <c r="F10" s="313" t="s">
        <v>5214</v>
      </c>
      <c r="G10" s="311" t="s">
        <v>1383</v>
      </c>
      <c r="H10" s="314" t="s">
        <v>5181</v>
      </c>
      <c r="I10" s="317" t="s">
        <v>556</v>
      </c>
      <c r="J10" s="316"/>
    </row>
    <row r="11">
      <c r="A11" s="309" t="s">
        <v>171</v>
      </c>
      <c r="B11" s="310" t="s">
        <v>5212</v>
      </c>
      <c r="C11" s="311" t="s">
        <v>5213</v>
      </c>
      <c r="D11" s="311" t="s">
        <v>5203</v>
      </c>
      <c r="E11" s="312" t="s">
        <v>5215</v>
      </c>
      <c r="F11" s="313" t="s">
        <v>5214</v>
      </c>
      <c r="G11" s="311" t="s">
        <v>1383</v>
      </c>
      <c r="H11" s="314" t="s">
        <v>5181</v>
      </c>
      <c r="I11" s="317" t="s">
        <v>556</v>
      </c>
      <c r="J11" s="316"/>
    </row>
    <row r="12">
      <c r="A12" s="309" t="s">
        <v>171</v>
      </c>
      <c r="B12" s="310" t="s">
        <v>5216</v>
      </c>
      <c r="C12" s="311" t="s">
        <v>5217</v>
      </c>
      <c r="D12" s="311" t="s">
        <v>5199</v>
      </c>
      <c r="E12" s="312" t="s">
        <v>5218</v>
      </c>
      <c r="F12" s="313" t="s">
        <v>5219</v>
      </c>
      <c r="G12" s="318" t="s">
        <v>1383</v>
      </c>
      <c r="H12" s="314" t="s">
        <v>5181</v>
      </c>
      <c r="I12" s="315" t="s">
        <v>5220</v>
      </c>
      <c r="J12" s="316"/>
    </row>
    <row r="13">
      <c r="A13" s="309" t="s">
        <v>171</v>
      </c>
      <c r="B13" s="310" t="s">
        <v>5221</v>
      </c>
      <c r="C13" s="311" t="s">
        <v>5222</v>
      </c>
      <c r="D13" s="311" t="s">
        <v>5223</v>
      </c>
      <c r="E13" s="312" t="s">
        <v>116</v>
      </c>
      <c r="F13" s="313" t="s">
        <v>5224</v>
      </c>
      <c r="G13" s="311" t="s">
        <v>1383</v>
      </c>
      <c r="H13" s="317" t="s">
        <v>5205</v>
      </c>
      <c r="I13" s="314" t="s">
        <v>1398</v>
      </c>
      <c r="J13" s="316"/>
    </row>
    <row r="14">
      <c r="A14" s="319" t="s">
        <v>171</v>
      </c>
      <c r="B14" s="320" t="s">
        <v>5225</v>
      </c>
      <c r="C14" s="311" t="s">
        <v>5226</v>
      </c>
      <c r="D14" s="321" t="s">
        <v>5199</v>
      </c>
      <c r="E14" s="322" t="s">
        <v>5227</v>
      </c>
      <c r="F14" s="323" t="s">
        <v>5228</v>
      </c>
      <c r="G14" s="321" t="s">
        <v>1383</v>
      </c>
      <c r="H14" s="314" t="s">
        <v>5181</v>
      </c>
      <c r="I14" s="314" t="s">
        <v>1398</v>
      </c>
      <c r="J14" s="324"/>
    </row>
    <row r="15">
      <c r="A15" s="319" t="s">
        <v>171</v>
      </c>
      <c r="B15" s="320" t="s">
        <v>4088</v>
      </c>
      <c r="C15" s="311" t="s">
        <v>4089</v>
      </c>
      <c r="D15" s="321" t="s">
        <v>5179</v>
      </c>
      <c r="E15" s="322" t="s">
        <v>1040</v>
      </c>
      <c r="F15" s="323" t="s">
        <v>5229</v>
      </c>
      <c r="G15" s="321" t="s">
        <v>1383</v>
      </c>
      <c r="H15" s="314" t="s">
        <v>5181</v>
      </c>
      <c r="I15" s="325" t="s">
        <v>5230</v>
      </c>
      <c r="J15" s="324"/>
    </row>
    <row r="16">
      <c r="A16" s="319" t="s">
        <v>171</v>
      </c>
      <c r="B16" s="320" t="s">
        <v>5231</v>
      </c>
      <c r="C16" s="311" t="s">
        <v>5232</v>
      </c>
      <c r="D16" s="321" t="s">
        <v>5179</v>
      </c>
      <c r="E16" s="322" t="s">
        <v>1673</v>
      </c>
      <c r="F16" s="323" t="s">
        <v>5233</v>
      </c>
      <c r="G16" s="321" t="s">
        <v>5180</v>
      </c>
      <c r="H16" s="314" t="s">
        <v>5181</v>
      </c>
      <c r="I16" s="315" t="s">
        <v>5234</v>
      </c>
      <c r="J16" s="324"/>
    </row>
    <row r="17">
      <c r="A17" s="319" t="s">
        <v>171</v>
      </c>
      <c r="B17" s="320" t="s">
        <v>5235</v>
      </c>
      <c r="C17" s="311" t="s">
        <v>5236</v>
      </c>
      <c r="D17" s="321" t="s">
        <v>5199</v>
      </c>
      <c r="E17" s="322" t="s">
        <v>5237</v>
      </c>
      <c r="F17" s="323" t="s">
        <v>5238</v>
      </c>
      <c r="G17" s="321" t="s">
        <v>5180</v>
      </c>
      <c r="H17" s="314" t="s">
        <v>5181</v>
      </c>
      <c r="I17" s="314" t="s">
        <v>1398</v>
      </c>
      <c r="J17" s="324" t="str">
        <f>IF(AND(
  OR(ISNUMBER(FIND("quitado",LOWER(F3))), ISNUMBER(FIND("quitada",LOWER(F3)))),
  G3="Entregue e Deferida",
  OR(ISNUMBER(FIND("aprovado",LOWER(H3))), ISNUMBER(FIND("aprovada",LOWER(H3)))),
  OR(ISNUMBER(FIND("aprovado",LOWER(I3))), ISNUMBER(FIND("aprovada",LOWER(I3))), ISNUMBER(FIND("não exige",LOWER(I3))))
),
"Análise Concluída",
"")
</f>
        <v/>
      </c>
    </row>
    <row r="18">
      <c r="A18" s="319" t="s">
        <v>171</v>
      </c>
      <c r="B18" s="320" t="s">
        <v>5239</v>
      </c>
      <c r="C18" s="311" t="s">
        <v>5240</v>
      </c>
      <c r="D18" s="321" t="s">
        <v>5203</v>
      </c>
      <c r="E18" s="322" t="s">
        <v>1040</v>
      </c>
      <c r="F18" s="323" t="s">
        <v>5241</v>
      </c>
      <c r="G18" s="321" t="s">
        <v>2713</v>
      </c>
      <c r="H18" s="317" t="s">
        <v>736</v>
      </c>
      <c r="I18" s="317" t="s">
        <v>556</v>
      </c>
      <c r="J18" s="324"/>
    </row>
    <row r="19">
      <c r="A19" s="319" t="s">
        <v>171</v>
      </c>
      <c r="B19" s="320" t="s">
        <v>5242</v>
      </c>
      <c r="C19" s="311" t="s">
        <v>5243</v>
      </c>
      <c r="D19" s="321" t="s">
        <v>5203</v>
      </c>
      <c r="E19" s="322" t="s">
        <v>5244</v>
      </c>
      <c r="F19" s="323" t="s">
        <v>5245</v>
      </c>
      <c r="G19" s="321" t="s">
        <v>1383</v>
      </c>
      <c r="H19" s="314" t="s">
        <v>5181</v>
      </c>
      <c r="I19" s="326" t="s">
        <v>5246</v>
      </c>
      <c r="J19" s="324"/>
    </row>
    <row r="20">
      <c r="A20" s="319" t="s">
        <v>171</v>
      </c>
      <c r="B20" s="320" t="s">
        <v>5242</v>
      </c>
      <c r="C20" s="311" t="s">
        <v>5247</v>
      </c>
      <c r="D20" s="321" t="s">
        <v>5199</v>
      </c>
      <c r="E20" s="322" t="s">
        <v>5200</v>
      </c>
      <c r="F20" s="323" t="s">
        <v>5248</v>
      </c>
      <c r="G20" s="321" t="s">
        <v>1383</v>
      </c>
      <c r="H20" s="317" t="s">
        <v>5249</v>
      </c>
      <c r="I20" s="314" t="s">
        <v>1398</v>
      </c>
      <c r="J20" s="324"/>
    </row>
    <row r="22">
      <c r="A22" s="319" t="s">
        <v>171</v>
      </c>
      <c r="B22" s="320" t="s">
        <v>5250</v>
      </c>
      <c r="C22" s="311" t="s">
        <v>5251</v>
      </c>
      <c r="D22" s="321" t="s">
        <v>5223</v>
      </c>
      <c r="E22" s="322" t="s">
        <v>116</v>
      </c>
      <c r="F22" s="327" t="s">
        <v>5252</v>
      </c>
      <c r="G22" s="321" t="s">
        <v>1383</v>
      </c>
      <c r="H22" s="314" t="s">
        <v>5181</v>
      </c>
      <c r="I22" s="328" t="s">
        <v>1398</v>
      </c>
      <c r="J22" s="324"/>
    </row>
    <row r="23">
      <c r="A23" s="319" t="s">
        <v>171</v>
      </c>
      <c r="B23" s="320" t="s">
        <v>5253</v>
      </c>
      <c r="C23" s="311" t="s">
        <v>3170</v>
      </c>
      <c r="D23" s="321" t="s">
        <v>5179</v>
      </c>
      <c r="E23" s="322" t="s">
        <v>1673</v>
      </c>
      <c r="F23" s="323" t="s">
        <v>5254</v>
      </c>
      <c r="G23" s="321" t="s">
        <v>1383</v>
      </c>
      <c r="H23" s="314" t="s">
        <v>5181</v>
      </c>
      <c r="I23" s="326" t="s">
        <v>5255</v>
      </c>
      <c r="J23" s="322" t="s">
        <v>4300</v>
      </c>
    </row>
    <row r="24">
      <c r="A24" s="319" t="s">
        <v>171</v>
      </c>
      <c r="B24" s="320" t="s">
        <v>2147</v>
      </c>
      <c r="C24" s="311" t="s">
        <v>2148</v>
      </c>
      <c r="D24" s="321" t="s">
        <v>5199</v>
      </c>
      <c r="E24" s="322" t="s">
        <v>5256</v>
      </c>
      <c r="F24" s="323" t="s">
        <v>5257</v>
      </c>
      <c r="G24" s="321" t="s">
        <v>5180</v>
      </c>
      <c r="H24" s="314" t="s">
        <v>5181</v>
      </c>
      <c r="I24" s="325" t="s">
        <v>556</v>
      </c>
      <c r="J24" s="324"/>
    </row>
    <row r="25">
      <c r="A25" s="320" t="s">
        <v>171</v>
      </c>
      <c r="B25" s="320" t="s">
        <v>2147</v>
      </c>
      <c r="C25" s="311" t="s">
        <v>2148</v>
      </c>
      <c r="D25" s="321" t="s">
        <v>5199</v>
      </c>
      <c r="E25" s="320" t="s">
        <v>116</v>
      </c>
      <c r="F25" s="328" t="s">
        <v>5257</v>
      </c>
      <c r="G25" s="321" t="s">
        <v>5180</v>
      </c>
      <c r="H25" s="314" t="s">
        <v>5181</v>
      </c>
      <c r="I25" s="314" t="s">
        <v>1398</v>
      </c>
      <c r="J25" s="320"/>
    </row>
    <row r="26">
      <c r="A26" s="319" t="s">
        <v>171</v>
      </c>
      <c r="B26" s="320" t="s">
        <v>5258</v>
      </c>
      <c r="C26" s="311" t="s">
        <v>5259</v>
      </c>
      <c r="D26" s="321" t="s">
        <v>5223</v>
      </c>
      <c r="E26" s="322" t="s">
        <v>5260</v>
      </c>
      <c r="F26" s="327" t="s">
        <v>5261</v>
      </c>
      <c r="G26" s="321" t="s">
        <v>5180</v>
      </c>
      <c r="H26" s="314" t="s">
        <v>5181</v>
      </c>
      <c r="I26" s="314" t="s">
        <v>1398</v>
      </c>
      <c r="J26" s="320" t="s">
        <v>5262</v>
      </c>
    </row>
    <row r="27">
      <c r="A27" s="319" t="s">
        <v>171</v>
      </c>
      <c r="B27" s="320" t="s">
        <v>5263</v>
      </c>
      <c r="C27" s="311" t="s">
        <v>4788</v>
      </c>
      <c r="D27" s="321" t="s">
        <v>5203</v>
      </c>
      <c r="E27" s="322" t="s">
        <v>5264</v>
      </c>
      <c r="F27" s="323" t="s">
        <v>4790</v>
      </c>
      <c r="G27" s="321" t="s">
        <v>5180</v>
      </c>
      <c r="H27" s="314" t="s">
        <v>5181</v>
      </c>
      <c r="I27" s="314" t="s">
        <v>567</v>
      </c>
      <c r="J27" s="324"/>
    </row>
    <row r="28">
      <c r="A28" s="319" t="s">
        <v>171</v>
      </c>
      <c r="B28" s="320" t="s">
        <v>4870</v>
      </c>
      <c r="C28" s="311" t="s">
        <v>4871</v>
      </c>
      <c r="D28" s="321" t="s">
        <v>5199</v>
      </c>
      <c r="E28" s="322" t="s">
        <v>5265</v>
      </c>
      <c r="F28" s="323" t="s">
        <v>5266</v>
      </c>
      <c r="G28" s="321" t="s">
        <v>5180</v>
      </c>
      <c r="H28" s="314" t="s">
        <v>5181</v>
      </c>
      <c r="I28" s="325" t="s">
        <v>5267</v>
      </c>
      <c r="J28" s="324"/>
    </row>
    <row r="29">
      <c r="A29" s="319" t="s">
        <v>171</v>
      </c>
      <c r="B29" s="320" t="s">
        <v>5268</v>
      </c>
      <c r="C29" s="311" t="s">
        <v>5269</v>
      </c>
      <c r="D29" s="321" t="s">
        <v>5199</v>
      </c>
      <c r="E29" s="322" t="s">
        <v>116</v>
      </c>
      <c r="F29" s="327" t="s">
        <v>5270</v>
      </c>
      <c r="G29" s="321" t="s">
        <v>2713</v>
      </c>
      <c r="H29" s="325" t="s">
        <v>5271</v>
      </c>
      <c r="I29" s="314" t="s">
        <v>1398</v>
      </c>
      <c r="J29" s="324"/>
    </row>
    <row r="30">
      <c r="A30" s="319" t="s">
        <v>171</v>
      </c>
      <c r="B30" s="320" t="s">
        <v>5272</v>
      </c>
      <c r="C30" s="311" t="s">
        <v>5273</v>
      </c>
      <c r="D30" s="321" t="s">
        <v>5274</v>
      </c>
      <c r="E30" s="322" t="s">
        <v>629</v>
      </c>
      <c r="F30" s="323" t="s">
        <v>5275</v>
      </c>
      <c r="G30" s="321" t="s">
        <v>1383</v>
      </c>
      <c r="H30" s="325" t="s">
        <v>5205</v>
      </c>
      <c r="I30" s="325" t="s">
        <v>556</v>
      </c>
      <c r="J30" s="326" t="s">
        <v>5276</v>
      </c>
    </row>
    <row r="31">
      <c r="A31" s="319" t="s">
        <v>171</v>
      </c>
      <c r="B31" s="320" t="s">
        <v>5277</v>
      </c>
      <c r="C31" s="311" t="s">
        <v>5278</v>
      </c>
      <c r="D31" s="321" t="s">
        <v>5203</v>
      </c>
      <c r="E31" s="322" t="s">
        <v>1040</v>
      </c>
      <c r="F31" s="327" t="s">
        <v>5279</v>
      </c>
      <c r="G31" s="321" t="s">
        <v>2713</v>
      </c>
      <c r="H31" s="325" t="s">
        <v>5205</v>
      </c>
      <c r="I31" s="325" t="s">
        <v>556</v>
      </c>
      <c r="J31" s="324"/>
    </row>
    <row r="32">
      <c r="A32" s="319" t="s">
        <v>171</v>
      </c>
      <c r="B32" s="320" t="s">
        <v>1023</v>
      </c>
      <c r="C32" s="311" t="s">
        <v>5280</v>
      </c>
      <c r="D32" s="321" t="s">
        <v>5199</v>
      </c>
      <c r="E32" s="322" t="s">
        <v>116</v>
      </c>
      <c r="F32" s="323" t="s">
        <v>5281</v>
      </c>
      <c r="G32" s="321" t="s">
        <v>5180</v>
      </c>
      <c r="H32" s="314" t="s">
        <v>5181</v>
      </c>
      <c r="I32" s="314" t="s">
        <v>1398</v>
      </c>
      <c r="J32" s="324"/>
    </row>
    <row r="33">
      <c r="A33" s="319" t="s">
        <v>171</v>
      </c>
      <c r="B33" s="320" t="s">
        <v>5282</v>
      </c>
      <c r="C33" s="311" t="s">
        <v>5283</v>
      </c>
      <c r="D33" s="321" t="s">
        <v>5284</v>
      </c>
      <c r="E33" s="322" t="s">
        <v>1673</v>
      </c>
      <c r="F33" s="323" t="s">
        <v>5285</v>
      </c>
      <c r="G33" s="321" t="s">
        <v>1383</v>
      </c>
      <c r="H33" s="314" t="s">
        <v>5181</v>
      </c>
      <c r="I33" s="329" t="s">
        <v>5286</v>
      </c>
      <c r="J33" s="324"/>
    </row>
    <row r="34">
      <c r="A34" s="319" t="s">
        <v>171</v>
      </c>
      <c r="B34" s="320" t="s">
        <v>5287</v>
      </c>
      <c r="C34" s="311" t="s">
        <v>5288</v>
      </c>
      <c r="D34" s="321" t="s">
        <v>5274</v>
      </c>
      <c r="E34" s="322" t="s">
        <v>629</v>
      </c>
      <c r="F34" s="323" t="s">
        <v>5289</v>
      </c>
      <c r="G34" s="321" t="s">
        <v>1383</v>
      </c>
      <c r="H34" s="325" t="s">
        <v>556</v>
      </c>
      <c r="I34" s="325" t="s">
        <v>556</v>
      </c>
      <c r="J34" s="326" t="s">
        <v>5290</v>
      </c>
    </row>
    <row r="35">
      <c r="A35" s="319" t="s">
        <v>171</v>
      </c>
      <c r="B35" s="320" t="s">
        <v>5291</v>
      </c>
      <c r="C35" s="311" t="s">
        <v>5292</v>
      </c>
      <c r="D35" s="321" t="s">
        <v>5179</v>
      </c>
      <c r="E35" s="322" t="s">
        <v>1673</v>
      </c>
      <c r="F35" s="327" t="s">
        <v>5293</v>
      </c>
      <c r="G35" s="321" t="s">
        <v>1383</v>
      </c>
      <c r="H35" s="314" t="s">
        <v>5181</v>
      </c>
      <c r="I35" s="326" t="s">
        <v>5294</v>
      </c>
      <c r="J35" s="324"/>
    </row>
    <row r="36">
      <c r="A36" s="319" t="s">
        <v>171</v>
      </c>
      <c r="B36" s="320" t="s">
        <v>4494</v>
      </c>
      <c r="C36" s="311" t="s">
        <v>5295</v>
      </c>
      <c r="D36" s="321" t="s">
        <v>5203</v>
      </c>
      <c r="E36" s="322" t="s">
        <v>5296</v>
      </c>
      <c r="F36" s="323" t="s">
        <v>5297</v>
      </c>
      <c r="G36" s="321" t="s">
        <v>5180</v>
      </c>
      <c r="H36" s="314" t="s">
        <v>5181</v>
      </c>
      <c r="I36" s="328" t="s">
        <v>5298</v>
      </c>
      <c r="J36" s="324"/>
    </row>
    <row r="37">
      <c r="A37" s="319" t="s">
        <v>171</v>
      </c>
      <c r="B37" s="320" t="s">
        <v>5299</v>
      </c>
      <c r="C37" s="311" t="s">
        <v>5300</v>
      </c>
      <c r="D37" s="321" t="s">
        <v>5179</v>
      </c>
      <c r="E37" s="322" t="s">
        <v>1673</v>
      </c>
      <c r="F37" s="323" t="s">
        <v>5301</v>
      </c>
      <c r="G37" s="321" t="s">
        <v>1383</v>
      </c>
      <c r="H37" s="314" t="s">
        <v>5181</v>
      </c>
      <c r="I37" s="326" t="s">
        <v>5255</v>
      </c>
      <c r="J37" s="324"/>
    </row>
    <row r="38">
      <c r="A38" s="319" t="s">
        <v>171</v>
      </c>
      <c r="B38" s="320" t="s">
        <v>4547</v>
      </c>
      <c r="C38" s="311" t="s">
        <v>4548</v>
      </c>
      <c r="D38" s="321" t="s">
        <v>5179</v>
      </c>
      <c r="E38" s="322" t="s">
        <v>5209</v>
      </c>
      <c r="F38" s="323" t="s">
        <v>5302</v>
      </c>
      <c r="G38" s="321" t="s">
        <v>2713</v>
      </c>
      <c r="H38" s="314" t="s">
        <v>5181</v>
      </c>
      <c r="I38" s="329" t="s">
        <v>5303</v>
      </c>
      <c r="J38" s="324"/>
    </row>
    <row r="39">
      <c r="A39" s="319" t="s">
        <v>171</v>
      </c>
      <c r="B39" s="320" t="s">
        <v>5304</v>
      </c>
      <c r="C39" s="311" t="s">
        <v>5305</v>
      </c>
      <c r="D39" s="321" t="s">
        <v>5179</v>
      </c>
      <c r="E39" s="322" t="s">
        <v>1040</v>
      </c>
      <c r="F39" s="323" t="s">
        <v>5306</v>
      </c>
      <c r="G39" s="321" t="s">
        <v>2713</v>
      </c>
      <c r="H39" s="325" t="s">
        <v>2648</v>
      </c>
      <c r="I39" s="325" t="s">
        <v>556</v>
      </c>
      <c r="J39" s="324"/>
    </row>
    <row r="40">
      <c r="A40" s="319" t="s">
        <v>171</v>
      </c>
      <c r="B40" s="320" t="s">
        <v>5307</v>
      </c>
      <c r="C40" s="311" t="s">
        <v>5308</v>
      </c>
      <c r="D40" s="321" t="s">
        <v>5199</v>
      </c>
      <c r="E40" s="322" t="s">
        <v>116</v>
      </c>
      <c r="F40" s="323" t="s">
        <v>5309</v>
      </c>
      <c r="G40" s="321" t="s">
        <v>2713</v>
      </c>
      <c r="H40" s="325" t="s">
        <v>5310</v>
      </c>
      <c r="I40" s="328" t="s">
        <v>1398</v>
      </c>
      <c r="J40" s="324"/>
    </row>
    <row r="41">
      <c r="A41" s="319" t="s">
        <v>171</v>
      </c>
      <c r="B41" s="320" t="s">
        <v>5311</v>
      </c>
      <c r="C41" s="311" t="s">
        <v>5312</v>
      </c>
      <c r="D41" s="321" t="s">
        <v>5179</v>
      </c>
      <c r="E41" s="322" t="s">
        <v>1040</v>
      </c>
      <c r="F41" s="323" t="s">
        <v>5313</v>
      </c>
      <c r="G41" s="321" t="s">
        <v>2686</v>
      </c>
      <c r="H41" s="325" t="s">
        <v>5314</v>
      </c>
      <c r="I41" s="325" t="s">
        <v>556</v>
      </c>
      <c r="J41" s="324"/>
    </row>
    <row r="42">
      <c r="A42" s="319" t="s">
        <v>171</v>
      </c>
      <c r="B42" s="320" t="s">
        <v>5315</v>
      </c>
      <c r="C42" s="311" t="s">
        <v>5316</v>
      </c>
      <c r="D42" s="321" t="s">
        <v>5223</v>
      </c>
      <c r="E42" s="322" t="s">
        <v>116</v>
      </c>
      <c r="F42" s="327" t="s">
        <v>5317</v>
      </c>
      <c r="G42" s="321" t="s">
        <v>2686</v>
      </c>
      <c r="H42" s="314" t="s">
        <v>5181</v>
      </c>
      <c r="I42" s="328" t="s">
        <v>1398</v>
      </c>
      <c r="J42" s="324"/>
    </row>
    <row r="43">
      <c r="A43" s="319" t="s">
        <v>171</v>
      </c>
      <c r="B43" s="320" t="s">
        <v>5318</v>
      </c>
      <c r="C43" s="311" t="s">
        <v>5319</v>
      </c>
      <c r="D43" s="321" t="s">
        <v>5284</v>
      </c>
      <c r="E43" s="322" t="s">
        <v>1040</v>
      </c>
      <c r="F43" s="323" t="s">
        <v>5320</v>
      </c>
      <c r="G43" s="321" t="s">
        <v>5180</v>
      </c>
      <c r="H43" s="314" t="s">
        <v>5181</v>
      </c>
      <c r="I43" s="328" t="s">
        <v>103</v>
      </c>
      <c r="J43" s="324"/>
    </row>
    <row r="44">
      <c r="A44" s="319" t="s">
        <v>1562</v>
      </c>
      <c r="B44" s="320" t="s">
        <v>5321</v>
      </c>
      <c r="C44" s="311" t="s">
        <v>5322</v>
      </c>
      <c r="D44" s="330"/>
      <c r="E44" s="331"/>
      <c r="F44" s="332" t="s">
        <v>5323</v>
      </c>
      <c r="G44" s="321" t="s">
        <v>5324</v>
      </c>
      <c r="H44" s="324"/>
      <c r="I44" s="324"/>
      <c r="J44" s="324"/>
    </row>
    <row r="45">
      <c r="A45" s="319" t="s">
        <v>743</v>
      </c>
      <c r="B45" s="320" t="s">
        <v>1055</v>
      </c>
      <c r="C45" s="311" t="s">
        <v>5325</v>
      </c>
      <c r="D45" s="321" t="s">
        <v>5199</v>
      </c>
      <c r="E45" s="322" t="s">
        <v>5326</v>
      </c>
      <c r="F45" s="332" t="s">
        <v>5327</v>
      </c>
      <c r="G45" s="321" t="s">
        <v>5324</v>
      </c>
      <c r="H45" s="324"/>
      <c r="I45" s="328" t="s">
        <v>567</v>
      </c>
      <c r="J45" s="324"/>
    </row>
    <row r="46">
      <c r="A46" s="319" t="s">
        <v>743</v>
      </c>
      <c r="B46" s="320" t="s">
        <v>5328</v>
      </c>
      <c r="C46" s="311" t="s">
        <v>5329</v>
      </c>
      <c r="D46" s="321" t="s">
        <v>5203</v>
      </c>
      <c r="E46" s="322" t="s">
        <v>1673</v>
      </c>
      <c r="F46" s="323" t="s">
        <v>5330</v>
      </c>
      <c r="G46" s="321" t="s">
        <v>5324</v>
      </c>
      <c r="H46" s="324"/>
      <c r="I46" s="326" t="s">
        <v>5182</v>
      </c>
      <c r="J46" s="324"/>
    </row>
    <row r="47">
      <c r="A47" s="319" t="s">
        <v>171</v>
      </c>
      <c r="B47" s="320" t="s">
        <v>4426</v>
      </c>
      <c r="C47" s="311" t="s">
        <v>4427</v>
      </c>
      <c r="D47" s="321" t="s">
        <v>5203</v>
      </c>
      <c r="E47" s="322" t="s">
        <v>5331</v>
      </c>
      <c r="F47" s="328" t="s">
        <v>5332</v>
      </c>
      <c r="G47" s="321" t="s">
        <v>5180</v>
      </c>
      <c r="H47" s="324"/>
      <c r="I47" s="326" t="s">
        <v>5333</v>
      </c>
      <c r="J47" s="324"/>
    </row>
    <row r="48">
      <c r="A48" s="319" t="s">
        <v>171</v>
      </c>
      <c r="B48" s="320" t="s">
        <v>5334</v>
      </c>
      <c r="C48" s="311" t="s">
        <v>5335</v>
      </c>
      <c r="D48" s="321" t="s">
        <v>5274</v>
      </c>
      <c r="E48" s="322" t="s">
        <v>629</v>
      </c>
      <c r="F48" s="327" t="s">
        <v>5336</v>
      </c>
      <c r="G48" s="321" t="s">
        <v>1383</v>
      </c>
      <c r="H48" s="325" t="s">
        <v>556</v>
      </c>
      <c r="I48" s="325" t="s">
        <v>556</v>
      </c>
      <c r="J48" s="326" t="s">
        <v>5337</v>
      </c>
    </row>
    <row r="49">
      <c r="A49" s="319" t="s">
        <v>743</v>
      </c>
      <c r="B49" s="320" t="s">
        <v>5338</v>
      </c>
      <c r="C49" s="311" t="s">
        <v>5339</v>
      </c>
      <c r="D49" s="321" t="s">
        <v>5199</v>
      </c>
      <c r="E49" s="331"/>
      <c r="F49" s="332" t="s">
        <v>5340</v>
      </c>
      <c r="G49" s="321" t="s">
        <v>5324</v>
      </c>
      <c r="H49" s="324"/>
      <c r="I49" s="324"/>
      <c r="J49" s="324"/>
    </row>
    <row r="50">
      <c r="A50" s="319" t="s">
        <v>743</v>
      </c>
      <c r="B50" s="320" t="s">
        <v>5341</v>
      </c>
      <c r="C50" s="333"/>
      <c r="D50" s="321" t="s">
        <v>5199</v>
      </c>
      <c r="E50" s="322"/>
      <c r="F50" s="332" t="s">
        <v>5342</v>
      </c>
      <c r="G50" s="321" t="s">
        <v>5180</v>
      </c>
      <c r="H50" s="324"/>
      <c r="I50" s="324"/>
      <c r="J50" s="324"/>
    </row>
    <row r="51">
      <c r="A51" s="319" t="s">
        <v>171</v>
      </c>
      <c r="B51" s="320" t="s">
        <v>5343</v>
      </c>
      <c r="C51" s="311" t="s">
        <v>5344</v>
      </c>
      <c r="D51" s="321" t="s">
        <v>5203</v>
      </c>
      <c r="E51" s="322" t="s">
        <v>5209</v>
      </c>
      <c r="F51" s="323" t="s">
        <v>5345</v>
      </c>
      <c r="G51" s="321" t="s">
        <v>5180</v>
      </c>
      <c r="H51" s="325" t="s">
        <v>5346</v>
      </c>
      <c r="I51" s="325" t="s">
        <v>556</v>
      </c>
      <c r="J51" s="324"/>
    </row>
    <row r="52">
      <c r="A52" s="319" t="s">
        <v>171</v>
      </c>
      <c r="B52" s="320" t="s">
        <v>5347</v>
      </c>
      <c r="C52" s="311" t="s">
        <v>5348</v>
      </c>
      <c r="D52" s="321" t="s">
        <v>5179</v>
      </c>
      <c r="E52" s="322" t="s">
        <v>1673</v>
      </c>
      <c r="F52" s="323" t="s">
        <v>5349</v>
      </c>
      <c r="G52" s="321" t="s">
        <v>2713</v>
      </c>
      <c r="H52" s="314" t="s">
        <v>5181</v>
      </c>
      <c r="I52" s="325" t="s">
        <v>556</v>
      </c>
      <c r="J52" s="324"/>
    </row>
    <row r="53">
      <c r="A53" s="319" t="s">
        <v>171</v>
      </c>
      <c r="B53" s="320" t="s">
        <v>5350</v>
      </c>
      <c r="C53" s="311" t="s">
        <v>5351</v>
      </c>
      <c r="D53" s="321" t="s">
        <v>5199</v>
      </c>
      <c r="E53" s="322" t="s">
        <v>5352</v>
      </c>
      <c r="F53" s="323" t="s">
        <v>5353</v>
      </c>
      <c r="G53" s="321" t="s">
        <v>2686</v>
      </c>
      <c r="H53" s="314" t="s">
        <v>5181</v>
      </c>
      <c r="I53" s="328" t="s">
        <v>1398</v>
      </c>
      <c r="J53" s="324"/>
    </row>
    <row r="54">
      <c r="A54" s="319" t="s">
        <v>171</v>
      </c>
      <c r="B54" s="320" t="s">
        <v>4300</v>
      </c>
      <c r="C54" s="311" t="s">
        <v>4301</v>
      </c>
      <c r="D54" s="321" t="s">
        <v>5179</v>
      </c>
      <c r="E54" s="322" t="s">
        <v>1040</v>
      </c>
      <c r="F54" s="323" t="s">
        <v>4303</v>
      </c>
      <c r="G54" s="321" t="s">
        <v>5180</v>
      </c>
      <c r="H54" s="314" t="s">
        <v>5181</v>
      </c>
      <c r="I54" s="328" t="s">
        <v>5354</v>
      </c>
      <c r="J54" s="324"/>
    </row>
    <row r="55">
      <c r="A55" s="319" t="s">
        <v>171</v>
      </c>
      <c r="B55" s="320" t="s">
        <v>5355</v>
      </c>
      <c r="C55" s="311" t="s">
        <v>1031</v>
      </c>
      <c r="D55" s="321" t="s">
        <v>5203</v>
      </c>
      <c r="E55" s="322" t="s">
        <v>5244</v>
      </c>
      <c r="F55" s="327" t="s">
        <v>5356</v>
      </c>
      <c r="G55" s="321" t="s">
        <v>2686</v>
      </c>
      <c r="H55" s="314" t="s">
        <v>5181</v>
      </c>
      <c r="I55" s="325" t="s">
        <v>556</v>
      </c>
      <c r="J55" s="324"/>
    </row>
    <row r="56">
      <c r="A56" s="319" t="s">
        <v>171</v>
      </c>
      <c r="B56" s="320" t="s">
        <v>5355</v>
      </c>
      <c r="C56" s="311" t="s">
        <v>1031</v>
      </c>
      <c r="D56" s="321" t="s">
        <v>5203</v>
      </c>
      <c r="E56" s="322" t="s">
        <v>5209</v>
      </c>
      <c r="F56" s="327" t="s">
        <v>5357</v>
      </c>
      <c r="G56" s="321" t="s">
        <v>2686</v>
      </c>
      <c r="H56" s="325" t="s">
        <v>5271</v>
      </c>
      <c r="I56" s="325" t="s">
        <v>556</v>
      </c>
      <c r="J56" s="324"/>
    </row>
    <row r="57">
      <c r="A57" s="319" t="s">
        <v>171</v>
      </c>
      <c r="B57" s="320" t="s">
        <v>5355</v>
      </c>
      <c r="C57" s="311" t="s">
        <v>1031</v>
      </c>
      <c r="D57" s="321" t="s">
        <v>5203</v>
      </c>
      <c r="E57" s="322" t="s">
        <v>5358</v>
      </c>
      <c r="F57" s="327" t="s">
        <v>5359</v>
      </c>
      <c r="G57" s="321" t="s">
        <v>2686</v>
      </c>
      <c r="H57" s="314" t="s">
        <v>5181</v>
      </c>
      <c r="I57" s="325" t="s">
        <v>556</v>
      </c>
      <c r="J57" s="324"/>
    </row>
    <row r="58">
      <c r="A58" s="319" t="s">
        <v>743</v>
      </c>
      <c r="B58" s="320" t="s">
        <v>5360</v>
      </c>
      <c r="C58" s="311" t="s">
        <v>5361</v>
      </c>
      <c r="D58" s="321" t="s">
        <v>5203</v>
      </c>
      <c r="E58" s="322" t="s">
        <v>5362</v>
      </c>
      <c r="F58" s="323" t="s">
        <v>5363</v>
      </c>
      <c r="G58" s="321" t="s">
        <v>5324</v>
      </c>
      <c r="H58" s="314" t="s">
        <v>5181</v>
      </c>
      <c r="I58" s="325" t="s">
        <v>556</v>
      </c>
      <c r="J58" s="324"/>
    </row>
    <row r="59">
      <c r="A59" s="319" t="s">
        <v>171</v>
      </c>
      <c r="B59" s="320" t="s">
        <v>5364</v>
      </c>
      <c r="C59" s="311" t="s">
        <v>5365</v>
      </c>
      <c r="D59" s="321" t="s">
        <v>5179</v>
      </c>
      <c r="E59" s="322" t="s">
        <v>1673</v>
      </c>
      <c r="F59" s="323" t="s">
        <v>5366</v>
      </c>
      <c r="G59" s="321" t="s">
        <v>5180</v>
      </c>
      <c r="H59" s="314" t="s">
        <v>5181</v>
      </c>
      <c r="I59" s="313" t="s">
        <v>5367</v>
      </c>
      <c r="J59" s="324"/>
    </row>
    <row r="60">
      <c r="A60" s="319" t="s">
        <v>171</v>
      </c>
      <c r="B60" s="320" t="s">
        <v>5364</v>
      </c>
      <c r="C60" s="311" t="s">
        <v>5365</v>
      </c>
      <c r="D60" s="321" t="s">
        <v>5179</v>
      </c>
      <c r="E60" s="322" t="s">
        <v>5368</v>
      </c>
      <c r="F60" s="323" t="s">
        <v>5369</v>
      </c>
      <c r="G60" s="321" t="s">
        <v>5180</v>
      </c>
      <c r="H60" s="314" t="s">
        <v>5181</v>
      </c>
      <c r="I60" s="313" t="s">
        <v>5367</v>
      </c>
      <c r="J60" s="324"/>
    </row>
    <row r="61">
      <c r="A61" s="319" t="s">
        <v>171</v>
      </c>
      <c r="B61" s="320" t="s">
        <v>3922</v>
      </c>
      <c r="C61" s="311" t="s">
        <v>3923</v>
      </c>
      <c r="D61" s="321" t="s">
        <v>5179</v>
      </c>
      <c r="E61" s="322" t="s">
        <v>1673</v>
      </c>
      <c r="F61" s="323" t="s">
        <v>5370</v>
      </c>
      <c r="G61" s="321" t="s">
        <v>5180</v>
      </c>
      <c r="H61" s="314" t="s">
        <v>5181</v>
      </c>
      <c r="I61" s="325" t="s">
        <v>5371</v>
      </c>
      <c r="J61" s="324"/>
    </row>
    <row r="62">
      <c r="A62" s="319" t="s">
        <v>171</v>
      </c>
      <c r="B62" s="320" t="s">
        <v>5372</v>
      </c>
      <c r="C62" s="311" t="s">
        <v>5373</v>
      </c>
      <c r="D62" s="321" t="s">
        <v>5203</v>
      </c>
      <c r="E62" s="322" t="s">
        <v>1040</v>
      </c>
      <c r="F62" s="327" t="s">
        <v>4766</v>
      </c>
      <c r="G62" s="321" t="s">
        <v>1383</v>
      </c>
      <c r="H62" s="314" t="s">
        <v>5181</v>
      </c>
      <c r="I62" s="325" t="s">
        <v>556</v>
      </c>
      <c r="J62" s="324"/>
    </row>
    <row r="63">
      <c r="A63" s="319" t="s">
        <v>171</v>
      </c>
      <c r="B63" s="320" t="s">
        <v>5374</v>
      </c>
      <c r="C63" s="311" t="s">
        <v>5375</v>
      </c>
      <c r="D63" s="321" t="s">
        <v>5199</v>
      </c>
      <c r="E63" s="322" t="s">
        <v>5376</v>
      </c>
      <c r="F63" s="323" t="s">
        <v>5377</v>
      </c>
      <c r="G63" s="321" t="s">
        <v>2686</v>
      </c>
      <c r="H63" s="325" t="s">
        <v>5271</v>
      </c>
      <c r="I63" s="328" t="s">
        <v>1398</v>
      </c>
      <c r="J63" s="324"/>
    </row>
    <row r="64">
      <c r="A64" s="319" t="s">
        <v>171</v>
      </c>
      <c r="B64" s="320" t="s">
        <v>3821</v>
      </c>
      <c r="C64" s="311" t="s">
        <v>3822</v>
      </c>
      <c r="D64" s="321" t="s">
        <v>5179</v>
      </c>
      <c r="E64" s="322" t="s">
        <v>1673</v>
      </c>
      <c r="F64" s="323" t="s">
        <v>5378</v>
      </c>
      <c r="G64" s="321" t="s">
        <v>5180</v>
      </c>
      <c r="H64" s="314" t="s">
        <v>5181</v>
      </c>
      <c r="I64" s="328" t="s">
        <v>5379</v>
      </c>
      <c r="J64" s="324"/>
    </row>
    <row r="65">
      <c r="A65" s="319" t="s">
        <v>171</v>
      </c>
      <c r="B65" s="320" t="s">
        <v>3821</v>
      </c>
      <c r="C65" s="311" t="s">
        <v>3822</v>
      </c>
      <c r="D65" s="321" t="s">
        <v>5179</v>
      </c>
      <c r="E65" s="322" t="s">
        <v>5215</v>
      </c>
      <c r="F65" s="323" t="s">
        <v>5378</v>
      </c>
      <c r="G65" s="321" t="s">
        <v>5180</v>
      </c>
      <c r="H65" s="314" t="s">
        <v>5181</v>
      </c>
      <c r="I65" s="328" t="s">
        <v>5379</v>
      </c>
      <c r="J65" s="324"/>
    </row>
    <row r="66">
      <c r="A66" s="319" t="s">
        <v>354</v>
      </c>
      <c r="B66" s="320" t="s">
        <v>5380</v>
      </c>
      <c r="C66" s="311" t="s">
        <v>5381</v>
      </c>
      <c r="D66" s="321" t="s">
        <v>5284</v>
      </c>
      <c r="E66" s="322" t="s">
        <v>1040</v>
      </c>
      <c r="F66" s="323" t="s">
        <v>5382</v>
      </c>
      <c r="G66" s="321" t="s">
        <v>1383</v>
      </c>
      <c r="H66" s="314" t="s">
        <v>5181</v>
      </c>
      <c r="I66" s="324"/>
      <c r="J66" s="320" t="s">
        <v>5383</v>
      </c>
    </row>
    <row r="67">
      <c r="A67" s="319" t="s">
        <v>171</v>
      </c>
      <c r="B67" s="320" t="s">
        <v>5384</v>
      </c>
      <c r="C67" s="311" t="s">
        <v>5385</v>
      </c>
      <c r="D67" s="321" t="s">
        <v>5179</v>
      </c>
      <c r="E67" s="322" t="s">
        <v>5209</v>
      </c>
      <c r="F67" s="323" t="s">
        <v>5386</v>
      </c>
      <c r="G67" s="321" t="s">
        <v>2713</v>
      </c>
      <c r="H67" s="314" t="s">
        <v>5181</v>
      </c>
      <c r="I67" s="326" t="s">
        <v>5387</v>
      </c>
      <c r="J67" s="324"/>
    </row>
    <row r="68">
      <c r="A68" s="319" t="s">
        <v>171</v>
      </c>
      <c r="B68" s="320" t="s">
        <v>5388</v>
      </c>
      <c r="C68" s="311" t="s">
        <v>5389</v>
      </c>
      <c r="D68" s="321" t="s">
        <v>5179</v>
      </c>
      <c r="E68" s="322" t="s">
        <v>5209</v>
      </c>
      <c r="F68" s="323" t="s">
        <v>5390</v>
      </c>
      <c r="G68" s="321" t="s">
        <v>1383</v>
      </c>
      <c r="H68" s="314" t="s">
        <v>5181</v>
      </c>
      <c r="I68" s="326" t="s">
        <v>5387</v>
      </c>
      <c r="J68" s="320" t="s">
        <v>5391</v>
      </c>
    </row>
    <row r="69">
      <c r="A69" s="319" t="s">
        <v>171</v>
      </c>
      <c r="B69" s="320" t="s">
        <v>5065</v>
      </c>
      <c r="C69" s="311" t="s">
        <v>5381</v>
      </c>
      <c r="D69" s="321" t="s">
        <v>5199</v>
      </c>
      <c r="E69" s="322" t="s">
        <v>5392</v>
      </c>
      <c r="F69" s="323" t="s">
        <v>5067</v>
      </c>
      <c r="G69" s="321" t="s">
        <v>5180</v>
      </c>
      <c r="H69" s="314" t="s">
        <v>5181</v>
      </c>
      <c r="I69" s="328" t="s">
        <v>1398</v>
      </c>
      <c r="J69" s="324"/>
    </row>
    <row r="70">
      <c r="A70" s="319" t="s">
        <v>171</v>
      </c>
      <c r="B70" s="320" t="s">
        <v>5393</v>
      </c>
      <c r="C70" s="311" t="s">
        <v>5394</v>
      </c>
      <c r="D70" s="321" t="s">
        <v>5199</v>
      </c>
      <c r="E70" s="322" t="s">
        <v>5395</v>
      </c>
      <c r="F70" s="323" t="s">
        <v>5396</v>
      </c>
      <c r="G70" s="321" t="s">
        <v>2686</v>
      </c>
      <c r="H70" s="325" t="s">
        <v>556</v>
      </c>
      <c r="I70" s="325" t="s">
        <v>556</v>
      </c>
      <c r="J70" s="324"/>
    </row>
    <row r="71">
      <c r="A71" s="319" t="s">
        <v>171</v>
      </c>
      <c r="B71" s="320" t="s">
        <v>5397</v>
      </c>
      <c r="C71" s="311" t="s">
        <v>5398</v>
      </c>
      <c r="D71" s="321" t="s">
        <v>5199</v>
      </c>
      <c r="E71" s="322" t="s">
        <v>5376</v>
      </c>
      <c r="F71" s="323" t="s">
        <v>5399</v>
      </c>
      <c r="G71" s="321" t="s">
        <v>2686</v>
      </c>
      <c r="H71" s="325" t="s">
        <v>5271</v>
      </c>
      <c r="I71" s="325" t="s">
        <v>556</v>
      </c>
      <c r="J71" s="324"/>
    </row>
    <row r="72">
      <c r="A72" s="319" t="s">
        <v>171</v>
      </c>
      <c r="B72" s="320" t="s">
        <v>5400</v>
      </c>
      <c r="C72" s="311" t="s">
        <v>5401</v>
      </c>
      <c r="D72" s="321" t="s">
        <v>5199</v>
      </c>
      <c r="E72" s="322" t="s">
        <v>5395</v>
      </c>
      <c r="F72" s="323" t="s">
        <v>5402</v>
      </c>
      <c r="G72" s="321" t="s">
        <v>5180</v>
      </c>
      <c r="H72" s="314" t="s">
        <v>5181</v>
      </c>
      <c r="I72" s="328" t="s">
        <v>1398</v>
      </c>
      <c r="J72" s="320" t="s">
        <v>5403</v>
      </c>
    </row>
    <row r="73">
      <c r="A73" s="319" t="s">
        <v>622</v>
      </c>
      <c r="B73" s="320" t="s">
        <v>5404</v>
      </c>
      <c r="C73" s="311" t="s">
        <v>5405</v>
      </c>
      <c r="D73" s="321" t="s">
        <v>5179</v>
      </c>
      <c r="E73" s="322" t="s">
        <v>1673</v>
      </c>
      <c r="F73" s="331"/>
      <c r="G73" s="321" t="s">
        <v>5324</v>
      </c>
      <c r="H73" s="324"/>
      <c r="I73" s="324"/>
      <c r="J73" s="324"/>
    </row>
    <row r="74">
      <c r="A74" s="319" t="s">
        <v>171</v>
      </c>
      <c r="B74" s="320" t="s">
        <v>1055</v>
      </c>
      <c r="C74" s="311" t="s">
        <v>5325</v>
      </c>
      <c r="D74" s="321" t="s">
        <v>5199</v>
      </c>
      <c r="E74" s="322" t="s">
        <v>5326</v>
      </c>
      <c r="F74" s="323" t="s">
        <v>5406</v>
      </c>
      <c r="G74" s="321" t="s">
        <v>1383</v>
      </c>
      <c r="H74" s="325" t="s">
        <v>5407</v>
      </c>
      <c r="I74" s="326" t="s">
        <v>5408</v>
      </c>
      <c r="J74" s="320" t="s">
        <v>5409</v>
      </c>
    </row>
    <row r="75">
      <c r="A75" s="319" t="s">
        <v>80</v>
      </c>
      <c r="B75" s="320" t="s">
        <v>5410</v>
      </c>
      <c r="C75" s="311" t="s">
        <v>5411</v>
      </c>
      <c r="D75" s="321" t="s">
        <v>5284</v>
      </c>
      <c r="E75" s="322" t="s">
        <v>1673</v>
      </c>
      <c r="F75" s="323" t="s">
        <v>5412</v>
      </c>
      <c r="G75" s="321" t="s">
        <v>5324</v>
      </c>
      <c r="H75" s="314" t="s">
        <v>5181</v>
      </c>
      <c r="I75" s="326"/>
      <c r="J75" s="324"/>
    </row>
    <row r="76">
      <c r="A76" s="319" t="s">
        <v>171</v>
      </c>
      <c r="B76" s="320" t="s">
        <v>4350</v>
      </c>
      <c r="C76" s="311" t="s">
        <v>4351</v>
      </c>
      <c r="D76" s="321" t="s">
        <v>5199</v>
      </c>
      <c r="E76" s="322" t="s">
        <v>116</v>
      </c>
      <c r="F76" s="323" t="s">
        <v>5413</v>
      </c>
      <c r="G76" s="321" t="s">
        <v>5180</v>
      </c>
      <c r="H76" s="325" t="s">
        <v>2648</v>
      </c>
      <c r="I76" s="328" t="s">
        <v>1398</v>
      </c>
      <c r="J76" s="320"/>
    </row>
    <row r="77">
      <c r="A77" s="319" t="s">
        <v>171</v>
      </c>
      <c r="B77" s="320" t="s">
        <v>5414</v>
      </c>
      <c r="C77" s="311" t="s">
        <v>5415</v>
      </c>
      <c r="D77" s="321" t="s">
        <v>5199</v>
      </c>
      <c r="E77" s="322" t="s">
        <v>5326</v>
      </c>
      <c r="F77" s="323" t="s">
        <v>5416</v>
      </c>
      <c r="G77" s="321" t="s">
        <v>1383</v>
      </c>
      <c r="H77" s="314" t="s">
        <v>5181</v>
      </c>
      <c r="I77" s="325" t="s">
        <v>556</v>
      </c>
      <c r="J77" s="320" t="s">
        <v>5409</v>
      </c>
    </row>
    <row r="78">
      <c r="A78" s="319" t="s">
        <v>171</v>
      </c>
      <c r="B78" s="320" t="s">
        <v>5417</v>
      </c>
      <c r="C78" s="311" t="s">
        <v>5418</v>
      </c>
      <c r="D78" s="321" t="s">
        <v>5199</v>
      </c>
      <c r="E78" s="322" t="s">
        <v>5419</v>
      </c>
      <c r="F78" s="323" t="s">
        <v>5420</v>
      </c>
      <c r="G78" s="321" t="s">
        <v>2686</v>
      </c>
      <c r="H78" s="325" t="s">
        <v>556</v>
      </c>
      <c r="I78" s="325" t="s">
        <v>556</v>
      </c>
      <c r="J78" s="324"/>
    </row>
    <row r="79" ht="18.75" customHeight="1">
      <c r="A79" s="319" t="s">
        <v>11</v>
      </c>
      <c r="B79" s="320" t="s">
        <v>5421</v>
      </c>
      <c r="C79" s="311" t="s">
        <v>4655</v>
      </c>
      <c r="D79" s="321" t="s">
        <v>5179</v>
      </c>
      <c r="E79" s="322" t="s">
        <v>996</v>
      </c>
      <c r="F79" s="323" t="s">
        <v>5422</v>
      </c>
      <c r="G79" s="321" t="s">
        <v>5180</v>
      </c>
      <c r="H79" s="325" t="s">
        <v>556</v>
      </c>
      <c r="I79" s="328" t="s">
        <v>5423</v>
      </c>
      <c r="J79" s="324"/>
    </row>
    <row r="80">
      <c r="A80" s="319" t="s">
        <v>27</v>
      </c>
      <c r="B80" s="320" t="s">
        <v>5421</v>
      </c>
      <c r="C80" s="311" t="s">
        <v>4655</v>
      </c>
      <c r="D80" s="321" t="s">
        <v>5179</v>
      </c>
      <c r="E80" s="322" t="s">
        <v>5368</v>
      </c>
      <c r="F80" s="323" t="s">
        <v>5424</v>
      </c>
      <c r="G80" s="321" t="s">
        <v>5180</v>
      </c>
      <c r="H80" s="314" t="s">
        <v>5181</v>
      </c>
      <c r="I80" s="328" t="s">
        <v>5423</v>
      </c>
      <c r="J80" s="324"/>
    </row>
    <row r="81">
      <c r="A81" s="319" t="s">
        <v>27</v>
      </c>
      <c r="B81" s="320" t="s">
        <v>5421</v>
      </c>
      <c r="C81" s="311" t="s">
        <v>4655</v>
      </c>
      <c r="D81" s="321" t="s">
        <v>5179</v>
      </c>
      <c r="E81" s="322" t="s">
        <v>1673</v>
      </c>
      <c r="F81" s="323" t="s">
        <v>5425</v>
      </c>
      <c r="G81" s="321" t="s">
        <v>5180</v>
      </c>
      <c r="H81" s="314" t="s">
        <v>5181</v>
      </c>
      <c r="I81" s="328" t="s">
        <v>5423</v>
      </c>
      <c r="J81" s="324"/>
    </row>
    <row r="82">
      <c r="A82" s="319" t="s">
        <v>171</v>
      </c>
      <c r="B82" s="320" t="s">
        <v>787</v>
      </c>
      <c r="C82" s="311" t="s">
        <v>788</v>
      </c>
      <c r="D82" s="321" t="s">
        <v>5203</v>
      </c>
      <c r="E82" s="322" t="s">
        <v>1040</v>
      </c>
      <c r="F82" s="323" t="s">
        <v>5426</v>
      </c>
      <c r="G82" s="321" t="s">
        <v>5180</v>
      </c>
      <c r="H82" s="314" t="s">
        <v>5181</v>
      </c>
      <c r="I82" s="325" t="s">
        <v>5427</v>
      </c>
      <c r="J82" s="324"/>
    </row>
    <row r="83" ht="21.75" customHeight="1">
      <c r="A83" s="319" t="s">
        <v>622</v>
      </c>
      <c r="B83" s="320" t="s">
        <v>5428</v>
      </c>
      <c r="C83" s="311" t="s">
        <v>5429</v>
      </c>
      <c r="D83" s="321" t="s">
        <v>5430</v>
      </c>
      <c r="E83" s="322" t="s">
        <v>1673</v>
      </c>
      <c r="F83" s="334"/>
      <c r="G83" s="321"/>
      <c r="H83" s="335"/>
      <c r="I83" s="336"/>
      <c r="J83" s="324"/>
    </row>
    <row r="84">
      <c r="A84" s="319" t="s">
        <v>5431</v>
      </c>
      <c r="B84" s="322" t="s">
        <v>3847</v>
      </c>
      <c r="C84" s="311" t="s">
        <v>3848</v>
      </c>
      <c r="D84" s="321" t="s">
        <v>5284</v>
      </c>
      <c r="E84" s="322" t="s">
        <v>1040</v>
      </c>
      <c r="F84" s="332" t="s">
        <v>5432</v>
      </c>
      <c r="G84" s="321" t="s">
        <v>2713</v>
      </c>
      <c r="H84" s="325" t="s">
        <v>556</v>
      </c>
      <c r="I84" s="326" t="s">
        <v>556</v>
      </c>
      <c r="J84" s="324"/>
    </row>
    <row r="85">
      <c r="A85" s="319" t="s">
        <v>622</v>
      </c>
      <c r="B85" s="322" t="s">
        <v>5081</v>
      </c>
      <c r="C85" s="311" t="s">
        <v>5082</v>
      </c>
      <c r="D85" s="321" t="s">
        <v>5199</v>
      </c>
      <c r="E85" s="322" t="s">
        <v>5433</v>
      </c>
      <c r="F85" s="332" t="s">
        <v>5434</v>
      </c>
      <c r="G85" s="321" t="s">
        <v>1383</v>
      </c>
      <c r="H85" s="314" t="s">
        <v>5181</v>
      </c>
      <c r="I85" s="328" t="s">
        <v>643</v>
      </c>
      <c r="J85" s="324"/>
    </row>
    <row r="86">
      <c r="A86" s="319" t="s">
        <v>622</v>
      </c>
      <c r="B86" s="322" t="s">
        <v>3648</v>
      </c>
      <c r="C86" s="311" t="s">
        <v>3649</v>
      </c>
      <c r="D86" s="321" t="s">
        <v>5179</v>
      </c>
      <c r="E86" s="322" t="s">
        <v>5358</v>
      </c>
      <c r="F86" s="323" t="s">
        <v>5435</v>
      </c>
      <c r="G86" s="321" t="s">
        <v>5180</v>
      </c>
      <c r="H86" s="314" t="s">
        <v>5181</v>
      </c>
      <c r="I86" s="324"/>
      <c r="J86" s="324"/>
    </row>
    <row r="87">
      <c r="A87" s="319" t="s">
        <v>580</v>
      </c>
      <c r="B87" s="322" t="s">
        <v>5054</v>
      </c>
      <c r="C87" s="333"/>
      <c r="D87" s="321" t="s">
        <v>5179</v>
      </c>
      <c r="E87" s="322" t="s">
        <v>5436</v>
      </c>
      <c r="F87" s="331"/>
      <c r="G87" s="330"/>
      <c r="H87" s="324"/>
      <c r="I87" s="324"/>
      <c r="J87" s="324"/>
    </row>
    <row r="88">
      <c r="A88" s="319" t="s">
        <v>622</v>
      </c>
      <c r="B88" s="322" t="s">
        <v>5437</v>
      </c>
      <c r="C88" s="333"/>
      <c r="D88" s="321" t="s">
        <v>5179</v>
      </c>
      <c r="E88" s="322" t="s">
        <v>5244</v>
      </c>
      <c r="F88" s="331"/>
      <c r="G88" s="330"/>
      <c r="H88" s="324"/>
      <c r="I88" s="324"/>
      <c r="J88" s="324"/>
    </row>
    <row r="89">
      <c r="A89" s="319" t="s">
        <v>580</v>
      </c>
      <c r="B89" s="322" t="s">
        <v>5438</v>
      </c>
      <c r="C89" s="311">
        <v>7.0477375103E10</v>
      </c>
      <c r="D89" s="321" t="s">
        <v>5179</v>
      </c>
      <c r="E89" s="322" t="s">
        <v>5358</v>
      </c>
      <c r="F89" s="331"/>
      <c r="G89" s="330"/>
      <c r="H89" s="324"/>
      <c r="I89" s="324"/>
      <c r="J89" s="324"/>
    </row>
    <row r="90">
      <c r="A90" s="319" t="s">
        <v>622</v>
      </c>
      <c r="B90" s="322" t="s">
        <v>3108</v>
      </c>
      <c r="C90" s="333"/>
      <c r="D90" s="321" t="s">
        <v>5199</v>
      </c>
      <c r="E90" s="322" t="s">
        <v>5352</v>
      </c>
      <c r="F90" s="331"/>
      <c r="G90" s="330"/>
      <c r="H90" s="324"/>
      <c r="I90" s="324"/>
      <c r="J90" s="324"/>
    </row>
    <row r="91">
      <c r="A91" s="319" t="s">
        <v>622</v>
      </c>
      <c r="B91" s="322" t="s">
        <v>4749</v>
      </c>
      <c r="C91" s="311" t="s">
        <v>4750</v>
      </c>
      <c r="D91" s="321" t="s">
        <v>5199</v>
      </c>
      <c r="E91" s="331"/>
      <c r="F91" s="331"/>
      <c r="G91" s="330"/>
      <c r="H91" s="324"/>
      <c r="I91" s="324"/>
      <c r="J91" s="324"/>
    </row>
    <row r="92">
      <c r="A92" s="319" t="s">
        <v>580</v>
      </c>
      <c r="B92" s="322" t="s">
        <v>5428</v>
      </c>
      <c r="C92" s="311" t="s">
        <v>5429</v>
      </c>
      <c r="D92" s="321" t="s">
        <v>5203</v>
      </c>
      <c r="E92" s="322" t="s">
        <v>1673</v>
      </c>
      <c r="F92" s="331"/>
      <c r="G92" s="330"/>
      <c r="H92" s="324"/>
      <c r="I92" s="324"/>
      <c r="J92" s="324"/>
    </row>
    <row r="93">
      <c r="A93" s="319" t="s">
        <v>5439</v>
      </c>
      <c r="B93" s="322" t="s">
        <v>5440</v>
      </c>
      <c r="C93" s="311" t="s">
        <v>5441</v>
      </c>
      <c r="D93" s="321" t="s">
        <v>5179</v>
      </c>
      <c r="E93" s="322" t="s">
        <v>1673</v>
      </c>
      <c r="F93" s="332" t="s">
        <v>5442</v>
      </c>
      <c r="G93" s="321" t="s">
        <v>5180</v>
      </c>
      <c r="H93" s="325" t="s">
        <v>556</v>
      </c>
      <c r="I93" s="326" t="s">
        <v>556</v>
      </c>
      <c r="J93" s="324"/>
    </row>
    <row r="94">
      <c r="A94" s="319" t="s">
        <v>622</v>
      </c>
      <c r="B94" s="322" t="s">
        <v>725</v>
      </c>
      <c r="C94" s="311" t="s">
        <v>726</v>
      </c>
      <c r="D94" s="321" t="s">
        <v>5199</v>
      </c>
      <c r="E94" s="322" t="s">
        <v>5218</v>
      </c>
      <c r="F94" s="331"/>
      <c r="G94" s="330"/>
      <c r="H94" s="324"/>
      <c r="I94" s="324"/>
      <c r="J94" s="324"/>
    </row>
    <row r="95">
      <c r="A95" s="319" t="s">
        <v>622</v>
      </c>
      <c r="B95" s="322" t="s">
        <v>5443</v>
      </c>
      <c r="C95" s="311">
        <v>5.5691846191E10</v>
      </c>
      <c r="D95" s="321" t="s">
        <v>5199</v>
      </c>
      <c r="E95" s="322" t="s">
        <v>5444</v>
      </c>
      <c r="F95" s="331"/>
      <c r="G95" s="330"/>
      <c r="H95" s="324"/>
      <c r="I95" s="324"/>
      <c r="J95" s="324"/>
    </row>
    <row r="96">
      <c r="A96" s="319" t="s">
        <v>171</v>
      </c>
      <c r="B96" s="322" t="s">
        <v>1178</v>
      </c>
      <c r="C96" s="311" t="s">
        <v>1179</v>
      </c>
      <c r="D96" s="321" t="s">
        <v>5179</v>
      </c>
      <c r="E96" s="322" t="s">
        <v>5244</v>
      </c>
      <c r="F96" s="323" t="s">
        <v>5445</v>
      </c>
      <c r="G96" s="321" t="s">
        <v>5180</v>
      </c>
      <c r="H96" s="314" t="s">
        <v>5181</v>
      </c>
      <c r="I96" s="328" t="s">
        <v>5446</v>
      </c>
      <c r="J96" s="324"/>
    </row>
    <row r="97">
      <c r="A97" s="319" t="s">
        <v>171</v>
      </c>
      <c r="B97" s="322" t="s">
        <v>1178</v>
      </c>
      <c r="C97" s="311" t="s">
        <v>1179</v>
      </c>
      <c r="D97" s="321" t="s">
        <v>5199</v>
      </c>
      <c r="E97" s="322" t="s">
        <v>5436</v>
      </c>
      <c r="F97" s="323" t="s">
        <v>5445</v>
      </c>
      <c r="G97" s="321" t="s">
        <v>5180</v>
      </c>
      <c r="H97" s="314" t="s">
        <v>5181</v>
      </c>
      <c r="I97" s="328" t="s">
        <v>643</v>
      </c>
      <c r="J97" s="324"/>
    </row>
    <row r="98">
      <c r="A98" s="319" t="s">
        <v>622</v>
      </c>
      <c r="B98" s="322" t="s">
        <v>5447</v>
      </c>
      <c r="C98" s="333"/>
      <c r="D98" s="321" t="s">
        <v>5199</v>
      </c>
      <c r="E98" s="322" t="s">
        <v>116</v>
      </c>
      <c r="F98" s="331"/>
      <c r="G98" s="330"/>
      <c r="H98" s="324"/>
      <c r="I98" s="324"/>
      <c r="J98" s="324"/>
    </row>
    <row r="99">
      <c r="A99" s="319" t="s">
        <v>622</v>
      </c>
      <c r="B99" s="322" t="s">
        <v>5448</v>
      </c>
      <c r="C99" s="333"/>
      <c r="D99" s="321" t="s">
        <v>5199</v>
      </c>
      <c r="E99" s="322" t="s">
        <v>5376</v>
      </c>
      <c r="F99" s="331"/>
      <c r="G99" s="330"/>
      <c r="H99" s="324"/>
      <c r="I99" s="324"/>
      <c r="J99" s="324"/>
    </row>
    <row r="100">
      <c r="A100" s="319" t="s">
        <v>622</v>
      </c>
      <c r="B100" s="322" t="s">
        <v>5448</v>
      </c>
      <c r="C100" s="333"/>
      <c r="D100" s="321" t="s">
        <v>5199</v>
      </c>
      <c r="E100" s="322" t="s">
        <v>5449</v>
      </c>
      <c r="F100" s="331"/>
      <c r="G100" s="330"/>
      <c r="H100" s="324"/>
      <c r="I100" s="324"/>
      <c r="J100" s="324"/>
    </row>
    <row r="101">
      <c r="A101" s="319" t="s">
        <v>622</v>
      </c>
      <c r="B101" s="322" t="s">
        <v>5450</v>
      </c>
      <c r="C101" s="311" t="s">
        <v>5451</v>
      </c>
      <c r="D101" s="321" t="s">
        <v>5199</v>
      </c>
      <c r="E101" s="322" t="s">
        <v>5452</v>
      </c>
      <c r="F101" s="331"/>
      <c r="G101" s="330"/>
      <c r="H101" s="324"/>
      <c r="I101" s="324"/>
      <c r="J101" s="324"/>
    </row>
    <row r="102">
      <c r="A102" s="319" t="s">
        <v>622</v>
      </c>
      <c r="B102" s="322" t="s">
        <v>5453</v>
      </c>
      <c r="C102" s="311">
        <v>4.385648638E9</v>
      </c>
      <c r="D102" s="321" t="s">
        <v>5179</v>
      </c>
      <c r="E102" s="322" t="s">
        <v>5368</v>
      </c>
      <c r="F102" s="331"/>
      <c r="G102" s="330"/>
      <c r="H102" s="324"/>
      <c r="I102" s="324"/>
      <c r="J102" s="324"/>
    </row>
    <row r="103">
      <c r="A103" s="319" t="s">
        <v>580</v>
      </c>
      <c r="B103" s="322" t="s">
        <v>5454</v>
      </c>
      <c r="C103" s="311" t="s">
        <v>5455</v>
      </c>
      <c r="D103" s="321" t="s">
        <v>5179</v>
      </c>
      <c r="E103" s="322" t="s">
        <v>5358</v>
      </c>
      <c r="F103" s="331"/>
      <c r="G103" s="330"/>
      <c r="H103" s="324"/>
      <c r="I103" s="324"/>
      <c r="J103" s="324"/>
    </row>
    <row r="104">
      <c r="A104" s="319" t="s">
        <v>622</v>
      </c>
      <c r="B104" s="322" t="s">
        <v>5343</v>
      </c>
      <c r="C104" s="311" t="s">
        <v>5344</v>
      </c>
      <c r="D104" s="321" t="s">
        <v>5203</v>
      </c>
      <c r="E104" s="322" t="s">
        <v>5209</v>
      </c>
      <c r="F104" s="331"/>
      <c r="G104" s="330"/>
      <c r="H104" s="324"/>
      <c r="I104" s="324"/>
      <c r="J104" s="324"/>
    </row>
    <row r="105">
      <c r="A105" s="319" t="s">
        <v>622</v>
      </c>
      <c r="B105" s="322" t="s">
        <v>5456</v>
      </c>
      <c r="C105" s="311">
        <v>5.7646694649E10</v>
      </c>
      <c r="D105" s="321" t="s">
        <v>5199</v>
      </c>
      <c r="E105" s="322" t="s">
        <v>5457</v>
      </c>
      <c r="F105" s="331"/>
      <c r="G105" s="330"/>
      <c r="H105" s="324"/>
      <c r="I105" s="324"/>
      <c r="J105" s="324"/>
    </row>
    <row r="106">
      <c r="A106" s="319" t="s">
        <v>622</v>
      </c>
      <c r="B106" s="322" t="s">
        <v>5454</v>
      </c>
      <c r="C106" s="311" t="s">
        <v>5455</v>
      </c>
      <c r="D106" s="321" t="s">
        <v>5179</v>
      </c>
      <c r="E106" s="322" t="s">
        <v>5358</v>
      </c>
      <c r="F106" s="331"/>
      <c r="G106" s="330"/>
      <c r="H106" s="324"/>
      <c r="I106" s="324"/>
      <c r="J106" s="324"/>
    </row>
    <row r="107">
      <c r="A107" s="319" t="s">
        <v>622</v>
      </c>
      <c r="B107" s="320" t="s">
        <v>5458</v>
      </c>
      <c r="C107" s="333"/>
      <c r="D107" s="321" t="s">
        <v>5199</v>
      </c>
      <c r="E107" s="322" t="s">
        <v>5433</v>
      </c>
      <c r="F107" s="331"/>
      <c r="G107" s="330"/>
      <c r="H107" s="324"/>
      <c r="I107" s="324"/>
      <c r="J107" s="324"/>
    </row>
    <row r="108">
      <c r="A108" s="319" t="s">
        <v>580</v>
      </c>
      <c r="B108" s="320" t="s">
        <v>5459</v>
      </c>
      <c r="C108" s="311" t="s">
        <v>5460</v>
      </c>
      <c r="D108" s="321" t="s">
        <v>5179</v>
      </c>
      <c r="E108" s="322" t="s">
        <v>5209</v>
      </c>
      <c r="F108" s="331"/>
      <c r="G108" s="330"/>
      <c r="H108" s="324"/>
      <c r="I108" s="337" t="s">
        <v>5461</v>
      </c>
      <c r="J108" s="324"/>
    </row>
    <row r="109">
      <c r="A109" s="319" t="s">
        <v>622</v>
      </c>
      <c r="B109" s="320" t="s">
        <v>5462</v>
      </c>
      <c r="C109" s="333"/>
      <c r="D109" s="330"/>
      <c r="E109" s="331"/>
      <c r="F109" s="331"/>
      <c r="G109" s="330"/>
      <c r="H109" s="324"/>
      <c r="I109" s="324"/>
      <c r="J109" s="324"/>
    </row>
    <row r="110">
      <c r="A110" s="319" t="s">
        <v>622</v>
      </c>
      <c r="B110" s="322" t="s">
        <v>5463</v>
      </c>
      <c r="C110" s="311" t="s">
        <v>5464</v>
      </c>
      <c r="D110" s="321" t="s">
        <v>5199</v>
      </c>
      <c r="E110" s="322" t="s">
        <v>5352</v>
      </c>
      <c r="F110" s="331"/>
      <c r="G110" s="330"/>
      <c r="H110" s="324"/>
      <c r="I110" s="324"/>
      <c r="J110" s="324"/>
    </row>
    <row r="111">
      <c r="A111" s="319" t="s">
        <v>622</v>
      </c>
      <c r="B111" s="322" t="s">
        <v>4581</v>
      </c>
      <c r="C111" s="311">
        <v>1.4948131733E10</v>
      </c>
      <c r="D111" s="321" t="s">
        <v>5179</v>
      </c>
      <c r="E111" s="322" t="s">
        <v>5209</v>
      </c>
      <c r="F111" s="331"/>
      <c r="G111" s="330"/>
      <c r="H111" s="324"/>
      <c r="I111" s="324"/>
      <c r="J111" s="324"/>
    </row>
    <row r="112">
      <c r="A112" s="319" t="s">
        <v>622</v>
      </c>
      <c r="B112" s="322" t="s">
        <v>4479</v>
      </c>
      <c r="C112" s="311" t="s">
        <v>4480</v>
      </c>
      <c r="D112" s="321" t="s">
        <v>5179</v>
      </c>
      <c r="E112" s="322" t="s">
        <v>5331</v>
      </c>
      <c r="F112" s="331"/>
      <c r="G112" s="330"/>
      <c r="H112" s="324"/>
      <c r="I112" s="324"/>
      <c r="J112" s="324"/>
    </row>
    <row r="113">
      <c r="A113" s="319" t="s">
        <v>622</v>
      </c>
      <c r="B113" s="322" t="s">
        <v>865</v>
      </c>
      <c r="C113" s="311">
        <v>9.2986625215E10</v>
      </c>
      <c r="D113" s="321" t="s">
        <v>5179</v>
      </c>
      <c r="E113" s="322" t="s">
        <v>1040</v>
      </c>
      <c r="F113" s="338" t="s">
        <v>866</v>
      </c>
      <c r="G113" s="321" t="s">
        <v>5180</v>
      </c>
      <c r="H113" s="314" t="s">
        <v>5181</v>
      </c>
      <c r="I113" s="324"/>
      <c r="J113" s="324"/>
    </row>
    <row r="114">
      <c r="A114" s="319" t="s">
        <v>622</v>
      </c>
      <c r="B114" s="322" t="s">
        <v>5465</v>
      </c>
      <c r="C114" s="311">
        <v>3.0549146811E10</v>
      </c>
      <c r="D114" s="321" t="s">
        <v>5179</v>
      </c>
      <c r="E114" s="322" t="s">
        <v>5215</v>
      </c>
      <c r="F114" s="331"/>
      <c r="G114" s="321" t="s">
        <v>5180</v>
      </c>
      <c r="H114" s="324"/>
      <c r="I114" s="324"/>
      <c r="J114" s="324"/>
    </row>
    <row r="115">
      <c r="A115" s="319" t="s">
        <v>622</v>
      </c>
      <c r="B115" s="322" t="s">
        <v>2959</v>
      </c>
      <c r="C115" s="311" t="s">
        <v>2960</v>
      </c>
      <c r="D115" s="321" t="s">
        <v>5203</v>
      </c>
      <c r="E115" s="322" t="s">
        <v>1040</v>
      </c>
      <c r="F115" s="331"/>
      <c r="G115" s="330"/>
      <c r="H115" s="324"/>
      <c r="I115" s="339" t="s">
        <v>5466</v>
      </c>
      <c r="J115" s="324"/>
    </row>
    <row r="116">
      <c r="A116" s="319" t="s">
        <v>622</v>
      </c>
      <c r="B116" s="322" t="s">
        <v>5467</v>
      </c>
      <c r="C116" s="311" t="s">
        <v>1265</v>
      </c>
      <c r="D116" s="321" t="s">
        <v>5179</v>
      </c>
      <c r="E116" s="322" t="s">
        <v>5244</v>
      </c>
      <c r="F116" s="322" t="s">
        <v>5468</v>
      </c>
      <c r="G116" s="330"/>
      <c r="H116" s="324"/>
      <c r="I116" s="324"/>
      <c r="J116" s="324"/>
    </row>
    <row r="117">
      <c r="A117" s="319" t="s">
        <v>663</v>
      </c>
      <c r="B117" s="322" t="s">
        <v>3794</v>
      </c>
      <c r="C117" s="311" t="s">
        <v>3795</v>
      </c>
      <c r="D117" s="321" t="s">
        <v>5203</v>
      </c>
      <c r="E117" s="322" t="s">
        <v>5264</v>
      </c>
      <c r="F117" s="331"/>
      <c r="G117" s="330"/>
      <c r="H117" s="324"/>
      <c r="I117" s="324"/>
      <c r="J117" s="324"/>
    </row>
    <row r="118">
      <c r="A118" s="319" t="s">
        <v>622</v>
      </c>
      <c r="B118" s="322" t="s">
        <v>5469</v>
      </c>
      <c r="C118" s="311" t="s">
        <v>5470</v>
      </c>
      <c r="D118" s="321" t="s">
        <v>5203</v>
      </c>
      <c r="E118" s="322" t="s">
        <v>1040</v>
      </c>
      <c r="F118" s="331"/>
      <c r="G118" s="330"/>
      <c r="H118" s="324"/>
      <c r="I118" s="324"/>
      <c r="J118" s="324"/>
    </row>
    <row r="119">
      <c r="A119" s="319" t="s">
        <v>580</v>
      </c>
      <c r="B119" s="322" t="s">
        <v>5471</v>
      </c>
      <c r="C119" s="311" t="s">
        <v>5213</v>
      </c>
      <c r="D119" s="321" t="s">
        <v>5179</v>
      </c>
      <c r="E119" s="322" t="s">
        <v>5472</v>
      </c>
      <c r="F119" s="323" t="s">
        <v>5473</v>
      </c>
      <c r="G119" s="321" t="s">
        <v>1383</v>
      </c>
      <c r="H119" s="314" t="s">
        <v>5181</v>
      </c>
      <c r="I119" s="325" t="s">
        <v>556</v>
      </c>
      <c r="J119" s="320" t="s">
        <v>5474</v>
      </c>
    </row>
    <row r="120">
      <c r="A120" s="319" t="s">
        <v>622</v>
      </c>
      <c r="B120" s="322" t="s">
        <v>5475</v>
      </c>
      <c r="C120" s="311" t="s">
        <v>5476</v>
      </c>
      <c r="D120" s="321" t="s">
        <v>5179</v>
      </c>
      <c r="E120" s="322" t="s">
        <v>1673</v>
      </c>
      <c r="F120" s="331"/>
      <c r="G120" s="330"/>
      <c r="H120" s="324"/>
      <c r="I120" s="324"/>
      <c r="J120" s="324"/>
    </row>
    <row r="121">
      <c r="A121" s="319" t="s">
        <v>580</v>
      </c>
      <c r="B121" s="322" t="s">
        <v>5477</v>
      </c>
      <c r="C121" s="311" t="s">
        <v>5478</v>
      </c>
      <c r="D121" s="321" t="s">
        <v>5179</v>
      </c>
      <c r="E121" s="322" t="s">
        <v>996</v>
      </c>
      <c r="F121" s="331"/>
      <c r="G121" s="330"/>
      <c r="H121" s="324"/>
      <c r="I121" s="329" t="s">
        <v>5479</v>
      </c>
      <c r="J121" s="324"/>
    </row>
    <row r="122">
      <c r="A122" s="319" t="s">
        <v>622</v>
      </c>
      <c r="B122" s="322" t="s">
        <v>2147</v>
      </c>
      <c r="C122" s="311">
        <v>3.998588655E9</v>
      </c>
      <c r="D122" s="321" t="s">
        <v>5179</v>
      </c>
      <c r="E122" s="322" t="s">
        <v>5480</v>
      </c>
      <c r="F122" s="331"/>
      <c r="G122" s="330"/>
      <c r="H122" s="324"/>
      <c r="I122" s="324"/>
      <c r="J122" s="324"/>
    </row>
    <row r="123">
      <c r="A123" s="319"/>
      <c r="B123" s="322" t="s">
        <v>5481</v>
      </c>
      <c r="C123" s="311"/>
      <c r="D123" s="330"/>
      <c r="E123" s="331"/>
      <c r="F123" s="323" t="s">
        <v>5473</v>
      </c>
      <c r="G123" s="321" t="s">
        <v>5180</v>
      </c>
      <c r="H123" s="314" t="s">
        <v>5181</v>
      </c>
      <c r="I123" s="328" t="s">
        <v>567</v>
      </c>
      <c r="J123" s="324"/>
    </row>
    <row r="124">
      <c r="A124" s="319" t="s">
        <v>580</v>
      </c>
      <c r="B124" s="322" t="s">
        <v>5447</v>
      </c>
      <c r="C124" s="311" t="s">
        <v>556</v>
      </c>
      <c r="D124" s="321" t="s">
        <v>5223</v>
      </c>
      <c r="E124" s="340" t="s">
        <v>116</v>
      </c>
      <c r="F124" s="331"/>
      <c r="G124" s="330"/>
      <c r="H124" s="324"/>
      <c r="I124" s="324"/>
      <c r="J124" s="324"/>
    </row>
    <row r="125">
      <c r="A125" s="319" t="s">
        <v>622</v>
      </c>
      <c r="B125" s="341" t="s">
        <v>5482</v>
      </c>
      <c r="C125" s="311" t="s">
        <v>5483</v>
      </c>
      <c r="D125" s="321" t="s">
        <v>5199</v>
      </c>
      <c r="E125" s="340" t="s">
        <v>5484</v>
      </c>
      <c r="F125" s="323" t="s">
        <v>5485</v>
      </c>
      <c r="G125" s="321" t="s">
        <v>2713</v>
      </c>
      <c r="H125" s="335" t="s">
        <v>5486</v>
      </c>
      <c r="I125" s="342"/>
      <c r="J125" s="324"/>
    </row>
    <row r="126">
      <c r="A126" s="319" t="s">
        <v>622</v>
      </c>
      <c r="B126" s="320" t="s">
        <v>5487</v>
      </c>
      <c r="C126" s="311">
        <v>9.98276464E9</v>
      </c>
      <c r="D126" s="321" t="s">
        <v>5199</v>
      </c>
      <c r="E126" s="340" t="s">
        <v>5488</v>
      </c>
      <c r="F126" s="340"/>
      <c r="G126" s="330"/>
      <c r="H126" s="324"/>
      <c r="I126" s="324"/>
      <c r="J126" s="324"/>
    </row>
    <row r="127">
      <c r="A127" s="319" t="s">
        <v>622</v>
      </c>
      <c r="B127" s="320" t="s">
        <v>946</v>
      </c>
      <c r="C127" s="311" t="s">
        <v>5489</v>
      </c>
      <c r="D127" s="321" t="s">
        <v>5199</v>
      </c>
      <c r="E127" s="322" t="s">
        <v>116</v>
      </c>
      <c r="F127" s="331"/>
      <c r="G127" s="330"/>
      <c r="H127" s="324"/>
      <c r="I127" s="324"/>
      <c r="J127" s="324"/>
    </row>
    <row r="128">
      <c r="A128" s="319" t="s">
        <v>622</v>
      </c>
      <c r="B128" s="320" t="s">
        <v>5490</v>
      </c>
      <c r="C128" s="311" t="s">
        <v>556</v>
      </c>
      <c r="D128" s="321" t="s">
        <v>5179</v>
      </c>
      <c r="E128" s="322" t="s">
        <v>1040</v>
      </c>
      <c r="F128" s="331"/>
      <c r="G128" s="330"/>
      <c r="H128" s="324"/>
      <c r="I128" s="324"/>
      <c r="J128" s="324"/>
    </row>
    <row r="129">
      <c r="A129" s="319" t="s">
        <v>622</v>
      </c>
      <c r="B129" s="343" t="s">
        <v>3648</v>
      </c>
      <c r="C129" s="344">
        <v>7.0477375103E10</v>
      </c>
      <c r="D129" s="321" t="s">
        <v>5203</v>
      </c>
      <c r="E129" s="322" t="s">
        <v>5264</v>
      </c>
      <c r="F129" s="331"/>
      <c r="G129" s="330"/>
      <c r="H129" s="324"/>
      <c r="I129" s="324"/>
      <c r="J129" s="324"/>
    </row>
    <row r="130">
      <c r="A130" s="319" t="s">
        <v>622</v>
      </c>
      <c r="B130" s="320" t="s">
        <v>5491</v>
      </c>
      <c r="C130" s="311" t="s">
        <v>556</v>
      </c>
      <c r="D130" s="321" t="s">
        <v>5179</v>
      </c>
      <c r="E130" s="322" t="s">
        <v>1040</v>
      </c>
      <c r="F130" s="331"/>
      <c r="G130" s="330"/>
      <c r="H130" s="324"/>
      <c r="I130" s="324"/>
      <c r="J130" s="324"/>
    </row>
    <row r="131">
      <c r="A131" s="319" t="s">
        <v>5492</v>
      </c>
      <c r="B131" s="320" t="s">
        <v>5493</v>
      </c>
      <c r="C131" s="311">
        <v>1.425915728E9</v>
      </c>
      <c r="D131" s="321" t="s">
        <v>5223</v>
      </c>
      <c r="E131" s="322" t="s">
        <v>116</v>
      </c>
      <c r="F131" s="323" t="s">
        <v>5494</v>
      </c>
      <c r="G131" s="330"/>
      <c r="H131" s="314" t="s">
        <v>5181</v>
      </c>
      <c r="I131" s="320" t="s">
        <v>5495</v>
      </c>
      <c r="J131" s="324"/>
    </row>
    <row r="132">
      <c r="A132" s="319" t="s">
        <v>622</v>
      </c>
      <c r="B132" s="343" t="s">
        <v>5496</v>
      </c>
      <c r="C132" s="344">
        <v>4.6702253915E10</v>
      </c>
      <c r="D132" s="321" t="s">
        <v>5199</v>
      </c>
      <c r="E132" s="322" t="s">
        <v>116</v>
      </c>
      <c r="F132" s="331"/>
      <c r="G132" s="330"/>
      <c r="H132" s="324"/>
      <c r="I132" s="324"/>
      <c r="J132" s="324"/>
    </row>
    <row r="133">
      <c r="A133" s="319" t="s">
        <v>622</v>
      </c>
      <c r="B133" s="320" t="s">
        <v>5497</v>
      </c>
      <c r="C133" s="311" t="s">
        <v>5498</v>
      </c>
      <c r="D133" s="321" t="s">
        <v>5179</v>
      </c>
      <c r="E133" s="322" t="s">
        <v>1673</v>
      </c>
      <c r="F133" s="331"/>
      <c r="G133" s="330"/>
      <c r="H133" s="324"/>
      <c r="I133" s="324"/>
      <c r="J133" s="324"/>
    </row>
    <row r="134">
      <c r="A134" s="319" t="s">
        <v>622</v>
      </c>
      <c r="B134" s="320" t="s">
        <v>5499</v>
      </c>
      <c r="C134" s="311"/>
      <c r="D134" s="321" t="s">
        <v>5199</v>
      </c>
      <c r="E134" s="341" t="s">
        <v>5500</v>
      </c>
      <c r="F134" s="331"/>
      <c r="G134" s="330"/>
      <c r="H134" s="324"/>
      <c r="I134" s="324"/>
      <c r="J134" s="324"/>
    </row>
    <row r="135">
      <c r="A135" s="319" t="s">
        <v>622</v>
      </c>
      <c r="B135" s="320" t="s">
        <v>5501</v>
      </c>
      <c r="C135" s="311" t="s">
        <v>3086</v>
      </c>
      <c r="D135" s="321" t="s">
        <v>5179</v>
      </c>
      <c r="E135" s="322" t="s">
        <v>1673</v>
      </c>
      <c r="F135" s="331"/>
      <c r="G135" s="330"/>
      <c r="H135" s="324"/>
      <c r="I135" s="324"/>
      <c r="J135" s="324"/>
    </row>
    <row r="136">
      <c r="A136" s="319" t="s">
        <v>622</v>
      </c>
      <c r="B136" s="320" t="s">
        <v>5501</v>
      </c>
      <c r="C136" s="311" t="s">
        <v>3086</v>
      </c>
      <c r="D136" s="321" t="s">
        <v>5199</v>
      </c>
      <c r="E136" s="322" t="s">
        <v>5449</v>
      </c>
      <c r="F136" s="331"/>
      <c r="G136" s="330"/>
      <c r="H136" s="324"/>
      <c r="I136" s="324"/>
      <c r="J136" s="324"/>
    </row>
  </sheetData>
  <dataValidations>
    <dataValidation type="list" allowBlank="1" showErrorMessage="1" sqref="D2:D20 D22:D136">
      <formula1>"Formação Pedagógica,Formação Livre,Segunda Licenciatura,Pós-Graduação,Ensino Fundamental e Médio,Diplomação por Competência,Sem Nomenclatura Definida,Pedagogia para bachareis"</formula1>
    </dataValidation>
    <dataValidation type="list" allowBlank="1" showErrorMessage="1" sqref="E2:E20 E22:E136">
      <formula1>"Pedagogia,Psicanálise,Música,EJA,Ensino de Geografia,Matemática,Educação Física,História,Neuropsicologia Clínica,Psicologia Educacional,Em Atendimento Educacional Especializado Ênfase em Educação Especial e Inclusiva,Neuropsicanálise Clínica,Sexologia,Ciê"&amp;"ncias Sociais,Geografia,Em Letras– Português e Espanhol,Arteterapia,Pedagogia para Bacharéis e Tecnólogos,Neuropsicopedagogia Institucional, Clínica e Hospitalar,Sociologia,Musicoterapia,Artes Visuais,Letras Português - Libras,Letras Português/Inglês,Neur"&amp;"opsicologia,Educação Musical Inovadora,Neuropsicopedagogia Institucional,Neuropsicopedagogia Clínica e Institucional,Engenharia e Segurança do Trabalho,Educação especial,Gestão Educacional,Psicopedagogia,Ensino de Matemática,Inspeção escolar,Educação Musi"&amp;"cal,História e Matemática,Ciência da Religião,Ensino de Literatura e Produção de Textos em Língua Espanhola,Língua Portuguesa, Redação e Oratória,Música, Cultura e Sociedade,Filosofia,Neuropsicopedagogia"</formula1>
    </dataValidation>
    <dataValidation type="list" allowBlank="1" showErrorMessage="1" sqref="G2">
      <formula1>"Entregue e Deferida,Não encaminhou nenhum documento,Incompleto"</formula1>
    </dataValidation>
    <dataValidation type="list" allowBlank="1" showErrorMessage="1" sqref="A2:A20 A22:A136">
      <formula1>"Urgente,Mediana,Normal,Análise Concluída,Falta Tutoria,Falta Documentação,Falta Financeiro,Falta Plataforma,Aluno certificado,Aluno no Setor de Cobrança,Processo de certificação,Falta extensão,Aguardando Gringa voltar,Analisando Caso"</formula1>
    </dataValidation>
    <dataValidation type="list" allowBlank="1" showErrorMessage="1" sqref="G3:G20 G22:G136">
      <formula1>"Entregue e Deferida,Não encaminhou nenhum documento,Incompleto,Não Localizado,Em análise"</formula1>
    </dataValidation>
  </dataValidations>
  <printOptions gridLines="1" horizontalCentered="1"/>
  <pageMargins bottom="0.75" footer="0.0" header="0.0" left="0.7" right="0.7" top="0.75"/>
  <pageSetup fitToHeight="0" paperSize="9" cellComments="atEnd" orientation="landscape" pageOrder="overThenDown"/>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2.0" topLeftCell="C1" activePane="topRight" state="frozen"/>
      <selection activeCell="D2" sqref="D2" pane="topRight"/>
    </sheetView>
  </sheetViews>
  <sheetFormatPr customHeight="1" defaultColWidth="12.63" defaultRowHeight="15.75"/>
  <cols>
    <col customWidth="1" min="1" max="1" width="20.75"/>
    <col customWidth="1" min="2" max="2" width="40.0"/>
    <col customWidth="1" min="3" max="4" width="26.5"/>
    <col customWidth="1" min="5" max="5" width="36.5"/>
    <col customWidth="1" min="6" max="6" width="90.25"/>
    <col customWidth="1" min="7" max="7" width="54.63"/>
    <col customWidth="1" min="8" max="8" width="34.5"/>
    <col customWidth="1" min="9" max="9" width="42.63"/>
    <col customWidth="1" min="10" max="10" width="39.88"/>
    <col customWidth="1" min="11" max="11" width="47.0"/>
    <col customWidth="1" min="12" max="12" width="56.13"/>
    <col customWidth="1" min="13" max="13" width="64.0"/>
    <col customWidth="1" min="14" max="14" width="32.13"/>
    <col customWidth="1" min="15" max="15" width="29.38"/>
    <col customWidth="1" min="16" max="17" width="98.75"/>
    <col customWidth="1" min="18" max="18" width="34.5"/>
    <col customWidth="1" min="19" max="19" width="56.75"/>
    <col customWidth="1" min="20" max="20" width="39.88"/>
  </cols>
  <sheetData>
    <row r="1" ht="43.5" customHeight="1">
      <c r="A1" s="307" t="s">
        <v>5173</v>
      </c>
      <c r="B1" s="307" t="s">
        <v>2</v>
      </c>
      <c r="C1" s="307" t="s">
        <v>1384</v>
      </c>
      <c r="D1" s="307" t="s">
        <v>5174</v>
      </c>
      <c r="E1" s="308" t="s">
        <v>4</v>
      </c>
      <c r="F1" s="307" t="s">
        <v>568</v>
      </c>
      <c r="G1" s="307" t="s">
        <v>569</v>
      </c>
      <c r="H1" s="307" t="s">
        <v>5175</v>
      </c>
      <c r="I1" s="307" t="s">
        <v>5176</v>
      </c>
      <c r="J1" s="307" t="s">
        <v>572</v>
      </c>
      <c r="K1" s="307" t="s">
        <v>5502</v>
      </c>
      <c r="L1" s="307" t="s">
        <v>5503</v>
      </c>
      <c r="M1" s="307" t="s">
        <v>5504</v>
      </c>
      <c r="N1" s="307" t="s">
        <v>5505</v>
      </c>
      <c r="O1" s="345"/>
      <c r="P1" s="346"/>
      <c r="Q1" s="346"/>
      <c r="R1" s="346"/>
      <c r="S1" s="346"/>
      <c r="T1" s="346"/>
    </row>
    <row r="2">
      <c r="A2" s="316"/>
      <c r="B2" s="310" t="s">
        <v>5506</v>
      </c>
      <c r="C2" s="333"/>
      <c r="D2" s="311" t="s">
        <v>5179</v>
      </c>
      <c r="E2" s="312" t="s">
        <v>5215</v>
      </c>
      <c r="F2" s="347"/>
      <c r="G2" s="333"/>
      <c r="H2" s="316"/>
      <c r="I2" s="348"/>
      <c r="J2" s="316"/>
      <c r="K2" s="349"/>
      <c r="L2" s="335"/>
      <c r="M2" s="318"/>
      <c r="N2" s="318"/>
      <c r="O2" s="337"/>
      <c r="P2" s="337"/>
      <c r="Q2" s="318"/>
      <c r="R2" s="335"/>
      <c r="S2" s="335"/>
      <c r="T2" s="350"/>
      <c r="U2" s="351"/>
      <c r="V2" s="351"/>
      <c r="W2" s="351"/>
      <c r="X2" s="351"/>
      <c r="Y2" s="351"/>
      <c r="Z2" s="351"/>
    </row>
    <row r="3">
      <c r="A3" s="309" t="s">
        <v>622</v>
      </c>
      <c r="B3" s="352" t="s">
        <v>5507</v>
      </c>
      <c r="C3" s="311" t="s">
        <v>556</v>
      </c>
      <c r="D3" s="311" t="s">
        <v>5179</v>
      </c>
      <c r="E3" s="312" t="s">
        <v>1673</v>
      </c>
      <c r="F3" s="347"/>
      <c r="G3" s="333"/>
      <c r="H3" s="316"/>
      <c r="I3" s="348"/>
      <c r="J3" s="316"/>
      <c r="K3" s="349"/>
      <c r="L3" s="335"/>
      <c r="M3" s="318"/>
      <c r="N3" s="318"/>
      <c r="O3" s="337"/>
      <c r="P3" s="337"/>
      <c r="Q3" s="318"/>
      <c r="R3" s="335"/>
      <c r="S3" s="335"/>
      <c r="T3" s="350"/>
      <c r="U3" s="351"/>
      <c r="V3" s="351"/>
      <c r="W3" s="351"/>
      <c r="X3" s="351"/>
      <c r="Y3" s="351"/>
      <c r="Z3" s="351"/>
    </row>
    <row r="4">
      <c r="A4" s="309" t="s">
        <v>622</v>
      </c>
      <c r="B4" s="310" t="s">
        <v>5508</v>
      </c>
      <c r="C4" s="344">
        <v>2.0104782234E10</v>
      </c>
      <c r="D4" s="311" t="s">
        <v>5203</v>
      </c>
      <c r="E4" s="312" t="s">
        <v>1673</v>
      </c>
      <c r="F4" s="347"/>
      <c r="G4" s="333"/>
      <c r="H4" s="316"/>
      <c r="I4" s="348"/>
      <c r="J4" s="316"/>
      <c r="K4" s="349"/>
      <c r="L4" s="335"/>
      <c r="M4" s="318"/>
      <c r="N4" s="318"/>
      <c r="O4" s="337"/>
      <c r="P4" s="337"/>
      <c r="Q4" s="318"/>
      <c r="R4" s="335"/>
      <c r="S4" s="335"/>
      <c r="T4" s="350"/>
      <c r="U4" s="351"/>
      <c r="V4" s="351"/>
      <c r="W4" s="351"/>
      <c r="X4" s="351"/>
      <c r="Y4" s="351"/>
      <c r="Z4" s="351"/>
    </row>
    <row r="5">
      <c r="A5" s="309" t="s">
        <v>622</v>
      </c>
      <c r="B5" s="310" t="s">
        <v>5410</v>
      </c>
      <c r="C5" s="344" t="s">
        <v>5411</v>
      </c>
      <c r="D5" s="311" t="s">
        <v>5199</v>
      </c>
      <c r="E5" s="312" t="s">
        <v>5218</v>
      </c>
      <c r="F5" s="347"/>
      <c r="G5" s="333"/>
      <c r="H5" s="316"/>
      <c r="I5" s="348"/>
      <c r="J5" s="316"/>
      <c r="K5" s="349"/>
      <c r="L5" s="335"/>
      <c r="M5" s="318"/>
      <c r="N5" s="318"/>
      <c r="O5" s="337"/>
      <c r="P5" s="337"/>
      <c r="Q5" s="318"/>
      <c r="R5" s="335"/>
      <c r="S5" s="335"/>
      <c r="T5" s="350"/>
      <c r="U5" s="351"/>
      <c r="V5" s="351"/>
      <c r="W5" s="351"/>
      <c r="X5" s="351"/>
      <c r="Y5" s="351"/>
      <c r="Z5" s="351"/>
    </row>
    <row r="6">
      <c r="A6" s="309" t="s">
        <v>622</v>
      </c>
      <c r="B6" s="310" t="s">
        <v>5201</v>
      </c>
      <c r="C6" s="344">
        <v>1.2614151408E10</v>
      </c>
      <c r="D6" s="311" t="s">
        <v>5179</v>
      </c>
      <c r="E6" s="312" t="s">
        <v>5264</v>
      </c>
      <c r="F6" s="347"/>
      <c r="G6" s="333"/>
      <c r="H6" s="316"/>
      <c r="I6" s="348"/>
      <c r="J6" s="316"/>
      <c r="K6" s="349"/>
      <c r="L6" s="335"/>
      <c r="M6" s="318"/>
      <c r="N6" s="318"/>
      <c r="O6" s="337"/>
      <c r="P6" s="337"/>
      <c r="Q6" s="318"/>
      <c r="R6" s="335"/>
      <c r="S6" s="335"/>
      <c r="T6" s="350"/>
      <c r="U6" s="351"/>
      <c r="V6" s="351"/>
      <c r="W6" s="351"/>
      <c r="X6" s="351"/>
      <c r="Y6" s="351"/>
      <c r="Z6" s="351"/>
    </row>
    <row r="7">
      <c r="A7" s="309" t="s">
        <v>622</v>
      </c>
      <c r="B7" s="310" t="s">
        <v>5201</v>
      </c>
      <c r="C7" s="311">
        <v>1.2614151408E10</v>
      </c>
      <c r="D7" s="311" t="s">
        <v>5199</v>
      </c>
      <c r="E7" s="312" t="s">
        <v>5509</v>
      </c>
      <c r="F7" s="347"/>
      <c r="G7" s="333"/>
      <c r="H7" s="316"/>
      <c r="I7" s="348"/>
      <c r="J7" s="316"/>
      <c r="K7" s="349"/>
      <c r="L7" s="335"/>
      <c r="M7" s="318"/>
      <c r="N7" s="318"/>
      <c r="O7" s="337"/>
      <c r="P7" s="337"/>
      <c r="Q7" s="318"/>
      <c r="R7" s="335"/>
      <c r="S7" s="335"/>
      <c r="T7" s="350"/>
      <c r="U7" s="351"/>
      <c r="V7" s="351"/>
      <c r="W7" s="351"/>
      <c r="X7" s="351"/>
      <c r="Y7" s="351"/>
      <c r="Z7" s="351"/>
    </row>
    <row r="8">
      <c r="A8" s="309" t="s">
        <v>622</v>
      </c>
      <c r="B8" s="310" t="s">
        <v>5510</v>
      </c>
      <c r="C8" s="344">
        <v>7.6745252953E10</v>
      </c>
      <c r="D8" s="311" t="s">
        <v>5179</v>
      </c>
      <c r="E8" s="312" t="s">
        <v>5358</v>
      </c>
      <c r="F8" s="347"/>
      <c r="G8" s="333"/>
      <c r="H8" s="316"/>
      <c r="I8" s="348"/>
      <c r="J8" s="316"/>
      <c r="K8" s="349"/>
      <c r="L8" s="335"/>
      <c r="M8" s="318"/>
      <c r="N8" s="318"/>
      <c r="O8" s="337"/>
      <c r="P8" s="337"/>
      <c r="Q8" s="318"/>
      <c r="R8" s="335"/>
      <c r="S8" s="335"/>
      <c r="T8" s="350"/>
      <c r="U8" s="351"/>
      <c r="V8" s="351"/>
      <c r="W8" s="351"/>
      <c r="X8" s="351"/>
      <c r="Y8" s="351"/>
      <c r="Z8" s="351"/>
    </row>
    <row r="9">
      <c r="A9" s="309" t="s">
        <v>622</v>
      </c>
      <c r="B9" s="310" t="s">
        <v>5511</v>
      </c>
      <c r="C9" s="344">
        <v>1.197818677E9</v>
      </c>
      <c r="D9" s="311" t="s">
        <v>5179</v>
      </c>
      <c r="E9" s="312" t="s">
        <v>1040</v>
      </c>
      <c r="F9" s="347"/>
      <c r="G9" s="333"/>
      <c r="H9" s="316"/>
      <c r="I9" s="348"/>
      <c r="J9" s="316"/>
      <c r="K9" s="349"/>
      <c r="L9" s="335"/>
      <c r="M9" s="318"/>
      <c r="N9" s="318"/>
      <c r="O9" s="337"/>
      <c r="P9" s="337"/>
      <c r="Q9" s="318"/>
      <c r="R9" s="335"/>
      <c r="S9" s="335"/>
      <c r="T9" s="350"/>
      <c r="U9" s="351"/>
      <c r="V9" s="351"/>
      <c r="W9" s="351"/>
      <c r="X9" s="351"/>
      <c r="Y9" s="351"/>
      <c r="Z9" s="351"/>
    </row>
    <row r="10">
      <c r="A10" s="309" t="s">
        <v>622</v>
      </c>
      <c r="B10" s="310" t="s">
        <v>5512</v>
      </c>
      <c r="C10" s="344">
        <v>1.5153220842E10</v>
      </c>
      <c r="D10" s="311" t="s">
        <v>5203</v>
      </c>
      <c r="E10" s="312" t="s">
        <v>1673</v>
      </c>
      <c r="F10" s="347"/>
      <c r="G10" s="333"/>
      <c r="H10" s="316"/>
      <c r="I10" s="348"/>
      <c r="J10" s="316"/>
      <c r="K10" s="349"/>
      <c r="L10" s="335"/>
      <c r="M10" s="318"/>
      <c r="N10" s="318"/>
      <c r="O10" s="337"/>
      <c r="P10" s="337"/>
      <c r="Q10" s="318"/>
      <c r="R10" s="335"/>
      <c r="S10" s="335"/>
      <c r="T10" s="350"/>
      <c r="U10" s="351"/>
      <c r="V10" s="351"/>
      <c r="W10" s="351"/>
      <c r="X10" s="351"/>
      <c r="Y10" s="351"/>
      <c r="Z10" s="351"/>
    </row>
    <row r="11">
      <c r="A11" s="309" t="s">
        <v>622</v>
      </c>
      <c r="B11" s="310" t="s">
        <v>5513</v>
      </c>
      <c r="C11" s="311" t="s">
        <v>5514</v>
      </c>
      <c r="D11" s="311" t="s">
        <v>5179</v>
      </c>
      <c r="E11" s="312" t="s">
        <v>5264</v>
      </c>
      <c r="F11" s="347"/>
      <c r="G11" s="333"/>
      <c r="H11" s="316"/>
      <c r="I11" s="348"/>
      <c r="J11" s="316"/>
      <c r="K11" s="349"/>
      <c r="L11" s="335"/>
      <c r="M11" s="318"/>
      <c r="N11" s="318"/>
      <c r="O11" s="337"/>
      <c r="P11" s="337"/>
      <c r="Q11" s="318"/>
      <c r="R11" s="335"/>
      <c r="S11" s="335"/>
      <c r="T11" s="350"/>
      <c r="U11" s="351"/>
      <c r="V11" s="351"/>
      <c r="W11" s="351"/>
      <c r="X11" s="351"/>
      <c r="Y11" s="351"/>
      <c r="Z11" s="351"/>
    </row>
    <row r="12">
      <c r="A12" s="309" t="s">
        <v>622</v>
      </c>
      <c r="B12" s="310" t="s">
        <v>5513</v>
      </c>
      <c r="C12" s="344" t="s">
        <v>5514</v>
      </c>
      <c r="D12" s="311" t="s">
        <v>5199</v>
      </c>
      <c r="E12" s="312" t="s">
        <v>5515</v>
      </c>
      <c r="F12" s="347"/>
      <c r="G12" s="333"/>
      <c r="H12" s="316"/>
      <c r="I12" s="348"/>
      <c r="J12" s="316"/>
      <c r="K12" s="349"/>
      <c r="L12" s="335"/>
      <c r="M12" s="318"/>
      <c r="N12" s="318"/>
      <c r="O12" s="337"/>
      <c r="P12" s="337"/>
      <c r="Q12" s="318"/>
      <c r="R12" s="335"/>
      <c r="S12" s="335"/>
      <c r="T12" s="350"/>
      <c r="U12" s="351"/>
      <c r="V12" s="351"/>
      <c r="W12" s="351"/>
      <c r="X12" s="351"/>
      <c r="Y12" s="351"/>
      <c r="Z12" s="351"/>
    </row>
    <row r="13">
      <c r="A13" s="309" t="s">
        <v>622</v>
      </c>
      <c r="B13" s="310" t="s">
        <v>5516</v>
      </c>
      <c r="C13" s="344" t="s">
        <v>5517</v>
      </c>
      <c r="D13" s="311" t="s">
        <v>5179</v>
      </c>
      <c r="E13" s="312" t="s">
        <v>5331</v>
      </c>
      <c r="F13" s="347"/>
      <c r="G13" s="333"/>
      <c r="H13" s="316"/>
      <c r="I13" s="348"/>
      <c r="J13" s="316"/>
      <c r="K13" s="349"/>
      <c r="L13" s="335"/>
      <c r="M13" s="318"/>
      <c r="N13" s="318"/>
      <c r="O13" s="337"/>
      <c r="P13" s="337"/>
      <c r="Q13" s="318"/>
      <c r="R13" s="335"/>
      <c r="S13" s="335"/>
      <c r="T13" s="350"/>
      <c r="U13" s="351"/>
      <c r="V13" s="351"/>
      <c r="W13" s="351"/>
      <c r="X13" s="351"/>
      <c r="Y13" s="351"/>
      <c r="Z13" s="351"/>
    </row>
    <row r="14">
      <c r="A14" s="309" t="s">
        <v>622</v>
      </c>
      <c r="B14" s="310" t="s">
        <v>5516</v>
      </c>
      <c r="C14" s="311" t="s">
        <v>5517</v>
      </c>
      <c r="D14" s="311" t="s">
        <v>5179</v>
      </c>
      <c r="E14" s="312" t="s">
        <v>5480</v>
      </c>
      <c r="F14" s="347"/>
      <c r="G14" s="333"/>
      <c r="H14" s="316"/>
      <c r="I14" s="348"/>
      <c r="J14" s="316"/>
      <c r="K14" s="349"/>
      <c r="L14" s="335"/>
      <c r="M14" s="318"/>
      <c r="N14" s="318"/>
      <c r="O14" s="337"/>
      <c r="P14" s="337"/>
      <c r="Q14" s="318"/>
      <c r="R14" s="335"/>
      <c r="S14" s="335"/>
      <c r="T14" s="350"/>
      <c r="U14" s="351"/>
      <c r="V14" s="351"/>
      <c r="W14" s="351"/>
      <c r="X14" s="351"/>
      <c r="Y14" s="351"/>
      <c r="Z14" s="351"/>
    </row>
    <row r="15">
      <c r="A15" s="309" t="s">
        <v>622</v>
      </c>
      <c r="B15" s="353" t="s">
        <v>5518</v>
      </c>
      <c r="C15" s="311" t="s">
        <v>556</v>
      </c>
      <c r="D15" s="311" t="s">
        <v>5179</v>
      </c>
      <c r="E15" s="312" t="s">
        <v>5368</v>
      </c>
      <c r="F15" s="347"/>
      <c r="G15" s="333"/>
      <c r="H15" s="316"/>
      <c r="I15" s="348"/>
      <c r="J15" s="316"/>
      <c r="K15" s="349"/>
      <c r="L15" s="335"/>
      <c r="M15" s="318"/>
      <c r="N15" s="318"/>
      <c r="O15" s="337"/>
      <c r="P15" s="337"/>
      <c r="Q15" s="318"/>
      <c r="R15" s="335"/>
      <c r="S15" s="335"/>
      <c r="T15" s="350"/>
      <c r="U15" s="351"/>
      <c r="V15" s="351"/>
      <c r="W15" s="351"/>
      <c r="X15" s="351"/>
      <c r="Y15" s="351"/>
      <c r="Z15" s="351"/>
    </row>
    <row r="16">
      <c r="A16" s="309" t="s">
        <v>622</v>
      </c>
      <c r="B16" s="335" t="s">
        <v>5519</v>
      </c>
      <c r="C16" s="318" t="s">
        <v>5520</v>
      </c>
      <c r="D16" s="311" t="s">
        <v>5179</v>
      </c>
      <c r="E16" s="312" t="s">
        <v>5215</v>
      </c>
      <c r="F16" s="337" t="s">
        <v>5521</v>
      </c>
      <c r="G16" s="333"/>
      <c r="H16" s="314" t="s">
        <v>5181</v>
      </c>
      <c r="I16" s="348"/>
      <c r="J16" s="316"/>
      <c r="K16" s="349"/>
      <c r="L16" s="335"/>
      <c r="M16" s="318"/>
      <c r="N16" s="318"/>
      <c r="O16" s="337"/>
      <c r="P16" s="337"/>
      <c r="Q16" s="318"/>
      <c r="R16" s="335"/>
      <c r="S16" s="335"/>
      <c r="T16" s="350"/>
      <c r="U16" s="351"/>
      <c r="V16" s="351"/>
      <c r="W16" s="351"/>
      <c r="X16" s="351"/>
      <c r="Y16" s="351"/>
      <c r="Z16" s="351"/>
    </row>
    <row r="17">
      <c r="A17" s="309" t="s">
        <v>622</v>
      </c>
      <c r="B17" s="310" t="s">
        <v>5522</v>
      </c>
      <c r="C17" s="344" t="s">
        <v>5523</v>
      </c>
      <c r="D17" s="311" t="s">
        <v>5203</v>
      </c>
      <c r="E17" s="312" t="s">
        <v>5358</v>
      </c>
      <c r="F17" s="347"/>
      <c r="G17" s="333"/>
      <c r="H17" s="316"/>
      <c r="I17" s="348"/>
      <c r="J17" s="316"/>
      <c r="K17" s="349"/>
      <c r="L17" s="335"/>
      <c r="M17" s="318"/>
      <c r="N17" s="318"/>
      <c r="O17" s="337"/>
      <c r="P17" s="337"/>
      <c r="Q17" s="318"/>
      <c r="R17" s="335"/>
      <c r="S17" s="335"/>
      <c r="T17" s="350"/>
      <c r="U17" s="351"/>
      <c r="V17" s="351"/>
      <c r="W17" s="351"/>
      <c r="X17" s="351"/>
      <c r="Y17" s="351"/>
      <c r="Z17" s="351"/>
    </row>
    <row r="18">
      <c r="A18" s="309" t="s">
        <v>622</v>
      </c>
      <c r="B18" s="335" t="s">
        <v>5524</v>
      </c>
      <c r="C18" s="311" t="s">
        <v>556</v>
      </c>
      <c r="D18" s="311" t="s">
        <v>5203</v>
      </c>
      <c r="E18" s="312" t="s">
        <v>1040</v>
      </c>
      <c r="F18" s="347"/>
      <c r="G18" s="333"/>
      <c r="H18" s="316"/>
      <c r="I18" s="348"/>
      <c r="J18" s="316"/>
      <c r="K18" s="349"/>
      <c r="L18" s="335"/>
      <c r="M18" s="318"/>
      <c r="N18" s="318"/>
      <c r="O18" s="337"/>
      <c r="P18" s="337"/>
      <c r="Q18" s="318"/>
      <c r="R18" s="335"/>
      <c r="S18" s="335"/>
      <c r="T18" s="350"/>
      <c r="U18" s="351"/>
      <c r="V18" s="351"/>
      <c r="W18" s="351"/>
      <c r="X18" s="351"/>
      <c r="Y18" s="351"/>
      <c r="Z18" s="351"/>
    </row>
    <row r="19">
      <c r="A19" s="309" t="s">
        <v>622</v>
      </c>
      <c r="B19" s="310" t="s">
        <v>5525</v>
      </c>
      <c r="C19" s="344">
        <v>4.3150877857E10</v>
      </c>
      <c r="D19" s="311" t="s">
        <v>5179</v>
      </c>
      <c r="E19" s="312" t="s">
        <v>5436</v>
      </c>
      <c r="F19" s="347"/>
      <c r="G19" s="333"/>
      <c r="H19" s="316"/>
      <c r="I19" s="348"/>
      <c r="J19" s="316"/>
      <c r="K19" s="349"/>
      <c r="L19" s="335"/>
      <c r="M19" s="318"/>
      <c r="N19" s="318"/>
      <c r="O19" s="337"/>
      <c r="P19" s="337"/>
      <c r="Q19" s="318"/>
      <c r="R19" s="335"/>
      <c r="S19" s="335"/>
      <c r="T19" s="350"/>
      <c r="U19" s="351"/>
      <c r="V19" s="351"/>
      <c r="W19" s="351"/>
      <c r="X19" s="351"/>
      <c r="Y19" s="351"/>
      <c r="Z19" s="351"/>
    </row>
    <row r="20">
      <c r="A20" s="309" t="s">
        <v>622</v>
      </c>
      <c r="B20" s="310" t="s">
        <v>5526</v>
      </c>
      <c r="C20" s="344" t="s">
        <v>5527</v>
      </c>
      <c r="D20" s="311" t="s">
        <v>5199</v>
      </c>
      <c r="E20" s="312" t="s">
        <v>5528</v>
      </c>
      <c r="F20" s="347"/>
      <c r="G20" s="333"/>
      <c r="H20" s="316"/>
      <c r="I20" s="348"/>
      <c r="J20" s="316"/>
      <c r="K20" s="349"/>
      <c r="L20" s="335"/>
      <c r="M20" s="318"/>
      <c r="N20" s="318"/>
      <c r="O20" s="337"/>
      <c r="P20" s="337"/>
      <c r="Q20" s="318"/>
      <c r="R20" s="335"/>
      <c r="S20" s="335"/>
      <c r="T20" s="350"/>
      <c r="U20" s="351"/>
      <c r="V20" s="351"/>
      <c r="W20" s="351"/>
      <c r="X20" s="351"/>
      <c r="Y20" s="351"/>
      <c r="Z20" s="351"/>
    </row>
    <row r="21">
      <c r="A21" s="309" t="s">
        <v>622</v>
      </c>
      <c r="B21" s="310" t="s">
        <v>5529</v>
      </c>
      <c r="C21" s="311" t="s">
        <v>556</v>
      </c>
      <c r="D21" s="311" t="s">
        <v>5203</v>
      </c>
      <c r="E21" s="312" t="s">
        <v>996</v>
      </c>
      <c r="F21" s="347"/>
      <c r="G21" s="333"/>
      <c r="H21" s="316"/>
      <c r="I21" s="348"/>
      <c r="J21" s="316"/>
      <c r="K21" s="349"/>
      <c r="L21" s="335"/>
      <c r="M21" s="318"/>
      <c r="N21" s="318"/>
      <c r="O21" s="337"/>
      <c r="P21" s="337"/>
      <c r="Q21" s="318"/>
      <c r="R21" s="335"/>
      <c r="S21" s="335"/>
      <c r="T21" s="350"/>
      <c r="U21" s="351"/>
      <c r="V21" s="351"/>
      <c r="W21" s="351"/>
      <c r="X21" s="351"/>
      <c r="Y21" s="351"/>
      <c r="Z21" s="351"/>
    </row>
    <row r="22">
      <c r="A22" s="309" t="s">
        <v>622</v>
      </c>
      <c r="B22" s="310" t="s">
        <v>5287</v>
      </c>
      <c r="C22" s="311" t="s">
        <v>556</v>
      </c>
      <c r="D22" s="311" t="s">
        <v>5203</v>
      </c>
      <c r="E22" s="312" t="s">
        <v>5244</v>
      </c>
      <c r="F22" s="347"/>
      <c r="G22" s="333"/>
      <c r="H22" s="316"/>
      <c r="I22" s="348"/>
      <c r="J22" s="316"/>
      <c r="K22" s="349"/>
      <c r="L22" s="335"/>
      <c r="M22" s="318"/>
      <c r="N22" s="318"/>
      <c r="O22" s="337"/>
      <c r="P22" s="337"/>
      <c r="Q22" s="318"/>
      <c r="R22" s="335"/>
      <c r="S22" s="335"/>
      <c r="T22" s="350"/>
      <c r="U22" s="351"/>
      <c r="V22" s="351"/>
      <c r="W22" s="351"/>
      <c r="X22" s="351"/>
      <c r="Y22" s="351"/>
      <c r="Z22" s="351"/>
    </row>
    <row r="23">
      <c r="A23" s="309" t="s">
        <v>622</v>
      </c>
      <c r="B23" s="310" t="s">
        <v>5530</v>
      </c>
      <c r="C23" s="344">
        <v>7.626947932E9</v>
      </c>
      <c r="D23" s="311" t="s">
        <v>5203</v>
      </c>
      <c r="E23" s="312" t="s">
        <v>1673</v>
      </c>
      <c r="F23" s="347"/>
      <c r="G23" s="333"/>
      <c r="H23" s="316"/>
      <c r="I23" s="348"/>
      <c r="J23" s="316"/>
      <c r="K23" s="349"/>
      <c r="L23" s="335"/>
      <c r="M23" s="318"/>
      <c r="N23" s="318"/>
      <c r="O23" s="337"/>
      <c r="P23" s="337"/>
      <c r="Q23" s="318"/>
      <c r="R23" s="335"/>
      <c r="S23" s="335"/>
      <c r="T23" s="337"/>
      <c r="U23" s="351"/>
      <c r="V23" s="351"/>
      <c r="W23" s="351"/>
      <c r="X23" s="351"/>
      <c r="Y23" s="351"/>
      <c r="Z23" s="351"/>
    </row>
    <row r="24">
      <c r="A24" s="309" t="s">
        <v>580</v>
      </c>
      <c r="B24" s="310" t="s">
        <v>5531</v>
      </c>
      <c r="C24" s="311" t="s">
        <v>5532</v>
      </c>
      <c r="D24" s="311" t="s">
        <v>5179</v>
      </c>
      <c r="E24" s="312" t="s">
        <v>1040</v>
      </c>
      <c r="F24" s="337" t="s">
        <v>5533</v>
      </c>
      <c r="G24" s="333"/>
      <c r="H24" s="314" t="s">
        <v>5181</v>
      </c>
      <c r="I24" s="348"/>
      <c r="J24" s="316"/>
      <c r="K24" s="349"/>
      <c r="L24" s="335"/>
      <c r="M24" s="318"/>
      <c r="N24" s="318"/>
      <c r="O24" s="337"/>
      <c r="P24" s="337"/>
      <c r="Q24" s="318"/>
      <c r="R24" s="335"/>
      <c r="S24" s="335"/>
      <c r="T24" s="350"/>
      <c r="U24" s="351"/>
      <c r="V24" s="351"/>
      <c r="W24" s="351"/>
      <c r="X24" s="351"/>
      <c r="Y24" s="351"/>
      <c r="Z24" s="351"/>
    </row>
    <row r="25">
      <c r="A25" s="309" t="s">
        <v>622</v>
      </c>
      <c r="B25" s="310" t="s">
        <v>5534</v>
      </c>
      <c r="C25" s="311">
        <v>2.249872244E9</v>
      </c>
      <c r="D25" s="311" t="s">
        <v>5203</v>
      </c>
      <c r="E25" s="312" t="s">
        <v>1040</v>
      </c>
      <c r="F25" s="354"/>
      <c r="G25" s="333"/>
      <c r="H25" s="316"/>
      <c r="I25" s="348"/>
      <c r="J25" s="316"/>
      <c r="K25" s="335"/>
      <c r="L25" s="335"/>
      <c r="M25" s="318"/>
      <c r="N25" s="318"/>
      <c r="O25" s="335"/>
      <c r="P25" s="335"/>
      <c r="Q25" s="318"/>
      <c r="R25" s="335"/>
      <c r="S25" s="335"/>
      <c r="T25" s="335"/>
      <c r="U25" s="351"/>
      <c r="V25" s="351"/>
      <c r="W25" s="351"/>
      <c r="X25" s="351"/>
      <c r="Y25" s="351"/>
      <c r="Z25" s="351"/>
    </row>
    <row r="26">
      <c r="A26" s="309" t="s">
        <v>622</v>
      </c>
      <c r="B26" s="310" t="s">
        <v>4858</v>
      </c>
      <c r="C26" s="311">
        <v>4.693268402E9</v>
      </c>
      <c r="D26" s="311" t="s">
        <v>5199</v>
      </c>
      <c r="E26" s="312" t="s">
        <v>5433</v>
      </c>
      <c r="F26" s="354"/>
      <c r="G26" s="333"/>
      <c r="H26" s="316"/>
      <c r="I26" s="348"/>
      <c r="J26" s="316"/>
      <c r="K26" s="349"/>
      <c r="L26" s="335"/>
      <c r="M26" s="318"/>
      <c r="N26" s="318"/>
      <c r="O26" s="337"/>
      <c r="P26" s="337"/>
      <c r="Q26" s="318"/>
      <c r="R26" s="335"/>
      <c r="S26" s="335"/>
      <c r="T26" s="350"/>
      <c r="U26" s="351"/>
      <c r="V26" s="351"/>
      <c r="W26" s="351"/>
      <c r="X26" s="351"/>
      <c r="Y26" s="351"/>
      <c r="Z26" s="351"/>
    </row>
    <row r="27">
      <c r="A27" s="309" t="s">
        <v>622</v>
      </c>
      <c r="B27" s="335" t="s">
        <v>5482</v>
      </c>
      <c r="C27" s="318" t="s">
        <v>5483</v>
      </c>
      <c r="D27" s="311" t="s">
        <v>5179</v>
      </c>
      <c r="E27" s="312" t="s">
        <v>1673</v>
      </c>
      <c r="F27" s="337" t="s">
        <v>5535</v>
      </c>
      <c r="G27" s="311" t="s">
        <v>2713</v>
      </c>
      <c r="H27" s="314" t="s">
        <v>5181</v>
      </c>
      <c r="I27" s="348"/>
      <c r="J27" s="316"/>
      <c r="K27" s="349"/>
      <c r="L27" s="335"/>
      <c r="M27" s="318"/>
      <c r="N27" s="318"/>
      <c r="O27" s="337"/>
      <c r="P27" s="337"/>
      <c r="Q27" s="318"/>
      <c r="R27" s="335"/>
      <c r="S27" s="335"/>
      <c r="T27" s="350"/>
      <c r="U27" s="351"/>
      <c r="V27" s="351"/>
      <c r="W27" s="351"/>
      <c r="X27" s="351"/>
      <c r="Y27" s="351"/>
      <c r="Z27" s="351"/>
    </row>
    <row r="28">
      <c r="A28" s="316"/>
      <c r="B28" s="335" t="s">
        <v>5536</v>
      </c>
      <c r="C28" s="355"/>
      <c r="D28" s="311" t="s">
        <v>5203</v>
      </c>
      <c r="E28" s="312" t="s">
        <v>5537</v>
      </c>
      <c r="F28" s="354"/>
      <c r="G28" s="333"/>
      <c r="H28" s="316"/>
      <c r="I28" s="348"/>
      <c r="J28" s="316"/>
      <c r="K28" s="349"/>
      <c r="L28" s="335"/>
      <c r="M28" s="318"/>
      <c r="N28" s="318"/>
      <c r="O28" s="337"/>
      <c r="P28" s="337"/>
      <c r="Q28" s="318"/>
      <c r="R28" s="335"/>
      <c r="S28" s="335"/>
      <c r="T28" s="350"/>
      <c r="U28" s="351"/>
      <c r="V28" s="351"/>
      <c r="W28" s="351"/>
      <c r="X28" s="351"/>
      <c r="Y28" s="351"/>
      <c r="Z28" s="351"/>
    </row>
    <row r="29">
      <c r="A29" s="316"/>
      <c r="B29" s="335" t="s">
        <v>5538</v>
      </c>
      <c r="C29" s="333"/>
      <c r="D29" s="311" t="s">
        <v>5179</v>
      </c>
      <c r="E29" s="312" t="s">
        <v>1673</v>
      </c>
      <c r="F29" s="354"/>
      <c r="G29" s="333"/>
      <c r="H29" s="316"/>
      <c r="I29" s="348"/>
      <c r="J29" s="316"/>
      <c r="K29" s="349"/>
      <c r="L29" s="335"/>
      <c r="M29" s="318"/>
      <c r="N29" s="318"/>
      <c r="O29" s="337"/>
      <c r="P29" s="337"/>
      <c r="Q29" s="318"/>
      <c r="R29" s="335"/>
      <c r="S29" s="335"/>
      <c r="T29" s="350"/>
      <c r="U29" s="351"/>
      <c r="V29" s="351"/>
      <c r="W29" s="351"/>
      <c r="X29" s="351"/>
      <c r="Y29" s="351"/>
      <c r="Z29" s="351"/>
    </row>
    <row r="30">
      <c r="A30" s="316"/>
      <c r="B30" s="335" t="s">
        <v>5539</v>
      </c>
      <c r="C30" s="333"/>
      <c r="D30" s="311" t="s">
        <v>5203</v>
      </c>
      <c r="E30" s="312" t="s">
        <v>1673</v>
      </c>
      <c r="F30" s="354"/>
      <c r="G30" s="333"/>
      <c r="H30" s="316"/>
      <c r="I30" s="348"/>
      <c r="J30" s="316"/>
      <c r="K30" s="349"/>
      <c r="L30" s="335"/>
      <c r="M30" s="318"/>
      <c r="N30" s="318"/>
      <c r="O30" s="337"/>
      <c r="P30" s="337"/>
      <c r="Q30" s="318"/>
      <c r="R30" s="335"/>
      <c r="S30" s="335"/>
      <c r="T30" s="335"/>
      <c r="U30" s="351"/>
      <c r="V30" s="351"/>
      <c r="W30" s="351"/>
      <c r="X30" s="351"/>
      <c r="Y30" s="351"/>
      <c r="Z30" s="351"/>
    </row>
    <row r="31">
      <c r="A31" s="316"/>
      <c r="B31" s="335" t="s">
        <v>5540</v>
      </c>
      <c r="C31" s="333"/>
      <c r="D31" s="311" t="s">
        <v>5179</v>
      </c>
      <c r="E31" s="312" t="s">
        <v>5244</v>
      </c>
      <c r="F31" s="354"/>
      <c r="G31" s="333"/>
      <c r="H31" s="316"/>
      <c r="I31" s="348"/>
      <c r="J31" s="316"/>
      <c r="K31" s="349"/>
      <c r="L31" s="335"/>
      <c r="M31" s="318"/>
      <c r="N31" s="318"/>
      <c r="O31" s="337"/>
      <c r="P31" s="337"/>
      <c r="Q31" s="318"/>
      <c r="R31" s="335"/>
      <c r="S31" s="335"/>
      <c r="T31" s="350"/>
      <c r="U31" s="351"/>
      <c r="V31" s="351"/>
      <c r="W31" s="351"/>
      <c r="X31" s="351"/>
      <c r="Y31" s="351"/>
      <c r="Z31" s="351"/>
    </row>
    <row r="32">
      <c r="A32" s="316"/>
      <c r="B32" s="335" t="s">
        <v>5541</v>
      </c>
      <c r="C32" s="333"/>
      <c r="D32" s="311" t="s">
        <v>5179</v>
      </c>
      <c r="E32" s="312" t="s">
        <v>5264</v>
      </c>
      <c r="F32" s="354"/>
      <c r="G32" s="333"/>
      <c r="H32" s="316"/>
      <c r="I32" s="348"/>
      <c r="J32" s="316"/>
      <c r="K32" s="349"/>
      <c r="L32" s="335"/>
      <c r="M32" s="318"/>
      <c r="N32" s="318"/>
      <c r="O32" s="337"/>
      <c r="P32" s="337"/>
      <c r="Q32" s="318"/>
      <c r="R32" s="335"/>
      <c r="S32" s="335"/>
      <c r="T32" s="350"/>
      <c r="U32" s="351"/>
      <c r="V32" s="351"/>
      <c r="W32" s="351"/>
      <c r="X32" s="351"/>
      <c r="Y32" s="351"/>
      <c r="Z32" s="351"/>
    </row>
    <row r="33">
      <c r="A33" s="316"/>
      <c r="B33" s="335" t="s">
        <v>5542</v>
      </c>
      <c r="C33" s="333"/>
      <c r="D33" s="311" t="s">
        <v>5179</v>
      </c>
      <c r="E33" s="312" t="s">
        <v>5358</v>
      </c>
      <c r="F33" s="354"/>
      <c r="G33" s="333"/>
      <c r="H33" s="316"/>
      <c r="I33" s="348"/>
      <c r="J33" s="316"/>
      <c r="K33" s="349"/>
      <c r="L33" s="335"/>
      <c r="M33" s="318"/>
      <c r="N33" s="318"/>
      <c r="O33" s="337"/>
      <c r="P33" s="337"/>
      <c r="Q33" s="318"/>
      <c r="R33" s="335"/>
      <c r="S33" s="337"/>
      <c r="T33" s="350"/>
      <c r="U33" s="351"/>
      <c r="V33" s="351"/>
      <c r="W33" s="351"/>
      <c r="X33" s="351"/>
      <c r="Y33" s="351"/>
      <c r="Z33" s="351"/>
    </row>
    <row r="34">
      <c r="A34" s="309" t="s">
        <v>622</v>
      </c>
      <c r="B34" s="335" t="s">
        <v>5207</v>
      </c>
      <c r="C34" s="344" t="s">
        <v>5208</v>
      </c>
      <c r="D34" s="311" t="s">
        <v>5203</v>
      </c>
      <c r="E34" s="312" t="s">
        <v>5209</v>
      </c>
      <c r="F34" s="354"/>
      <c r="G34" s="333"/>
      <c r="H34" s="316"/>
      <c r="I34" s="348"/>
      <c r="J34" s="316"/>
      <c r="K34" s="349"/>
      <c r="L34" s="335"/>
      <c r="M34" s="318"/>
      <c r="N34" s="318"/>
      <c r="O34" s="337"/>
      <c r="P34" s="337"/>
      <c r="Q34" s="318"/>
      <c r="R34" s="335"/>
      <c r="S34" s="335"/>
      <c r="T34" s="335"/>
      <c r="U34" s="351"/>
      <c r="V34" s="351"/>
      <c r="W34" s="351"/>
      <c r="X34" s="351"/>
      <c r="Y34" s="351"/>
      <c r="Z34" s="351"/>
    </row>
    <row r="35">
      <c r="A35" s="316"/>
      <c r="B35" s="335" t="s">
        <v>5543</v>
      </c>
      <c r="C35" s="333"/>
      <c r="D35" s="311" t="s">
        <v>5179</v>
      </c>
      <c r="E35" s="312" t="s">
        <v>1040</v>
      </c>
      <c r="F35" s="354"/>
      <c r="G35" s="333"/>
      <c r="H35" s="316"/>
      <c r="I35" s="348"/>
      <c r="J35" s="316"/>
      <c r="K35" s="349"/>
      <c r="L35" s="335"/>
      <c r="M35" s="318"/>
      <c r="N35" s="318"/>
      <c r="O35" s="337"/>
      <c r="P35" s="337"/>
      <c r="Q35" s="318"/>
      <c r="R35" s="335"/>
      <c r="S35" s="335"/>
      <c r="T35" s="350"/>
      <c r="U35" s="351"/>
      <c r="V35" s="351"/>
      <c r="W35" s="351"/>
      <c r="X35" s="351"/>
      <c r="Y35" s="351"/>
      <c r="Z35" s="351"/>
    </row>
    <row r="36">
      <c r="A36" s="316"/>
      <c r="B36" s="356" t="s">
        <v>5544</v>
      </c>
      <c r="C36" s="355"/>
      <c r="D36" s="311" t="s">
        <v>5179</v>
      </c>
      <c r="E36" s="312" t="s">
        <v>1673</v>
      </c>
      <c r="F36" s="354"/>
      <c r="G36" s="333"/>
      <c r="H36" s="316"/>
      <c r="I36" s="348"/>
      <c r="J36" s="316"/>
      <c r="K36" s="349"/>
      <c r="L36" s="335"/>
      <c r="M36" s="318"/>
      <c r="N36" s="318"/>
      <c r="O36" s="337"/>
      <c r="P36" s="337"/>
      <c r="Q36" s="318"/>
      <c r="R36" s="335"/>
      <c r="S36" s="335"/>
      <c r="T36" s="350"/>
      <c r="U36" s="351"/>
      <c r="V36" s="351"/>
      <c r="W36" s="351"/>
      <c r="X36" s="351"/>
      <c r="Y36" s="351"/>
      <c r="Z36" s="351"/>
    </row>
    <row r="37">
      <c r="A37" s="309" t="s">
        <v>5545</v>
      </c>
      <c r="B37" s="335" t="s">
        <v>5546</v>
      </c>
      <c r="C37" s="318" t="s">
        <v>5547</v>
      </c>
      <c r="D37" s="311" t="s">
        <v>5203</v>
      </c>
      <c r="E37" s="312" t="s">
        <v>1673</v>
      </c>
      <c r="F37" s="337" t="s">
        <v>5548</v>
      </c>
      <c r="G37" s="311" t="s">
        <v>1383</v>
      </c>
      <c r="H37" s="314" t="s">
        <v>5181</v>
      </c>
      <c r="I37" s="348"/>
      <c r="J37" s="316"/>
      <c r="K37" s="349"/>
      <c r="L37" s="335"/>
      <c r="M37" s="318"/>
      <c r="N37" s="318"/>
      <c r="O37" s="337"/>
      <c r="P37" s="337"/>
      <c r="Q37" s="318"/>
      <c r="R37" s="335"/>
      <c r="S37" s="335"/>
      <c r="T37" s="350"/>
      <c r="U37" s="351"/>
      <c r="V37" s="351"/>
      <c r="W37" s="351"/>
      <c r="X37" s="351"/>
      <c r="Y37" s="351"/>
      <c r="Z37" s="351"/>
    </row>
    <row r="38">
      <c r="A38" s="309" t="s">
        <v>580</v>
      </c>
      <c r="B38" s="335" t="s">
        <v>5549</v>
      </c>
      <c r="C38" s="318" t="s">
        <v>5550</v>
      </c>
      <c r="D38" s="311" t="s">
        <v>5179</v>
      </c>
      <c r="E38" s="312" t="s">
        <v>1673</v>
      </c>
      <c r="F38" s="354"/>
      <c r="G38" s="333"/>
      <c r="H38" s="316"/>
      <c r="I38" s="348"/>
      <c r="J38" s="316"/>
      <c r="K38" s="349"/>
      <c r="L38" s="335"/>
      <c r="M38" s="318"/>
      <c r="N38" s="318"/>
      <c r="O38" s="337"/>
      <c r="P38" s="337"/>
      <c r="Q38" s="318"/>
      <c r="R38" s="335"/>
      <c r="S38" s="337"/>
      <c r="T38" s="350"/>
      <c r="U38" s="351"/>
      <c r="V38" s="351"/>
      <c r="W38" s="351"/>
      <c r="X38" s="351"/>
      <c r="Y38" s="351"/>
      <c r="Z38" s="351"/>
    </row>
    <row r="39">
      <c r="A39" s="309" t="s">
        <v>622</v>
      </c>
      <c r="B39" s="335" t="s">
        <v>4923</v>
      </c>
      <c r="C39" s="318" t="s">
        <v>4924</v>
      </c>
      <c r="D39" s="311" t="s">
        <v>5179</v>
      </c>
      <c r="E39" s="312" t="s">
        <v>1673</v>
      </c>
      <c r="F39" s="354"/>
      <c r="G39" s="333"/>
      <c r="H39" s="316"/>
      <c r="I39" s="348"/>
      <c r="J39" s="316"/>
      <c r="K39" s="349"/>
      <c r="L39" s="335"/>
      <c r="M39" s="318"/>
      <c r="N39" s="318"/>
      <c r="O39" s="337"/>
      <c r="P39" s="337"/>
      <c r="Q39" s="318"/>
      <c r="R39" s="335"/>
      <c r="S39" s="335"/>
      <c r="T39" s="350"/>
      <c r="U39" s="351"/>
      <c r="V39" s="351"/>
      <c r="W39" s="351"/>
      <c r="X39" s="351"/>
      <c r="Y39" s="351"/>
      <c r="Z39" s="351"/>
    </row>
    <row r="40">
      <c r="A40" s="309" t="s">
        <v>11</v>
      </c>
      <c r="B40" s="335" t="s">
        <v>1927</v>
      </c>
      <c r="C40" s="318" t="s">
        <v>5551</v>
      </c>
      <c r="D40" s="311" t="s">
        <v>5179</v>
      </c>
      <c r="E40" s="312" t="s">
        <v>5368</v>
      </c>
      <c r="F40" s="337" t="s">
        <v>5552</v>
      </c>
      <c r="G40" s="311" t="s">
        <v>5180</v>
      </c>
      <c r="H40" s="314" t="s">
        <v>5181</v>
      </c>
      <c r="I40" s="348"/>
      <c r="J40" s="316"/>
      <c r="K40" s="349"/>
      <c r="L40" s="335"/>
      <c r="M40" s="318"/>
      <c r="N40" s="318"/>
      <c r="O40" s="337"/>
      <c r="P40" s="337"/>
      <c r="Q40" s="318"/>
      <c r="R40" s="335"/>
      <c r="S40" s="335"/>
      <c r="T40" s="350"/>
      <c r="U40" s="351"/>
      <c r="V40" s="351"/>
      <c r="W40" s="351"/>
      <c r="X40" s="351"/>
      <c r="Y40" s="351"/>
      <c r="Z40" s="351"/>
    </row>
    <row r="41">
      <c r="A41" s="309" t="s">
        <v>622</v>
      </c>
      <c r="B41" s="335" t="s">
        <v>5490</v>
      </c>
      <c r="C41" s="318" t="s">
        <v>3684</v>
      </c>
      <c r="D41" s="311" t="s">
        <v>5179</v>
      </c>
      <c r="E41" s="312" t="s">
        <v>1040</v>
      </c>
      <c r="F41" s="354"/>
      <c r="G41" s="333"/>
      <c r="H41" s="316"/>
      <c r="I41" s="348"/>
      <c r="J41" s="316"/>
      <c r="K41" s="349"/>
      <c r="L41" s="335"/>
      <c r="M41" s="318"/>
      <c r="N41" s="318"/>
      <c r="O41" s="337"/>
      <c r="P41" s="337"/>
      <c r="Q41" s="318"/>
      <c r="R41" s="335"/>
      <c r="S41" s="335"/>
      <c r="T41" s="350"/>
      <c r="U41" s="351"/>
      <c r="V41" s="351"/>
      <c r="W41" s="351"/>
      <c r="X41" s="351"/>
      <c r="Y41" s="351"/>
      <c r="Z41" s="351"/>
    </row>
    <row r="42">
      <c r="A42" s="309" t="s">
        <v>5431</v>
      </c>
      <c r="B42" s="335" t="s">
        <v>5553</v>
      </c>
      <c r="C42" s="318" t="s">
        <v>5554</v>
      </c>
      <c r="D42" s="311" t="s">
        <v>5179</v>
      </c>
      <c r="E42" s="312" t="s">
        <v>1040</v>
      </c>
      <c r="F42" s="337" t="s">
        <v>5555</v>
      </c>
      <c r="G42" s="311" t="s">
        <v>1383</v>
      </c>
      <c r="H42" s="317" t="s">
        <v>5556</v>
      </c>
      <c r="I42" s="348"/>
      <c r="J42" s="316"/>
      <c r="K42" s="349"/>
      <c r="L42" s="335"/>
      <c r="M42" s="318"/>
      <c r="N42" s="318"/>
      <c r="O42" s="337"/>
      <c r="P42" s="337"/>
      <c r="Q42" s="318"/>
      <c r="R42" s="335"/>
      <c r="S42" s="335"/>
      <c r="T42" s="350"/>
      <c r="U42" s="351"/>
      <c r="V42" s="351"/>
      <c r="W42" s="351"/>
      <c r="X42" s="351"/>
      <c r="Y42" s="351"/>
      <c r="Z42" s="351"/>
    </row>
    <row r="43">
      <c r="A43" s="309" t="s">
        <v>580</v>
      </c>
      <c r="B43" s="335" t="s">
        <v>5557</v>
      </c>
      <c r="C43" s="318" t="s">
        <v>5558</v>
      </c>
      <c r="D43" s="311" t="s">
        <v>5199</v>
      </c>
      <c r="E43" s="312" t="s">
        <v>5326</v>
      </c>
      <c r="F43" s="337" t="s">
        <v>5559</v>
      </c>
      <c r="G43" s="311" t="s">
        <v>1383</v>
      </c>
      <c r="H43" s="317" t="s">
        <v>5556</v>
      </c>
      <c r="I43" s="348"/>
      <c r="J43" s="316"/>
      <c r="K43" s="349"/>
      <c r="L43" s="335"/>
      <c r="M43" s="318"/>
      <c r="N43" s="318"/>
      <c r="O43" s="337"/>
      <c r="P43" s="337"/>
      <c r="Q43" s="318"/>
      <c r="R43" s="335"/>
      <c r="S43" s="335"/>
      <c r="T43" s="350"/>
      <c r="U43" s="351"/>
      <c r="V43" s="351"/>
      <c r="W43" s="351"/>
      <c r="X43" s="351"/>
      <c r="Y43" s="351"/>
      <c r="Z43" s="351"/>
    </row>
    <row r="44">
      <c r="A44" s="309" t="s">
        <v>622</v>
      </c>
      <c r="B44" s="335" t="s">
        <v>5475</v>
      </c>
      <c r="C44" s="318" t="s">
        <v>5476</v>
      </c>
      <c r="D44" s="311" t="s">
        <v>5179</v>
      </c>
      <c r="E44" s="312" t="s">
        <v>1673</v>
      </c>
      <c r="F44" s="354"/>
      <c r="G44" s="333"/>
      <c r="H44" s="316"/>
      <c r="I44" s="348"/>
      <c r="J44" s="316"/>
      <c r="K44" s="349"/>
      <c r="L44" s="335"/>
      <c r="M44" s="318"/>
      <c r="N44" s="355"/>
      <c r="O44" s="354"/>
      <c r="P44" s="354"/>
      <c r="Q44" s="318"/>
      <c r="R44" s="350"/>
      <c r="S44" s="350"/>
      <c r="T44" s="350"/>
      <c r="U44" s="351"/>
      <c r="V44" s="351"/>
      <c r="W44" s="351"/>
      <c r="X44" s="351"/>
      <c r="Y44" s="351"/>
      <c r="Z44" s="351"/>
    </row>
    <row r="45">
      <c r="A45" s="309" t="s">
        <v>5431</v>
      </c>
      <c r="B45" s="335" t="s">
        <v>5560</v>
      </c>
      <c r="C45" s="318" t="s">
        <v>5551</v>
      </c>
      <c r="D45" s="311" t="s">
        <v>5199</v>
      </c>
      <c r="E45" s="312" t="s">
        <v>116</v>
      </c>
      <c r="F45" s="337" t="s">
        <v>5561</v>
      </c>
      <c r="G45" s="311" t="s">
        <v>1383</v>
      </c>
      <c r="H45" s="314" t="s">
        <v>5181</v>
      </c>
      <c r="I45" s="348"/>
      <c r="J45" s="316"/>
      <c r="K45" s="349"/>
      <c r="L45" s="335"/>
      <c r="M45" s="318"/>
      <c r="N45" s="318"/>
      <c r="O45" s="337"/>
      <c r="P45" s="354"/>
      <c r="Q45" s="318"/>
      <c r="R45" s="350"/>
      <c r="S45" s="335"/>
      <c r="T45" s="350"/>
      <c r="U45" s="351"/>
      <c r="V45" s="351"/>
      <c r="W45" s="351"/>
      <c r="X45" s="351"/>
      <c r="Y45" s="351"/>
      <c r="Z45" s="351"/>
    </row>
    <row r="46">
      <c r="A46" s="309" t="s">
        <v>580</v>
      </c>
      <c r="B46" s="335" t="s">
        <v>5511</v>
      </c>
      <c r="C46" s="318" t="s">
        <v>5562</v>
      </c>
      <c r="D46" s="311" t="s">
        <v>5179</v>
      </c>
      <c r="E46" s="312" t="s">
        <v>1040</v>
      </c>
      <c r="F46" s="354"/>
      <c r="G46" s="333"/>
      <c r="H46" s="316"/>
      <c r="I46" s="348"/>
      <c r="J46" s="316"/>
      <c r="K46" s="349"/>
      <c r="L46" s="335"/>
      <c r="M46" s="318"/>
      <c r="N46" s="318"/>
      <c r="O46" s="337"/>
      <c r="P46" s="337"/>
      <c r="Q46" s="318"/>
      <c r="R46" s="350"/>
      <c r="S46" s="335"/>
      <c r="T46" s="350"/>
      <c r="U46" s="351"/>
      <c r="V46" s="351"/>
      <c r="W46" s="351"/>
      <c r="X46" s="351"/>
      <c r="Y46" s="351"/>
      <c r="Z46" s="351"/>
    </row>
    <row r="47">
      <c r="A47" s="309" t="s">
        <v>171</v>
      </c>
      <c r="B47" s="352" t="s">
        <v>5563</v>
      </c>
      <c r="C47" s="357" t="s">
        <v>5564</v>
      </c>
      <c r="D47" s="311" t="s">
        <v>5179</v>
      </c>
      <c r="E47" s="312" t="s">
        <v>1040</v>
      </c>
      <c r="F47" s="337" t="s">
        <v>5565</v>
      </c>
      <c r="G47" s="333"/>
      <c r="H47" s="314" t="s">
        <v>5181</v>
      </c>
      <c r="I47" s="348"/>
      <c r="J47" s="316"/>
      <c r="K47" s="349"/>
      <c r="L47" s="335"/>
      <c r="M47" s="318"/>
      <c r="N47" s="318"/>
      <c r="O47" s="337"/>
      <c r="P47" s="335"/>
      <c r="Q47" s="318"/>
      <c r="R47" s="350"/>
      <c r="S47" s="335"/>
      <c r="T47" s="350"/>
      <c r="U47" s="351"/>
      <c r="V47" s="351"/>
      <c r="W47" s="351"/>
      <c r="X47" s="351"/>
      <c r="Y47" s="351"/>
      <c r="Z47" s="351"/>
    </row>
    <row r="48">
      <c r="A48" s="309" t="s">
        <v>622</v>
      </c>
      <c r="B48" s="335" t="s">
        <v>5566</v>
      </c>
      <c r="C48" s="358">
        <v>5.9527803268E10</v>
      </c>
      <c r="D48" s="311" t="s">
        <v>5179</v>
      </c>
      <c r="E48" s="312" t="s">
        <v>5264</v>
      </c>
      <c r="F48" s="337"/>
      <c r="G48" s="333"/>
      <c r="H48" s="335"/>
      <c r="I48" s="348"/>
      <c r="J48" s="335"/>
      <c r="K48" s="349"/>
      <c r="L48" s="335"/>
      <c r="M48" s="318"/>
      <c r="N48" s="318"/>
      <c r="O48" s="337"/>
      <c r="P48" s="337"/>
      <c r="Q48" s="318"/>
      <c r="R48" s="335"/>
      <c r="S48" s="335"/>
      <c r="T48" s="335"/>
      <c r="U48" s="351"/>
      <c r="V48" s="351"/>
      <c r="W48" s="351"/>
      <c r="X48" s="351"/>
      <c r="Y48" s="351"/>
      <c r="Z48" s="351"/>
    </row>
    <row r="49">
      <c r="A49" s="309" t="s">
        <v>622</v>
      </c>
      <c r="B49" s="335" t="s">
        <v>5566</v>
      </c>
      <c r="C49" s="359">
        <v>5.9527803268E10</v>
      </c>
      <c r="D49" s="311" t="s">
        <v>5199</v>
      </c>
      <c r="E49" s="312"/>
      <c r="F49" s="337"/>
      <c r="G49" s="333"/>
      <c r="H49" s="350"/>
      <c r="I49" s="348"/>
      <c r="J49" s="350"/>
      <c r="K49" s="349"/>
      <c r="L49" s="335"/>
      <c r="M49" s="318"/>
      <c r="N49" s="318"/>
      <c r="O49" s="354"/>
      <c r="P49" s="354"/>
      <c r="Q49" s="318"/>
      <c r="R49" s="350"/>
      <c r="S49" s="350"/>
      <c r="T49" s="350"/>
      <c r="U49" s="351"/>
      <c r="V49" s="351"/>
      <c r="W49" s="351"/>
      <c r="X49" s="351"/>
      <c r="Y49" s="351"/>
      <c r="Z49" s="351"/>
    </row>
    <row r="50">
      <c r="A50" s="309" t="s">
        <v>622</v>
      </c>
      <c r="B50" s="335" t="s">
        <v>5566</v>
      </c>
      <c r="C50" s="358">
        <v>5.9527803268E10</v>
      </c>
      <c r="D50" s="311" t="s">
        <v>5199</v>
      </c>
      <c r="E50" s="312"/>
      <c r="F50" s="337"/>
      <c r="G50" s="333"/>
      <c r="H50" s="350"/>
      <c r="I50" s="348"/>
      <c r="J50" s="350"/>
      <c r="K50" s="349"/>
      <c r="L50" s="335"/>
      <c r="M50" s="355"/>
      <c r="N50" s="318"/>
      <c r="O50" s="337"/>
      <c r="P50" s="354"/>
      <c r="Q50" s="318"/>
      <c r="R50" s="350"/>
      <c r="S50" s="350"/>
      <c r="T50" s="350"/>
      <c r="U50" s="351"/>
      <c r="V50" s="351"/>
      <c r="W50" s="351"/>
      <c r="X50" s="351"/>
      <c r="Y50" s="351"/>
      <c r="Z50" s="351"/>
    </row>
    <row r="51">
      <c r="A51" s="309" t="s">
        <v>5567</v>
      </c>
      <c r="B51" s="335" t="s">
        <v>5568</v>
      </c>
      <c r="C51" s="359" t="s">
        <v>5569</v>
      </c>
      <c r="D51" s="311" t="s">
        <v>5203</v>
      </c>
      <c r="E51" s="312" t="s">
        <v>5244</v>
      </c>
      <c r="F51" s="337" t="s">
        <v>5570</v>
      </c>
      <c r="G51" s="311" t="s">
        <v>2713</v>
      </c>
      <c r="H51" s="317" t="s">
        <v>5571</v>
      </c>
      <c r="I51" s="348"/>
      <c r="J51" s="350"/>
      <c r="K51" s="349"/>
      <c r="L51" s="335"/>
      <c r="M51" s="318"/>
      <c r="N51" s="318"/>
      <c r="O51" s="337"/>
      <c r="P51" s="337"/>
      <c r="Q51" s="318"/>
      <c r="R51" s="335"/>
      <c r="S51" s="335"/>
      <c r="T51" s="350"/>
      <c r="U51" s="351"/>
      <c r="V51" s="351"/>
      <c r="W51" s="351"/>
      <c r="X51" s="351"/>
      <c r="Y51" s="351"/>
      <c r="Z51" s="351"/>
    </row>
    <row r="52">
      <c r="A52" s="309" t="s">
        <v>5567</v>
      </c>
      <c r="B52" s="335" t="s">
        <v>5568</v>
      </c>
      <c r="C52" s="359" t="s">
        <v>5569</v>
      </c>
      <c r="D52" s="311" t="s">
        <v>5203</v>
      </c>
      <c r="E52" s="312" t="s">
        <v>5358</v>
      </c>
      <c r="F52" s="337" t="s">
        <v>5570</v>
      </c>
      <c r="G52" s="311" t="s">
        <v>2713</v>
      </c>
      <c r="H52" s="317" t="s">
        <v>5571</v>
      </c>
      <c r="I52" s="348"/>
      <c r="J52" s="350"/>
      <c r="K52" s="349"/>
      <c r="L52" s="335"/>
      <c r="M52" s="318"/>
      <c r="N52" s="318"/>
      <c r="O52" s="337"/>
      <c r="P52" s="337"/>
      <c r="Q52" s="318"/>
      <c r="R52" s="335"/>
      <c r="S52" s="335"/>
      <c r="T52" s="350"/>
      <c r="U52" s="351"/>
      <c r="V52" s="351"/>
      <c r="W52" s="351"/>
      <c r="X52" s="351"/>
      <c r="Y52" s="351"/>
      <c r="Z52" s="351"/>
    </row>
    <row r="53">
      <c r="A53" s="309" t="s">
        <v>5572</v>
      </c>
      <c r="B53" s="335" t="s">
        <v>4422</v>
      </c>
      <c r="C53" s="318" t="s">
        <v>5573</v>
      </c>
      <c r="D53" s="311" t="s">
        <v>5179</v>
      </c>
      <c r="E53" s="312" t="s">
        <v>1673</v>
      </c>
      <c r="F53" s="337" t="s">
        <v>5574</v>
      </c>
      <c r="G53" s="311" t="s">
        <v>1383</v>
      </c>
      <c r="H53" s="314" t="s">
        <v>5181</v>
      </c>
      <c r="I53" s="348"/>
      <c r="J53" s="350"/>
      <c r="K53" s="349"/>
      <c r="L53" s="335"/>
      <c r="M53" s="318"/>
      <c r="N53" s="318"/>
      <c r="O53" s="337"/>
      <c r="P53" s="337"/>
      <c r="Q53" s="318"/>
      <c r="R53" s="335"/>
      <c r="S53" s="335"/>
      <c r="T53" s="350"/>
      <c r="U53" s="351"/>
      <c r="V53" s="351"/>
      <c r="W53" s="351"/>
      <c r="X53" s="351"/>
      <c r="Y53" s="351"/>
      <c r="Z53" s="351"/>
    </row>
    <row r="54">
      <c r="A54" s="309" t="s">
        <v>5575</v>
      </c>
      <c r="B54" s="335" t="s">
        <v>5576</v>
      </c>
      <c r="C54" s="318" t="s">
        <v>5577</v>
      </c>
      <c r="D54" s="311" t="s">
        <v>5179</v>
      </c>
      <c r="E54" s="312" t="s">
        <v>1040</v>
      </c>
      <c r="F54" s="337" t="s">
        <v>5578</v>
      </c>
      <c r="G54" s="311" t="s">
        <v>1383</v>
      </c>
      <c r="H54" s="314" t="s">
        <v>5181</v>
      </c>
      <c r="I54" s="348"/>
      <c r="J54" s="350"/>
      <c r="K54" s="349"/>
      <c r="L54" s="335"/>
      <c r="M54" s="318"/>
      <c r="N54" s="318"/>
      <c r="O54" s="337"/>
      <c r="P54" s="337"/>
      <c r="Q54" s="318"/>
      <c r="R54" s="335"/>
      <c r="S54" s="335"/>
      <c r="T54" s="350"/>
      <c r="U54" s="351"/>
      <c r="V54" s="351"/>
      <c r="W54" s="351"/>
      <c r="X54" s="351"/>
      <c r="Y54" s="351"/>
      <c r="Z54" s="351"/>
    </row>
    <row r="55">
      <c r="A55" s="309" t="s">
        <v>580</v>
      </c>
      <c r="B55" s="335" t="s">
        <v>5579</v>
      </c>
      <c r="C55" s="318"/>
      <c r="D55" s="311" t="s">
        <v>5179</v>
      </c>
      <c r="E55" s="312" t="s">
        <v>5368</v>
      </c>
      <c r="F55" s="337"/>
      <c r="G55" s="333"/>
      <c r="H55" s="335"/>
      <c r="I55" s="348"/>
      <c r="J55" s="350"/>
      <c r="K55" s="349"/>
      <c r="L55" s="335"/>
      <c r="M55" s="318"/>
      <c r="N55" s="318"/>
      <c r="O55" s="337"/>
      <c r="P55" s="337"/>
      <c r="Q55" s="318"/>
      <c r="R55" s="335"/>
      <c r="S55" s="335"/>
      <c r="T55" s="350"/>
      <c r="U55" s="351"/>
      <c r="V55" s="351"/>
      <c r="W55" s="351"/>
      <c r="X55" s="351"/>
      <c r="Y55" s="351"/>
      <c r="Z55" s="351"/>
    </row>
    <row r="56">
      <c r="A56" s="309" t="s">
        <v>580</v>
      </c>
      <c r="B56" s="335" t="s">
        <v>3413</v>
      </c>
      <c r="C56" s="318" t="s">
        <v>3414</v>
      </c>
      <c r="D56" s="311" t="s">
        <v>5179</v>
      </c>
      <c r="E56" s="312" t="s">
        <v>5244</v>
      </c>
      <c r="F56" s="337"/>
      <c r="G56" s="333"/>
      <c r="H56" s="335"/>
      <c r="I56" s="348"/>
      <c r="J56" s="350"/>
      <c r="K56" s="349"/>
      <c r="L56" s="335"/>
      <c r="M56" s="318"/>
      <c r="N56" s="318"/>
      <c r="O56" s="337"/>
      <c r="P56" s="337"/>
      <c r="Q56" s="318"/>
      <c r="R56" s="335"/>
      <c r="S56" s="335"/>
      <c r="T56" s="350"/>
      <c r="U56" s="351"/>
      <c r="V56" s="351"/>
      <c r="W56" s="351"/>
      <c r="X56" s="351"/>
      <c r="Y56" s="351"/>
      <c r="Z56" s="351"/>
    </row>
    <row r="57">
      <c r="A57" s="309" t="s">
        <v>622</v>
      </c>
      <c r="B57" s="360" t="s">
        <v>5580</v>
      </c>
      <c r="C57" s="361" t="s">
        <v>5581</v>
      </c>
      <c r="D57" s="311" t="s">
        <v>5199</v>
      </c>
      <c r="E57" s="312" t="s">
        <v>5582</v>
      </c>
      <c r="F57" s="337"/>
      <c r="G57" s="333"/>
      <c r="H57" s="335"/>
      <c r="I57" s="348"/>
      <c r="J57" s="350"/>
      <c r="K57" s="349"/>
      <c r="L57" s="335"/>
      <c r="M57" s="318"/>
      <c r="N57" s="318"/>
      <c r="O57" s="337"/>
      <c r="P57" s="337"/>
      <c r="Q57" s="318"/>
      <c r="R57" s="335"/>
      <c r="S57" s="335"/>
      <c r="T57" s="350"/>
      <c r="U57" s="351"/>
      <c r="V57" s="351"/>
      <c r="W57" s="351"/>
      <c r="X57" s="351"/>
      <c r="Y57" s="351"/>
      <c r="Z57" s="351"/>
    </row>
    <row r="58">
      <c r="A58" s="309" t="s">
        <v>149</v>
      </c>
      <c r="B58" s="362" t="s">
        <v>3351</v>
      </c>
      <c r="C58" s="363" t="s">
        <v>3352</v>
      </c>
      <c r="D58" s="364" t="s">
        <v>5199</v>
      </c>
      <c r="E58" s="312" t="s">
        <v>5583</v>
      </c>
      <c r="F58" s="337" t="s">
        <v>5584</v>
      </c>
      <c r="G58" s="311" t="s">
        <v>2713</v>
      </c>
      <c r="H58" s="314" t="s">
        <v>5181</v>
      </c>
      <c r="I58" s="348"/>
      <c r="J58" s="350"/>
      <c r="K58" s="349"/>
      <c r="L58" s="335"/>
      <c r="M58" s="318"/>
      <c r="N58" s="318"/>
      <c r="O58" s="337"/>
      <c r="P58" s="337"/>
      <c r="Q58" s="318"/>
      <c r="R58" s="335"/>
      <c r="S58" s="335"/>
      <c r="T58" s="350"/>
      <c r="U58" s="351"/>
      <c r="V58" s="351"/>
      <c r="W58" s="351"/>
      <c r="X58" s="351"/>
      <c r="Y58" s="351"/>
      <c r="Z58" s="351"/>
    </row>
    <row r="59">
      <c r="A59" s="309" t="s">
        <v>149</v>
      </c>
      <c r="B59" s="362" t="s">
        <v>3351</v>
      </c>
      <c r="C59" s="363" t="s">
        <v>3352</v>
      </c>
      <c r="D59" s="364" t="s">
        <v>5199</v>
      </c>
      <c r="E59" s="312" t="s">
        <v>5585</v>
      </c>
      <c r="F59" s="337" t="s">
        <v>5586</v>
      </c>
      <c r="G59" s="311" t="s">
        <v>2713</v>
      </c>
      <c r="H59" s="314" t="s">
        <v>5181</v>
      </c>
      <c r="I59" s="348"/>
      <c r="J59" s="350"/>
      <c r="K59" s="349"/>
      <c r="L59" s="335"/>
      <c r="M59" s="318"/>
      <c r="N59" s="318"/>
      <c r="O59" s="337"/>
      <c r="P59" s="337"/>
      <c r="Q59" s="318"/>
      <c r="R59" s="335"/>
      <c r="S59" s="335"/>
      <c r="T59" s="350"/>
      <c r="U59" s="351"/>
      <c r="V59" s="351"/>
      <c r="W59" s="351"/>
      <c r="X59" s="351"/>
      <c r="Y59" s="351"/>
      <c r="Z59" s="351"/>
    </row>
    <row r="60">
      <c r="A60" s="309" t="s">
        <v>5587</v>
      </c>
      <c r="B60" s="362" t="s">
        <v>3351</v>
      </c>
      <c r="C60" s="363" t="s">
        <v>3352</v>
      </c>
      <c r="D60" s="364" t="s">
        <v>5284</v>
      </c>
      <c r="E60" s="312" t="s">
        <v>5368</v>
      </c>
      <c r="F60" s="337" t="s">
        <v>5588</v>
      </c>
      <c r="G60" s="311" t="s">
        <v>2713</v>
      </c>
      <c r="H60" s="315" t="s">
        <v>5589</v>
      </c>
      <c r="I60" s="348"/>
      <c r="J60" s="350"/>
      <c r="K60" s="349"/>
      <c r="L60" s="335"/>
      <c r="M60" s="318"/>
      <c r="N60" s="318"/>
      <c r="O60" s="337"/>
      <c r="P60" s="337"/>
      <c r="Q60" s="318"/>
      <c r="R60" s="335"/>
      <c r="S60" s="337"/>
      <c r="T60" s="350"/>
      <c r="U60" s="351"/>
      <c r="V60" s="351"/>
      <c r="W60" s="351"/>
      <c r="X60" s="351"/>
      <c r="Y60" s="351"/>
      <c r="Z60" s="351"/>
    </row>
    <row r="61">
      <c r="A61" s="309" t="s">
        <v>149</v>
      </c>
      <c r="B61" s="335" t="s">
        <v>4198</v>
      </c>
      <c r="C61" s="365" t="s">
        <v>5590</v>
      </c>
      <c r="D61" s="311" t="s">
        <v>5199</v>
      </c>
      <c r="E61" s="312" t="s">
        <v>5376</v>
      </c>
      <c r="F61" s="337" t="s">
        <v>4200</v>
      </c>
      <c r="G61" s="311" t="s">
        <v>1383</v>
      </c>
      <c r="H61" s="314" t="s">
        <v>40</v>
      </c>
      <c r="I61" s="348"/>
      <c r="J61" s="350"/>
      <c r="K61" s="349"/>
      <c r="L61" s="335"/>
      <c r="M61" s="318"/>
      <c r="N61" s="318"/>
      <c r="O61" s="337"/>
      <c r="P61" s="337"/>
      <c r="Q61" s="318"/>
      <c r="R61" s="335"/>
      <c r="S61" s="335"/>
      <c r="T61" s="350"/>
      <c r="U61" s="351"/>
      <c r="V61" s="351"/>
      <c r="W61" s="351"/>
      <c r="X61" s="351"/>
      <c r="Y61" s="351"/>
      <c r="Z61" s="351"/>
    </row>
    <row r="62">
      <c r="A62" s="309" t="s">
        <v>149</v>
      </c>
      <c r="B62" s="335" t="s">
        <v>4858</v>
      </c>
      <c r="C62" s="318" t="s">
        <v>4859</v>
      </c>
      <c r="D62" s="311" t="s">
        <v>5199</v>
      </c>
      <c r="E62" s="312" t="s">
        <v>5433</v>
      </c>
      <c r="F62" s="337" t="s">
        <v>5591</v>
      </c>
      <c r="G62" s="311" t="s">
        <v>1383</v>
      </c>
      <c r="H62" s="314" t="s">
        <v>40</v>
      </c>
      <c r="I62" s="348"/>
      <c r="J62" s="350"/>
      <c r="K62" s="349"/>
      <c r="L62" s="335"/>
      <c r="M62" s="318"/>
      <c r="N62" s="318"/>
      <c r="O62" s="337"/>
      <c r="P62" s="337"/>
      <c r="Q62" s="318"/>
      <c r="R62" s="335"/>
      <c r="S62" s="335"/>
      <c r="T62" s="350"/>
      <c r="U62" s="351"/>
      <c r="V62" s="351"/>
      <c r="W62" s="351"/>
      <c r="X62" s="351"/>
      <c r="Y62" s="351"/>
      <c r="Z62" s="351"/>
    </row>
    <row r="63">
      <c r="A63" s="309" t="s">
        <v>5431</v>
      </c>
      <c r="B63" s="335" t="s">
        <v>5592</v>
      </c>
      <c r="C63" s="318" t="s">
        <v>5405</v>
      </c>
      <c r="D63" s="311" t="s">
        <v>5199</v>
      </c>
      <c r="E63" s="312" t="s">
        <v>5260</v>
      </c>
      <c r="F63" s="337" t="s">
        <v>5593</v>
      </c>
      <c r="G63" s="311" t="s">
        <v>1383</v>
      </c>
      <c r="H63" s="317" t="s">
        <v>5571</v>
      </c>
      <c r="I63" s="348"/>
      <c r="J63" s="350"/>
      <c r="K63" s="349"/>
      <c r="L63" s="335"/>
      <c r="M63" s="318"/>
      <c r="N63" s="318"/>
      <c r="O63" s="337"/>
      <c r="P63" s="337"/>
      <c r="Q63" s="318"/>
      <c r="R63" s="335"/>
      <c r="S63" s="335"/>
      <c r="T63" s="350"/>
      <c r="U63" s="351"/>
      <c r="V63" s="351"/>
      <c r="W63" s="351"/>
      <c r="X63" s="351"/>
      <c r="Y63" s="351"/>
      <c r="Z63" s="351"/>
    </row>
    <row r="64">
      <c r="A64" s="309" t="s">
        <v>5431</v>
      </c>
      <c r="B64" s="335" t="s">
        <v>5592</v>
      </c>
      <c r="C64" s="318" t="s">
        <v>5405</v>
      </c>
      <c r="D64" s="311" t="s">
        <v>5199</v>
      </c>
      <c r="E64" s="312" t="s">
        <v>5594</v>
      </c>
      <c r="F64" s="337" t="s">
        <v>5593</v>
      </c>
      <c r="G64" s="311" t="s">
        <v>1383</v>
      </c>
      <c r="H64" s="317" t="s">
        <v>5571</v>
      </c>
      <c r="I64" s="348"/>
      <c r="J64" s="350"/>
      <c r="K64" s="349"/>
      <c r="L64" s="335"/>
      <c r="M64" s="318"/>
      <c r="N64" s="318"/>
      <c r="O64" s="337"/>
      <c r="P64" s="337"/>
      <c r="Q64" s="318"/>
      <c r="R64" s="335"/>
      <c r="S64" s="335"/>
      <c r="T64" s="350"/>
      <c r="U64" s="351"/>
      <c r="V64" s="351"/>
      <c r="W64" s="351"/>
      <c r="X64" s="351"/>
      <c r="Y64" s="351"/>
      <c r="Z64" s="351"/>
    </row>
    <row r="65">
      <c r="A65" s="309" t="s">
        <v>580</v>
      </c>
      <c r="B65" s="335" t="s">
        <v>5595</v>
      </c>
      <c r="C65" s="318" t="s">
        <v>5551</v>
      </c>
      <c r="D65" s="311" t="s">
        <v>5179</v>
      </c>
      <c r="E65" s="312" t="s">
        <v>5264</v>
      </c>
      <c r="F65" s="337"/>
      <c r="G65" s="333"/>
      <c r="H65" s="335"/>
      <c r="I65" s="348"/>
      <c r="J65" s="350"/>
      <c r="K65" s="349"/>
      <c r="L65" s="335"/>
      <c r="M65" s="318"/>
      <c r="N65" s="318"/>
      <c r="O65" s="337"/>
      <c r="P65" s="337"/>
      <c r="Q65" s="318"/>
      <c r="R65" s="335"/>
      <c r="S65" s="335"/>
      <c r="T65" s="350"/>
      <c r="U65" s="351"/>
      <c r="V65" s="351"/>
      <c r="W65" s="351"/>
      <c r="X65" s="351"/>
      <c r="Y65" s="351"/>
      <c r="Z65" s="351"/>
    </row>
    <row r="66">
      <c r="A66" s="309" t="s">
        <v>27</v>
      </c>
      <c r="B66" s="335" t="s">
        <v>531</v>
      </c>
      <c r="C66" s="318" t="s">
        <v>5596</v>
      </c>
      <c r="D66" s="311" t="s">
        <v>5203</v>
      </c>
      <c r="E66" s="312" t="s">
        <v>5597</v>
      </c>
      <c r="F66" s="337" t="s">
        <v>5598</v>
      </c>
      <c r="G66" s="311" t="s">
        <v>1383</v>
      </c>
      <c r="I66" s="348"/>
      <c r="J66" s="335"/>
      <c r="K66" s="349"/>
      <c r="L66" s="335"/>
      <c r="M66" s="318"/>
      <c r="N66" s="318"/>
      <c r="O66" s="337"/>
      <c r="P66" s="337"/>
      <c r="Q66" s="318"/>
      <c r="R66" s="335"/>
      <c r="S66" s="350"/>
      <c r="T66" s="335"/>
      <c r="U66" s="351"/>
      <c r="V66" s="351"/>
      <c r="W66" s="351"/>
      <c r="X66" s="351"/>
      <c r="Y66" s="351"/>
      <c r="Z66" s="351"/>
    </row>
    <row r="67">
      <c r="A67" s="309" t="s">
        <v>580</v>
      </c>
      <c r="B67" s="335" t="s">
        <v>531</v>
      </c>
      <c r="C67" s="318" t="s">
        <v>5596</v>
      </c>
      <c r="D67" s="311" t="s">
        <v>5203</v>
      </c>
      <c r="E67" s="312" t="s">
        <v>1673</v>
      </c>
      <c r="F67" s="337"/>
      <c r="G67" s="333"/>
      <c r="H67" s="335"/>
      <c r="I67" s="348"/>
      <c r="J67" s="350"/>
      <c r="K67" s="349"/>
      <c r="L67" s="335"/>
      <c r="M67" s="318"/>
      <c r="N67" s="318"/>
      <c r="O67" s="337"/>
      <c r="P67" s="337"/>
      <c r="Q67" s="318"/>
      <c r="R67" s="335"/>
      <c r="S67" s="335"/>
      <c r="T67" s="350"/>
      <c r="U67" s="351"/>
      <c r="V67" s="351"/>
      <c r="W67" s="351"/>
      <c r="X67" s="351"/>
      <c r="Y67" s="351"/>
      <c r="Z67" s="351"/>
    </row>
    <row r="68">
      <c r="A68" s="309" t="s">
        <v>622</v>
      </c>
      <c r="B68" s="366" t="s">
        <v>5599</v>
      </c>
      <c r="C68" s="361" t="s">
        <v>5600</v>
      </c>
      <c r="D68" s="311" t="s">
        <v>5203</v>
      </c>
      <c r="E68" s="312" t="s">
        <v>5358</v>
      </c>
      <c r="F68" s="337" t="s">
        <v>5601</v>
      </c>
      <c r="G68" s="311" t="s">
        <v>2713</v>
      </c>
      <c r="H68" s="314" t="s">
        <v>40</v>
      </c>
      <c r="I68" s="348"/>
      <c r="J68" s="335"/>
      <c r="K68" s="349"/>
      <c r="L68" s="335"/>
      <c r="M68" s="318"/>
      <c r="N68" s="318"/>
      <c r="O68" s="337"/>
      <c r="P68" s="337"/>
      <c r="Q68" s="318"/>
      <c r="R68" s="335"/>
      <c r="S68" s="335"/>
      <c r="T68" s="335"/>
      <c r="U68" s="351"/>
      <c r="V68" s="351"/>
      <c r="W68" s="351"/>
      <c r="X68" s="351"/>
      <c r="Y68" s="351"/>
      <c r="Z68" s="351"/>
    </row>
    <row r="69">
      <c r="A69" s="367" t="s">
        <v>622</v>
      </c>
      <c r="B69" s="368" t="s">
        <v>5599</v>
      </c>
      <c r="C69" s="369" t="s">
        <v>5600</v>
      </c>
      <c r="D69" s="364" t="s">
        <v>5203</v>
      </c>
      <c r="E69" s="312" t="s">
        <v>1673</v>
      </c>
      <c r="F69" s="337" t="s">
        <v>5601</v>
      </c>
      <c r="G69" s="311" t="s">
        <v>2713</v>
      </c>
      <c r="H69" s="317" t="s">
        <v>5571</v>
      </c>
      <c r="I69" s="348"/>
      <c r="J69" s="335"/>
      <c r="K69" s="349"/>
      <c r="L69" s="335"/>
      <c r="M69" s="318"/>
      <c r="N69" s="318"/>
      <c r="O69" s="337"/>
      <c r="P69" s="337"/>
      <c r="Q69" s="318"/>
      <c r="R69" s="335"/>
      <c r="S69" s="335"/>
      <c r="T69" s="335"/>
      <c r="U69" s="351"/>
      <c r="V69" s="351"/>
      <c r="W69" s="351"/>
      <c r="X69" s="351"/>
      <c r="Y69" s="351"/>
      <c r="Z69" s="351"/>
    </row>
    <row r="70">
      <c r="A70" s="367"/>
      <c r="B70" s="370" t="s">
        <v>2456</v>
      </c>
      <c r="C70" s="369">
        <v>2.995438031E10</v>
      </c>
      <c r="D70" s="364" t="s">
        <v>5179</v>
      </c>
      <c r="E70" s="312" t="s">
        <v>1040</v>
      </c>
      <c r="F70" s="337" t="s">
        <v>5602</v>
      </c>
      <c r="G70" s="311" t="s">
        <v>5180</v>
      </c>
      <c r="H70" s="335"/>
      <c r="I70" s="348"/>
      <c r="J70" s="350"/>
      <c r="K70" s="349"/>
      <c r="L70" s="335"/>
      <c r="M70" s="318"/>
      <c r="N70" s="318"/>
      <c r="O70" s="337"/>
      <c r="P70" s="337"/>
      <c r="Q70" s="318"/>
      <c r="R70" s="335"/>
      <c r="S70" s="335"/>
      <c r="T70" s="350"/>
      <c r="U70" s="351"/>
      <c r="V70" s="351"/>
      <c r="W70" s="351"/>
      <c r="X70" s="351"/>
      <c r="Y70" s="351"/>
      <c r="Z70" s="351"/>
    </row>
    <row r="71">
      <c r="A71" s="367"/>
      <c r="B71" s="370" t="s">
        <v>5603</v>
      </c>
      <c r="C71" s="369">
        <v>6.1451320353E10</v>
      </c>
      <c r="D71" s="364" t="s">
        <v>5203</v>
      </c>
      <c r="E71" s="312" t="s">
        <v>1040</v>
      </c>
      <c r="F71" s="337" t="s">
        <v>5604</v>
      </c>
      <c r="G71" s="333"/>
      <c r="H71" s="335"/>
      <c r="I71" s="348"/>
      <c r="J71" s="350"/>
      <c r="K71" s="349"/>
      <c r="L71" s="335"/>
      <c r="M71" s="318"/>
      <c r="N71" s="318"/>
      <c r="O71" s="337"/>
      <c r="P71" s="337"/>
      <c r="Q71" s="318"/>
      <c r="R71" s="335"/>
      <c r="S71" s="335"/>
      <c r="T71" s="350"/>
      <c r="U71" s="351"/>
      <c r="V71" s="351"/>
      <c r="W71" s="351"/>
      <c r="X71" s="351"/>
      <c r="Y71" s="351"/>
      <c r="Z71" s="351"/>
    </row>
    <row r="72">
      <c r="A72" s="309" t="s">
        <v>149</v>
      </c>
      <c r="B72" s="371" t="s">
        <v>5605</v>
      </c>
      <c r="C72" s="365" t="s">
        <v>5606</v>
      </c>
      <c r="D72" s="321" t="s">
        <v>5203</v>
      </c>
      <c r="E72" s="322" t="s">
        <v>5209</v>
      </c>
      <c r="F72" s="337" t="s">
        <v>5607</v>
      </c>
      <c r="G72" s="311" t="s">
        <v>2713</v>
      </c>
      <c r="H72" s="314" t="s">
        <v>40</v>
      </c>
      <c r="I72" s="348"/>
      <c r="J72" s="350"/>
      <c r="K72" s="349"/>
      <c r="L72" s="335"/>
      <c r="M72" s="318"/>
      <c r="N72" s="318"/>
      <c r="O72" s="337"/>
      <c r="P72" s="337"/>
      <c r="Q72" s="318"/>
      <c r="R72" s="335"/>
      <c r="S72" s="335"/>
      <c r="T72" s="350"/>
      <c r="U72" s="351"/>
      <c r="V72" s="351"/>
      <c r="W72" s="351"/>
      <c r="X72" s="351"/>
      <c r="Y72" s="351"/>
      <c r="Z72" s="351"/>
    </row>
    <row r="73">
      <c r="A73" s="309" t="s">
        <v>149</v>
      </c>
      <c r="B73" s="371" t="s">
        <v>5605</v>
      </c>
      <c r="C73" s="365" t="s">
        <v>5606</v>
      </c>
      <c r="D73" s="311" t="s">
        <v>5199</v>
      </c>
      <c r="E73" s="312" t="s">
        <v>5608</v>
      </c>
      <c r="F73" s="337" t="s">
        <v>5607</v>
      </c>
      <c r="G73" s="311" t="s">
        <v>2713</v>
      </c>
      <c r="H73" s="314" t="s">
        <v>40</v>
      </c>
      <c r="I73" s="348"/>
      <c r="J73" s="335"/>
      <c r="K73" s="349"/>
      <c r="L73" s="335"/>
      <c r="M73" s="318"/>
      <c r="N73" s="318"/>
      <c r="O73" s="337"/>
      <c r="P73" s="337"/>
      <c r="Q73" s="318"/>
      <c r="R73" s="335"/>
      <c r="S73" s="335"/>
      <c r="T73" s="335"/>
      <c r="U73" s="351"/>
      <c r="V73" s="351"/>
      <c r="W73" s="351"/>
      <c r="X73" s="351"/>
      <c r="Y73" s="351"/>
      <c r="Z73" s="351"/>
    </row>
    <row r="74">
      <c r="A74" s="319" t="s">
        <v>5609</v>
      </c>
      <c r="B74" s="320" t="s">
        <v>5610</v>
      </c>
      <c r="C74" s="311" t="s">
        <v>5611</v>
      </c>
      <c r="D74" s="321" t="s">
        <v>5223</v>
      </c>
      <c r="E74" s="322" t="s">
        <v>5260</v>
      </c>
      <c r="F74" s="334" t="s">
        <v>5612</v>
      </c>
      <c r="G74" s="321" t="s">
        <v>2713</v>
      </c>
      <c r="H74" s="325" t="s">
        <v>556</v>
      </c>
      <c r="I74" s="348"/>
      <c r="J74" s="324"/>
      <c r="K74" s="349"/>
      <c r="L74" s="335"/>
      <c r="M74" s="318"/>
      <c r="N74" s="355"/>
      <c r="O74" s="354"/>
      <c r="P74" s="354"/>
      <c r="Q74" s="318"/>
      <c r="R74" s="350"/>
      <c r="S74" s="350"/>
      <c r="T74" s="350"/>
      <c r="U74" s="351"/>
      <c r="V74" s="351"/>
      <c r="W74" s="351"/>
      <c r="X74" s="351"/>
      <c r="Y74" s="351"/>
      <c r="Z74" s="351"/>
    </row>
    <row r="75">
      <c r="A75" s="319" t="s">
        <v>171</v>
      </c>
      <c r="B75" s="320" t="s">
        <v>5613</v>
      </c>
      <c r="C75" s="311" t="s">
        <v>5614</v>
      </c>
      <c r="D75" s="321" t="s">
        <v>5179</v>
      </c>
      <c r="E75" s="322" t="s">
        <v>1040</v>
      </c>
      <c r="F75" s="334" t="s">
        <v>5615</v>
      </c>
      <c r="G75" s="321" t="s">
        <v>5180</v>
      </c>
      <c r="H75" s="314" t="s">
        <v>5181</v>
      </c>
      <c r="I75" s="348"/>
      <c r="J75" s="324"/>
      <c r="K75" s="349"/>
      <c r="L75" s="335"/>
      <c r="M75" s="318"/>
      <c r="N75" s="318"/>
      <c r="O75" s="337"/>
      <c r="P75" s="337"/>
      <c r="Q75" s="318"/>
      <c r="R75" s="335"/>
      <c r="S75" s="335"/>
      <c r="T75" s="335"/>
      <c r="U75" s="351"/>
      <c r="V75" s="351"/>
      <c r="W75" s="351"/>
      <c r="X75" s="351"/>
      <c r="Y75" s="351"/>
      <c r="Z75" s="351"/>
    </row>
    <row r="76">
      <c r="A76" s="309"/>
      <c r="B76" s="372" t="s">
        <v>5616</v>
      </c>
      <c r="C76" s="373" t="s">
        <v>5617</v>
      </c>
      <c r="D76" s="311"/>
      <c r="E76" s="312"/>
      <c r="F76" s="337"/>
      <c r="G76" s="333"/>
      <c r="H76" s="350"/>
      <c r="I76" s="348"/>
      <c r="J76" s="350"/>
      <c r="K76" s="349"/>
      <c r="L76" s="335"/>
      <c r="M76" s="318"/>
      <c r="N76" s="318"/>
      <c r="O76" s="337"/>
      <c r="P76" s="354"/>
      <c r="Q76" s="318"/>
      <c r="R76" s="350"/>
      <c r="S76" s="350"/>
      <c r="T76" s="350"/>
      <c r="U76" s="351"/>
      <c r="V76" s="351"/>
      <c r="W76" s="351"/>
      <c r="X76" s="351"/>
      <c r="Y76" s="351"/>
      <c r="Z76" s="351"/>
    </row>
    <row r="77">
      <c r="A77" s="309"/>
      <c r="B77" s="374" t="s">
        <v>1366</v>
      </c>
      <c r="C77" s="373" t="s">
        <v>5618</v>
      </c>
      <c r="D77" s="311" t="s">
        <v>5284</v>
      </c>
      <c r="E77" s="312" t="s">
        <v>1040</v>
      </c>
      <c r="F77" s="337"/>
      <c r="G77" s="333"/>
      <c r="H77" s="335"/>
      <c r="I77" s="348"/>
      <c r="J77" s="335"/>
      <c r="K77" s="349"/>
      <c r="L77" s="335"/>
      <c r="M77" s="318"/>
      <c r="N77" s="318"/>
      <c r="O77" s="337"/>
      <c r="P77" s="337"/>
      <c r="Q77" s="318"/>
      <c r="R77" s="335"/>
      <c r="S77" s="335"/>
      <c r="T77" s="335"/>
      <c r="U77" s="351"/>
      <c r="V77" s="351"/>
      <c r="W77" s="351"/>
      <c r="X77" s="351"/>
      <c r="Y77" s="351"/>
      <c r="Z77" s="351"/>
    </row>
    <row r="78">
      <c r="A78" s="309" t="s">
        <v>580</v>
      </c>
      <c r="B78" s="335" t="s">
        <v>5459</v>
      </c>
      <c r="C78" s="318" t="s">
        <v>5619</v>
      </c>
      <c r="D78" s="311" t="s">
        <v>5179</v>
      </c>
      <c r="E78" s="312" t="s">
        <v>5209</v>
      </c>
      <c r="F78" s="337" t="s">
        <v>5620</v>
      </c>
      <c r="G78" s="311" t="s">
        <v>1383</v>
      </c>
      <c r="H78" s="315" t="s">
        <v>5621</v>
      </c>
      <c r="I78" s="348"/>
      <c r="J78" s="335"/>
      <c r="K78" s="349"/>
      <c r="L78" s="335"/>
      <c r="M78" s="318"/>
      <c r="N78" s="318"/>
      <c r="O78" s="337"/>
      <c r="P78" s="337"/>
      <c r="Q78" s="318"/>
      <c r="R78" s="335"/>
      <c r="S78" s="335"/>
      <c r="T78" s="335"/>
      <c r="U78" s="351"/>
      <c r="V78" s="351"/>
      <c r="W78" s="351"/>
      <c r="X78" s="351"/>
      <c r="Y78" s="351"/>
      <c r="Z78" s="351"/>
    </row>
    <row r="79">
      <c r="A79" s="309"/>
      <c r="B79" s="374" t="s">
        <v>5499</v>
      </c>
      <c r="C79" s="373" t="s">
        <v>5622</v>
      </c>
      <c r="D79" s="311" t="s">
        <v>5199</v>
      </c>
      <c r="E79" s="312" t="s">
        <v>5500</v>
      </c>
      <c r="F79" s="337" t="s">
        <v>5623</v>
      </c>
      <c r="G79" s="333"/>
      <c r="H79" s="335"/>
      <c r="I79" s="348"/>
      <c r="J79" s="350"/>
      <c r="K79" s="349"/>
      <c r="L79" s="335"/>
      <c r="M79" s="318"/>
      <c r="N79" s="318"/>
      <c r="O79" s="337"/>
      <c r="P79" s="337"/>
      <c r="Q79" s="318"/>
      <c r="R79" s="335"/>
      <c r="S79" s="335"/>
      <c r="T79" s="350"/>
      <c r="U79" s="351"/>
      <c r="V79" s="351"/>
      <c r="W79" s="351"/>
      <c r="X79" s="351"/>
      <c r="Y79" s="351"/>
      <c r="Z79" s="351"/>
    </row>
    <row r="80" ht="18.75" customHeight="1">
      <c r="A80" s="309" t="s">
        <v>663</v>
      </c>
      <c r="B80" s="335" t="s">
        <v>5624</v>
      </c>
      <c r="C80" s="311" t="s">
        <v>556</v>
      </c>
      <c r="D80" s="311" t="s">
        <v>5179</v>
      </c>
      <c r="E80" s="312" t="s">
        <v>5264</v>
      </c>
      <c r="F80" s="337"/>
      <c r="G80" s="333"/>
      <c r="H80" s="335"/>
      <c r="I80" s="348"/>
      <c r="J80" s="350"/>
      <c r="K80" s="349"/>
      <c r="L80" s="335"/>
      <c r="M80" s="318"/>
      <c r="N80" s="318"/>
      <c r="O80" s="337"/>
      <c r="P80" s="337"/>
      <c r="Q80" s="318"/>
      <c r="R80" s="335"/>
      <c r="S80" s="335"/>
      <c r="T80" s="350"/>
      <c r="U80" s="351"/>
      <c r="V80" s="351"/>
      <c r="W80" s="351"/>
      <c r="X80" s="351"/>
      <c r="Y80" s="351"/>
      <c r="Z80" s="351"/>
    </row>
    <row r="81">
      <c r="A81" s="309" t="s">
        <v>580</v>
      </c>
      <c r="B81" s="335" t="s">
        <v>5625</v>
      </c>
      <c r="C81" s="359" t="s">
        <v>5626</v>
      </c>
      <c r="D81" s="311" t="s">
        <v>5179</v>
      </c>
      <c r="E81" s="312" t="s">
        <v>5264</v>
      </c>
      <c r="F81" s="337"/>
      <c r="G81" s="333"/>
      <c r="H81" s="335"/>
      <c r="I81" s="348"/>
      <c r="J81" s="350"/>
      <c r="K81" s="349"/>
      <c r="L81" s="335"/>
      <c r="M81" s="318"/>
      <c r="N81" s="318"/>
      <c r="O81" s="337"/>
      <c r="P81" s="337"/>
      <c r="Q81" s="318"/>
      <c r="R81" s="335"/>
      <c r="S81" s="335"/>
      <c r="T81" s="350"/>
      <c r="U81" s="351"/>
      <c r="V81" s="351"/>
      <c r="W81" s="351"/>
      <c r="X81" s="351"/>
      <c r="Y81" s="351"/>
      <c r="Z81" s="351"/>
    </row>
    <row r="82">
      <c r="A82" s="309" t="s">
        <v>5627</v>
      </c>
      <c r="B82" s="335" t="s">
        <v>5628</v>
      </c>
      <c r="C82" s="318" t="s">
        <v>5629</v>
      </c>
      <c r="D82" s="311" t="s">
        <v>5203</v>
      </c>
      <c r="E82" s="312" t="s">
        <v>5597</v>
      </c>
      <c r="F82" s="337" t="s">
        <v>5630</v>
      </c>
      <c r="G82" s="311" t="s">
        <v>1383</v>
      </c>
      <c r="H82" s="314" t="s">
        <v>5181</v>
      </c>
      <c r="I82" s="348"/>
      <c r="J82" s="350"/>
      <c r="K82" s="349"/>
      <c r="L82" s="335"/>
      <c r="M82" s="318"/>
      <c r="N82" s="318"/>
      <c r="O82" s="337"/>
      <c r="P82" s="337"/>
      <c r="Q82" s="318"/>
      <c r="R82" s="335"/>
      <c r="S82" s="335"/>
      <c r="T82" s="350"/>
      <c r="U82" s="351"/>
      <c r="V82" s="351"/>
      <c r="W82" s="351"/>
      <c r="X82" s="351"/>
      <c r="Y82" s="351"/>
      <c r="Z82" s="351"/>
    </row>
    <row r="83">
      <c r="A83" s="309" t="s">
        <v>27</v>
      </c>
      <c r="B83" s="335" t="s">
        <v>2538</v>
      </c>
      <c r="C83" s="318" t="s">
        <v>5631</v>
      </c>
      <c r="D83" s="311" t="s">
        <v>5203</v>
      </c>
      <c r="E83" s="312" t="s">
        <v>1673</v>
      </c>
      <c r="F83" s="337" t="s">
        <v>5632</v>
      </c>
      <c r="G83" s="311" t="s">
        <v>5180</v>
      </c>
      <c r="H83" s="314" t="s">
        <v>5181</v>
      </c>
      <c r="I83" s="348"/>
      <c r="J83" s="350"/>
      <c r="K83" s="349"/>
      <c r="L83" s="335"/>
      <c r="M83" s="318"/>
      <c r="N83" s="355"/>
      <c r="O83" s="337"/>
      <c r="P83" s="354"/>
      <c r="Q83" s="355"/>
      <c r="R83" s="350"/>
      <c r="S83" s="350"/>
      <c r="T83" s="350"/>
      <c r="U83" s="351"/>
      <c r="V83" s="351"/>
      <c r="W83" s="351"/>
      <c r="X83" s="351"/>
      <c r="Y83" s="351"/>
      <c r="Z83" s="351"/>
    </row>
    <row r="84">
      <c r="A84" s="319" t="s">
        <v>5633</v>
      </c>
      <c r="B84" s="320" t="s">
        <v>5634</v>
      </c>
      <c r="C84" s="311" t="s">
        <v>5635</v>
      </c>
      <c r="D84" s="321" t="s">
        <v>5203</v>
      </c>
      <c r="E84" s="322" t="s">
        <v>1673</v>
      </c>
      <c r="F84" s="334" t="s">
        <v>5636</v>
      </c>
      <c r="G84" s="321" t="s">
        <v>1383</v>
      </c>
      <c r="H84" s="325" t="s">
        <v>5310</v>
      </c>
      <c r="I84" s="348"/>
      <c r="J84" s="320" t="s">
        <v>5637</v>
      </c>
      <c r="K84" s="349"/>
      <c r="L84" s="335"/>
      <c r="M84" s="355"/>
      <c r="N84" s="355"/>
      <c r="O84" s="354"/>
      <c r="P84" s="354"/>
      <c r="Q84" s="355"/>
      <c r="R84" s="350"/>
      <c r="S84" s="350"/>
      <c r="T84" s="350"/>
      <c r="U84" s="351"/>
      <c r="V84" s="351"/>
      <c r="W84" s="351"/>
      <c r="X84" s="351"/>
      <c r="Y84" s="351"/>
      <c r="Z84" s="351"/>
    </row>
    <row r="85">
      <c r="A85" s="309" t="s">
        <v>5638</v>
      </c>
      <c r="B85" s="335" t="s">
        <v>4479</v>
      </c>
      <c r="C85" s="318" t="s">
        <v>4480</v>
      </c>
      <c r="D85" s="311" t="s">
        <v>5179</v>
      </c>
      <c r="E85" s="312" t="s">
        <v>5537</v>
      </c>
      <c r="F85" s="337" t="s">
        <v>5639</v>
      </c>
      <c r="G85" s="311" t="s">
        <v>5180</v>
      </c>
      <c r="H85" s="314" t="s">
        <v>5181</v>
      </c>
      <c r="I85" s="348"/>
      <c r="J85" s="350"/>
      <c r="K85" s="349"/>
      <c r="L85" s="335"/>
      <c r="M85" s="355"/>
      <c r="N85" s="355"/>
      <c r="O85" s="354"/>
      <c r="P85" s="354"/>
      <c r="Q85" s="355"/>
      <c r="R85" s="350"/>
      <c r="S85" s="337"/>
      <c r="T85" s="350"/>
      <c r="U85" s="351"/>
      <c r="V85" s="351"/>
      <c r="W85" s="351"/>
      <c r="X85" s="351"/>
      <c r="Y85" s="351"/>
      <c r="Z85" s="351"/>
    </row>
    <row r="86">
      <c r="A86" s="309" t="s">
        <v>171</v>
      </c>
      <c r="B86" s="335" t="s">
        <v>4479</v>
      </c>
      <c r="C86" s="318" t="s">
        <v>4480</v>
      </c>
      <c r="D86" s="311" t="s">
        <v>5179</v>
      </c>
      <c r="E86" s="312" t="s">
        <v>5331</v>
      </c>
      <c r="F86" s="337" t="s">
        <v>5640</v>
      </c>
      <c r="G86" s="311" t="s">
        <v>5180</v>
      </c>
      <c r="H86" s="314" t="s">
        <v>5181</v>
      </c>
      <c r="I86" s="348"/>
      <c r="J86" s="350"/>
      <c r="K86" s="349"/>
      <c r="L86" s="335"/>
      <c r="M86" s="355"/>
      <c r="N86" s="355"/>
      <c r="O86" s="354"/>
      <c r="P86" s="354"/>
      <c r="Q86" s="355"/>
      <c r="R86" s="350"/>
      <c r="S86" s="350"/>
      <c r="T86" s="350"/>
      <c r="U86" s="351"/>
      <c r="V86" s="351"/>
      <c r="W86" s="351"/>
      <c r="X86" s="351"/>
      <c r="Y86" s="351"/>
      <c r="Z86" s="351"/>
    </row>
    <row r="87">
      <c r="A87" s="309" t="s">
        <v>5638</v>
      </c>
      <c r="B87" s="335" t="s">
        <v>4479</v>
      </c>
      <c r="C87" s="318" t="s">
        <v>4480</v>
      </c>
      <c r="D87" s="311" t="s">
        <v>5199</v>
      </c>
      <c r="E87" s="312" t="s">
        <v>5352</v>
      </c>
      <c r="F87" s="337" t="s">
        <v>5641</v>
      </c>
      <c r="G87" s="311" t="s">
        <v>5180</v>
      </c>
      <c r="H87" s="314" t="s">
        <v>5181</v>
      </c>
      <c r="I87" s="348"/>
      <c r="J87" s="350"/>
      <c r="K87" s="349"/>
      <c r="L87" s="335"/>
      <c r="M87" s="318"/>
      <c r="N87" s="318"/>
      <c r="O87" s="337"/>
      <c r="P87" s="337"/>
      <c r="Q87" s="318"/>
      <c r="R87" s="335"/>
      <c r="S87" s="335"/>
      <c r="T87" s="350"/>
      <c r="U87" s="351"/>
      <c r="V87" s="351"/>
      <c r="W87" s="351"/>
      <c r="X87" s="351"/>
      <c r="Y87" s="351"/>
      <c r="Z87" s="351"/>
    </row>
    <row r="88">
      <c r="A88" s="309" t="s">
        <v>171</v>
      </c>
      <c r="B88" s="335" t="s">
        <v>4479</v>
      </c>
      <c r="C88" s="318" t="s">
        <v>4480</v>
      </c>
      <c r="D88" s="311" t="s">
        <v>5199</v>
      </c>
      <c r="E88" s="281" t="s">
        <v>5642</v>
      </c>
      <c r="F88" s="337" t="s">
        <v>5643</v>
      </c>
      <c r="G88" s="311" t="s">
        <v>5180</v>
      </c>
      <c r="H88" s="314" t="s">
        <v>5181</v>
      </c>
      <c r="I88" s="348"/>
      <c r="J88" s="350"/>
      <c r="K88" s="349"/>
      <c r="L88" s="335"/>
      <c r="M88" s="318"/>
      <c r="N88" s="318"/>
      <c r="O88" s="337"/>
      <c r="P88" s="337"/>
      <c r="Q88" s="318"/>
      <c r="R88" s="335"/>
      <c r="S88" s="335"/>
      <c r="T88" s="350"/>
      <c r="U88" s="351"/>
      <c r="V88" s="351"/>
      <c r="W88" s="351"/>
      <c r="X88" s="351"/>
      <c r="Y88" s="351"/>
      <c r="Z88" s="351"/>
    </row>
    <row r="89" ht="21.75" customHeight="1">
      <c r="A89" s="319" t="s">
        <v>5644</v>
      </c>
      <c r="B89" s="320" t="s">
        <v>5645</v>
      </c>
      <c r="C89" s="318" t="s">
        <v>5646</v>
      </c>
      <c r="D89" s="321" t="s">
        <v>5199</v>
      </c>
      <c r="E89" s="322" t="s">
        <v>116</v>
      </c>
      <c r="F89" s="334" t="s">
        <v>5647</v>
      </c>
      <c r="G89" s="321" t="s">
        <v>2713</v>
      </c>
      <c r="H89" s="325" t="s">
        <v>5648</v>
      </c>
      <c r="I89" s="348"/>
      <c r="J89" s="324"/>
      <c r="K89" s="349"/>
      <c r="L89" s="335"/>
      <c r="M89" s="318"/>
      <c r="N89" s="318"/>
      <c r="O89" s="337"/>
      <c r="P89" s="337"/>
      <c r="Q89" s="318"/>
      <c r="R89" s="335"/>
      <c r="S89" s="335"/>
      <c r="T89" s="350"/>
      <c r="U89" s="351"/>
      <c r="V89" s="351"/>
      <c r="W89" s="351"/>
      <c r="X89" s="351"/>
      <c r="Y89" s="351"/>
      <c r="Z89" s="351"/>
    </row>
    <row r="90">
      <c r="A90" s="309"/>
      <c r="B90" s="337" t="s">
        <v>5649</v>
      </c>
      <c r="C90" s="318" t="s">
        <v>5650</v>
      </c>
      <c r="D90" s="311" t="s">
        <v>5199</v>
      </c>
      <c r="E90" s="312" t="s">
        <v>5200</v>
      </c>
      <c r="F90" s="337"/>
      <c r="G90" s="311" t="s">
        <v>5180</v>
      </c>
      <c r="H90" s="350"/>
      <c r="I90" s="348"/>
      <c r="J90" s="350"/>
      <c r="K90" s="349"/>
      <c r="L90" s="337"/>
      <c r="M90" s="318"/>
      <c r="N90" s="318"/>
      <c r="O90" s="337"/>
      <c r="P90" s="354"/>
      <c r="Q90" s="355"/>
      <c r="R90" s="350"/>
      <c r="S90" s="350"/>
      <c r="T90" s="350"/>
      <c r="U90" s="351"/>
      <c r="V90" s="351"/>
      <c r="W90" s="351"/>
      <c r="X90" s="351"/>
      <c r="Y90" s="351"/>
      <c r="Z90" s="351"/>
    </row>
    <row r="91">
      <c r="A91" s="309"/>
      <c r="B91" s="337" t="s">
        <v>5649</v>
      </c>
      <c r="C91" s="318" t="s">
        <v>5651</v>
      </c>
      <c r="D91" s="311" t="s">
        <v>5179</v>
      </c>
      <c r="E91" s="312" t="s">
        <v>5215</v>
      </c>
      <c r="F91" s="337"/>
      <c r="G91" s="333"/>
      <c r="H91" s="350"/>
      <c r="I91" s="348"/>
      <c r="J91" s="350"/>
      <c r="K91" s="349"/>
      <c r="L91" s="337"/>
      <c r="M91" s="318"/>
      <c r="N91" s="355"/>
      <c r="O91" s="354"/>
      <c r="P91" s="354"/>
      <c r="Q91" s="355"/>
      <c r="R91" s="350"/>
      <c r="S91" s="350"/>
      <c r="T91" s="350"/>
      <c r="U91" s="351"/>
      <c r="V91" s="351"/>
      <c r="W91" s="351"/>
      <c r="X91" s="351"/>
      <c r="Y91" s="351"/>
      <c r="Z91" s="351"/>
    </row>
    <row r="92">
      <c r="A92" s="309"/>
      <c r="B92" s="337" t="s">
        <v>2719</v>
      </c>
      <c r="C92" s="318" t="s">
        <v>2720</v>
      </c>
      <c r="D92" s="311" t="s">
        <v>5284</v>
      </c>
      <c r="E92" s="312" t="s">
        <v>5209</v>
      </c>
      <c r="F92" s="337"/>
      <c r="G92" s="333"/>
      <c r="H92" s="335"/>
      <c r="I92" s="348"/>
      <c r="J92" s="350"/>
      <c r="K92" s="349"/>
      <c r="L92" s="337"/>
      <c r="M92" s="318"/>
      <c r="N92" s="318"/>
      <c r="O92" s="337"/>
      <c r="P92" s="337"/>
      <c r="Q92" s="318"/>
      <c r="R92" s="335"/>
      <c r="S92" s="350"/>
      <c r="T92" s="350"/>
      <c r="U92" s="351"/>
      <c r="V92" s="351"/>
      <c r="W92" s="351"/>
      <c r="X92" s="351"/>
      <c r="Y92" s="351"/>
      <c r="Z92" s="351"/>
    </row>
    <row r="93">
      <c r="A93" s="319" t="s">
        <v>5587</v>
      </c>
      <c r="B93" s="320" t="s">
        <v>5652</v>
      </c>
      <c r="C93" s="318" t="s">
        <v>5653</v>
      </c>
      <c r="D93" s="321" t="s">
        <v>5179</v>
      </c>
      <c r="E93" s="322" t="s">
        <v>1673</v>
      </c>
      <c r="F93" s="334" t="s">
        <v>5654</v>
      </c>
      <c r="G93" s="321" t="s">
        <v>2713</v>
      </c>
      <c r="H93" s="315" t="s">
        <v>5655</v>
      </c>
      <c r="I93" s="348"/>
      <c r="J93" s="324"/>
      <c r="K93" s="349"/>
      <c r="L93" s="337"/>
      <c r="M93" s="355"/>
      <c r="N93" s="318"/>
      <c r="O93" s="337"/>
      <c r="P93" s="354"/>
      <c r="Q93" s="355"/>
      <c r="R93" s="350"/>
      <c r="S93" s="350"/>
      <c r="T93" s="350"/>
      <c r="U93" s="351"/>
      <c r="V93" s="351"/>
      <c r="W93" s="351"/>
      <c r="X93" s="351"/>
      <c r="Y93" s="351"/>
      <c r="Z93" s="351"/>
    </row>
    <row r="94">
      <c r="A94" s="309"/>
      <c r="B94" s="372" t="s">
        <v>5656</v>
      </c>
      <c r="C94" s="375" t="s">
        <v>1285</v>
      </c>
      <c r="D94" s="311" t="s">
        <v>5179</v>
      </c>
      <c r="E94" s="312" t="s">
        <v>1673</v>
      </c>
      <c r="F94" s="337" t="s">
        <v>5657</v>
      </c>
      <c r="G94" s="333"/>
      <c r="H94" s="350"/>
      <c r="I94" s="348"/>
      <c r="J94" s="350"/>
      <c r="K94" s="349"/>
      <c r="L94" s="337"/>
      <c r="M94" s="355"/>
      <c r="N94" s="318"/>
      <c r="O94" s="337"/>
      <c r="P94" s="354"/>
      <c r="Q94" s="355"/>
      <c r="R94" s="350"/>
      <c r="S94" s="350"/>
      <c r="T94" s="350"/>
      <c r="U94" s="351"/>
      <c r="V94" s="351"/>
      <c r="W94" s="351"/>
      <c r="X94" s="351"/>
      <c r="Y94" s="351"/>
      <c r="Z94" s="351"/>
    </row>
    <row r="95">
      <c r="A95" s="309" t="s">
        <v>580</v>
      </c>
      <c r="B95" s="337" t="s">
        <v>5658</v>
      </c>
      <c r="C95" s="318" t="s">
        <v>2732</v>
      </c>
      <c r="D95" s="311" t="s">
        <v>5199</v>
      </c>
      <c r="E95" s="312" t="s">
        <v>5659</v>
      </c>
      <c r="F95" s="337" t="s">
        <v>5660</v>
      </c>
      <c r="G95" s="333"/>
      <c r="H95" s="314" t="s">
        <v>5181</v>
      </c>
      <c r="I95" s="348"/>
      <c r="J95" s="350"/>
      <c r="K95" s="349"/>
      <c r="L95" s="337"/>
      <c r="M95" s="318"/>
      <c r="N95" s="318"/>
      <c r="O95" s="337"/>
      <c r="P95" s="354"/>
      <c r="Q95" s="355"/>
      <c r="R95" s="350"/>
      <c r="S95" s="350"/>
      <c r="T95" s="350"/>
      <c r="U95" s="351"/>
      <c r="V95" s="351"/>
      <c r="W95" s="351"/>
      <c r="X95" s="351"/>
      <c r="Y95" s="351"/>
      <c r="Z95" s="351"/>
    </row>
    <row r="96">
      <c r="A96" s="309"/>
      <c r="B96" s="374" t="s">
        <v>5661</v>
      </c>
      <c r="C96" s="373" t="s">
        <v>5662</v>
      </c>
      <c r="D96" s="311" t="s">
        <v>5179</v>
      </c>
      <c r="E96" s="312" t="s">
        <v>1040</v>
      </c>
      <c r="F96" s="337"/>
      <c r="G96" s="311" t="s">
        <v>5180</v>
      </c>
      <c r="H96" s="350"/>
      <c r="I96" s="348"/>
      <c r="J96" s="350"/>
      <c r="K96" s="349"/>
      <c r="L96" s="337"/>
      <c r="M96" s="355"/>
      <c r="N96" s="318"/>
      <c r="O96" s="337"/>
      <c r="P96" s="354"/>
      <c r="Q96" s="355"/>
      <c r="R96" s="350"/>
      <c r="S96" s="350"/>
      <c r="T96" s="350"/>
      <c r="U96" s="351"/>
      <c r="V96" s="351"/>
      <c r="W96" s="351"/>
      <c r="X96" s="351"/>
      <c r="Y96" s="351"/>
      <c r="Z96" s="351"/>
    </row>
    <row r="97">
      <c r="A97" s="309"/>
      <c r="B97" s="337" t="s">
        <v>4581</v>
      </c>
      <c r="C97" s="318">
        <v>1.4948131733E10</v>
      </c>
      <c r="D97" s="311" t="s">
        <v>5203</v>
      </c>
      <c r="E97" s="312" t="s">
        <v>5209</v>
      </c>
      <c r="F97" s="337" t="s">
        <v>5663</v>
      </c>
      <c r="G97" s="333"/>
      <c r="H97" s="350"/>
      <c r="I97" s="348"/>
      <c r="J97" s="350"/>
      <c r="K97" s="349"/>
      <c r="L97" s="337"/>
      <c r="M97" s="318"/>
      <c r="N97" s="318"/>
      <c r="O97" s="354"/>
      <c r="P97" s="354"/>
      <c r="Q97" s="355"/>
      <c r="R97" s="350"/>
      <c r="S97" s="350"/>
      <c r="T97" s="350"/>
      <c r="U97" s="351"/>
      <c r="V97" s="351"/>
      <c r="W97" s="351"/>
      <c r="X97" s="351"/>
      <c r="Y97" s="351"/>
      <c r="Z97" s="351"/>
    </row>
    <row r="98">
      <c r="A98" s="309"/>
      <c r="B98" s="337" t="s">
        <v>5664</v>
      </c>
      <c r="C98" s="281">
        <v>1.2614151408E10</v>
      </c>
      <c r="D98" s="311" t="s">
        <v>5179</v>
      </c>
      <c r="E98" s="312" t="s">
        <v>5264</v>
      </c>
      <c r="F98" s="337"/>
      <c r="G98" s="333"/>
      <c r="H98" s="350"/>
      <c r="I98" s="348"/>
      <c r="J98" s="350"/>
      <c r="K98" s="349"/>
      <c r="L98" s="337"/>
      <c r="M98" s="318"/>
      <c r="N98" s="318"/>
      <c r="O98" s="337"/>
      <c r="P98" s="354"/>
      <c r="Q98" s="355"/>
      <c r="R98" s="350"/>
      <c r="S98" s="350"/>
      <c r="T98" s="350"/>
      <c r="U98" s="351"/>
      <c r="V98" s="351"/>
      <c r="W98" s="351"/>
      <c r="X98" s="351"/>
      <c r="Y98" s="351"/>
      <c r="Z98" s="351"/>
    </row>
    <row r="99">
      <c r="A99" s="309" t="s">
        <v>622</v>
      </c>
      <c r="B99" s="337" t="s">
        <v>5665</v>
      </c>
      <c r="C99" s="376"/>
      <c r="D99" s="311" t="s">
        <v>5203</v>
      </c>
      <c r="E99" s="312" t="s">
        <v>1673</v>
      </c>
      <c r="F99" s="337"/>
      <c r="G99" s="333"/>
      <c r="H99" s="350"/>
      <c r="I99" s="348"/>
      <c r="J99" s="350"/>
      <c r="K99" s="349"/>
      <c r="L99" s="337"/>
      <c r="M99" s="318"/>
      <c r="N99" s="318"/>
      <c r="O99" s="337"/>
      <c r="P99" s="354"/>
      <c r="Q99" s="355"/>
      <c r="R99" s="350"/>
      <c r="S99" s="350"/>
      <c r="T99" s="350"/>
      <c r="U99" s="351"/>
      <c r="V99" s="351"/>
      <c r="W99" s="351"/>
      <c r="X99" s="351"/>
      <c r="Y99" s="351"/>
      <c r="Z99" s="351"/>
    </row>
    <row r="100">
      <c r="A100" s="309"/>
      <c r="B100" s="337"/>
      <c r="C100" s="318"/>
      <c r="D100" s="311"/>
      <c r="E100" s="312"/>
      <c r="F100" s="337"/>
      <c r="G100" s="333"/>
      <c r="H100" s="350"/>
      <c r="I100" s="348"/>
      <c r="J100" s="350"/>
      <c r="K100" s="349"/>
      <c r="L100" s="337"/>
      <c r="M100" s="318"/>
      <c r="N100" s="318"/>
      <c r="O100" s="337"/>
      <c r="P100" s="354"/>
      <c r="Q100" s="355"/>
      <c r="R100" s="350"/>
      <c r="S100" s="350"/>
      <c r="T100" s="350"/>
      <c r="U100" s="351"/>
      <c r="V100" s="351"/>
      <c r="W100" s="351"/>
      <c r="X100" s="351"/>
      <c r="Y100" s="351"/>
      <c r="Z100" s="351"/>
    </row>
    <row r="101">
      <c r="A101" s="309"/>
      <c r="B101" s="337"/>
      <c r="C101" s="318"/>
      <c r="D101" s="311"/>
      <c r="E101" s="312"/>
      <c r="F101" s="337"/>
      <c r="G101" s="333"/>
      <c r="H101" s="350"/>
      <c r="I101" s="348"/>
      <c r="J101" s="350"/>
      <c r="K101" s="349"/>
      <c r="L101" s="337"/>
      <c r="M101" s="318"/>
      <c r="N101" s="318"/>
      <c r="O101" s="337"/>
      <c r="P101" s="354"/>
      <c r="Q101" s="355"/>
      <c r="R101" s="350"/>
      <c r="S101" s="350"/>
      <c r="T101" s="350"/>
      <c r="U101" s="351"/>
      <c r="V101" s="351"/>
      <c r="W101" s="351"/>
      <c r="X101" s="351"/>
      <c r="Y101" s="351"/>
      <c r="Z101" s="351"/>
    </row>
    <row r="102">
      <c r="A102" s="309"/>
      <c r="B102" s="337"/>
      <c r="C102" s="318"/>
      <c r="D102" s="311"/>
      <c r="E102" s="312"/>
      <c r="F102" s="337"/>
      <c r="G102" s="333"/>
      <c r="H102" s="335"/>
      <c r="I102" s="377"/>
      <c r="J102" s="350"/>
      <c r="K102" s="349"/>
      <c r="L102" s="337"/>
      <c r="M102" s="318"/>
      <c r="N102" s="318"/>
      <c r="O102" s="337"/>
      <c r="P102" s="337"/>
      <c r="Q102" s="318"/>
      <c r="R102" s="335"/>
      <c r="S102" s="335"/>
      <c r="T102" s="350"/>
      <c r="U102" s="351"/>
      <c r="V102" s="351"/>
      <c r="W102" s="351"/>
      <c r="X102" s="351"/>
      <c r="Y102" s="351"/>
      <c r="Z102" s="351"/>
    </row>
    <row r="103">
      <c r="A103" s="309"/>
      <c r="B103" s="337"/>
      <c r="C103" s="318"/>
      <c r="D103" s="311"/>
      <c r="E103" s="312"/>
      <c r="F103" s="337"/>
      <c r="G103" s="333"/>
      <c r="H103" s="335"/>
      <c r="I103" s="377"/>
      <c r="J103" s="350"/>
      <c r="K103" s="349"/>
      <c r="L103" s="337"/>
      <c r="M103" s="318"/>
      <c r="N103" s="318"/>
      <c r="O103" s="337"/>
      <c r="P103" s="337"/>
      <c r="Q103" s="318"/>
      <c r="R103" s="335"/>
      <c r="S103" s="335"/>
      <c r="T103" s="350"/>
      <c r="U103" s="351"/>
      <c r="V103" s="351"/>
      <c r="W103" s="351"/>
      <c r="X103" s="351"/>
      <c r="Y103" s="351"/>
      <c r="Z103" s="351"/>
    </row>
    <row r="104">
      <c r="A104" s="309"/>
      <c r="B104" s="337"/>
      <c r="C104" s="355"/>
      <c r="D104" s="311"/>
      <c r="E104" s="312"/>
      <c r="F104" s="337"/>
      <c r="G104" s="333"/>
      <c r="H104" s="350"/>
      <c r="I104" s="348"/>
      <c r="J104" s="350"/>
      <c r="K104" s="349"/>
      <c r="L104" s="337"/>
      <c r="M104" s="355"/>
      <c r="N104" s="318"/>
      <c r="O104" s="337"/>
      <c r="P104" s="354"/>
      <c r="Q104" s="355"/>
      <c r="R104" s="350"/>
      <c r="S104" s="350"/>
      <c r="T104" s="350"/>
      <c r="U104" s="351"/>
      <c r="V104" s="351"/>
      <c r="W104" s="351"/>
      <c r="X104" s="351"/>
      <c r="Y104" s="351"/>
      <c r="Z104" s="351"/>
    </row>
    <row r="105">
      <c r="A105" s="309"/>
      <c r="B105" s="337"/>
      <c r="C105" s="355"/>
      <c r="D105" s="311"/>
      <c r="E105" s="312"/>
      <c r="F105" s="337"/>
      <c r="G105" s="333"/>
      <c r="H105" s="350"/>
      <c r="I105" s="348"/>
      <c r="J105" s="350"/>
      <c r="K105" s="349"/>
      <c r="L105" s="337"/>
      <c r="M105" s="355"/>
      <c r="N105" s="318"/>
      <c r="O105" s="337"/>
      <c r="P105" s="354"/>
      <c r="Q105" s="355"/>
      <c r="R105" s="350"/>
      <c r="S105" s="350"/>
      <c r="T105" s="350"/>
      <c r="U105" s="351"/>
      <c r="V105" s="351"/>
      <c r="W105" s="351"/>
      <c r="X105" s="351"/>
      <c r="Y105" s="351"/>
      <c r="Z105" s="351"/>
    </row>
    <row r="106">
      <c r="A106" s="309"/>
      <c r="B106" s="337"/>
      <c r="C106" s="355"/>
      <c r="D106" s="311"/>
      <c r="E106" s="312"/>
      <c r="F106" s="337"/>
      <c r="G106" s="333"/>
      <c r="H106" s="350"/>
      <c r="I106" s="348"/>
      <c r="J106" s="350"/>
      <c r="K106" s="349"/>
      <c r="L106" s="337"/>
      <c r="M106" s="355"/>
      <c r="N106" s="318"/>
      <c r="O106" s="337"/>
      <c r="P106" s="354"/>
      <c r="Q106" s="355"/>
      <c r="R106" s="350"/>
      <c r="S106" s="350"/>
      <c r="T106" s="350"/>
      <c r="U106" s="351"/>
      <c r="V106" s="351"/>
      <c r="W106" s="351"/>
      <c r="X106" s="351"/>
      <c r="Y106" s="351"/>
      <c r="Z106" s="351"/>
    </row>
    <row r="107">
      <c r="A107" s="309"/>
      <c r="B107" s="337"/>
      <c r="C107" s="318"/>
      <c r="D107" s="311"/>
      <c r="E107" s="312"/>
      <c r="F107" s="337"/>
      <c r="G107" s="333"/>
      <c r="H107" s="350"/>
      <c r="I107" s="348"/>
      <c r="J107" s="350"/>
      <c r="K107" s="349"/>
      <c r="L107" s="337"/>
      <c r="M107" s="318"/>
      <c r="N107" s="318"/>
      <c r="O107" s="337"/>
      <c r="P107" s="354"/>
      <c r="Q107" s="355"/>
      <c r="R107" s="350"/>
      <c r="S107" s="350"/>
      <c r="T107" s="350"/>
      <c r="U107" s="351"/>
      <c r="V107" s="351"/>
      <c r="W107" s="351"/>
      <c r="X107" s="351"/>
      <c r="Y107" s="351"/>
      <c r="Z107" s="351"/>
    </row>
    <row r="108">
      <c r="A108" s="309"/>
      <c r="B108" s="337"/>
      <c r="C108" s="318"/>
      <c r="D108" s="311"/>
      <c r="E108" s="312"/>
      <c r="F108" s="337"/>
      <c r="G108" s="333"/>
      <c r="H108" s="350"/>
      <c r="I108" s="348"/>
      <c r="J108" s="350"/>
      <c r="K108" s="349"/>
      <c r="L108" s="337"/>
      <c r="M108" s="318"/>
      <c r="N108" s="318"/>
      <c r="O108" s="337"/>
      <c r="P108" s="354"/>
      <c r="Q108" s="355"/>
      <c r="R108" s="350"/>
      <c r="S108" s="350"/>
      <c r="T108" s="350"/>
      <c r="U108" s="351"/>
      <c r="V108" s="351"/>
      <c r="W108" s="351"/>
      <c r="X108" s="351"/>
      <c r="Y108" s="351"/>
      <c r="Z108" s="351"/>
    </row>
    <row r="109">
      <c r="A109" s="309"/>
      <c r="B109" s="337"/>
      <c r="C109" s="318"/>
      <c r="D109" s="311"/>
      <c r="E109" s="312"/>
      <c r="F109" s="337"/>
      <c r="G109" s="333"/>
      <c r="H109" s="350"/>
      <c r="I109" s="348"/>
      <c r="J109" s="350"/>
      <c r="K109" s="349"/>
      <c r="L109" s="337"/>
      <c r="M109" s="318"/>
      <c r="N109" s="318"/>
      <c r="O109" s="337"/>
      <c r="P109" s="354"/>
      <c r="Q109" s="355"/>
      <c r="R109" s="350"/>
      <c r="S109" s="350"/>
      <c r="T109" s="350"/>
      <c r="U109" s="351"/>
      <c r="V109" s="351"/>
      <c r="W109" s="351"/>
      <c r="X109" s="351"/>
      <c r="Y109" s="351"/>
      <c r="Z109" s="351"/>
    </row>
    <row r="110">
      <c r="A110" s="309"/>
      <c r="B110" s="337"/>
      <c r="C110" s="318"/>
      <c r="D110" s="311"/>
      <c r="E110" s="312"/>
      <c r="F110" s="337"/>
      <c r="G110" s="333"/>
      <c r="H110" s="350"/>
      <c r="I110" s="348"/>
      <c r="J110" s="350"/>
      <c r="K110" s="349"/>
      <c r="L110" s="337"/>
      <c r="M110" s="318"/>
      <c r="N110" s="318"/>
      <c r="O110" s="337"/>
      <c r="P110" s="354"/>
      <c r="Q110" s="355"/>
      <c r="R110" s="350"/>
      <c r="S110" s="350"/>
      <c r="T110" s="350"/>
      <c r="U110" s="351"/>
      <c r="V110" s="351"/>
      <c r="W110" s="351"/>
      <c r="X110" s="351"/>
      <c r="Y110" s="351"/>
      <c r="Z110" s="351"/>
    </row>
    <row r="111">
      <c r="A111" s="309"/>
      <c r="B111" s="337"/>
      <c r="C111" s="318"/>
      <c r="D111" s="311"/>
      <c r="E111" s="312"/>
      <c r="F111" s="337"/>
      <c r="G111" s="333"/>
      <c r="H111" s="350"/>
      <c r="I111" s="348"/>
      <c r="J111" s="350"/>
      <c r="K111" s="349"/>
      <c r="L111" s="337"/>
      <c r="M111" s="318"/>
      <c r="N111" s="318"/>
      <c r="O111" s="337"/>
      <c r="P111" s="354"/>
      <c r="Q111" s="355"/>
      <c r="R111" s="350"/>
      <c r="S111" s="350"/>
      <c r="T111" s="350"/>
      <c r="U111" s="351"/>
      <c r="V111" s="351"/>
      <c r="W111" s="351"/>
      <c r="X111" s="351"/>
      <c r="Y111" s="351"/>
      <c r="Z111" s="351"/>
    </row>
    <row r="112">
      <c r="A112" s="309"/>
      <c r="B112" s="337"/>
      <c r="C112" s="318"/>
      <c r="D112" s="311"/>
      <c r="E112" s="312"/>
      <c r="F112" s="337"/>
      <c r="G112" s="333"/>
      <c r="H112" s="350"/>
      <c r="I112" s="348"/>
      <c r="J112" s="350"/>
      <c r="K112" s="349"/>
      <c r="L112" s="337"/>
      <c r="M112" s="318"/>
      <c r="N112" s="318"/>
      <c r="O112" s="337"/>
      <c r="P112" s="354"/>
      <c r="Q112" s="355"/>
      <c r="R112" s="350"/>
      <c r="S112" s="350"/>
      <c r="T112" s="350"/>
      <c r="U112" s="351"/>
      <c r="V112" s="351"/>
      <c r="W112" s="351"/>
      <c r="X112" s="351"/>
      <c r="Y112" s="351"/>
      <c r="Z112" s="351"/>
    </row>
    <row r="113">
      <c r="A113" s="309"/>
      <c r="B113" s="335"/>
      <c r="C113" s="355"/>
      <c r="D113" s="311"/>
      <c r="E113" s="312"/>
      <c r="F113" s="337"/>
      <c r="G113" s="333"/>
      <c r="H113" s="350"/>
      <c r="I113" s="348"/>
      <c r="J113" s="350"/>
      <c r="K113" s="349"/>
      <c r="L113" s="335"/>
      <c r="M113" s="355"/>
      <c r="N113" s="318"/>
      <c r="O113" s="337"/>
      <c r="P113" s="354"/>
      <c r="Q113" s="355"/>
      <c r="R113" s="350"/>
      <c r="S113" s="350"/>
      <c r="T113" s="350"/>
      <c r="U113" s="351"/>
      <c r="V113" s="351"/>
      <c r="W113" s="351"/>
      <c r="X113" s="351"/>
      <c r="Y113" s="351"/>
      <c r="Z113" s="351"/>
    </row>
    <row r="114">
      <c r="A114" s="309"/>
      <c r="B114" s="335"/>
      <c r="C114" s="318"/>
      <c r="D114" s="311"/>
      <c r="E114" s="312"/>
      <c r="F114" s="337"/>
      <c r="G114" s="333"/>
      <c r="H114" s="350"/>
      <c r="I114" s="378"/>
      <c r="J114" s="350"/>
      <c r="K114" s="349"/>
      <c r="L114" s="335"/>
      <c r="M114" s="318"/>
      <c r="N114" s="318"/>
      <c r="O114" s="337"/>
      <c r="P114" s="354"/>
      <c r="Q114" s="355"/>
      <c r="R114" s="350"/>
      <c r="S114" s="337"/>
      <c r="T114" s="350"/>
      <c r="U114" s="351"/>
      <c r="V114" s="351"/>
      <c r="W114" s="351"/>
      <c r="X114" s="351"/>
      <c r="Y114" s="351"/>
      <c r="Z114" s="351"/>
    </row>
    <row r="115">
      <c r="A115" s="309"/>
      <c r="B115" s="335"/>
      <c r="C115" s="355"/>
      <c r="D115" s="311"/>
      <c r="E115" s="312"/>
      <c r="F115" s="337"/>
      <c r="G115" s="333"/>
      <c r="H115" s="350"/>
      <c r="I115" s="348"/>
      <c r="J115" s="350"/>
      <c r="K115" s="349"/>
      <c r="L115" s="335"/>
      <c r="M115" s="355"/>
      <c r="N115" s="355"/>
      <c r="O115" s="354"/>
      <c r="P115" s="354"/>
      <c r="Q115" s="355"/>
      <c r="R115" s="350"/>
      <c r="S115" s="350"/>
      <c r="T115" s="350"/>
      <c r="U115" s="351"/>
      <c r="V115" s="351"/>
      <c r="W115" s="351"/>
      <c r="X115" s="351"/>
      <c r="Y115" s="351"/>
      <c r="Z115" s="351"/>
    </row>
    <row r="116">
      <c r="A116" s="309"/>
      <c r="B116" s="337"/>
      <c r="C116" s="318"/>
      <c r="D116" s="311"/>
      <c r="E116" s="312"/>
      <c r="F116" s="337"/>
      <c r="G116" s="333"/>
      <c r="H116" s="350"/>
      <c r="I116" s="348"/>
      <c r="J116" s="350"/>
      <c r="K116" s="349"/>
      <c r="L116" s="337"/>
      <c r="M116" s="318"/>
      <c r="N116" s="318"/>
      <c r="O116" s="337"/>
      <c r="P116" s="354"/>
      <c r="Q116" s="355"/>
      <c r="R116" s="350"/>
      <c r="S116" s="350"/>
      <c r="T116" s="350"/>
      <c r="U116" s="351"/>
      <c r="V116" s="351"/>
      <c r="W116" s="351"/>
      <c r="X116" s="351"/>
      <c r="Y116" s="351"/>
      <c r="Z116" s="351"/>
    </row>
    <row r="117">
      <c r="A117" s="309"/>
      <c r="B117" s="337"/>
      <c r="C117" s="318"/>
      <c r="D117" s="311"/>
      <c r="E117" s="312"/>
      <c r="F117" s="337"/>
      <c r="G117" s="333"/>
      <c r="H117" s="350"/>
      <c r="I117" s="348"/>
      <c r="J117" s="350"/>
      <c r="K117" s="349"/>
      <c r="L117" s="337"/>
      <c r="M117" s="318"/>
      <c r="N117" s="318"/>
      <c r="O117" s="337"/>
      <c r="P117" s="354"/>
      <c r="Q117" s="355"/>
      <c r="R117" s="350"/>
      <c r="S117" s="350"/>
      <c r="T117" s="350"/>
      <c r="U117" s="351"/>
      <c r="V117" s="351"/>
      <c r="W117" s="351"/>
      <c r="X117" s="351"/>
      <c r="Y117" s="351"/>
      <c r="Z117" s="351"/>
    </row>
    <row r="118">
      <c r="A118" s="309"/>
      <c r="B118" s="337"/>
      <c r="C118" s="318"/>
      <c r="D118" s="311"/>
      <c r="E118" s="312"/>
      <c r="F118" s="337"/>
      <c r="G118" s="333"/>
      <c r="H118" s="350"/>
      <c r="I118" s="348"/>
      <c r="J118" s="350"/>
      <c r="K118" s="349"/>
      <c r="L118" s="337"/>
      <c r="M118" s="318"/>
      <c r="N118" s="318"/>
      <c r="O118" s="337"/>
      <c r="P118" s="354"/>
      <c r="Q118" s="355"/>
      <c r="R118" s="350"/>
      <c r="S118" s="350"/>
      <c r="T118" s="350"/>
      <c r="U118" s="351"/>
      <c r="V118" s="351"/>
      <c r="W118" s="351"/>
      <c r="X118" s="351"/>
      <c r="Y118" s="351"/>
      <c r="Z118" s="351"/>
    </row>
    <row r="119">
      <c r="A119" s="309"/>
      <c r="B119" s="337"/>
      <c r="C119" s="318"/>
      <c r="D119" s="311"/>
      <c r="E119" s="312"/>
      <c r="F119" s="337"/>
      <c r="G119" s="333"/>
      <c r="H119" s="335"/>
      <c r="I119" s="348"/>
      <c r="J119" s="350"/>
      <c r="K119" s="349"/>
      <c r="L119" s="337"/>
      <c r="M119" s="318"/>
      <c r="N119" s="318"/>
      <c r="O119" s="337"/>
      <c r="P119" s="335"/>
      <c r="Q119" s="318"/>
      <c r="R119" s="335"/>
      <c r="S119" s="350"/>
      <c r="T119" s="350"/>
      <c r="U119" s="351"/>
      <c r="V119" s="351"/>
      <c r="W119" s="351"/>
      <c r="X119" s="351"/>
      <c r="Y119" s="351"/>
      <c r="Z119" s="351"/>
    </row>
    <row r="120">
      <c r="A120" s="309"/>
      <c r="B120" s="337"/>
      <c r="C120" s="318"/>
      <c r="D120" s="311"/>
      <c r="E120" s="312"/>
      <c r="F120" s="337"/>
      <c r="G120" s="333"/>
      <c r="H120" s="350"/>
      <c r="I120" s="350"/>
      <c r="J120" s="350"/>
      <c r="K120" s="349"/>
      <c r="L120" s="337"/>
      <c r="M120" s="318"/>
      <c r="N120" s="318"/>
      <c r="O120" s="337"/>
      <c r="P120" s="354"/>
      <c r="Q120" s="318"/>
      <c r="R120" s="350"/>
      <c r="S120" s="350"/>
      <c r="T120" s="350"/>
      <c r="U120" s="351"/>
      <c r="V120" s="351"/>
      <c r="W120" s="351"/>
      <c r="X120" s="351"/>
      <c r="Y120" s="351"/>
      <c r="Z120" s="351"/>
    </row>
    <row r="121">
      <c r="A121" s="309"/>
      <c r="B121" s="337"/>
      <c r="C121" s="318"/>
      <c r="D121" s="311"/>
      <c r="E121" s="312"/>
      <c r="F121" s="337"/>
      <c r="G121" s="333"/>
      <c r="H121" s="350"/>
      <c r="I121" s="379"/>
      <c r="J121" s="350"/>
      <c r="K121" s="349"/>
      <c r="L121" s="337"/>
      <c r="M121" s="318"/>
      <c r="N121" s="318"/>
      <c r="O121" s="337"/>
      <c r="P121" s="354"/>
      <c r="Q121" s="355"/>
      <c r="R121" s="350"/>
      <c r="S121" s="379"/>
      <c r="T121" s="350"/>
      <c r="U121" s="351"/>
      <c r="V121" s="351"/>
      <c r="W121" s="351"/>
      <c r="X121" s="351"/>
      <c r="Y121" s="351"/>
      <c r="Z121" s="351"/>
    </row>
    <row r="122">
      <c r="A122" s="309"/>
      <c r="B122" s="337"/>
      <c r="C122" s="318"/>
      <c r="D122" s="311"/>
      <c r="E122" s="312"/>
      <c r="F122" s="337"/>
      <c r="G122" s="333"/>
      <c r="H122" s="350"/>
      <c r="I122" s="350"/>
      <c r="J122" s="350"/>
      <c r="K122" s="349"/>
      <c r="L122" s="337"/>
      <c r="M122" s="318"/>
      <c r="N122" s="318"/>
      <c r="O122" s="337"/>
      <c r="P122" s="354"/>
      <c r="Q122" s="355"/>
      <c r="R122" s="350"/>
      <c r="S122" s="350"/>
      <c r="T122" s="350"/>
      <c r="U122" s="351"/>
      <c r="V122" s="351"/>
      <c r="W122" s="351"/>
      <c r="X122" s="351"/>
      <c r="Y122" s="351"/>
      <c r="Z122" s="351"/>
    </row>
    <row r="123">
      <c r="A123" s="309"/>
      <c r="B123" s="337"/>
      <c r="C123" s="318"/>
      <c r="D123" s="311"/>
      <c r="E123" s="312"/>
      <c r="F123" s="337"/>
      <c r="G123" s="333"/>
      <c r="H123" s="350"/>
      <c r="I123" s="350"/>
      <c r="J123" s="350"/>
      <c r="K123" s="349"/>
      <c r="L123" s="337"/>
      <c r="M123" s="318"/>
      <c r="N123" s="318"/>
      <c r="O123" s="337"/>
      <c r="P123" s="354"/>
      <c r="Q123" s="355"/>
      <c r="R123" s="350"/>
      <c r="S123" s="350"/>
      <c r="T123" s="350"/>
      <c r="U123" s="351"/>
      <c r="V123" s="351"/>
      <c r="W123" s="351"/>
      <c r="X123" s="351"/>
      <c r="Y123" s="351"/>
      <c r="Z123" s="351"/>
    </row>
    <row r="124">
      <c r="A124" s="309"/>
      <c r="B124" s="337"/>
      <c r="C124" s="318"/>
      <c r="D124" s="311"/>
      <c r="E124" s="312"/>
      <c r="F124" s="337"/>
      <c r="G124" s="333"/>
      <c r="H124" s="350"/>
      <c r="I124" s="350"/>
      <c r="J124" s="350"/>
      <c r="K124" s="349"/>
      <c r="L124" s="337"/>
      <c r="M124" s="318"/>
      <c r="N124" s="318"/>
      <c r="O124" s="337"/>
      <c r="P124" s="354"/>
      <c r="Q124" s="355"/>
      <c r="R124" s="350"/>
      <c r="S124" s="350"/>
      <c r="T124" s="350"/>
      <c r="U124" s="351"/>
      <c r="V124" s="351"/>
      <c r="W124" s="351"/>
      <c r="X124" s="351"/>
      <c r="Y124" s="351"/>
      <c r="Z124" s="351"/>
    </row>
    <row r="125">
      <c r="A125" s="309"/>
      <c r="B125" s="337"/>
      <c r="C125" s="318"/>
      <c r="D125" s="311"/>
      <c r="E125" s="312"/>
      <c r="F125" s="337"/>
      <c r="G125" s="333"/>
      <c r="H125" s="350"/>
      <c r="I125" s="350"/>
      <c r="J125" s="350"/>
      <c r="K125" s="349"/>
      <c r="L125" s="337"/>
      <c r="M125" s="318"/>
      <c r="N125" s="318"/>
      <c r="O125" s="337"/>
      <c r="P125" s="354"/>
      <c r="Q125" s="355"/>
      <c r="R125" s="350"/>
      <c r="S125" s="350"/>
      <c r="T125" s="350"/>
      <c r="U125" s="351"/>
      <c r="V125" s="351"/>
      <c r="W125" s="351"/>
      <c r="X125" s="351"/>
      <c r="Y125" s="351"/>
      <c r="Z125" s="351"/>
    </row>
    <row r="126">
      <c r="A126" s="309"/>
      <c r="B126" s="337"/>
      <c r="C126" s="318"/>
      <c r="D126" s="311"/>
      <c r="E126" s="312"/>
      <c r="F126" s="337"/>
      <c r="G126" s="333"/>
      <c r="H126" s="335"/>
      <c r="I126" s="335"/>
      <c r="J126" s="335"/>
      <c r="K126" s="349"/>
      <c r="L126" s="337"/>
      <c r="M126" s="318"/>
      <c r="N126" s="318"/>
      <c r="O126" s="337"/>
      <c r="P126" s="337"/>
      <c r="Q126" s="318"/>
      <c r="R126" s="335"/>
      <c r="S126" s="335"/>
      <c r="T126" s="335"/>
      <c r="U126" s="351"/>
      <c r="V126" s="351"/>
      <c r="W126" s="351"/>
      <c r="X126" s="351"/>
      <c r="Y126" s="351"/>
      <c r="Z126" s="351"/>
    </row>
    <row r="127">
      <c r="A127" s="309"/>
      <c r="B127" s="337"/>
      <c r="C127" s="318"/>
      <c r="D127" s="311"/>
      <c r="E127" s="312"/>
      <c r="F127" s="337"/>
      <c r="G127" s="333"/>
      <c r="H127" s="350"/>
      <c r="I127" s="350"/>
      <c r="J127" s="350"/>
      <c r="K127" s="349"/>
      <c r="L127" s="337"/>
      <c r="M127" s="318"/>
      <c r="N127" s="318"/>
      <c r="O127" s="337"/>
      <c r="P127" s="354"/>
      <c r="Q127" s="355"/>
      <c r="R127" s="350"/>
      <c r="S127" s="350"/>
      <c r="T127" s="350"/>
      <c r="U127" s="351"/>
      <c r="V127" s="351"/>
      <c r="W127" s="351"/>
      <c r="X127" s="351"/>
      <c r="Y127" s="351"/>
      <c r="Z127" s="351"/>
    </row>
    <row r="128">
      <c r="A128" s="309"/>
      <c r="B128" s="337"/>
      <c r="C128" s="318"/>
      <c r="D128" s="311"/>
      <c r="E128" s="312"/>
      <c r="F128" s="337"/>
      <c r="G128" s="333"/>
      <c r="H128" s="350"/>
      <c r="I128" s="337"/>
      <c r="J128" s="350"/>
      <c r="K128" s="349"/>
      <c r="L128" s="337"/>
      <c r="M128" s="318"/>
      <c r="N128" s="318"/>
      <c r="O128" s="337"/>
      <c r="P128" s="354"/>
      <c r="Q128" s="355"/>
      <c r="R128" s="350"/>
      <c r="S128" s="337"/>
      <c r="T128" s="350"/>
      <c r="U128" s="351"/>
      <c r="V128" s="351"/>
      <c r="W128" s="351"/>
      <c r="X128" s="351"/>
      <c r="Y128" s="351"/>
      <c r="Z128" s="351"/>
    </row>
    <row r="129">
      <c r="A129" s="309"/>
      <c r="B129" s="337"/>
      <c r="C129" s="318"/>
      <c r="D129" s="311"/>
      <c r="E129" s="312"/>
      <c r="F129" s="337"/>
      <c r="G129" s="333"/>
      <c r="H129" s="350"/>
      <c r="I129" s="350"/>
      <c r="J129" s="350"/>
      <c r="K129" s="349"/>
      <c r="L129" s="337"/>
      <c r="M129" s="318"/>
      <c r="N129" s="318"/>
      <c r="O129" s="337"/>
      <c r="P129" s="354"/>
      <c r="Q129" s="355"/>
      <c r="R129" s="350"/>
      <c r="S129" s="350"/>
      <c r="T129" s="350"/>
      <c r="U129" s="351"/>
      <c r="V129" s="351"/>
      <c r="W129" s="351"/>
      <c r="X129" s="351"/>
      <c r="Y129" s="351"/>
      <c r="Z129" s="351"/>
    </row>
    <row r="130">
      <c r="A130" s="309"/>
      <c r="B130" s="337"/>
      <c r="C130" s="318"/>
      <c r="D130" s="311"/>
      <c r="E130" s="312"/>
      <c r="F130" s="337"/>
      <c r="G130" s="333"/>
      <c r="H130" s="335"/>
      <c r="I130" s="335"/>
      <c r="J130" s="350"/>
      <c r="K130" s="349"/>
      <c r="L130" s="337"/>
      <c r="M130" s="318"/>
      <c r="N130" s="355"/>
      <c r="O130" s="354"/>
      <c r="P130" s="337"/>
      <c r="Q130" s="318"/>
      <c r="R130" s="335"/>
      <c r="S130" s="335"/>
      <c r="T130" s="350"/>
      <c r="U130" s="351"/>
      <c r="V130" s="351"/>
      <c r="W130" s="351"/>
      <c r="X130" s="351"/>
      <c r="Y130" s="351"/>
      <c r="Z130" s="351"/>
    </row>
    <row r="131">
      <c r="A131" s="309"/>
      <c r="B131" s="337"/>
      <c r="C131" s="318"/>
      <c r="D131" s="311"/>
      <c r="E131" s="312"/>
      <c r="F131" s="337"/>
      <c r="G131" s="333"/>
      <c r="H131" s="350"/>
      <c r="I131" s="350"/>
      <c r="J131" s="350"/>
      <c r="K131" s="349"/>
      <c r="L131" s="337"/>
      <c r="M131" s="318"/>
      <c r="N131" s="318"/>
      <c r="O131" s="337"/>
      <c r="P131" s="354"/>
      <c r="Q131" s="355"/>
      <c r="R131" s="350"/>
      <c r="S131" s="350"/>
      <c r="T131" s="350"/>
      <c r="U131" s="351"/>
      <c r="V131" s="351"/>
      <c r="W131" s="351"/>
      <c r="X131" s="351"/>
      <c r="Y131" s="351"/>
      <c r="Z131" s="351"/>
    </row>
    <row r="132">
      <c r="A132" s="309"/>
      <c r="B132" s="335"/>
      <c r="C132" s="318"/>
      <c r="D132" s="311"/>
      <c r="E132" s="312"/>
      <c r="F132" s="337"/>
      <c r="G132" s="333"/>
      <c r="H132" s="335"/>
      <c r="I132" s="350"/>
      <c r="J132" s="350"/>
      <c r="K132" s="349"/>
      <c r="L132" s="335"/>
      <c r="M132" s="318"/>
      <c r="N132" s="318"/>
      <c r="O132" s="337"/>
      <c r="P132" s="337"/>
      <c r="Q132" s="318"/>
      <c r="R132" s="335"/>
      <c r="S132" s="350"/>
      <c r="T132" s="350"/>
      <c r="U132" s="351"/>
      <c r="V132" s="351"/>
      <c r="W132" s="351"/>
      <c r="X132" s="351"/>
      <c r="Y132" s="351"/>
      <c r="Z132" s="351"/>
    </row>
    <row r="133">
      <c r="A133" s="309"/>
      <c r="B133" s="335"/>
      <c r="C133" s="318"/>
      <c r="D133" s="311"/>
      <c r="E133" s="312"/>
      <c r="F133" s="337"/>
      <c r="G133" s="333"/>
      <c r="H133" s="350"/>
      <c r="I133" s="350"/>
      <c r="J133" s="350"/>
      <c r="K133" s="349"/>
      <c r="L133" s="335"/>
      <c r="M133" s="318"/>
      <c r="N133" s="318"/>
      <c r="O133" s="337"/>
      <c r="P133" s="337"/>
      <c r="Q133" s="355"/>
      <c r="R133" s="350"/>
      <c r="S133" s="350"/>
      <c r="T133" s="350"/>
      <c r="U133" s="351"/>
      <c r="V133" s="351"/>
      <c r="W133" s="351"/>
      <c r="X133" s="351"/>
      <c r="Y133" s="351"/>
      <c r="Z133" s="351"/>
    </row>
    <row r="134">
      <c r="A134" s="309"/>
      <c r="B134" s="335"/>
      <c r="C134" s="318"/>
      <c r="D134" s="311"/>
      <c r="E134" s="312"/>
      <c r="F134" s="337"/>
      <c r="G134" s="333"/>
      <c r="H134" s="350"/>
      <c r="I134" s="350"/>
      <c r="J134" s="350"/>
      <c r="K134" s="349"/>
      <c r="L134" s="335"/>
      <c r="M134" s="318"/>
      <c r="N134" s="318"/>
      <c r="O134" s="337"/>
      <c r="P134" s="354"/>
      <c r="Q134" s="355"/>
      <c r="R134" s="350"/>
      <c r="S134" s="350"/>
      <c r="T134" s="350"/>
      <c r="U134" s="351"/>
      <c r="V134" s="351"/>
      <c r="W134" s="351"/>
      <c r="X134" s="351"/>
      <c r="Y134" s="351"/>
      <c r="Z134" s="351"/>
    </row>
    <row r="135">
      <c r="A135" s="309"/>
      <c r="B135" s="335"/>
      <c r="C135" s="318"/>
      <c r="D135" s="311"/>
      <c r="E135" s="312"/>
      <c r="F135" s="337"/>
      <c r="G135" s="333"/>
      <c r="H135" s="350"/>
      <c r="I135" s="350"/>
      <c r="J135" s="350"/>
      <c r="K135" s="349"/>
      <c r="L135" s="335"/>
      <c r="M135" s="318"/>
      <c r="N135" s="318"/>
      <c r="O135" s="337"/>
      <c r="P135" s="354"/>
      <c r="Q135" s="355"/>
      <c r="R135" s="350"/>
      <c r="S135" s="350"/>
      <c r="T135" s="350"/>
      <c r="U135" s="351"/>
      <c r="V135" s="351"/>
      <c r="W135" s="351"/>
      <c r="X135" s="351"/>
      <c r="Y135" s="351"/>
      <c r="Z135" s="351"/>
    </row>
    <row r="136">
      <c r="A136" s="309"/>
      <c r="B136" s="335"/>
      <c r="C136" s="318"/>
      <c r="D136" s="311"/>
      <c r="E136" s="312"/>
      <c r="F136" s="337"/>
      <c r="G136" s="333"/>
      <c r="H136" s="350"/>
      <c r="I136" s="337"/>
      <c r="J136" s="350"/>
      <c r="K136" s="349"/>
      <c r="L136" s="335"/>
      <c r="M136" s="318"/>
      <c r="N136" s="318"/>
      <c r="O136" s="337"/>
      <c r="P136" s="354"/>
      <c r="Q136" s="355"/>
      <c r="R136" s="350"/>
      <c r="S136" s="337"/>
      <c r="T136" s="350"/>
      <c r="U136" s="351"/>
      <c r="V136" s="351"/>
      <c r="W136" s="351"/>
      <c r="X136" s="351"/>
      <c r="Y136" s="351"/>
      <c r="Z136" s="351"/>
    </row>
    <row r="137">
      <c r="A137" s="309"/>
      <c r="B137" s="335"/>
      <c r="C137" s="318"/>
      <c r="D137" s="311"/>
      <c r="E137" s="312"/>
      <c r="F137" s="337"/>
      <c r="G137" s="333"/>
      <c r="H137" s="350"/>
      <c r="I137" s="350"/>
      <c r="J137" s="350"/>
      <c r="K137" s="349"/>
      <c r="L137" s="335"/>
      <c r="M137" s="318"/>
      <c r="N137" s="318"/>
      <c r="O137" s="337"/>
      <c r="P137" s="354"/>
      <c r="Q137" s="355"/>
      <c r="R137" s="350"/>
      <c r="S137" s="350"/>
      <c r="T137" s="350"/>
      <c r="U137" s="351"/>
      <c r="V137" s="351"/>
      <c r="W137" s="351"/>
      <c r="X137" s="351"/>
      <c r="Y137" s="351"/>
      <c r="Z137" s="351"/>
    </row>
    <row r="138">
      <c r="A138" s="309"/>
      <c r="B138" s="335"/>
      <c r="C138" s="318"/>
      <c r="D138" s="311"/>
      <c r="E138" s="312"/>
      <c r="F138" s="337"/>
      <c r="G138" s="333"/>
      <c r="H138" s="350"/>
      <c r="I138" s="350"/>
      <c r="J138" s="350"/>
      <c r="K138" s="349"/>
      <c r="L138" s="335"/>
      <c r="M138" s="318"/>
      <c r="N138" s="318"/>
      <c r="O138" s="337"/>
      <c r="P138" s="354"/>
      <c r="Q138" s="355"/>
      <c r="R138" s="350"/>
      <c r="S138" s="350"/>
      <c r="T138" s="350"/>
      <c r="U138" s="351"/>
      <c r="V138" s="351"/>
      <c r="W138" s="351"/>
      <c r="X138" s="351"/>
      <c r="Y138" s="351"/>
      <c r="Z138" s="351"/>
    </row>
    <row r="139">
      <c r="A139" s="309"/>
      <c r="B139" s="335"/>
      <c r="C139" s="318"/>
      <c r="D139" s="311"/>
      <c r="E139" s="312"/>
      <c r="F139" s="337"/>
      <c r="G139" s="333"/>
      <c r="H139" s="335"/>
      <c r="I139" s="335"/>
      <c r="J139" s="350"/>
      <c r="K139" s="349"/>
      <c r="L139" s="335"/>
      <c r="M139" s="318"/>
      <c r="N139" s="318"/>
      <c r="O139" s="337"/>
      <c r="P139" s="337"/>
      <c r="Q139" s="355"/>
      <c r="R139" s="335"/>
      <c r="S139" s="335"/>
      <c r="T139" s="350"/>
      <c r="U139" s="351"/>
      <c r="V139" s="351"/>
      <c r="W139" s="351"/>
      <c r="X139" s="351"/>
      <c r="Y139" s="351"/>
      <c r="Z139" s="351"/>
    </row>
    <row r="140">
      <c r="A140" s="309"/>
      <c r="B140" s="335"/>
      <c r="C140" s="318"/>
      <c r="D140" s="311"/>
      <c r="E140" s="312"/>
      <c r="F140" s="337"/>
      <c r="G140" s="333"/>
      <c r="H140" s="350"/>
      <c r="I140" s="350"/>
      <c r="J140" s="350"/>
      <c r="K140" s="349"/>
      <c r="L140" s="335"/>
      <c r="M140" s="318"/>
      <c r="N140" s="318"/>
      <c r="O140" s="337"/>
      <c r="P140" s="354"/>
      <c r="Q140" s="355"/>
      <c r="R140" s="350"/>
      <c r="S140" s="350"/>
      <c r="T140" s="350"/>
      <c r="U140" s="351"/>
      <c r="V140" s="351"/>
      <c r="W140" s="351"/>
      <c r="X140" s="351"/>
      <c r="Y140" s="351"/>
      <c r="Z140" s="351"/>
    </row>
    <row r="141">
      <c r="A141" s="309"/>
      <c r="B141" s="335"/>
      <c r="C141" s="318"/>
      <c r="D141" s="311"/>
      <c r="E141" s="312"/>
      <c r="F141" s="337"/>
      <c r="G141" s="333"/>
      <c r="H141" s="350"/>
      <c r="I141" s="350"/>
      <c r="J141" s="350"/>
      <c r="K141" s="349"/>
      <c r="L141" s="335"/>
      <c r="M141" s="318"/>
      <c r="N141" s="318"/>
      <c r="O141" s="337"/>
      <c r="P141" s="354"/>
      <c r="Q141" s="355"/>
      <c r="R141" s="350"/>
      <c r="S141" s="350"/>
      <c r="T141" s="350"/>
      <c r="U141" s="351"/>
      <c r="V141" s="351"/>
      <c r="W141" s="351"/>
      <c r="X141" s="351"/>
      <c r="Y141" s="351"/>
      <c r="Z141" s="351"/>
    </row>
    <row r="142">
      <c r="A142" s="309"/>
      <c r="B142" s="335"/>
      <c r="C142" s="318"/>
      <c r="D142" s="311"/>
      <c r="E142" s="312"/>
      <c r="F142" s="337"/>
      <c r="G142" s="333"/>
      <c r="H142" s="350"/>
      <c r="I142" s="350"/>
      <c r="J142" s="350"/>
      <c r="K142" s="349"/>
      <c r="L142" s="335"/>
      <c r="M142" s="318"/>
      <c r="N142" s="318"/>
      <c r="O142" s="335"/>
      <c r="P142" s="354"/>
      <c r="Q142" s="355"/>
      <c r="R142" s="350"/>
      <c r="S142" s="350"/>
      <c r="T142" s="350"/>
      <c r="U142" s="351"/>
      <c r="V142" s="351"/>
      <c r="W142" s="351"/>
      <c r="X142" s="351"/>
      <c r="Y142" s="351"/>
      <c r="Z142" s="351"/>
    </row>
    <row r="143">
      <c r="A143" s="309"/>
      <c r="B143" s="335"/>
      <c r="C143" s="318"/>
      <c r="D143" s="311"/>
      <c r="E143" s="312"/>
      <c r="F143" s="337"/>
      <c r="G143" s="333"/>
      <c r="H143" s="350"/>
      <c r="I143" s="350"/>
      <c r="J143" s="350"/>
      <c r="K143" s="349"/>
      <c r="L143" s="335"/>
      <c r="M143" s="318"/>
      <c r="N143" s="318"/>
      <c r="O143" s="337"/>
      <c r="P143" s="354"/>
      <c r="Q143" s="355"/>
      <c r="R143" s="350"/>
      <c r="S143" s="350"/>
      <c r="T143" s="350"/>
      <c r="U143" s="351"/>
      <c r="V143" s="351"/>
      <c r="W143" s="351"/>
      <c r="X143" s="351"/>
      <c r="Y143" s="351"/>
      <c r="Z143" s="351"/>
    </row>
    <row r="144">
      <c r="A144" s="309"/>
      <c r="B144" s="335"/>
      <c r="C144" s="318"/>
      <c r="D144" s="311"/>
      <c r="E144" s="312"/>
      <c r="F144" s="337"/>
      <c r="G144" s="333"/>
      <c r="H144" s="350"/>
      <c r="I144" s="350"/>
      <c r="J144" s="350"/>
      <c r="K144" s="349"/>
      <c r="L144" s="335"/>
      <c r="M144" s="318"/>
      <c r="N144" s="318"/>
      <c r="O144" s="337"/>
      <c r="P144" s="354"/>
      <c r="Q144" s="355"/>
      <c r="R144" s="350"/>
      <c r="S144" s="350"/>
      <c r="T144" s="350"/>
      <c r="U144" s="351"/>
      <c r="V144" s="351"/>
      <c r="W144" s="351"/>
      <c r="X144" s="351"/>
      <c r="Y144" s="351"/>
      <c r="Z144" s="351"/>
    </row>
    <row r="145">
      <c r="A145" s="309"/>
      <c r="B145" s="335"/>
      <c r="C145" s="355"/>
      <c r="D145" s="311"/>
      <c r="E145" s="312"/>
      <c r="F145" s="337"/>
      <c r="G145" s="333"/>
      <c r="H145" s="350"/>
      <c r="I145" s="350"/>
      <c r="J145" s="350"/>
      <c r="K145" s="350"/>
      <c r="L145" s="335"/>
      <c r="M145" s="355"/>
      <c r="N145" s="318"/>
      <c r="O145" s="337"/>
      <c r="P145" s="354"/>
      <c r="Q145" s="355"/>
      <c r="R145" s="350"/>
      <c r="S145" s="350"/>
      <c r="T145" s="350"/>
      <c r="U145" s="351"/>
      <c r="V145" s="351"/>
      <c r="W145" s="351"/>
      <c r="X145" s="351"/>
      <c r="Y145" s="351"/>
      <c r="Z145" s="351"/>
    </row>
    <row r="146">
      <c r="A146" s="309"/>
      <c r="B146" s="335"/>
      <c r="C146" s="318"/>
      <c r="D146" s="311"/>
      <c r="E146" s="312"/>
      <c r="F146" s="337"/>
      <c r="G146" s="333"/>
      <c r="H146" s="350"/>
      <c r="I146" s="337"/>
      <c r="J146" s="350"/>
      <c r="K146" s="349"/>
      <c r="L146" s="335"/>
      <c r="M146" s="318"/>
      <c r="N146" s="318"/>
      <c r="O146" s="337"/>
      <c r="P146" s="354"/>
      <c r="Q146" s="355"/>
      <c r="R146" s="350"/>
      <c r="S146" s="337"/>
      <c r="T146" s="350"/>
      <c r="U146" s="351"/>
      <c r="V146" s="351"/>
      <c r="W146" s="351"/>
      <c r="X146" s="351"/>
      <c r="Y146" s="351"/>
      <c r="Z146" s="351"/>
    </row>
    <row r="147">
      <c r="A147" s="309"/>
      <c r="B147" s="335"/>
      <c r="C147" s="318"/>
      <c r="D147" s="311"/>
      <c r="E147" s="312"/>
      <c r="F147" s="337"/>
      <c r="G147" s="333"/>
      <c r="H147" s="350"/>
      <c r="I147" s="350"/>
      <c r="J147" s="350"/>
      <c r="K147" s="349"/>
      <c r="L147" s="335"/>
      <c r="M147" s="318"/>
      <c r="N147" s="318"/>
      <c r="O147" s="337"/>
      <c r="P147" s="354"/>
      <c r="Q147" s="355"/>
      <c r="R147" s="350"/>
      <c r="S147" s="350"/>
      <c r="T147" s="350"/>
      <c r="U147" s="351"/>
      <c r="V147" s="351"/>
      <c r="W147" s="351"/>
      <c r="X147" s="351"/>
      <c r="Y147" s="351"/>
      <c r="Z147" s="351"/>
    </row>
    <row r="148">
      <c r="A148" s="309"/>
      <c r="B148" s="335"/>
      <c r="C148" s="318"/>
      <c r="D148" s="311"/>
      <c r="E148" s="312"/>
      <c r="F148" s="337"/>
      <c r="G148" s="333"/>
      <c r="H148" s="350"/>
      <c r="I148" s="350"/>
      <c r="J148" s="350"/>
      <c r="K148" s="349"/>
      <c r="L148" s="335"/>
      <c r="M148" s="318"/>
      <c r="N148" s="318"/>
      <c r="O148" s="337"/>
      <c r="P148" s="354"/>
      <c r="Q148" s="355"/>
      <c r="R148" s="350"/>
      <c r="S148" s="350"/>
      <c r="T148" s="350"/>
      <c r="U148" s="351"/>
      <c r="V148" s="351"/>
      <c r="W148" s="351"/>
      <c r="X148" s="351"/>
      <c r="Y148" s="351"/>
      <c r="Z148" s="351"/>
    </row>
    <row r="149">
      <c r="A149" s="309"/>
      <c r="B149" s="335"/>
      <c r="C149" s="318"/>
      <c r="D149" s="311"/>
      <c r="E149" s="312"/>
      <c r="F149" s="337"/>
      <c r="G149" s="333"/>
      <c r="H149" s="350"/>
      <c r="I149" s="350"/>
      <c r="J149" s="350"/>
      <c r="K149" s="349"/>
      <c r="L149" s="335"/>
      <c r="M149" s="318"/>
      <c r="N149" s="318"/>
      <c r="O149" s="337"/>
      <c r="P149" s="354"/>
      <c r="Q149" s="355"/>
      <c r="R149" s="350"/>
      <c r="S149" s="350"/>
      <c r="T149" s="350"/>
      <c r="U149" s="351"/>
      <c r="V149" s="351"/>
      <c r="W149" s="351"/>
      <c r="X149" s="351"/>
      <c r="Y149" s="351"/>
      <c r="Z149" s="351"/>
    </row>
    <row r="150">
      <c r="A150" s="309"/>
      <c r="B150" s="335"/>
      <c r="C150" s="318"/>
      <c r="D150" s="311"/>
      <c r="E150" s="312"/>
      <c r="F150" s="337"/>
      <c r="G150" s="333"/>
      <c r="H150" s="350"/>
      <c r="I150" s="350"/>
      <c r="J150" s="350"/>
      <c r="K150" s="349"/>
      <c r="L150" s="335"/>
      <c r="M150" s="318"/>
      <c r="N150" s="318"/>
      <c r="O150" s="337"/>
      <c r="P150" s="354"/>
      <c r="Q150" s="355"/>
      <c r="R150" s="350"/>
      <c r="S150" s="350"/>
      <c r="T150" s="350"/>
      <c r="U150" s="351"/>
      <c r="V150" s="351"/>
      <c r="W150" s="351"/>
      <c r="X150" s="351"/>
      <c r="Y150" s="351"/>
      <c r="Z150" s="351"/>
    </row>
    <row r="151">
      <c r="A151" s="309"/>
      <c r="B151" s="335"/>
      <c r="C151" s="318"/>
      <c r="D151" s="311"/>
      <c r="E151" s="312"/>
      <c r="F151" s="337"/>
      <c r="G151" s="333"/>
      <c r="H151" s="350"/>
      <c r="I151" s="350"/>
      <c r="J151" s="350"/>
      <c r="K151" s="349"/>
      <c r="L151" s="335"/>
      <c r="M151" s="318"/>
      <c r="N151" s="318"/>
      <c r="O151" s="337"/>
      <c r="P151" s="354"/>
      <c r="Q151" s="355"/>
      <c r="R151" s="350"/>
      <c r="S151" s="350"/>
      <c r="T151" s="350"/>
      <c r="U151" s="351"/>
      <c r="V151" s="351"/>
      <c r="W151" s="351"/>
      <c r="X151" s="351"/>
      <c r="Y151" s="351"/>
      <c r="Z151" s="351"/>
    </row>
    <row r="152">
      <c r="A152" s="309"/>
      <c r="B152" s="335"/>
      <c r="C152" s="318"/>
      <c r="D152" s="311"/>
      <c r="E152" s="312"/>
      <c r="F152" s="337"/>
      <c r="G152" s="333"/>
      <c r="H152" s="350"/>
      <c r="I152" s="350"/>
      <c r="J152" s="350"/>
      <c r="K152" s="349"/>
      <c r="L152" s="335"/>
      <c r="M152" s="318"/>
      <c r="N152" s="318"/>
      <c r="O152" s="337"/>
      <c r="P152" s="354"/>
      <c r="Q152" s="355"/>
      <c r="R152" s="350"/>
      <c r="S152" s="350"/>
      <c r="T152" s="350"/>
      <c r="U152" s="351"/>
      <c r="V152" s="351"/>
      <c r="W152" s="351"/>
      <c r="X152" s="351"/>
      <c r="Y152" s="351"/>
      <c r="Z152" s="351"/>
    </row>
    <row r="153">
      <c r="A153" s="309"/>
      <c r="B153" s="335"/>
      <c r="C153" s="318"/>
      <c r="D153" s="311"/>
      <c r="E153" s="312"/>
      <c r="F153" s="337"/>
      <c r="G153" s="333"/>
      <c r="H153" s="350"/>
      <c r="I153" s="350"/>
      <c r="J153" s="350"/>
      <c r="K153" s="349"/>
      <c r="L153" s="335"/>
      <c r="M153" s="318"/>
      <c r="N153" s="318"/>
      <c r="O153" s="337"/>
      <c r="P153" s="354"/>
      <c r="Q153" s="355"/>
      <c r="R153" s="350"/>
      <c r="S153" s="350"/>
      <c r="T153" s="350"/>
      <c r="U153" s="351"/>
      <c r="V153" s="351"/>
      <c r="W153" s="351"/>
      <c r="X153" s="351"/>
      <c r="Y153" s="351"/>
      <c r="Z153" s="351"/>
    </row>
    <row r="154">
      <c r="A154" s="309"/>
      <c r="B154" s="335"/>
      <c r="C154" s="318"/>
      <c r="D154" s="311"/>
      <c r="E154" s="312"/>
      <c r="F154" s="337"/>
      <c r="G154" s="333"/>
      <c r="H154" s="350"/>
      <c r="I154" s="350"/>
      <c r="J154" s="350"/>
      <c r="K154" s="349"/>
      <c r="L154" s="335"/>
      <c r="M154" s="318"/>
      <c r="N154" s="318"/>
      <c r="O154" s="337"/>
      <c r="P154" s="354"/>
      <c r="Q154" s="355"/>
      <c r="R154" s="350"/>
      <c r="S154" s="350"/>
      <c r="T154" s="350"/>
      <c r="U154" s="351"/>
      <c r="V154" s="351"/>
      <c r="W154" s="351"/>
      <c r="X154" s="351"/>
      <c r="Y154" s="351"/>
      <c r="Z154" s="351"/>
    </row>
    <row r="155">
      <c r="A155" s="309"/>
      <c r="B155" s="335"/>
      <c r="C155" s="318"/>
      <c r="D155" s="311"/>
      <c r="E155" s="312"/>
      <c r="F155" s="337"/>
      <c r="G155" s="333"/>
      <c r="H155" s="350"/>
      <c r="I155" s="350"/>
      <c r="J155" s="350"/>
      <c r="K155" s="349"/>
      <c r="L155" s="335"/>
      <c r="M155" s="318"/>
      <c r="N155" s="318"/>
      <c r="O155" s="337"/>
      <c r="P155" s="354"/>
      <c r="Q155" s="355"/>
      <c r="R155" s="350"/>
      <c r="S155" s="350"/>
      <c r="T155" s="350"/>
      <c r="U155" s="351"/>
      <c r="V155" s="351"/>
      <c r="W155" s="351"/>
      <c r="X155" s="351"/>
      <c r="Y155" s="351"/>
      <c r="Z155" s="351"/>
    </row>
    <row r="156">
      <c r="A156" s="309"/>
      <c r="B156" s="335"/>
      <c r="C156" s="318"/>
      <c r="D156" s="311"/>
      <c r="E156" s="312"/>
      <c r="F156" s="337"/>
      <c r="G156" s="333"/>
      <c r="H156" s="350"/>
      <c r="I156" s="350"/>
      <c r="J156" s="350"/>
      <c r="K156" s="349"/>
      <c r="L156" s="335"/>
      <c r="M156" s="318"/>
      <c r="N156" s="318"/>
      <c r="O156" s="337"/>
      <c r="P156" s="354"/>
      <c r="Q156" s="355"/>
      <c r="R156" s="350"/>
      <c r="S156" s="350"/>
      <c r="T156" s="350"/>
      <c r="U156" s="351"/>
      <c r="V156" s="351"/>
      <c r="W156" s="351"/>
      <c r="X156" s="351"/>
      <c r="Y156" s="351"/>
      <c r="Z156" s="351"/>
    </row>
    <row r="157">
      <c r="A157" s="309"/>
      <c r="B157" s="335"/>
      <c r="C157" s="318"/>
      <c r="D157" s="311"/>
      <c r="E157" s="312"/>
      <c r="F157" s="337"/>
      <c r="G157" s="333"/>
      <c r="H157" s="350"/>
      <c r="I157" s="350"/>
      <c r="J157" s="350"/>
      <c r="K157" s="349"/>
      <c r="L157" s="335"/>
      <c r="M157" s="318"/>
      <c r="N157" s="318"/>
      <c r="O157" s="337"/>
      <c r="P157" s="354"/>
      <c r="Q157" s="355"/>
      <c r="R157" s="350"/>
      <c r="S157" s="350"/>
      <c r="T157" s="350"/>
      <c r="U157" s="351"/>
      <c r="V157" s="351"/>
      <c r="W157" s="351"/>
      <c r="X157" s="351"/>
      <c r="Y157" s="351"/>
      <c r="Z157" s="351"/>
    </row>
    <row r="158">
      <c r="A158" s="309"/>
      <c r="B158" s="335"/>
      <c r="C158" s="318"/>
      <c r="D158" s="311"/>
      <c r="E158" s="312"/>
      <c r="F158" s="337"/>
      <c r="G158" s="333"/>
      <c r="H158" s="350"/>
      <c r="I158" s="350"/>
      <c r="J158" s="350"/>
      <c r="K158" s="349"/>
      <c r="L158" s="335"/>
      <c r="M158" s="318"/>
      <c r="N158" s="318"/>
      <c r="O158" s="337"/>
      <c r="P158" s="354"/>
      <c r="Q158" s="355"/>
      <c r="R158" s="350"/>
      <c r="S158" s="350"/>
      <c r="T158" s="350"/>
      <c r="U158" s="351"/>
      <c r="V158" s="351"/>
      <c r="W158" s="351"/>
      <c r="X158" s="351"/>
      <c r="Y158" s="351"/>
      <c r="Z158" s="351"/>
    </row>
    <row r="159">
      <c r="A159" s="309"/>
      <c r="B159" s="335"/>
      <c r="C159" s="318"/>
      <c r="D159" s="311"/>
      <c r="E159" s="312"/>
      <c r="F159" s="337"/>
      <c r="G159" s="333"/>
      <c r="H159" s="335"/>
      <c r="I159" s="335"/>
      <c r="J159" s="350"/>
      <c r="K159" s="349"/>
      <c r="L159" s="335"/>
      <c r="M159" s="318"/>
      <c r="N159" s="318"/>
      <c r="O159" s="337"/>
      <c r="P159" s="337"/>
      <c r="Q159" s="355"/>
      <c r="R159" s="335"/>
      <c r="S159" s="335"/>
      <c r="T159" s="350"/>
      <c r="U159" s="351"/>
      <c r="V159" s="351"/>
      <c r="W159" s="351"/>
      <c r="X159" s="351"/>
      <c r="Y159" s="351"/>
      <c r="Z159" s="351"/>
    </row>
    <row r="160">
      <c r="A160" s="309"/>
      <c r="B160" s="335"/>
      <c r="C160" s="318"/>
      <c r="D160" s="311"/>
      <c r="E160" s="312"/>
      <c r="F160" s="337"/>
      <c r="G160" s="333"/>
      <c r="H160" s="350"/>
      <c r="I160" s="350"/>
      <c r="J160" s="350"/>
      <c r="K160" s="349"/>
      <c r="L160" s="335"/>
      <c r="M160" s="318"/>
      <c r="N160" s="318"/>
      <c r="O160" s="337"/>
      <c r="P160" s="354"/>
      <c r="Q160" s="355"/>
      <c r="R160" s="350"/>
      <c r="S160" s="350"/>
      <c r="T160" s="350"/>
      <c r="U160" s="351"/>
      <c r="V160" s="351"/>
      <c r="W160" s="351"/>
      <c r="X160" s="351"/>
      <c r="Y160" s="351"/>
      <c r="Z160" s="351"/>
    </row>
    <row r="161">
      <c r="A161" s="309"/>
      <c r="B161" s="335"/>
      <c r="C161" s="318"/>
      <c r="D161" s="311"/>
      <c r="E161" s="312"/>
      <c r="F161" s="337"/>
      <c r="G161" s="333"/>
      <c r="H161" s="350"/>
      <c r="I161" s="350"/>
      <c r="J161" s="350"/>
      <c r="K161" s="349"/>
      <c r="L161" s="335"/>
      <c r="M161" s="318"/>
      <c r="N161" s="318"/>
      <c r="O161" s="337"/>
      <c r="P161" s="354"/>
      <c r="Q161" s="355"/>
      <c r="R161" s="350"/>
      <c r="S161" s="350"/>
      <c r="T161" s="350"/>
      <c r="U161" s="351"/>
      <c r="V161" s="351"/>
      <c r="W161" s="351"/>
      <c r="X161" s="351"/>
      <c r="Y161" s="351"/>
      <c r="Z161" s="351"/>
    </row>
    <row r="162">
      <c r="A162" s="309"/>
      <c r="B162" s="335"/>
      <c r="C162" s="318"/>
      <c r="D162" s="311"/>
      <c r="E162" s="312"/>
      <c r="F162" s="337"/>
      <c r="G162" s="333"/>
      <c r="H162" s="350"/>
      <c r="I162" s="350"/>
      <c r="J162" s="350"/>
      <c r="K162" s="349"/>
      <c r="L162" s="335"/>
      <c r="M162" s="318"/>
      <c r="N162" s="318"/>
      <c r="O162" s="337"/>
      <c r="P162" s="354"/>
      <c r="Q162" s="355"/>
      <c r="R162" s="350"/>
      <c r="S162" s="350"/>
      <c r="T162" s="350"/>
      <c r="U162" s="351"/>
      <c r="V162" s="351"/>
      <c r="W162" s="351"/>
      <c r="X162" s="351"/>
      <c r="Y162" s="351"/>
      <c r="Z162" s="351"/>
    </row>
    <row r="163">
      <c r="A163" s="309"/>
      <c r="B163" s="335"/>
      <c r="C163" s="318"/>
      <c r="D163" s="311"/>
      <c r="E163" s="312"/>
      <c r="F163" s="337"/>
      <c r="G163" s="333"/>
      <c r="H163" s="350"/>
      <c r="I163" s="350"/>
      <c r="J163" s="350"/>
      <c r="K163" s="349"/>
      <c r="L163" s="335"/>
      <c r="M163" s="318"/>
      <c r="N163" s="318"/>
      <c r="O163" s="337"/>
      <c r="P163" s="354"/>
      <c r="Q163" s="355"/>
      <c r="R163" s="350"/>
      <c r="S163" s="350"/>
      <c r="T163" s="350"/>
      <c r="U163" s="351"/>
      <c r="V163" s="351"/>
      <c r="W163" s="351"/>
      <c r="X163" s="351"/>
      <c r="Y163" s="351"/>
      <c r="Z163" s="351"/>
    </row>
    <row r="164">
      <c r="A164" s="309"/>
      <c r="B164" s="335"/>
      <c r="C164" s="318"/>
      <c r="D164" s="311"/>
      <c r="E164" s="312"/>
      <c r="F164" s="337"/>
      <c r="G164" s="333"/>
      <c r="H164" s="350"/>
      <c r="I164" s="350"/>
      <c r="J164" s="350"/>
      <c r="K164" s="349"/>
      <c r="L164" s="335"/>
      <c r="M164" s="318"/>
      <c r="N164" s="318"/>
      <c r="O164" s="337"/>
      <c r="P164" s="354"/>
      <c r="Q164" s="355"/>
      <c r="R164" s="350"/>
      <c r="S164" s="350"/>
      <c r="T164" s="350"/>
      <c r="U164" s="351"/>
      <c r="V164" s="351"/>
      <c r="W164" s="351"/>
      <c r="X164" s="351"/>
      <c r="Y164" s="351"/>
      <c r="Z164" s="351"/>
    </row>
    <row r="165">
      <c r="A165" s="309"/>
      <c r="B165" s="335"/>
      <c r="C165" s="318"/>
      <c r="D165" s="311"/>
      <c r="E165" s="312"/>
      <c r="F165" s="337"/>
      <c r="G165" s="333"/>
      <c r="H165" s="350"/>
      <c r="I165" s="350"/>
      <c r="J165" s="350"/>
      <c r="K165" s="349"/>
      <c r="L165" s="335"/>
      <c r="M165" s="318"/>
      <c r="N165" s="318"/>
      <c r="O165" s="337"/>
      <c r="P165" s="354"/>
      <c r="Q165" s="355"/>
      <c r="R165" s="350"/>
      <c r="S165" s="350"/>
      <c r="T165" s="350"/>
      <c r="U165" s="351"/>
      <c r="V165" s="351"/>
      <c r="W165" s="351"/>
      <c r="X165" s="351"/>
      <c r="Y165" s="351"/>
      <c r="Z165" s="351"/>
    </row>
    <row r="166">
      <c r="A166" s="309"/>
      <c r="B166" s="335"/>
      <c r="C166" s="318"/>
      <c r="D166" s="311"/>
      <c r="E166" s="312"/>
      <c r="F166" s="337"/>
      <c r="G166" s="333"/>
      <c r="H166" s="350"/>
      <c r="I166" s="350"/>
      <c r="J166" s="350"/>
      <c r="K166" s="349"/>
      <c r="L166" s="335"/>
      <c r="M166" s="318"/>
      <c r="N166" s="318"/>
      <c r="O166" s="337"/>
      <c r="P166" s="354"/>
      <c r="Q166" s="355"/>
      <c r="R166" s="350"/>
      <c r="S166" s="350"/>
      <c r="T166" s="350"/>
      <c r="U166" s="351"/>
      <c r="V166" s="351"/>
      <c r="W166" s="351"/>
      <c r="X166" s="351"/>
      <c r="Y166" s="351"/>
      <c r="Z166" s="351"/>
    </row>
    <row r="167">
      <c r="A167" s="309"/>
      <c r="B167" s="335"/>
      <c r="C167" s="318"/>
      <c r="D167" s="311"/>
      <c r="E167" s="312"/>
      <c r="F167" s="337"/>
      <c r="G167" s="333"/>
      <c r="H167" s="335"/>
      <c r="I167" s="350"/>
      <c r="J167" s="350"/>
      <c r="K167" s="349"/>
      <c r="L167" s="335"/>
      <c r="M167" s="318"/>
      <c r="N167" s="318"/>
      <c r="O167" s="337"/>
      <c r="P167" s="337"/>
      <c r="Q167" s="355"/>
      <c r="R167" s="335"/>
      <c r="S167" s="350"/>
      <c r="T167" s="350"/>
      <c r="U167" s="351"/>
      <c r="V167" s="351"/>
      <c r="W167" s="351"/>
      <c r="X167" s="351"/>
      <c r="Y167" s="351"/>
      <c r="Z167" s="351"/>
    </row>
    <row r="168">
      <c r="A168" s="309"/>
      <c r="B168" s="335"/>
      <c r="C168" s="318"/>
      <c r="D168" s="311"/>
      <c r="E168" s="312"/>
      <c r="F168" s="337"/>
      <c r="G168" s="333"/>
      <c r="H168" s="350"/>
      <c r="I168" s="350"/>
      <c r="J168" s="350"/>
      <c r="K168" s="349"/>
      <c r="L168" s="335"/>
      <c r="M168" s="318"/>
      <c r="N168" s="318"/>
      <c r="O168" s="337"/>
      <c r="P168" s="354"/>
      <c r="Q168" s="355"/>
      <c r="R168" s="350"/>
      <c r="S168" s="350"/>
      <c r="T168" s="350"/>
      <c r="U168" s="351"/>
      <c r="V168" s="351"/>
      <c r="W168" s="351"/>
      <c r="X168" s="351"/>
      <c r="Y168" s="351"/>
      <c r="Z168" s="351"/>
    </row>
    <row r="169">
      <c r="A169" s="309"/>
      <c r="B169" s="335"/>
      <c r="C169" s="318"/>
      <c r="D169" s="311"/>
      <c r="E169" s="312"/>
      <c r="F169" s="337"/>
      <c r="G169" s="333"/>
      <c r="H169" s="350"/>
      <c r="I169" s="350"/>
      <c r="J169" s="350"/>
      <c r="K169" s="349"/>
      <c r="L169" s="335"/>
      <c r="M169" s="318"/>
      <c r="N169" s="318"/>
      <c r="O169" s="337"/>
      <c r="P169" s="354"/>
      <c r="Q169" s="355"/>
      <c r="R169" s="350"/>
      <c r="S169" s="350"/>
      <c r="T169" s="350"/>
      <c r="U169" s="351"/>
      <c r="V169" s="351"/>
      <c r="W169" s="351"/>
      <c r="X169" s="351"/>
      <c r="Y169" s="351"/>
      <c r="Z169" s="351"/>
    </row>
    <row r="170">
      <c r="A170" s="309"/>
      <c r="B170" s="335"/>
      <c r="C170" s="318"/>
      <c r="D170" s="311"/>
      <c r="E170" s="312"/>
      <c r="F170" s="337"/>
      <c r="G170" s="333"/>
      <c r="H170" s="335"/>
      <c r="I170" s="335"/>
      <c r="J170" s="350"/>
      <c r="K170" s="349"/>
      <c r="L170" s="335"/>
      <c r="M170" s="318"/>
      <c r="N170" s="318"/>
      <c r="O170" s="337"/>
      <c r="P170" s="337"/>
      <c r="Q170" s="318"/>
      <c r="R170" s="335"/>
      <c r="S170" s="335"/>
      <c r="T170" s="350"/>
      <c r="U170" s="351"/>
      <c r="V170" s="351"/>
      <c r="W170" s="351"/>
      <c r="X170" s="351"/>
      <c r="Y170" s="351"/>
      <c r="Z170" s="351"/>
    </row>
    <row r="171">
      <c r="A171" s="309"/>
      <c r="B171" s="335"/>
      <c r="C171" s="355"/>
      <c r="D171" s="311"/>
      <c r="E171" s="312"/>
      <c r="F171" s="337"/>
      <c r="G171" s="333"/>
      <c r="H171" s="350"/>
      <c r="I171" s="337"/>
      <c r="J171" s="350"/>
      <c r="K171" s="350"/>
      <c r="L171" s="335"/>
      <c r="M171" s="355"/>
      <c r="N171" s="318"/>
      <c r="O171" s="337"/>
      <c r="P171" s="354"/>
      <c r="Q171" s="355"/>
      <c r="R171" s="350"/>
      <c r="S171" s="337"/>
      <c r="T171" s="350"/>
      <c r="U171" s="351"/>
      <c r="V171" s="351"/>
      <c r="W171" s="351"/>
      <c r="X171" s="351"/>
      <c r="Y171" s="351"/>
      <c r="Z171" s="351"/>
    </row>
    <row r="172">
      <c r="A172" s="309"/>
      <c r="B172" s="335"/>
      <c r="C172" s="355"/>
      <c r="D172" s="311"/>
      <c r="E172" s="312"/>
      <c r="F172" s="337"/>
      <c r="G172" s="333"/>
      <c r="H172" s="350"/>
      <c r="I172" s="337"/>
      <c r="J172" s="350"/>
      <c r="K172" s="350"/>
      <c r="L172" s="335"/>
      <c r="M172" s="355"/>
      <c r="N172" s="318"/>
      <c r="O172" s="337"/>
      <c r="P172" s="354"/>
      <c r="Q172" s="355"/>
      <c r="R172" s="350"/>
      <c r="S172" s="337"/>
      <c r="T172" s="350"/>
      <c r="U172" s="351"/>
      <c r="V172" s="351"/>
      <c r="W172" s="351"/>
      <c r="X172" s="351"/>
      <c r="Y172" s="351"/>
      <c r="Z172" s="351"/>
    </row>
    <row r="173">
      <c r="A173" s="309"/>
      <c r="B173" s="335"/>
      <c r="C173" s="355"/>
      <c r="D173" s="311"/>
      <c r="E173" s="312"/>
      <c r="F173" s="337"/>
      <c r="G173" s="333"/>
      <c r="H173" s="350"/>
      <c r="I173" s="379"/>
      <c r="J173" s="350"/>
      <c r="K173" s="350"/>
      <c r="L173" s="335"/>
      <c r="M173" s="355"/>
      <c r="N173" s="318"/>
      <c r="O173" s="337"/>
      <c r="P173" s="354"/>
      <c r="Q173" s="355"/>
      <c r="R173" s="350"/>
      <c r="S173" s="379"/>
      <c r="T173" s="350"/>
      <c r="U173" s="351"/>
      <c r="V173" s="351"/>
      <c r="W173" s="351"/>
      <c r="X173" s="351"/>
      <c r="Y173" s="351"/>
      <c r="Z173" s="351"/>
    </row>
    <row r="174">
      <c r="A174" s="309"/>
      <c r="B174" s="335"/>
      <c r="C174" s="355"/>
      <c r="D174" s="311"/>
      <c r="E174" s="312"/>
      <c r="F174" s="337"/>
      <c r="G174" s="333"/>
      <c r="H174" s="350"/>
      <c r="I174" s="337"/>
      <c r="J174" s="350"/>
      <c r="K174" s="350"/>
      <c r="L174" s="335"/>
      <c r="M174" s="355"/>
      <c r="N174" s="318"/>
      <c r="O174" s="337"/>
      <c r="P174" s="354"/>
      <c r="Q174" s="355"/>
      <c r="R174" s="350"/>
      <c r="S174" s="337"/>
      <c r="T174" s="350"/>
      <c r="U174" s="351"/>
      <c r="V174" s="351"/>
      <c r="W174" s="351"/>
      <c r="X174" s="351"/>
      <c r="Y174" s="351"/>
      <c r="Z174" s="351"/>
    </row>
    <row r="175">
      <c r="A175" s="309"/>
      <c r="B175" s="335"/>
      <c r="C175" s="355"/>
      <c r="D175" s="311"/>
      <c r="E175" s="312"/>
      <c r="F175" s="337"/>
      <c r="G175" s="333"/>
      <c r="H175" s="350"/>
      <c r="I175" s="337"/>
      <c r="J175" s="350"/>
      <c r="K175" s="350"/>
      <c r="L175" s="335"/>
      <c r="M175" s="355"/>
      <c r="N175" s="318"/>
      <c r="O175" s="337"/>
      <c r="P175" s="354"/>
      <c r="Q175" s="355"/>
      <c r="R175" s="350"/>
      <c r="S175" s="337"/>
      <c r="T175" s="350"/>
      <c r="U175" s="351"/>
      <c r="V175" s="351"/>
      <c r="W175" s="351"/>
      <c r="X175" s="351"/>
      <c r="Y175" s="351"/>
      <c r="Z175" s="351"/>
    </row>
    <row r="176">
      <c r="A176" s="309"/>
      <c r="B176" s="335"/>
      <c r="C176" s="355"/>
      <c r="D176" s="311"/>
      <c r="E176" s="312"/>
      <c r="F176" s="337"/>
      <c r="G176" s="333"/>
      <c r="H176" s="350"/>
      <c r="I176" s="337"/>
      <c r="J176" s="350"/>
      <c r="K176" s="350"/>
      <c r="L176" s="335"/>
      <c r="M176" s="355"/>
      <c r="N176" s="318"/>
      <c r="O176" s="337"/>
      <c r="P176" s="354"/>
      <c r="Q176" s="355"/>
      <c r="R176" s="350"/>
      <c r="S176" s="337"/>
      <c r="T176" s="350"/>
      <c r="U176" s="351"/>
      <c r="V176" s="351"/>
      <c r="W176" s="351"/>
      <c r="X176" s="351"/>
      <c r="Y176" s="351"/>
      <c r="Z176" s="351"/>
    </row>
    <row r="177">
      <c r="A177" s="309"/>
      <c r="B177" s="335"/>
      <c r="C177" s="318"/>
      <c r="D177" s="311"/>
      <c r="E177" s="312"/>
      <c r="F177" s="337"/>
      <c r="G177" s="333"/>
      <c r="H177" s="350"/>
      <c r="I177" s="335"/>
      <c r="J177" s="350"/>
      <c r="K177" s="349"/>
      <c r="L177" s="335"/>
      <c r="M177" s="318"/>
      <c r="N177" s="318"/>
      <c r="O177" s="337"/>
      <c r="P177" s="354"/>
      <c r="Q177" s="355"/>
      <c r="R177" s="350"/>
      <c r="S177" s="335"/>
      <c r="T177" s="350"/>
      <c r="U177" s="351"/>
      <c r="V177" s="351"/>
      <c r="W177" s="351"/>
      <c r="X177" s="351"/>
      <c r="Y177" s="351"/>
      <c r="Z177" s="351"/>
    </row>
    <row r="178">
      <c r="A178" s="309"/>
      <c r="B178" s="335"/>
      <c r="C178" s="355"/>
      <c r="D178" s="311"/>
      <c r="E178" s="312"/>
      <c r="F178" s="337"/>
      <c r="G178" s="333"/>
      <c r="H178" s="350"/>
      <c r="I178" s="337"/>
      <c r="J178" s="350"/>
      <c r="K178" s="350"/>
      <c r="L178" s="335"/>
      <c r="M178" s="355"/>
      <c r="N178" s="318"/>
      <c r="O178" s="337"/>
      <c r="P178" s="354"/>
      <c r="Q178" s="355"/>
      <c r="R178" s="350"/>
      <c r="S178" s="337"/>
      <c r="T178" s="350"/>
      <c r="U178" s="351"/>
      <c r="V178" s="351"/>
      <c r="W178" s="351"/>
      <c r="X178" s="351"/>
      <c r="Y178" s="351"/>
      <c r="Z178" s="351"/>
    </row>
    <row r="179">
      <c r="A179" s="350"/>
      <c r="B179" s="356"/>
      <c r="C179" s="355"/>
      <c r="D179" s="318"/>
      <c r="E179" s="337"/>
      <c r="F179" s="354"/>
      <c r="G179" s="333"/>
      <c r="H179" s="350"/>
      <c r="I179" s="337"/>
      <c r="J179" s="350"/>
      <c r="K179" s="350"/>
      <c r="L179" s="356"/>
      <c r="M179" s="355"/>
      <c r="N179" s="318"/>
      <c r="O179" s="337"/>
      <c r="P179" s="354"/>
      <c r="Q179" s="355"/>
      <c r="R179" s="350"/>
      <c r="S179" s="337"/>
      <c r="T179" s="350"/>
      <c r="U179" s="351"/>
      <c r="V179" s="351"/>
      <c r="W179" s="351"/>
      <c r="X179" s="351"/>
      <c r="Y179" s="351"/>
      <c r="Z179" s="351"/>
    </row>
    <row r="180">
      <c r="A180" s="349"/>
      <c r="B180" s="335"/>
      <c r="C180" s="318"/>
      <c r="D180" s="318"/>
      <c r="E180" s="337"/>
      <c r="F180" s="337"/>
      <c r="G180" s="333"/>
      <c r="H180" s="335"/>
      <c r="I180" s="335"/>
      <c r="J180" s="350"/>
      <c r="K180" s="349"/>
      <c r="L180" s="335"/>
      <c r="M180" s="318"/>
      <c r="N180" s="318"/>
      <c r="O180" s="337"/>
      <c r="P180" s="337"/>
      <c r="Q180" s="318"/>
      <c r="R180" s="335"/>
      <c r="S180" s="335"/>
      <c r="T180" s="350"/>
      <c r="U180" s="351"/>
      <c r="V180" s="351"/>
      <c r="W180" s="351"/>
      <c r="X180" s="351"/>
      <c r="Y180" s="351"/>
      <c r="Z180" s="351"/>
    </row>
    <row r="181">
      <c r="A181" s="349"/>
      <c r="B181" s="335"/>
      <c r="C181" s="318"/>
      <c r="D181" s="318"/>
      <c r="E181" s="337"/>
      <c r="F181" s="354"/>
      <c r="G181" s="333"/>
      <c r="H181" s="350"/>
      <c r="I181" s="350"/>
      <c r="J181" s="350"/>
      <c r="K181" s="349"/>
      <c r="L181" s="335"/>
      <c r="M181" s="318"/>
      <c r="N181" s="318"/>
      <c r="O181" s="337"/>
      <c r="P181" s="354"/>
      <c r="Q181" s="355"/>
      <c r="R181" s="350"/>
      <c r="S181" s="350"/>
      <c r="T181" s="350"/>
      <c r="U181" s="351"/>
      <c r="V181" s="351"/>
      <c r="W181" s="351"/>
      <c r="X181" s="351"/>
      <c r="Y181" s="351"/>
      <c r="Z181" s="351"/>
    </row>
    <row r="182">
      <c r="A182" s="349"/>
      <c r="B182" s="335"/>
      <c r="C182" s="318"/>
      <c r="D182" s="318"/>
      <c r="E182" s="337"/>
      <c r="F182" s="354"/>
      <c r="G182" s="333"/>
      <c r="H182" s="350"/>
      <c r="I182" s="350"/>
      <c r="J182" s="350"/>
      <c r="K182" s="349"/>
      <c r="L182" s="335"/>
      <c r="M182" s="318"/>
      <c r="N182" s="318"/>
      <c r="O182" s="337"/>
      <c r="P182" s="354"/>
      <c r="Q182" s="355"/>
      <c r="R182" s="350"/>
      <c r="S182" s="350"/>
      <c r="T182" s="350"/>
      <c r="U182" s="351"/>
      <c r="V182" s="351"/>
      <c r="W182" s="351"/>
      <c r="X182" s="351"/>
      <c r="Y182" s="351"/>
      <c r="Z182" s="351"/>
    </row>
    <row r="183">
      <c r="A183" s="349"/>
      <c r="B183" s="335"/>
      <c r="C183" s="318"/>
      <c r="D183" s="318"/>
      <c r="E183" s="337"/>
      <c r="F183" s="337"/>
      <c r="G183" s="333"/>
      <c r="H183" s="335"/>
      <c r="I183" s="335"/>
      <c r="J183" s="350"/>
      <c r="K183" s="349"/>
      <c r="L183" s="335"/>
      <c r="M183" s="318"/>
      <c r="N183" s="318"/>
      <c r="O183" s="337"/>
      <c r="P183" s="337"/>
      <c r="Q183" s="318"/>
      <c r="R183" s="335"/>
      <c r="S183" s="335"/>
      <c r="T183" s="350"/>
      <c r="U183" s="351"/>
      <c r="V183" s="351"/>
      <c r="W183" s="351"/>
      <c r="X183" s="351"/>
      <c r="Y183" s="351"/>
      <c r="Z183" s="351"/>
    </row>
    <row r="184">
      <c r="A184" s="349"/>
      <c r="B184" s="335"/>
      <c r="C184" s="318"/>
      <c r="D184" s="318"/>
      <c r="E184" s="337"/>
      <c r="F184" s="354"/>
      <c r="G184" s="333"/>
      <c r="H184" s="350"/>
      <c r="I184" s="335"/>
      <c r="J184" s="350"/>
      <c r="K184" s="349"/>
      <c r="L184" s="335"/>
      <c r="M184" s="318"/>
      <c r="N184" s="318"/>
      <c r="O184" s="337"/>
      <c r="P184" s="354"/>
      <c r="Q184" s="355"/>
      <c r="R184" s="350"/>
      <c r="S184" s="335"/>
      <c r="T184" s="350"/>
      <c r="U184" s="351"/>
      <c r="V184" s="351"/>
      <c r="W184" s="351"/>
      <c r="X184" s="351"/>
      <c r="Y184" s="351"/>
      <c r="Z184" s="351"/>
    </row>
    <row r="185">
      <c r="A185" s="349"/>
      <c r="B185" s="335"/>
      <c r="C185" s="318"/>
      <c r="D185" s="318"/>
      <c r="E185" s="337"/>
      <c r="F185" s="337"/>
      <c r="G185" s="333"/>
      <c r="H185" s="335"/>
      <c r="I185" s="335"/>
      <c r="J185" s="350"/>
      <c r="K185" s="349"/>
      <c r="L185" s="335"/>
      <c r="M185" s="318"/>
      <c r="N185" s="318"/>
      <c r="O185" s="337"/>
      <c r="P185" s="337"/>
      <c r="Q185" s="318"/>
      <c r="R185" s="335"/>
      <c r="S185" s="335"/>
      <c r="T185" s="350"/>
      <c r="U185" s="351"/>
      <c r="V185" s="351"/>
      <c r="W185" s="351"/>
      <c r="X185" s="351"/>
      <c r="Y185" s="351"/>
      <c r="Z185" s="351"/>
    </row>
    <row r="186">
      <c r="A186" s="349"/>
      <c r="B186" s="335"/>
      <c r="C186" s="318"/>
      <c r="D186" s="318"/>
      <c r="E186" s="337"/>
      <c r="F186" s="337"/>
      <c r="G186" s="333"/>
      <c r="H186" s="335"/>
      <c r="I186" s="350"/>
      <c r="J186" s="350"/>
      <c r="K186" s="349"/>
      <c r="L186" s="335"/>
      <c r="M186" s="318"/>
      <c r="N186" s="318"/>
      <c r="O186" s="337"/>
      <c r="P186" s="337"/>
      <c r="Q186" s="318"/>
      <c r="R186" s="335"/>
      <c r="S186" s="350"/>
      <c r="T186" s="350"/>
      <c r="U186" s="351"/>
      <c r="V186" s="351"/>
      <c r="W186" s="351"/>
      <c r="X186" s="351"/>
      <c r="Y186" s="351"/>
      <c r="Z186" s="351"/>
    </row>
    <row r="187">
      <c r="A187" s="349"/>
      <c r="B187" s="335"/>
      <c r="C187" s="318"/>
      <c r="D187" s="318"/>
      <c r="E187" s="337"/>
      <c r="F187" s="354"/>
      <c r="G187" s="333"/>
      <c r="H187" s="350"/>
      <c r="I187" s="350"/>
      <c r="J187" s="350"/>
      <c r="K187" s="349"/>
      <c r="L187" s="335"/>
      <c r="M187" s="318"/>
      <c r="N187" s="318"/>
      <c r="O187" s="337"/>
      <c r="P187" s="354"/>
      <c r="Q187" s="355"/>
      <c r="R187" s="350"/>
      <c r="S187" s="350"/>
      <c r="T187" s="350"/>
      <c r="U187" s="351"/>
      <c r="V187" s="351"/>
      <c r="W187" s="351"/>
      <c r="X187" s="351"/>
      <c r="Y187" s="351"/>
      <c r="Z187" s="351"/>
    </row>
    <row r="188">
      <c r="A188" s="349"/>
      <c r="B188" s="335"/>
      <c r="C188" s="318"/>
      <c r="D188" s="318"/>
      <c r="E188" s="337"/>
      <c r="F188" s="337"/>
      <c r="G188" s="333"/>
      <c r="H188" s="335"/>
      <c r="I188" s="335"/>
      <c r="J188" s="350"/>
      <c r="K188" s="349"/>
      <c r="L188" s="335"/>
      <c r="M188" s="318"/>
      <c r="N188" s="318"/>
      <c r="O188" s="337"/>
      <c r="P188" s="337"/>
      <c r="Q188" s="318"/>
      <c r="R188" s="335"/>
      <c r="S188" s="335"/>
      <c r="T188" s="350"/>
      <c r="U188" s="351"/>
      <c r="V188" s="351"/>
      <c r="W188" s="351"/>
      <c r="X188" s="351"/>
      <c r="Y188" s="351"/>
      <c r="Z188" s="351"/>
    </row>
    <row r="189">
      <c r="A189" s="349"/>
      <c r="B189" s="335"/>
      <c r="C189" s="318"/>
      <c r="D189" s="318"/>
      <c r="E189" s="337"/>
      <c r="F189" s="354"/>
      <c r="G189" s="333"/>
      <c r="H189" s="350"/>
      <c r="I189" s="350"/>
      <c r="J189" s="350"/>
      <c r="K189" s="349"/>
      <c r="L189" s="335"/>
      <c r="M189" s="318"/>
      <c r="N189" s="318"/>
      <c r="O189" s="337"/>
      <c r="P189" s="354"/>
      <c r="Q189" s="355"/>
      <c r="R189" s="350"/>
      <c r="S189" s="350"/>
      <c r="T189" s="350"/>
      <c r="U189" s="351"/>
      <c r="V189" s="351"/>
      <c r="W189" s="351"/>
      <c r="X189" s="351"/>
      <c r="Y189" s="351"/>
      <c r="Z189" s="351"/>
    </row>
    <row r="190">
      <c r="A190" s="349"/>
      <c r="B190" s="335"/>
      <c r="C190" s="318"/>
      <c r="D190" s="318"/>
      <c r="E190" s="337"/>
      <c r="F190" s="354"/>
      <c r="G190" s="333"/>
      <c r="H190" s="350"/>
      <c r="I190" s="350"/>
      <c r="J190" s="350"/>
      <c r="K190" s="349"/>
      <c r="L190" s="335"/>
      <c r="M190" s="318"/>
      <c r="N190" s="318"/>
      <c r="O190" s="337"/>
      <c r="P190" s="354"/>
      <c r="Q190" s="355"/>
      <c r="R190" s="350"/>
      <c r="S190" s="350"/>
      <c r="T190" s="350"/>
      <c r="U190" s="351"/>
      <c r="V190" s="351"/>
      <c r="W190" s="351"/>
      <c r="X190" s="351"/>
      <c r="Y190" s="351"/>
      <c r="Z190" s="351"/>
    </row>
    <row r="191">
      <c r="A191" s="350"/>
      <c r="B191" s="350"/>
      <c r="C191" s="355"/>
      <c r="D191" s="355"/>
      <c r="E191" s="354"/>
      <c r="F191" s="354"/>
      <c r="G191" s="333"/>
      <c r="H191" s="350"/>
      <c r="I191" s="350"/>
      <c r="J191" s="350"/>
      <c r="K191" s="350"/>
      <c r="L191" s="350"/>
      <c r="M191" s="355"/>
      <c r="N191" s="355"/>
      <c r="O191" s="354"/>
      <c r="P191" s="354"/>
      <c r="Q191" s="355"/>
      <c r="R191" s="350"/>
      <c r="S191" s="350"/>
      <c r="T191" s="350"/>
      <c r="U191" s="351"/>
      <c r="V191" s="351"/>
      <c r="W191" s="351"/>
      <c r="X191" s="351"/>
      <c r="Y191" s="351"/>
      <c r="Z191" s="351"/>
    </row>
    <row r="192">
      <c r="A192" s="350"/>
      <c r="B192" s="350"/>
      <c r="C192" s="355"/>
      <c r="D192" s="355"/>
      <c r="E192" s="354"/>
      <c r="F192" s="354"/>
      <c r="G192" s="333"/>
      <c r="H192" s="350"/>
      <c r="I192" s="350"/>
      <c r="J192" s="350"/>
      <c r="K192" s="350"/>
      <c r="L192" s="350"/>
      <c r="M192" s="355"/>
      <c r="N192" s="355"/>
      <c r="O192" s="354"/>
      <c r="P192" s="354"/>
      <c r="Q192" s="355"/>
      <c r="R192" s="350"/>
      <c r="S192" s="350"/>
      <c r="T192" s="350"/>
      <c r="U192" s="351"/>
      <c r="V192" s="351"/>
      <c r="W192" s="351"/>
      <c r="X192" s="351"/>
      <c r="Y192" s="351"/>
      <c r="Z192" s="351"/>
    </row>
    <row r="193">
      <c r="A193" s="350"/>
      <c r="B193" s="350"/>
      <c r="C193" s="355"/>
      <c r="D193" s="355"/>
      <c r="E193" s="354"/>
      <c r="F193" s="354"/>
      <c r="G193" s="333"/>
      <c r="H193" s="350"/>
      <c r="I193" s="350"/>
      <c r="J193" s="350"/>
      <c r="K193" s="350"/>
      <c r="L193" s="350"/>
      <c r="M193" s="355"/>
      <c r="N193" s="355"/>
      <c r="O193" s="354"/>
      <c r="P193" s="354"/>
      <c r="Q193" s="355"/>
      <c r="R193" s="350"/>
      <c r="S193" s="350"/>
      <c r="T193" s="350"/>
      <c r="U193" s="351"/>
      <c r="V193" s="351"/>
      <c r="W193" s="351"/>
      <c r="X193" s="351"/>
      <c r="Y193" s="351"/>
      <c r="Z193" s="351"/>
    </row>
    <row r="194">
      <c r="A194" s="350"/>
      <c r="B194" s="350"/>
      <c r="C194" s="355"/>
      <c r="D194" s="355"/>
      <c r="E194" s="354"/>
      <c r="F194" s="354"/>
      <c r="G194" s="333"/>
      <c r="H194" s="350"/>
      <c r="I194" s="350"/>
      <c r="J194" s="350"/>
      <c r="K194" s="350"/>
      <c r="L194" s="350"/>
      <c r="M194" s="355"/>
      <c r="N194" s="355"/>
      <c r="O194" s="354"/>
      <c r="P194" s="354"/>
      <c r="Q194" s="355"/>
      <c r="R194" s="350"/>
      <c r="S194" s="350"/>
      <c r="T194" s="350"/>
      <c r="U194" s="351"/>
      <c r="V194" s="351"/>
      <c r="W194" s="351"/>
      <c r="X194" s="351"/>
      <c r="Y194" s="351"/>
      <c r="Z194" s="351"/>
    </row>
    <row r="195">
      <c r="A195" s="350"/>
      <c r="B195" s="350"/>
      <c r="C195" s="355"/>
      <c r="D195" s="355"/>
      <c r="E195" s="354"/>
      <c r="F195" s="354"/>
      <c r="G195" s="333"/>
      <c r="H195" s="350"/>
      <c r="I195" s="350"/>
      <c r="J195" s="350"/>
      <c r="K195" s="350"/>
      <c r="L195" s="350"/>
      <c r="M195" s="355"/>
      <c r="N195" s="355"/>
      <c r="O195" s="354"/>
      <c r="P195" s="354"/>
      <c r="Q195" s="355"/>
      <c r="R195" s="350"/>
      <c r="S195" s="350"/>
      <c r="T195" s="350"/>
      <c r="U195" s="351"/>
      <c r="V195" s="351"/>
      <c r="W195" s="351"/>
      <c r="X195" s="351"/>
      <c r="Y195" s="351"/>
      <c r="Z195" s="351"/>
    </row>
    <row r="196">
      <c r="A196" s="350"/>
      <c r="B196" s="350"/>
      <c r="C196" s="355"/>
      <c r="D196" s="355"/>
      <c r="E196" s="354"/>
      <c r="F196" s="354"/>
      <c r="G196" s="333"/>
      <c r="H196" s="350"/>
      <c r="I196" s="350"/>
      <c r="J196" s="350"/>
      <c r="K196" s="350"/>
      <c r="L196" s="350"/>
      <c r="M196" s="355"/>
      <c r="N196" s="355"/>
      <c r="O196" s="354"/>
      <c r="P196" s="354"/>
      <c r="Q196" s="355"/>
      <c r="R196" s="350"/>
      <c r="S196" s="350"/>
      <c r="T196" s="350"/>
      <c r="U196" s="351"/>
      <c r="V196" s="351"/>
      <c r="W196" s="351"/>
      <c r="X196" s="351"/>
      <c r="Y196" s="351"/>
      <c r="Z196" s="351"/>
    </row>
    <row r="197">
      <c r="A197" s="350"/>
      <c r="B197" s="350"/>
      <c r="C197" s="355"/>
      <c r="D197" s="355"/>
      <c r="E197" s="354"/>
      <c r="F197" s="354"/>
      <c r="G197" s="333"/>
      <c r="H197" s="350"/>
      <c r="I197" s="350"/>
      <c r="J197" s="350"/>
      <c r="K197" s="350"/>
      <c r="L197" s="350"/>
      <c r="M197" s="355"/>
      <c r="N197" s="355"/>
      <c r="O197" s="354"/>
      <c r="P197" s="354"/>
      <c r="Q197" s="355"/>
      <c r="R197" s="350"/>
      <c r="S197" s="350"/>
      <c r="T197" s="350"/>
      <c r="U197" s="351"/>
      <c r="V197" s="351"/>
      <c r="W197" s="351"/>
      <c r="X197" s="351"/>
      <c r="Y197" s="351"/>
      <c r="Z197" s="351"/>
    </row>
    <row r="198">
      <c r="A198" s="350"/>
      <c r="B198" s="350"/>
      <c r="C198" s="355"/>
      <c r="D198" s="355"/>
      <c r="E198" s="354"/>
      <c r="F198" s="354"/>
      <c r="G198" s="333"/>
      <c r="H198" s="350"/>
      <c r="I198" s="350"/>
      <c r="J198" s="350"/>
      <c r="K198" s="350"/>
      <c r="L198" s="350"/>
      <c r="M198" s="355"/>
      <c r="N198" s="355"/>
      <c r="O198" s="354"/>
      <c r="P198" s="354"/>
      <c r="Q198" s="355"/>
      <c r="R198" s="350"/>
      <c r="S198" s="350"/>
      <c r="T198" s="350"/>
      <c r="U198" s="351"/>
      <c r="V198" s="351"/>
      <c r="W198" s="351"/>
      <c r="X198" s="351"/>
      <c r="Y198" s="351"/>
      <c r="Z198" s="351"/>
    </row>
    <row r="199">
      <c r="A199" s="350"/>
      <c r="B199" s="350"/>
      <c r="C199" s="355"/>
      <c r="D199" s="355"/>
      <c r="E199" s="354"/>
      <c r="F199" s="354"/>
      <c r="G199" s="333"/>
      <c r="H199" s="350"/>
      <c r="I199" s="350"/>
      <c r="J199" s="350"/>
      <c r="K199" s="350"/>
      <c r="L199" s="350"/>
      <c r="M199" s="355"/>
      <c r="N199" s="355"/>
      <c r="O199" s="354"/>
      <c r="P199" s="354"/>
      <c r="Q199" s="355"/>
      <c r="R199" s="350"/>
      <c r="S199" s="350"/>
      <c r="T199" s="350"/>
      <c r="U199" s="351"/>
      <c r="V199" s="351"/>
      <c r="W199" s="351"/>
      <c r="X199" s="351"/>
      <c r="Y199" s="351"/>
      <c r="Z199" s="351"/>
    </row>
    <row r="200">
      <c r="A200" s="350"/>
      <c r="B200" s="350"/>
      <c r="C200" s="355"/>
      <c r="D200" s="355"/>
      <c r="E200" s="354"/>
      <c r="F200" s="354"/>
      <c r="G200" s="333"/>
      <c r="H200" s="350"/>
      <c r="I200" s="350"/>
      <c r="J200" s="350"/>
      <c r="K200" s="350"/>
      <c r="L200" s="350"/>
      <c r="M200" s="355"/>
      <c r="N200" s="355"/>
      <c r="O200" s="354"/>
      <c r="P200" s="354"/>
      <c r="Q200" s="355"/>
      <c r="R200" s="350"/>
      <c r="S200" s="350"/>
      <c r="T200" s="350"/>
      <c r="U200" s="351"/>
      <c r="V200" s="351"/>
      <c r="W200" s="351"/>
      <c r="X200" s="351"/>
      <c r="Y200" s="351"/>
      <c r="Z200" s="351"/>
    </row>
    <row r="201">
      <c r="A201" s="350"/>
      <c r="B201" s="350"/>
      <c r="C201" s="355"/>
      <c r="D201" s="355"/>
      <c r="E201" s="354"/>
      <c r="F201" s="354"/>
      <c r="G201" s="333"/>
      <c r="H201" s="350"/>
      <c r="I201" s="350"/>
      <c r="J201" s="350"/>
      <c r="K201" s="350"/>
      <c r="L201" s="350"/>
      <c r="M201" s="355"/>
      <c r="N201" s="355"/>
      <c r="O201" s="354"/>
      <c r="P201" s="354"/>
      <c r="Q201" s="355"/>
      <c r="R201" s="350"/>
      <c r="S201" s="350"/>
      <c r="T201" s="350"/>
      <c r="U201" s="351"/>
      <c r="V201" s="351"/>
      <c r="W201" s="351"/>
      <c r="X201" s="351"/>
      <c r="Y201" s="351"/>
      <c r="Z201" s="351"/>
    </row>
    <row r="202">
      <c r="A202" s="350"/>
      <c r="B202" s="350"/>
      <c r="C202" s="355"/>
      <c r="D202" s="355"/>
      <c r="E202" s="354"/>
      <c r="F202" s="354"/>
      <c r="G202" s="333"/>
      <c r="H202" s="350"/>
      <c r="I202" s="350"/>
      <c r="J202" s="350"/>
      <c r="K202" s="350"/>
      <c r="L202" s="350"/>
      <c r="M202" s="355"/>
      <c r="N202" s="355"/>
      <c r="O202" s="354"/>
      <c r="P202" s="354"/>
      <c r="Q202" s="355"/>
      <c r="R202" s="350"/>
      <c r="S202" s="350"/>
      <c r="T202" s="350"/>
      <c r="U202" s="351"/>
      <c r="V202" s="351"/>
      <c r="W202" s="351"/>
      <c r="X202" s="351"/>
      <c r="Y202" s="351"/>
      <c r="Z202" s="351"/>
    </row>
    <row r="203">
      <c r="A203" s="350"/>
      <c r="B203" s="350"/>
      <c r="C203" s="355"/>
      <c r="D203" s="355"/>
      <c r="E203" s="354"/>
      <c r="F203" s="354"/>
      <c r="G203" s="333"/>
      <c r="H203" s="350"/>
      <c r="I203" s="350"/>
      <c r="J203" s="350"/>
      <c r="K203" s="350"/>
      <c r="L203" s="350"/>
      <c r="M203" s="355"/>
      <c r="N203" s="355"/>
      <c r="O203" s="354"/>
      <c r="P203" s="354"/>
      <c r="Q203" s="355"/>
      <c r="R203" s="350"/>
      <c r="S203" s="350"/>
      <c r="T203" s="350"/>
      <c r="U203" s="351"/>
      <c r="V203" s="351"/>
      <c r="W203" s="351"/>
      <c r="X203" s="351"/>
      <c r="Y203" s="351"/>
      <c r="Z203" s="351"/>
    </row>
    <row r="204">
      <c r="A204" s="350"/>
      <c r="B204" s="350"/>
      <c r="C204" s="355"/>
      <c r="D204" s="355"/>
      <c r="E204" s="354"/>
      <c r="F204" s="354"/>
      <c r="G204" s="333"/>
      <c r="H204" s="350"/>
      <c r="I204" s="350"/>
      <c r="J204" s="350"/>
      <c r="K204" s="350"/>
      <c r="L204" s="350"/>
      <c r="M204" s="355"/>
      <c r="N204" s="355"/>
      <c r="O204" s="354"/>
      <c r="P204" s="354"/>
      <c r="Q204" s="355"/>
      <c r="R204" s="350"/>
      <c r="S204" s="350"/>
      <c r="T204" s="350"/>
      <c r="U204" s="351"/>
      <c r="V204" s="351"/>
      <c r="W204" s="351"/>
      <c r="X204" s="351"/>
      <c r="Y204" s="351"/>
      <c r="Z204" s="351"/>
    </row>
    <row r="205">
      <c r="A205" s="350"/>
      <c r="B205" s="350"/>
      <c r="C205" s="355"/>
      <c r="D205" s="355"/>
      <c r="E205" s="354"/>
      <c r="F205" s="354"/>
      <c r="G205" s="333"/>
      <c r="H205" s="350"/>
      <c r="I205" s="350"/>
      <c r="J205" s="350"/>
      <c r="K205" s="350"/>
      <c r="L205" s="350"/>
      <c r="M205" s="355"/>
      <c r="N205" s="355"/>
      <c r="O205" s="354"/>
      <c r="P205" s="354"/>
      <c r="Q205" s="355"/>
      <c r="R205" s="350"/>
      <c r="S205" s="350"/>
      <c r="T205" s="350"/>
      <c r="U205" s="351"/>
      <c r="V205" s="351"/>
      <c r="W205" s="351"/>
      <c r="X205" s="351"/>
      <c r="Y205" s="351"/>
      <c r="Z205" s="351"/>
    </row>
    <row r="206">
      <c r="A206" s="350"/>
      <c r="B206" s="350"/>
      <c r="C206" s="355"/>
      <c r="D206" s="355"/>
      <c r="E206" s="354"/>
      <c r="F206" s="354"/>
      <c r="G206" s="333"/>
      <c r="H206" s="350"/>
      <c r="I206" s="350"/>
      <c r="J206" s="350"/>
      <c r="K206" s="350"/>
      <c r="L206" s="350"/>
      <c r="M206" s="355"/>
      <c r="N206" s="355"/>
      <c r="O206" s="354"/>
      <c r="P206" s="354"/>
      <c r="Q206" s="355"/>
      <c r="R206" s="350"/>
      <c r="S206" s="350"/>
      <c r="T206" s="350"/>
      <c r="U206" s="351"/>
      <c r="V206" s="351"/>
      <c r="W206" s="351"/>
      <c r="X206" s="351"/>
      <c r="Y206" s="351"/>
      <c r="Z206" s="351"/>
    </row>
    <row r="207">
      <c r="A207" s="350"/>
      <c r="B207" s="350"/>
      <c r="C207" s="355"/>
      <c r="D207" s="355"/>
      <c r="E207" s="354"/>
      <c r="F207" s="354"/>
      <c r="G207" s="333"/>
      <c r="H207" s="350"/>
      <c r="I207" s="350"/>
      <c r="J207" s="350"/>
      <c r="K207" s="350"/>
      <c r="L207" s="350"/>
      <c r="M207" s="355"/>
      <c r="N207" s="355"/>
      <c r="O207" s="354"/>
      <c r="P207" s="354"/>
      <c r="Q207" s="355"/>
      <c r="R207" s="350"/>
      <c r="S207" s="350"/>
      <c r="T207" s="350"/>
      <c r="U207" s="351"/>
      <c r="V207" s="351"/>
      <c r="W207" s="351"/>
      <c r="X207" s="351"/>
      <c r="Y207" s="351"/>
      <c r="Z207" s="351"/>
    </row>
    <row r="208">
      <c r="A208" s="350"/>
      <c r="B208" s="350"/>
      <c r="C208" s="355"/>
      <c r="D208" s="355"/>
      <c r="E208" s="354"/>
      <c r="F208" s="354"/>
      <c r="G208" s="333"/>
      <c r="H208" s="350"/>
      <c r="I208" s="350"/>
      <c r="J208" s="350"/>
      <c r="K208" s="350"/>
      <c r="L208" s="350"/>
      <c r="M208" s="355"/>
      <c r="N208" s="355"/>
      <c r="O208" s="354"/>
      <c r="P208" s="354"/>
      <c r="Q208" s="355"/>
      <c r="R208" s="350"/>
      <c r="S208" s="350"/>
      <c r="T208" s="350"/>
      <c r="U208" s="351"/>
      <c r="V208" s="351"/>
      <c r="W208" s="351"/>
      <c r="X208" s="351"/>
      <c r="Y208" s="351"/>
      <c r="Z208" s="351"/>
    </row>
    <row r="209">
      <c r="A209" s="350"/>
      <c r="B209" s="350"/>
      <c r="C209" s="355"/>
      <c r="D209" s="355"/>
      <c r="E209" s="354"/>
      <c r="F209" s="354"/>
      <c r="G209" s="333"/>
      <c r="H209" s="350"/>
      <c r="I209" s="350"/>
      <c r="J209" s="350"/>
      <c r="K209" s="350"/>
      <c r="L209" s="350"/>
      <c r="M209" s="355"/>
      <c r="N209" s="355"/>
      <c r="O209" s="354"/>
      <c r="P209" s="354"/>
      <c r="Q209" s="355"/>
      <c r="R209" s="350"/>
      <c r="S209" s="350"/>
      <c r="T209" s="350"/>
      <c r="U209" s="351"/>
      <c r="V209" s="351"/>
      <c r="W209" s="351"/>
      <c r="X209" s="351"/>
      <c r="Y209" s="351"/>
      <c r="Z209" s="351"/>
    </row>
    <row r="210">
      <c r="A210" s="350"/>
      <c r="B210" s="350"/>
      <c r="C210" s="355"/>
      <c r="D210" s="355"/>
      <c r="E210" s="354"/>
      <c r="F210" s="354"/>
      <c r="G210" s="333"/>
      <c r="H210" s="350"/>
      <c r="I210" s="350"/>
      <c r="J210" s="350"/>
      <c r="K210" s="350"/>
      <c r="L210" s="350"/>
      <c r="M210" s="355"/>
      <c r="N210" s="355"/>
      <c r="O210" s="354"/>
      <c r="P210" s="354"/>
      <c r="Q210" s="355"/>
      <c r="R210" s="350"/>
      <c r="S210" s="350"/>
      <c r="T210" s="350"/>
      <c r="U210" s="351"/>
      <c r="V210" s="351"/>
      <c r="W210" s="351"/>
      <c r="X210" s="351"/>
      <c r="Y210" s="351"/>
      <c r="Z210" s="351"/>
    </row>
    <row r="211">
      <c r="A211" s="350"/>
      <c r="B211" s="350"/>
      <c r="C211" s="355"/>
      <c r="D211" s="355"/>
      <c r="E211" s="354"/>
      <c r="F211" s="354"/>
      <c r="G211" s="333"/>
      <c r="H211" s="350"/>
      <c r="I211" s="350"/>
      <c r="J211" s="350"/>
      <c r="K211" s="350"/>
      <c r="L211" s="350"/>
      <c r="M211" s="355"/>
      <c r="N211" s="355"/>
      <c r="O211" s="354"/>
      <c r="P211" s="354"/>
      <c r="Q211" s="355"/>
      <c r="R211" s="350"/>
      <c r="S211" s="350"/>
      <c r="T211" s="350"/>
      <c r="U211" s="351"/>
      <c r="V211" s="351"/>
      <c r="W211" s="351"/>
      <c r="X211" s="351"/>
      <c r="Y211" s="351"/>
      <c r="Z211" s="351"/>
    </row>
    <row r="212">
      <c r="A212" s="350"/>
      <c r="B212" s="350"/>
      <c r="C212" s="355"/>
      <c r="D212" s="355"/>
      <c r="E212" s="354"/>
      <c r="F212" s="354"/>
      <c r="G212" s="333"/>
      <c r="H212" s="350"/>
      <c r="I212" s="350"/>
      <c r="J212" s="350"/>
      <c r="K212" s="350"/>
      <c r="L212" s="350"/>
      <c r="M212" s="355"/>
      <c r="N212" s="355"/>
      <c r="O212" s="354"/>
      <c r="P212" s="354"/>
      <c r="Q212" s="355"/>
      <c r="R212" s="350"/>
      <c r="S212" s="350"/>
      <c r="T212" s="350"/>
      <c r="U212" s="351"/>
      <c r="V212" s="351"/>
      <c r="W212" s="351"/>
      <c r="X212" s="351"/>
      <c r="Y212" s="351"/>
      <c r="Z212" s="351"/>
    </row>
    <row r="213">
      <c r="A213" s="350"/>
      <c r="B213" s="350"/>
      <c r="C213" s="355"/>
      <c r="D213" s="355"/>
      <c r="E213" s="354"/>
      <c r="F213" s="354"/>
      <c r="G213" s="333"/>
      <c r="H213" s="350"/>
      <c r="I213" s="350"/>
      <c r="J213" s="350"/>
      <c r="K213" s="350"/>
      <c r="L213" s="350"/>
      <c r="M213" s="355"/>
      <c r="N213" s="355"/>
      <c r="O213" s="354"/>
      <c r="P213" s="354"/>
      <c r="Q213" s="355"/>
      <c r="R213" s="350"/>
      <c r="S213" s="350"/>
      <c r="T213" s="350"/>
      <c r="U213" s="351"/>
      <c r="V213" s="351"/>
      <c r="W213" s="351"/>
      <c r="X213" s="351"/>
      <c r="Y213" s="351"/>
      <c r="Z213" s="351"/>
    </row>
    <row r="214">
      <c r="A214" s="350"/>
      <c r="B214" s="350"/>
      <c r="C214" s="355"/>
      <c r="D214" s="355"/>
      <c r="E214" s="354"/>
      <c r="F214" s="354"/>
      <c r="G214" s="333"/>
      <c r="H214" s="350"/>
      <c r="I214" s="350"/>
      <c r="J214" s="350"/>
      <c r="K214" s="350"/>
      <c r="L214" s="350"/>
      <c r="M214" s="355"/>
      <c r="N214" s="355"/>
      <c r="O214" s="354"/>
      <c r="P214" s="354"/>
      <c r="Q214" s="355"/>
      <c r="R214" s="350"/>
      <c r="S214" s="350"/>
      <c r="T214" s="350"/>
      <c r="U214" s="351"/>
      <c r="V214" s="351"/>
      <c r="W214" s="351"/>
      <c r="X214" s="351"/>
      <c r="Y214" s="351"/>
      <c r="Z214" s="351"/>
    </row>
    <row r="215">
      <c r="A215" s="350"/>
      <c r="B215" s="350"/>
      <c r="C215" s="355"/>
      <c r="D215" s="355"/>
      <c r="E215" s="354"/>
      <c r="F215" s="354"/>
      <c r="G215" s="333"/>
      <c r="H215" s="350"/>
      <c r="I215" s="350"/>
      <c r="J215" s="350"/>
      <c r="K215" s="350"/>
      <c r="L215" s="350"/>
      <c r="M215" s="355"/>
      <c r="N215" s="355"/>
      <c r="O215" s="354"/>
      <c r="P215" s="354"/>
      <c r="Q215" s="355"/>
      <c r="R215" s="350"/>
      <c r="S215" s="350"/>
      <c r="T215" s="350"/>
      <c r="U215" s="351"/>
      <c r="V215" s="351"/>
      <c r="W215" s="351"/>
      <c r="X215" s="351"/>
      <c r="Y215" s="351"/>
      <c r="Z215" s="351"/>
    </row>
    <row r="216">
      <c r="A216" s="350"/>
      <c r="B216" s="350"/>
      <c r="C216" s="355"/>
      <c r="D216" s="355"/>
      <c r="E216" s="354"/>
      <c r="F216" s="354"/>
      <c r="G216" s="333"/>
      <c r="H216" s="350"/>
      <c r="I216" s="350"/>
      <c r="J216" s="350"/>
      <c r="K216" s="350"/>
      <c r="L216" s="350"/>
      <c r="M216" s="355"/>
      <c r="N216" s="355"/>
      <c r="O216" s="354"/>
      <c r="P216" s="354"/>
      <c r="Q216" s="355"/>
      <c r="R216" s="350"/>
      <c r="S216" s="350"/>
      <c r="T216" s="350"/>
      <c r="U216" s="351"/>
      <c r="V216" s="351"/>
      <c r="W216" s="351"/>
      <c r="X216" s="351"/>
      <c r="Y216" s="351"/>
      <c r="Z216" s="351"/>
    </row>
    <row r="217">
      <c r="A217" s="350"/>
      <c r="B217" s="350"/>
      <c r="C217" s="355"/>
      <c r="D217" s="355"/>
      <c r="E217" s="354"/>
      <c r="F217" s="354"/>
      <c r="G217" s="333"/>
      <c r="H217" s="350"/>
      <c r="I217" s="350"/>
      <c r="J217" s="350"/>
      <c r="K217" s="350"/>
      <c r="L217" s="350"/>
      <c r="M217" s="355"/>
      <c r="N217" s="355"/>
      <c r="O217" s="354"/>
      <c r="P217" s="354"/>
      <c r="Q217" s="355"/>
      <c r="R217" s="350"/>
      <c r="S217" s="350"/>
      <c r="T217" s="350"/>
      <c r="U217" s="351"/>
      <c r="V217" s="351"/>
      <c r="W217" s="351"/>
      <c r="X217" s="351"/>
      <c r="Y217" s="351"/>
      <c r="Z217" s="351"/>
    </row>
    <row r="218">
      <c r="A218" s="350"/>
      <c r="B218" s="350"/>
      <c r="C218" s="355"/>
      <c r="D218" s="355"/>
      <c r="E218" s="354"/>
      <c r="F218" s="354"/>
      <c r="G218" s="333"/>
      <c r="H218" s="350"/>
      <c r="I218" s="350"/>
      <c r="J218" s="350"/>
      <c r="K218" s="350"/>
      <c r="L218" s="350"/>
      <c r="M218" s="355"/>
      <c r="N218" s="355"/>
      <c r="O218" s="354"/>
      <c r="P218" s="354"/>
      <c r="Q218" s="355"/>
      <c r="R218" s="350"/>
      <c r="S218" s="350"/>
      <c r="T218" s="350"/>
      <c r="U218" s="351"/>
      <c r="V218" s="351"/>
      <c r="W218" s="351"/>
      <c r="X218" s="351"/>
      <c r="Y218" s="351"/>
      <c r="Z218" s="351"/>
    </row>
    <row r="219">
      <c r="A219" s="350"/>
      <c r="B219" s="350"/>
      <c r="C219" s="355"/>
      <c r="D219" s="355"/>
      <c r="E219" s="354"/>
      <c r="F219" s="354"/>
      <c r="G219" s="333"/>
      <c r="H219" s="350"/>
      <c r="I219" s="350"/>
      <c r="J219" s="350"/>
      <c r="K219" s="350"/>
      <c r="L219" s="350"/>
      <c r="M219" s="355"/>
      <c r="N219" s="355"/>
      <c r="O219" s="354"/>
      <c r="P219" s="354"/>
      <c r="Q219" s="355"/>
      <c r="R219" s="350"/>
      <c r="S219" s="350"/>
      <c r="T219" s="350"/>
      <c r="U219" s="351"/>
      <c r="V219" s="351"/>
      <c r="W219" s="351"/>
      <c r="X219" s="351"/>
      <c r="Y219" s="351"/>
      <c r="Z219" s="351"/>
    </row>
    <row r="220">
      <c r="A220" s="350"/>
      <c r="B220" s="350"/>
      <c r="C220" s="355"/>
      <c r="D220" s="355"/>
      <c r="E220" s="354"/>
      <c r="F220" s="354"/>
      <c r="G220" s="333"/>
      <c r="H220" s="350"/>
      <c r="I220" s="350"/>
      <c r="J220" s="350"/>
      <c r="K220" s="350"/>
      <c r="L220" s="350"/>
      <c r="M220" s="355"/>
      <c r="N220" s="355"/>
      <c r="O220" s="354"/>
      <c r="P220" s="354"/>
      <c r="Q220" s="355"/>
      <c r="R220" s="350"/>
      <c r="S220" s="350"/>
      <c r="T220" s="350"/>
      <c r="U220" s="351"/>
      <c r="V220" s="351"/>
      <c r="W220" s="351"/>
      <c r="X220" s="351"/>
      <c r="Y220" s="351"/>
      <c r="Z220" s="351"/>
    </row>
    <row r="221">
      <c r="A221" s="350"/>
      <c r="B221" s="350"/>
      <c r="C221" s="355"/>
      <c r="D221" s="355"/>
      <c r="E221" s="354"/>
      <c r="F221" s="354"/>
      <c r="G221" s="333"/>
      <c r="H221" s="350"/>
      <c r="I221" s="350"/>
      <c r="J221" s="350"/>
      <c r="K221" s="350"/>
      <c r="L221" s="350"/>
      <c r="M221" s="355"/>
      <c r="N221" s="355"/>
      <c r="O221" s="354"/>
      <c r="P221" s="354"/>
      <c r="Q221" s="355"/>
      <c r="R221" s="350"/>
      <c r="S221" s="350"/>
      <c r="T221" s="350"/>
      <c r="U221" s="351"/>
      <c r="V221" s="351"/>
      <c r="W221" s="351"/>
      <c r="X221" s="351"/>
      <c r="Y221" s="351"/>
      <c r="Z221" s="351"/>
    </row>
    <row r="222">
      <c r="A222" s="350"/>
      <c r="B222" s="350"/>
      <c r="C222" s="355"/>
      <c r="D222" s="355"/>
      <c r="E222" s="354"/>
      <c r="F222" s="354"/>
      <c r="G222" s="333"/>
      <c r="H222" s="350"/>
      <c r="I222" s="350"/>
      <c r="J222" s="350"/>
      <c r="K222" s="350"/>
      <c r="L222" s="350"/>
      <c r="M222" s="355"/>
      <c r="N222" s="355"/>
      <c r="O222" s="354"/>
      <c r="P222" s="354"/>
      <c r="Q222" s="355"/>
      <c r="R222" s="350"/>
      <c r="S222" s="350"/>
      <c r="T222" s="350"/>
      <c r="U222" s="351"/>
      <c r="V222" s="351"/>
      <c r="W222" s="351"/>
      <c r="X222" s="351"/>
      <c r="Y222" s="351"/>
      <c r="Z222" s="351"/>
    </row>
    <row r="223">
      <c r="A223" s="350"/>
      <c r="B223" s="350"/>
      <c r="C223" s="355"/>
      <c r="D223" s="355"/>
      <c r="E223" s="354"/>
      <c r="F223" s="354"/>
      <c r="G223" s="333"/>
      <c r="H223" s="350"/>
      <c r="I223" s="350"/>
      <c r="J223" s="350"/>
      <c r="K223" s="350"/>
      <c r="L223" s="350"/>
      <c r="M223" s="355"/>
      <c r="N223" s="355"/>
      <c r="O223" s="354"/>
      <c r="P223" s="354"/>
      <c r="Q223" s="355"/>
      <c r="R223" s="350"/>
      <c r="S223" s="350"/>
      <c r="T223" s="350"/>
      <c r="U223" s="351"/>
      <c r="V223" s="351"/>
      <c r="W223" s="351"/>
      <c r="X223" s="351"/>
      <c r="Y223" s="351"/>
      <c r="Z223" s="351"/>
    </row>
    <row r="224">
      <c r="A224" s="350"/>
      <c r="B224" s="350"/>
      <c r="C224" s="355"/>
      <c r="D224" s="355"/>
      <c r="E224" s="354"/>
      <c r="F224" s="354"/>
      <c r="G224" s="333"/>
      <c r="H224" s="350"/>
      <c r="I224" s="350"/>
      <c r="J224" s="350"/>
      <c r="K224" s="350"/>
      <c r="L224" s="350"/>
      <c r="M224" s="355"/>
      <c r="N224" s="355"/>
      <c r="O224" s="354"/>
      <c r="P224" s="354"/>
      <c r="Q224" s="355"/>
      <c r="R224" s="350"/>
      <c r="S224" s="350"/>
      <c r="T224" s="350"/>
      <c r="U224" s="351"/>
      <c r="V224" s="351"/>
      <c r="W224" s="351"/>
      <c r="X224" s="351"/>
      <c r="Y224" s="351"/>
      <c r="Z224" s="351"/>
    </row>
    <row r="225">
      <c r="A225" s="350"/>
      <c r="B225" s="350"/>
      <c r="C225" s="355"/>
      <c r="D225" s="355"/>
      <c r="E225" s="354"/>
      <c r="F225" s="354"/>
      <c r="G225" s="333"/>
      <c r="H225" s="350"/>
      <c r="I225" s="350"/>
      <c r="J225" s="350"/>
      <c r="K225" s="350"/>
      <c r="L225" s="350"/>
      <c r="M225" s="355"/>
      <c r="N225" s="355"/>
      <c r="O225" s="354"/>
      <c r="P225" s="354"/>
      <c r="Q225" s="355"/>
      <c r="R225" s="350"/>
      <c r="S225" s="350"/>
      <c r="T225" s="350"/>
      <c r="U225" s="351"/>
      <c r="V225" s="351"/>
      <c r="W225" s="351"/>
      <c r="X225" s="351"/>
      <c r="Y225" s="351"/>
      <c r="Z225" s="351"/>
    </row>
    <row r="226">
      <c r="A226" s="350"/>
      <c r="B226" s="350"/>
      <c r="C226" s="355"/>
      <c r="D226" s="355"/>
      <c r="E226" s="354"/>
      <c r="F226" s="354"/>
      <c r="G226" s="333"/>
      <c r="H226" s="350"/>
      <c r="I226" s="350"/>
      <c r="J226" s="350"/>
      <c r="K226" s="350"/>
      <c r="L226" s="350"/>
      <c r="M226" s="355"/>
      <c r="N226" s="355"/>
      <c r="O226" s="354"/>
      <c r="P226" s="354"/>
      <c r="Q226" s="355"/>
      <c r="R226" s="350"/>
      <c r="S226" s="350"/>
      <c r="T226" s="350"/>
      <c r="U226" s="351"/>
      <c r="V226" s="351"/>
      <c r="W226" s="351"/>
      <c r="X226" s="351"/>
      <c r="Y226" s="351"/>
      <c r="Z226" s="351"/>
    </row>
    <row r="227">
      <c r="A227" s="350"/>
      <c r="B227" s="350"/>
      <c r="C227" s="355"/>
      <c r="D227" s="355"/>
      <c r="E227" s="354"/>
      <c r="F227" s="354"/>
      <c r="G227" s="333"/>
      <c r="H227" s="350"/>
      <c r="I227" s="350"/>
      <c r="J227" s="350"/>
      <c r="K227" s="350"/>
      <c r="L227" s="350"/>
      <c r="M227" s="355"/>
      <c r="N227" s="355"/>
      <c r="O227" s="354"/>
      <c r="P227" s="354"/>
      <c r="Q227" s="355"/>
      <c r="R227" s="350"/>
      <c r="S227" s="350"/>
      <c r="T227" s="350"/>
      <c r="U227" s="351"/>
      <c r="V227" s="351"/>
      <c r="W227" s="351"/>
      <c r="X227" s="351"/>
      <c r="Y227" s="351"/>
      <c r="Z227" s="351"/>
    </row>
    <row r="228">
      <c r="A228" s="350"/>
      <c r="B228" s="350"/>
      <c r="C228" s="355"/>
      <c r="D228" s="355"/>
      <c r="E228" s="354"/>
      <c r="F228" s="354"/>
      <c r="G228" s="333"/>
      <c r="H228" s="350"/>
      <c r="I228" s="350"/>
      <c r="J228" s="350"/>
      <c r="K228" s="350"/>
      <c r="L228" s="350"/>
      <c r="M228" s="355"/>
      <c r="N228" s="355"/>
      <c r="O228" s="354"/>
      <c r="P228" s="354"/>
      <c r="Q228" s="355"/>
      <c r="R228" s="350"/>
      <c r="S228" s="350"/>
      <c r="T228" s="350"/>
      <c r="U228" s="351"/>
      <c r="V228" s="351"/>
      <c r="W228" s="351"/>
      <c r="X228" s="351"/>
      <c r="Y228" s="351"/>
      <c r="Z228" s="351"/>
    </row>
    <row r="229">
      <c r="A229" s="350"/>
      <c r="B229" s="350"/>
      <c r="C229" s="355"/>
      <c r="D229" s="355"/>
      <c r="E229" s="354"/>
      <c r="F229" s="354"/>
      <c r="G229" s="333"/>
      <c r="H229" s="350"/>
      <c r="I229" s="350"/>
      <c r="J229" s="350"/>
      <c r="K229" s="350"/>
      <c r="L229" s="350"/>
      <c r="M229" s="355"/>
      <c r="N229" s="355"/>
      <c r="O229" s="354"/>
      <c r="P229" s="354"/>
      <c r="Q229" s="355"/>
      <c r="R229" s="350"/>
      <c r="S229" s="350"/>
      <c r="T229" s="350"/>
      <c r="U229" s="351"/>
      <c r="V229" s="351"/>
      <c r="W229" s="351"/>
      <c r="X229" s="351"/>
      <c r="Y229" s="351"/>
      <c r="Z229" s="351"/>
    </row>
    <row r="230">
      <c r="A230" s="350"/>
      <c r="B230" s="350"/>
      <c r="C230" s="355"/>
      <c r="D230" s="355"/>
      <c r="E230" s="354"/>
      <c r="F230" s="354"/>
      <c r="G230" s="333"/>
      <c r="H230" s="350"/>
      <c r="I230" s="350"/>
      <c r="J230" s="350"/>
      <c r="K230" s="350"/>
      <c r="L230" s="350"/>
      <c r="M230" s="355"/>
      <c r="N230" s="355"/>
      <c r="O230" s="354"/>
      <c r="P230" s="354"/>
      <c r="Q230" s="355"/>
      <c r="R230" s="350"/>
      <c r="S230" s="350"/>
      <c r="T230" s="350"/>
      <c r="U230" s="351"/>
      <c r="V230" s="351"/>
      <c r="W230" s="351"/>
      <c r="X230" s="351"/>
      <c r="Y230" s="351"/>
      <c r="Z230" s="351"/>
    </row>
    <row r="231">
      <c r="A231" s="350"/>
      <c r="B231" s="350"/>
      <c r="C231" s="355"/>
      <c r="D231" s="355"/>
      <c r="E231" s="354"/>
      <c r="F231" s="354"/>
      <c r="G231" s="333"/>
      <c r="H231" s="350"/>
      <c r="I231" s="350"/>
      <c r="J231" s="350"/>
      <c r="K231" s="350"/>
      <c r="L231" s="350"/>
      <c r="M231" s="355"/>
      <c r="N231" s="355"/>
      <c r="O231" s="354"/>
      <c r="P231" s="354"/>
      <c r="Q231" s="355"/>
      <c r="R231" s="350"/>
      <c r="S231" s="350"/>
      <c r="T231" s="350"/>
      <c r="U231" s="351"/>
      <c r="V231" s="351"/>
      <c r="W231" s="351"/>
      <c r="X231" s="351"/>
      <c r="Y231" s="351"/>
      <c r="Z231" s="351"/>
    </row>
    <row r="232">
      <c r="A232" s="350"/>
      <c r="B232" s="350"/>
      <c r="C232" s="355"/>
      <c r="D232" s="355"/>
      <c r="E232" s="354"/>
      <c r="F232" s="354"/>
      <c r="G232" s="333"/>
      <c r="H232" s="350"/>
      <c r="I232" s="350"/>
      <c r="J232" s="350"/>
      <c r="K232" s="350"/>
      <c r="L232" s="350"/>
      <c r="M232" s="355"/>
      <c r="N232" s="355"/>
      <c r="O232" s="354"/>
      <c r="P232" s="354"/>
      <c r="Q232" s="355"/>
      <c r="R232" s="350"/>
      <c r="S232" s="350"/>
      <c r="T232" s="350"/>
      <c r="U232" s="351"/>
      <c r="V232" s="351"/>
      <c r="W232" s="351"/>
      <c r="X232" s="351"/>
      <c r="Y232" s="351"/>
      <c r="Z232" s="351"/>
    </row>
    <row r="233">
      <c r="A233" s="350"/>
      <c r="B233" s="350"/>
      <c r="C233" s="355"/>
      <c r="D233" s="355"/>
      <c r="E233" s="354"/>
      <c r="F233" s="354"/>
      <c r="G233" s="333"/>
      <c r="H233" s="350"/>
      <c r="I233" s="350"/>
      <c r="J233" s="350"/>
      <c r="K233" s="350"/>
      <c r="L233" s="350"/>
      <c r="M233" s="355"/>
      <c r="N233" s="355"/>
      <c r="O233" s="354"/>
      <c r="P233" s="354"/>
      <c r="Q233" s="355"/>
      <c r="R233" s="350"/>
      <c r="S233" s="350"/>
      <c r="T233" s="350"/>
      <c r="U233" s="351"/>
      <c r="V233" s="351"/>
      <c r="W233" s="351"/>
      <c r="X233" s="351"/>
      <c r="Y233" s="351"/>
      <c r="Z233" s="351"/>
    </row>
    <row r="234">
      <c r="A234" s="350"/>
      <c r="B234" s="350"/>
      <c r="C234" s="355"/>
      <c r="D234" s="355"/>
      <c r="E234" s="354"/>
      <c r="F234" s="354"/>
      <c r="G234" s="333"/>
      <c r="H234" s="350"/>
      <c r="I234" s="350"/>
      <c r="J234" s="350"/>
      <c r="K234" s="350"/>
      <c r="L234" s="350"/>
      <c r="M234" s="355"/>
      <c r="N234" s="355"/>
      <c r="O234" s="354"/>
      <c r="P234" s="354"/>
      <c r="Q234" s="355"/>
      <c r="R234" s="350"/>
      <c r="S234" s="350"/>
      <c r="T234" s="350"/>
      <c r="U234" s="351"/>
      <c r="V234" s="351"/>
      <c r="W234" s="351"/>
      <c r="X234" s="351"/>
      <c r="Y234" s="351"/>
      <c r="Z234" s="351"/>
    </row>
    <row r="235">
      <c r="A235" s="350"/>
      <c r="B235" s="350"/>
      <c r="C235" s="355"/>
      <c r="D235" s="355"/>
      <c r="E235" s="354"/>
      <c r="F235" s="354"/>
      <c r="G235" s="333"/>
      <c r="H235" s="350"/>
      <c r="I235" s="350"/>
      <c r="J235" s="350"/>
      <c r="K235" s="350"/>
      <c r="L235" s="350"/>
      <c r="M235" s="355"/>
      <c r="N235" s="355"/>
      <c r="O235" s="354"/>
      <c r="P235" s="354"/>
      <c r="Q235" s="355"/>
      <c r="R235" s="350"/>
      <c r="S235" s="350"/>
      <c r="T235" s="350"/>
      <c r="U235" s="351"/>
      <c r="V235" s="351"/>
      <c r="W235" s="351"/>
      <c r="X235" s="351"/>
      <c r="Y235" s="351"/>
      <c r="Z235" s="351"/>
    </row>
    <row r="236">
      <c r="A236" s="350"/>
      <c r="B236" s="350"/>
      <c r="C236" s="355"/>
      <c r="D236" s="355"/>
      <c r="E236" s="354"/>
      <c r="F236" s="354"/>
      <c r="G236" s="333"/>
      <c r="H236" s="350"/>
      <c r="I236" s="350"/>
      <c r="J236" s="350"/>
      <c r="K236" s="350"/>
      <c r="L236" s="350"/>
      <c r="M236" s="355"/>
      <c r="N236" s="355"/>
      <c r="O236" s="354"/>
      <c r="P236" s="354"/>
      <c r="Q236" s="355"/>
      <c r="R236" s="350"/>
      <c r="S236" s="350"/>
      <c r="T236" s="350"/>
      <c r="U236" s="351"/>
      <c r="V236" s="351"/>
      <c r="W236" s="351"/>
      <c r="X236" s="351"/>
      <c r="Y236" s="351"/>
      <c r="Z236" s="351"/>
    </row>
    <row r="237">
      <c r="A237" s="350"/>
      <c r="B237" s="350"/>
      <c r="C237" s="355"/>
      <c r="D237" s="355"/>
      <c r="E237" s="354"/>
      <c r="F237" s="354"/>
      <c r="G237" s="333"/>
      <c r="H237" s="350"/>
      <c r="I237" s="350"/>
      <c r="J237" s="350"/>
      <c r="K237" s="350"/>
      <c r="L237" s="350"/>
      <c r="M237" s="355"/>
      <c r="N237" s="355"/>
      <c r="O237" s="354"/>
      <c r="P237" s="354"/>
      <c r="Q237" s="355"/>
      <c r="R237" s="350"/>
      <c r="S237" s="350"/>
      <c r="T237" s="350"/>
      <c r="U237" s="351"/>
      <c r="V237" s="351"/>
      <c r="W237" s="351"/>
      <c r="X237" s="351"/>
      <c r="Y237" s="351"/>
      <c r="Z237" s="351"/>
    </row>
    <row r="238">
      <c r="A238" s="350"/>
      <c r="B238" s="350"/>
      <c r="C238" s="355"/>
      <c r="D238" s="355"/>
      <c r="E238" s="354"/>
      <c r="F238" s="354"/>
      <c r="G238" s="333"/>
      <c r="H238" s="350"/>
      <c r="I238" s="350"/>
      <c r="J238" s="350"/>
      <c r="K238" s="350"/>
      <c r="L238" s="350"/>
      <c r="M238" s="355"/>
      <c r="N238" s="355"/>
      <c r="O238" s="354"/>
      <c r="P238" s="354"/>
      <c r="Q238" s="355"/>
      <c r="R238" s="350"/>
      <c r="S238" s="350"/>
      <c r="T238" s="350"/>
      <c r="U238" s="351"/>
      <c r="V238" s="351"/>
      <c r="W238" s="351"/>
      <c r="X238" s="351"/>
      <c r="Y238" s="351"/>
      <c r="Z238" s="351"/>
    </row>
    <row r="239">
      <c r="A239" s="350"/>
      <c r="B239" s="350"/>
      <c r="C239" s="355"/>
      <c r="D239" s="355"/>
      <c r="E239" s="354"/>
      <c r="F239" s="354"/>
      <c r="G239" s="333"/>
      <c r="H239" s="350"/>
      <c r="I239" s="350"/>
      <c r="J239" s="350"/>
      <c r="K239" s="350"/>
      <c r="L239" s="350"/>
      <c r="M239" s="355"/>
      <c r="N239" s="355"/>
      <c r="O239" s="354"/>
      <c r="P239" s="354"/>
      <c r="Q239" s="355"/>
      <c r="R239" s="350"/>
      <c r="S239" s="350"/>
      <c r="T239" s="350"/>
      <c r="U239" s="351"/>
      <c r="V239" s="351"/>
      <c r="W239" s="351"/>
      <c r="X239" s="351"/>
      <c r="Y239" s="351"/>
      <c r="Z239" s="351"/>
    </row>
    <row r="240">
      <c r="A240" s="350"/>
      <c r="B240" s="350"/>
      <c r="C240" s="355"/>
      <c r="D240" s="355"/>
      <c r="E240" s="354"/>
      <c r="F240" s="354"/>
      <c r="G240" s="333"/>
      <c r="H240" s="350"/>
      <c r="I240" s="350"/>
      <c r="J240" s="350"/>
      <c r="K240" s="350"/>
      <c r="L240" s="350"/>
      <c r="M240" s="355"/>
      <c r="N240" s="355"/>
      <c r="O240" s="354"/>
      <c r="P240" s="354"/>
      <c r="Q240" s="355"/>
      <c r="R240" s="350"/>
      <c r="S240" s="350"/>
      <c r="T240" s="350"/>
      <c r="U240" s="351"/>
      <c r="V240" s="351"/>
      <c r="W240" s="351"/>
      <c r="X240" s="351"/>
      <c r="Y240" s="351"/>
      <c r="Z240" s="351"/>
    </row>
    <row r="241">
      <c r="A241" s="350"/>
      <c r="B241" s="350"/>
      <c r="C241" s="355"/>
      <c r="D241" s="355"/>
      <c r="E241" s="354"/>
      <c r="F241" s="354"/>
      <c r="G241" s="333"/>
      <c r="H241" s="350"/>
      <c r="I241" s="350"/>
      <c r="J241" s="350"/>
      <c r="K241" s="350"/>
      <c r="L241" s="350"/>
      <c r="M241" s="355"/>
      <c r="N241" s="355"/>
      <c r="O241" s="354"/>
      <c r="P241" s="354"/>
      <c r="Q241" s="355"/>
      <c r="R241" s="350"/>
      <c r="S241" s="350"/>
      <c r="T241" s="350"/>
      <c r="U241" s="351"/>
      <c r="V241" s="351"/>
      <c r="W241" s="351"/>
      <c r="X241" s="351"/>
      <c r="Y241" s="351"/>
      <c r="Z241" s="351"/>
    </row>
    <row r="242">
      <c r="A242" s="350"/>
      <c r="B242" s="350"/>
      <c r="C242" s="355"/>
      <c r="D242" s="355"/>
      <c r="E242" s="354"/>
      <c r="F242" s="354"/>
      <c r="G242" s="333"/>
      <c r="H242" s="350"/>
      <c r="I242" s="350"/>
      <c r="J242" s="350"/>
      <c r="K242" s="350"/>
      <c r="L242" s="350"/>
      <c r="M242" s="355"/>
      <c r="N242" s="355"/>
      <c r="O242" s="354"/>
      <c r="P242" s="354"/>
      <c r="Q242" s="355"/>
      <c r="R242" s="350"/>
      <c r="S242" s="350"/>
      <c r="T242" s="350"/>
      <c r="U242" s="351"/>
      <c r="V242" s="351"/>
      <c r="W242" s="351"/>
      <c r="X242" s="351"/>
      <c r="Y242" s="351"/>
      <c r="Z242" s="351"/>
    </row>
    <row r="243">
      <c r="A243" s="350"/>
      <c r="B243" s="350"/>
      <c r="C243" s="355"/>
      <c r="D243" s="355"/>
      <c r="E243" s="354"/>
      <c r="F243" s="354"/>
      <c r="G243" s="333"/>
      <c r="H243" s="350"/>
      <c r="I243" s="350"/>
      <c r="J243" s="350"/>
      <c r="K243" s="350"/>
      <c r="L243" s="350"/>
      <c r="M243" s="355"/>
      <c r="N243" s="355"/>
      <c r="O243" s="354"/>
      <c r="P243" s="354"/>
      <c r="Q243" s="355"/>
      <c r="R243" s="350"/>
      <c r="S243" s="350"/>
      <c r="T243" s="350"/>
      <c r="U243" s="351"/>
      <c r="V243" s="351"/>
      <c r="W243" s="351"/>
      <c r="X243" s="351"/>
      <c r="Y243" s="351"/>
      <c r="Z243" s="351"/>
    </row>
    <row r="244">
      <c r="A244" s="350"/>
      <c r="B244" s="350"/>
      <c r="C244" s="355"/>
      <c r="D244" s="355"/>
      <c r="E244" s="354"/>
      <c r="F244" s="354"/>
      <c r="G244" s="333"/>
      <c r="H244" s="350"/>
      <c r="I244" s="350"/>
      <c r="J244" s="350"/>
      <c r="K244" s="350"/>
      <c r="L244" s="350"/>
      <c r="M244" s="355"/>
      <c r="N244" s="355"/>
      <c r="O244" s="354"/>
      <c r="P244" s="354"/>
      <c r="Q244" s="355"/>
      <c r="R244" s="350"/>
      <c r="S244" s="350"/>
      <c r="T244" s="350"/>
      <c r="U244" s="351"/>
      <c r="V244" s="351"/>
      <c r="W244" s="351"/>
      <c r="X244" s="351"/>
      <c r="Y244" s="351"/>
      <c r="Z244" s="351"/>
    </row>
    <row r="245">
      <c r="A245" s="350"/>
      <c r="B245" s="350"/>
      <c r="C245" s="355"/>
      <c r="D245" s="355"/>
      <c r="E245" s="354"/>
      <c r="F245" s="354"/>
      <c r="G245" s="333"/>
      <c r="H245" s="350"/>
      <c r="I245" s="350"/>
      <c r="J245" s="350"/>
      <c r="K245" s="350"/>
      <c r="L245" s="350"/>
      <c r="M245" s="355"/>
      <c r="N245" s="355"/>
      <c r="O245" s="354"/>
      <c r="P245" s="354"/>
      <c r="Q245" s="355"/>
      <c r="R245" s="350"/>
      <c r="S245" s="350"/>
      <c r="T245" s="350"/>
      <c r="U245" s="351"/>
      <c r="V245" s="351"/>
      <c r="W245" s="351"/>
      <c r="X245" s="351"/>
      <c r="Y245" s="351"/>
      <c r="Z245" s="351"/>
    </row>
    <row r="246">
      <c r="A246" s="350"/>
      <c r="B246" s="350"/>
      <c r="C246" s="355"/>
      <c r="D246" s="355"/>
      <c r="E246" s="354"/>
      <c r="F246" s="354"/>
      <c r="G246" s="333"/>
      <c r="H246" s="350"/>
      <c r="I246" s="350"/>
      <c r="J246" s="350"/>
      <c r="K246" s="350"/>
      <c r="L246" s="350"/>
      <c r="M246" s="355"/>
      <c r="N246" s="355"/>
      <c r="O246" s="354"/>
      <c r="P246" s="354"/>
      <c r="Q246" s="355"/>
      <c r="R246" s="350"/>
      <c r="S246" s="350"/>
      <c r="T246" s="350"/>
      <c r="U246" s="351"/>
      <c r="V246" s="351"/>
      <c r="W246" s="351"/>
      <c r="X246" s="351"/>
      <c r="Y246" s="351"/>
      <c r="Z246" s="351"/>
    </row>
    <row r="247">
      <c r="A247" s="350"/>
      <c r="B247" s="350"/>
      <c r="C247" s="355"/>
      <c r="D247" s="355"/>
      <c r="E247" s="354"/>
      <c r="F247" s="354"/>
      <c r="G247" s="333"/>
      <c r="H247" s="350"/>
      <c r="I247" s="350"/>
      <c r="J247" s="350"/>
      <c r="K247" s="350"/>
      <c r="L247" s="350"/>
      <c r="M247" s="355"/>
      <c r="N247" s="355"/>
      <c r="O247" s="354"/>
      <c r="P247" s="354"/>
      <c r="Q247" s="355"/>
      <c r="R247" s="350"/>
      <c r="S247" s="350"/>
      <c r="T247" s="350"/>
      <c r="U247" s="351"/>
      <c r="V247" s="351"/>
      <c r="W247" s="351"/>
      <c r="X247" s="351"/>
      <c r="Y247" s="351"/>
      <c r="Z247" s="351"/>
    </row>
    <row r="248">
      <c r="A248" s="350"/>
      <c r="B248" s="350"/>
      <c r="C248" s="355"/>
      <c r="D248" s="355"/>
      <c r="E248" s="354"/>
      <c r="F248" s="354"/>
      <c r="G248" s="333"/>
      <c r="H248" s="350"/>
      <c r="I248" s="350"/>
      <c r="J248" s="350"/>
      <c r="K248" s="350"/>
      <c r="L248" s="350"/>
      <c r="M248" s="355"/>
      <c r="N248" s="355"/>
      <c r="O248" s="354"/>
      <c r="P248" s="354"/>
      <c r="Q248" s="355"/>
      <c r="R248" s="350"/>
      <c r="S248" s="350"/>
      <c r="T248" s="350"/>
      <c r="U248" s="351"/>
      <c r="V248" s="351"/>
      <c r="W248" s="351"/>
      <c r="X248" s="351"/>
      <c r="Y248" s="351"/>
      <c r="Z248" s="351"/>
    </row>
    <row r="249">
      <c r="A249" s="350"/>
      <c r="B249" s="350"/>
      <c r="C249" s="355"/>
      <c r="D249" s="355"/>
      <c r="E249" s="354"/>
      <c r="F249" s="354"/>
      <c r="G249" s="333"/>
      <c r="H249" s="350"/>
      <c r="I249" s="350"/>
      <c r="J249" s="350"/>
      <c r="K249" s="350"/>
      <c r="L249" s="350"/>
      <c r="M249" s="355"/>
      <c r="N249" s="355"/>
      <c r="O249" s="354"/>
      <c r="P249" s="354"/>
      <c r="Q249" s="355"/>
      <c r="R249" s="350"/>
      <c r="S249" s="350"/>
      <c r="T249" s="350"/>
      <c r="U249" s="351"/>
      <c r="V249" s="351"/>
      <c r="W249" s="351"/>
      <c r="X249" s="351"/>
      <c r="Y249" s="351"/>
      <c r="Z249" s="351"/>
    </row>
    <row r="250">
      <c r="A250" s="350"/>
      <c r="B250" s="350"/>
      <c r="C250" s="355"/>
      <c r="D250" s="355"/>
      <c r="E250" s="354"/>
      <c r="F250" s="354"/>
      <c r="G250" s="333"/>
      <c r="H250" s="350"/>
      <c r="I250" s="350"/>
      <c r="J250" s="350"/>
      <c r="K250" s="350"/>
      <c r="L250" s="350"/>
      <c r="M250" s="355"/>
      <c r="N250" s="355"/>
      <c r="O250" s="354"/>
      <c r="P250" s="354"/>
      <c r="Q250" s="355"/>
      <c r="R250" s="350"/>
      <c r="S250" s="350"/>
      <c r="T250" s="350"/>
      <c r="U250" s="351"/>
      <c r="V250" s="351"/>
      <c r="W250" s="351"/>
      <c r="X250" s="351"/>
      <c r="Y250" s="351"/>
      <c r="Z250" s="351"/>
    </row>
    <row r="251">
      <c r="A251" s="350"/>
      <c r="B251" s="350"/>
      <c r="C251" s="355"/>
      <c r="D251" s="355"/>
      <c r="E251" s="354"/>
      <c r="F251" s="354"/>
      <c r="G251" s="333"/>
      <c r="H251" s="350"/>
      <c r="I251" s="350"/>
      <c r="J251" s="350"/>
      <c r="K251" s="350"/>
      <c r="L251" s="350"/>
      <c r="M251" s="355"/>
      <c r="N251" s="355"/>
      <c r="O251" s="354"/>
      <c r="P251" s="354"/>
      <c r="Q251" s="355"/>
      <c r="R251" s="350"/>
      <c r="S251" s="350"/>
      <c r="T251" s="350"/>
      <c r="U251" s="351"/>
      <c r="V251" s="351"/>
      <c r="W251" s="351"/>
      <c r="X251" s="351"/>
      <c r="Y251" s="351"/>
      <c r="Z251" s="351"/>
    </row>
    <row r="252">
      <c r="A252" s="350"/>
      <c r="B252" s="350"/>
      <c r="C252" s="355"/>
      <c r="D252" s="355"/>
      <c r="E252" s="354"/>
      <c r="F252" s="354"/>
      <c r="G252" s="333"/>
      <c r="H252" s="350"/>
      <c r="I252" s="350"/>
      <c r="J252" s="350"/>
      <c r="K252" s="350"/>
      <c r="L252" s="350"/>
      <c r="M252" s="355"/>
      <c r="N252" s="355"/>
      <c r="O252" s="354"/>
      <c r="P252" s="354"/>
      <c r="Q252" s="355"/>
      <c r="R252" s="350"/>
      <c r="S252" s="350"/>
      <c r="T252" s="350"/>
      <c r="U252" s="351"/>
      <c r="V252" s="351"/>
      <c r="W252" s="351"/>
      <c r="X252" s="351"/>
      <c r="Y252" s="351"/>
      <c r="Z252" s="351"/>
    </row>
    <row r="253">
      <c r="A253" s="350"/>
      <c r="B253" s="350"/>
      <c r="C253" s="355"/>
      <c r="D253" s="355"/>
      <c r="E253" s="354"/>
      <c r="F253" s="354"/>
      <c r="G253" s="333"/>
      <c r="H253" s="350"/>
      <c r="I253" s="350"/>
      <c r="J253" s="350"/>
      <c r="K253" s="350"/>
      <c r="L253" s="350"/>
      <c r="M253" s="355"/>
      <c r="N253" s="355"/>
      <c r="O253" s="354"/>
      <c r="P253" s="354"/>
      <c r="Q253" s="355"/>
      <c r="R253" s="350"/>
      <c r="S253" s="350"/>
      <c r="T253" s="350"/>
      <c r="U253" s="351"/>
      <c r="V253" s="351"/>
      <c r="W253" s="351"/>
      <c r="X253" s="351"/>
      <c r="Y253" s="351"/>
      <c r="Z253" s="351"/>
    </row>
    <row r="254">
      <c r="A254" s="350"/>
      <c r="B254" s="350"/>
      <c r="C254" s="355"/>
      <c r="D254" s="355"/>
      <c r="E254" s="354"/>
      <c r="F254" s="354"/>
      <c r="G254" s="333"/>
      <c r="H254" s="350"/>
      <c r="I254" s="350"/>
      <c r="J254" s="350"/>
      <c r="K254" s="350"/>
      <c r="L254" s="350"/>
      <c r="M254" s="355"/>
      <c r="N254" s="355"/>
      <c r="O254" s="354"/>
      <c r="P254" s="354"/>
      <c r="Q254" s="355"/>
      <c r="R254" s="350"/>
      <c r="S254" s="350"/>
      <c r="T254" s="350"/>
      <c r="U254" s="351"/>
      <c r="V254" s="351"/>
      <c r="W254" s="351"/>
      <c r="X254" s="351"/>
      <c r="Y254" s="351"/>
      <c r="Z254" s="351"/>
    </row>
    <row r="255">
      <c r="A255" s="350"/>
      <c r="B255" s="350"/>
      <c r="C255" s="355"/>
      <c r="D255" s="355"/>
      <c r="E255" s="354"/>
      <c r="F255" s="354"/>
      <c r="G255" s="333"/>
      <c r="H255" s="350"/>
      <c r="I255" s="350"/>
      <c r="J255" s="350"/>
      <c r="K255" s="350"/>
      <c r="L255" s="350"/>
      <c r="M255" s="355"/>
      <c r="N255" s="355"/>
      <c r="O255" s="354"/>
      <c r="P255" s="354"/>
      <c r="Q255" s="355"/>
      <c r="R255" s="350"/>
      <c r="S255" s="350"/>
      <c r="T255" s="350"/>
      <c r="U255" s="351"/>
      <c r="V255" s="351"/>
      <c r="W255" s="351"/>
      <c r="X255" s="351"/>
      <c r="Y255" s="351"/>
      <c r="Z255" s="351"/>
    </row>
    <row r="256">
      <c r="A256" s="350"/>
      <c r="B256" s="350"/>
      <c r="C256" s="355"/>
      <c r="D256" s="355"/>
      <c r="E256" s="354"/>
      <c r="F256" s="354"/>
      <c r="G256" s="333"/>
      <c r="H256" s="350"/>
      <c r="I256" s="350"/>
      <c r="J256" s="350"/>
      <c r="K256" s="350"/>
      <c r="L256" s="350"/>
      <c r="M256" s="355"/>
      <c r="N256" s="355"/>
      <c r="O256" s="354"/>
      <c r="P256" s="354"/>
      <c r="Q256" s="355"/>
      <c r="R256" s="350"/>
      <c r="S256" s="350"/>
      <c r="T256" s="350"/>
      <c r="U256" s="351"/>
      <c r="V256" s="351"/>
      <c r="W256" s="351"/>
      <c r="X256" s="351"/>
      <c r="Y256" s="351"/>
      <c r="Z256" s="351"/>
    </row>
    <row r="257">
      <c r="A257" s="350"/>
      <c r="B257" s="350"/>
      <c r="C257" s="355"/>
      <c r="D257" s="355"/>
      <c r="E257" s="354"/>
      <c r="F257" s="354"/>
      <c r="G257" s="355"/>
      <c r="H257" s="350"/>
      <c r="I257" s="350"/>
      <c r="J257" s="350"/>
      <c r="K257" s="350"/>
      <c r="L257" s="350"/>
      <c r="M257" s="355"/>
      <c r="N257" s="355"/>
      <c r="O257" s="354"/>
      <c r="P257" s="354"/>
      <c r="Q257" s="355"/>
      <c r="R257" s="350"/>
      <c r="S257" s="350"/>
      <c r="T257" s="350"/>
      <c r="U257" s="351"/>
      <c r="V257" s="351"/>
      <c r="W257" s="351"/>
      <c r="X257" s="351"/>
      <c r="Y257" s="351"/>
      <c r="Z257" s="351"/>
    </row>
    <row r="258">
      <c r="A258" s="350"/>
      <c r="B258" s="350"/>
      <c r="C258" s="355"/>
      <c r="D258" s="355"/>
      <c r="E258" s="354"/>
      <c r="F258" s="354"/>
      <c r="G258" s="355"/>
      <c r="H258" s="350"/>
      <c r="I258" s="350"/>
      <c r="J258" s="350"/>
      <c r="K258" s="350"/>
      <c r="L258" s="350"/>
      <c r="M258" s="355"/>
      <c r="N258" s="355"/>
      <c r="O258" s="354"/>
      <c r="P258" s="354"/>
      <c r="Q258" s="355"/>
      <c r="R258" s="350"/>
      <c r="S258" s="350"/>
      <c r="T258" s="350"/>
      <c r="U258" s="351"/>
      <c r="V258" s="351"/>
      <c r="W258" s="351"/>
      <c r="X258" s="351"/>
      <c r="Y258" s="351"/>
      <c r="Z258" s="351"/>
    </row>
    <row r="259">
      <c r="A259" s="350"/>
      <c r="B259" s="350"/>
      <c r="C259" s="355"/>
      <c r="D259" s="355"/>
      <c r="E259" s="354"/>
      <c r="F259" s="354"/>
      <c r="G259" s="355"/>
      <c r="H259" s="350"/>
      <c r="I259" s="350"/>
      <c r="J259" s="350"/>
      <c r="K259" s="350"/>
      <c r="L259" s="350"/>
      <c r="M259" s="355"/>
      <c r="N259" s="355"/>
      <c r="O259" s="354"/>
      <c r="P259" s="354"/>
      <c r="Q259" s="355"/>
      <c r="R259" s="350"/>
      <c r="S259" s="350"/>
      <c r="T259" s="350"/>
      <c r="U259" s="351"/>
      <c r="V259" s="351"/>
      <c r="W259" s="351"/>
      <c r="X259" s="351"/>
      <c r="Y259" s="351"/>
      <c r="Z259" s="351"/>
    </row>
    <row r="260">
      <c r="A260" s="350"/>
      <c r="B260" s="350"/>
      <c r="C260" s="355"/>
      <c r="D260" s="355"/>
      <c r="E260" s="354"/>
      <c r="F260" s="354"/>
      <c r="G260" s="355"/>
      <c r="H260" s="350"/>
      <c r="I260" s="350"/>
      <c r="J260" s="350"/>
      <c r="K260" s="350"/>
      <c r="L260" s="350"/>
      <c r="M260" s="355"/>
      <c r="N260" s="355"/>
      <c r="O260" s="354"/>
      <c r="P260" s="354"/>
      <c r="Q260" s="355"/>
      <c r="R260" s="350"/>
      <c r="S260" s="350"/>
      <c r="T260" s="350"/>
      <c r="U260" s="351"/>
      <c r="V260" s="351"/>
      <c r="W260" s="351"/>
      <c r="X260" s="351"/>
      <c r="Y260" s="351"/>
      <c r="Z260" s="351"/>
    </row>
    <row r="261">
      <c r="A261" s="350"/>
      <c r="B261" s="350"/>
      <c r="C261" s="355"/>
      <c r="D261" s="355"/>
      <c r="E261" s="354"/>
      <c r="F261" s="354"/>
      <c r="G261" s="355"/>
      <c r="H261" s="350"/>
      <c r="I261" s="350"/>
      <c r="J261" s="350"/>
      <c r="K261" s="350"/>
      <c r="L261" s="350"/>
      <c r="M261" s="355"/>
      <c r="N261" s="355"/>
      <c r="O261" s="354"/>
      <c r="P261" s="354"/>
      <c r="Q261" s="355"/>
      <c r="R261" s="350"/>
      <c r="S261" s="350"/>
      <c r="T261" s="350"/>
      <c r="U261" s="351"/>
      <c r="V261" s="351"/>
      <c r="W261" s="351"/>
      <c r="X261" s="351"/>
      <c r="Y261" s="351"/>
      <c r="Z261" s="351"/>
    </row>
    <row r="262">
      <c r="A262" s="350"/>
      <c r="B262" s="350"/>
      <c r="C262" s="355"/>
      <c r="D262" s="355"/>
      <c r="E262" s="354"/>
      <c r="F262" s="354"/>
      <c r="G262" s="355"/>
      <c r="H262" s="350"/>
      <c r="I262" s="350"/>
      <c r="J262" s="350"/>
      <c r="K262" s="350"/>
      <c r="L262" s="350"/>
      <c r="M262" s="355"/>
      <c r="N262" s="355"/>
      <c r="O262" s="354"/>
      <c r="P262" s="354"/>
      <c r="Q262" s="355"/>
      <c r="R262" s="350"/>
      <c r="S262" s="350"/>
      <c r="T262" s="350"/>
      <c r="U262" s="351"/>
      <c r="V262" s="351"/>
      <c r="W262" s="351"/>
      <c r="X262" s="351"/>
      <c r="Y262" s="351"/>
      <c r="Z262" s="351"/>
    </row>
    <row r="263">
      <c r="A263" s="350"/>
      <c r="B263" s="350"/>
      <c r="C263" s="355"/>
      <c r="D263" s="355"/>
      <c r="E263" s="354"/>
      <c r="F263" s="354"/>
      <c r="G263" s="355"/>
      <c r="H263" s="350"/>
      <c r="I263" s="350"/>
      <c r="J263" s="350"/>
      <c r="K263" s="350"/>
      <c r="L263" s="350"/>
      <c r="M263" s="355"/>
      <c r="N263" s="355"/>
      <c r="O263" s="354"/>
      <c r="P263" s="354"/>
      <c r="Q263" s="355"/>
      <c r="R263" s="350"/>
      <c r="S263" s="350"/>
      <c r="T263" s="350"/>
      <c r="U263" s="351"/>
      <c r="V263" s="351"/>
      <c r="W263" s="351"/>
      <c r="X263" s="351"/>
      <c r="Y263" s="351"/>
      <c r="Z263" s="351"/>
    </row>
    <row r="264">
      <c r="A264" s="350"/>
      <c r="B264" s="350"/>
      <c r="C264" s="355"/>
      <c r="D264" s="355"/>
      <c r="E264" s="354"/>
      <c r="F264" s="354"/>
      <c r="G264" s="355"/>
      <c r="H264" s="350"/>
      <c r="I264" s="350"/>
      <c r="J264" s="350"/>
      <c r="K264" s="350"/>
      <c r="L264" s="350"/>
      <c r="M264" s="355"/>
      <c r="N264" s="355"/>
      <c r="O264" s="354"/>
      <c r="P264" s="354"/>
      <c r="Q264" s="355"/>
      <c r="R264" s="350"/>
      <c r="S264" s="350"/>
      <c r="T264" s="350"/>
      <c r="U264" s="351"/>
      <c r="V264" s="351"/>
      <c r="W264" s="351"/>
      <c r="X264" s="351"/>
      <c r="Y264" s="351"/>
      <c r="Z264" s="351"/>
    </row>
    <row r="265">
      <c r="A265" s="350"/>
      <c r="B265" s="350"/>
      <c r="C265" s="355"/>
      <c r="D265" s="355"/>
      <c r="E265" s="354"/>
      <c r="F265" s="354"/>
      <c r="G265" s="355"/>
      <c r="H265" s="350"/>
      <c r="I265" s="350"/>
      <c r="J265" s="350"/>
      <c r="K265" s="350"/>
      <c r="L265" s="350"/>
      <c r="M265" s="355"/>
      <c r="N265" s="355"/>
      <c r="O265" s="354"/>
      <c r="P265" s="354"/>
      <c r="Q265" s="355"/>
      <c r="R265" s="350"/>
      <c r="S265" s="350"/>
      <c r="T265" s="350"/>
      <c r="U265" s="351"/>
      <c r="V265" s="351"/>
      <c r="W265" s="351"/>
      <c r="X265" s="351"/>
      <c r="Y265" s="351"/>
      <c r="Z265" s="351"/>
    </row>
    <row r="266">
      <c r="A266" s="350"/>
      <c r="B266" s="350"/>
      <c r="C266" s="355"/>
      <c r="D266" s="355"/>
      <c r="E266" s="354"/>
      <c r="F266" s="354"/>
      <c r="G266" s="355"/>
      <c r="H266" s="350"/>
      <c r="I266" s="350"/>
      <c r="J266" s="350"/>
      <c r="K266" s="350"/>
      <c r="L266" s="350"/>
      <c r="M266" s="355"/>
      <c r="N266" s="355"/>
      <c r="O266" s="354"/>
      <c r="P266" s="354"/>
      <c r="Q266" s="355"/>
      <c r="R266" s="350"/>
      <c r="S266" s="350"/>
      <c r="T266" s="350"/>
      <c r="U266" s="351"/>
      <c r="V266" s="351"/>
      <c r="W266" s="351"/>
      <c r="X266" s="351"/>
      <c r="Y266" s="351"/>
      <c r="Z266" s="351"/>
    </row>
    <row r="267">
      <c r="A267" s="350"/>
      <c r="B267" s="350"/>
      <c r="C267" s="355"/>
      <c r="D267" s="355"/>
      <c r="E267" s="354"/>
      <c r="F267" s="354"/>
      <c r="G267" s="355"/>
      <c r="H267" s="350"/>
      <c r="I267" s="350"/>
      <c r="J267" s="350"/>
      <c r="K267" s="350"/>
      <c r="L267" s="350"/>
      <c r="M267" s="355"/>
      <c r="N267" s="355"/>
      <c r="O267" s="354"/>
      <c r="P267" s="354"/>
      <c r="Q267" s="355"/>
      <c r="R267" s="350"/>
      <c r="S267" s="350"/>
      <c r="T267" s="350"/>
      <c r="U267" s="351"/>
      <c r="V267" s="351"/>
      <c r="W267" s="351"/>
      <c r="X267" s="351"/>
      <c r="Y267" s="351"/>
      <c r="Z267" s="351"/>
    </row>
    <row r="268">
      <c r="A268" s="350"/>
      <c r="B268" s="350"/>
      <c r="C268" s="355"/>
      <c r="D268" s="355"/>
      <c r="E268" s="354"/>
      <c r="F268" s="354"/>
      <c r="G268" s="355"/>
      <c r="H268" s="350"/>
      <c r="I268" s="350"/>
      <c r="J268" s="350"/>
      <c r="K268" s="350"/>
      <c r="L268" s="350"/>
      <c r="M268" s="355"/>
      <c r="N268" s="355"/>
      <c r="O268" s="354"/>
      <c r="P268" s="354"/>
      <c r="Q268" s="355"/>
      <c r="R268" s="350"/>
      <c r="S268" s="350"/>
      <c r="T268" s="350"/>
      <c r="U268" s="351"/>
      <c r="V268" s="351"/>
      <c r="W268" s="351"/>
      <c r="X268" s="351"/>
      <c r="Y268" s="351"/>
      <c r="Z268" s="351"/>
    </row>
    <row r="269">
      <c r="A269" s="350"/>
      <c r="B269" s="350"/>
      <c r="C269" s="355"/>
      <c r="D269" s="355"/>
      <c r="E269" s="354"/>
      <c r="F269" s="354"/>
      <c r="G269" s="355"/>
      <c r="H269" s="350"/>
      <c r="I269" s="350"/>
      <c r="J269" s="350"/>
      <c r="K269" s="350"/>
      <c r="L269" s="350"/>
      <c r="M269" s="355"/>
      <c r="N269" s="355"/>
      <c r="O269" s="354"/>
      <c r="P269" s="354"/>
      <c r="Q269" s="355"/>
      <c r="R269" s="350"/>
      <c r="S269" s="350"/>
      <c r="T269" s="350"/>
      <c r="U269" s="351"/>
      <c r="V269" s="351"/>
      <c r="W269" s="351"/>
      <c r="X269" s="351"/>
      <c r="Y269" s="351"/>
      <c r="Z269" s="351"/>
    </row>
    <row r="270">
      <c r="A270" s="350"/>
      <c r="B270" s="350"/>
      <c r="C270" s="355"/>
      <c r="D270" s="355"/>
      <c r="E270" s="354"/>
      <c r="F270" s="354"/>
      <c r="G270" s="355"/>
      <c r="H270" s="350"/>
      <c r="I270" s="350"/>
      <c r="J270" s="350"/>
      <c r="K270" s="350"/>
      <c r="L270" s="350"/>
      <c r="M270" s="355"/>
      <c r="N270" s="355"/>
      <c r="O270" s="354"/>
      <c r="P270" s="354"/>
      <c r="Q270" s="355"/>
      <c r="R270" s="350"/>
      <c r="S270" s="350"/>
      <c r="T270" s="350"/>
      <c r="U270" s="351"/>
      <c r="V270" s="351"/>
      <c r="W270" s="351"/>
      <c r="X270" s="351"/>
      <c r="Y270" s="351"/>
      <c r="Z270" s="351"/>
    </row>
    <row r="271">
      <c r="A271" s="350"/>
      <c r="B271" s="350"/>
      <c r="C271" s="355"/>
      <c r="D271" s="355"/>
      <c r="E271" s="354"/>
      <c r="F271" s="354"/>
      <c r="G271" s="355"/>
      <c r="H271" s="350"/>
      <c r="I271" s="350"/>
      <c r="J271" s="350"/>
      <c r="K271" s="350"/>
      <c r="L271" s="350"/>
      <c r="M271" s="355"/>
      <c r="N271" s="355"/>
      <c r="O271" s="354"/>
      <c r="P271" s="354"/>
      <c r="Q271" s="355"/>
      <c r="R271" s="350"/>
      <c r="S271" s="350"/>
      <c r="T271" s="350"/>
      <c r="U271" s="351"/>
      <c r="V271" s="351"/>
      <c r="W271" s="351"/>
      <c r="X271" s="351"/>
      <c r="Y271" s="351"/>
      <c r="Z271" s="351"/>
    </row>
    <row r="272">
      <c r="A272" s="350"/>
      <c r="B272" s="350"/>
      <c r="C272" s="355"/>
      <c r="D272" s="355"/>
      <c r="E272" s="354"/>
      <c r="F272" s="354"/>
      <c r="G272" s="355"/>
      <c r="H272" s="350"/>
      <c r="I272" s="350"/>
      <c r="J272" s="350"/>
      <c r="K272" s="350"/>
      <c r="L272" s="350"/>
      <c r="M272" s="355"/>
      <c r="N272" s="355"/>
      <c r="O272" s="354"/>
      <c r="P272" s="354"/>
      <c r="Q272" s="355"/>
      <c r="R272" s="350"/>
      <c r="S272" s="350"/>
      <c r="T272" s="350"/>
      <c r="U272" s="351"/>
      <c r="V272" s="351"/>
      <c r="W272" s="351"/>
      <c r="X272" s="351"/>
      <c r="Y272" s="351"/>
      <c r="Z272" s="351"/>
    </row>
    <row r="273">
      <c r="A273" s="350"/>
      <c r="B273" s="350"/>
      <c r="C273" s="355"/>
      <c r="D273" s="355"/>
      <c r="E273" s="354"/>
      <c r="F273" s="354"/>
      <c r="G273" s="355"/>
      <c r="H273" s="350"/>
      <c r="I273" s="350"/>
      <c r="J273" s="350"/>
      <c r="K273" s="350"/>
      <c r="L273" s="350"/>
      <c r="M273" s="355"/>
      <c r="N273" s="355"/>
      <c r="O273" s="354"/>
      <c r="P273" s="354"/>
      <c r="Q273" s="355"/>
      <c r="R273" s="350"/>
      <c r="S273" s="350"/>
      <c r="T273" s="350"/>
      <c r="U273" s="351"/>
      <c r="V273" s="351"/>
      <c r="W273" s="351"/>
      <c r="X273" s="351"/>
      <c r="Y273" s="351"/>
      <c r="Z273" s="351"/>
    </row>
    <row r="274">
      <c r="A274" s="350"/>
      <c r="B274" s="350"/>
      <c r="C274" s="355"/>
      <c r="D274" s="355"/>
      <c r="E274" s="354"/>
      <c r="F274" s="354"/>
      <c r="G274" s="355"/>
      <c r="H274" s="350"/>
      <c r="I274" s="350"/>
      <c r="J274" s="350"/>
      <c r="K274" s="350"/>
      <c r="L274" s="350"/>
      <c r="M274" s="355"/>
      <c r="N274" s="355"/>
      <c r="O274" s="354"/>
      <c r="P274" s="354"/>
      <c r="Q274" s="355"/>
      <c r="R274" s="350"/>
      <c r="S274" s="350"/>
      <c r="T274" s="350"/>
      <c r="U274" s="351"/>
      <c r="V274" s="351"/>
      <c r="W274" s="351"/>
      <c r="X274" s="351"/>
      <c r="Y274" s="351"/>
      <c r="Z274" s="351"/>
    </row>
    <row r="275">
      <c r="A275" s="350"/>
      <c r="B275" s="350"/>
      <c r="C275" s="355"/>
      <c r="D275" s="355"/>
      <c r="E275" s="354"/>
      <c r="F275" s="354"/>
      <c r="G275" s="355"/>
      <c r="H275" s="350"/>
      <c r="I275" s="350"/>
      <c r="J275" s="350"/>
      <c r="K275" s="350"/>
      <c r="L275" s="350"/>
      <c r="M275" s="355"/>
      <c r="N275" s="355"/>
      <c r="O275" s="354"/>
      <c r="P275" s="354"/>
      <c r="Q275" s="355"/>
      <c r="R275" s="350"/>
      <c r="S275" s="350"/>
      <c r="T275" s="350"/>
      <c r="U275" s="351"/>
      <c r="V275" s="351"/>
      <c r="W275" s="351"/>
      <c r="X275" s="351"/>
      <c r="Y275" s="351"/>
      <c r="Z275" s="351"/>
    </row>
    <row r="276">
      <c r="A276" s="350"/>
      <c r="B276" s="350"/>
      <c r="C276" s="355"/>
      <c r="D276" s="355"/>
      <c r="E276" s="354"/>
      <c r="F276" s="354"/>
      <c r="G276" s="355"/>
      <c r="H276" s="350"/>
      <c r="I276" s="350"/>
      <c r="J276" s="350"/>
      <c r="K276" s="350"/>
      <c r="L276" s="350"/>
      <c r="M276" s="355"/>
      <c r="N276" s="355"/>
      <c r="O276" s="354"/>
      <c r="P276" s="354"/>
      <c r="Q276" s="355"/>
      <c r="R276" s="350"/>
      <c r="S276" s="350"/>
      <c r="T276" s="350"/>
      <c r="U276" s="351"/>
      <c r="V276" s="351"/>
      <c r="W276" s="351"/>
      <c r="X276" s="351"/>
      <c r="Y276" s="351"/>
      <c r="Z276" s="351"/>
    </row>
    <row r="277">
      <c r="A277" s="350"/>
      <c r="B277" s="350"/>
      <c r="C277" s="355"/>
      <c r="D277" s="355"/>
      <c r="E277" s="354"/>
      <c r="F277" s="354"/>
      <c r="G277" s="355"/>
      <c r="H277" s="350"/>
      <c r="I277" s="350"/>
      <c r="J277" s="350"/>
      <c r="K277" s="350"/>
      <c r="L277" s="350"/>
      <c r="M277" s="355"/>
      <c r="N277" s="355"/>
      <c r="O277" s="354"/>
      <c r="P277" s="354"/>
      <c r="Q277" s="355"/>
      <c r="R277" s="350"/>
      <c r="S277" s="350"/>
      <c r="T277" s="350"/>
      <c r="U277" s="351"/>
      <c r="V277" s="351"/>
      <c r="W277" s="351"/>
      <c r="X277" s="351"/>
      <c r="Y277" s="351"/>
      <c r="Z277" s="351"/>
    </row>
    <row r="278">
      <c r="A278" s="350"/>
      <c r="B278" s="350"/>
      <c r="C278" s="355"/>
      <c r="D278" s="355"/>
      <c r="E278" s="354"/>
      <c r="F278" s="354"/>
      <c r="G278" s="355"/>
      <c r="H278" s="350"/>
      <c r="I278" s="350"/>
      <c r="J278" s="350"/>
      <c r="K278" s="350"/>
      <c r="L278" s="350"/>
      <c r="M278" s="355"/>
      <c r="N278" s="355"/>
      <c r="O278" s="354"/>
      <c r="P278" s="354"/>
      <c r="Q278" s="355"/>
      <c r="R278" s="350"/>
      <c r="S278" s="350"/>
      <c r="T278" s="350"/>
      <c r="U278" s="351"/>
      <c r="V278" s="351"/>
      <c r="W278" s="351"/>
      <c r="X278" s="351"/>
      <c r="Y278" s="351"/>
      <c r="Z278" s="351"/>
    </row>
    <row r="279">
      <c r="A279" s="350"/>
      <c r="B279" s="350"/>
      <c r="C279" s="355"/>
      <c r="D279" s="355"/>
      <c r="E279" s="354"/>
      <c r="F279" s="354"/>
      <c r="G279" s="355"/>
      <c r="H279" s="350"/>
      <c r="I279" s="350"/>
      <c r="J279" s="350"/>
      <c r="K279" s="350"/>
      <c r="L279" s="350"/>
      <c r="M279" s="355"/>
      <c r="N279" s="355"/>
      <c r="O279" s="354"/>
      <c r="P279" s="354"/>
      <c r="Q279" s="355"/>
      <c r="R279" s="350"/>
      <c r="S279" s="350"/>
      <c r="T279" s="350"/>
      <c r="U279" s="351"/>
      <c r="V279" s="351"/>
      <c r="W279" s="351"/>
      <c r="X279" s="351"/>
      <c r="Y279" s="351"/>
      <c r="Z279" s="351"/>
    </row>
    <row r="280">
      <c r="A280" s="350"/>
      <c r="B280" s="350"/>
      <c r="C280" s="355"/>
      <c r="D280" s="355"/>
      <c r="E280" s="354"/>
      <c r="F280" s="354"/>
      <c r="G280" s="355"/>
      <c r="H280" s="350"/>
      <c r="I280" s="350"/>
      <c r="J280" s="350"/>
      <c r="K280" s="350"/>
      <c r="L280" s="350"/>
      <c r="M280" s="355"/>
      <c r="N280" s="355"/>
      <c r="O280" s="354"/>
      <c r="P280" s="354"/>
      <c r="Q280" s="355"/>
      <c r="R280" s="350"/>
      <c r="S280" s="350"/>
      <c r="T280" s="350"/>
      <c r="U280" s="351"/>
      <c r="V280" s="351"/>
      <c r="W280" s="351"/>
      <c r="X280" s="351"/>
      <c r="Y280" s="351"/>
      <c r="Z280" s="351"/>
    </row>
    <row r="281">
      <c r="A281" s="350"/>
      <c r="B281" s="350"/>
      <c r="C281" s="355"/>
      <c r="D281" s="355"/>
      <c r="E281" s="354"/>
      <c r="F281" s="354"/>
      <c r="G281" s="355"/>
      <c r="H281" s="350"/>
      <c r="I281" s="350"/>
      <c r="J281" s="350"/>
      <c r="K281" s="350"/>
      <c r="L281" s="350"/>
      <c r="M281" s="355"/>
      <c r="N281" s="355"/>
      <c r="O281" s="354"/>
      <c r="P281" s="354"/>
      <c r="Q281" s="355"/>
      <c r="R281" s="350"/>
      <c r="S281" s="350"/>
      <c r="T281" s="350"/>
      <c r="U281" s="351"/>
      <c r="V281" s="351"/>
      <c r="W281" s="351"/>
      <c r="X281" s="351"/>
      <c r="Y281" s="351"/>
      <c r="Z281" s="351"/>
    </row>
    <row r="282">
      <c r="A282" s="350"/>
      <c r="B282" s="350"/>
      <c r="C282" s="355"/>
      <c r="D282" s="355"/>
      <c r="E282" s="354"/>
      <c r="F282" s="354"/>
      <c r="G282" s="355"/>
      <c r="H282" s="350"/>
      <c r="I282" s="350"/>
      <c r="J282" s="350"/>
      <c r="K282" s="350"/>
      <c r="L282" s="350"/>
      <c r="M282" s="355"/>
      <c r="N282" s="355"/>
      <c r="O282" s="354"/>
      <c r="P282" s="354"/>
      <c r="Q282" s="355"/>
      <c r="R282" s="350"/>
      <c r="S282" s="350"/>
      <c r="T282" s="350"/>
      <c r="U282" s="351"/>
      <c r="V282" s="351"/>
      <c r="W282" s="351"/>
      <c r="X282" s="351"/>
      <c r="Y282" s="351"/>
      <c r="Z282" s="351"/>
    </row>
    <row r="283">
      <c r="A283" s="350"/>
      <c r="B283" s="350"/>
      <c r="C283" s="355"/>
      <c r="D283" s="355"/>
      <c r="E283" s="354"/>
      <c r="F283" s="354"/>
      <c r="G283" s="355"/>
      <c r="H283" s="350"/>
      <c r="I283" s="350"/>
      <c r="J283" s="350"/>
      <c r="K283" s="350"/>
      <c r="L283" s="350"/>
      <c r="M283" s="355"/>
      <c r="N283" s="355"/>
      <c r="O283" s="354"/>
      <c r="P283" s="354"/>
      <c r="Q283" s="355"/>
      <c r="R283" s="350"/>
      <c r="S283" s="350"/>
      <c r="T283" s="350"/>
      <c r="U283" s="351"/>
      <c r="V283" s="351"/>
      <c r="W283" s="351"/>
      <c r="X283" s="351"/>
      <c r="Y283" s="351"/>
      <c r="Z283" s="351"/>
    </row>
    <row r="284">
      <c r="A284" s="350"/>
      <c r="B284" s="350"/>
      <c r="C284" s="355"/>
      <c r="D284" s="355"/>
      <c r="E284" s="354"/>
      <c r="F284" s="354"/>
      <c r="G284" s="355"/>
      <c r="H284" s="350"/>
      <c r="I284" s="350"/>
      <c r="J284" s="350"/>
      <c r="K284" s="350"/>
      <c r="L284" s="350"/>
      <c r="M284" s="355"/>
      <c r="N284" s="355"/>
      <c r="O284" s="354"/>
      <c r="P284" s="354"/>
      <c r="Q284" s="355"/>
      <c r="R284" s="350"/>
      <c r="S284" s="350"/>
      <c r="T284" s="350"/>
      <c r="U284" s="351"/>
      <c r="V284" s="351"/>
      <c r="W284" s="351"/>
      <c r="X284" s="351"/>
      <c r="Y284" s="351"/>
      <c r="Z284" s="351"/>
    </row>
    <row r="285">
      <c r="A285" s="350"/>
      <c r="B285" s="350"/>
      <c r="C285" s="355"/>
      <c r="D285" s="355"/>
      <c r="E285" s="354"/>
      <c r="F285" s="354"/>
      <c r="G285" s="355"/>
      <c r="H285" s="350"/>
      <c r="I285" s="350"/>
      <c r="J285" s="350"/>
      <c r="K285" s="350"/>
      <c r="L285" s="350"/>
      <c r="M285" s="355"/>
      <c r="N285" s="355"/>
      <c r="O285" s="354"/>
      <c r="P285" s="354"/>
      <c r="Q285" s="355"/>
      <c r="R285" s="350"/>
      <c r="S285" s="350"/>
      <c r="T285" s="350"/>
      <c r="U285" s="351"/>
      <c r="V285" s="351"/>
      <c r="W285" s="351"/>
      <c r="X285" s="351"/>
      <c r="Y285" s="351"/>
      <c r="Z285" s="351"/>
    </row>
    <row r="286">
      <c r="A286" s="350"/>
      <c r="B286" s="350"/>
      <c r="C286" s="355"/>
      <c r="D286" s="355"/>
      <c r="E286" s="354"/>
      <c r="F286" s="354"/>
      <c r="G286" s="355"/>
      <c r="H286" s="350"/>
      <c r="I286" s="350"/>
      <c r="J286" s="350"/>
      <c r="K286" s="350"/>
      <c r="L286" s="350"/>
      <c r="M286" s="355"/>
      <c r="N286" s="355"/>
      <c r="O286" s="354"/>
      <c r="P286" s="354"/>
      <c r="Q286" s="355"/>
      <c r="R286" s="350"/>
      <c r="S286" s="350"/>
      <c r="T286" s="350"/>
      <c r="U286" s="351"/>
      <c r="V286" s="351"/>
      <c r="W286" s="351"/>
      <c r="X286" s="351"/>
      <c r="Y286" s="351"/>
      <c r="Z286" s="351"/>
    </row>
    <row r="287">
      <c r="A287" s="350"/>
      <c r="B287" s="350"/>
      <c r="C287" s="355"/>
      <c r="D287" s="355"/>
      <c r="E287" s="354"/>
      <c r="F287" s="354"/>
      <c r="G287" s="355"/>
      <c r="H287" s="350"/>
      <c r="I287" s="350"/>
      <c r="J287" s="350"/>
      <c r="K287" s="350"/>
      <c r="L287" s="350"/>
      <c r="M287" s="355"/>
      <c r="N287" s="355"/>
      <c r="O287" s="354"/>
      <c r="P287" s="354"/>
      <c r="Q287" s="355"/>
      <c r="R287" s="350"/>
      <c r="S287" s="350"/>
      <c r="T287" s="350"/>
      <c r="U287" s="351"/>
      <c r="V287" s="351"/>
      <c r="W287" s="351"/>
      <c r="X287" s="351"/>
      <c r="Y287" s="351"/>
      <c r="Z287" s="351"/>
    </row>
    <row r="288">
      <c r="A288" s="350"/>
      <c r="B288" s="350"/>
      <c r="C288" s="355"/>
      <c r="D288" s="355"/>
      <c r="E288" s="354"/>
      <c r="F288" s="354"/>
      <c r="G288" s="355"/>
      <c r="H288" s="350"/>
      <c r="I288" s="350"/>
      <c r="J288" s="350"/>
      <c r="K288" s="350"/>
      <c r="L288" s="350"/>
      <c r="M288" s="355"/>
      <c r="N288" s="355"/>
      <c r="O288" s="354"/>
      <c r="P288" s="354"/>
      <c r="Q288" s="355"/>
      <c r="R288" s="350"/>
      <c r="S288" s="350"/>
      <c r="T288" s="350"/>
      <c r="U288" s="351"/>
      <c r="V288" s="351"/>
      <c r="W288" s="351"/>
      <c r="X288" s="351"/>
      <c r="Y288" s="351"/>
      <c r="Z288" s="351"/>
    </row>
    <row r="289">
      <c r="A289" s="350"/>
      <c r="B289" s="350"/>
      <c r="C289" s="355"/>
      <c r="D289" s="355"/>
      <c r="E289" s="354"/>
      <c r="F289" s="354"/>
      <c r="G289" s="355"/>
      <c r="H289" s="350"/>
      <c r="I289" s="350"/>
      <c r="J289" s="350"/>
      <c r="K289" s="350"/>
      <c r="L289" s="350"/>
      <c r="M289" s="355"/>
      <c r="N289" s="355"/>
      <c r="O289" s="354"/>
      <c r="P289" s="354"/>
      <c r="Q289" s="355"/>
      <c r="R289" s="350"/>
      <c r="S289" s="350"/>
      <c r="T289" s="350"/>
      <c r="U289" s="351"/>
      <c r="V289" s="351"/>
      <c r="W289" s="351"/>
      <c r="X289" s="351"/>
      <c r="Y289" s="351"/>
      <c r="Z289" s="351"/>
    </row>
    <row r="290">
      <c r="A290" s="350"/>
      <c r="B290" s="350"/>
      <c r="C290" s="355"/>
      <c r="D290" s="355"/>
      <c r="E290" s="354"/>
      <c r="F290" s="354"/>
      <c r="G290" s="355"/>
      <c r="H290" s="350"/>
      <c r="I290" s="350"/>
      <c r="J290" s="350"/>
      <c r="K290" s="350"/>
      <c r="L290" s="350"/>
      <c r="M290" s="355"/>
      <c r="N290" s="355"/>
      <c r="O290" s="354"/>
      <c r="P290" s="354"/>
      <c r="Q290" s="355"/>
      <c r="R290" s="350"/>
      <c r="S290" s="350"/>
      <c r="T290" s="350"/>
      <c r="U290" s="351"/>
      <c r="V290" s="351"/>
      <c r="W290" s="351"/>
      <c r="X290" s="351"/>
      <c r="Y290" s="351"/>
      <c r="Z290" s="351"/>
    </row>
    <row r="291">
      <c r="A291" s="350"/>
      <c r="B291" s="350"/>
      <c r="C291" s="355"/>
      <c r="D291" s="355"/>
      <c r="E291" s="354"/>
      <c r="F291" s="354"/>
      <c r="G291" s="355"/>
      <c r="H291" s="350"/>
      <c r="I291" s="350"/>
      <c r="J291" s="350"/>
      <c r="K291" s="350"/>
      <c r="L291" s="350"/>
      <c r="M291" s="355"/>
      <c r="N291" s="355"/>
      <c r="O291" s="354"/>
      <c r="P291" s="354"/>
      <c r="Q291" s="355"/>
      <c r="R291" s="350"/>
      <c r="S291" s="350"/>
      <c r="T291" s="350"/>
      <c r="U291" s="351"/>
      <c r="V291" s="351"/>
      <c r="W291" s="351"/>
      <c r="X291" s="351"/>
      <c r="Y291" s="351"/>
      <c r="Z291" s="351"/>
    </row>
    <row r="292">
      <c r="A292" s="350"/>
      <c r="B292" s="350"/>
      <c r="C292" s="355"/>
      <c r="D292" s="355"/>
      <c r="E292" s="354"/>
      <c r="F292" s="354"/>
      <c r="G292" s="355"/>
      <c r="H292" s="350"/>
      <c r="I292" s="350"/>
      <c r="J292" s="350"/>
      <c r="K292" s="350"/>
      <c r="L292" s="350"/>
      <c r="M292" s="355"/>
      <c r="N292" s="355"/>
      <c r="O292" s="354"/>
      <c r="P292" s="354"/>
      <c r="Q292" s="355"/>
      <c r="R292" s="350"/>
      <c r="S292" s="350"/>
      <c r="T292" s="350"/>
      <c r="U292" s="351"/>
      <c r="V292" s="351"/>
      <c r="W292" s="351"/>
      <c r="X292" s="351"/>
      <c r="Y292" s="351"/>
      <c r="Z292" s="351"/>
    </row>
    <row r="293">
      <c r="A293" s="350"/>
      <c r="B293" s="350"/>
      <c r="C293" s="355"/>
      <c r="D293" s="355"/>
      <c r="E293" s="354"/>
      <c r="F293" s="354"/>
      <c r="G293" s="355"/>
      <c r="H293" s="350"/>
      <c r="I293" s="350"/>
      <c r="J293" s="350"/>
      <c r="K293" s="350"/>
      <c r="L293" s="350"/>
      <c r="M293" s="355"/>
      <c r="N293" s="355"/>
      <c r="O293" s="354"/>
      <c r="P293" s="354"/>
      <c r="Q293" s="355"/>
      <c r="R293" s="350"/>
      <c r="S293" s="350"/>
      <c r="T293" s="350"/>
      <c r="U293" s="351"/>
      <c r="V293" s="351"/>
      <c r="W293" s="351"/>
      <c r="X293" s="351"/>
      <c r="Y293" s="351"/>
      <c r="Z293" s="351"/>
    </row>
    <row r="294">
      <c r="A294" s="350"/>
      <c r="B294" s="350"/>
      <c r="C294" s="355"/>
      <c r="D294" s="355"/>
      <c r="E294" s="354"/>
      <c r="F294" s="354"/>
      <c r="G294" s="355"/>
      <c r="H294" s="350"/>
      <c r="I294" s="350"/>
      <c r="J294" s="350"/>
      <c r="K294" s="350"/>
      <c r="L294" s="350"/>
      <c r="M294" s="355"/>
      <c r="N294" s="355"/>
      <c r="O294" s="354"/>
      <c r="P294" s="354"/>
      <c r="Q294" s="355"/>
      <c r="R294" s="350"/>
      <c r="S294" s="350"/>
      <c r="T294" s="350"/>
      <c r="U294" s="351"/>
      <c r="V294" s="351"/>
      <c r="W294" s="351"/>
      <c r="X294" s="351"/>
      <c r="Y294" s="351"/>
      <c r="Z294" s="351"/>
    </row>
    <row r="295">
      <c r="A295" s="350"/>
      <c r="B295" s="350"/>
      <c r="C295" s="355"/>
      <c r="D295" s="355"/>
      <c r="E295" s="354"/>
      <c r="F295" s="354"/>
      <c r="G295" s="355"/>
      <c r="H295" s="350"/>
      <c r="I295" s="350"/>
      <c r="J295" s="350"/>
      <c r="K295" s="350"/>
      <c r="L295" s="350"/>
      <c r="M295" s="355"/>
      <c r="N295" s="355"/>
      <c r="O295" s="354"/>
      <c r="P295" s="354"/>
      <c r="Q295" s="355"/>
      <c r="R295" s="350"/>
      <c r="S295" s="350"/>
      <c r="T295" s="350"/>
      <c r="U295" s="351"/>
      <c r="V295" s="351"/>
      <c r="W295" s="351"/>
      <c r="X295" s="351"/>
      <c r="Y295" s="351"/>
      <c r="Z295" s="351"/>
    </row>
    <row r="296">
      <c r="A296" s="350"/>
      <c r="B296" s="350"/>
      <c r="C296" s="355"/>
      <c r="D296" s="355"/>
      <c r="E296" s="354"/>
      <c r="F296" s="354"/>
      <c r="G296" s="355"/>
      <c r="H296" s="350"/>
      <c r="I296" s="350"/>
      <c r="J296" s="350"/>
      <c r="K296" s="350"/>
      <c r="L296" s="350"/>
      <c r="M296" s="355"/>
      <c r="N296" s="355"/>
      <c r="O296" s="354"/>
      <c r="P296" s="354"/>
      <c r="Q296" s="355"/>
      <c r="R296" s="350"/>
      <c r="S296" s="350"/>
      <c r="T296" s="350"/>
      <c r="U296" s="351"/>
      <c r="V296" s="351"/>
      <c r="W296" s="351"/>
      <c r="X296" s="351"/>
      <c r="Y296" s="351"/>
      <c r="Z296" s="351"/>
    </row>
    <row r="297">
      <c r="A297" s="350"/>
      <c r="B297" s="350"/>
      <c r="C297" s="355"/>
      <c r="D297" s="355"/>
      <c r="E297" s="354"/>
      <c r="F297" s="354"/>
      <c r="G297" s="355"/>
      <c r="H297" s="350"/>
      <c r="I297" s="350"/>
      <c r="J297" s="350"/>
      <c r="K297" s="350"/>
      <c r="L297" s="350"/>
      <c r="M297" s="355"/>
      <c r="N297" s="355"/>
      <c r="O297" s="354"/>
      <c r="P297" s="354"/>
      <c r="Q297" s="355"/>
      <c r="R297" s="350"/>
      <c r="S297" s="350"/>
      <c r="T297" s="350"/>
      <c r="U297" s="351"/>
      <c r="V297" s="351"/>
      <c r="W297" s="351"/>
      <c r="X297" s="351"/>
      <c r="Y297" s="351"/>
      <c r="Z297" s="351"/>
    </row>
    <row r="298">
      <c r="A298" s="350"/>
      <c r="B298" s="350"/>
      <c r="C298" s="355"/>
      <c r="D298" s="355"/>
      <c r="E298" s="354"/>
      <c r="F298" s="354"/>
      <c r="G298" s="355"/>
      <c r="H298" s="350"/>
      <c r="I298" s="350"/>
      <c r="J298" s="350"/>
      <c r="K298" s="350"/>
      <c r="L298" s="350"/>
      <c r="M298" s="355"/>
      <c r="N298" s="355"/>
      <c r="O298" s="354"/>
      <c r="P298" s="354"/>
      <c r="Q298" s="355"/>
      <c r="R298" s="350"/>
      <c r="S298" s="350"/>
      <c r="T298" s="350"/>
      <c r="U298" s="351"/>
      <c r="V298" s="351"/>
      <c r="W298" s="351"/>
      <c r="X298" s="351"/>
      <c r="Y298" s="351"/>
      <c r="Z298" s="351"/>
    </row>
    <row r="299">
      <c r="A299" s="350"/>
      <c r="B299" s="350"/>
      <c r="C299" s="355"/>
      <c r="D299" s="355"/>
      <c r="E299" s="354"/>
      <c r="F299" s="354"/>
      <c r="G299" s="355"/>
      <c r="H299" s="350"/>
      <c r="I299" s="350"/>
      <c r="J299" s="350"/>
      <c r="K299" s="350"/>
      <c r="L299" s="350"/>
      <c r="M299" s="355"/>
      <c r="N299" s="355"/>
      <c r="O299" s="354"/>
      <c r="P299" s="354"/>
      <c r="Q299" s="355"/>
      <c r="R299" s="350"/>
      <c r="S299" s="350"/>
      <c r="T299" s="350"/>
      <c r="U299" s="351"/>
      <c r="V299" s="351"/>
      <c r="W299" s="351"/>
      <c r="X299" s="351"/>
      <c r="Y299" s="351"/>
      <c r="Z299" s="351"/>
    </row>
    <row r="300">
      <c r="A300" s="350"/>
      <c r="B300" s="350"/>
      <c r="C300" s="355"/>
      <c r="D300" s="355"/>
      <c r="E300" s="354"/>
      <c r="F300" s="354"/>
      <c r="G300" s="355"/>
      <c r="H300" s="350"/>
      <c r="I300" s="350"/>
      <c r="J300" s="350"/>
      <c r="K300" s="350"/>
      <c r="L300" s="350"/>
      <c r="M300" s="355"/>
      <c r="N300" s="355"/>
      <c r="O300" s="354"/>
      <c r="P300" s="354"/>
      <c r="Q300" s="355"/>
      <c r="R300" s="350"/>
      <c r="S300" s="350"/>
      <c r="T300" s="350"/>
      <c r="U300" s="351"/>
      <c r="V300" s="351"/>
      <c r="W300" s="351"/>
      <c r="X300" s="351"/>
      <c r="Y300" s="351"/>
      <c r="Z300" s="351"/>
    </row>
    <row r="301">
      <c r="A301" s="350"/>
      <c r="B301" s="350"/>
      <c r="C301" s="355"/>
      <c r="D301" s="355"/>
      <c r="E301" s="354"/>
      <c r="F301" s="354"/>
      <c r="G301" s="355"/>
      <c r="H301" s="350"/>
      <c r="I301" s="350"/>
      <c r="J301" s="350"/>
      <c r="K301" s="350"/>
      <c r="L301" s="350"/>
      <c r="M301" s="355"/>
      <c r="N301" s="355"/>
      <c r="O301" s="354"/>
      <c r="P301" s="354"/>
      <c r="Q301" s="355"/>
      <c r="R301" s="350"/>
      <c r="S301" s="350"/>
      <c r="T301" s="350"/>
      <c r="U301" s="351"/>
      <c r="V301" s="351"/>
      <c r="W301" s="351"/>
      <c r="X301" s="351"/>
      <c r="Y301" s="351"/>
      <c r="Z301" s="351"/>
    </row>
    <row r="302">
      <c r="A302" s="350"/>
      <c r="B302" s="350"/>
      <c r="C302" s="355"/>
      <c r="D302" s="355"/>
      <c r="E302" s="354"/>
      <c r="F302" s="354"/>
      <c r="G302" s="355"/>
      <c r="H302" s="350"/>
      <c r="I302" s="350"/>
      <c r="J302" s="350"/>
      <c r="K302" s="350"/>
      <c r="L302" s="350"/>
      <c r="M302" s="355"/>
      <c r="N302" s="355"/>
      <c r="O302" s="354"/>
      <c r="P302" s="354"/>
      <c r="Q302" s="355"/>
      <c r="R302" s="350"/>
      <c r="S302" s="350"/>
      <c r="T302" s="350"/>
      <c r="U302" s="351"/>
      <c r="V302" s="351"/>
      <c r="W302" s="351"/>
      <c r="X302" s="351"/>
      <c r="Y302" s="351"/>
      <c r="Z302" s="351"/>
    </row>
    <row r="303">
      <c r="A303" s="350"/>
      <c r="B303" s="350"/>
      <c r="C303" s="355"/>
      <c r="D303" s="355"/>
      <c r="E303" s="354"/>
      <c r="F303" s="354"/>
      <c r="G303" s="355"/>
      <c r="H303" s="350"/>
      <c r="I303" s="350"/>
      <c r="J303" s="350"/>
      <c r="K303" s="350"/>
      <c r="L303" s="350"/>
      <c r="M303" s="355"/>
      <c r="N303" s="355"/>
      <c r="O303" s="354"/>
      <c r="P303" s="354"/>
      <c r="Q303" s="355"/>
      <c r="R303" s="350"/>
      <c r="S303" s="350"/>
      <c r="T303" s="350"/>
      <c r="U303" s="351"/>
      <c r="V303" s="351"/>
      <c r="W303" s="351"/>
      <c r="X303" s="351"/>
      <c r="Y303" s="351"/>
      <c r="Z303" s="351"/>
    </row>
    <row r="304">
      <c r="A304" s="350"/>
      <c r="B304" s="350"/>
      <c r="C304" s="355"/>
      <c r="D304" s="355"/>
      <c r="E304" s="354"/>
      <c r="F304" s="354"/>
      <c r="G304" s="355"/>
      <c r="H304" s="350"/>
      <c r="I304" s="350"/>
      <c r="J304" s="350"/>
      <c r="K304" s="350"/>
      <c r="L304" s="350"/>
      <c r="M304" s="355"/>
      <c r="N304" s="355"/>
      <c r="O304" s="354"/>
      <c r="P304" s="354"/>
      <c r="Q304" s="355"/>
      <c r="R304" s="350"/>
      <c r="S304" s="350"/>
      <c r="T304" s="350"/>
      <c r="U304" s="351"/>
      <c r="V304" s="351"/>
      <c r="W304" s="351"/>
      <c r="X304" s="351"/>
      <c r="Y304" s="351"/>
      <c r="Z304" s="351"/>
    </row>
    <row r="305">
      <c r="A305" s="350"/>
      <c r="B305" s="350"/>
      <c r="C305" s="355"/>
      <c r="D305" s="355"/>
      <c r="E305" s="354"/>
      <c r="F305" s="354"/>
      <c r="G305" s="355"/>
      <c r="H305" s="350"/>
      <c r="I305" s="350"/>
      <c r="J305" s="350"/>
      <c r="K305" s="350"/>
      <c r="L305" s="350"/>
      <c r="M305" s="355"/>
      <c r="N305" s="355"/>
      <c r="O305" s="354"/>
      <c r="P305" s="354"/>
      <c r="Q305" s="355"/>
      <c r="R305" s="350"/>
      <c r="S305" s="350"/>
      <c r="T305" s="350"/>
      <c r="U305" s="351"/>
      <c r="V305" s="351"/>
      <c r="W305" s="351"/>
      <c r="X305" s="351"/>
      <c r="Y305" s="351"/>
      <c r="Z305" s="351"/>
    </row>
    <row r="306">
      <c r="A306" s="350"/>
      <c r="B306" s="350"/>
      <c r="C306" s="355"/>
      <c r="D306" s="355"/>
      <c r="E306" s="354"/>
      <c r="F306" s="354"/>
      <c r="G306" s="355"/>
      <c r="H306" s="350"/>
      <c r="I306" s="350"/>
      <c r="J306" s="350"/>
      <c r="K306" s="350"/>
      <c r="L306" s="350"/>
      <c r="M306" s="355"/>
      <c r="N306" s="355"/>
      <c r="O306" s="354"/>
      <c r="P306" s="354"/>
      <c r="Q306" s="355"/>
      <c r="R306" s="350"/>
      <c r="S306" s="350"/>
      <c r="T306" s="350"/>
      <c r="U306" s="351"/>
      <c r="V306" s="351"/>
      <c r="W306" s="351"/>
      <c r="X306" s="351"/>
      <c r="Y306" s="351"/>
      <c r="Z306" s="351"/>
    </row>
    <row r="307">
      <c r="A307" s="350"/>
      <c r="B307" s="350"/>
      <c r="C307" s="355"/>
      <c r="D307" s="355"/>
      <c r="E307" s="354"/>
      <c r="F307" s="354"/>
      <c r="G307" s="355"/>
      <c r="H307" s="350"/>
      <c r="I307" s="350"/>
      <c r="J307" s="350"/>
      <c r="K307" s="350"/>
      <c r="L307" s="350"/>
      <c r="M307" s="355"/>
      <c r="N307" s="355"/>
      <c r="O307" s="354"/>
      <c r="P307" s="354"/>
      <c r="Q307" s="355"/>
      <c r="R307" s="350"/>
      <c r="S307" s="350"/>
      <c r="T307" s="350"/>
      <c r="U307" s="351"/>
      <c r="V307" s="351"/>
      <c r="W307" s="351"/>
      <c r="X307" s="351"/>
      <c r="Y307" s="351"/>
      <c r="Z307" s="351"/>
    </row>
    <row r="308">
      <c r="A308" s="350"/>
      <c r="B308" s="350"/>
      <c r="C308" s="355"/>
      <c r="D308" s="355"/>
      <c r="E308" s="354"/>
      <c r="F308" s="354"/>
      <c r="G308" s="355"/>
      <c r="H308" s="350"/>
      <c r="I308" s="350"/>
      <c r="J308" s="350"/>
      <c r="K308" s="350"/>
      <c r="L308" s="350"/>
      <c r="M308" s="355"/>
      <c r="N308" s="355"/>
      <c r="O308" s="354"/>
      <c r="P308" s="354"/>
      <c r="Q308" s="355"/>
      <c r="R308" s="350"/>
      <c r="S308" s="350"/>
      <c r="T308" s="350"/>
      <c r="U308" s="351"/>
      <c r="V308" s="351"/>
      <c r="W308" s="351"/>
      <c r="X308" s="351"/>
      <c r="Y308" s="351"/>
      <c r="Z308" s="351"/>
    </row>
    <row r="309">
      <c r="A309" s="350"/>
      <c r="B309" s="350"/>
      <c r="C309" s="355"/>
      <c r="D309" s="355"/>
      <c r="E309" s="354"/>
      <c r="F309" s="354"/>
      <c r="G309" s="355"/>
      <c r="H309" s="350"/>
      <c r="I309" s="350"/>
      <c r="J309" s="350"/>
      <c r="K309" s="350"/>
      <c r="L309" s="350"/>
      <c r="M309" s="355"/>
      <c r="N309" s="355"/>
      <c r="O309" s="354"/>
      <c r="P309" s="354"/>
      <c r="Q309" s="355"/>
      <c r="R309" s="350"/>
      <c r="S309" s="350"/>
      <c r="T309" s="350"/>
      <c r="U309" s="351"/>
      <c r="V309" s="351"/>
      <c r="W309" s="351"/>
      <c r="X309" s="351"/>
      <c r="Y309" s="351"/>
      <c r="Z309" s="351"/>
    </row>
    <row r="310">
      <c r="A310" s="350"/>
      <c r="B310" s="350"/>
      <c r="C310" s="355"/>
      <c r="D310" s="355"/>
      <c r="E310" s="354"/>
      <c r="F310" s="354"/>
      <c r="G310" s="355"/>
      <c r="H310" s="350"/>
      <c r="I310" s="350"/>
      <c r="J310" s="350"/>
      <c r="K310" s="350"/>
      <c r="L310" s="350"/>
      <c r="M310" s="355"/>
      <c r="N310" s="355"/>
      <c r="O310" s="354"/>
      <c r="P310" s="354"/>
      <c r="Q310" s="355"/>
      <c r="R310" s="350"/>
      <c r="S310" s="350"/>
      <c r="T310" s="350"/>
      <c r="U310" s="351"/>
      <c r="V310" s="351"/>
      <c r="W310" s="351"/>
      <c r="X310" s="351"/>
      <c r="Y310" s="351"/>
      <c r="Z310" s="351"/>
    </row>
    <row r="311">
      <c r="A311" s="350"/>
      <c r="B311" s="350"/>
      <c r="C311" s="355"/>
      <c r="D311" s="355"/>
      <c r="E311" s="354"/>
      <c r="F311" s="354"/>
      <c r="G311" s="355"/>
      <c r="H311" s="350"/>
      <c r="I311" s="350"/>
      <c r="J311" s="350"/>
      <c r="K311" s="350"/>
      <c r="L311" s="350"/>
      <c r="M311" s="355"/>
      <c r="N311" s="355"/>
      <c r="O311" s="354"/>
      <c r="P311" s="354"/>
      <c r="Q311" s="355"/>
      <c r="R311" s="350"/>
      <c r="S311" s="350"/>
      <c r="T311" s="350"/>
      <c r="U311" s="351"/>
      <c r="V311" s="351"/>
      <c r="W311" s="351"/>
      <c r="X311" s="351"/>
      <c r="Y311" s="351"/>
      <c r="Z311" s="351"/>
    </row>
    <row r="312">
      <c r="A312" s="350"/>
      <c r="B312" s="350"/>
      <c r="C312" s="355"/>
      <c r="D312" s="355"/>
      <c r="E312" s="354"/>
      <c r="F312" s="354"/>
      <c r="G312" s="355"/>
      <c r="H312" s="350"/>
      <c r="I312" s="350"/>
      <c r="J312" s="350"/>
      <c r="K312" s="350"/>
      <c r="L312" s="350"/>
      <c r="M312" s="355"/>
      <c r="N312" s="355"/>
      <c r="O312" s="354"/>
      <c r="P312" s="354"/>
      <c r="Q312" s="355"/>
      <c r="R312" s="350"/>
      <c r="S312" s="350"/>
      <c r="T312" s="350"/>
      <c r="U312" s="351"/>
      <c r="V312" s="351"/>
      <c r="W312" s="351"/>
      <c r="X312" s="351"/>
      <c r="Y312" s="351"/>
      <c r="Z312" s="351"/>
    </row>
    <row r="313">
      <c r="A313" s="350"/>
      <c r="B313" s="350"/>
      <c r="C313" s="355"/>
      <c r="D313" s="355"/>
      <c r="E313" s="354"/>
      <c r="F313" s="354"/>
      <c r="G313" s="355"/>
      <c r="H313" s="350"/>
      <c r="I313" s="350"/>
      <c r="J313" s="350"/>
      <c r="K313" s="350"/>
      <c r="L313" s="350"/>
      <c r="M313" s="355"/>
      <c r="N313" s="355"/>
      <c r="O313" s="354"/>
      <c r="P313" s="354"/>
      <c r="Q313" s="355"/>
      <c r="R313" s="350"/>
      <c r="S313" s="350"/>
      <c r="T313" s="350"/>
      <c r="U313" s="351"/>
      <c r="V313" s="351"/>
      <c r="W313" s="351"/>
      <c r="X313" s="351"/>
      <c r="Y313" s="351"/>
      <c r="Z313" s="351"/>
    </row>
    <row r="314">
      <c r="A314" s="350"/>
      <c r="B314" s="350"/>
      <c r="C314" s="355"/>
      <c r="D314" s="355"/>
      <c r="E314" s="354"/>
      <c r="F314" s="354"/>
      <c r="G314" s="355"/>
      <c r="H314" s="350"/>
      <c r="I314" s="350"/>
      <c r="J314" s="350"/>
      <c r="K314" s="350"/>
      <c r="L314" s="350"/>
      <c r="M314" s="355"/>
      <c r="N314" s="355"/>
      <c r="O314" s="354"/>
      <c r="P314" s="354"/>
      <c r="Q314" s="355"/>
      <c r="R314" s="350"/>
      <c r="S314" s="350"/>
      <c r="T314" s="350"/>
      <c r="U314" s="351"/>
      <c r="V314" s="351"/>
      <c r="W314" s="351"/>
      <c r="X314" s="351"/>
      <c r="Y314" s="351"/>
      <c r="Z314" s="351"/>
    </row>
    <row r="315">
      <c r="A315" s="350"/>
      <c r="B315" s="350"/>
      <c r="C315" s="355"/>
      <c r="D315" s="355"/>
      <c r="E315" s="354"/>
      <c r="F315" s="354"/>
      <c r="G315" s="355"/>
      <c r="H315" s="350"/>
      <c r="I315" s="350"/>
      <c r="J315" s="350"/>
      <c r="K315" s="350"/>
      <c r="L315" s="350"/>
      <c r="M315" s="355"/>
      <c r="N315" s="355"/>
      <c r="O315" s="354"/>
      <c r="P315" s="354"/>
      <c r="Q315" s="355"/>
      <c r="R315" s="350"/>
      <c r="S315" s="350"/>
      <c r="T315" s="350"/>
      <c r="U315" s="351"/>
      <c r="V315" s="351"/>
      <c r="W315" s="351"/>
      <c r="X315" s="351"/>
      <c r="Y315" s="351"/>
      <c r="Z315" s="351"/>
    </row>
    <row r="316">
      <c r="A316" s="350"/>
      <c r="B316" s="350"/>
      <c r="C316" s="355"/>
      <c r="D316" s="355"/>
      <c r="E316" s="354"/>
      <c r="F316" s="354"/>
      <c r="G316" s="355"/>
      <c r="H316" s="350"/>
      <c r="I316" s="350"/>
      <c r="J316" s="350"/>
      <c r="K316" s="350"/>
      <c r="L316" s="350"/>
      <c r="M316" s="355"/>
      <c r="N316" s="355"/>
      <c r="O316" s="354"/>
      <c r="P316" s="354"/>
      <c r="Q316" s="355"/>
      <c r="R316" s="350"/>
      <c r="S316" s="350"/>
      <c r="T316" s="350"/>
      <c r="U316" s="351"/>
      <c r="V316" s="351"/>
      <c r="W316" s="351"/>
      <c r="X316" s="351"/>
      <c r="Y316" s="351"/>
      <c r="Z316" s="351"/>
    </row>
    <row r="317">
      <c r="A317" s="350"/>
      <c r="B317" s="350"/>
      <c r="C317" s="355"/>
      <c r="D317" s="355"/>
      <c r="E317" s="354"/>
      <c r="F317" s="354"/>
      <c r="G317" s="355"/>
      <c r="H317" s="350"/>
      <c r="I317" s="350"/>
      <c r="J317" s="350"/>
      <c r="K317" s="350"/>
      <c r="L317" s="350"/>
      <c r="M317" s="355"/>
      <c r="N317" s="355"/>
      <c r="O317" s="354"/>
      <c r="P317" s="354"/>
      <c r="Q317" s="355"/>
      <c r="R317" s="350"/>
      <c r="S317" s="350"/>
      <c r="T317" s="350"/>
      <c r="U317" s="351"/>
      <c r="V317" s="351"/>
      <c r="W317" s="351"/>
      <c r="X317" s="351"/>
      <c r="Y317" s="351"/>
      <c r="Z317" s="351"/>
    </row>
    <row r="318">
      <c r="A318" s="350"/>
      <c r="B318" s="350"/>
      <c r="C318" s="355"/>
      <c r="D318" s="355"/>
      <c r="E318" s="354"/>
      <c r="F318" s="354"/>
      <c r="G318" s="355"/>
      <c r="H318" s="350"/>
      <c r="I318" s="350"/>
      <c r="J318" s="350"/>
      <c r="K318" s="350"/>
      <c r="L318" s="350"/>
      <c r="M318" s="355"/>
      <c r="N318" s="355"/>
      <c r="O318" s="354"/>
      <c r="P318" s="354"/>
      <c r="Q318" s="355"/>
      <c r="R318" s="350"/>
      <c r="S318" s="350"/>
      <c r="T318" s="350"/>
      <c r="U318" s="351"/>
      <c r="V318" s="351"/>
      <c r="W318" s="351"/>
      <c r="X318" s="351"/>
      <c r="Y318" s="351"/>
      <c r="Z318" s="351"/>
    </row>
    <row r="319">
      <c r="A319" s="350"/>
      <c r="B319" s="350"/>
      <c r="C319" s="355"/>
      <c r="D319" s="355"/>
      <c r="E319" s="354"/>
      <c r="F319" s="354"/>
      <c r="G319" s="355"/>
      <c r="H319" s="350"/>
      <c r="I319" s="350"/>
      <c r="J319" s="350"/>
      <c r="K319" s="350"/>
      <c r="L319" s="350"/>
      <c r="M319" s="355"/>
      <c r="N319" s="355"/>
      <c r="O319" s="354"/>
      <c r="P319" s="354"/>
      <c r="Q319" s="355"/>
      <c r="R319" s="350"/>
      <c r="S319" s="350"/>
      <c r="T319" s="350"/>
      <c r="U319" s="351"/>
      <c r="V319" s="351"/>
      <c r="W319" s="351"/>
      <c r="X319" s="351"/>
      <c r="Y319" s="351"/>
      <c r="Z319" s="351"/>
    </row>
    <row r="320">
      <c r="A320" s="350"/>
      <c r="B320" s="350"/>
      <c r="C320" s="355"/>
      <c r="D320" s="355"/>
      <c r="E320" s="354"/>
      <c r="F320" s="354"/>
      <c r="G320" s="355"/>
      <c r="H320" s="350"/>
      <c r="I320" s="350"/>
      <c r="J320" s="350"/>
      <c r="K320" s="350"/>
      <c r="L320" s="350"/>
      <c r="M320" s="355"/>
      <c r="N320" s="355"/>
      <c r="O320" s="354"/>
      <c r="P320" s="354"/>
      <c r="Q320" s="355"/>
      <c r="R320" s="350"/>
      <c r="S320" s="350"/>
      <c r="T320" s="350"/>
      <c r="U320" s="351"/>
      <c r="V320" s="351"/>
      <c r="W320" s="351"/>
      <c r="X320" s="351"/>
      <c r="Y320" s="351"/>
      <c r="Z320" s="351"/>
    </row>
    <row r="321">
      <c r="A321" s="350"/>
      <c r="B321" s="350"/>
      <c r="C321" s="355"/>
      <c r="D321" s="355"/>
      <c r="E321" s="354"/>
      <c r="F321" s="354"/>
      <c r="G321" s="355"/>
      <c r="H321" s="350"/>
      <c r="I321" s="350"/>
      <c r="J321" s="350"/>
      <c r="K321" s="350"/>
      <c r="L321" s="350"/>
      <c r="M321" s="355"/>
      <c r="N321" s="355"/>
      <c r="O321" s="354"/>
      <c r="P321" s="354"/>
      <c r="Q321" s="355"/>
      <c r="R321" s="350"/>
      <c r="S321" s="350"/>
      <c r="T321" s="350"/>
      <c r="U321" s="351"/>
      <c r="V321" s="351"/>
      <c r="W321" s="351"/>
      <c r="X321" s="351"/>
      <c r="Y321" s="351"/>
      <c r="Z321" s="351"/>
    </row>
    <row r="322">
      <c r="A322" s="350"/>
      <c r="B322" s="350"/>
      <c r="C322" s="355"/>
      <c r="D322" s="355"/>
      <c r="E322" s="354"/>
      <c r="F322" s="354"/>
      <c r="G322" s="355"/>
      <c r="H322" s="350"/>
      <c r="I322" s="350"/>
      <c r="J322" s="350"/>
      <c r="K322" s="350"/>
      <c r="L322" s="350"/>
      <c r="M322" s="355"/>
      <c r="N322" s="355"/>
      <c r="O322" s="354"/>
      <c r="P322" s="354"/>
      <c r="Q322" s="355"/>
      <c r="R322" s="350"/>
      <c r="S322" s="350"/>
      <c r="T322" s="350"/>
      <c r="U322" s="351"/>
      <c r="V322" s="351"/>
      <c r="W322" s="351"/>
      <c r="X322" s="351"/>
      <c r="Y322" s="351"/>
      <c r="Z322" s="351"/>
    </row>
    <row r="323">
      <c r="A323" s="350"/>
      <c r="B323" s="350"/>
      <c r="C323" s="355"/>
      <c r="D323" s="355"/>
      <c r="E323" s="354"/>
      <c r="F323" s="354"/>
      <c r="G323" s="355"/>
      <c r="H323" s="350"/>
      <c r="I323" s="350"/>
      <c r="J323" s="350"/>
      <c r="K323" s="350"/>
      <c r="L323" s="350"/>
      <c r="M323" s="355"/>
      <c r="N323" s="355"/>
      <c r="O323" s="354"/>
      <c r="P323" s="354"/>
      <c r="Q323" s="355"/>
      <c r="R323" s="350"/>
      <c r="S323" s="350"/>
      <c r="T323" s="350"/>
      <c r="U323" s="351"/>
      <c r="V323" s="351"/>
      <c r="W323" s="351"/>
      <c r="X323" s="351"/>
      <c r="Y323" s="351"/>
      <c r="Z323" s="351"/>
    </row>
    <row r="324">
      <c r="A324" s="350"/>
      <c r="B324" s="350"/>
      <c r="C324" s="355"/>
      <c r="D324" s="355"/>
      <c r="E324" s="354"/>
      <c r="F324" s="354"/>
      <c r="G324" s="355"/>
      <c r="H324" s="350"/>
      <c r="I324" s="350"/>
      <c r="J324" s="350"/>
      <c r="K324" s="350"/>
      <c r="L324" s="350"/>
      <c r="M324" s="355"/>
      <c r="N324" s="355"/>
      <c r="O324" s="354"/>
      <c r="P324" s="354"/>
      <c r="Q324" s="355"/>
      <c r="R324" s="350"/>
      <c r="S324" s="350"/>
      <c r="T324" s="350"/>
      <c r="U324" s="351"/>
      <c r="V324" s="351"/>
      <c r="W324" s="351"/>
      <c r="X324" s="351"/>
      <c r="Y324" s="351"/>
      <c r="Z324" s="351"/>
    </row>
    <row r="325">
      <c r="A325" s="350"/>
      <c r="B325" s="350"/>
      <c r="C325" s="355"/>
      <c r="D325" s="355"/>
      <c r="E325" s="354"/>
      <c r="F325" s="354"/>
      <c r="G325" s="355"/>
      <c r="H325" s="350"/>
      <c r="I325" s="350"/>
      <c r="J325" s="350"/>
      <c r="K325" s="350"/>
      <c r="L325" s="350"/>
      <c r="M325" s="355"/>
      <c r="N325" s="355"/>
      <c r="O325" s="354"/>
      <c r="P325" s="354"/>
      <c r="Q325" s="355"/>
      <c r="R325" s="350"/>
      <c r="S325" s="350"/>
      <c r="T325" s="350"/>
      <c r="U325" s="351"/>
      <c r="V325" s="351"/>
      <c r="W325" s="351"/>
      <c r="X325" s="351"/>
      <c r="Y325" s="351"/>
      <c r="Z325" s="351"/>
    </row>
    <row r="326">
      <c r="A326" s="350"/>
      <c r="B326" s="350"/>
      <c r="C326" s="355"/>
      <c r="D326" s="355"/>
      <c r="E326" s="354"/>
      <c r="F326" s="354"/>
      <c r="G326" s="355"/>
      <c r="H326" s="350"/>
      <c r="I326" s="350"/>
      <c r="J326" s="350"/>
      <c r="K326" s="350"/>
      <c r="L326" s="350"/>
      <c r="M326" s="355"/>
      <c r="N326" s="355"/>
      <c r="O326" s="354"/>
      <c r="P326" s="354"/>
      <c r="Q326" s="355"/>
      <c r="R326" s="350"/>
      <c r="S326" s="350"/>
      <c r="T326" s="350"/>
      <c r="U326" s="351"/>
      <c r="V326" s="351"/>
      <c r="W326" s="351"/>
      <c r="X326" s="351"/>
      <c r="Y326" s="351"/>
      <c r="Z326" s="351"/>
    </row>
    <row r="327">
      <c r="A327" s="350"/>
      <c r="B327" s="350"/>
      <c r="C327" s="355"/>
      <c r="D327" s="355"/>
      <c r="E327" s="354"/>
      <c r="F327" s="354"/>
      <c r="G327" s="355"/>
      <c r="H327" s="350"/>
      <c r="I327" s="350"/>
      <c r="J327" s="350"/>
      <c r="K327" s="350"/>
      <c r="L327" s="350"/>
      <c r="M327" s="355"/>
      <c r="N327" s="355"/>
      <c r="O327" s="354"/>
      <c r="P327" s="354"/>
      <c r="Q327" s="355"/>
      <c r="R327" s="350"/>
      <c r="S327" s="350"/>
      <c r="T327" s="350"/>
      <c r="U327" s="351"/>
      <c r="V327" s="351"/>
      <c r="W327" s="351"/>
      <c r="X327" s="351"/>
      <c r="Y327" s="351"/>
      <c r="Z327" s="351"/>
    </row>
    <row r="328">
      <c r="A328" s="350"/>
      <c r="B328" s="350"/>
      <c r="C328" s="355"/>
      <c r="D328" s="355"/>
      <c r="E328" s="354"/>
      <c r="F328" s="354"/>
      <c r="G328" s="355"/>
      <c r="H328" s="350"/>
      <c r="I328" s="350"/>
      <c r="J328" s="350"/>
      <c r="K328" s="350"/>
      <c r="L328" s="350"/>
      <c r="M328" s="355"/>
      <c r="N328" s="355"/>
      <c r="O328" s="354"/>
      <c r="P328" s="354"/>
      <c r="Q328" s="355"/>
      <c r="R328" s="350"/>
      <c r="S328" s="350"/>
      <c r="T328" s="350"/>
      <c r="U328" s="351"/>
      <c r="V328" s="351"/>
      <c r="W328" s="351"/>
      <c r="X328" s="351"/>
      <c r="Y328" s="351"/>
      <c r="Z328" s="351"/>
    </row>
    <row r="329">
      <c r="A329" s="350"/>
      <c r="B329" s="350"/>
      <c r="C329" s="355"/>
      <c r="D329" s="355"/>
      <c r="E329" s="354"/>
      <c r="F329" s="354"/>
      <c r="G329" s="355"/>
      <c r="H329" s="350"/>
      <c r="I329" s="350"/>
      <c r="J329" s="350"/>
      <c r="K329" s="350"/>
      <c r="L329" s="350"/>
      <c r="M329" s="355"/>
      <c r="N329" s="355"/>
      <c r="O329" s="354"/>
      <c r="P329" s="354"/>
      <c r="Q329" s="355"/>
      <c r="R329" s="350"/>
      <c r="S329" s="350"/>
      <c r="T329" s="350"/>
      <c r="U329" s="351"/>
      <c r="V329" s="351"/>
      <c r="W329" s="351"/>
      <c r="X329" s="351"/>
      <c r="Y329" s="351"/>
      <c r="Z329" s="351"/>
    </row>
    <row r="330">
      <c r="A330" s="350"/>
      <c r="B330" s="350"/>
      <c r="C330" s="355"/>
      <c r="D330" s="355"/>
      <c r="E330" s="354"/>
      <c r="F330" s="354"/>
      <c r="G330" s="355"/>
      <c r="H330" s="350"/>
      <c r="I330" s="350"/>
      <c r="J330" s="350"/>
      <c r="K330" s="350"/>
      <c r="L330" s="350"/>
      <c r="M330" s="355"/>
      <c r="N330" s="355"/>
      <c r="O330" s="354"/>
      <c r="P330" s="354"/>
      <c r="Q330" s="355"/>
      <c r="R330" s="350"/>
      <c r="S330" s="350"/>
      <c r="T330" s="350"/>
      <c r="U330" s="351"/>
      <c r="V330" s="351"/>
      <c r="W330" s="351"/>
      <c r="X330" s="351"/>
      <c r="Y330" s="351"/>
      <c r="Z330" s="351"/>
    </row>
    <row r="331">
      <c r="A331" s="350"/>
      <c r="B331" s="350"/>
      <c r="C331" s="355"/>
      <c r="D331" s="355"/>
      <c r="E331" s="354"/>
      <c r="F331" s="354"/>
      <c r="G331" s="355"/>
      <c r="H331" s="350"/>
      <c r="I331" s="350"/>
      <c r="J331" s="350"/>
      <c r="K331" s="350"/>
      <c r="L331" s="350"/>
      <c r="M331" s="355"/>
      <c r="N331" s="355"/>
      <c r="O331" s="354"/>
      <c r="P331" s="354"/>
      <c r="Q331" s="355"/>
      <c r="R331" s="350"/>
      <c r="S331" s="350"/>
      <c r="T331" s="350"/>
      <c r="U331" s="351"/>
      <c r="V331" s="351"/>
      <c r="W331" s="351"/>
      <c r="X331" s="351"/>
      <c r="Y331" s="351"/>
      <c r="Z331" s="351"/>
    </row>
    <row r="332">
      <c r="A332" s="350"/>
      <c r="B332" s="350"/>
      <c r="C332" s="355"/>
      <c r="D332" s="355"/>
      <c r="E332" s="354"/>
      <c r="F332" s="354"/>
      <c r="G332" s="355"/>
      <c r="H332" s="350"/>
      <c r="I332" s="350"/>
      <c r="J332" s="350"/>
      <c r="K332" s="350"/>
      <c r="L332" s="350"/>
      <c r="M332" s="355"/>
      <c r="N332" s="355"/>
      <c r="O332" s="354"/>
      <c r="P332" s="354"/>
      <c r="Q332" s="355"/>
      <c r="R332" s="350"/>
      <c r="S332" s="350"/>
      <c r="T332" s="350"/>
      <c r="U332" s="351"/>
      <c r="V332" s="351"/>
      <c r="W332" s="351"/>
      <c r="X332" s="351"/>
      <c r="Y332" s="351"/>
      <c r="Z332" s="351"/>
    </row>
    <row r="333">
      <c r="A333" s="350"/>
      <c r="B333" s="350"/>
      <c r="C333" s="355"/>
      <c r="D333" s="355"/>
      <c r="E333" s="354"/>
      <c r="F333" s="354"/>
      <c r="G333" s="355"/>
      <c r="H333" s="350"/>
      <c r="I333" s="350"/>
      <c r="J333" s="350"/>
      <c r="K333" s="350"/>
      <c r="L333" s="350"/>
      <c r="M333" s="355"/>
      <c r="N333" s="355"/>
      <c r="O333" s="354"/>
      <c r="P333" s="354"/>
      <c r="Q333" s="355"/>
      <c r="R333" s="350"/>
      <c r="S333" s="350"/>
      <c r="T333" s="350"/>
      <c r="U333" s="351"/>
      <c r="V333" s="351"/>
      <c r="W333" s="351"/>
      <c r="X333" s="351"/>
      <c r="Y333" s="351"/>
      <c r="Z333" s="351"/>
    </row>
    <row r="334">
      <c r="A334" s="350"/>
      <c r="B334" s="350"/>
      <c r="C334" s="355"/>
      <c r="D334" s="355"/>
      <c r="E334" s="354"/>
      <c r="F334" s="354"/>
      <c r="G334" s="355"/>
      <c r="H334" s="350"/>
      <c r="I334" s="350"/>
      <c r="J334" s="350"/>
      <c r="K334" s="350"/>
      <c r="L334" s="350"/>
      <c r="M334" s="355"/>
      <c r="N334" s="355"/>
      <c r="O334" s="354"/>
      <c r="P334" s="354"/>
      <c r="Q334" s="355"/>
      <c r="R334" s="350"/>
      <c r="S334" s="350"/>
      <c r="T334" s="350"/>
      <c r="U334" s="351"/>
      <c r="V334" s="351"/>
      <c r="W334" s="351"/>
      <c r="X334" s="351"/>
      <c r="Y334" s="351"/>
      <c r="Z334" s="351"/>
    </row>
    <row r="335">
      <c r="A335" s="350"/>
      <c r="B335" s="350"/>
      <c r="C335" s="355"/>
      <c r="D335" s="355"/>
      <c r="E335" s="354"/>
      <c r="F335" s="354"/>
      <c r="G335" s="355"/>
      <c r="H335" s="350"/>
      <c r="I335" s="350"/>
      <c r="J335" s="350"/>
      <c r="K335" s="350"/>
      <c r="L335" s="350"/>
      <c r="M335" s="355"/>
      <c r="N335" s="355"/>
      <c r="O335" s="354"/>
      <c r="P335" s="354"/>
      <c r="Q335" s="355"/>
      <c r="R335" s="350"/>
      <c r="S335" s="350"/>
      <c r="T335" s="350"/>
      <c r="U335" s="351"/>
      <c r="V335" s="351"/>
      <c r="W335" s="351"/>
      <c r="X335" s="351"/>
      <c r="Y335" s="351"/>
      <c r="Z335" s="351"/>
    </row>
    <row r="336">
      <c r="A336" s="350"/>
      <c r="B336" s="350"/>
      <c r="C336" s="355"/>
      <c r="D336" s="355"/>
      <c r="E336" s="354"/>
      <c r="F336" s="354"/>
      <c r="G336" s="355"/>
      <c r="H336" s="350"/>
      <c r="I336" s="350"/>
      <c r="J336" s="350"/>
      <c r="K336" s="350"/>
      <c r="L336" s="350"/>
      <c r="M336" s="355"/>
      <c r="N336" s="355"/>
      <c r="O336" s="354"/>
      <c r="P336" s="354"/>
      <c r="Q336" s="355"/>
      <c r="R336" s="350"/>
      <c r="S336" s="350"/>
      <c r="T336" s="350"/>
      <c r="U336" s="351"/>
      <c r="V336" s="351"/>
      <c r="W336" s="351"/>
      <c r="X336" s="351"/>
      <c r="Y336" s="351"/>
      <c r="Z336" s="351"/>
    </row>
    <row r="337">
      <c r="A337" s="350"/>
      <c r="B337" s="350"/>
      <c r="C337" s="355"/>
      <c r="D337" s="355"/>
      <c r="E337" s="354"/>
      <c r="F337" s="354"/>
      <c r="G337" s="355"/>
      <c r="H337" s="350"/>
      <c r="I337" s="350"/>
      <c r="J337" s="350"/>
      <c r="K337" s="350"/>
      <c r="L337" s="350"/>
      <c r="M337" s="355"/>
      <c r="N337" s="355"/>
      <c r="O337" s="354"/>
      <c r="P337" s="354"/>
      <c r="Q337" s="355"/>
      <c r="R337" s="350"/>
      <c r="S337" s="350"/>
      <c r="T337" s="350"/>
      <c r="U337" s="351"/>
      <c r="V337" s="351"/>
      <c r="W337" s="351"/>
      <c r="X337" s="351"/>
      <c r="Y337" s="351"/>
      <c r="Z337" s="351"/>
    </row>
    <row r="338">
      <c r="A338" s="350"/>
      <c r="B338" s="350"/>
      <c r="C338" s="355"/>
      <c r="D338" s="355"/>
      <c r="E338" s="354"/>
      <c r="F338" s="354"/>
      <c r="G338" s="355"/>
      <c r="H338" s="350"/>
      <c r="I338" s="350"/>
      <c r="J338" s="350"/>
      <c r="K338" s="350"/>
      <c r="L338" s="350"/>
      <c r="M338" s="355"/>
      <c r="N338" s="355"/>
      <c r="O338" s="354"/>
      <c r="P338" s="354"/>
      <c r="Q338" s="355"/>
      <c r="R338" s="350"/>
      <c r="S338" s="350"/>
      <c r="T338" s="350"/>
      <c r="U338" s="351"/>
      <c r="V338" s="351"/>
      <c r="W338" s="351"/>
      <c r="X338" s="351"/>
      <c r="Y338" s="351"/>
      <c r="Z338" s="351"/>
    </row>
    <row r="339">
      <c r="A339" s="350"/>
      <c r="B339" s="350"/>
      <c r="C339" s="355"/>
      <c r="D339" s="355"/>
      <c r="E339" s="354"/>
      <c r="F339" s="354"/>
      <c r="G339" s="355"/>
      <c r="H339" s="350"/>
      <c r="I339" s="350"/>
      <c r="J339" s="350"/>
      <c r="K339" s="350"/>
      <c r="L339" s="350"/>
      <c r="M339" s="355"/>
      <c r="N339" s="355"/>
      <c r="O339" s="354"/>
      <c r="P339" s="354"/>
      <c r="Q339" s="355"/>
      <c r="R339" s="350"/>
      <c r="S339" s="350"/>
      <c r="T339" s="350"/>
      <c r="U339" s="351"/>
      <c r="V339" s="351"/>
      <c r="W339" s="351"/>
      <c r="X339" s="351"/>
      <c r="Y339" s="351"/>
      <c r="Z339" s="351"/>
    </row>
    <row r="340">
      <c r="A340" s="350"/>
      <c r="B340" s="350"/>
      <c r="C340" s="355"/>
      <c r="D340" s="355"/>
      <c r="E340" s="354"/>
      <c r="F340" s="354"/>
      <c r="G340" s="355"/>
      <c r="H340" s="350"/>
      <c r="I340" s="350"/>
      <c r="J340" s="350"/>
      <c r="K340" s="350"/>
      <c r="L340" s="350"/>
      <c r="M340" s="355"/>
      <c r="N340" s="355"/>
      <c r="O340" s="354"/>
      <c r="P340" s="354"/>
      <c r="Q340" s="355"/>
      <c r="R340" s="350"/>
      <c r="S340" s="350"/>
      <c r="T340" s="350"/>
      <c r="U340" s="351"/>
      <c r="V340" s="351"/>
      <c r="W340" s="351"/>
      <c r="X340" s="351"/>
      <c r="Y340" s="351"/>
      <c r="Z340" s="351"/>
    </row>
    <row r="341">
      <c r="A341" s="350"/>
      <c r="B341" s="350"/>
      <c r="C341" s="355"/>
      <c r="D341" s="355"/>
      <c r="E341" s="354"/>
      <c r="F341" s="354"/>
      <c r="G341" s="355"/>
      <c r="H341" s="350"/>
      <c r="I341" s="350"/>
      <c r="J341" s="350"/>
      <c r="K341" s="350"/>
      <c r="L341" s="350"/>
      <c r="M341" s="355"/>
      <c r="N341" s="355"/>
      <c r="O341" s="354"/>
      <c r="P341" s="354"/>
      <c r="Q341" s="355"/>
      <c r="R341" s="350"/>
      <c r="S341" s="350"/>
      <c r="T341" s="350"/>
      <c r="U341" s="351"/>
      <c r="V341" s="351"/>
      <c r="W341" s="351"/>
      <c r="X341" s="351"/>
      <c r="Y341" s="351"/>
      <c r="Z341" s="351"/>
    </row>
    <row r="342">
      <c r="A342" s="350"/>
      <c r="B342" s="350"/>
      <c r="C342" s="355"/>
      <c r="D342" s="355"/>
      <c r="E342" s="354"/>
      <c r="F342" s="354"/>
      <c r="G342" s="355"/>
      <c r="H342" s="350"/>
      <c r="I342" s="350"/>
      <c r="J342" s="350"/>
      <c r="K342" s="350"/>
      <c r="L342" s="350"/>
      <c r="M342" s="355"/>
      <c r="N342" s="355"/>
      <c r="O342" s="354"/>
      <c r="P342" s="354"/>
      <c r="Q342" s="355"/>
      <c r="R342" s="350"/>
      <c r="S342" s="350"/>
      <c r="T342" s="350"/>
      <c r="U342" s="351"/>
      <c r="V342" s="351"/>
      <c r="W342" s="351"/>
      <c r="X342" s="351"/>
      <c r="Y342" s="351"/>
      <c r="Z342" s="351"/>
    </row>
    <row r="343">
      <c r="A343" s="350"/>
      <c r="B343" s="350"/>
      <c r="C343" s="355"/>
      <c r="D343" s="355"/>
      <c r="E343" s="354"/>
      <c r="F343" s="354"/>
      <c r="G343" s="355"/>
      <c r="H343" s="350"/>
      <c r="I343" s="350"/>
      <c r="J343" s="350"/>
      <c r="K343" s="350"/>
      <c r="L343" s="350"/>
      <c r="M343" s="355"/>
      <c r="N343" s="355"/>
      <c r="O343" s="354"/>
      <c r="P343" s="354"/>
      <c r="Q343" s="355"/>
      <c r="R343" s="350"/>
      <c r="S343" s="350"/>
      <c r="T343" s="350"/>
      <c r="U343" s="351"/>
      <c r="V343" s="351"/>
      <c r="W343" s="351"/>
      <c r="X343" s="351"/>
      <c r="Y343" s="351"/>
      <c r="Z343" s="351"/>
    </row>
    <row r="344">
      <c r="A344" s="350"/>
      <c r="B344" s="350"/>
      <c r="C344" s="355"/>
      <c r="D344" s="355"/>
      <c r="E344" s="354"/>
      <c r="F344" s="354"/>
      <c r="G344" s="355"/>
      <c r="H344" s="350"/>
      <c r="I344" s="350"/>
      <c r="J344" s="350"/>
      <c r="K344" s="350"/>
      <c r="L344" s="350"/>
      <c r="M344" s="355"/>
      <c r="N344" s="355"/>
      <c r="O344" s="354"/>
      <c r="P344" s="354"/>
      <c r="Q344" s="355"/>
      <c r="R344" s="350"/>
      <c r="S344" s="350"/>
      <c r="T344" s="350"/>
      <c r="U344" s="351"/>
      <c r="V344" s="351"/>
      <c r="W344" s="351"/>
      <c r="X344" s="351"/>
      <c r="Y344" s="351"/>
      <c r="Z344" s="351"/>
    </row>
    <row r="345">
      <c r="A345" s="350"/>
      <c r="B345" s="350"/>
      <c r="C345" s="355"/>
      <c r="D345" s="355"/>
      <c r="E345" s="354"/>
      <c r="F345" s="354"/>
      <c r="G345" s="355"/>
      <c r="H345" s="350"/>
      <c r="I345" s="350"/>
      <c r="J345" s="350"/>
      <c r="K345" s="350"/>
      <c r="L345" s="350"/>
      <c r="M345" s="355"/>
      <c r="N345" s="355"/>
      <c r="O345" s="354"/>
      <c r="P345" s="354"/>
      <c r="Q345" s="355"/>
      <c r="R345" s="350"/>
      <c r="S345" s="350"/>
      <c r="T345" s="350"/>
      <c r="U345" s="351"/>
      <c r="V345" s="351"/>
      <c r="W345" s="351"/>
      <c r="X345" s="351"/>
      <c r="Y345" s="351"/>
      <c r="Z345" s="351"/>
    </row>
    <row r="346">
      <c r="A346" s="350"/>
      <c r="B346" s="350"/>
      <c r="C346" s="355"/>
      <c r="D346" s="355"/>
      <c r="E346" s="354"/>
      <c r="F346" s="354"/>
      <c r="G346" s="355"/>
      <c r="H346" s="350"/>
      <c r="I346" s="350"/>
      <c r="J346" s="350"/>
      <c r="K346" s="350"/>
      <c r="L346" s="350"/>
      <c r="M346" s="355"/>
      <c r="N346" s="355"/>
      <c r="O346" s="354"/>
      <c r="P346" s="354"/>
      <c r="Q346" s="355"/>
      <c r="R346" s="350"/>
      <c r="S346" s="350"/>
      <c r="T346" s="350"/>
      <c r="U346" s="351"/>
      <c r="V346" s="351"/>
      <c r="W346" s="351"/>
      <c r="X346" s="351"/>
      <c r="Y346" s="351"/>
      <c r="Z346" s="351"/>
    </row>
    <row r="347">
      <c r="A347" s="350"/>
      <c r="B347" s="350"/>
      <c r="C347" s="355"/>
      <c r="D347" s="355"/>
      <c r="E347" s="354"/>
      <c r="F347" s="354"/>
      <c r="G347" s="355"/>
      <c r="H347" s="350"/>
      <c r="I347" s="350"/>
      <c r="J347" s="350"/>
      <c r="K347" s="350"/>
      <c r="L347" s="350"/>
      <c r="M347" s="355"/>
      <c r="N347" s="355"/>
      <c r="O347" s="354"/>
      <c r="P347" s="354"/>
      <c r="Q347" s="355"/>
      <c r="R347" s="350"/>
      <c r="S347" s="350"/>
      <c r="T347" s="350"/>
      <c r="U347" s="351"/>
      <c r="V347" s="351"/>
      <c r="W347" s="351"/>
      <c r="X347" s="351"/>
      <c r="Y347" s="351"/>
      <c r="Z347" s="351"/>
    </row>
    <row r="348">
      <c r="A348" s="350"/>
      <c r="B348" s="350"/>
      <c r="C348" s="355"/>
      <c r="D348" s="355"/>
      <c r="E348" s="354"/>
      <c r="F348" s="354"/>
      <c r="G348" s="355"/>
      <c r="H348" s="350"/>
      <c r="I348" s="350"/>
      <c r="J348" s="350"/>
      <c r="K348" s="350"/>
      <c r="L348" s="350"/>
      <c r="M348" s="355"/>
      <c r="N348" s="355"/>
      <c r="O348" s="354"/>
      <c r="P348" s="354"/>
      <c r="Q348" s="355"/>
      <c r="R348" s="350"/>
      <c r="S348" s="350"/>
      <c r="T348" s="350"/>
      <c r="U348" s="351"/>
      <c r="V348" s="351"/>
      <c r="W348" s="351"/>
      <c r="X348" s="351"/>
      <c r="Y348" s="351"/>
      <c r="Z348" s="351"/>
    </row>
    <row r="349">
      <c r="A349" s="350"/>
      <c r="B349" s="350"/>
      <c r="C349" s="355"/>
      <c r="D349" s="355"/>
      <c r="E349" s="354"/>
      <c r="F349" s="354"/>
      <c r="G349" s="355"/>
      <c r="H349" s="350"/>
      <c r="I349" s="350"/>
      <c r="J349" s="350"/>
      <c r="K349" s="350"/>
      <c r="L349" s="350"/>
      <c r="M349" s="355"/>
      <c r="N349" s="355"/>
      <c r="O349" s="354"/>
      <c r="P349" s="354"/>
      <c r="Q349" s="355"/>
      <c r="R349" s="350"/>
      <c r="S349" s="350"/>
      <c r="T349" s="350"/>
      <c r="U349" s="351"/>
      <c r="V349" s="351"/>
      <c r="W349" s="351"/>
      <c r="X349" s="351"/>
      <c r="Y349" s="351"/>
      <c r="Z349" s="351"/>
    </row>
    <row r="350">
      <c r="A350" s="350"/>
      <c r="B350" s="350"/>
      <c r="C350" s="355"/>
      <c r="D350" s="355"/>
      <c r="E350" s="354"/>
      <c r="F350" s="354"/>
      <c r="G350" s="355"/>
      <c r="H350" s="350"/>
      <c r="I350" s="350"/>
      <c r="J350" s="350"/>
      <c r="K350" s="350"/>
      <c r="L350" s="350"/>
      <c r="M350" s="355"/>
      <c r="N350" s="355"/>
      <c r="O350" s="354"/>
      <c r="P350" s="354"/>
      <c r="Q350" s="355"/>
      <c r="R350" s="350"/>
      <c r="S350" s="350"/>
      <c r="T350" s="350"/>
      <c r="U350" s="351"/>
      <c r="V350" s="351"/>
      <c r="W350" s="351"/>
      <c r="X350" s="351"/>
      <c r="Y350" s="351"/>
      <c r="Z350" s="351"/>
    </row>
    <row r="351">
      <c r="A351" s="350"/>
      <c r="B351" s="350"/>
      <c r="C351" s="355"/>
      <c r="D351" s="355"/>
      <c r="E351" s="354"/>
      <c r="F351" s="354"/>
      <c r="G351" s="355"/>
      <c r="H351" s="350"/>
      <c r="I351" s="350"/>
      <c r="J351" s="350"/>
      <c r="K351" s="350"/>
      <c r="L351" s="350"/>
      <c r="M351" s="355"/>
      <c r="N351" s="355"/>
      <c r="O351" s="354"/>
      <c r="P351" s="354"/>
      <c r="Q351" s="355"/>
      <c r="R351" s="350"/>
      <c r="S351" s="350"/>
      <c r="T351" s="350"/>
      <c r="U351" s="351"/>
      <c r="V351" s="351"/>
      <c r="W351" s="351"/>
      <c r="X351" s="351"/>
      <c r="Y351" s="351"/>
      <c r="Z351" s="351"/>
    </row>
    <row r="352">
      <c r="A352" s="350"/>
      <c r="B352" s="350"/>
      <c r="C352" s="355"/>
      <c r="D352" s="355"/>
      <c r="E352" s="354"/>
      <c r="F352" s="354"/>
      <c r="G352" s="355"/>
      <c r="H352" s="350"/>
      <c r="I352" s="350"/>
      <c r="J352" s="350"/>
      <c r="K352" s="350"/>
      <c r="L352" s="350"/>
      <c r="M352" s="355"/>
      <c r="N352" s="355"/>
      <c r="O352" s="354"/>
      <c r="P352" s="354"/>
      <c r="Q352" s="355"/>
      <c r="R352" s="350"/>
      <c r="S352" s="350"/>
      <c r="T352" s="350"/>
      <c r="U352" s="351"/>
      <c r="V352" s="351"/>
      <c r="W352" s="351"/>
      <c r="X352" s="351"/>
      <c r="Y352" s="351"/>
      <c r="Z352" s="351"/>
    </row>
    <row r="353">
      <c r="A353" s="350"/>
      <c r="B353" s="350"/>
      <c r="C353" s="355"/>
      <c r="D353" s="355"/>
      <c r="E353" s="354"/>
      <c r="F353" s="354"/>
      <c r="G353" s="355"/>
      <c r="H353" s="350"/>
      <c r="I353" s="350"/>
      <c r="J353" s="350"/>
      <c r="K353" s="350"/>
      <c r="L353" s="350"/>
      <c r="M353" s="355"/>
      <c r="N353" s="355"/>
      <c r="O353" s="354"/>
      <c r="P353" s="354"/>
      <c r="Q353" s="355"/>
      <c r="R353" s="350"/>
      <c r="S353" s="350"/>
      <c r="T353" s="350"/>
      <c r="U353" s="351"/>
      <c r="V353" s="351"/>
      <c r="W353" s="351"/>
      <c r="X353" s="351"/>
      <c r="Y353" s="351"/>
      <c r="Z353" s="351"/>
    </row>
    <row r="354">
      <c r="A354" s="350"/>
      <c r="B354" s="350"/>
      <c r="C354" s="355"/>
      <c r="D354" s="355"/>
      <c r="E354" s="354"/>
      <c r="F354" s="354"/>
      <c r="G354" s="355"/>
      <c r="H354" s="350"/>
      <c r="I354" s="350"/>
      <c r="J354" s="350"/>
      <c r="K354" s="350"/>
      <c r="L354" s="350"/>
      <c r="M354" s="355"/>
      <c r="N354" s="355"/>
      <c r="O354" s="354"/>
      <c r="P354" s="354"/>
      <c r="Q354" s="355"/>
      <c r="R354" s="350"/>
      <c r="S354" s="350"/>
      <c r="T354" s="350"/>
      <c r="U354" s="351"/>
      <c r="V354" s="351"/>
      <c r="W354" s="351"/>
      <c r="X354" s="351"/>
      <c r="Y354" s="351"/>
      <c r="Z354" s="351"/>
    </row>
    <row r="355">
      <c r="A355" s="350"/>
      <c r="B355" s="350"/>
      <c r="C355" s="355"/>
      <c r="D355" s="355"/>
      <c r="E355" s="354"/>
      <c r="F355" s="354"/>
      <c r="G355" s="355"/>
      <c r="H355" s="350"/>
      <c r="I355" s="350"/>
      <c r="J355" s="350"/>
      <c r="K355" s="350"/>
      <c r="L355" s="350"/>
      <c r="M355" s="355"/>
      <c r="N355" s="355"/>
      <c r="O355" s="354"/>
      <c r="P355" s="354"/>
      <c r="Q355" s="355"/>
      <c r="R355" s="350"/>
      <c r="S355" s="350"/>
      <c r="T355" s="350"/>
      <c r="U355" s="351"/>
      <c r="V355" s="351"/>
      <c r="W355" s="351"/>
      <c r="X355" s="351"/>
      <c r="Y355" s="351"/>
      <c r="Z355" s="351"/>
    </row>
    <row r="356">
      <c r="A356" s="350"/>
      <c r="B356" s="350"/>
      <c r="C356" s="355"/>
      <c r="D356" s="355"/>
      <c r="E356" s="354"/>
      <c r="F356" s="354"/>
      <c r="G356" s="355"/>
      <c r="H356" s="350"/>
      <c r="I356" s="350"/>
      <c r="J356" s="350"/>
      <c r="K356" s="350"/>
      <c r="L356" s="350"/>
      <c r="M356" s="355"/>
      <c r="N356" s="355"/>
      <c r="O356" s="354"/>
      <c r="P356" s="354"/>
      <c r="Q356" s="355"/>
      <c r="R356" s="350"/>
      <c r="S356" s="350"/>
      <c r="T356" s="350"/>
      <c r="U356" s="351"/>
      <c r="V356" s="351"/>
      <c r="W356" s="351"/>
      <c r="X356" s="351"/>
      <c r="Y356" s="351"/>
      <c r="Z356" s="351"/>
    </row>
    <row r="357">
      <c r="A357" s="350"/>
      <c r="B357" s="350"/>
      <c r="C357" s="355"/>
      <c r="D357" s="355"/>
      <c r="E357" s="354"/>
      <c r="F357" s="354"/>
      <c r="G357" s="355"/>
      <c r="H357" s="350"/>
      <c r="I357" s="350"/>
      <c r="J357" s="350"/>
      <c r="K357" s="350"/>
      <c r="L357" s="350"/>
      <c r="M357" s="355"/>
      <c r="N357" s="355"/>
      <c r="O357" s="354"/>
      <c r="P357" s="354"/>
      <c r="Q357" s="355"/>
      <c r="R357" s="350"/>
      <c r="S357" s="350"/>
      <c r="T357" s="350"/>
      <c r="U357" s="351"/>
      <c r="V357" s="351"/>
      <c r="W357" s="351"/>
      <c r="X357" s="351"/>
      <c r="Y357" s="351"/>
      <c r="Z357" s="351"/>
    </row>
    <row r="358">
      <c r="A358" s="350"/>
      <c r="B358" s="350"/>
      <c r="C358" s="355"/>
      <c r="D358" s="355"/>
      <c r="E358" s="354"/>
      <c r="F358" s="354"/>
      <c r="G358" s="355"/>
      <c r="H358" s="350"/>
      <c r="I358" s="350"/>
      <c r="J358" s="350"/>
      <c r="K358" s="350"/>
      <c r="L358" s="350"/>
      <c r="M358" s="355"/>
      <c r="N358" s="355"/>
      <c r="O358" s="354"/>
      <c r="P358" s="354"/>
      <c r="Q358" s="355"/>
      <c r="R358" s="350"/>
      <c r="S358" s="350"/>
      <c r="T358" s="350"/>
      <c r="U358" s="351"/>
      <c r="V358" s="351"/>
      <c r="W358" s="351"/>
      <c r="X358" s="351"/>
      <c r="Y358" s="351"/>
      <c r="Z358" s="351"/>
    </row>
    <row r="359">
      <c r="A359" s="350"/>
      <c r="B359" s="350"/>
      <c r="C359" s="355"/>
      <c r="D359" s="355"/>
      <c r="E359" s="354"/>
      <c r="F359" s="354"/>
      <c r="G359" s="355"/>
      <c r="H359" s="350"/>
      <c r="I359" s="350"/>
      <c r="J359" s="350"/>
      <c r="K359" s="350"/>
      <c r="L359" s="350"/>
      <c r="M359" s="355"/>
      <c r="N359" s="355"/>
      <c r="O359" s="354"/>
      <c r="P359" s="354"/>
      <c r="Q359" s="355"/>
      <c r="R359" s="350"/>
      <c r="S359" s="350"/>
      <c r="T359" s="350"/>
      <c r="U359" s="351"/>
      <c r="V359" s="351"/>
      <c r="W359" s="351"/>
      <c r="X359" s="351"/>
      <c r="Y359" s="351"/>
      <c r="Z359" s="351"/>
    </row>
    <row r="360">
      <c r="A360" s="350"/>
      <c r="B360" s="350"/>
      <c r="C360" s="355"/>
      <c r="D360" s="355"/>
      <c r="E360" s="354"/>
      <c r="F360" s="354"/>
      <c r="G360" s="355"/>
      <c r="H360" s="350"/>
      <c r="I360" s="350"/>
      <c r="J360" s="350"/>
      <c r="K360" s="350"/>
      <c r="L360" s="350"/>
      <c r="M360" s="355"/>
      <c r="N360" s="355"/>
      <c r="O360" s="354"/>
      <c r="P360" s="354"/>
      <c r="Q360" s="355"/>
      <c r="R360" s="350"/>
      <c r="S360" s="350"/>
      <c r="T360" s="350"/>
      <c r="U360" s="351"/>
      <c r="V360" s="351"/>
      <c r="W360" s="351"/>
      <c r="X360" s="351"/>
      <c r="Y360" s="351"/>
      <c r="Z360" s="351"/>
    </row>
    <row r="361">
      <c r="A361" s="350"/>
      <c r="B361" s="350"/>
      <c r="C361" s="355"/>
      <c r="D361" s="355"/>
      <c r="E361" s="354"/>
      <c r="F361" s="354"/>
      <c r="G361" s="355"/>
      <c r="H361" s="350"/>
      <c r="I361" s="350"/>
      <c r="J361" s="350"/>
      <c r="K361" s="350"/>
      <c r="L361" s="350"/>
      <c r="M361" s="355"/>
      <c r="N361" s="355"/>
      <c r="O361" s="354"/>
      <c r="P361" s="354"/>
      <c r="Q361" s="355"/>
      <c r="R361" s="350"/>
      <c r="S361" s="350"/>
      <c r="T361" s="350"/>
      <c r="U361" s="351"/>
      <c r="V361" s="351"/>
      <c r="W361" s="351"/>
      <c r="X361" s="351"/>
      <c r="Y361" s="351"/>
      <c r="Z361" s="351"/>
    </row>
    <row r="362">
      <c r="A362" s="350"/>
      <c r="B362" s="350"/>
      <c r="C362" s="355"/>
      <c r="D362" s="355"/>
      <c r="E362" s="354"/>
      <c r="F362" s="354"/>
      <c r="G362" s="355"/>
      <c r="H362" s="350"/>
      <c r="I362" s="350"/>
      <c r="J362" s="350"/>
      <c r="K362" s="350"/>
      <c r="L362" s="350"/>
      <c r="M362" s="355"/>
      <c r="N362" s="355"/>
      <c r="O362" s="354"/>
      <c r="P362" s="354"/>
      <c r="Q362" s="355"/>
      <c r="R362" s="350"/>
      <c r="S362" s="350"/>
      <c r="T362" s="350"/>
      <c r="U362" s="351"/>
      <c r="V362" s="351"/>
      <c r="W362" s="351"/>
      <c r="X362" s="351"/>
      <c r="Y362" s="351"/>
      <c r="Z362" s="351"/>
    </row>
    <row r="363">
      <c r="A363" s="350"/>
      <c r="B363" s="350"/>
      <c r="C363" s="355"/>
      <c r="D363" s="355"/>
      <c r="E363" s="354"/>
      <c r="F363" s="354"/>
      <c r="G363" s="355"/>
      <c r="H363" s="350"/>
      <c r="I363" s="350"/>
      <c r="J363" s="350"/>
      <c r="K363" s="350"/>
      <c r="L363" s="350"/>
      <c r="M363" s="355"/>
      <c r="N363" s="355"/>
      <c r="O363" s="354"/>
      <c r="P363" s="354"/>
      <c r="Q363" s="355"/>
      <c r="R363" s="350"/>
      <c r="S363" s="350"/>
      <c r="T363" s="350"/>
      <c r="U363" s="351"/>
      <c r="V363" s="351"/>
      <c r="W363" s="351"/>
      <c r="X363" s="351"/>
      <c r="Y363" s="351"/>
      <c r="Z363" s="351"/>
    </row>
    <row r="364">
      <c r="A364" s="350"/>
      <c r="B364" s="350"/>
      <c r="C364" s="355"/>
      <c r="D364" s="355"/>
      <c r="E364" s="354"/>
      <c r="F364" s="354"/>
      <c r="G364" s="355"/>
      <c r="H364" s="350"/>
      <c r="I364" s="350"/>
      <c r="J364" s="350"/>
      <c r="K364" s="350"/>
      <c r="L364" s="350"/>
      <c r="M364" s="355"/>
      <c r="N364" s="355"/>
      <c r="O364" s="354"/>
      <c r="P364" s="354"/>
      <c r="Q364" s="355"/>
      <c r="R364" s="350"/>
      <c r="S364" s="350"/>
      <c r="T364" s="350"/>
      <c r="U364" s="351"/>
      <c r="V364" s="351"/>
      <c r="W364" s="351"/>
      <c r="X364" s="351"/>
      <c r="Y364" s="351"/>
      <c r="Z364" s="351"/>
    </row>
    <row r="365">
      <c r="A365" s="350"/>
      <c r="B365" s="350"/>
      <c r="C365" s="355"/>
      <c r="D365" s="355"/>
      <c r="E365" s="354"/>
      <c r="F365" s="354"/>
      <c r="G365" s="355"/>
      <c r="H365" s="350"/>
      <c r="I365" s="350"/>
      <c r="J365" s="350"/>
      <c r="K365" s="350"/>
      <c r="L365" s="350"/>
      <c r="M365" s="355"/>
      <c r="N365" s="355"/>
      <c r="O365" s="354"/>
      <c r="P365" s="354"/>
      <c r="Q365" s="355"/>
      <c r="R365" s="350"/>
      <c r="S365" s="350"/>
      <c r="T365" s="350"/>
      <c r="U365" s="351"/>
      <c r="V365" s="351"/>
      <c r="W365" s="351"/>
      <c r="X365" s="351"/>
      <c r="Y365" s="351"/>
      <c r="Z365" s="351"/>
    </row>
    <row r="366">
      <c r="A366" s="350"/>
      <c r="B366" s="350"/>
      <c r="C366" s="355"/>
      <c r="D366" s="355"/>
      <c r="E366" s="354"/>
      <c r="F366" s="354"/>
      <c r="G366" s="355"/>
      <c r="H366" s="350"/>
      <c r="I366" s="350"/>
      <c r="J366" s="350"/>
      <c r="K366" s="350"/>
      <c r="L366" s="350"/>
      <c r="M366" s="355"/>
      <c r="N366" s="355"/>
      <c r="O366" s="354"/>
      <c r="P366" s="354"/>
      <c r="Q366" s="355"/>
      <c r="R366" s="350"/>
      <c r="S366" s="350"/>
      <c r="T366" s="350"/>
      <c r="U366" s="351"/>
      <c r="V366" s="351"/>
      <c r="W366" s="351"/>
      <c r="X366" s="351"/>
      <c r="Y366" s="351"/>
      <c r="Z366" s="351"/>
    </row>
    <row r="367">
      <c r="A367" s="350"/>
      <c r="B367" s="350"/>
      <c r="C367" s="355"/>
      <c r="D367" s="355"/>
      <c r="E367" s="354"/>
      <c r="F367" s="354"/>
      <c r="G367" s="355"/>
      <c r="H367" s="350"/>
      <c r="I367" s="350"/>
      <c r="J367" s="350"/>
      <c r="K367" s="350"/>
      <c r="L367" s="350"/>
      <c r="M367" s="355"/>
      <c r="N367" s="355"/>
      <c r="O367" s="354"/>
      <c r="P367" s="354"/>
      <c r="Q367" s="355"/>
      <c r="R367" s="350"/>
      <c r="S367" s="350"/>
      <c r="T367" s="350"/>
      <c r="U367" s="351"/>
      <c r="V367" s="351"/>
      <c r="W367" s="351"/>
      <c r="X367" s="351"/>
      <c r="Y367" s="351"/>
      <c r="Z367" s="351"/>
    </row>
    <row r="368">
      <c r="A368" s="350"/>
      <c r="B368" s="350"/>
      <c r="C368" s="355"/>
      <c r="D368" s="355"/>
      <c r="E368" s="354"/>
      <c r="F368" s="354"/>
      <c r="G368" s="355"/>
      <c r="H368" s="350"/>
      <c r="I368" s="350"/>
      <c r="J368" s="350"/>
      <c r="K368" s="350"/>
      <c r="L368" s="350"/>
      <c r="M368" s="355"/>
      <c r="N368" s="355"/>
      <c r="O368" s="354"/>
      <c r="P368" s="354"/>
      <c r="Q368" s="355"/>
      <c r="R368" s="350"/>
      <c r="S368" s="350"/>
      <c r="T368" s="350"/>
      <c r="U368" s="351"/>
      <c r="V368" s="351"/>
      <c r="W368" s="351"/>
      <c r="X368" s="351"/>
      <c r="Y368" s="351"/>
      <c r="Z368" s="351"/>
    </row>
    <row r="369">
      <c r="A369" s="350"/>
      <c r="B369" s="350"/>
      <c r="C369" s="355"/>
      <c r="D369" s="355"/>
      <c r="E369" s="354"/>
      <c r="F369" s="354"/>
      <c r="G369" s="355"/>
      <c r="H369" s="350"/>
      <c r="I369" s="350"/>
      <c r="J369" s="350"/>
      <c r="K369" s="350"/>
      <c r="L369" s="350"/>
      <c r="M369" s="355"/>
      <c r="N369" s="355"/>
      <c r="O369" s="354"/>
      <c r="P369" s="354"/>
      <c r="Q369" s="355"/>
      <c r="R369" s="350"/>
      <c r="S369" s="350"/>
      <c r="T369" s="350"/>
      <c r="U369" s="351"/>
      <c r="V369" s="351"/>
      <c r="W369" s="351"/>
      <c r="X369" s="351"/>
      <c r="Y369" s="351"/>
      <c r="Z369" s="351"/>
    </row>
    <row r="370" ht="43.5" customHeight="1">
      <c r="A370" s="380"/>
      <c r="B370" s="380"/>
      <c r="C370" s="380"/>
      <c r="D370" s="380"/>
      <c r="E370" s="381"/>
      <c r="F370" s="380"/>
      <c r="G370" s="380"/>
      <c r="H370" s="380"/>
      <c r="I370" s="380"/>
      <c r="J370" s="380"/>
      <c r="K370" s="380"/>
      <c r="L370" s="380"/>
      <c r="M370" s="380"/>
      <c r="N370" s="380"/>
      <c r="O370" s="381"/>
      <c r="P370" s="380"/>
      <c r="Q370" s="380"/>
      <c r="R370" s="380"/>
      <c r="S370" s="380"/>
      <c r="T370" s="380"/>
      <c r="U370" s="351"/>
      <c r="V370" s="351"/>
      <c r="W370" s="351"/>
      <c r="X370" s="351"/>
      <c r="Y370" s="351"/>
      <c r="Z370" s="351"/>
    </row>
    <row r="371" ht="15.0" customHeight="1">
      <c r="A371" s="349"/>
      <c r="B371" s="335"/>
      <c r="C371" s="318"/>
      <c r="D371" s="318"/>
      <c r="E371" s="337"/>
      <c r="F371" s="337"/>
      <c r="G371" s="318"/>
      <c r="H371" s="335"/>
      <c r="I371" s="335"/>
      <c r="J371" s="350"/>
      <c r="K371" s="349"/>
      <c r="L371" s="335"/>
      <c r="M371" s="318"/>
      <c r="N371" s="318"/>
      <c r="O371" s="337"/>
      <c r="P371" s="337"/>
      <c r="Q371" s="318"/>
      <c r="R371" s="335"/>
      <c r="S371" s="335"/>
      <c r="T371" s="350"/>
      <c r="U371" s="351"/>
      <c r="V371" s="351"/>
      <c r="W371" s="351"/>
      <c r="X371" s="351"/>
      <c r="Y371" s="351"/>
      <c r="Z371" s="351"/>
    </row>
    <row r="372">
      <c r="A372" s="349"/>
      <c r="B372" s="335"/>
      <c r="C372" s="318"/>
      <c r="D372" s="318"/>
      <c r="E372" s="337"/>
      <c r="F372" s="337"/>
      <c r="G372" s="318"/>
      <c r="H372" s="335"/>
      <c r="I372" s="335"/>
      <c r="J372" s="350"/>
      <c r="K372" s="349"/>
      <c r="L372" s="335"/>
      <c r="M372" s="318"/>
      <c r="N372" s="318"/>
      <c r="O372" s="337"/>
      <c r="P372" s="337"/>
      <c r="Q372" s="318"/>
      <c r="R372" s="335"/>
      <c r="S372" s="335"/>
      <c r="T372" s="350"/>
      <c r="U372" s="351"/>
      <c r="V372" s="351"/>
      <c r="W372" s="351"/>
      <c r="X372" s="351"/>
      <c r="Y372" s="351"/>
      <c r="Z372" s="351"/>
    </row>
    <row r="373">
      <c r="A373" s="349"/>
      <c r="B373" s="335"/>
      <c r="C373" s="318"/>
      <c r="D373" s="318"/>
      <c r="E373" s="337"/>
      <c r="F373" s="337"/>
      <c r="G373" s="318"/>
      <c r="H373" s="335"/>
      <c r="I373" s="335"/>
      <c r="J373" s="350"/>
      <c r="K373" s="349"/>
      <c r="L373" s="335"/>
      <c r="M373" s="318"/>
      <c r="N373" s="318"/>
      <c r="O373" s="337"/>
      <c r="P373" s="337"/>
      <c r="Q373" s="318"/>
      <c r="R373" s="335"/>
      <c r="S373" s="335"/>
      <c r="T373" s="350"/>
      <c r="U373" s="351"/>
      <c r="V373" s="351"/>
      <c r="W373" s="351"/>
      <c r="X373" s="351"/>
      <c r="Y373" s="351"/>
      <c r="Z373" s="351"/>
    </row>
    <row r="374">
      <c r="A374" s="349"/>
      <c r="B374" s="335"/>
      <c r="C374" s="318"/>
      <c r="D374" s="318"/>
      <c r="E374" s="337"/>
      <c r="F374" s="337"/>
      <c r="G374" s="318"/>
      <c r="H374" s="335"/>
      <c r="I374" s="335"/>
      <c r="J374" s="350"/>
      <c r="K374" s="349"/>
      <c r="L374" s="335"/>
      <c r="M374" s="318"/>
      <c r="N374" s="318"/>
      <c r="O374" s="337"/>
      <c r="P374" s="337"/>
      <c r="Q374" s="318"/>
      <c r="R374" s="335"/>
      <c r="S374" s="335"/>
      <c r="T374" s="350"/>
      <c r="U374" s="351"/>
      <c r="V374" s="351"/>
      <c r="W374" s="351"/>
      <c r="X374" s="351"/>
      <c r="Y374" s="351"/>
      <c r="Z374" s="351"/>
    </row>
    <row r="375">
      <c r="A375" s="349"/>
      <c r="B375" s="335"/>
      <c r="C375" s="318"/>
      <c r="D375" s="318"/>
      <c r="E375" s="337"/>
      <c r="F375" s="337"/>
      <c r="G375" s="318"/>
      <c r="H375" s="335"/>
      <c r="I375" s="335"/>
      <c r="J375" s="350"/>
      <c r="K375" s="349"/>
      <c r="L375" s="335"/>
      <c r="M375" s="318"/>
      <c r="N375" s="318"/>
      <c r="O375" s="337"/>
      <c r="P375" s="337"/>
      <c r="Q375" s="318"/>
      <c r="R375" s="335"/>
      <c r="S375" s="335"/>
      <c r="T375" s="350"/>
      <c r="U375" s="351"/>
      <c r="V375" s="351"/>
      <c r="W375" s="351"/>
      <c r="X375" s="351"/>
      <c r="Y375" s="351"/>
      <c r="Z375" s="351"/>
    </row>
    <row r="376">
      <c r="A376" s="349"/>
      <c r="B376" s="335"/>
      <c r="C376" s="318"/>
      <c r="D376" s="318"/>
      <c r="E376" s="337"/>
      <c r="F376" s="337"/>
      <c r="G376" s="318"/>
      <c r="H376" s="335"/>
      <c r="I376" s="335"/>
      <c r="J376" s="350"/>
      <c r="K376" s="349"/>
      <c r="L376" s="335"/>
      <c r="M376" s="318"/>
      <c r="N376" s="318"/>
      <c r="O376" s="337"/>
      <c r="P376" s="337"/>
      <c r="Q376" s="318"/>
      <c r="R376" s="335"/>
      <c r="S376" s="335"/>
      <c r="T376" s="350"/>
      <c r="U376" s="351"/>
      <c r="V376" s="351"/>
      <c r="W376" s="351"/>
      <c r="X376" s="351"/>
      <c r="Y376" s="351"/>
      <c r="Z376" s="351"/>
    </row>
    <row r="377">
      <c r="A377" s="349"/>
      <c r="B377" s="335"/>
      <c r="C377" s="318"/>
      <c r="D377" s="318"/>
      <c r="E377" s="337"/>
      <c r="F377" s="337"/>
      <c r="G377" s="318"/>
      <c r="H377" s="335"/>
      <c r="I377" s="335"/>
      <c r="J377" s="350"/>
      <c r="K377" s="349"/>
      <c r="L377" s="335"/>
      <c r="M377" s="318"/>
      <c r="N377" s="318"/>
      <c r="O377" s="337"/>
      <c r="P377" s="337"/>
      <c r="Q377" s="318"/>
      <c r="R377" s="335"/>
      <c r="S377" s="335"/>
      <c r="T377" s="350"/>
      <c r="U377" s="351"/>
      <c r="V377" s="351"/>
      <c r="W377" s="351"/>
      <c r="X377" s="351"/>
      <c r="Y377" s="351"/>
      <c r="Z377" s="351"/>
    </row>
    <row r="378">
      <c r="A378" s="349"/>
      <c r="B378" s="335"/>
      <c r="C378" s="318"/>
      <c r="D378" s="318"/>
      <c r="E378" s="337"/>
      <c r="F378" s="337"/>
      <c r="G378" s="318"/>
      <c r="H378" s="335"/>
      <c r="I378" s="335"/>
      <c r="J378" s="350"/>
      <c r="K378" s="349"/>
      <c r="L378" s="335"/>
      <c r="M378" s="318"/>
      <c r="N378" s="318"/>
      <c r="O378" s="337"/>
      <c r="P378" s="337"/>
      <c r="Q378" s="318"/>
      <c r="R378" s="335"/>
      <c r="S378" s="335"/>
      <c r="T378" s="350"/>
      <c r="U378" s="351"/>
      <c r="V378" s="351"/>
      <c r="W378" s="351"/>
      <c r="X378" s="351"/>
      <c r="Y378" s="351"/>
      <c r="Z378" s="351"/>
    </row>
    <row r="379">
      <c r="A379" s="349"/>
      <c r="B379" s="335"/>
      <c r="C379" s="318"/>
      <c r="D379" s="318"/>
      <c r="E379" s="337"/>
      <c r="F379" s="337"/>
      <c r="G379" s="318"/>
      <c r="H379" s="335"/>
      <c r="I379" s="335"/>
      <c r="J379" s="350"/>
      <c r="K379" s="349"/>
      <c r="L379" s="335"/>
      <c r="M379" s="318"/>
      <c r="N379" s="318"/>
      <c r="O379" s="337"/>
      <c r="P379" s="337"/>
      <c r="Q379" s="318"/>
      <c r="R379" s="335"/>
      <c r="S379" s="335"/>
      <c r="T379" s="350"/>
      <c r="U379" s="351"/>
      <c r="V379" s="351"/>
      <c r="W379" s="351"/>
      <c r="X379" s="351"/>
      <c r="Y379" s="351"/>
      <c r="Z379" s="351"/>
    </row>
    <row r="380">
      <c r="A380" s="349"/>
      <c r="B380" s="335"/>
      <c r="C380" s="318"/>
      <c r="D380" s="318"/>
      <c r="E380" s="337"/>
      <c r="F380" s="337"/>
      <c r="G380" s="318"/>
      <c r="H380" s="335"/>
      <c r="I380" s="335"/>
      <c r="J380" s="350"/>
      <c r="K380" s="349"/>
      <c r="L380" s="335"/>
      <c r="M380" s="318"/>
      <c r="N380" s="318"/>
      <c r="O380" s="337"/>
      <c r="P380" s="337"/>
      <c r="Q380" s="318"/>
      <c r="R380" s="335"/>
      <c r="S380" s="335"/>
      <c r="T380" s="350"/>
      <c r="U380" s="351"/>
      <c r="V380" s="351"/>
      <c r="W380" s="351"/>
      <c r="X380" s="351"/>
      <c r="Y380" s="351"/>
      <c r="Z380" s="351"/>
    </row>
    <row r="381">
      <c r="A381" s="349"/>
      <c r="B381" s="335"/>
      <c r="C381" s="318"/>
      <c r="D381" s="318"/>
      <c r="E381" s="337"/>
      <c r="F381" s="337"/>
      <c r="G381" s="318"/>
      <c r="H381" s="335"/>
      <c r="I381" s="335"/>
      <c r="J381" s="350"/>
      <c r="K381" s="349"/>
      <c r="L381" s="335"/>
      <c r="M381" s="318"/>
      <c r="N381" s="318"/>
      <c r="O381" s="337"/>
      <c r="P381" s="337"/>
      <c r="Q381" s="318"/>
      <c r="R381" s="335"/>
      <c r="S381" s="335"/>
      <c r="T381" s="350"/>
      <c r="U381" s="351"/>
      <c r="V381" s="351"/>
      <c r="W381" s="351"/>
      <c r="X381" s="351"/>
      <c r="Y381" s="351"/>
      <c r="Z381" s="351"/>
    </row>
    <row r="382">
      <c r="A382" s="349"/>
      <c r="B382" s="335"/>
      <c r="C382" s="318"/>
      <c r="D382" s="318"/>
      <c r="E382" s="337"/>
      <c r="F382" s="337"/>
      <c r="G382" s="318"/>
      <c r="H382" s="335"/>
      <c r="I382" s="335"/>
      <c r="J382" s="350"/>
      <c r="K382" s="349"/>
      <c r="L382" s="335"/>
      <c r="M382" s="318"/>
      <c r="N382" s="318"/>
      <c r="O382" s="337"/>
      <c r="P382" s="337"/>
      <c r="Q382" s="318"/>
      <c r="R382" s="335"/>
      <c r="S382" s="335"/>
      <c r="T382" s="350"/>
      <c r="U382" s="351"/>
      <c r="V382" s="351"/>
      <c r="W382" s="351"/>
      <c r="X382" s="351"/>
      <c r="Y382" s="351"/>
      <c r="Z382" s="351"/>
    </row>
    <row r="383">
      <c r="A383" s="349"/>
      <c r="B383" s="335"/>
      <c r="C383" s="318"/>
      <c r="D383" s="318"/>
      <c r="E383" s="337"/>
      <c r="F383" s="337"/>
      <c r="G383" s="318"/>
      <c r="H383" s="335"/>
      <c r="I383" s="335"/>
      <c r="J383" s="350"/>
      <c r="K383" s="349"/>
      <c r="L383" s="335"/>
      <c r="M383" s="318"/>
      <c r="N383" s="318"/>
      <c r="O383" s="337"/>
      <c r="P383" s="337"/>
      <c r="Q383" s="318"/>
      <c r="R383" s="335"/>
      <c r="S383" s="335"/>
      <c r="T383" s="350"/>
      <c r="U383" s="351"/>
      <c r="V383" s="351"/>
      <c r="W383" s="351"/>
      <c r="X383" s="351"/>
      <c r="Y383" s="351"/>
      <c r="Z383" s="351"/>
    </row>
    <row r="384">
      <c r="A384" s="349"/>
      <c r="B384" s="335"/>
      <c r="C384" s="318"/>
      <c r="D384" s="318"/>
      <c r="E384" s="337"/>
      <c r="F384" s="337"/>
      <c r="G384" s="318"/>
      <c r="H384" s="335"/>
      <c r="I384" s="335"/>
      <c r="J384" s="350"/>
      <c r="K384" s="349"/>
      <c r="L384" s="335"/>
      <c r="M384" s="318"/>
      <c r="N384" s="318"/>
      <c r="O384" s="337"/>
      <c r="P384" s="337"/>
      <c r="Q384" s="318"/>
      <c r="R384" s="335"/>
      <c r="S384" s="335"/>
      <c r="T384" s="350"/>
      <c r="U384" s="351"/>
      <c r="V384" s="351"/>
      <c r="W384" s="351"/>
      <c r="X384" s="351"/>
      <c r="Y384" s="351"/>
      <c r="Z384" s="351"/>
    </row>
    <row r="385">
      <c r="A385" s="349"/>
      <c r="B385" s="335"/>
      <c r="C385" s="318"/>
      <c r="D385" s="318"/>
      <c r="E385" s="337"/>
      <c r="F385" s="337"/>
      <c r="G385" s="318"/>
      <c r="H385" s="335"/>
      <c r="I385" s="335"/>
      <c r="J385" s="350"/>
      <c r="K385" s="349"/>
      <c r="L385" s="335"/>
      <c r="M385" s="318"/>
      <c r="N385" s="318"/>
      <c r="O385" s="337"/>
      <c r="P385" s="337"/>
      <c r="Q385" s="318"/>
      <c r="R385" s="335"/>
      <c r="S385" s="335"/>
      <c r="T385" s="350"/>
      <c r="U385" s="351"/>
      <c r="V385" s="351"/>
      <c r="W385" s="351"/>
      <c r="X385" s="351"/>
      <c r="Y385" s="351"/>
      <c r="Z385" s="351"/>
    </row>
    <row r="386">
      <c r="A386" s="349"/>
      <c r="B386" s="335"/>
      <c r="C386" s="318"/>
      <c r="D386" s="318"/>
      <c r="E386" s="337"/>
      <c r="F386" s="337"/>
      <c r="G386" s="318"/>
      <c r="H386" s="335"/>
      <c r="I386" s="335"/>
      <c r="J386" s="350"/>
      <c r="K386" s="349"/>
      <c r="L386" s="335"/>
      <c r="M386" s="318"/>
      <c r="N386" s="318"/>
      <c r="O386" s="337"/>
      <c r="P386" s="337"/>
      <c r="Q386" s="318"/>
      <c r="R386" s="335"/>
      <c r="S386" s="335"/>
      <c r="T386" s="350"/>
      <c r="U386" s="351"/>
      <c r="V386" s="351"/>
      <c r="W386" s="351"/>
      <c r="X386" s="351"/>
      <c r="Y386" s="351"/>
      <c r="Z386" s="351"/>
    </row>
    <row r="387">
      <c r="A387" s="349"/>
      <c r="B387" s="335"/>
      <c r="C387" s="318"/>
      <c r="D387" s="318"/>
      <c r="E387" s="337"/>
      <c r="F387" s="337"/>
      <c r="G387" s="318"/>
      <c r="H387" s="335"/>
      <c r="I387" s="335"/>
      <c r="J387" s="350"/>
      <c r="K387" s="349"/>
      <c r="L387" s="335"/>
      <c r="M387" s="318"/>
      <c r="N387" s="318"/>
      <c r="O387" s="337"/>
      <c r="P387" s="337"/>
      <c r="Q387" s="318"/>
      <c r="R387" s="335"/>
      <c r="S387" s="335"/>
      <c r="T387" s="350"/>
      <c r="U387" s="351"/>
      <c r="V387" s="351"/>
      <c r="W387" s="351"/>
      <c r="X387" s="351"/>
      <c r="Y387" s="351"/>
      <c r="Z387" s="351"/>
    </row>
    <row r="388">
      <c r="A388" s="349"/>
      <c r="B388" s="335"/>
      <c r="C388" s="318"/>
      <c r="D388" s="318"/>
      <c r="E388" s="337"/>
      <c r="F388" s="337"/>
      <c r="G388" s="318"/>
      <c r="H388" s="335"/>
      <c r="I388" s="335"/>
      <c r="J388" s="350"/>
      <c r="K388" s="349"/>
      <c r="L388" s="335"/>
      <c r="M388" s="318"/>
      <c r="N388" s="318"/>
      <c r="O388" s="337"/>
      <c r="P388" s="337"/>
      <c r="Q388" s="318"/>
      <c r="R388" s="335"/>
      <c r="S388" s="335"/>
      <c r="T388" s="350"/>
      <c r="U388" s="351"/>
      <c r="V388" s="351"/>
      <c r="W388" s="351"/>
      <c r="X388" s="351"/>
      <c r="Y388" s="351"/>
      <c r="Z388" s="351"/>
    </row>
    <row r="389">
      <c r="A389" s="349"/>
      <c r="B389" s="335"/>
      <c r="C389" s="318"/>
      <c r="D389" s="318"/>
      <c r="E389" s="337"/>
      <c r="F389" s="337"/>
      <c r="G389" s="318"/>
      <c r="H389" s="335"/>
      <c r="I389" s="335"/>
      <c r="J389" s="350"/>
      <c r="K389" s="349"/>
      <c r="L389" s="335"/>
      <c r="M389" s="318"/>
      <c r="N389" s="318"/>
      <c r="O389" s="337"/>
      <c r="P389" s="337"/>
      <c r="Q389" s="318"/>
      <c r="R389" s="335"/>
      <c r="S389" s="335"/>
      <c r="T389" s="350"/>
      <c r="U389" s="351"/>
      <c r="V389" s="351"/>
      <c r="W389" s="351"/>
      <c r="X389" s="351"/>
      <c r="Y389" s="351"/>
      <c r="Z389" s="351"/>
    </row>
    <row r="390">
      <c r="A390" s="349"/>
      <c r="B390" s="335"/>
      <c r="C390" s="318"/>
      <c r="D390" s="318"/>
      <c r="E390" s="337"/>
      <c r="F390" s="337"/>
      <c r="G390" s="318"/>
      <c r="H390" s="335"/>
      <c r="I390" s="335"/>
      <c r="J390" s="350"/>
      <c r="K390" s="349"/>
      <c r="L390" s="335"/>
      <c r="M390" s="318"/>
      <c r="N390" s="318"/>
      <c r="O390" s="337"/>
      <c r="P390" s="337"/>
      <c r="Q390" s="318"/>
      <c r="R390" s="335"/>
      <c r="S390" s="335"/>
      <c r="T390" s="350"/>
      <c r="U390" s="351"/>
      <c r="V390" s="351"/>
      <c r="W390" s="351"/>
      <c r="X390" s="351"/>
      <c r="Y390" s="351"/>
      <c r="Z390" s="351"/>
    </row>
    <row r="391">
      <c r="A391" s="349"/>
      <c r="B391" s="335"/>
      <c r="C391" s="318"/>
      <c r="D391" s="318"/>
      <c r="E391" s="337"/>
      <c r="F391" s="337"/>
      <c r="G391" s="318"/>
      <c r="H391" s="335"/>
      <c r="I391" s="335"/>
      <c r="J391" s="350"/>
      <c r="K391" s="349"/>
      <c r="L391" s="335"/>
      <c r="M391" s="318"/>
      <c r="N391" s="318"/>
      <c r="O391" s="337"/>
      <c r="P391" s="337"/>
      <c r="Q391" s="318"/>
      <c r="R391" s="335"/>
      <c r="S391" s="335"/>
      <c r="T391" s="350"/>
      <c r="U391" s="351"/>
      <c r="V391" s="351"/>
      <c r="W391" s="351"/>
      <c r="X391" s="351"/>
      <c r="Y391" s="351"/>
      <c r="Z391" s="351"/>
    </row>
    <row r="392">
      <c r="A392" s="349"/>
      <c r="B392" s="335"/>
      <c r="C392" s="318"/>
      <c r="D392" s="318"/>
      <c r="E392" s="337"/>
      <c r="F392" s="337"/>
      <c r="G392" s="318"/>
      <c r="H392" s="335"/>
      <c r="I392" s="335"/>
      <c r="J392" s="337"/>
      <c r="K392" s="349"/>
      <c r="L392" s="335"/>
      <c r="M392" s="318"/>
      <c r="N392" s="318"/>
      <c r="O392" s="337"/>
      <c r="P392" s="337"/>
      <c r="Q392" s="318"/>
      <c r="R392" s="335"/>
      <c r="S392" s="335"/>
      <c r="T392" s="337"/>
      <c r="U392" s="351"/>
      <c r="V392" s="351"/>
      <c r="W392" s="351"/>
      <c r="X392" s="351"/>
      <c r="Y392" s="351"/>
      <c r="Z392" s="351"/>
    </row>
    <row r="393">
      <c r="A393" s="349"/>
      <c r="B393" s="335"/>
      <c r="C393" s="318"/>
      <c r="D393" s="318"/>
      <c r="E393" s="337"/>
      <c r="F393" s="337"/>
      <c r="G393" s="318"/>
      <c r="H393" s="335"/>
      <c r="I393" s="335"/>
      <c r="J393" s="350"/>
      <c r="K393" s="349"/>
      <c r="L393" s="335"/>
      <c r="M393" s="318"/>
      <c r="N393" s="318"/>
      <c r="O393" s="337"/>
      <c r="P393" s="337"/>
      <c r="Q393" s="318"/>
      <c r="R393" s="335"/>
      <c r="S393" s="335"/>
      <c r="T393" s="350"/>
      <c r="U393" s="351"/>
      <c r="V393" s="351"/>
      <c r="W393" s="351"/>
      <c r="X393" s="351"/>
      <c r="Y393" s="351"/>
      <c r="Z393" s="351"/>
    </row>
    <row r="394">
      <c r="A394" s="335"/>
      <c r="B394" s="335"/>
      <c r="C394" s="318"/>
      <c r="D394" s="318"/>
      <c r="E394" s="335"/>
      <c r="F394" s="335"/>
      <c r="G394" s="318"/>
      <c r="H394" s="335"/>
      <c r="I394" s="335"/>
      <c r="J394" s="335"/>
      <c r="K394" s="335"/>
      <c r="L394" s="335"/>
      <c r="M394" s="318"/>
      <c r="N394" s="318"/>
      <c r="O394" s="335"/>
      <c r="P394" s="335"/>
      <c r="Q394" s="318"/>
      <c r="R394" s="335"/>
      <c r="S394" s="335"/>
      <c r="T394" s="335"/>
      <c r="U394" s="351"/>
      <c r="V394" s="351"/>
      <c r="W394" s="351"/>
      <c r="X394" s="351"/>
      <c r="Y394" s="351"/>
      <c r="Z394" s="351"/>
    </row>
    <row r="395">
      <c r="A395" s="349"/>
      <c r="B395" s="335"/>
      <c r="C395" s="318"/>
      <c r="D395" s="318"/>
      <c r="E395" s="337"/>
      <c r="F395" s="337"/>
      <c r="G395" s="318"/>
      <c r="H395" s="335"/>
      <c r="I395" s="335"/>
      <c r="J395" s="350"/>
      <c r="K395" s="349"/>
      <c r="L395" s="335"/>
      <c r="M395" s="318"/>
      <c r="N395" s="318"/>
      <c r="O395" s="337"/>
      <c r="P395" s="337"/>
      <c r="Q395" s="318"/>
      <c r="R395" s="335"/>
      <c r="S395" s="335"/>
      <c r="T395" s="350"/>
      <c r="U395" s="351"/>
      <c r="V395" s="351"/>
      <c r="W395" s="351"/>
      <c r="X395" s="351"/>
      <c r="Y395" s="351"/>
      <c r="Z395" s="351"/>
    </row>
    <row r="396">
      <c r="A396" s="349"/>
      <c r="B396" s="335"/>
      <c r="C396" s="318"/>
      <c r="D396" s="318"/>
      <c r="E396" s="337"/>
      <c r="F396" s="337"/>
      <c r="G396" s="318"/>
      <c r="H396" s="335"/>
      <c r="I396" s="335"/>
      <c r="J396" s="350"/>
      <c r="K396" s="349"/>
      <c r="L396" s="335"/>
      <c r="M396" s="318"/>
      <c r="N396" s="318"/>
      <c r="O396" s="337"/>
      <c r="P396" s="337"/>
      <c r="Q396" s="318"/>
      <c r="R396" s="335"/>
      <c r="S396" s="335"/>
      <c r="T396" s="350"/>
      <c r="U396" s="351"/>
      <c r="V396" s="351"/>
      <c r="W396" s="351"/>
      <c r="X396" s="351"/>
      <c r="Y396" s="351"/>
      <c r="Z396" s="351"/>
    </row>
    <row r="397">
      <c r="A397" s="349"/>
      <c r="B397" s="335"/>
      <c r="C397" s="318"/>
      <c r="D397" s="318"/>
      <c r="E397" s="337"/>
      <c r="F397" s="337"/>
      <c r="G397" s="318"/>
      <c r="H397" s="335"/>
      <c r="I397" s="335"/>
      <c r="J397" s="350"/>
      <c r="K397" s="349"/>
      <c r="L397" s="335"/>
      <c r="M397" s="318"/>
      <c r="N397" s="318"/>
      <c r="O397" s="337"/>
      <c r="P397" s="337"/>
      <c r="Q397" s="318"/>
      <c r="R397" s="335"/>
      <c r="S397" s="335"/>
      <c r="T397" s="350"/>
      <c r="U397" s="351"/>
      <c r="V397" s="351"/>
      <c r="W397" s="351"/>
      <c r="X397" s="351"/>
      <c r="Y397" s="351"/>
      <c r="Z397" s="351"/>
    </row>
    <row r="398">
      <c r="A398" s="349"/>
      <c r="B398" s="335"/>
      <c r="C398" s="318"/>
      <c r="D398" s="318"/>
      <c r="E398" s="337"/>
      <c r="F398" s="337"/>
      <c r="G398" s="318"/>
      <c r="H398" s="335"/>
      <c r="I398" s="335"/>
      <c r="J398" s="350"/>
      <c r="K398" s="349"/>
      <c r="L398" s="335"/>
      <c r="M398" s="318"/>
      <c r="N398" s="318"/>
      <c r="O398" s="337"/>
      <c r="P398" s="337"/>
      <c r="Q398" s="318"/>
      <c r="R398" s="335"/>
      <c r="S398" s="335"/>
      <c r="T398" s="350"/>
      <c r="U398" s="351"/>
      <c r="V398" s="351"/>
      <c r="W398" s="351"/>
      <c r="X398" s="351"/>
      <c r="Y398" s="351"/>
      <c r="Z398" s="351"/>
    </row>
    <row r="399">
      <c r="A399" s="349"/>
      <c r="B399" s="335"/>
      <c r="C399" s="318"/>
      <c r="D399" s="318"/>
      <c r="E399" s="337"/>
      <c r="F399" s="337"/>
      <c r="G399" s="318"/>
      <c r="H399" s="335"/>
      <c r="I399" s="335"/>
      <c r="J399" s="335"/>
      <c r="K399" s="349"/>
      <c r="L399" s="335"/>
      <c r="M399" s="318"/>
      <c r="N399" s="318"/>
      <c r="O399" s="337"/>
      <c r="P399" s="337"/>
      <c r="Q399" s="318"/>
      <c r="R399" s="335"/>
      <c r="S399" s="335"/>
      <c r="T399" s="335"/>
      <c r="U399" s="351"/>
      <c r="V399" s="351"/>
      <c r="W399" s="351"/>
      <c r="X399" s="351"/>
      <c r="Y399" s="351"/>
      <c r="Z399" s="351"/>
    </row>
    <row r="400">
      <c r="A400" s="349"/>
      <c r="B400" s="335"/>
      <c r="C400" s="318"/>
      <c r="D400" s="318"/>
      <c r="E400" s="337"/>
      <c r="F400" s="337"/>
      <c r="G400" s="318"/>
      <c r="H400" s="335"/>
      <c r="I400" s="335"/>
      <c r="J400" s="350"/>
      <c r="K400" s="349"/>
      <c r="L400" s="335"/>
      <c r="M400" s="318"/>
      <c r="N400" s="318"/>
      <c r="O400" s="337"/>
      <c r="P400" s="337"/>
      <c r="Q400" s="318"/>
      <c r="R400" s="335"/>
      <c r="S400" s="335"/>
      <c r="T400" s="350"/>
      <c r="U400" s="351"/>
      <c r="V400" s="351"/>
      <c r="W400" s="351"/>
      <c r="X400" s="351"/>
      <c r="Y400" s="351"/>
      <c r="Z400" s="351"/>
    </row>
    <row r="401">
      <c r="A401" s="349"/>
      <c r="B401" s="335"/>
      <c r="C401" s="318"/>
      <c r="D401" s="318"/>
      <c r="E401" s="337"/>
      <c r="F401" s="337"/>
      <c r="G401" s="318"/>
      <c r="H401" s="335"/>
      <c r="I401" s="335"/>
      <c r="J401" s="350"/>
      <c r="K401" s="349"/>
      <c r="L401" s="335"/>
      <c r="M401" s="318"/>
      <c r="N401" s="318"/>
      <c r="O401" s="337"/>
      <c r="P401" s="337"/>
      <c r="Q401" s="318"/>
      <c r="R401" s="335"/>
      <c r="S401" s="335"/>
      <c r="T401" s="350"/>
      <c r="U401" s="351"/>
      <c r="V401" s="351"/>
      <c r="W401" s="351"/>
      <c r="X401" s="351"/>
      <c r="Y401" s="351"/>
      <c r="Z401" s="351"/>
    </row>
    <row r="402">
      <c r="A402" s="349"/>
      <c r="B402" s="335"/>
      <c r="C402" s="318"/>
      <c r="D402" s="318"/>
      <c r="E402" s="337"/>
      <c r="F402" s="337"/>
      <c r="G402" s="318"/>
      <c r="H402" s="335"/>
      <c r="I402" s="337"/>
      <c r="J402" s="350"/>
      <c r="K402" s="349"/>
      <c r="L402" s="335"/>
      <c r="M402" s="318"/>
      <c r="N402" s="318"/>
      <c r="O402" s="337"/>
      <c r="P402" s="337"/>
      <c r="Q402" s="318"/>
      <c r="R402" s="335"/>
      <c r="S402" s="337"/>
      <c r="T402" s="350"/>
      <c r="U402" s="351"/>
      <c r="V402" s="351"/>
      <c r="W402" s="351"/>
      <c r="X402" s="351"/>
      <c r="Y402" s="351"/>
      <c r="Z402" s="351"/>
    </row>
    <row r="403">
      <c r="A403" s="349"/>
      <c r="B403" s="335"/>
      <c r="C403" s="318"/>
      <c r="D403" s="318"/>
      <c r="E403" s="337"/>
      <c r="F403" s="337"/>
      <c r="G403" s="318"/>
      <c r="H403" s="335"/>
      <c r="I403" s="335"/>
      <c r="J403" s="335"/>
      <c r="K403" s="349"/>
      <c r="L403" s="335"/>
      <c r="M403" s="318"/>
      <c r="N403" s="318"/>
      <c r="O403" s="337"/>
      <c r="P403" s="337"/>
      <c r="Q403" s="318"/>
      <c r="R403" s="335"/>
      <c r="S403" s="335"/>
      <c r="T403" s="335"/>
      <c r="U403" s="351"/>
      <c r="V403" s="351"/>
      <c r="W403" s="351"/>
      <c r="X403" s="351"/>
      <c r="Y403" s="351"/>
      <c r="Z403" s="351"/>
    </row>
    <row r="404">
      <c r="A404" s="349"/>
      <c r="B404" s="335"/>
      <c r="C404" s="318"/>
      <c r="D404" s="318"/>
      <c r="E404" s="337"/>
      <c r="F404" s="337"/>
      <c r="G404" s="318"/>
      <c r="H404" s="335"/>
      <c r="I404" s="335"/>
      <c r="J404" s="350"/>
      <c r="K404" s="349"/>
      <c r="L404" s="335"/>
      <c r="M404" s="318"/>
      <c r="N404" s="318"/>
      <c r="O404" s="337"/>
      <c r="P404" s="337"/>
      <c r="Q404" s="318"/>
      <c r="R404" s="335"/>
      <c r="S404" s="335"/>
      <c r="T404" s="350"/>
      <c r="U404" s="351"/>
      <c r="V404" s="351"/>
      <c r="W404" s="351"/>
      <c r="X404" s="351"/>
      <c r="Y404" s="351"/>
      <c r="Z404" s="351"/>
    </row>
    <row r="405">
      <c r="A405" s="349"/>
      <c r="B405" s="335"/>
      <c r="C405" s="318"/>
      <c r="D405" s="318"/>
      <c r="E405" s="337"/>
      <c r="F405" s="337"/>
      <c r="G405" s="318"/>
      <c r="H405" s="335"/>
      <c r="I405" s="335"/>
      <c r="J405" s="350"/>
      <c r="K405" s="349"/>
      <c r="L405" s="335"/>
      <c r="M405" s="318"/>
      <c r="N405" s="318"/>
      <c r="O405" s="337"/>
      <c r="P405" s="337"/>
      <c r="Q405" s="318"/>
      <c r="R405" s="335"/>
      <c r="S405" s="335"/>
      <c r="T405" s="350"/>
      <c r="U405" s="351"/>
      <c r="V405" s="351"/>
      <c r="W405" s="351"/>
      <c r="X405" s="351"/>
      <c r="Y405" s="351"/>
      <c r="Z405" s="351"/>
    </row>
    <row r="406">
      <c r="A406" s="349"/>
      <c r="B406" s="335"/>
      <c r="C406" s="318"/>
      <c r="D406" s="318"/>
      <c r="E406" s="337"/>
      <c r="F406" s="337"/>
      <c r="G406" s="318"/>
      <c r="H406" s="335"/>
      <c r="I406" s="335"/>
      <c r="J406" s="350"/>
      <c r="K406" s="349"/>
      <c r="L406" s="335"/>
      <c r="M406" s="318"/>
      <c r="N406" s="318"/>
      <c r="O406" s="337"/>
      <c r="P406" s="337"/>
      <c r="Q406" s="318"/>
      <c r="R406" s="335"/>
      <c r="S406" s="335"/>
      <c r="T406" s="350"/>
      <c r="U406" s="351"/>
      <c r="V406" s="351"/>
      <c r="W406" s="351"/>
      <c r="X406" s="351"/>
      <c r="Y406" s="351"/>
      <c r="Z406" s="351"/>
    </row>
    <row r="407">
      <c r="A407" s="349"/>
      <c r="B407" s="335"/>
      <c r="C407" s="318"/>
      <c r="D407" s="318"/>
      <c r="E407" s="337"/>
      <c r="F407" s="337"/>
      <c r="G407" s="318"/>
      <c r="H407" s="335"/>
      <c r="I407" s="337"/>
      <c r="J407" s="350"/>
      <c r="K407" s="349"/>
      <c r="L407" s="335"/>
      <c r="M407" s="318"/>
      <c r="N407" s="318"/>
      <c r="O407" s="337"/>
      <c r="P407" s="337"/>
      <c r="Q407" s="318"/>
      <c r="R407" s="335"/>
      <c r="S407" s="337"/>
      <c r="T407" s="350"/>
      <c r="U407" s="351"/>
      <c r="V407" s="351"/>
      <c r="W407" s="351"/>
      <c r="X407" s="351"/>
      <c r="Y407" s="351"/>
      <c r="Z407" s="351"/>
    </row>
    <row r="408">
      <c r="A408" s="349"/>
      <c r="B408" s="335"/>
      <c r="C408" s="318"/>
      <c r="D408" s="318"/>
      <c r="E408" s="337"/>
      <c r="F408" s="337"/>
      <c r="G408" s="318"/>
      <c r="H408" s="335"/>
      <c r="I408" s="335"/>
      <c r="J408" s="350"/>
      <c r="K408" s="349"/>
      <c r="L408" s="335"/>
      <c r="M408" s="318"/>
      <c r="N408" s="318"/>
      <c r="O408" s="337"/>
      <c r="P408" s="337"/>
      <c r="Q408" s="318"/>
      <c r="R408" s="335"/>
      <c r="S408" s="335"/>
      <c r="T408" s="350"/>
      <c r="U408" s="351"/>
      <c r="V408" s="351"/>
      <c r="W408" s="351"/>
      <c r="X408" s="351"/>
      <c r="Y408" s="351"/>
      <c r="Z408" s="351"/>
    </row>
    <row r="409">
      <c r="A409" s="349"/>
      <c r="B409" s="335"/>
      <c r="C409" s="318"/>
      <c r="D409" s="318"/>
      <c r="E409" s="337"/>
      <c r="F409" s="337"/>
      <c r="G409" s="318"/>
      <c r="H409" s="335"/>
      <c r="I409" s="335"/>
      <c r="J409" s="350"/>
      <c r="K409" s="349"/>
      <c r="L409" s="335"/>
      <c r="M409" s="318"/>
      <c r="N409" s="318"/>
      <c r="O409" s="337"/>
      <c r="P409" s="337"/>
      <c r="Q409" s="318"/>
      <c r="R409" s="335"/>
      <c r="S409" s="335"/>
      <c r="T409" s="350"/>
      <c r="U409" s="351"/>
      <c r="V409" s="351"/>
      <c r="W409" s="351"/>
      <c r="X409" s="351"/>
      <c r="Y409" s="351"/>
      <c r="Z409" s="351"/>
    </row>
    <row r="410">
      <c r="A410" s="349"/>
      <c r="B410" s="335"/>
      <c r="C410" s="318"/>
      <c r="D410" s="318"/>
      <c r="E410" s="337"/>
      <c r="F410" s="337"/>
      <c r="G410" s="318"/>
      <c r="H410" s="335"/>
      <c r="I410" s="335"/>
      <c r="J410" s="350"/>
      <c r="K410" s="349"/>
      <c r="L410" s="335"/>
      <c r="M410" s="318"/>
      <c r="N410" s="318"/>
      <c r="O410" s="337"/>
      <c r="P410" s="337"/>
      <c r="Q410" s="318"/>
      <c r="R410" s="335"/>
      <c r="S410" s="335"/>
      <c r="T410" s="350"/>
      <c r="U410" s="351"/>
      <c r="V410" s="351"/>
      <c r="W410" s="351"/>
      <c r="X410" s="351"/>
      <c r="Y410" s="351"/>
      <c r="Z410" s="351"/>
    </row>
    <row r="411">
      <c r="A411" s="349"/>
      <c r="B411" s="335"/>
      <c r="C411" s="318"/>
      <c r="D411" s="318"/>
      <c r="E411" s="337"/>
      <c r="F411" s="337"/>
      <c r="G411" s="318"/>
      <c r="H411" s="335"/>
      <c r="I411" s="335"/>
      <c r="J411" s="350"/>
      <c r="K411" s="349"/>
      <c r="L411" s="335"/>
      <c r="M411" s="318"/>
      <c r="N411" s="318"/>
      <c r="O411" s="337"/>
      <c r="P411" s="337"/>
      <c r="Q411" s="318"/>
      <c r="R411" s="335"/>
      <c r="S411" s="335"/>
      <c r="T411" s="350"/>
      <c r="U411" s="351"/>
      <c r="V411" s="351"/>
      <c r="W411" s="351"/>
      <c r="X411" s="351"/>
      <c r="Y411" s="351"/>
      <c r="Z411" s="351"/>
    </row>
    <row r="412">
      <c r="A412" s="349"/>
      <c r="B412" s="335"/>
      <c r="C412" s="318"/>
      <c r="D412" s="318"/>
      <c r="E412" s="337"/>
      <c r="F412" s="337"/>
      <c r="G412" s="318"/>
      <c r="H412" s="335"/>
      <c r="I412" s="335"/>
      <c r="J412" s="350"/>
      <c r="K412" s="349"/>
      <c r="L412" s="335"/>
      <c r="M412" s="318"/>
      <c r="N412" s="318"/>
      <c r="O412" s="337"/>
      <c r="P412" s="337"/>
      <c r="Q412" s="318"/>
      <c r="R412" s="335"/>
      <c r="S412" s="335"/>
      <c r="T412" s="350"/>
      <c r="U412" s="351"/>
      <c r="V412" s="351"/>
      <c r="W412" s="351"/>
      <c r="X412" s="351"/>
      <c r="Y412" s="351"/>
      <c r="Z412" s="351"/>
    </row>
    <row r="413">
      <c r="A413" s="349"/>
      <c r="B413" s="335"/>
      <c r="C413" s="318"/>
      <c r="D413" s="355"/>
      <c r="E413" s="354"/>
      <c r="F413" s="354"/>
      <c r="G413" s="318"/>
      <c r="H413" s="350"/>
      <c r="I413" s="350"/>
      <c r="J413" s="350"/>
      <c r="K413" s="349"/>
      <c r="L413" s="335"/>
      <c r="M413" s="318"/>
      <c r="N413" s="355"/>
      <c r="O413" s="354"/>
      <c r="P413" s="354"/>
      <c r="Q413" s="318"/>
      <c r="R413" s="350"/>
      <c r="S413" s="350"/>
      <c r="T413" s="350"/>
      <c r="U413" s="351"/>
      <c r="V413" s="351"/>
      <c r="W413" s="351"/>
      <c r="X413" s="351"/>
      <c r="Y413" s="351"/>
      <c r="Z413" s="351"/>
    </row>
    <row r="414">
      <c r="A414" s="349"/>
      <c r="B414" s="335"/>
      <c r="C414" s="318"/>
      <c r="D414" s="318"/>
      <c r="E414" s="337"/>
      <c r="F414" s="354"/>
      <c r="G414" s="318"/>
      <c r="H414" s="350"/>
      <c r="I414" s="335"/>
      <c r="J414" s="350"/>
      <c r="K414" s="349"/>
      <c r="L414" s="335"/>
      <c r="M414" s="318"/>
      <c r="N414" s="318"/>
      <c r="O414" s="337"/>
      <c r="P414" s="354"/>
      <c r="Q414" s="318"/>
      <c r="R414" s="350"/>
      <c r="S414" s="335"/>
      <c r="T414" s="350"/>
      <c r="U414" s="351"/>
      <c r="V414" s="351"/>
      <c r="W414" s="351"/>
      <c r="X414" s="351"/>
      <c r="Y414" s="351"/>
      <c r="Z414" s="351"/>
    </row>
    <row r="415">
      <c r="A415" s="349"/>
      <c r="B415" s="335"/>
      <c r="C415" s="318"/>
      <c r="D415" s="318"/>
      <c r="E415" s="337"/>
      <c r="F415" s="337"/>
      <c r="G415" s="318"/>
      <c r="H415" s="350"/>
      <c r="I415" s="335"/>
      <c r="J415" s="350"/>
      <c r="K415" s="349"/>
      <c r="L415" s="335"/>
      <c r="M415" s="318"/>
      <c r="N415" s="318"/>
      <c r="O415" s="337"/>
      <c r="P415" s="337"/>
      <c r="Q415" s="318"/>
      <c r="R415" s="350"/>
      <c r="S415" s="335"/>
      <c r="T415" s="350"/>
      <c r="U415" s="351"/>
      <c r="V415" s="351"/>
      <c r="W415" s="351"/>
      <c r="X415" s="351"/>
      <c r="Y415" s="351"/>
      <c r="Z415" s="351"/>
    </row>
    <row r="416">
      <c r="A416" s="349"/>
      <c r="B416" s="335"/>
      <c r="C416" s="318"/>
      <c r="D416" s="318"/>
      <c r="E416" s="337"/>
      <c r="F416" s="335"/>
      <c r="G416" s="318"/>
      <c r="H416" s="350"/>
      <c r="I416" s="335"/>
      <c r="J416" s="350"/>
      <c r="K416" s="349"/>
      <c r="L416" s="335"/>
      <c r="M416" s="318"/>
      <c r="N416" s="318"/>
      <c r="O416" s="337"/>
      <c r="P416" s="335"/>
      <c r="Q416" s="318"/>
      <c r="R416" s="350"/>
      <c r="S416" s="335"/>
      <c r="T416" s="350"/>
      <c r="U416" s="351"/>
      <c r="V416" s="351"/>
      <c r="W416" s="351"/>
      <c r="X416" s="351"/>
      <c r="Y416" s="351"/>
      <c r="Z416" s="351"/>
    </row>
    <row r="417">
      <c r="A417" s="349"/>
      <c r="B417" s="335"/>
      <c r="C417" s="318"/>
      <c r="D417" s="318"/>
      <c r="E417" s="337"/>
      <c r="F417" s="337"/>
      <c r="G417" s="318"/>
      <c r="H417" s="335"/>
      <c r="I417" s="335"/>
      <c r="J417" s="335"/>
      <c r="K417" s="349"/>
      <c r="L417" s="335"/>
      <c r="M417" s="318"/>
      <c r="N417" s="318"/>
      <c r="O417" s="337"/>
      <c r="P417" s="337"/>
      <c r="Q417" s="318"/>
      <c r="R417" s="335"/>
      <c r="S417" s="335"/>
      <c r="T417" s="335"/>
      <c r="U417" s="351"/>
      <c r="V417" s="351"/>
      <c r="W417" s="351"/>
      <c r="X417" s="351"/>
      <c r="Y417" s="351"/>
      <c r="Z417" s="351"/>
    </row>
    <row r="418">
      <c r="A418" s="349"/>
      <c r="B418" s="335"/>
      <c r="C418" s="318"/>
      <c r="D418" s="318"/>
      <c r="E418" s="354"/>
      <c r="F418" s="354"/>
      <c r="G418" s="318"/>
      <c r="H418" s="350"/>
      <c r="I418" s="350"/>
      <c r="J418" s="350"/>
      <c r="K418" s="349"/>
      <c r="L418" s="335"/>
      <c r="M418" s="318"/>
      <c r="N418" s="318"/>
      <c r="O418" s="354"/>
      <c r="P418" s="354"/>
      <c r="Q418" s="318"/>
      <c r="R418" s="350"/>
      <c r="S418" s="350"/>
      <c r="T418" s="350"/>
      <c r="U418" s="351"/>
      <c r="V418" s="351"/>
      <c r="W418" s="351"/>
      <c r="X418" s="351"/>
      <c r="Y418" s="351"/>
      <c r="Z418" s="351"/>
    </row>
    <row r="419">
      <c r="A419" s="349"/>
      <c r="B419" s="335"/>
      <c r="C419" s="355"/>
      <c r="D419" s="318"/>
      <c r="E419" s="337"/>
      <c r="F419" s="354"/>
      <c r="G419" s="318"/>
      <c r="H419" s="350"/>
      <c r="I419" s="350"/>
      <c r="J419" s="350"/>
      <c r="K419" s="349"/>
      <c r="L419" s="335"/>
      <c r="M419" s="355"/>
      <c r="N419" s="318"/>
      <c r="O419" s="337"/>
      <c r="P419" s="354"/>
      <c r="Q419" s="318"/>
      <c r="R419" s="350"/>
      <c r="S419" s="350"/>
      <c r="T419" s="350"/>
      <c r="U419" s="351"/>
      <c r="V419" s="351"/>
      <c r="W419" s="351"/>
      <c r="X419" s="351"/>
      <c r="Y419" s="351"/>
      <c r="Z419" s="351"/>
    </row>
    <row r="420">
      <c r="A420" s="349"/>
      <c r="B420" s="335"/>
      <c r="C420" s="318"/>
      <c r="D420" s="318"/>
      <c r="E420" s="337"/>
      <c r="F420" s="337"/>
      <c r="G420" s="318"/>
      <c r="H420" s="335"/>
      <c r="I420" s="335"/>
      <c r="J420" s="350"/>
      <c r="K420" s="349"/>
      <c r="L420" s="335"/>
      <c r="M420" s="318"/>
      <c r="N420" s="318"/>
      <c r="O420" s="337"/>
      <c r="P420" s="337"/>
      <c r="Q420" s="318"/>
      <c r="R420" s="335"/>
      <c r="S420" s="335"/>
      <c r="T420" s="350"/>
      <c r="U420" s="351"/>
      <c r="V420" s="351"/>
      <c r="W420" s="351"/>
      <c r="X420" s="351"/>
      <c r="Y420" s="351"/>
      <c r="Z420" s="351"/>
    </row>
    <row r="421">
      <c r="A421" s="349"/>
      <c r="B421" s="335"/>
      <c r="C421" s="318"/>
      <c r="D421" s="318"/>
      <c r="E421" s="337"/>
      <c r="F421" s="337"/>
      <c r="G421" s="318"/>
      <c r="H421" s="335"/>
      <c r="I421" s="335"/>
      <c r="J421" s="350"/>
      <c r="K421" s="349"/>
      <c r="L421" s="335"/>
      <c r="M421" s="318"/>
      <c r="N421" s="318"/>
      <c r="O421" s="337"/>
      <c r="P421" s="337"/>
      <c r="Q421" s="318"/>
      <c r="R421" s="335"/>
      <c r="S421" s="335"/>
      <c r="T421" s="350"/>
      <c r="U421" s="351"/>
      <c r="V421" s="351"/>
      <c r="W421" s="351"/>
      <c r="X421" s="351"/>
      <c r="Y421" s="351"/>
      <c r="Z421" s="351"/>
    </row>
    <row r="422">
      <c r="A422" s="349"/>
      <c r="B422" s="335"/>
      <c r="C422" s="318"/>
      <c r="D422" s="318"/>
      <c r="E422" s="337"/>
      <c r="F422" s="337"/>
      <c r="G422" s="318"/>
      <c r="H422" s="335"/>
      <c r="I422" s="335"/>
      <c r="J422" s="350"/>
      <c r="K422" s="349"/>
      <c r="L422" s="335"/>
      <c r="M422" s="318"/>
      <c r="N422" s="318"/>
      <c r="O422" s="337"/>
      <c r="P422" s="337"/>
      <c r="Q422" s="318"/>
      <c r="R422" s="335"/>
      <c r="S422" s="335"/>
      <c r="T422" s="350"/>
      <c r="U422" s="351"/>
      <c r="V422" s="351"/>
      <c r="W422" s="351"/>
      <c r="X422" s="351"/>
      <c r="Y422" s="351"/>
      <c r="Z422" s="351"/>
    </row>
    <row r="423">
      <c r="A423" s="349"/>
      <c r="B423" s="335"/>
      <c r="C423" s="318"/>
      <c r="D423" s="318"/>
      <c r="E423" s="337"/>
      <c r="F423" s="337"/>
      <c r="G423" s="318"/>
      <c r="H423" s="335"/>
      <c r="I423" s="335"/>
      <c r="J423" s="350"/>
      <c r="K423" s="349"/>
      <c r="L423" s="335"/>
      <c r="M423" s="318"/>
      <c r="N423" s="318"/>
      <c r="O423" s="337"/>
      <c r="P423" s="337"/>
      <c r="Q423" s="318"/>
      <c r="R423" s="335"/>
      <c r="S423" s="335"/>
      <c r="T423" s="350"/>
      <c r="U423" s="351"/>
      <c r="V423" s="351"/>
      <c r="W423" s="351"/>
      <c r="X423" s="351"/>
      <c r="Y423" s="351"/>
      <c r="Z423" s="351"/>
    </row>
    <row r="424">
      <c r="A424" s="349"/>
      <c r="B424" s="335"/>
      <c r="C424" s="318"/>
      <c r="D424" s="318"/>
      <c r="E424" s="337"/>
      <c r="F424" s="337"/>
      <c r="G424" s="318"/>
      <c r="H424" s="335"/>
      <c r="I424" s="335"/>
      <c r="J424" s="350"/>
      <c r="K424" s="349"/>
      <c r="L424" s="335"/>
      <c r="M424" s="318"/>
      <c r="N424" s="318"/>
      <c r="O424" s="337"/>
      <c r="P424" s="337"/>
      <c r="Q424" s="318"/>
      <c r="R424" s="335"/>
      <c r="S424" s="335"/>
      <c r="T424" s="350"/>
      <c r="U424" s="351"/>
      <c r="V424" s="351"/>
      <c r="W424" s="351"/>
      <c r="X424" s="351"/>
      <c r="Y424" s="351"/>
      <c r="Z424" s="351"/>
    </row>
    <row r="425">
      <c r="A425" s="349"/>
      <c r="B425" s="335"/>
      <c r="C425" s="318"/>
      <c r="D425" s="318"/>
      <c r="E425" s="337"/>
      <c r="F425" s="337"/>
      <c r="G425" s="318"/>
      <c r="H425" s="335"/>
      <c r="I425" s="335"/>
      <c r="J425" s="350"/>
      <c r="K425" s="349"/>
      <c r="L425" s="335"/>
      <c r="M425" s="318"/>
      <c r="N425" s="318"/>
      <c r="O425" s="337"/>
      <c r="P425" s="337"/>
      <c r="Q425" s="318"/>
      <c r="R425" s="335"/>
      <c r="S425" s="335"/>
      <c r="T425" s="350"/>
      <c r="U425" s="351"/>
      <c r="V425" s="351"/>
      <c r="W425" s="351"/>
      <c r="X425" s="351"/>
      <c r="Y425" s="351"/>
      <c r="Z425" s="351"/>
    </row>
    <row r="426">
      <c r="A426" s="349"/>
      <c r="B426" s="335"/>
      <c r="C426" s="318"/>
      <c r="D426" s="318"/>
      <c r="E426" s="337"/>
      <c r="F426" s="337"/>
      <c r="G426" s="318"/>
      <c r="H426" s="335"/>
      <c r="I426" s="335"/>
      <c r="J426" s="350"/>
      <c r="K426" s="349"/>
      <c r="L426" s="335"/>
      <c r="M426" s="318"/>
      <c r="N426" s="318"/>
      <c r="O426" s="337"/>
      <c r="P426" s="337"/>
      <c r="Q426" s="318"/>
      <c r="R426" s="335"/>
      <c r="S426" s="335"/>
      <c r="T426" s="350"/>
      <c r="U426" s="351"/>
      <c r="V426" s="351"/>
      <c r="W426" s="351"/>
      <c r="X426" s="351"/>
      <c r="Y426" s="351"/>
      <c r="Z426" s="351"/>
    </row>
    <row r="427">
      <c r="A427" s="349"/>
      <c r="B427" s="335"/>
      <c r="C427" s="318"/>
      <c r="D427" s="318"/>
      <c r="E427" s="337"/>
      <c r="F427" s="337"/>
      <c r="G427" s="318"/>
      <c r="H427" s="335"/>
      <c r="I427" s="335"/>
      <c r="J427" s="350"/>
      <c r="K427" s="349"/>
      <c r="L427" s="335"/>
      <c r="M427" s="318"/>
      <c r="N427" s="318"/>
      <c r="O427" s="337"/>
      <c r="P427" s="337"/>
      <c r="Q427" s="318"/>
      <c r="R427" s="335"/>
      <c r="S427" s="335"/>
      <c r="T427" s="350"/>
      <c r="U427" s="351"/>
      <c r="V427" s="351"/>
      <c r="W427" s="351"/>
      <c r="X427" s="351"/>
      <c r="Y427" s="351"/>
      <c r="Z427" s="351"/>
    </row>
    <row r="428">
      <c r="A428" s="349"/>
      <c r="B428" s="335"/>
      <c r="C428" s="318"/>
      <c r="D428" s="318"/>
      <c r="E428" s="337"/>
      <c r="F428" s="337"/>
      <c r="G428" s="318"/>
      <c r="H428" s="335"/>
      <c r="I428" s="337"/>
      <c r="J428" s="350"/>
      <c r="K428" s="349"/>
      <c r="L428" s="335"/>
      <c r="M428" s="318"/>
      <c r="N428" s="318"/>
      <c r="O428" s="337"/>
      <c r="P428" s="337"/>
      <c r="Q428" s="318"/>
      <c r="R428" s="335"/>
      <c r="S428" s="337"/>
      <c r="T428" s="350"/>
      <c r="U428" s="351"/>
      <c r="V428" s="351"/>
      <c r="W428" s="351"/>
      <c r="X428" s="351"/>
      <c r="Y428" s="351"/>
      <c r="Z428" s="351"/>
    </row>
    <row r="429">
      <c r="A429" s="349"/>
      <c r="B429" s="335"/>
      <c r="C429" s="318"/>
      <c r="D429" s="318"/>
      <c r="E429" s="337"/>
      <c r="F429" s="337"/>
      <c r="G429" s="318"/>
      <c r="H429" s="335"/>
      <c r="I429" s="337"/>
      <c r="J429" s="350"/>
      <c r="K429" s="349"/>
      <c r="L429" s="335"/>
      <c r="M429" s="318"/>
      <c r="N429" s="318"/>
      <c r="O429" s="337"/>
      <c r="P429" s="337"/>
      <c r="Q429" s="318"/>
      <c r="R429" s="335"/>
      <c r="S429" s="337"/>
      <c r="T429" s="350"/>
      <c r="U429" s="351"/>
      <c r="V429" s="351"/>
      <c r="W429" s="351"/>
      <c r="X429" s="351"/>
      <c r="Y429" s="351"/>
      <c r="Z429" s="351"/>
    </row>
    <row r="430">
      <c r="A430" s="349"/>
      <c r="B430" s="335"/>
      <c r="C430" s="318"/>
      <c r="D430" s="318"/>
      <c r="E430" s="337"/>
      <c r="F430" s="337"/>
      <c r="G430" s="318"/>
      <c r="H430" s="335"/>
      <c r="I430" s="335"/>
      <c r="J430" s="350"/>
      <c r="K430" s="349"/>
      <c r="L430" s="335"/>
      <c r="M430" s="318"/>
      <c r="N430" s="318"/>
      <c r="O430" s="337"/>
      <c r="P430" s="337"/>
      <c r="Q430" s="318"/>
      <c r="R430" s="335"/>
      <c r="S430" s="335"/>
      <c r="T430" s="350"/>
      <c r="U430" s="351"/>
      <c r="V430" s="351"/>
      <c r="W430" s="351"/>
      <c r="X430" s="351"/>
      <c r="Y430" s="351"/>
      <c r="Z430" s="351"/>
    </row>
    <row r="431">
      <c r="A431" s="349"/>
      <c r="B431" s="335"/>
      <c r="C431" s="318"/>
      <c r="D431" s="318"/>
      <c r="E431" s="337"/>
      <c r="F431" s="337"/>
      <c r="G431" s="318"/>
      <c r="H431" s="335"/>
      <c r="I431" s="335"/>
      <c r="J431" s="350"/>
      <c r="K431" s="349"/>
      <c r="L431" s="335"/>
      <c r="M431" s="318"/>
      <c r="N431" s="318"/>
      <c r="O431" s="337"/>
      <c r="P431" s="337"/>
      <c r="Q431" s="318"/>
      <c r="R431" s="335"/>
      <c r="S431" s="335"/>
      <c r="T431" s="350"/>
      <c r="U431" s="351"/>
      <c r="V431" s="351"/>
      <c r="W431" s="351"/>
      <c r="X431" s="351"/>
      <c r="Y431" s="351"/>
      <c r="Z431" s="351"/>
    </row>
    <row r="432">
      <c r="A432" s="349"/>
      <c r="B432" s="335"/>
      <c r="C432" s="318"/>
      <c r="D432" s="318"/>
      <c r="E432" s="337"/>
      <c r="F432" s="337"/>
      <c r="G432" s="318"/>
      <c r="H432" s="335"/>
      <c r="I432" s="335"/>
      <c r="J432" s="350"/>
      <c r="K432" s="349"/>
      <c r="L432" s="335"/>
      <c r="M432" s="318"/>
      <c r="N432" s="318"/>
      <c r="O432" s="337"/>
      <c r="P432" s="337"/>
      <c r="Q432" s="318"/>
      <c r="R432" s="335"/>
      <c r="S432" s="335"/>
      <c r="T432" s="350"/>
      <c r="U432" s="351"/>
      <c r="V432" s="351"/>
      <c r="W432" s="351"/>
      <c r="X432" s="351"/>
      <c r="Y432" s="351"/>
      <c r="Z432" s="351"/>
    </row>
    <row r="433">
      <c r="A433" s="349"/>
      <c r="B433" s="335"/>
      <c r="C433" s="318"/>
      <c r="D433" s="318"/>
      <c r="E433" s="337"/>
      <c r="F433" s="337"/>
      <c r="G433" s="318"/>
      <c r="H433" s="335"/>
      <c r="I433" s="335"/>
      <c r="J433" s="350"/>
      <c r="K433" s="349"/>
      <c r="L433" s="335"/>
      <c r="M433" s="318"/>
      <c r="N433" s="318"/>
      <c r="O433" s="337"/>
      <c r="P433" s="337"/>
      <c r="Q433" s="318"/>
      <c r="R433" s="335"/>
      <c r="S433" s="335"/>
      <c r="T433" s="350"/>
      <c r="U433" s="351"/>
      <c r="V433" s="351"/>
      <c r="W433" s="351"/>
      <c r="X433" s="351"/>
      <c r="Y433" s="351"/>
      <c r="Z433" s="351"/>
    </row>
    <row r="434">
      <c r="A434" s="349"/>
      <c r="B434" s="335"/>
      <c r="C434" s="318"/>
      <c r="D434" s="318"/>
      <c r="E434" s="337"/>
      <c r="F434" s="337"/>
      <c r="G434" s="318"/>
      <c r="H434" s="335"/>
      <c r="I434" s="335"/>
      <c r="J434" s="350"/>
      <c r="K434" s="349"/>
      <c r="L434" s="335"/>
      <c r="M434" s="318"/>
      <c r="N434" s="318"/>
      <c r="O434" s="337"/>
      <c r="P434" s="337"/>
      <c r="Q434" s="318"/>
      <c r="R434" s="335"/>
      <c r="S434" s="335"/>
      <c r="T434" s="350"/>
      <c r="U434" s="351"/>
      <c r="V434" s="351"/>
      <c r="W434" s="351"/>
      <c r="X434" s="351"/>
      <c r="Y434" s="351"/>
      <c r="Z434" s="351"/>
    </row>
    <row r="435">
      <c r="A435" s="349"/>
      <c r="B435" s="335"/>
      <c r="C435" s="318"/>
      <c r="D435" s="318"/>
      <c r="E435" s="337"/>
      <c r="F435" s="337"/>
      <c r="G435" s="318"/>
      <c r="H435" s="335"/>
      <c r="I435" s="350"/>
      <c r="J435" s="335"/>
      <c r="K435" s="349"/>
      <c r="L435" s="335"/>
      <c r="M435" s="318"/>
      <c r="N435" s="318"/>
      <c r="O435" s="337"/>
      <c r="P435" s="337"/>
      <c r="Q435" s="318"/>
      <c r="R435" s="335"/>
      <c r="S435" s="350"/>
      <c r="T435" s="335"/>
      <c r="U435" s="351"/>
      <c r="V435" s="351"/>
      <c r="W435" s="351"/>
      <c r="X435" s="351"/>
      <c r="Y435" s="351"/>
      <c r="Z435" s="351"/>
    </row>
    <row r="436">
      <c r="A436" s="349"/>
      <c r="B436" s="335"/>
      <c r="C436" s="318"/>
      <c r="D436" s="318"/>
      <c r="E436" s="337"/>
      <c r="F436" s="337"/>
      <c r="G436" s="318"/>
      <c r="H436" s="335"/>
      <c r="I436" s="335"/>
      <c r="J436" s="350"/>
      <c r="K436" s="349"/>
      <c r="L436" s="335"/>
      <c r="M436" s="318"/>
      <c r="N436" s="318"/>
      <c r="O436" s="337"/>
      <c r="P436" s="337"/>
      <c r="Q436" s="318"/>
      <c r="R436" s="335"/>
      <c r="S436" s="335"/>
      <c r="T436" s="350"/>
      <c r="U436" s="351"/>
      <c r="V436" s="351"/>
      <c r="W436" s="351"/>
      <c r="X436" s="351"/>
      <c r="Y436" s="351"/>
      <c r="Z436" s="351"/>
    </row>
    <row r="437">
      <c r="A437" s="349"/>
      <c r="B437" s="335"/>
      <c r="C437" s="318"/>
      <c r="D437" s="318"/>
      <c r="E437" s="337"/>
      <c r="F437" s="337"/>
      <c r="G437" s="318"/>
      <c r="H437" s="335"/>
      <c r="I437" s="335"/>
      <c r="J437" s="335"/>
      <c r="K437" s="349"/>
      <c r="L437" s="335"/>
      <c r="M437" s="318"/>
      <c r="N437" s="318"/>
      <c r="O437" s="337"/>
      <c r="P437" s="337"/>
      <c r="Q437" s="318"/>
      <c r="R437" s="335"/>
      <c r="S437" s="335"/>
      <c r="T437" s="335"/>
      <c r="U437" s="351"/>
      <c r="V437" s="351"/>
      <c r="W437" s="351"/>
      <c r="X437" s="351"/>
      <c r="Y437" s="351"/>
      <c r="Z437" s="351"/>
    </row>
    <row r="438">
      <c r="A438" s="349"/>
      <c r="B438" s="335"/>
      <c r="C438" s="318"/>
      <c r="D438" s="318"/>
      <c r="E438" s="337"/>
      <c r="F438" s="337"/>
      <c r="G438" s="318"/>
      <c r="H438" s="335"/>
      <c r="I438" s="335"/>
      <c r="J438" s="335"/>
      <c r="K438" s="349"/>
      <c r="L438" s="335"/>
      <c r="M438" s="318"/>
      <c r="N438" s="318"/>
      <c r="O438" s="337"/>
      <c r="P438" s="337"/>
      <c r="Q438" s="318"/>
      <c r="R438" s="335"/>
      <c r="S438" s="335"/>
      <c r="T438" s="335"/>
      <c r="U438" s="351"/>
      <c r="V438" s="351"/>
      <c r="W438" s="351"/>
      <c r="X438" s="351"/>
      <c r="Y438" s="351"/>
      <c r="Z438" s="351"/>
    </row>
    <row r="439">
      <c r="A439" s="349"/>
      <c r="B439" s="335"/>
      <c r="C439" s="318"/>
      <c r="D439" s="318"/>
      <c r="E439" s="337"/>
      <c r="F439" s="337"/>
      <c r="G439" s="318"/>
      <c r="H439" s="335"/>
      <c r="I439" s="335"/>
      <c r="J439" s="350"/>
      <c r="K439" s="349"/>
      <c r="L439" s="335"/>
      <c r="M439" s="318"/>
      <c r="N439" s="318"/>
      <c r="O439" s="337"/>
      <c r="P439" s="337"/>
      <c r="Q439" s="318"/>
      <c r="R439" s="335"/>
      <c r="S439" s="335"/>
      <c r="T439" s="350"/>
      <c r="U439" s="351"/>
      <c r="V439" s="351"/>
      <c r="W439" s="351"/>
      <c r="X439" s="351"/>
      <c r="Y439" s="351"/>
      <c r="Z439" s="351"/>
    </row>
    <row r="440">
      <c r="A440" s="349"/>
      <c r="B440" s="335"/>
      <c r="C440" s="318"/>
      <c r="D440" s="318"/>
      <c r="E440" s="337"/>
      <c r="F440" s="337"/>
      <c r="G440" s="318"/>
      <c r="H440" s="335"/>
      <c r="I440" s="335"/>
      <c r="J440" s="350"/>
      <c r="K440" s="349"/>
      <c r="L440" s="335"/>
      <c r="M440" s="318"/>
      <c r="N440" s="318"/>
      <c r="O440" s="337"/>
      <c r="P440" s="337"/>
      <c r="Q440" s="318"/>
      <c r="R440" s="335"/>
      <c r="S440" s="335"/>
      <c r="T440" s="350"/>
      <c r="U440" s="351"/>
      <c r="V440" s="351"/>
      <c r="W440" s="351"/>
      <c r="X440" s="351"/>
      <c r="Y440" s="351"/>
      <c r="Z440" s="351"/>
    </row>
    <row r="441">
      <c r="A441" s="349"/>
      <c r="B441" s="335"/>
      <c r="C441" s="318"/>
      <c r="D441" s="318"/>
      <c r="E441" s="337"/>
      <c r="F441" s="337"/>
      <c r="G441" s="318"/>
      <c r="H441" s="335"/>
      <c r="I441" s="335"/>
      <c r="J441" s="350"/>
      <c r="K441" s="349"/>
      <c r="L441" s="335"/>
      <c r="M441" s="318"/>
      <c r="N441" s="318"/>
      <c r="O441" s="337"/>
      <c r="P441" s="337"/>
      <c r="Q441" s="318"/>
      <c r="R441" s="335"/>
      <c r="S441" s="335"/>
      <c r="T441" s="350"/>
      <c r="U441" s="351"/>
      <c r="V441" s="351"/>
      <c r="W441" s="351"/>
      <c r="X441" s="351"/>
      <c r="Y441" s="351"/>
      <c r="Z441" s="351"/>
    </row>
    <row r="442">
      <c r="A442" s="349"/>
      <c r="B442" s="335"/>
      <c r="C442" s="318"/>
      <c r="D442" s="318"/>
      <c r="E442" s="337"/>
      <c r="F442" s="337"/>
      <c r="G442" s="318"/>
      <c r="H442" s="335"/>
      <c r="I442" s="335"/>
      <c r="J442" s="335"/>
      <c r="K442" s="349"/>
      <c r="L442" s="335"/>
      <c r="M442" s="318"/>
      <c r="N442" s="318"/>
      <c r="O442" s="337"/>
      <c r="P442" s="337"/>
      <c r="Q442" s="318"/>
      <c r="R442" s="335"/>
      <c r="S442" s="335"/>
      <c r="T442" s="335"/>
      <c r="U442" s="351"/>
      <c r="V442" s="351"/>
      <c r="W442" s="351"/>
      <c r="X442" s="351"/>
      <c r="Y442" s="351"/>
      <c r="Z442" s="351"/>
    </row>
    <row r="443">
      <c r="A443" s="349"/>
      <c r="B443" s="335"/>
      <c r="C443" s="318"/>
      <c r="D443" s="355"/>
      <c r="E443" s="354"/>
      <c r="F443" s="354"/>
      <c r="G443" s="318"/>
      <c r="H443" s="350"/>
      <c r="I443" s="350"/>
      <c r="J443" s="350"/>
      <c r="K443" s="349"/>
      <c r="L443" s="335"/>
      <c r="M443" s="318"/>
      <c r="N443" s="355"/>
      <c r="O443" s="354"/>
      <c r="P443" s="354"/>
      <c r="Q443" s="318"/>
      <c r="R443" s="350"/>
      <c r="S443" s="350"/>
      <c r="T443" s="350"/>
      <c r="U443" s="351"/>
      <c r="V443" s="351"/>
      <c r="W443" s="351"/>
      <c r="X443" s="351"/>
      <c r="Y443" s="351"/>
      <c r="Z443" s="351"/>
    </row>
    <row r="444">
      <c r="A444" s="349"/>
      <c r="B444" s="335"/>
      <c r="C444" s="318"/>
      <c r="D444" s="318"/>
      <c r="E444" s="337"/>
      <c r="F444" s="337"/>
      <c r="G444" s="318"/>
      <c r="H444" s="335"/>
      <c r="I444" s="335"/>
      <c r="J444" s="335"/>
      <c r="K444" s="349"/>
      <c r="L444" s="335"/>
      <c r="M444" s="318"/>
      <c r="N444" s="318"/>
      <c r="O444" s="337"/>
      <c r="P444" s="337"/>
      <c r="Q444" s="318"/>
      <c r="R444" s="335"/>
      <c r="S444" s="335"/>
      <c r="T444" s="335"/>
      <c r="U444" s="351"/>
      <c r="V444" s="351"/>
      <c r="W444" s="351"/>
      <c r="X444" s="351"/>
      <c r="Y444" s="351"/>
      <c r="Z444" s="351"/>
    </row>
    <row r="445">
      <c r="A445" s="349"/>
      <c r="B445" s="335"/>
      <c r="C445" s="318"/>
      <c r="D445" s="318"/>
      <c r="E445" s="337"/>
      <c r="F445" s="354"/>
      <c r="G445" s="318"/>
      <c r="H445" s="350"/>
      <c r="I445" s="350"/>
      <c r="J445" s="350"/>
      <c r="K445" s="349"/>
      <c r="L445" s="335"/>
      <c r="M445" s="318"/>
      <c r="N445" s="318"/>
      <c r="O445" s="337"/>
      <c r="P445" s="354"/>
      <c r="Q445" s="318"/>
      <c r="R445" s="350"/>
      <c r="S445" s="350"/>
      <c r="T445" s="350"/>
      <c r="U445" s="351"/>
      <c r="V445" s="351"/>
      <c r="W445" s="351"/>
      <c r="X445" s="351"/>
      <c r="Y445" s="351"/>
      <c r="Z445" s="351"/>
    </row>
    <row r="446">
      <c r="A446" s="349"/>
      <c r="B446" s="335"/>
      <c r="C446" s="318"/>
      <c r="D446" s="318"/>
      <c r="E446" s="337"/>
      <c r="F446" s="337"/>
      <c r="G446" s="318"/>
      <c r="H446" s="335"/>
      <c r="I446" s="335"/>
      <c r="J446" s="335"/>
      <c r="K446" s="349"/>
      <c r="L446" s="335"/>
      <c r="M446" s="318"/>
      <c r="N446" s="318"/>
      <c r="O446" s="337"/>
      <c r="P446" s="337"/>
      <c r="Q446" s="318"/>
      <c r="R446" s="335"/>
      <c r="S446" s="335"/>
      <c r="T446" s="335"/>
      <c r="U446" s="351"/>
      <c r="V446" s="351"/>
      <c r="W446" s="351"/>
      <c r="X446" s="351"/>
      <c r="Y446" s="351"/>
      <c r="Z446" s="351"/>
    </row>
    <row r="447">
      <c r="A447" s="349"/>
      <c r="B447" s="335"/>
      <c r="C447" s="318"/>
      <c r="D447" s="318"/>
      <c r="E447" s="337"/>
      <c r="F447" s="337"/>
      <c r="G447" s="318"/>
      <c r="H447" s="335"/>
      <c r="I447" s="335"/>
      <c r="J447" s="335"/>
      <c r="K447" s="349"/>
      <c r="L447" s="335"/>
      <c r="M447" s="318"/>
      <c r="N447" s="318"/>
      <c r="O447" s="337"/>
      <c r="P447" s="337"/>
      <c r="Q447" s="318"/>
      <c r="R447" s="335"/>
      <c r="S447" s="335"/>
      <c r="T447" s="335"/>
      <c r="U447" s="351"/>
      <c r="V447" s="351"/>
      <c r="W447" s="351"/>
      <c r="X447" s="351"/>
      <c r="Y447" s="351"/>
      <c r="Z447" s="351"/>
    </row>
    <row r="448">
      <c r="A448" s="349"/>
      <c r="B448" s="335"/>
      <c r="C448" s="318"/>
      <c r="D448" s="318"/>
      <c r="E448" s="337"/>
      <c r="F448" s="337"/>
      <c r="G448" s="318"/>
      <c r="H448" s="335"/>
      <c r="I448" s="335"/>
      <c r="J448" s="350"/>
      <c r="K448" s="349"/>
      <c r="L448" s="335"/>
      <c r="M448" s="318"/>
      <c r="N448" s="318"/>
      <c r="O448" s="337"/>
      <c r="P448" s="337"/>
      <c r="Q448" s="318"/>
      <c r="R448" s="335"/>
      <c r="S448" s="335"/>
      <c r="T448" s="350"/>
      <c r="U448" s="351"/>
      <c r="V448" s="351"/>
      <c r="W448" s="351"/>
      <c r="X448" s="351"/>
      <c r="Y448" s="351"/>
      <c r="Z448" s="351"/>
    </row>
    <row r="449" ht="18.75" customHeight="1">
      <c r="A449" s="349"/>
      <c r="B449" s="335"/>
      <c r="C449" s="318"/>
      <c r="D449" s="318"/>
      <c r="E449" s="337"/>
      <c r="F449" s="337"/>
      <c r="G449" s="318"/>
      <c r="H449" s="335"/>
      <c r="I449" s="335"/>
      <c r="J449" s="350"/>
      <c r="K449" s="349"/>
      <c r="L449" s="335"/>
      <c r="M449" s="318"/>
      <c r="N449" s="318"/>
      <c r="O449" s="337"/>
      <c r="P449" s="337"/>
      <c r="Q449" s="318"/>
      <c r="R449" s="335"/>
      <c r="S449" s="335"/>
      <c r="T449" s="350"/>
      <c r="U449" s="351"/>
      <c r="V449" s="351"/>
      <c r="W449" s="351"/>
      <c r="X449" s="351"/>
      <c r="Y449" s="351"/>
      <c r="Z449" s="351"/>
    </row>
    <row r="450">
      <c r="A450" s="349"/>
      <c r="B450" s="335"/>
      <c r="C450" s="318"/>
      <c r="D450" s="318"/>
      <c r="E450" s="337"/>
      <c r="F450" s="337"/>
      <c r="G450" s="318"/>
      <c r="H450" s="335"/>
      <c r="I450" s="335"/>
      <c r="J450" s="350"/>
      <c r="K450" s="349"/>
      <c r="L450" s="335"/>
      <c r="M450" s="318"/>
      <c r="N450" s="318"/>
      <c r="O450" s="337"/>
      <c r="P450" s="337"/>
      <c r="Q450" s="318"/>
      <c r="R450" s="335"/>
      <c r="S450" s="335"/>
      <c r="T450" s="350"/>
      <c r="U450" s="351"/>
      <c r="V450" s="351"/>
      <c r="W450" s="351"/>
      <c r="X450" s="351"/>
      <c r="Y450" s="351"/>
      <c r="Z450" s="351"/>
    </row>
    <row r="451">
      <c r="A451" s="349"/>
      <c r="B451" s="335"/>
      <c r="C451" s="318"/>
      <c r="D451" s="318"/>
      <c r="E451" s="337"/>
      <c r="F451" s="337"/>
      <c r="G451" s="318"/>
      <c r="H451" s="335"/>
      <c r="I451" s="335"/>
      <c r="J451" s="350"/>
      <c r="K451" s="349"/>
      <c r="L451" s="335"/>
      <c r="M451" s="318"/>
      <c r="N451" s="318"/>
      <c r="O451" s="337"/>
      <c r="P451" s="337"/>
      <c r="Q451" s="318"/>
      <c r="R451" s="335"/>
      <c r="S451" s="335"/>
      <c r="T451" s="350"/>
      <c r="U451" s="351"/>
      <c r="V451" s="351"/>
      <c r="W451" s="351"/>
      <c r="X451" s="351"/>
      <c r="Y451" s="351"/>
      <c r="Z451" s="351"/>
    </row>
    <row r="452">
      <c r="A452" s="349"/>
      <c r="B452" s="335"/>
      <c r="C452" s="318"/>
      <c r="D452" s="355"/>
      <c r="E452" s="337"/>
      <c r="F452" s="354"/>
      <c r="G452" s="355"/>
      <c r="H452" s="350"/>
      <c r="I452" s="350"/>
      <c r="J452" s="350"/>
      <c r="K452" s="349"/>
      <c r="L452" s="335"/>
      <c r="M452" s="318"/>
      <c r="N452" s="355"/>
      <c r="O452" s="337"/>
      <c r="P452" s="354"/>
      <c r="Q452" s="355"/>
      <c r="R452" s="350"/>
      <c r="S452" s="350"/>
      <c r="T452" s="350"/>
      <c r="U452" s="351"/>
      <c r="V452" s="351"/>
      <c r="W452" s="351"/>
      <c r="X452" s="351"/>
      <c r="Y452" s="351"/>
      <c r="Z452" s="351"/>
    </row>
    <row r="453">
      <c r="A453" s="349"/>
      <c r="B453" s="335"/>
      <c r="C453" s="355"/>
      <c r="D453" s="355"/>
      <c r="E453" s="354"/>
      <c r="F453" s="354"/>
      <c r="G453" s="355"/>
      <c r="H453" s="350"/>
      <c r="I453" s="350"/>
      <c r="J453" s="350"/>
      <c r="K453" s="349"/>
      <c r="L453" s="335"/>
      <c r="M453" s="355"/>
      <c r="N453" s="355"/>
      <c r="O453" s="354"/>
      <c r="P453" s="354"/>
      <c r="Q453" s="355"/>
      <c r="R453" s="350"/>
      <c r="S453" s="350"/>
      <c r="T453" s="350"/>
      <c r="U453" s="351"/>
      <c r="V453" s="351"/>
      <c r="W453" s="351"/>
      <c r="X453" s="351"/>
      <c r="Y453" s="351"/>
      <c r="Z453" s="351"/>
    </row>
    <row r="454">
      <c r="A454" s="349"/>
      <c r="B454" s="335"/>
      <c r="C454" s="355"/>
      <c r="D454" s="355"/>
      <c r="E454" s="354"/>
      <c r="F454" s="354"/>
      <c r="G454" s="355"/>
      <c r="H454" s="350"/>
      <c r="I454" s="337"/>
      <c r="J454" s="350"/>
      <c r="K454" s="349"/>
      <c r="L454" s="335"/>
      <c r="M454" s="355"/>
      <c r="N454" s="355"/>
      <c r="O454" s="354"/>
      <c r="P454" s="354"/>
      <c r="Q454" s="355"/>
      <c r="R454" s="350"/>
      <c r="S454" s="337"/>
      <c r="T454" s="350"/>
      <c r="U454" s="351"/>
      <c r="V454" s="351"/>
      <c r="W454" s="351"/>
      <c r="X454" s="351"/>
      <c r="Y454" s="351"/>
      <c r="Z454" s="351"/>
    </row>
    <row r="455">
      <c r="A455" s="349"/>
      <c r="B455" s="335"/>
      <c r="C455" s="355"/>
      <c r="D455" s="355"/>
      <c r="E455" s="354"/>
      <c r="F455" s="354"/>
      <c r="G455" s="355"/>
      <c r="H455" s="350"/>
      <c r="I455" s="350"/>
      <c r="J455" s="350"/>
      <c r="K455" s="349"/>
      <c r="L455" s="335"/>
      <c r="M455" s="355"/>
      <c r="N455" s="355"/>
      <c r="O455" s="354"/>
      <c r="P455" s="354"/>
      <c r="Q455" s="355"/>
      <c r="R455" s="350"/>
      <c r="S455" s="350"/>
      <c r="T455" s="350"/>
      <c r="U455" s="351"/>
      <c r="V455" s="351"/>
      <c r="W455" s="351"/>
      <c r="X455" s="351"/>
      <c r="Y455" s="351"/>
      <c r="Z455" s="351"/>
    </row>
    <row r="456">
      <c r="A456" s="349"/>
      <c r="B456" s="335"/>
      <c r="C456" s="318"/>
      <c r="D456" s="318"/>
      <c r="E456" s="337"/>
      <c r="F456" s="337"/>
      <c r="G456" s="318"/>
      <c r="H456" s="335"/>
      <c r="I456" s="335"/>
      <c r="J456" s="350"/>
      <c r="K456" s="349"/>
      <c r="L456" s="335"/>
      <c r="M456" s="318"/>
      <c r="N456" s="318"/>
      <c r="O456" s="337"/>
      <c r="P456" s="337"/>
      <c r="Q456" s="318"/>
      <c r="R456" s="335"/>
      <c r="S456" s="335"/>
      <c r="T456" s="350"/>
      <c r="U456" s="351"/>
      <c r="V456" s="351"/>
      <c r="W456" s="351"/>
      <c r="X456" s="351"/>
      <c r="Y456" s="351"/>
      <c r="Z456" s="351"/>
    </row>
    <row r="457">
      <c r="A457" s="349"/>
      <c r="B457" s="335"/>
      <c r="C457" s="318"/>
      <c r="D457" s="318"/>
      <c r="E457" s="337"/>
      <c r="F457" s="337"/>
      <c r="G457" s="318"/>
      <c r="H457" s="335"/>
      <c r="I457" s="335"/>
      <c r="J457" s="350"/>
      <c r="K457" s="349"/>
      <c r="L457" s="335"/>
      <c r="M457" s="318"/>
      <c r="N457" s="318"/>
      <c r="O457" s="337"/>
      <c r="P457" s="337"/>
      <c r="Q457" s="318"/>
      <c r="R457" s="335"/>
      <c r="S457" s="335"/>
      <c r="T457" s="350"/>
      <c r="U457" s="351"/>
      <c r="V457" s="351"/>
      <c r="W457" s="351"/>
      <c r="X457" s="351"/>
      <c r="Y457" s="351"/>
      <c r="Z457" s="351"/>
    </row>
    <row r="458" ht="21.75" customHeight="1">
      <c r="A458" s="349"/>
      <c r="B458" s="335"/>
      <c r="C458" s="318"/>
      <c r="D458" s="318"/>
      <c r="E458" s="337"/>
      <c r="F458" s="337"/>
      <c r="G458" s="318"/>
      <c r="H458" s="335"/>
      <c r="I458" s="335"/>
      <c r="J458" s="350"/>
      <c r="K458" s="349"/>
      <c r="L458" s="335"/>
      <c r="M458" s="318"/>
      <c r="N458" s="318"/>
      <c r="O458" s="337"/>
      <c r="P458" s="337"/>
      <c r="Q458" s="318"/>
      <c r="R458" s="335"/>
      <c r="S458" s="335"/>
      <c r="T458" s="350"/>
      <c r="U458" s="351"/>
      <c r="V458" s="351"/>
      <c r="W458" s="351"/>
      <c r="X458" s="351"/>
      <c r="Y458" s="351"/>
      <c r="Z458" s="351"/>
    </row>
    <row r="459">
      <c r="A459" s="349"/>
      <c r="B459" s="337"/>
      <c r="C459" s="318"/>
      <c r="D459" s="318"/>
      <c r="E459" s="337"/>
      <c r="F459" s="354"/>
      <c r="G459" s="355"/>
      <c r="H459" s="350"/>
      <c r="I459" s="350"/>
      <c r="J459" s="350"/>
      <c r="K459" s="349"/>
      <c r="L459" s="337"/>
      <c r="M459" s="318"/>
      <c r="N459" s="318"/>
      <c r="O459" s="337"/>
      <c r="P459" s="354"/>
      <c r="Q459" s="355"/>
      <c r="R459" s="350"/>
      <c r="S459" s="350"/>
      <c r="T459" s="350"/>
      <c r="U459" s="351"/>
      <c r="V459" s="351"/>
      <c r="W459" s="351"/>
      <c r="X459" s="351"/>
      <c r="Y459" s="351"/>
      <c r="Z459" s="351"/>
    </row>
    <row r="460">
      <c r="A460" s="349"/>
      <c r="B460" s="337"/>
      <c r="C460" s="318"/>
      <c r="D460" s="355"/>
      <c r="E460" s="354"/>
      <c r="F460" s="354"/>
      <c r="G460" s="355"/>
      <c r="H460" s="350"/>
      <c r="I460" s="350"/>
      <c r="J460" s="350"/>
      <c r="K460" s="349"/>
      <c r="L460" s="337"/>
      <c r="M460" s="318"/>
      <c r="N460" s="355"/>
      <c r="O460" s="354"/>
      <c r="P460" s="354"/>
      <c r="Q460" s="355"/>
      <c r="R460" s="350"/>
      <c r="S460" s="350"/>
      <c r="T460" s="350"/>
      <c r="U460" s="351"/>
      <c r="V460" s="351"/>
      <c r="W460" s="351"/>
      <c r="X460" s="351"/>
      <c r="Y460" s="351"/>
      <c r="Z460" s="351"/>
    </row>
    <row r="461">
      <c r="A461" s="349"/>
      <c r="B461" s="337"/>
      <c r="C461" s="318"/>
      <c r="D461" s="318"/>
      <c r="E461" s="337"/>
      <c r="F461" s="337"/>
      <c r="G461" s="318"/>
      <c r="H461" s="335"/>
      <c r="I461" s="350"/>
      <c r="J461" s="350"/>
      <c r="K461" s="349"/>
      <c r="L461" s="337"/>
      <c r="M461" s="318"/>
      <c r="N461" s="318"/>
      <c r="O461" s="337"/>
      <c r="P461" s="337"/>
      <c r="Q461" s="318"/>
      <c r="R461" s="335"/>
      <c r="S461" s="350"/>
      <c r="T461" s="350"/>
      <c r="U461" s="351"/>
      <c r="V461" s="351"/>
      <c r="W461" s="351"/>
      <c r="X461" s="351"/>
      <c r="Y461" s="351"/>
      <c r="Z461" s="351"/>
    </row>
    <row r="462">
      <c r="A462" s="349"/>
      <c r="B462" s="337"/>
      <c r="C462" s="355"/>
      <c r="D462" s="318"/>
      <c r="E462" s="337"/>
      <c r="F462" s="354"/>
      <c r="G462" s="355"/>
      <c r="H462" s="350"/>
      <c r="I462" s="350"/>
      <c r="J462" s="350"/>
      <c r="K462" s="349"/>
      <c r="L462" s="337"/>
      <c r="M462" s="355"/>
      <c r="N462" s="318"/>
      <c r="O462" s="337"/>
      <c r="P462" s="354"/>
      <c r="Q462" s="355"/>
      <c r="R462" s="350"/>
      <c r="S462" s="350"/>
      <c r="T462" s="350"/>
      <c r="U462" s="351"/>
      <c r="V462" s="351"/>
      <c r="W462" s="351"/>
      <c r="X462" s="351"/>
      <c r="Y462" s="351"/>
      <c r="Z462" s="351"/>
    </row>
    <row r="463">
      <c r="A463" s="349"/>
      <c r="B463" s="337"/>
      <c r="C463" s="355"/>
      <c r="D463" s="318"/>
      <c r="E463" s="337"/>
      <c r="F463" s="354"/>
      <c r="G463" s="355"/>
      <c r="H463" s="350"/>
      <c r="I463" s="350"/>
      <c r="J463" s="350"/>
      <c r="K463" s="349"/>
      <c r="L463" s="337"/>
      <c r="M463" s="355"/>
      <c r="N463" s="318"/>
      <c r="O463" s="337"/>
      <c r="P463" s="354"/>
      <c r="Q463" s="355"/>
      <c r="R463" s="350"/>
      <c r="S463" s="350"/>
      <c r="T463" s="350"/>
      <c r="U463" s="351"/>
      <c r="V463" s="351"/>
      <c r="W463" s="351"/>
      <c r="X463" s="351"/>
      <c r="Y463" s="351"/>
      <c r="Z463" s="351"/>
    </row>
    <row r="464">
      <c r="A464" s="349"/>
      <c r="B464" s="337"/>
      <c r="C464" s="318"/>
      <c r="D464" s="318"/>
      <c r="E464" s="337"/>
      <c r="F464" s="354"/>
      <c r="G464" s="355"/>
      <c r="H464" s="350"/>
      <c r="I464" s="350"/>
      <c r="J464" s="350"/>
      <c r="K464" s="349"/>
      <c r="L464" s="337"/>
      <c r="M464" s="318"/>
      <c r="N464" s="318"/>
      <c r="O464" s="337"/>
      <c r="P464" s="354"/>
      <c r="Q464" s="355"/>
      <c r="R464" s="350"/>
      <c r="S464" s="350"/>
      <c r="T464" s="350"/>
      <c r="U464" s="351"/>
      <c r="V464" s="351"/>
      <c r="W464" s="351"/>
      <c r="X464" s="351"/>
      <c r="Y464" s="351"/>
      <c r="Z464" s="351"/>
    </row>
    <row r="465">
      <c r="A465" s="349"/>
      <c r="B465" s="337"/>
      <c r="C465" s="355"/>
      <c r="D465" s="318"/>
      <c r="E465" s="337"/>
      <c r="F465" s="354"/>
      <c r="G465" s="355"/>
      <c r="H465" s="350"/>
      <c r="I465" s="350"/>
      <c r="J465" s="350"/>
      <c r="K465" s="349"/>
      <c r="L465" s="337"/>
      <c r="M465" s="355"/>
      <c r="N465" s="318"/>
      <c r="O465" s="337"/>
      <c r="P465" s="354"/>
      <c r="Q465" s="355"/>
      <c r="R465" s="350"/>
      <c r="S465" s="350"/>
      <c r="T465" s="350"/>
      <c r="U465" s="351"/>
      <c r="V465" s="351"/>
      <c r="W465" s="351"/>
      <c r="X465" s="351"/>
      <c r="Y465" s="351"/>
      <c r="Z465" s="351"/>
    </row>
    <row r="466">
      <c r="A466" s="349"/>
      <c r="B466" s="337"/>
      <c r="C466" s="318"/>
      <c r="D466" s="318"/>
      <c r="E466" s="354"/>
      <c r="F466" s="354"/>
      <c r="G466" s="355"/>
      <c r="H466" s="350"/>
      <c r="I466" s="350"/>
      <c r="J466" s="350"/>
      <c r="K466" s="349"/>
      <c r="L466" s="337"/>
      <c r="M466" s="318"/>
      <c r="N466" s="318"/>
      <c r="O466" s="354"/>
      <c r="P466" s="354"/>
      <c r="Q466" s="355"/>
      <c r="R466" s="350"/>
      <c r="S466" s="350"/>
      <c r="T466" s="350"/>
      <c r="U466" s="351"/>
      <c r="V466" s="351"/>
      <c r="W466" s="351"/>
      <c r="X466" s="351"/>
      <c r="Y466" s="351"/>
      <c r="Z466" s="351"/>
    </row>
    <row r="467">
      <c r="A467" s="349"/>
      <c r="B467" s="337"/>
      <c r="C467" s="318"/>
      <c r="D467" s="318"/>
      <c r="E467" s="337"/>
      <c r="F467" s="354"/>
      <c r="G467" s="355"/>
      <c r="H467" s="350"/>
      <c r="I467" s="350"/>
      <c r="J467" s="350"/>
      <c r="K467" s="349"/>
      <c r="L467" s="337"/>
      <c r="M467" s="318"/>
      <c r="N467" s="318"/>
      <c r="O467" s="337"/>
      <c r="P467" s="354"/>
      <c r="Q467" s="355"/>
      <c r="R467" s="350"/>
      <c r="S467" s="350"/>
      <c r="T467" s="350"/>
      <c r="U467" s="351"/>
      <c r="V467" s="351"/>
      <c r="W467" s="351"/>
      <c r="X467" s="351"/>
      <c r="Y467" s="351"/>
      <c r="Z467" s="351"/>
    </row>
    <row r="468">
      <c r="A468" s="349"/>
      <c r="B468" s="337"/>
      <c r="C468" s="318"/>
      <c r="D468" s="318"/>
      <c r="E468" s="337"/>
      <c r="F468" s="354"/>
      <c r="G468" s="355"/>
      <c r="H468" s="350"/>
      <c r="I468" s="350"/>
      <c r="J468" s="350"/>
      <c r="K468" s="349"/>
      <c r="L468" s="337"/>
      <c r="M468" s="318"/>
      <c r="N468" s="318"/>
      <c r="O468" s="337"/>
      <c r="P468" s="354"/>
      <c r="Q468" s="355"/>
      <c r="R468" s="350"/>
      <c r="S468" s="350"/>
      <c r="T468" s="350"/>
      <c r="U468" s="351"/>
      <c r="V468" s="351"/>
      <c r="W468" s="351"/>
      <c r="X468" s="351"/>
      <c r="Y468" s="351"/>
      <c r="Z468" s="351"/>
    </row>
    <row r="469">
      <c r="A469" s="349"/>
      <c r="B469" s="337"/>
      <c r="C469" s="318"/>
      <c r="D469" s="318"/>
      <c r="E469" s="337"/>
      <c r="F469" s="354"/>
      <c r="G469" s="355"/>
      <c r="H469" s="350"/>
      <c r="I469" s="350"/>
      <c r="J469" s="350"/>
      <c r="K469" s="349"/>
      <c r="L469" s="337"/>
      <c r="M469" s="318"/>
      <c r="N469" s="318"/>
      <c r="O469" s="337"/>
      <c r="P469" s="354"/>
      <c r="Q469" s="355"/>
      <c r="R469" s="350"/>
      <c r="S469" s="350"/>
      <c r="T469" s="350"/>
      <c r="U469" s="351"/>
      <c r="V469" s="351"/>
      <c r="W469" s="351"/>
      <c r="X469" s="351"/>
      <c r="Y469" s="351"/>
      <c r="Z469" s="351"/>
    </row>
    <row r="470">
      <c r="A470" s="349"/>
      <c r="B470" s="337"/>
      <c r="C470" s="318"/>
      <c r="D470" s="318"/>
      <c r="E470" s="337"/>
      <c r="F470" s="354"/>
      <c r="G470" s="355"/>
      <c r="H470" s="350"/>
      <c r="I470" s="350"/>
      <c r="J470" s="350"/>
      <c r="K470" s="349"/>
      <c r="L470" s="337"/>
      <c r="M470" s="318"/>
      <c r="N470" s="318"/>
      <c r="O470" s="337"/>
      <c r="P470" s="354"/>
      <c r="Q470" s="355"/>
      <c r="R470" s="350"/>
      <c r="S470" s="350"/>
      <c r="T470" s="350"/>
      <c r="U470" s="351"/>
      <c r="V470" s="351"/>
      <c r="W470" s="351"/>
      <c r="X470" s="351"/>
      <c r="Y470" s="351"/>
      <c r="Z470" s="351"/>
    </row>
    <row r="471">
      <c r="A471" s="349"/>
      <c r="B471" s="337"/>
      <c r="C471" s="318"/>
      <c r="D471" s="318"/>
      <c r="E471" s="337"/>
      <c r="F471" s="337"/>
      <c r="G471" s="318"/>
      <c r="H471" s="335"/>
      <c r="I471" s="335"/>
      <c r="J471" s="350"/>
      <c r="K471" s="349"/>
      <c r="L471" s="337"/>
      <c r="M471" s="318"/>
      <c r="N471" s="318"/>
      <c r="O471" s="337"/>
      <c r="P471" s="337"/>
      <c r="Q471" s="318"/>
      <c r="R471" s="335"/>
      <c r="S471" s="335"/>
      <c r="T471" s="350"/>
      <c r="U471" s="351"/>
      <c r="V471" s="351"/>
      <c r="W471" s="351"/>
      <c r="X471" s="351"/>
      <c r="Y471" s="351"/>
      <c r="Z471" s="351"/>
    </row>
    <row r="472">
      <c r="A472" s="349"/>
      <c r="B472" s="337"/>
      <c r="C472" s="318"/>
      <c r="D472" s="318"/>
      <c r="E472" s="337"/>
      <c r="F472" s="337"/>
      <c r="G472" s="318"/>
      <c r="H472" s="335"/>
      <c r="I472" s="335"/>
      <c r="J472" s="350"/>
      <c r="K472" s="349"/>
      <c r="L472" s="337"/>
      <c r="M472" s="318"/>
      <c r="N472" s="318"/>
      <c r="O472" s="337"/>
      <c r="P472" s="337"/>
      <c r="Q472" s="318"/>
      <c r="R472" s="335"/>
      <c r="S472" s="335"/>
      <c r="T472" s="350"/>
      <c r="U472" s="351"/>
      <c r="V472" s="351"/>
      <c r="W472" s="351"/>
      <c r="X472" s="351"/>
      <c r="Y472" s="351"/>
      <c r="Z472" s="351"/>
    </row>
    <row r="473">
      <c r="A473" s="349"/>
      <c r="B473" s="337"/>
      <c r="C473" s="355"/>
      <c r="D473" s="318"/>
      <c r="E473" s="337"/>
      <c r="F473" s="354"/>
      <c r="G473" s="355"/>
      <c r="H473" s="350"/>
      <c r="I473" s="350"/>
      <c r="J473" s="350"/>
      <c r="K473" s="349"/>
      <c r="L473" s="337"/>
      <c r="M473" s="355"/>
      <c r="N473" s="318"/>
      <c r="O473" s="337"/>
      <c r="P473" s="354"/>
      <c r="Q473" s="355"/>
      <c r="R473" s="350"/>
      <c r="S473" s="350"/>
      <c r="T473" s="350"/>
      <c r="U473" s="351"/>
      <c r="V473" s="351"/>
      <c r="W473" s="351"/>
      <c r="X473" s="351"/>
      <c r="Y473" s="351"/>
      <c r="Z473" s="351"/>
    </row>
    <row r="474">
      <c r="A474" s="349"/>
      <c r="B474" s="337"/>
      <c r="C474" s="355"/>
      <c r="D474" s="318"/>
      <c r="E474" s="337"/>
      <c r="F474" s="354"/>
      <c r="G474" s="355"/>
      <c r="H474" s="350"/>
      <c r="I474" s="350"/>
      <c r="J474" s="350"/>
      <c r="K474" s="349"/>
      <c r="L474" s="337"/>
      <c r="M474" s="355"/>
      <c r="N474" s="318"/>
      <c r="O474" s="337"/>
      <c r="P474" s="354"/>
      <c r="Q474" s="355"/>
      <c r="R474" s="350"/>
      <c r="S474" s="350"/>
      <c r="T474" s="350"/>
      <c r="U474" s="351"/>
      <c r="V474" s="351"/>
      <c r="W474" s="351"/>
      <c r="X474" s="351"/>
      <c r="Y474" s="351"/>
      <c r="Z474" s="351"/>
    </row>
    <row r="475">
      <c r="A475" s="349"/>
      <c r="B475" s="337"/>
      <c r="C475" s="355"/>
      <c r="D475" s="318"/>
      <c r="E475" s="337"/>
      <c r="F475" s="354"/>
      <c r="G475" s="355"/>
      <c r="H475" s="350"/>
      <c r="I475" s="350"/>
      <c r="J475" s="350"/>
      <c r="K475" s="349"/>
      <c r="L475" s="337"/>
      <c r="M475" s="355"/>
      <c r="N475" s="318"/>
      <c r="O475" s="337"/>
      <c r="P475" s="354"/>
      <c r="Q475" s="355"/>
      <c r="R475" s="350"/>
      <c r="S475" s="350"/>
      <c r="T475" s="350"/>
      <c r="U475" s="351"/>
      <c r="V475" s="351"/>
      <c r="W475" s="351"/>
      <c r="X475" s="351"/>
      <c r="Y475" s="351"/>
      <c r="Z475" s="351"/>
    </row>
    <row r="476">
      <c r="A476" s="349"/>
      <c r="B476" s="337"/>
      <c r="C476" s="318"/>
      <c r="D476" s="318"/>
      <c r="E476" s="337"/>
      <c r="F476" s="354"/>
      <c r="G476" s="355"/>
      <c r="H476" s="350"/>
      <c r="I476" s="350"/>
      <c r="J476" s="350"/>
      <c r="K476" s="349"/>
      <c r="L476" s="337"/>
      <c r="M476" s="318"/>
      <c r="N476" s="318"/>
      <c r="O476" s="337"/>
      <c r="P476" s="354"/>
      <c r="Q476" s="355"/>
      <c r="R476" s="350"/>
      <c r="S476" s="350"/>
      <c r="T476" s="350"/>
      <c r="U476" s="351"/>
      <c r="V476" s="351"/>
      <c r="W476" s="351"/>
      <c r="X476" s="351"/>
      <c r="Y476" s="351"/>
      <c r="Z476" s="351"/>
    </row>
    <row r="477">
      <c r="A477" s="349"/>
      <c r="B477" s="337"/>
      <c r="C477" s="318"/>
      <c r="D477" s="318"/>
      <c r="E477" s="337"/>
      <c r="F477" s="354"/>
      <c r="G477" s="355"/>
      <c r="H477" s="350"/>
      <c r="I477" s="350"/>
      <c r="J477" s="350"/>
      <c r="K477" s="349"/>
      <c r="L477" s="337"/>
      <c r="M477" s="318"/>
      <c r="N477" s="318"/>
      <c r="O477" s="337"/>
      <c r="P477" s="354"/>
      <c r="Q477" s="355"/>
      <c r="R477" s="350"/>
      <c r="S477" s="350"/>
      <c r="T477" s="350"/>
      <c r="U477" s="351"/>
      <c r="V477" s="351"/>
      <c r="W477" s="351"/>
      <c r="X477" s="351"/>
      <c r="Y477" s="351"/>
      <c r="Z477" s="351"/>
    </row>
    <row r="478">
      <c r="A478" s="349"/>
      <c r="B478" s="337"/>
      <c r="C478" s="318"/>
      <c r="D478" s="318"/>
      <c r="E478" s="337"/>
      <c r="F478" s="354"/>
      <c r="G478" s="355"/>
      <c r="H478" s="350"/>
      <c r="I478" s="350"/>
      <c r="J478" s="350"/>
      <c r="K478" s="349"/>
      <c r="L478" s="337"/>
      <c r="M478" s="318"/>
      <c r="N478" s="318"/>
      <c r="O478" s="337"/>
      <c r="P478" s="354"/>
      <c r="Q478" s="355"/>
      <c r="R478" s="350"/>
      <c r="S478" s="350"/>
      <c r="T478" s="350"/>
      <c r="U478" s="351"/>
      <c r="V478" s="351"/>
      <c r="W478" s="351"/>
      <c r="X478" s="351"/>
      <c r="Y478" s="351"/>
      <c r="Z478" s="351"/>
    </row>
    <row r="479">
      <c r="A479" s="349"/>
      <c r="B479" s="337"/>
      <c r="C479" s="318"/>
      <c r="D479" s="318"/>
      <c r="E479" s="337"/>
      <c r="F479" s="354"/>
      <c r="G479" s="355"/>
      <c r="H479" s="350"/>
      <c r="I479" s="350"/>
      <c r="J479" s="350"/>
      <c r="K479" s="349"/>
      <c r="L479" s="337"/>
      <c r="M479" s="318"/>
      <c r="N479" s="318"/>
      <c r="O479" s="337"/>
      <c r="P479" s="354"/>
      <c r="Q479" s="355"/>
      <c r="R479" s="350"/>
      <c r="S479" s="350"/>
      <c r="T479" s="350"/>
      <c r="U479" s="351"/>
      <c r="V479" s="351"/>
      <c r="W479" s="351"/>
      <c r="X479" s="351"/>
      <c r="Y479" s="351"/>
      <c r="Z479" s="351"/>
    </row>
    <row r="480">
      <c r="A480" s="349"/>
      <c r="B480" s="337"/>
      <c r="C480" s="318"/>
      <c r="D480" s="318"/>
      <c r="E480" s="337"/>
      <c r="F480" s="354"/>
      <c r="G480" s="355"/>
      <c r="H480" s="350"/>
      <c r="I480" s="350"/>
      <c r="J480" s="350"/>
      <c r="K480" s="349"/>
      <c r="L480" s="337"/>
      <c r="M480" s="318"/>
      <c r="N480" s="318"/>
      <c r="O480" s="337"/>
      <c r="P480" s="354"/>
      <c r="Q480" s="355"/>
      <c r="R480" s="350"/>
      <c r="S480" s="350"/>
      <c r="T480" s="350"/>
      <c r="U480" s="351"/>
      <c r="V480" s="351"/>
      <c r="W480" s="351"/>
      <c r="X480" s="351"/>
      <c r="Y480" s="351"/>
      <c r="Z480" s="351"/>
    </row>
    <row r="481">
      <c r="A481" s="349"/>
      <c r="B481" s="337"/>
      <c r="C481" s="318"/>
      <c r="D481" s="318"/>
      <c r="E481" s="337"/>
      <c r="F481" s="354"/>
      <c r="G481" s="355"/>
      <c r="H481" s="350"/>
      <c r="I481" s="350"/>
      <c r="J481" s="350"/>
      <c r="K481" s="349"/>
      <c r="L481" s="337"/>
      <c r="M481" s="318"/>
      <c r="N481" s="318"/>
      <c r="O481" s="337"/>
      <c r="P481" s="354"/>
      <c r="Q481" s="355"/>
      <c r="R481" s="350"/>
      <c r="S481" s="350"/>
      <c r="T481" s="350"/>
      <c r="U481" s="351"/>
      <c r="V481" s="351"/>
      <c r="W481" s="351"/>
      <c r="X481" s="351"/>
      <c r="Y481" s="351"/>
      <c r="Z481" s="351"/>
    </row>
    <row r="482">
      <c r="A482" s="349"/>
      <c r="B482" s="335"/>
      <c r="C482" s="355"/>
      <c r="D482" s="318"/>
      <c r="E482" s="337"/>
      <c r="F482" s="354"/>
      <c r="G482" s="355"/>
      <c r="H482" s="350"/>
      <c r="I482" s="350"/>
      <c r="J482" s="350"/>
      <c r="K482" s="349"/>
      <c r="L482" s="335"/>
      <c r="M482" s="355"/>
      <c r="N482" s="318"/>
      <c r="O482" s="337"/>
      <c r="P482" s="354"/>
      <c r="Q482" s="355"/>
      <c r="R482" s="350"/>
      <c r="S482" s="350"/>
      <c r="T482" s="350"/>
      <c r="U482" s="351"/>
      <c r="V482" s="351"/>
      <c r="W482" s="351"/>
      <c r="X482" s="351"/>
      <c r="Y482" s="351"/>
      <c r="Z482" s="351"/>
    </row>
    <row r="483">
      <c r="A483" s="349"/>
      <c r="B483" s="335"/>
      <c r="C483" s="318"/>
      <c r="D483" s="318"/>
      <c r="E483" s="337"/>
      <c r="F483" s="354"/>
      <c r="G483" s="355"/>
      <c r="H483" s="350"/>
      <c r="I483" s="337"/>
      <c r="J483" s="350"/>
      <c r="K483" s="349"/>
      <c r="L483" s="335"/>
      <c r="M483" s="318"/>
      <c r="N483" s="318"/>
      <c r="O483" s="337"/>
      <c r="P483" s="354"/>
      <c r="Q483" s="355"/>
      <c r="R483" s="350"/>
      <c r="S483" s="337"/>
      <c r="T483" s="350"/>
      <c r="U483" s="351"/>
      <c r="V483" s="351"/>
      <c r="W483" s="351"/>
      <c r="X483" s="351"/>
      <c r="Y483" s="351"/>
      <c r="Z483" s="351"/>
    </row>
    <row r="484">
      <c r="A484" s="349"/>
      <c r="B484" s="335"/>
      <c r="C484" s="355"/>
      <c r="D484" s="355"/>
      <c r="E484" s="354"/>
      <c r="F484" s="354"/>
      <c r="G484" s="355"/>
      <c r="H484" s="350"/>
      <c r="I484" s="350"/>
      <c r="J484" s="350"/>
      <c r="K484" s="349"/>
      <c r="L484" s="335"/>
      <c r="M484" s="355"/>
      <c r="N484" s="355"/>
      <c r="O484" s="354"/>
      <c r="P484" s="354"/>
      <c r="Q484" s="355"/>
      <c r="R484" s="350"/>
      <c r="S484" s="350"/>
      <c r="T484" s="350"/>
      <c r="U484" s="351"/>
      <c r="V484" s="351"/>
      <c r="W484" s="351"/>
      <c r="X484" s="351"/>
      <c r="Y484" s="351"/>
      <c r="Z484" s="351"/>
    </row>
    <row r="485">
      <c r="A485" s="349"/>
      <c r="B485" s="337"/>
      <c r="C485" s="318"/>
      <c r="D485" s="318"/>
      <c r="E485" s="337"/>
      <c r="F485" s="354"/>
      <c r="G485" s="355"/>
      <c r="H485" s="350"/>
      <c r="I485" s="350"/>
      <c r="J485" s="350"/>
      <c r="K485" s="349"/>
      <c r="L485" s="337"/>
      <c r="M485" s="318"/>
      <c r="N485" s="318"/>
      <c r="O485" s="337"/>
      <c r="P485" s="354"/>
      <c r="Q485" s="355"/>
      <c r="R485" s="350"/>
      <c r="S485" s="350"/>
      <c r="T485" s="350"/>
      <c r="U485" s="351"/>
      <c r="V485" s="351"/>
      <c r="W485" s="351"/>
      <c r="X485" s="351"/>
      <c r="Y485" s="351"/>
      <c r="Z485" s="351"/>
    </row>
    <row r="486">
      <c r="A486" s="349"/>
      <c r="B486" s="337"/>
      <c r="C486" s="318"/>
      <c r="D486" s="318"/>
      <c r="E486" s="337"/>
      <c r="F486" s="354"/>
      <c r="G486" s="355"/>
      <c r="H486" s="350"/>
      <c r="I486" s="350"/>
      <c r="J486" s="350"/>
      <c r="K486" s="349"/>
      <c r="L486" s="337"/>
      <c r="M486" s="318"/>
      <c r="N486" s="318"/>
      <c r="O486" s="337"/>
      <c r="P486" s="354"/>
      <c r="Q486" s="355"/>
      <c r="R486" s="350"/>
      <c r="S486" s="350"/>
      <c r="T486" s="350"/>
      <c r="U486" s="351"/>
      <c r="V486" s="351"/>
      <c r="W486" s="351"/>
      <c r="X486" s="351"/>
      <c r="Y486" s="351"/>
      <c r="Z486" s="351"/>
    </row>
    <row r="487">
      <c r="A487" s="349"/>
      <c r="B487" s="337"/>
      <c r="C487" s="318"/>
      <c r="D487" s="318"/>
      <c r="E487" s="337"/>
      <c r="F487" s="354"/>
      <c r="G487" s="355"/>
      <c r="H487" s="350"/>
      <c r="I487" s="350"/>
      <c r="J487" s="350"/>
      <c r="K487" s="349"/>
      <c r="L487" s="337"/>
      <c r="M487" s="318"/>
      <c r="N487" s="318"/>
      <c r="O487" s="337"/>
      <c r="P487" s="354"/>
      <c r="Q487" s="355"/>
      <c r="R487" s="350"/>
      <c r="S487" s="350"/>
      <c r="T487" s="350"/>
      <c r="U487" s="351"/>
      <c r="V487" s="351"/>
      <c r="W487" s="351"/>
      <c r="X487" s="351"/>
      <c r="Y487" s="351"/>
      <c r="Z487" s="351"/>
    </row>
    <row r="488">
      <c r="A488" s="349"/>
      <c r="B488" s="337"/>
      <c r="C488" s="318"/>
      <c r="D488" s="318"/>
      <c r="E488" s="337"/>
      <c r="F488" s="335"/>
      <c r="G488" s="318"/>
      <c r="H488" s="335"/>
      <c r="I488" s="350"/>
      <c r="J488" s="350"/>
      <c r="K488" s="349"/>
      <c r="L488" s="337"/>
      <c r="M488" s="318"/>
      <c r="N488" s="318"/>
      <c r="O488" s="337"/>
      <c r="P488" s="335"/>
      <c r="Q488" s="318"/>
      <c r="R488" s="335"/>
      <c r="S488" s="350"/>
      <c r="T488" s="350"/>
      <c r="U488" s="351"/>
      <c r="V488" s="351"/>
      <c r="W488" s="351"/>
      <c r="X488" s="351"/>
      <c r="Y488" s="351"/>
      <c r="Z488" s="351"/>
    </row>
    <row r="489">
      <c r="A489" s="349"/>
      <c r="B489" s="337"/>
      <c r="C489" s="318"/>
      <c r="D489" s="318"/>
      <c r="E489" s="337"/>
      <c r="F489" s="354"/>
      <c r="G489" s="318"/>
      <c r="H489" s="350"/>
      <c r="I489" s="350"/>
      <c r="J489" s="350"/>
      <c r="K489" s="349"/>
      <c r="L489" s="337"/>
      <c r="M489" s="318"/>
      <c r="N489" s="318"/>
      <c r="O489" s="337"/>
      <c r="P489" s="354"/>
      <c r="Q489" s="318"/>
      <c r="R489" s="350"/>
      <c r="S489" s="350"/>
      <c r="T489" s="350"/>
      <c r="U489" s="351"/>
      <c r="V489" s="351"/>
      <c r="W489" s="351"/>
      <c r="X489" s="351"/>
      <c r="Y489" s="351"/>
      <c r="Z489" s="351"/>
    </row>
    <row r="490">
      <c r="A490" s="349"/>
      <c r="B490" s="337"/>
      <c r="C490" s="318"/>
      <c r="D490" s="318"/>
      <c r="E490" s="337"/>
      <c r="F490" s="354"/>
      <c r="G490" s="355"/>
      <c r="H490" s="350"/>
      <c r="I490" s="379"/>
      <c r="J490" s="350"/>
      <c r="K490" s="349"/>
      <c r="L490" s="337"/>
      <c r="M490" s="318"/>
      <c r="N490" s="318"/>
      <c r="O490" s="337"/>
      <c r="P490" s="354"/>
      <c r="Q490" s="355"/>
      <c r="R490" s="350"/>
      <c r="S490" s="379"/>
      <c r="T490" s="350"/>
      <c r="U490" s="351"/>
      <c r="V490" s="351"/>
      <c r="W490" s="351"/>
      <c r="X490" s="351"/>
      <c r="Y490" s="351"/>
      <c r="Z490" s="351"/>
    </row>
    <row r="491">
      <c r="A491" s="349"/>
      <c r="B491" s="337"/>
      <c r="C491" s="318"/>
      <c r="D491" s="318"/>
      <c r="E491" s="337"/>
      <c r="F491" s="354"/>
      <c r="G491" s="355"/>
      <c r="H491" s="350"/>
      <c r="I491" s="350"/>
      <c r="J491" s="350"/>
      <c r="K491" s="349"/>
      <c r="L491" s="337"/>
      <c r="M491" s="318"/>
      <c r="N491" s="318"/>
      <c r="O491" s="337"/>
      <c r="P491" s="354"/>
      <c r="Q491" s="355"/>
      <c r="R491" s="350"/>
      <c r="S491" s="350"/>
      <c r="T491" s="350"/>
      <c r="U491" s="351"/>
      <c r="V491" s="351"/>
      <c r="W491" s="351"/>
      <c r="X491" s="351"/>
      <c r="Y491" s="351"/>
      <c r="Z491" s="351"/>
    </row>
    <row r="492">
      <c r="A492" s="349"/>
      <c r="B492" s="337"/>
      <c r="C492" s="318"/>
      <c r="D492" s="318"/>
      <c r="E492" s="337"/>
      <c r="F492" s="354"/>
      <c r="G492" s="355"/>
      <c r="H492" s="350"/>
      <c r="I492" s="350"/>
      <c r="J492" s="350"/>
      <c r="K492" s="349"/>
      <c r="L492" s="337"/>
      <c r="M492" s="318"/>
      <c r="N492" s="318"/>
      <c r="O492" s="337"/>
      <c r="P492" s="354"/>
      <c r="Q492" s="355"/>
      <c r="R492" s="350"/>
      <c r="S492" s="350"/>
      <c r="T492" s="350"/>
      <c r="U492" s="351"/>
      <c r="V492" s="351"/>
      <c r="W492" s="351"/>
      <c r="X492" s="351"/>
      <c r="Y492" s="351"/>
      <c r="Z492" s="351"/>
    </row>
    <row r="493">
      <c r="A493" s="349"/>
      <c r="B493" s="337"/>
      <c r="C493" s="318"/>
      <c r="D493" s="318"/>
      <c r="E493" s="337"/>
      <c r="F493" s="354"/>
      <c r="G493" s="355"/>
      <c r="H493" s="350"/>
      <c r="I493" s="350"/>
      <c r="J493" s="350"/>
      <c r="K493" s="349"/>
      <c r="L493" s="337"/>
      <c r="M493" s="318"/>
      <c r="N493" s="318"/>
      <c r="O493" s="337"/>
      <c r="P493" s="354"/>
      <c r="Q493" s="355"/>
      <c r="R493" s="350"/>
      <c r="S493" s="350"/>
      <c r="T493" s="350"/>
      <c r="U493" s="351"/>
      <c r="V493" s="351"/>
      <c r="W493" s="351"/>
      <c r="X493" s="351"/>
      <c r="Y493" s="351"/>
      <c r="Z493" s="351"/>
    </row>
    <row r="494">
      <c r="A494" s="349"/>
      <c r="B494" s="337"/>
      <c r="C494" s="318"/>
      <c r="D494" s="318"/>
      <c r="E494" s="337"/>
      <c r="F494" s="354"/>
      <c r="G494" s="355"/>
      <c r="H494" s="350"/>
      <c r="I494" s="350"/>
      <c r="J494" s="350"/>
      <c r="K494" s="349"/>
      <c r="L494" s="337"/>
      <c r="M494" s="318"/>
      <c r="N494" s="318"/>
      <c r="O494" s="337"/>
      <c r="P494" s="354"/>
      <c r="Q494" s="355"/>
      <c r="R494" s="350"/>
      <c r="S494" s="350"/>
      <c r="T494" s="350"/>
      <c r="U494" s="351"/>
      <c r="V494" s="351"/>
      <c r="W494" s="351"/>
      <c r="X494" s="351"/>
      <c r="Y494" s="351"/>
      <c r="Z494" s="351"/>
    </row>
    <row r="495">
      <c r="A495" s="349"/>
      <c r="B495" s="337"/>
      <c r="C495" s="318"/>
      <c r="D495" s="318"/>
      <c r="E495" s="337"/>
      <c r="F495" s="337"/>
      <c r="G495" s="318"/>
      <c r="H495" s="335"/>
      <c r="I495" s="335"/>
      <c r="J495" s="335"/>
      <c r="K495" s="349"/>
      <c r="L495" s="337"/>
      <c r="M495" s="318"/>
      <c r="N495" s="318"/>
      <c r="O495" s="337"/>
      <c r="P495" s="337"/>
      <c r="Q495" s="318"/>
      <c r="R495" s="335"/>
      <c r="S495" s="335"/>
      <c r="T495" s="335"/>
      <c r="U495" s="351"/>
      <c r="V495" s="351"/>
      <c r="W495" s="351"/>
      <c r="X495" s="351"/>
      <c r="Y495" s="351"/>
      <c r="Z495" s="351"/>
    </row>
    <row r="496">
      <c r="A496" s="349"/>
      <c r="B496" s="337"/>
      <c r="C496" s="318"/>
      <c r="D496" s="318"/>
      <c r="E496" s="337"/>
      <c r="F496" s="354"/>
      <c r="G496" s="355"/>
      <c r="H496" s="350"/>
      <c r="I496" s="350"/>
      <c r="J496" s="350"/>
      <c r="K496" s="349"/>
      <c r="L496" s="337"/>
      <c r="M496" s="318"/>
      <c r="N496" s="318"/>
      <c r="O496" s="337"/>
      <c r="P496" s="354"/>
      <c r="Q496" s="355"/>
      <c r="R496" s="350"/>
      <c r="S496" s="350"/>
      <c r="T496" s="350"/>
      <c r="U496" s="351"/>
      <c r="V496" s="351"/>
      <c r="W496" s="351"/>
      <c r="X496" s="351"/>
      <c r="Y496" s="351"/>
      <c r="Z496" s="351"/>
    </row>
    <row r="497">
      <c r="A497" s="349"/>
      <c r="B497" s="337"/>
      <c r="C497" s="318"/>
      <c r="D497" s="318"/>
      <c r="E497" s="337"/>
      <c r="F497" s="354"/>
      <c r="G497" s="355"/>
      <c r="H497" s="350"/>
      <c r="I497" s="337"/>
      <c r="J497" s="350"/>
      <c r="K497" s="349"/>
      <c r="L497" s="337"/>
      <c r="M497" s="318"/>
      <c r="N497" s="318"/>
      <c r="O497" s="337"/>
      <c r="P497" s="354"/>
      <c r="Q497" s="355"/>
      <c r="R497" s="350"/>
      <c r="S497" s="337"/>
      <c r="T497" s="350"/>
      <c r="U497" s="351"/>
      <c r="V497" s="351"/>
      <c r="W497" s="351"/>
      <c r="X497" s="351"/>
      <c r="Y497" s="351"/>
      <c r="Z497" s="351"/>
    </row>
    <row r="498">
      <c r="A498" s="349"/>
      <c r="B498" s="337"/>
      <c r="C498" s="318"/>
      <c r="D498" s="318"/>
      <c r="E498" s="337"/>
      <c r="F498" s="354"/>
      <c r="G498" s="355"/>
      <c r="H498" s="350"/>
      <c r="I498" s="350"/>
      <c r="J498" s="350"/>
      <c r="K498" s="349"/>
      <c r="L498" s="337"/>
      <c r="M498" s="318"/>
      <c r="N498" s="318"/>
      <c r="O498" s="337"/>
      <c r="P498" s="354"/>
      <c r="Q498" s="355"/>
      <c r="R498" s="350"/>
      <c r="S498" s="350"/>
      <c r="T498" s="350"/>
      <c r="U498" s="351"/>
      <c r="V498" s="351"/>
      <c r="W498" s="351"/>
      <c r="X498" s="351"/>
      <c r="Y498" s="351"/>
      <c r="Z498" s="351"/>
    </row>
    <row r="499">
      <c r="A499" s="349"/>
      <c r="B499" s="337"/>
      <c r="C499" s="318"/>
      <c r="D499" s="355"/>
      <c r="E499" s="354"/>
      <c r="F499" s="337"/>
      <c r="G499" s="318"/>
      <c r="H499" s="335"/>
      <c r="I499" s="335"/>
      <c r="J499" s="350"/>
      <c r="K499" s="349"/>
      <c r="L499" s="337"/>
      <c r="M499" s="318"/>
      <c r="N499" s="355"/>
      <c r="O499" s="354"/>
      <c r="P499" s="337"/>
      <c r="Q499" s="318"/>
      <c r="R499" s="335"/>
      <c r="S499" s="335"/>
      <c r="T499" s="350"/>
      <c r="U499" s="351"/>
      <c r="V499" s="351"/>
      <c r="W499" s="351"/>
      <c r="X499" s="351"/>
      <c r="Y499" s="351"/>
      <c r="Z499" s="351"/>
    </row>
    <row r="500">
      <c r="A500" s="349"/>
      <c r="B500" s="337"/>
      <c r="C500" s="318"/>
      <c r="D500" s="318"/>
      <c r="E500" s="337"/>
      <c r="F500" s="354"/>
      <c r="G500" s="355"/>
      <c r="H500" s="350"/>
      <c r="I500" s="350"/>
      <c r="J500" s="350"/>
      <c r="K500" s="349"/>
      <c r="L500" s="337"/>
      <c r="M500" s="318"/>
      <c r="N500" s="318"/>
      <c r="O500" s="337"/>
      <c r="P500" s="354"/>
      <c r="Q500" s="355"/>
      <c r="R500" s="350"/>
      <c r="S500" s="350"/>
      <c r="T500" s="350"/>
      <c r="U500" s="351"/>
      <c r="V500" s="351"/>
      <c r="W500" s="351"/>
      <c r="X500" s="351"/>
      <c r="Y500" s="351"/>
      <c r="Z500" s="351"/>
    </row>
    <row r="501">
      <c r="A501" s="349"/>
      <c r="B501" s="335"/>
      <c r="C501" s="318"/>
      <c r="D501" s="318"/>
      <c r="E501" s="337"/>
      <c r="F501" s="337"/>
      <c r="G501" s="318"/>
      <c r="H501" s="335"/>
      <c r="I501" s="350"/>
      <c r="J501" s="350"/>
      <c r="K501" s="349"/>
      <c r="L501" s="335"/>
      <c r="M501" s="318"/>
      <c r="N501" s="318"/>
      <c r="O501" s="337"/>
      <c r="P501" s="337"/>
      <c r="Q501" s="318"/>
      <c r="R501" s="335"/>
      <c r="S501" s="350"/>
      <c r="T501" s="350"/>
      <c r="U501" s="351"/>
      <c r="V501" s="351"/>
      <c r="W501" s="351"/>
      <c r="X501" s="351"/>
      <c r="Y501" s="351"/>
      <c r="Z501" s="351"/>
    </row>
    <row r="502">
      <c r="A502" s="349"/>
      <c r="B502" s="335"/>
      <c r="C502" s="318"/>
      <c r="D502" s="318"/>
      <c r="E502" s="337"/>
      <c r="F502" s="337"/>
      <c r="G502" s="355"/>
      <c r="H502" s="350"/>
      <c r="I502" s="350"/>
      <c r="J502" s="350"/>
      <c r="K502" s="349"/>
      <c r="L502" s="335"/>
      <c r="M502" s="318"/>
      <c r="N502" s="318"/>
      <c r="O502" s="337"/>
      <c r="P502" s="337"/>
      <c r="Q502" s="355"/>
      <c r="R502" s="350"/>
      <c r="S502" s="350"/>
      <c r="T502" s="350"/>
      <c r="U502" s="351"/>
      <c r="V502" s="351"/>
      <c r="W502" s="351"/>
      <c r="X502" s="351"/>
      <c r="Y502" s="351"/>
      <c r="Z502" s="351"/>
    </row>
    <row r="503">
      <c r="A503" s="349"/>
      <c r="B503" s="335"/>
      <c r="C503" s="318"/>
      <c r="D503" s="318"/>
      <c r="E503" s="337"/>
      <c r="F503" s="354"/>
      <c r="G503" s="355"/>
      <c r="H503" s="350"/>
      <c r="I503" s="350"/>
      <c r="J503" s="350"/>
      <c r="K503" s="349"/>
      <c r="L503" s="335"/>
      <c r="M503" s="318"/>
      <c r="N503" s="318"/>
      <c r="O503" s="337"/>
      <c r="P503" s="354"/>
      <c r="Q503" s="355"/>
      <c r="R503" s="350"/>
      <c r="S503" s="350"/>
      <c r="T503" s="350"/>
      <c r="U503" s="351"/>
      <c r="V503" s="351"/>
      <c r="W503" s="351"/>
      <c r="X503" s="351"/>
      <c r="Y503" s="351"/>
      <c r="Z503" s="351"/>
    </row>
    <row r="504">
      <c r="A504" s="349"/>
      <c r="B504" s="335"/>
      <c r="C504" s="318"/>
      <c r="D504" s="318"/>
      <c r="E504" s="337"/>
      <c r="F504" s="354"/>
      <c r="G504" s="355"/>
      <c r="H504" s="350"/>
      <c r="I504" s="350"/>
      <c r="J504" s="350"/>
      <c r="K504" s="349"/>
      <c r="L504" s="335"/>
      <c r="M504" s="318"/>
      <c r="N504" s="318"/>
      <c r="O504" s="337"/>
      <c r="P504" s="354"/>
      <c r="Q504" s="355"/>
      <c r="R504" s="350"/>
      <c r="S504" s="350"/>
      <c r="T504" s="350"/>
      <c r="U504" s="351"/>
      <c r="V504" s="351"/>
      <c r="W504" s="351"/>
      <c r="X504" s="351"/>
      <c r="Y504" s="351"/>
      <c r="Z504" s="351"/>
    </row>
    <row r="505">
      <c r="A505" s="349"/>
      <c r="B505" s="335"/>
      <c r="C505" s="318"/>
      <c r="D505" s="318"/>
      <c r="E505" s="337"/>
      <c r="F505" s="354"/>
      <c r="G505" s="355"/>
      <c r="H505" s="350"/>
      <c r="I505" s="337"/>
      <c r="J505" s="350"/>
      <c r="K505" s="349"/>
      <c r="L505" s="335"/>
      <c r="M505" s="318"/>
      <c r="N505" s="318"/>
      <c r="O505" s="337"/>
      <c r="P505" s="354"/>
      <c r="Q505" s="355"/>
      <c r="R505" s="350"/>
      <c r="S505" s="337"/>
      <c r="T505" s="350"/>
      <c r="U505" s="351"/>
      <c r="V505" s="351"/>
      <c r="W505" s="351"/>
      <c r="X505" s="351"/>
      <c r="Y505" s="351"/>
      <c r="Z505" s="351"/>
    </row>
    <row r="506">
      <c r="A506" s="349"/>
      <c r="B506" s="335"/>
      <c r="C506" s="318"/>
      <c r="D506" s="318"/>
      <c r="E506" s="337"/>
      <c r="F506" s="354"/>
      <c r="G506" s="355"/>
      <c r="H506" s="350"/>
      <c r="I506" s="350"/>
      <c r="J506" s="350"/>
      <c r="K506" s="349"/>
      <c r="L506" s="335"/>
      <c r="M506" s="318"/>
      <c r="N506" s="318"/>
      <c r="O506" s="337"/>
      <c r="P506" s="354"/>
      <c r="Q506" s="355"/>
      <c r="R506" s="350"/>
      <c r="S506" s="350"/>
      <c r="T506" s="350"/>
      <c r="U506" s="351"/>
      <c r="V506" s="351"/>
      <c r="W506" s="351"/>
      <c r="X506" s="351"/>
      <c r="Y506" s="351"/>
      <c r="Z506" s="351"/>
    </row>
    <row r="507">
      <c r="A507" s="349"/>
      <c r="B507" s="335"/>
      <c r="C507" s="318"/>
      <c r="D507" s="318"/>
      <c r="E507" s="337"/>
      <c r="F507" s="354"/>
      <c r="G507" s="355"/>
      <c r="H507" s="350"/>
      <c r="I507" s="350"/>
      <c r="J507" s="350"/>
      <c r="K507" s="349"/>
      <c r="L507" s="335"/>
      <c r="M507" s="318"/>
      <c r="N507" s="318"/>
      <c r="O507" s="337"/>
      <c r="P507" s="354"/>
      <c r="Q507" s="355"/>
      <c r="R507" s="350"/>
      <c r="S507" s="350"/>
      <c r="T507" s="350"/>
      <c r="U507" s="351"/>
      <c r="V507" s="351"/>
      <c r="W507" s="351"/>
      <c r="X507" s="351"/>
      <c r="Y507" s="351"/>
      <c r="Z507" s="351"/>
    </row>
    <row r="508">
      <c r="A508" s="349"/>
      <c r="B508" s="335"/>
      <c r="C508" s="318"/>
      <c r="D508" s="318"/>
      <c r="E508" s="337"/>
      <c r="F508" s="337"/>
      <c r="G508" s="355"/>
      <c r="H508" s="335"/>
      <c r="I508" s="335"/>
      <c r="J508" s="350"/>
      <c r="K508" s="349"/>
      <c r="L508" s="335"/>
      <c r="M508" s="318"/>
      <c r="N508" s="318"/>
      <c r="O508" s="337"/>
      <c r="P508" s="337"/>
      <c r="Q508" s="355"/>
      <c r="R508" s="335"/>
      <c r="S508" s="335"/>
      <c r="T508" s="350"/>
      <c r="U508" s="351"/>
      <c r="V508" s="351"/>
      <c r="W508" s="351"/>
      <c r="X508" s="351"/>
      <c r="Y508" s="351"/>
      <c r="Z508" s="351"/>
    </row>
    <row r="509">
      <c r="A509" s="349"/>
      <c r="B509" s="335"/>
      <c r="C509" s="318"/>
      <c r="D509" s="318"/>
      <c r="E509" s="337"/>
      <c r="F509" s="354"/>
      <c r="G509" s="355"/>
      <c r="H509" s="350"/>
      <c r="I509" s="350"/>
      <c r="J509" s="350"/>
      <c r="K509" s="349"/>
      <c r="L509" s="335"/>
      <c r="M509" s="318"/>
      <c r="N509" s="318"/>
      <c r="O509" s="337"/>
      <c r="P509" s="354"/>
      <c r="Q509" s="355"/>
      <c r="R509" s="350"/>
      <c r="S509" s="350"/>
      <c r="T509" s="350"/>
      <c r="U509" s="351"/>
      <c r="V509" s="351"/>
      <c r="W509" s="351"/>
      <c r="X509" s="351"/>
      <c r="Y509" s="351"/>
      <c r="Z509" s="351"/>
    </row>
    <row r="510">
      <c r="A510" s="349"/>
      <c r="B510" s="335"/>
      <c r="C510" s="318"/>
      <c r="D510" s="318"/>
      <c r="E510" s="337"/>
      <c r="F510" s="354"/>
      <c r="G510" s="355"/>
      <c r="H510" s="350"/>
      <c r="I510" s="350"/>
      <c r="J510" s="350"/>
      <c r="K510" s="349"/>
      <c r="L510" s="335"/>
      <c r="M510" s="318"/>
      <c r="N510" s="318"/>
      <c r="O510" s="337"/>
      <c r="P510" s="354"/>
      <c r="Q510" s="355"/>
      <c r="R510" s="350"/>
      <c r="S510" s="350"/>
      <c r="T510" s="350"/>
      <c r="U510" s="351"/>
      <c r="V510" s="351"/>
      <c r="W510" s="351"/>
      <c r="X510" s="351"/>
      <c r="Y510" s="351"/>
      <c r="Z510" s="351"/>
    </row>
    <row r="511">
      <c r="A511" s="349"/>
      <c r="B511" s="335"/>
      <c r="C511" s="318"/>
      <c r="D511" s="318"/>
      <c r="E511" s="335"/>
      <c r="F511" s="354"/>
      <c r="G511" s="355"/>
      <c r="H511" s="350"/>
      <c r="I511" s="350"/>
      <c r="J511" s="350"/>
      <c r="K511" s="349"/>
      <c r="L511" s="335"/>
      <c r="M511" s="318"/>
      <c r="N511" s="318"/>
      <c r="O511" s="335"/>
      <c r="P511" s="354"/>
      <c r="Q511" s="355"/>
      <c r="R511" s="350"/>
      <c r="S511" s="350"/>
      <c r="T511" s="350"/>
      <c r="U511" s="351"/>
      <c r="V511" s="351"/>
      <c r="W511" s="351"/>
      <c r="X511" s="351"/>
      <c r="Y511" s="351"/>
      <c r="Z511" s="351"/>
    </row>
    <row r="512">
      <c r="A512" s="349"/>
      <c r="B512" s="335"/>
      <c r="C512" s="318"/>
      <c r="D512" s="318"/>
      <c r="E512" s="337"/>
      <c r="F512" s="354"/>
      <c r="G512" s="355"/>
      <c r="H512" s="350"/>
      <c r="I512" s="350"/>
      <c r="J512" s="350"/>
      <c r="K512" s="349"/>
      <c r="L512" s="335"/>
      <c r="M512" s="318"/>
      <c r="N512" s="318"/>
      <c r="O512" s="337"/>
      <c r="P512" s="354"/>
      <c r="Q512" s="355"/>
      <c r="R512" s="350"/>
      <c r="S512" s="350"/>
      <c r="T512" s="350"/>
      <c r="U512" s="351"/>
      <c r="V512" s="351"/>
      <c r="W512" s="351"/>
      <c r="X512" s="351"/>
      <c r="Y512" s="351"/>
      <c r="Z512" s="351"/>
    </row>
    <row r="513">
      <c r="A513" s="349"/>
      <c r="B513" s="335"/>
      <c r="C513" s="318"/>
      <c r="D513" s="318"/>
      <c r="E513" s="337"/>
      <c r="F513" s="354"/>
      <c r="G513" s="355"/>
      <c r="H513" s="350"/>
      <c r="I513" s="350"/>
      <c r="J513" s="350"/>
      <c r="K513" s="349"/>
      <c r="L513" s="335"/>
      <c r="M513" s="318"/>
      <c r="N513" s="318"/>
      <c r="O513" s="337"/>
      <c r="P513" s="354"/>
      <c r="Q513" s="355"/>
      <c r="R513" s="350"/>
      <c r="S513" s="350"/>
      <c r="T513" s="350"/>
      <c r="U513" s="351"/>
      <c r="V513" s="351"/>
      <c r="W513" s="351"/>
      <c r="X513" s="351"/>
      <c r="Y513" s="351"/>
      <c r="Z513" s="351"/>
    </row>
    <row r="514">
      <c r="A514" s="350"/>
      <c r="B514" s="335"/>
      <c r="C514" s="355"/>
      <c r="D514" s="318"/>
      <c r="E514" s="337"/>
      <c r="F514" s="354"/>
      <c r="G514" s="355"/>
      <c r="H514" s="350"/>
      <c r="I514" s="350"/>
      <c r="J514" s="350"/>
      <c r="K514" s="350"/>
      <c r="L514" s="335"/>
      <c r="M514" s="355"/>
      <c r="N514" s="318"/>
      <c r="O514" s="337"/>
      <c r="P514" s="354"/>
      <c r="Q514" s="355"/>
      <c r="R514" s="350"/>
      <c r="S514" s="350"/>
      <c r="T514" s="350"/>
      <c r="U514" s="351"/>
      <c r="V514" s="351"/>
      <c r="W514" s="351"/>
      <c r="X514" s="351"/>
      <c r="Y514" s="351"/>
      <c r="Z514" s="351"/>
    </row>
    <row r="515">
      <c r="A515" s="349"/>
      <c r="B515" s="335"/>
      <c r="C515" s="318"/>
      <c r="D515" s="318"/>
      <c r="E515" s="337"/>
      <c r="F515" s="354"/>
      <c r="G515" s="355"/>
      <c r="H515" s="350"/>
      <c r="I515" s="337"/>
      <c r="J515" s="350"/>
      <c r="K515" s="349"/>
      <c r="L515" s="335"/>
      <c r="M515" s="318"/>
      <c r="N515" s="318"/>
      <c r="O515" s="337"/>
      <c r="P515" s="354"/>
      <c r="Q515" s="355"/>
      <c r="R515" s="350"/>
      <c r="S515" s="337"/>
      <c r="T515" s="350"/>
      <c r="U515" s="351"/>
      <c r="V515" s="351"/>
      <c r="W515" s="351"/>
      <c r="X515" s="351"/>
      <c r="Y515" s="351"/>
      <c r="Z515" s="351"/>
    </row>
    <row r="516">
      <c r="A516" s="349"/>
      <c r="B516" s="335"/>
      <c r="C516" s="318"/>
      <c r="D516" s="318"/>
      <c r="E516" s="337"/>
      <c r="F516" s="354"/>
      <c r="G516" s="355"/>
      <c r="H516" s="350"/>
      <c r="I516" s="350"/>
      <c r="J516" s="350"/>
      <c r="K516" s="349"/>
      <c r="L516" s="335"/>
      <c r="M516" s="318"/>
      <c r="N516" s="318"/>
      <c r="O516" s="337"/>
      <c r="P516" s="354"/>
      <c r="Q516" s="355"/>
      <c r="R516" s="350"/>
      <c r="S516" s="350"/>
      <c r="T516" s="350"/>
      <c r="U516" s="351"/>
      <c r="V516" s="351"/>
      <c r="W516" s="351"/>
      <c r="X516" s="351"/>
      <c r="Y516" s="351"/>
      <c r="Z516" s="351"/>
    </row>
    <row r="517">
      <c r="A517" s="349"/>
      <c r="B517" s="335"/>
      <c r="C517" s="318"/>
      <c r="D517" s="318"/>
      <c r="E517" s="337"/>
      <c r="F517" s="354"/>
      <c r="G517" s="355"/>
      <c r="H517" s="350"/>
      <c r="I517" s="350"/>
      <c r="J517" s="350"/>
      <c r="K517" s="349"/>
      <c r="L517" s="335"/>
      <c r="M517" s="318"/>
      <c r="N517" s="318"/>
      <c r="O517" s="337"/>
      <c r="P517" s="354"/>
      <c r="Q517" s="355"/>
      <c r="R517" s="350"/>
      <c r="S517" s="350"/>
      <c r="T517" s="350"/>
      <c r="U517" s="351"/>
      <c r="V517" s="351"/>
      <c r="W517" s="351"/>
      <c r="X517" s="351"/>
      <c r="Y517" s="351"/>
      <c r="Z517" s="351"/>
    </row>
    <row r="518">
      <c r="A518" s="349"/>
      <c r="B518" s="335"/>
      <c r="C518" s="318"/>
      <c r="D518" s="318"/>
      <c r="E518" s="337"/>
      <c r="F518" s="354"/>
      <c r="G518" s="355"/>
      <c r="H518" s="350"/>
      <c r="I518" s="350"/>
      <c r="J518" s="350"/>
      <c r="K518" s="349"/>
      <c r="L518" s="335"/>
      <c r="M518" s="318"/>
      <c r="N518" s="318"/>
      <c r="O518" s="337"/>
      <c r="P518" s="354"/>
      <c r="Q518" s="355"/>
      <c r="R518" s="350"/>
      <c r="S518" s="350"/>
      <c r="T518" s="350"/>
      <c r="U518" s="351"/>
      <c r="V518" s="351"/>
      <c r="W518" s="351"/>
      <c r="X518" s="351"/>
      <c r="Y518" s="351"/>
      <c r="Z518" s="351"/>
    </row>
    <row r="519">
      <c r="A519" s="349"/>
      <c r="B519" s="335"/>
      <c r="C519" s="318"/>
      <c r="D519" s="318"/>
      <c r="E519" s="337"/>
      <c r="F519" s="354"/>
      <c r="G519" s="355"/>
      <c r="H519" s="350"/>
      <c r="I519" s="350"/>
      <c r="J519" s="350"/>
      <c r="K519" s="349"/>
      <c r="L519" s="335"/>
      <c r="M519" s="318"/>
      <c r="N519" s="318"/>
      <c r="O519" s="337"/>
      <c r="P519" s="354"/>
      <c r="Q519" s="355"/>
      <c r="R519" s="350"/>
      <c r="S519" s="350"/>
      <c r="T519" s="350"/>
      <c r="U519" s="351"/>
      <c r="V519" s="351"/>
      <c r="W519" s="351"/>
      <c r="X519" s="351"/>
      <c r="Y519" s="351"/>
      <c r="Z519" s="351"/>
    </row>
    <row r="520">
      <c r="A520" s="349"/>
      <c r="B520" s="335"/>
      <c r="C520" s="318"/>
      <c r="D520" s="318"/>
      <c r="E520" s="337"/>
      <c r="F520" s="354"/>
      <c r="G520" s="355"/>
      <c r="H520" s="350"/>
      <c r="I520" s="350"/>
      <c r="J520" s="350"/>
      <c r="K520" s="349"/>
      <c r="L520" s="335"/>
      <c r="M520" s="318"/>
      <c r="N520" s="318"/>
      <c r="O520" s="337"/>
      <c r="P520" s="354"/>
      <c r="Q520" s="355"/>
      <c r="R520" s="350"/>
      <c r="S520" s="350"/>
      <c r="T520" s="350"/>
      <c r="U520" s="351"/>
      <c r="V520" s="351"/>
      <c r="W520" s="351"/>
      <c r="X520" s="351"/>
      <c r="Y520" s="351"/>
      <c r="Z520" s="351"/>
    </row>
    <row r="521">
      <c r="A521" s="349"/>
      <c r="B521" s="335"/>
      <c r="C521" s="318"/>
      <c r="D521" s="318"/>
      <c r="E521" s="337"/>
      <c r="F521" s="354"/>
      <c r="G521" s="355"/>
      <c r="H521" s="350"/>
      <c r="I521" s="350"/>
      <c r="J521" s="350"/>
      <c r="K521" s="349"/>
      <c r="L521" s="335"/>
      <c r="M521" s="318"/>
      <c r="N521" s="318"/>
      <c r="O521" s="337"/>
      <c r="P521" s="354"/>
      <c r="Q521" s="355"/>
      <c r="R521" s="350"/>
      <c r="S521" s="350"/>
      <c r="T521" s="350"/>
      <c r="U521" s="351"/>
      <c r="V521" s="351"/>
      <c r="W521" s="351"/>
      <c r="X521" s="351"/>
      <c r="Y521" s="351"/>
      <c r="Z521" s="351"/>
    </row>
    <row r="522">
      <c r="A522" s="349"/>
      <c r="B522" s="335"/>
      <c r="C522" s="318"/>
      <c r="D522" s="318"/>
      <c r="E522" s="337"/>
      <c r="F522" s="354"/>
      <c r="G522" s="355"/>
      <c r="H522" s="350"/>
      <c r="I522" s="350"/>
      <c r="J522" s="350"/>
      <c r="K522" s="349"/>
      <c r="L522" s="335"/>
      <c r="M522" s="318"/>
      <c r="N522" s="318"/>
      <c r="O522" s="337"/>
      <c r="P522" s="354"/>
      <c r="Q522" s="355"/>
      <c r="R522" s="350"/>
      <c r="S522" s="350"/>
      <c r="T522" s="350"/>
      <c r="U522" s="351"/>
      <c r="V522" s="351"/>
      <c r="W522" s="351"/>
      <c r="X522" s="351"/>
      <c r="Y522" s="351"/>
      <c r="Z522" s="351"/>
    </row>
    <row r="523">
      <c r="A523" s="349"/>
      <c r="B523" s="335"/>
      <c r="C523" s="318"/>
      <c r="D523" s="318"/>
      <c r="E523" s="337"/>
      <c r="F523" s="354"/>
      <c r="G523" s="355"/>
      <c r="H523" s="350"/>
      <c r="I523" s="350"/>
      <c r="J523" s="350"/>
      <c r="K523" s="349"/>
      <c r="L523" s="335"/>
      <c r="M523" s="318"/>
      <c r="N523" s="318"/>
      <c r="O523" s="337"/>
      <c r="P523" s="354"/>
      <c r="Q523" s="355"/>
      <c r="R523" s="350"/>
      <c r="S523" s="350"/>
      <c r="T523" s="350"/>
      <c r="U523" s="351"/>
      <c r="V523" s="351"/>
      <c r="W523" s="351"/>
      <c r="X523" s="351"/>
      <c r="Y523" s="351"/>
      <c r="Z523" s="351"/>
    </row>
    <row r="524">
      <c r="A524" s="349"/>
      <c r="B524" s="335"/>
      <c r="C524" s="318"/>
      <c r="D524" s="318"/>
      <c r="E524" s="337"/>
      <c r="F524" s="354"/>
      <c r="G524" s="355"/>
      <c r="H524" s="350"/>
      <c r="I524" s="350"/>
      <c r="J524" s="350"/>
      <c r="K524" s="349"/>
      <c r="L524" s="335"/>
      <c r="M524" s="318"/>
      <c r="N524" s="318"/>
      <c r="O524" s="337"/>
      <c r="P524" s="354"/>
      <c r="Q524" s="355"/>
      <c r="R524" s="350"/>
      <c r="S524" s="350"/>
      <c r="T524" s="350"/>
      <c r="U524" s="351"/>
      <c r="V524" s="351"/>
      <c r="W524" s="351"/>
      <c r="X524" s="351"/>
      <c r="Y524" s="351"/>
      <c r="Z524" s="351"/>
    </row>
    <row r="525">
      <c r="A525" s="349"/>
      <c r="B525" s="335"/>
      <c r="C525" s="318"/>
      <c r="D525" s="318"/>
      <c r="E525" s="337"/>
      <c r="F525" s="354"/>
      <c r="G525" s="355"/>
      <c r="H525" s="350"/>
      <c r="I525" s="350"/>
      <c r="J525" s="350"/>
      <c r="K525" s="349"/>
      <c r="L525" s="335"/>
      <c r="M525" s="318"/>
      <c r="N525" s="318"/>
      <c r="O525" s="337"/>
      <c r="P525" s="354"/>
      <c r="Q525" s="355"/>
      <c r="R525" s="350"/>
      <c r="S525" s="350"/>
      <c r="T525" s="350"/>
      <c r="U525" s="351"/>
      <c r="V525" s="351"/>
      <c r="W525" s="351"/>
      <c r="X525" s="351"/>
      <c r="Y525" s="351"/>
      <c r="Z525" s="351"/>
    </row>
    <row r="526">
      <c r="A526" s="349"/>
      <c r="B526" s="335"/>
      <c r="C526" s="318"/>
      <c r="D526" s="318"/>
      <c r="E526" s="337"/>
      <c r="F526" s="354"/>
      <c r="G526" s="355"/>
      <c r="H526" s="350"/>
      <c r="I526" s="350"/>
      <c r="J526" s="350"/>
      <c r="K526" s="349"/>
      <c r="L526" s="335"/>
      <c r="M526" s="318"/>
      <c r="N526" s="318"/>
      <c r="O526" s="337"/>
      <c r="P526" s="354"/>
      <c r="Q526" s="355"/>
      <c r="R526" s="350"/>
      <c r="S526" s="350"/>
      <c r="T526" s="350"/>
      <c r="U526" s="351"/>
      <c r="V526" s="351"/>
      <c r="W526" s="351"/>
      <c r="X526" s="351"/>
      <c r="Y526" s="351"/>
      <c r="Z526" s="351"/>
    </row>
    <row r="527">
      <c r="A527" s="349"/>
      <c r="B527" s="335"/>
      <c r="C527" s="318"/>
      <c r="D527" s="318"/>
      <c r="E527" s="337"/>
      <c r="F527" s="354"/>
      <c r="G527" s="355"/>
      <c r="H527" s="350"/>
      <c r="I527" s="350"/>
      <c r="J527" s="350"/>
      <c r="K527" s="349"/>
      <c r="L527" s="335"/>
      <c r="M527" s="318"/>
      <c r="N527" s="318"/>
      <c r="O527" s="337"/>
      <c r="P527" s="354"/>
      <c r="Q527" s="355"/>
      <c r="R527" s="350"/>
      <c r="S527" s="350"/>
      <c r="T527" s="350"/>
      <c r="U527" s="351"/>
      <c r="V527" s="351"/>
      <c r="W527" s="351"/>
      <c r="X527" s="351"/>
      <c r="Y527" s="351"/>
      <c r="Z527" s="351"/>
    </row>
    <row r="528">
      <c r="A528" s="349"/>
      <c r="B528" s="335"/>
      <c r="C528" s="318"/>
      <c r="D528" s="318"/>
      <c r="E528" s="337"/>
      <c r="F528" s="337"/>
      <c r="G528" s="355"/>
      <c r="H528" s="335"/>
      <c r="I528" s="335"/>
      <c r="J528" s="350"/>
      <c r="K528" s="349"/>
      <c r="L528" s="335"/>
      <c r="M528" s="318"/>
      <c r="N528" s="318"/>
      <c r="O528" s="337"/>
      <c r="P528" s="337"/>
      <c r="Q528" s="355"/>
      <c r="R528" s="335"/>
      <c r="S528" s="335"/>
      <c r="T528" s="350"/>
      <c r="U528" s="351"/>
      <c r="V528" s="351"/>
      <c r="W528" s="351"/>
      <c r="X528" s="351"/>
      <c r="Y528" s="351"/>
      <c r="Z528" s="351"/>
    </row>
    <row r="529">
      <c r="A529" s="349"/>
      <c r="B529" s="335"/>
      <c r="C529" s="318"/>
      <c r="D529" s="318"/>
      <c r="E529" s="337"/>
      <c r="F529" s="354"/>
      <c r="G529" s="355"/>
      <c r="H529" s="350"/>
      <c r="I529" s="350"/>
      <c r="J529" s="350"/>
      <c r="K529" s="349"/>
      <c r="L529" s="335"/>
      <c r="M529" s="318"/>
      <c r="N529" s="318"/>
      <c r="O529" s="337"/>
      <c r="P529" s="354"/>
      <c r="Q529" s="355"/>
      <c r="R529" s="350"/>
      <c r="S529" s="350"/>
      <c r="T529" s="350"/>
      <c r="U529" s="351"/>
      <c r="V529" s="351"/>
      <c r="W529" s="351"/>
      <c r="X529" s="351"/>
      <c r="Y529" s="351"/>
      <c r="Z529" s="351"/>
    </row>
    <row r="530">
      <c r="A530" s="349"/>
      <c r="B530" s="335"/>
      <c r="C530" s="318"/>
      <c r="D530" s="318"/>
      <c r="E530" s="337"/>
      <c r="F530" s="354"/>
      <c r="G530" s="355"/>
      <c r="H530" s="350"/>
      <c r="I530" s="350"/>
      <c r="J530" s="350"/>
      <c r="K530" s="349"/>
      <c r="L530" s="335"/>
      <c r="M530" s="318"/>
      <c r="N530" s="318"/>
      <c r="O530" s="337"/>
      <c r="P530" s="354"/>
      <c r="Q530" s="355"/>
      <c r="R530" s="350"/>
      <c r="S530" s="350"/>
      <c r="T530" s="350"/>
      <c r="U530" s="351"/>
      <c r="V530" s="351"/>
      <c r="W530" s="351"/>
      <c r="X530" s="351"/>
      <c r="Y530" s="351"/>
      <c r="Z530" s="351"/>
    </row>
    <row r="531">
      <c r="A531" s="349"/>
      <c r="B531" s="335"/>
      <c r="C531" s="318"/>
      <c r="D531" s="318"/>
      <c r="E531" s="337"/>
      <c r="F531" s="354"/>
      <c r="G531" s="355"/>
      <c r="H531" s="350"/>
      <c r="I531" s="350"/>
      <c r="J531" s="350"/>
      <c r="K531" s="349"/>
      <c r="L531" s="335"/>
      <c r="M531" s="318"/>
      <c r="N531" s="318"/>
      <c r="O531" s="337"/>
      <c r="P531" s="354"/>
      <c r="Q531" s="355"/>
      <c r="R531" s="350"/>
      <c r="S531" s="350"/>
      <c r="T531" s="350"/>
      <c r="U531" s="351"/>
      <c r="V531" s="351"/>
      <c r="W531" s="351"/>
      <c r="X531" s="351"/>
      <c r="Y531" s="351"/>
      <c r="Z531" s="351"/>
    </row>
    <row r="532">
      <c r="A532" s="349"/>
      <c r="B532" s="335"/>
      <c r="C532" s="318"/>
      <c r="D532" s="318"/>
      <c r="E532" s="337"/>
      <c r="F532" s="354"/>
      <c r="G532" s="355"/>
      <c r="H532" s="350"/>
      <c r="I532" s="350"/>
      <c r="J532" s="350"/>
      <c r="K532" s="349"/>
      <c r="L532" s="335"/>
      <c r="M532" s="318"/>
      <c r="N532" s="318"/>
      <c r="O532" s="337"/>
      <c r="P532" s="354"/>
      <c r="Q532" s="355"/>
      <c r="R532" s="350"/>
      <c r="S532" s="350"/>
      <c r="T532" s="350"/>
      <c r="U532" s="351"/>
      <c r="V532" s="351"/>
      <c r="W532" s="351"/>
      <c r="X532" s="351"/>
      <c r="Y532" s="351"/>
      <c r="Z532" s="351"/>
    </row>
    <row r="533">
      <c r="A533" s="349"/>
      <c r="B533" s="335"/>
      <c r="C533" s="318"/>
      <c r="D533" s="318"/>
      <c r="E533" s="337"/>
      <c r="F533" s="354"/>
      <c r="G533" s="355"/>
      <c r="H533" s="350"/>
      <c r="I533" s="350"/>
      <c r="J533" s="350"/>
      <c r="K533" s="349"/>
      <c r="L533" s="335"/>
      <c r="M533" s="318"/>
      <c r="N533" s="318"/>
      <c r="O533" s="337"/>
      <c r="P533" s="354"/>
      <c r="Q533" s="355"/>
      <c r="R533" s="350"/>
      <c r="S533" s="350"/>
      <c r="T533" s="350"/>
      <c r="U533" s="351"/>
      <c r="V533" s="351"/>
      <c r="W533" s="351"/>
      <c r="X533" s="351"/>
      <c r="Y533" s="351"/>
      <c r="Z533" s="351"/>
    </row>
    <row r="534">
      <c r="A534" s="349"/>
      <c r="B534" s="335"/>
      <c r="C534" s="318"/>
      <c r="D534" s="318"/>
      <c r="E534" s="337"/>
      <c r="F534" s="354"/>
      <c r="G534" s="355"/>
      <c r="H534" s="350"/>
      <c r="I534" s="350"/>
      <c r="J534" s="350"/>
      <c r="K534" s="349"/>
      <c r="L534" s="335"/>
      <c r="M534" s="318"/>
      <c r="N534" s="318"/>
      <c r="O534" s="337"/>
      <c r="P534" s="354"/>
      <c r="Q534" s="355"/>
      <c r="R534" s="350"/>
      <c r="S534" s="350"/>
      <c r="T534" s="350"/>
      <c r="U534" s="351"/>
      <c r="V534" s="351"/>
      <c r="W534" s="351"/>
      <c r="X534" s="351"/>
      <c r="Y534" s="351"/>
      <c r="Z534" s="351"/>
    </row>
    <row r="535">
      <c r="A535" s="349"/>
      <c r="B535" s="335"/>
      <c r="C535" s="318"/>
      <c r="D535" s="318"/>
      <c r="E535" s="337"/>
      <c r="F535" s="354"/>
      <c r="G535" s="355"/>
      <c r="H535" s="350"/>
      <c r="I535" s="350"/>
      <c r="J535" s="350"/>
      <c r="K535" s="349"/>
      <c r="L535" s="335"/>
      <c r="M535" s="318"/>
      <c r="N535" s="318"/>
      <c r="O535" s="337"/>
      <c r="P535" s="354"/>
      <c r="Q535" s="355"/>
      <c r="R535" s="350"/>
      <c r="S535" s="350"/>
      <c r="T535" s="350"/>
      <c r="U535" s="351"/>
      <c r="V535" s="351"/>
      <c r="W535" s="351"/>
      <c r="X535" s="351"/>
      <c r="Y535" s="351"/>
      <c r="Z535" s="351"/>
    </row>
    <row r="536">
      <c r="A536" s="349"/>
      <c r="B536" s="335"/>
      <c r="C536" s="318"/>
      <c r="D536" s="318"/>
      <c r="E536" s="337"/>
      <c r="F536" s="337"/>
      <c r="G536" s="355"/>
      <c r="H536" s="335"/>
      <c r="I536" s="350"/>
      <c r="J536" s="350"/>
      <c r="K536" s="349"/>
      <c r="L536" s="335"/>
      <c r="M536" s="318"/>
      <c r="N536" s="318"/>
      <c r="O536" s="337"/>
      <c r="P536" s="337"/>
      <c r="Q536" s="355"/>
      <c r="R536" s="335"/>
      <c r="S536" s="350"/>
      <c r="T536" s="350"/>
      <c r="U536" s="351"/>
      <c r="V536" s="351"/>
      <c r="W536" s="351"/>
      <c r="X536" s="351"/>
      <c r="Y536" s="351"/>
      <c r="Z536" s="351"/>
    </row>
    <row r="537">
      <c r="A537" s="349"/>
      <c r="B537" s="335"/>
      <c r="C537" s="318"/>
      <c r="D537" s="318"/>
      <c r="E537" s="337"/>
      <c r="F537" s="354"/>
      <c r="G537" s="355"/>
      <c r="H537" s="350"/>
      <c r="I537" s="350"/>
      <c r="J537" s="350"/>
      <c r="K537" s="349"/>
      <c r="L537" s="335"/>
      <c r="M537" s="318"/>
      <c r="N537" s="318"/>
      <c r="O537" s="337"/>
      <c r="P537" s="354"/>
      <c r="Q537" s="355"/>
      <c r="R537" s="350"/>
      <c r="S537" s="350"/>
      <c r="T537" s="350"/>
      <c r="U537" s="351"/>
      <c r="V537" s="351"/>
      <c r="W537" s="351"/>
      <c r="X537" s="351"/>
      <c r="Y537" s="351"/>
      <c r="Z537" s="351"/>
    </row>
    <row r="538">
      <c r="A538" s="349"/>
      <c r="B538" s="335"/>
      <c r="C538" s="318"/>
      <c r="D538" s="318"/>
      <c r="E538" s="337"/>
      <c r="F538" s="354"/>
      <c r="G538" s="355"/>
      <c r="H538" s="350"/>
      <c r="I538" s="350"/>
      <c r="J538" s="350"/>
      <c r="K538" s="349"/>
      <c r="L538" s="335"/>
      <c r="M538" s="318"/>
      <c r="N538" s="318"/>
      <c r="O538" s="337"/>
      <c r="P538" s="354"/>
      <c r="Q538" s="355"/>
      <c r="R538" s="350"/>
      <c r="S538" s="350"/>
      <c r="T538" s="350"/>
      <c r="U538" s="351"/>
      <c r="V538" s="351"/>
      <c r="W538" s="351"/>
      <c r="X538" s="351"/>
      <c r="Y538" s="351"/>
      <c r="Z538" s="351"/>
    </row>
    <row r="539">
      <c r="A539" s="349"/>
      <c r="B539" s="335"/>
      <c r="C539" s="318"/>
      <c r="D539" s="318"/>
      <c r="E539" s="337"/>
      <c r="F539" s="337"/>
      <c r="G539" s="318"/>
      <c r="H539" s="335"/>
      <c r="I539" s="335"/>
      <c r="J539" s="350"/>
      <c r="K539" s="349"/>
      <c r="L539" s="335"/>
      <c r="M539" s="318"/>
      <c r="N539" s="318"/>
      <c r="O539" s="337"/>
      <c r="P539" s="337"/>
      <c r="Q539" s="318"/>
      <c r="R539" s="335"/>
      <c r="S539" s="335"/>
      <c r="T539" s="350"/>
      <c r="U539" s="351"/>
      <c r="V539" s="351"/>
      <c r="W539" s="351"/>
      <c r="X539" s="351"/>
      <c r="Y539" s="351"/>
      <c r="Z539" s="351"/>
    </row>
    <row r="540">
      <c r="A540" s="350"/>
      <c r="B540" s="335"/>
      <c r="C540" s="355"/>
      <c r="D540" s="318"/>
      <c r="E540" s="337"/>
      <c r="F540" s="354"/>
      <c r="G540" s="355"/>
      <c r="H540" s="350"/>
      <c r="I540" s="337"/>
      <c r="J540" s="350"/>
      <c r="K540" s="350"/>
      <c r="L540" s="335"/>
      <c r="M540" s="355"/>
      <c r="N540" s="318"/>
      <c r="O540" s="337"/>
      <c r="P540" s="354"/>
      <c r="Q540" s="355"/>
      <c r="R540" s="350"/>
      <c r="S540" s="337"/>
      <c r="T540" s="350"/>
      <c r="U540" s="351"/>
      <c r="V540" s="351"/>
      <c r="W540" s="351"/>
      <c r="X540" s="351"/>
      <c r="Y540" s="351"/>
      <c r="Z540" s="351"/>
    </row>
    <row r="541">
      <c r="A541" s="350"/>
      <c r="B541" s="335"/>
      <c r="C541" s="355"/>
      <c r="D541" s="318"/>
      <c r="E541" s="337"/>
      <c r="F541" s="354"/>
      <c r="G541" s="355"/>
      <c r="H541" s="350"/>
      <c r="I541" s="337"/>
      <c r="J541" s="350"/>
      <c r="K541" s="350"/>
      <c r="L541" s="335"/>
      <c r="M541" s="355"/>
      <c r="N541" s="318"/>
      <c r="O541" s="337"/>
      <c r="P541" s="354"/>
      <c r="Q541" s="355"/>
      <c r="R541" s="350"/>
      <c r="S541" s="337"/>
      <c r="T541" s="350"/>
      <c r="U541" s="351"/>
      <c r="V541" s="351"/>
      <c r="W541" s="351"/>
      <c r="X541" s="351"/>
      <c r="Y541" s="351"/>
      <c r="Z541" s="351"/>
    </row>
    <row r="542">
      <c r="A542" s="350"/>
      <c r="B542" s="335"/>
      <c r="C542" s="355"/>
      <c r="D542" s="318"/>
      <c r="E542" s="337"/>
      <c r="F542" s="354"/>
      <c r="G542" s="355"/>
      <c r="H542" s="350"/>
      <c r="I542" s="379"/>
      <c r="J542" s="350"/>
      <c r="K542" s="350"/>
      <c r="L542" s="335"/>
      <c r="M542" s="355"/>
      <c r="N542" s="318"/>
      <c r="O542" s="337"/>
      <c r="P542" s="354"/>
      <c r="Q542" s="355"/>
      <c r="R542" s="350"/>
      <c r="S542" s="379"/>
      <c r="T542" s="350"/>
      <c r="U542" s="351"/>
      <c r="V542" s="351"/>
      <c r="W542" s="351"/>
      <c r="X542" s="351"/>
      <c r="Y542" s="351"/>
      <c r="Z542" s="351"/>
    </row>
    <row r="543">
      <c r="A543" s="350"/>
      <c r="B543" s="335"/>
      <c r="C543" s="355"/>
      <c r="D543" s="318"/>
      <c r="E543" s="337"/>
      <c r="F543" s="354"/>
      <c r="G543" s="355"/>
      <c r="H543" s="350"/>
      <c r="I543" s="337"/>
      <c r="J543" s="350"/>
      <c r="K543" s="350"/>
      <c r="L543" s="335"/>
      <c r="M543" s="355"/>
      <c r="N543" s="318"/>
      <c r="O543" s="337"/>
      <c r="P543" s="354"/>
      <c r="Q543" s="355"/>
      <c r="R543" s="350"/>
      <c r="S543" s="337"/>
      <c r="T543" s="350"/>
      <c r="U543" s="351"/>
      <c r="V543" s="351"/>
      <c r="W543" s="351"/>
      <c r="X543" s="351"/>
      <c r="Y543" s="351"/>
      <c r="Z543" s="351"/>
    </row>
    <row r="544">
      <c r="A544" s="350"/>
      <c r="B544" s="335"/>
      <c r="C544" s="355"/>
      <c r="D544" s="318"/>
      <c r="E544" s="337"/>
      <c r="F544" s="354"/>
      <c r="G544" s="355"/>
      <c r="H544" s="350"/>
      <c r="I544" s="337"/>
      <c r="J544" s="350"/>
      <c r="K544" s="350"/>
      <c r="L544" s="335"/>
      <c r="M544" s="355"/>
      <c r="N544" s="318"/>
      <c r="O544" s="337"/>
      <c r="P544" s="354"/>
      <c r="Q544" s="355"/>
      <c r="R544" s="350"/>
      <c r="S544" s="337"/>
      <c r="T544" s="350"/>
      <c r="U544" s="351"/>
      <c r="V544" s="351"/>
      <c r="W544" s="351"/>
      <c r="X544" s="351"/>
      <c r="Y544" s="351"/>
      <c r="Z544" s="351"/>
    </row>
    <row r="545">
      <c r="A545" s="350"/>
      <c r="B545" s="335"/>
      <c r="C545" s="355"/>
      <c r="D545" s="318"/>
      <c r="E545" s="337"/>
      <c r="F545" s="354"/>
      <c r="G545" s="355"/>
      <c r="H545" s="350"/>
      <c r="I545" s="337"/>
      <c r="J545" s="350"/>
      <c r="K545" s="350"/>
      <c r="L545" s="335"/>
      <c r="M545" s="355"/>
      <c r="N545" s="318"/>
      <c r="O545" s="337"/>
      <c r="P545" s="354"/>
      <c r="Q545" s="355"/>
      <c r="R545" s="350"/>
      <c r="S545" s="337"/>
      <c r="T545" s="350"/>
      <c r="U545" s="351"/>
      <c r="V545" s="351"/>
      <c r="W545" s="351"/>
      <c r="X545" s="351"/>
      <c r="Y545" s="351"/>
      <c r="Z545" s="351"/>
    </row>
    <row r="546">
      <c r="A546" s="349"/>
      <c r="B546" s="335"/>
      <c r="C546" s="318"/>
      <c r="D546" s="318"/>
      <c r="E546" s="337"/>
      <c r="F546" s="354"/>
      <c r="G546" s="355"/>
      <c r="H546" s="350"/>
      <c r="I546" s="335"/>
      <c r="J546" s="350"/>
      <c r="K546" s="349"/>
      <c r="L546" s="335"/>
      <c r="M546" s="318"/>
      <c r="N546" s="318"/>
      <c r="O546" s="337"/>
      <c r="P546" s="354"/>
      <c r="Q546" s="355"/>
      <c r="R546" s="350"/>
      <c r="S546" s="335"/>
      <c r="T546" s="350"/>
      <c r="U546" s="351"/>
      <c r="V546" s="351"/>
      <c r="W546" s="351"/>
      <c r="X546" s="351"/>
      <c r="Y546" s="351"/>
      <c r="Z546" s="351"/>
    </row>
    <row r="547">
      <c r="A547" s="350"/>
      <c r="B547" s="335"/>
      <c r="C547" s="355"/>
      <c r="D547" s="318"/>
      <c r="E547" s="337"/>
      <c r="F547" s="354"/>
      <c r="G547" s="355"/>
      <c r="H547" s="350"/>
      <c r="I547" s="337"/>
      <c r="J547" s="350"/>
      <c r="K547" s="350"/>
      <c r="L547" s="335"/>
      <c r="M547" s="355"/>
      <c r="N547" s="318"/>
      <c r="O547" s="337"/>
      <c r="P547" s="354"/>
      <c r="Q547" s="355"/>
      <c r="R547" s="350"/>
      <c r="S547" s="337"/>
      <c r="T547" s="350"/>
      <c r="U547" s="351"/>
      <c r="V547" s="351"/>
      <c r="W547" s="351"/>
      <c r="X547" s="351"/>
      <c r="Y547" s="351"/>
      <c r="Z547" s="351"/>
    </row>
    <row r="548">
      <c r="A548" s="350"/>
      <c r="B548" s="356"/>
      <c r="C548" s="355"/>
      <c r="D548" s="318"/>
      <c r="E548" s="337"/>
      <c r="F548" s="354"/>
      <c r="G548" s="355"/>
      <c r="H548" s="350"/>
      <c r="I548" s="337"/>
      <c r="J548" s="350"/>
      <c r="K548" s="350"/>
      <c r="L548" s="356"/>
      <c r="M548" s="355"/>
      <c r="N548" s="318"/>
      <c r="O548" s="337"/>
      <c r="P548" s="354"/>
      <c r="Q548" s="355"/>
      <c r="R548" s="350"/>
      <c r="S548" s="337"/>
      <c r="T548" s="350"/>
      <c r="U548" s="351"/>
      <c r="V548" s="351"/>
      <c r="W548" s="351"/>
      <c r="X548" s="351"/>
      <c r="Y548" s="351"/>
      <c r="Z548" s="351"/>
    </row>
    <row r="549">
      <c r="A549" s="349"/>
      <c r="B549" s="335"/>
      <c r="C549" s="318"/>
      <c r="D549" s="318"/>
      <c r="E549" s="337"/>
      <c r="F549" s="337"/>
      <c r="G549" s="318"/>
      <c r="H549" s="335"/>
      <c r="I549" s="335"/>
      <c r="J549" s="350"/>
      <c r="K549" s="349"/>
      <c r="L549" s="335"/>
      <c r="M549" s="318"/>
      <c r="N549" s="318"/>
      <c r="O549" s="337"/>
      <c r="P549" s="337"/>
      <c r="Q549" s="318"/>
      <c r="R549" s="335"/>
      <c r="S549" s="335"/>
      <c r="T549" s="350"/>
      <c r="U549" s="351"/>
      <c r="V549" s="351"/>
      <c r="W549" s="351"/>
      <c r="X549" s="351"/>
      <c r="Y549" s="351"/>
      <c r="Z549" s="351"/>
    </row>
    <row r="550">
      <c r="A550" s="349"/>
      <c r="B550" s="335"/>
      <c r="C550" s="318"/>
      <c r="D550" s="318"/>
      <c r="E550" s="337"/>
      <c r="F550" s="354"/>
      <c r="G550" s="355"/>
      <c r="H550" s="350"/>
      <c r="I550" s="350"/>
      <c r="J550" s="350"/>
      <c r="K550" s="349"/>
      <c r="L550" s="335"/>
      <c r="M550" s="318"/>
      <c r="N550" s="318"/>
      <c r="O550" s="337"/>
      <c r="P550" s="354"/>
      <c r="Q550" s="355"/>
      <c r="R550" s="350"/>
      <c r="S550" s="350"/>
      <c r="T550" s="350"/>
      <c r="U550" s="351"/>
      <c r="V550" s="351"/>
      <c r="W550" s="351"/>
      <c r="X550" s="351"/>
      <c r="Y550" s="351"/>
      <c r="Z550" s="351"/>
    </row>
    <row r="551">
      <c r="A551" s="349"/>
      <c r="B551" s="335"/>
      <c r="C551" s="318"/>
      <c r="D551" s="318"/>
      <c r="E551" s="337"/>
      <c r="F551" s="354"/>
      <c r="G551" s="355"/>
      <c r="H551" s="350"/>
      <c r="I551" s="350"/>
      <c r="J551" s="350"/>
      <c r="K551" s="349"/>
      <c r="L551" s="335"/>
      <c r="M551" s="318"/>
      <c r="N551" s="318"/>
      <c r="O551" s="337"/>
      <c r="P551" s="354"/>
      <c r="Q551" s="355"/>
      <c r="R551" s="350"/>
      <c r="S551" s="350"/>
      <c r="T551" s="350"/>
      <c r="U551" s="351"/>
      <c r="V551" s="351"/>
      <c r="W551" s="351"/>
      <c r="X551" s="351"/>
      <c r="Y551" s="351"/>
      <c r="Z551" s="351"/>
    </row>
    <row r="552">
      <c r="A552" s="349"/>
      <c r="B552" s="335"/>
      <c r="C552" s="318"/>
      <c r="D552" s="318"/>
      <c r="E552" s="337"/>
      <c r="F552" s="337"/>
      <c r="G552" s="318"/>
      <c r="H552" s="335"/>
      <c r="I552" s="335"/>
      <c r="J552" s="350"/>
      <c r="K552" s="349"/>
      <c r="L552" s="335"/>
      <c r="M552" s="318"/>
      <c r="N552" s="318"/>
      <c r="O552" s="337"/>
      <c r="P552" s="337"/>
      <c r="Q552" s="318"/>
      <c r="R552" s="335"/>
      <c r="S552" s="335"/>
      <c r="T552" s="350"/>
      <c r="U552" s="351"/>
      <c r="V552" s="351"/>
      <c r="W552" s="351"/>
      <c r="X552" s="351"/>
      <c r="Y552" s="351"/>
      <c r="Z552" s="351"/>
    </row>
    <row r="553">
      <c r="A553" s="349"/>
      <c r="B553" s="335"/>
      <c r="C553" s="318"/>
      <c r="D553" s="318"/>
      <c r="E553" s="337"/>
      <c r="F553" s="354"/>
      <c r="G553" s="355"/>
      <c r="H553" s="350"/>
      <c r="I553" s="335"/>
      <c r="J553" s="350"/>
      <c r="K553" s="349"/>
      <c r="L553" s="335"/>
      <c r="M553" s="318"/>
      <c r="N553" s="318"/>
      <c r="O553" s="337"/>
      <c r="P553" s="354"/>
      <c r="Q553" s="355"/>
      <c r="R553" s="350"/>
      <c r="S553" s="335"/>
      <c r="T553" s="350"/>
      <c r="U553" s="351"/>
      <c r="V553" s="351"/>
      <c r="W553" s="351"/>
      <c r="X553" s="351"/>
      <c r="Y553" s="351"/>
      <c r="Z553" s="351"/>
    </row>
    <row r="554">
      <c r="A554" s="349"/>
      <c r="B554" s="335"/>
      <c r="C554" s="318"/>
      <c r="D554" s="318"/>
      <c r="E554" s="337"/>
      <c r="F554" s="337"/>
      <c r="G554" s="318"/>
      <c r="H554" s="335"/>
      <c r="I554" s="335"/>
      <c r="J554" s="350"/>
      <c r="K554" s="349"/>
      <c r="L554" s="335"/>
      <c r="M554" s="318"/>
      <c r="N554" s="318"/>
      <c r="O554" s="337"/>
      <c r="P554" s="337"/>
      <c r="Q554" s="318"/>
      <c r="R554" s="335"/>
      <c r="S554" s="335"/>
      <c r="T554" s="350"/>
      <c r="U554" s="351"/>
      <c r="V554" s="351"/>
      <c r="W554" s="351"/>
      <c r="X554" s="351"/>
      <c r="Y554" s="351"/>
      <c r="Z554" s="351"/>
    </row>
    <row r="555">
      <c r="A555" s="349"/>
      <c r="B555" s="335"/>
      <c r="C555" s="318"/>
      <c r="D555" s="318"/>
      <c r="E555" s="337"/>
      <c r="F555" s="337"/>
      <c r="G555" s="318"/>
      <c r="H555" s="335"/>
      <c r="I555" s="350"/>
      <c r="J555" s="350"/>
      <c r="K555" s="349"/>
      <c r="L555" s="335"/>
      <c r="M555" s="318"/>
      <c r="N555" s="318"/>
      <c r="O555" s="337"/>
      <c r="P555" s="337"/>
      <c r="Q555" s="318"/>
      <c r="R555" s="335"/>
      <c r="S555" s="350"/>
      <c r="T555" s="350"/>
      <c r="U555" s="351"/>
      <c r="V555" s="351"/>
      <c r="W555" s="351"/>
      <c r="X555" s="351"/>
      <c r="Y555" s="351"/>
      <c r="Z555" s="351"/>
    </row>
    <row r="556">
      <c r="A556" s="349"/>
      <c r="B556" s="335"/>
      <c r="C556" s="318"/>
      <c r="D556" s="318"/>
      <c r="E556" s="337"/>
      <c r="F556" s="354"/>
      <c r="G556" s="355"/>
      <c r="H556" s="350"/>
      <c r="I556" s="350"/>
      <c r="J556" s="350"/>
      <c r="K556" s="349"/>
      <c r="L556" s="335"/>
      <c r="M556" s="318"/>
      <c r="N556" s="318"/>
      <c r="O556" s="337"/>
      <c r="P556" s="354"/>
      <c r="Q556" s="355"/>
      <c r="R556" s="350"/>
      <c r="S556" s="350"/>
      <c r="T556" s="350"/>
      <c r="U556" s="351"/>
      <c r="V556" s="351"/>
      <c r="W556" s="351"/>
      <c r="X556" s="351"/>
      <c r="Y556" s="351"/>
      <c r="Z556" s="351"/>
    </row>
    <row r="557">
      <c r="A557" s="349"/>
      <c r="B557" s="335"/>
      <c r="C557" s="318"/>
      <c r="D557" s="318"/>
      <c r="E557" s="337"/>
      <c r="F557" s="337"/>
      <c r="G557" s="318"/>
      <c r="H557" s="335"/>
      <c r="I557" s="335"/>
      <c r="J557" s="350"/>
      <c r="K557" s="349"/>
      <c r="L557" s="335"/>
      <c r="M557" s="318"/>
      <c r="N557" s="318"/>
      <c r="O557" s="337"/>
      <c r="P557" s="337"/>
      <c r="Q557" s="318"/>
      <c r="R557" s="335"/>
      <c r="S557" s="335"/>
      <c r="T557" s="350"/>
      <c r="U557" s="351"/>
      <c r="V557" s="351"/>
      <c r="W557" s="351"/>
      <c r="X557" s="351"/>
      <c r="Y557" s="351"/>
      <c r="Z557" s="351"/>
    </row>
    <row r="558">
      <c r="A558" s="349"/>
      <c r="B558" s="335"/>
      <c r="C558" s="318"/>
      <c r="D558" s="318"/>
      <c r="E558" s="337"/>
      <c r="F558" s="354"/>
      <c r="G558" s="355"/>
      <c r="H558" s="350"/>
      <c r="I558" s="350"/>
      <c r="J558" s="350"/>
      <c r="K558" s="349"/>
      <c r="L558" s="335"/>
      <c r="M558" s="318"/>
      <c r="N558" s="318"/>
      <c r="O558" s="337"/>
      <c r="P558" s="354"/>
      <c r="Q558" s="355"/>
      <c r="R558" s="350"/>
      <c r="S558" s="350"/>
      <c r="T558" s="350"/>
      <c r="U558" s="351"/>
      <c r="V558" s="351"/>
      <c r="W558" s="351"/>
      <c r="X558" s="351"/>
      <c r="Y558" s="351"/>
      <c r="Z558" s="351"/>
    </row>
    <row r="559">
      <c r="A559" s="349"/>
      <c r="B559" s="335"/>
      <c r="C559" s="318"/>
      <c r="D559" s="318"/>
      <c r="E559" s="337"/>
      <c r="F559" s="354"/>
      <c r="G559" s="355"/>
      <c r="H559" s="350"/>
      <c r="I559" s="350"/>
      <c r="J559" s="350"/>
      <c r="K559" s="349"/>
      <c r="L559" s="335"/>
      <c r="M559" s="318"/>
      <c r="N559" s="318"/>
      <c r="O559" s="337"/>
      <c r="P559" s="354"/>
      <c r="Q559" s="355"/>
      <c r="R559" s="350"/>
      <c r="S559" s="350"/>
      <c r="T559" s="350"/>
      <c r="U559" s="351"/>
      <c r="V559" s="351"/>
      <c r="W559" s="351"/>
      <c r="X559" s="351"/>
      <c r="Y559" s="351"/>
      <c r="Z559" s="351"/>
    </row>
    <row r="560">
      <c r="A560" s="350"/>
      <c r="B560" s="350"/>
      <c r="C560" s="355"/>
      <c r="D560" s="355"/>
      <c r="E560" s="354"/>
      <c r="F560" s="354"/>
      <c r="G560" s="355"/>
      <c r="H560" s="350"/>
      <c r="I560" s="350"/>
      <c r="J560" s="350"/>
      <c r="K560" s="350"/>
      <c r="L560" s="350"/>
      <c r="M560" s="355"/>
      <c r="N560" s="355"/>
      <c r="O560" s="354"/>
      <c r="P560" s="354"/>
      <c r="Q560" s="355"/>
      <c r="R560" s="350"/>
      <c r="S560" s="350"/>
      <c r="T560" s="350"/>
      <c r="U560" s="351"/>
      <c r="V560" s="351"/>
      <c r="W560" s="351"/>
      <c r="X560" s="351"/>
      <c r="Y560" s="351"/>
      <c r="Z560" s="351"/>
    </row>
    <row r="561">
      <c r="A561" s="350"/>
      <c r="B561" s="350"/>
      <c r="C561" s="355"/>
      <c r="D561" s="355"/>
      <c r="E561" s="354"/>
      <c r="F561" s="354"/>
      <c r="G561" s="355"/>
      <c r="H561" s="350"/>
      <c r="I561" s="350"/>
      <c r="J561" s="350"/>
      <c r="K561" s="350"/>
      <c r="L561" s="350"/>
      <c r="M561" s="355"/>
      <c r="N561" s="355"/>
      <c r="O561" s="354"/>
      <c r="P561" s="354"/>
      <c r="Q561" s="355"/>
      <c r="R561" s="350"/>
      <c r="S561" s="350"/>
      <c r="T561" s="350"/>
      <c r="U561" s="351"/>
      <c r="V561" s="351"/>
      <c r="W561" s="351"/>
      <c r="X561" s="351"/>
      <c r="Y561" s="351"/>
      <c r="Z561" s="351"/>
    </row>
    <row r="562">
      <c r="A562" s="350"/>
      <c r="B562" s="350"/>
      <c r="C562" s="355"/>
      <c r="D562" s="355"/>
      <c r="E562" s="354"/>
      <c r="F562" s="354"/>
      <c r="G562" s="355"/>
      <c r="H562" s="350"/>
      <c r="I562" s="350"/>
      <c r="J562" s="350"/>
      <c r="K562" s="350"/>
      <c r="L562" s="350"/>
      <c r="M562" s="355"/>
      <c r="N562" s="355"/>
      <c r="O562" s="354"/>
      <c r="P562" s="354"/>
      <c r="Q562" s="355"/>
      <c r="R562" s="350"/>
      <c r="S562" s="350"/>
      <c r="T562" s="350"/>
      <c r="U562" s="351"/>
      <c r="V562" s="351"/>
      <c r="W562" s="351"/>
      <c r="X562" s="351"/>
      <c r="Y562" s="351"/>
      <c r="Z562" s="351"/>
    </row>
    <row r="563">
      <c r="A563" s="350"/>
      <c r="B563" s="350"/>
      <c r="C563" s="355"/>
      <c r="D563" s="355"/>
      <c r="E563" s="354"/>
      <c r="F563" s="354"/>
      <c r="G563" s="355"/>
      <c r="H563" s="350"/>
      <c r="I563" s="350"/>
      <c r="J563" s="350"/>
      <c r="K563" s="350"/>
      <c r="L563" s="350"/>
      <c r="M563" s="355"/>
      <c r="N563" s="355"/>
      <c r="O563" s="354"/>
      <c r="P563" s="354"/>
      <c r="Q563" s="355"/>
      <c r="R563" s="350"/>
      <c r="S563" s="350"/>
      <c r="T563" s="350"/>
      <c r="U563" s="351"/>
      <c r="V563" s="351"/>
      <c r="W563" s="351"/>
      <c r="X563" s="351"/>
      <c r="Y563" s="351"/>
      <c r="Z563" s="351"/>
    </row>
    <row r="564">
      <c r="A564" s="350"/>
      <c r="B564" s="350"/>
      <c r="C564" s="355"/>
      <c r="D564" s="355"/>
      <c r="E564" s="354"/>
      <c r="F564" s="354"/>
      <c r="G564" s="355"/>
      <c r="H564" s="350"/>
      <c r="I564" s="350"/>
      <c r="J564" s="350"/>
      <c r="K564" s="350"/>
      <c r="L564" s="350"/>
      <c r="M564" s="355"/>
      <c r="N564" s="355"/>
      <c r="O564" s="354"/>
      <c r="P564" s="354"/>
      <c r="Q564" s="355"/>
      <c r="R564" s="350"/>
      <c r="S564" s="350"/>
      <c r="T564" s="350"/>
      <c r="U564" s="351"/>
      <c r="V564" s="351"/>
      <c r="W564" s="351"/>
      <c r="X564" s="351"/>
      <c r="Y564" s="351"/>
      <c r="Z564" s="351"/>
    </row>
    <row r="565">
      <c r="A565" s="350"/>
      <c r="B565" s="350"/>
      <c r="C565" s="355"/>
      <c r="D565" s="355"/>
      <c r="E565" s="354"/>
      <c r="F565" s="354"/>
      <c r="G565" s="355"/>
      <c r="H565" s="350"/>
      <c r="I565" s="350"/>
      <c r="J565" s="350"/>
      <c r="K565" s="350"/>
      <c r="L565" s="350"/>
      <c r="M565" s="355"/>
      <c r="N565" s="355"/>
      <c r="O565" s="354"/>
      <c r="P565" s="354"/>
      <c r="Q565" s="355"/>
      <c r="R565" s="350"/>
      <c r="S565" s="350"/>
      <c r="T565" s="350"/>
      <c r="U565" s="351"/>
      <c r="V565" s="351"/>
      <c r="W565" s="351"/>
      <c r="X565" s="351"/>
      <c r="Y565" s="351"/>
      <c r="Z565" s="351"/>
    </row>
    <row r="566">
      <c r="A566" s="350"/>
      <c r="B566" s="350"/>
      <c r="C566" s="355"/>
      <c r="D566" s="355"/>
      <c r="E566" s="354"/>
      <c r="F566" s="354"/>
      <c r="G566" s="355"/>
      <c r="H566" s="350"/>
      <c r="I566" s="350"/>
      <c r="J566" s="350"/>
      <c r="K566" s="350"/>
      <c r="L566" s="350"/>
      <c r="M566" s="355"/>
      <c r="N566" s="355"/>
      <c r="O566" s="354"/>
      <c r="P566" s="354"/>
      <c r="Q566" s="355"/>
      <c r="R566" s="350"/>
      <c r="S566" s="350"/>
      <c r="T566" s="350"/>
      <c r="U566" s="351"/>
      <c r="V566" s="351"/>
      <c r="W566" s="351"/>
      <c r="X566" s="351"/>
      <c r="Y566" s="351"/>
      <c r="Z566" s="351"/>
    </row>
    <row r="567">
      <c r="A567" s="350"/>
      <c r="B567" s="350"/>
      <c r="C567" s="355"/>
      <c r="D567" s="355"/>
      <c r="E567" s="354"/>
      <c r="F567" s="354"/>
      <c r="G567" s="355"/>
      <c r="H567" s="350"/>
      <c r="I567" s="350"/>
      <c r="J567" s="350"/>
      <c r="K567" s="350"/>
      <c r="L567" s="350"/>
      <c r="M567" s="355"/>
      <c r="N567" s="355"/>
      <c r="O567" s="354"/>
      <c r="P567" s="354"/>
      <c r="Q567" s="355"/>
      <c r="R567" s="350"/>
      <c r="S567" s="350"/>
      <c r="T567" s="350"/>
      <c r="U567" s="351"/>
      <c r="V567" s="351"/>
      <c r="W567" s="351"/>
      <c r="X567" s="351"/>
      <c r="Y567" s="351"/>
      <c r="Z567" s="351"/>
    </row>
    <row r="568">
      <c r="A568" s="350"/>
      <c r="B568" s="350"/>
      <c r="C568" s="355"/>
      <c r="D568" s="355"/>
      <c r="E568" s="354"/>
      <c r="F568" s="354"/>
      <c r="G568" s="355"/>
      <c r="H568" s="350"/>
      <c r="I568" s="350"/>
      <c r="J568" s="350"/>
      <c r="K568" s="350"/>
      <c r="L568" s="350"/>
      <c r="M568" s="355"/>
      <c r="N568" s="355"/>
      <c r="O568" s="354"/>
      <c r="P568" s="354"/>
      <c r="Q568" s="355"/>
      <c r="R568" s="350"/>
      <c r="S568" s="350"/>
      <c r="T568" s="350"/>
      <c r="U568" s="351"/>
      <c r="V568" s="351"/>
      <c r="W568" s="351"/>
      <c r="X568" s="351"/>
      <c r="Y568" s="351"/>
      <c r="Z568" s="351"/>
    </row>
    <row r="569">
      <c r="A569" s="350"/>
      <c r="B569" s="350"/>
      <c r="C569" s="355"/>
      <c r="D569" s="355"/>
      <c r="E569" s="354"/>
      <c r="F569" s="354"/>
      <c r="G569" s="355"/>
      <c r="H569" s="350"/>
      <c r="I569" s="350"/>
      <c r="J569" s="350"/>
      <c r="K569" s="350"/>
      <c r="L569" s="350"/>
      <c r="M569" s="355"/>
      <c r="N569" s="355"/>
      <c r="O569" s="354"/>
      <c r="P569" s="354"/>
      <c r="Q569" s="355"/>
      <c r="R569" s="350"/>
      <c r="S569" s="350"/>
      <c r="T569" s="350"/>
      <c r="U569" s="351"/>
      <c r="V569" s="351"/>
      <c r="W569" s="351"/>
      <c r="X569" s="351"/>
      <c r="Y569" s="351"/>
      <c r="Z569" s="351"/>
    </row>
    <row r="570">
      <c r="A570" s="350"/>
      <c r="B570" s="350"/>
      <c r="C570" s="355"/>
      <c r="D570" s="355"/>
      <c r="E570" s="354"/>
      <c r="F570" s="354"/>
      <c r="G570" s="355"/>
      <c r="H570" s="350"/>
      <c r="I570" s="350"/>
      <c r="J570" s="350"/>
      <c r="K570" s="350"/>
      <c r="L570" s="350"/>
      <c r="M570" s="355"/>
      <c r="N570" s="355"/>
      <c r="O570" s="354"/>
      <c r="P570" s="354"/>
      <c r="Q570" s="355"/>
      <c r="R570" s="350"/>
      <c r="S570" s="350"/>
      <c r="T570" s="350"/>
      <c r="U570" s="351"/>
      <c r="V570" s="351"/>
      <c r="W570" s="351"/>
      <c r="X570" s="351"/>
      <c r="Y570" s="351"/>
      <c r="Z570" s="351"/>
    </row>
    <row r="571">
      <c r="A571" s="350"/>
      <c r="B571" s="350"/>
      <c r="C571" s="355"/>
      <c r="D571" s="355"/>
      <c r="E571" s="354"/>
      <c r="F571" s="354"/>
      <c r="G571" s="355"/>
      <c r="H571" s="350"/>
      <c r="I571" s="350"/>
      <c r="J571" s="350"/>
      <c r="K571" s="350"/>
      <c r="L571" s="350"/>
      <c r="M571" s="355"/>
      <c r="N571" s="355"/>
      <c r="O571" s="354"/>
      <c r="P571" s="354"/>
      <c r="Q571" s="355"/>
      <c r="R571" s="350"/>
      <c r="S571" s="350"/>
      <c r="T571" s="350"/>
      <c r="U571" s="351"/>
      <c r="V571" s="351"/>
      <c r="W571" s="351"/>
      <c r="X571" s="351"/>
      <c r="Y571" s="351"/>
      <c r="Z571" s="351"/>
    </row>
    <row r="572">
      <c r="A572" s="350"/>
      <c r="B572" s="350"/>
      <c r="C572" s="355"/>
      <c r="D572" s="355"/>
      <c r="E572" s="354"/>
      <c r="F572" s="354"/>
      <c r="G572" s="355"/>
      <c r="H572" s="350"/>
      <c r="I572" s="350"/>
      <c r="J572" s="350"/>
      <c r="K572" s="350"/>
      <c r="L572" s="350"/>
      <c r="M572" s="355"/>
      <c r="N572" s="355"/>
      <c r="O572" s="354"/>
      <c r="P572" s="354"/>
      <c r="Q572" s="355"/>
      <c r="R572" s="350"/>
      <c r="S572" s="350"/>
      <c r="T572" s="350"/>
      <c r="U572" s="351"/>
      <c r="V572" s="351"/>
      <c r="W572" s="351"/>
      <c r="X572" s="351"/>
      <c r="Y572" s="351"/>
      <c r="Z572" s="351"/>
    </row>
    <row r="573">
      <c r="A573" s="350"/>
      <c r="B573" s="350"/>
      <c r="C573" s="355"/>
      <c r="D573" s="355"/>
      <c r="E573" s="354"/>
      <c r="F573" s="354"/>
      <c r="G573" s="355"/>
      <c r="H573" s="350"/>
      <c r="I573" s="350"/>
      <c r="J573" s="350"/>
      <c r="K573" s="350"/>
      <c r="L573" s="350"/>
      <c r="M573" s="355"/>
      <c r="N573" s="355"/>
      <c r="O573" s="354"/>
      <c r="P573" s="354"/>
      <c r="Q573" s="355"/>
      <c r="R573" s="350"/>
      <c r="S573" s="350"/>
      <c r="T573" s="350"/>
      <c r="U573" s="351"/>
      <c r="V573" s="351"/>
      <c r="W573" s="351"/>
      <c r="X573" s="351"/>
      <c r="Y573" s="351"/>
      <c r="Z573" s="351"/>
    </row>
    <row r="574">
      <c r="A574" s="350"/>
      <c r="B574" s="350"/>
      <c r="C574" s="355"/>
      <c r="D574" s="355"/>
      <c r="E574" s="354"/>
      <c r="F574" s="354"/>
      <c r="G574" s="355"/>
      <c r="H574" s="350"/>
      <c r="I574" s="350"/>
      <c r="J574" s="350"/>
      <c r="K574" s="350"/>
      <c r="L574" s="350"/>
      <c r="M574" s="355"/>
      <c r="N574" s="355"/>
      <c r="O574" s="354"/>
      <c r="P574" s="354"/>
      <c r="Q574" s="355"/>
      <c r="R574" s="350"/>
      <c r="S574" s="350"/>
      <c r="T574" s="350"/>
      <c r="U574" s="351"/>
      <c r="V574" s="351"/>
      <c r="W574" s="351"/>
      <c r="X574" s="351"/>
      <c r="Y574" s="351"/>
      <c r="Z574" s="351"/>
    </row>
    <row r="575">
      <c r="A575" s="350"/>
      <c r="B575" s="350"/>
      <c r="C575" s="355"/>
      <c r="D575" s="355"/>
      <c r="E575" s="354"/>
      <c r="F575" s="354"/>
      <c r="G575" s="355"/>
      <c r="H575" s="350"/>
      <c r="I575" s="350"/>
      <c r="J575" s="350"/>
      <c r="K575" s="350"/>
      <c r="L575" s="350"/>
      <c r="M575" s="355"/>
      <c r="N575" s="355"/>
      <c r="O575" s="354"/>
      <c r="P575" s="354"/>
      <c r="Q575" s="355"/>
      <c r="R575" s="350"/>
      <c r="S575" s="350"/>
      <c r="T575" s="350"/>
      <c r="U575" s="351"/>
      <c r="V575" s="351"/>
      <c r="W575" s="351"/>
      <c r="X575" s="351"/>
      <c r="Y575" s="351"/>
      <c r="Z575" s="351"/>
    </row>
    <row r="576">
      <c r="A576" s="350"/>
      <c r="B576" s="350"/>
      <c r="C576" s="355"/>
      <c r="D576" s="355"/>
      <c r="E576" s="354"/>
      <c r="F576" s="354"/>
      <c r="G576" s="355"/>
      <c r="H576" s="350"/>
      <c r="I576" s="350"/>
      <c r="J576" s="350"/>
      <c r="K576" s="350"/>
      <c r="L576" s="350"/>
      <c r="M576" s="355"/>
      <c r="N576" s="355"/>
      <c r="O576" s="354"/>
      <c r="P576" s="354"/>
      <c r="Q576" s="355"/>
      <c r="R576" s="350"/>
      <c r="S576" s="350"/>
      <c r="T576" s="350"/>
      <c r="U576" s="351"/>
      <c r="V576" s="351"/>
      <c r="W576" s="351"/>
      <c r="X576" s="351"/>
      <c r="Y576" s="351"/>
      <c r="Z576" s="351"/>
    </row>
    <row r="577">
      <c r="A577" s="350"/>
      <c r="B577" s="350"/>
      <c r="C577" s="355"/>
      <c r="D577" s="355"/>
      <c r="E577" s="354"/>
      <c r="F577" s="354"/>
      <c r="G577" s="355"/>
      <c r="H577" s="350"/>
      <c r="I577" s="350"/>
      <c r="J577" s="350"/>
      <c r="K577" s="350"/>
      <c r="L577" s="350"/>
      <c r="M577" s="355"/>
      <c r="N577" s="355"/>
      <c r="O577" s="354"/>
      <c r="P577" s="354"/>
      <c r="Q577" s="355"/>
      <c r="R577" s="350"/>
      <c r="S577" s="350"/>
      <c r="T577" s="350"/>
      <c r="U577" s="351"/>
      <c r="V577" s="351"/>
      <c r="W577" s="351"/>
      <c r="X577" s="351"/>
      <c r="Y577" s="351"/>
      <c r="Z577" s="351"/>
    </row>
    <row r="578">
      <c r="A578" s="350"/>
      <c r="B578" s="350"/>
      <c r="C578" s="355"/>
      <c r="D578" s="355"/>
      <c r="E578" s="354"/>
      <c r="F578" s="354"/>
      <c r="G578" s="355"/>
      <c r="H578" s="350"/>
      <c r="I578" s="350"/>
      <c r="J578" s="350"/>
      <c r="K578" s="350"/>
      <c r="L578" s="350"/>
      <c r="M578" s="355"/>
      <c r="N578" s="355"/>
      <c r="O578" s="354"/>
      <c r="P578" s="354"/>
      <c r="Q578" s="355"/>
      <c r="R578" s="350"/>
      <c r="S578" s="350"/>
      <c r="T578" s="350"/>
      <c r="U578" s="351"/>
      <c r="V578" s="351"/>
      <c r="W578" s="351"/>
      <c r="X578" s="351"/>
      <c r="Y578" s="351"/>
      <c r="Z578" s="351"/>
    </row>
    <row r="579">
      <c r="A579" s="350"/>
      <c r="B579" s="350"/>
      <c r="C579" s="355"/>
      <c r="D579" s="355"/>
      <c r="E579" s="354"/>
      <c r="F579" s="354"/>
      <c r="G579" s="355"/>
      <c r="H579" s="350"/>
      <c r="I579" s="350"/>
      <c r="J579" s="350"/>
      <c r="K579" s="350"/>
      <c r="L579" s="350"/>
      <c r="M579" s="355"/>
      <c r="N579" s="355"/>
      <c r="O579" s="354"/>
      <c r="P579" s="354"/>
      <c r="Q579" s="355"/>
      <c r="R579" s="350"/>
      <c r="S579" s="350"/>
      <c r="T579" s="350"/>
      <c r="U579" s="351"/>
      <c r="V579" s="351"/>
      <c r="W579" s="351"/>
      <c r="X579" s="351"/>
      <c r="Y579" s="351"/>
      <c r="Z579" s="351"/>
    </row>
    <row r="580">
      <c r="A580" s="350"/>
      <c r="B580" s="350"/>
      <c r="C580" s="355"/>
      <c r="D580" s="355"/>
      <c r="E580" s="354"/>
      <c r="F580" s="354"/>
      <c r="G580" s="355"/>
      <c r="H580" s="350"/>
      <c r="I580" s="350"/>
      <c r="J580" s="350"/>
      <c r="K580" s="350"/>
      <c r="L580" s="350"/>
      <c r="M580" s="355"/>
      <c r="N580" s="355"/>
      <c r="O580" s="354"/>
      <c r="P580" s="354"/>
      <c r="Q580" s="355"/>
      <c r="R580" s="350"/>
      <c r="S580" s="350"/>
      <c r="T580" s="350"/>
      <c r="U580" s="351"/>
      <c r="V580" s="351"/>
      <c r="W580" s="351"/>
      <c r="X580" s="351"/>
      <c r="Y580" s="351"/>
      <c r="Z580" s="351"/>
    </row>
    <row r="581">
      <c r="A581" s="350"/>
      <c r="B581" s="350"/>
      <c r="C581" s="355"/>
      <c r="D581" s="355"/>
      <c r="E581" s="354"/>
      <c r="F581" s="354"/>
      <c r="G581" s="355"/>
      <c r="H581" s="350"/>
      <c r="I581" s="350"/>
      <c r="J581" s="350"/>
      <c r="K581" s="350"/>
      <c r="L581" s="350"/>
      <c r="M581" s="355"/>
      <c r="N581" s="355"/>
      <c r="O581" s="354"/>
      <c r="P581" s="354"/>
      <c r="Q581" s="355"/>
      <c r="R581" s="350"/>
      <c r="S581" s="350"/>
      <c r="T581" s="350"/>
      <c r="U581" s="351"/>
      <c r="V581" s="351"/>
      <c r="W581" s="351"/>
      <c r="X581" s="351"/>
      <c r="Y581" s="351"/>
      <c r="Z581" s="351"/>
    </row>
    <row r="582">
      <c r="A582" s="350"/>
      <c r="B582" s="350"/>
      <c r="C582" s="355"/>
      <c r="D582" s="355"/>
      <c r="E582" s="354"/>
      <c r="F582" s="354"/>
      <c r="G582" s="355"/>
      <c r="H582" s="350"/>
      <c r="I582" s="350"/>
      <c r="J582" s="350"/>
      <c r="K582" s="350"/>
      <c r="L582" s="350"/>
      <c r="M582" s="355"/>
      <c r="N582" s="355"/>
      <c r="O582" s="354"/>
      <c r="P582" s="354"/>
      <c r="Q582" s="355"/>
      <c r="R582" s="350"/>
      <c r="S582" s="350"/>
      <c r="T582" s="350"/>
      <c r="U582" s="351"/>
      <c r="V582" s="351"/>
      <c r="W582" s="351"/>
      <c r="X582" s="351"/>
      <c r="Y582" s="351"/>
      <c r="Z582" s="351"/>
    </row>
    <row r="583">
      <c r="A583" s="350"/>
      <c r="B583" s="350"/>
      <c r="C583" s="355"/>
      <c r="D583" s="355"/>
      <c r="E583" s="354"/>
      <c r="F583" s="354"/>
      <c r="G583" s="355"/>
      <c r="H583" s="350"/>
      <c r="I583" s="350"/>
      <c r="J583" s="350"/>
      <c r="K583" s="350"/>
      <c r="L583" s="350"/>
      <c r="M583" s="355"/>
      <c r="N583" s="355"/>
      <c r="O583" s="354"/>
      <c r="P583" s="354"/>
      <c r="Q583" s="355"/>
      <c r="R583" s="350"/>
      <c r="S583" s="350"/>
      <c r="T583" s="350"/>
      <c r="U583" s="351"/>
      <c r="V583" s="351"/>
      <c r="W583" s="351"/>
      <c r="X583" s="351"/>
      <c r="Y583" s="351"/>
      <c r="Z583" s="351"/>
    </row>
    <row r="584">
      <c r="A584" s="350"/>
      <c r="B584" s="350"/>
      <c r="C584" s="355"/>
      <c r="D584" s="355"/>
      <c r="E584" s="354"/>
      <c r="F584" s="354"/>
      <c r="G584" s="355"/>
      <c r="H584" s="350"/>
      <c r="I584" s="350"/>
      <c r="J584" s="350"/>
      <c r="K584" s="350"/>
      <c r="L584" s="350"/>
      <c r="M584" s="355"/>
      <c r="N584" s="355"/>
      <c r="O584" s="354"/>
      <c r="P584" s="354"/>
      <c r="Q584" s="355"/>
      <c r="R584" s="350"/>
      <c r="S584" s="350"/>
      <c r="T584" s="350"/>
      <c r="U584" s="351"/>
      <c r="V584" s="351"/>
      <c r="W584" s="351"/>
      <c r="X584" s="351"/>
      <c r="Y584" s="351"/>
      <c r="Z584" s="351"/>
    </row>
    <row r="585">
      <c r="A585" s="350"/>
      <c r="B585" s="350"/>
      <c r="C585" s="355"/>
      <c r="D585" s="355"/>
      <c r="E585" s="354"/>
      <c r="F585" s="354"/>
      <c r="G585" s="355"/>
      <c r="H585" s="350"/>
      <c r="I585" s="350"/>
      <c r="J585" s="350"/>
      <c r="K585" s="350"/>
      <c r="L585" s="350"/>
      <c r="M585" s="355"/>
      <c r="N585" s="355"/>
      <c r="O585" s="354"/>
      <c r="P585" s="354"/>
      <c r="Q585" s="355"/>
      <c r="R585" s="350"/>
      <c r="S585" s="350"/>
      <c r="T585" s="350"/>
      <c r="U585" s="351"/>
      <c r="V585" s="351"/>
      <c r="W585" s="351"/>
      <c r="X585" s="351"/>
      <c r="Y585" s="351"/>
      <c r="Z585" s="351"/>
    </row>
    <row r="586">
      <c r="A586" s="350"/>
      <c r="B586" s="350"/>
      <c r="C586" s="355"/>
      <c r="D586" s="355"/>
      <c r="E586" s="354"/>
      <c r="F586" s="354"/>
      <c r="G586" s="355"/>
      <c r="H586" s="350"/>
      <c r="I586" s="350"/>
      <c r="J586" s="350"/>
      <c r="K586" s="350"/>
      <c r="L586" s="350"/>
      <c r="M586" s="355"/>
      <c r="N586" s="355"/>
      <c r="O586" s="354"/>
      <c r="P586" s="354"/>
      <c r="Q586" s="355"/>
      <c r="R586" s="350"/>
      <c r="S586" s="350"/>
      <c r="T586" s="350"/>
      <c r="U586" s="351"/>
      <c r="V586" s="351"/>
      <c r="W586" s="351"/>
      <c r="X586" s="351"/>
      <c r="Y586" s="351"/>
      <c r="Z586" s="351"/>
    </row>
    <row r="587">
      <c r="A587" s="350"/>
      <c r="B587" s="350"/>
      <c r="C587" s="355"/>
      <c r="D587" s="355"/>
      <c r="E587" s="354"/>
      <c r="F587" s="354"/>
      <c r="G587" s="355"/>
      <c r="H587" s="350"/>
      <c r="I587" s="350"/>
      <c r="J587" s="350"/>
      <c r="K587" s="350"/>
      <c r="L587" s="350"/>
      <c r="M587" s="355"/>
      <c r="N587" s="355"/>
      <c r="O587" s="354"/>
      <c r="P587" s="354"/>
      <c r="Q587" s="355"/>
      <c r="R587" s="350"/>
      <c r="S587" s="350"/>
      <c r="T587" s="350"/>
      <c r="U587" s="351"/>
      <c r="V587" s="351"/>
      <c r="W587" s="351"/>
      <c r="X587" s="351"/>
      <c r="Y587" s="351"/>
      <c r="Z587" s="351"/>
    </row>
    <row r="588">
      <c r="A588" s="350"/>
      <c r="B588" s="350"/>
      <c r="C588" s="355"/>
      <c r="D588" s="355"/>
      <c r="E588" s="354"/>
      <c r="F588" s="354"/>
      <c r="G588" s="355"/>
      <c r="H588" s="350"/>
      <c r="I588" s="350"/>
      <c r="J588" s="350"/>
      <c r="K588" s="350"/>
      <c r="L588" s="350"/>
      <c r="M588" s="355"/>
      <c r="N588" s="355"/>
      <c r="O588" s="354"/>
      <c r="P588" s="354"/>
      <c r="Q588" s="355"/>
      <c r="R588" s="350"/>
      <c r="S588" s="350"/>
      <c r="T588" s="350"/>
      <c r="U588" s="351"/>
      <c r="V588" s="351"/>
      <c r="W588" s="351"/>
      <c r="X588" s="351"/>
      <c r="Y588" s="351"/>
      <c r="Z588" s="351"/>
    </row>
    <row r="589">
      <c r="A589" s="350"/>
      <c r="B589" s="350"/>
      <c r="C589" s="355"/>
      <c r="D589" s="355"/>
      <c r="E589" s="354"/>
      <c r="F589" s="354"/>
      <c r="G589" s="355"/>
      <c r="H589" s="350"/>
      <c r="I589" s="350"/>
      <c r="J589" s="350"/>
      <c r="K589" s="350"/>
      <c r="L589" s="350"/>
      <c r="M589" s="355"/>
      <c r="N589" s="355"/>
      <c r="O589" s="354"/>
      <c r="P589" s="354"/>
      <c r="Q589" s="355"/>
      <c r="R589" s="350"/>
      <c r="S589" s="350"/>
      <c r="T589" s="350"/>
      <c r="U589" s="351"/>
      <c r="V589" s="351"/>
      <c r="W589" s="351"/>
      <c r="X589" s="351"/>
      <c r="Y589" s="351"/>
      <c r="Z589" s="351"/>
    </row>
    <row r="590">
      <c r="A590" s="350"/>
      <c r="B590" s="350"/>
      <c r="C590" s="355"/>
      <c r="D590" s="355"/>
      <c r="E590" s="354"/>
      <c r="F590" s="354"/>
      <c r="G590" s="355"/>
      <c r="H590" s="350"/>
      <c r="I590" s="350"/>
      <c r="J590" s="350"/>
      <c r="K590" s="350"/>
      <c r="L590" s="350"/>
      <c r="M590" s="355"/>
      <c r="N590" s="355"/>
      <c r="O590" s="354"/>
      <c r="P590" s="354"/>
      <c r="Q590" s="355"/>
      <c r="R590" s="350"/>
      <c r="S590" s="350"/>
      <c r="T590" s="350"/>
      <c r="U590" s="351"/>
      <c r="V590" s="351"/>
      <c r="W590" s="351"/>
      <c r="X590" s="351"/>
      <c r="Y590" s="351"/>
      <c r="Z590" s="351"/>
    </row>
    <row r="591">
      <c r="A591" s="350"/>
      <c r="B591" s="350"/>
      <c r="C591" s="355"/>
      <c r="D591" s="355"/>
      <c r="E591" s="354"/>
      <c r="F591" s="354"/>
      <c r="G591" s="355"/>
      <c r="H591" s="350"/>
      <c r="I591" s="350"/>
      <c r="J591" s="350"/>
      <c r="K591" s="350"/>
      <c r="L591" s="350"/>
      <c r="M591" s="355"/>
      <c r="N591" s="355"/>
      <c r="O591" s="354"/>
      <c r="P591" s="354"/>
      <c r="Q591" s="355"/>
      <c r="R591" s="350"/>
      <c r="S591" s="350"/>
      <c r="T591" s="350"/>
      <c r="U591" s="351"/>
      <c r="V591" s="351"/>
      <c r="W591" s="351"/>
      <c r="X591" s="351"/>
      <c r="Y591" s="351"/>
      <c r="Z591" s="351"/>
    </row>
    <row r="592">
      <c r="A592" s="350"/>
      <c r="B592" s="350"/>
      <c r="C592" s="355"/>
      <c r="D592" s="355"/>
      <c r="E592" s="354"/>
      <c r="F592" s="354"/>
      <c r="G592" s="355"/>
      <c r="H592" s="350"/>
      <c r="I592" s="350"/>
      <c r="J592" s="350"/>
      <c r="K592" s="350"/>
      <c r="L592" s="350"/>
      <c r="M592" s="355"/>
      <c r="N592" s="355"/>
      <c r="O592" s="354"/>
      <c r="P592" s="354"/>
      <c r="Q592" s="355"/>
      <c r="R592" s="350"/>
      <c r="S592" s="350"/>
      <c r="T592" s="350"/>
      <c r="U592" s="351"/>
      <c r="V592" s="351"/>
      <c r="W592" s="351"/>
      <c r="X592" s="351"/>
      <c r="Y592" s="351"/>
      <c r="Z592" s="351"/>
    </row>
    <row r="593">
      <c r="A593" s="350"/>
      <c r="B593" s="350"/>
      <c r="C593" s="355"/>
      <c r="D593" s="355"/>
      <c r="E593" s="354"/>
      <c r="F593" s="354"/>
      <c r="G593" s="355"/>
      <c r="H593" s="350"/>
      <c r="I593" s="350"/>
      <c r="J593" s="350"/>
      <c r="K593" s="350"/>
      <c r="L593" s="350"/>
      <c r="M593" s="355"/>
      <c r="N593" s="355"/>
      <c r="O593" s="354"/>
      <c r="P593" s="354"/>
      <c r="Q593" s="355"/>
      <c r="R593" s="350"/>
      <c r="S593" s="350"/>
      <c r="T593" s="350"/>
      <c r="U593" s="351"/>
      <c r="V593" s="351"/>
      <c r="W593" s="351"/>
      <c r="X593" s="351"/>
      <c r="Y593" s="351"/>
      <c r="Z593" s="351"/>
    </row>
    <row r="594">
      <c r="A594" s="350"/>
      <c r="B594" s="350"/>
      <c r="C594" s="355"/>
      <c r="D594" s="355"/>
      <c r="E594" s="354"/>
      <c r="F594" s="354"/>
      <c r="G594" s="355"/>
      <c r="H594" s="350"/>
      <c r="I594" s="350"/>
      <c r="J594" s="350"/>
      <c r="K594" s="350"/>
      <c r="L594" s="350"/>
      <c r="M594" s="355"/>
      <c r="N594" s="355"/>
      <c r="O594" s="354"/>
      <c r="P594" s="354"/>
      <c r="Q594" s="355"/>
      <c r="R594" s="350"/>
      <c r="S594" s="350"/>
      <c r="T594" s="350"/>
      <c r="U594" s="351"/>
      <c r="V594" s="351"/>
      <c r="W594" s="351"/>
      <c r="X594" s="351"/>
      <c r="Y594" s="351"/>
      <c r="Z594" s="351"/>
    </row>
    <row r="595">
      <c r="A595" s="350"/>
      <c r="B595" s="350"/>
      <c r="C595" s="355"/>
      <c r="D595" s="355"/>
      <c r="E595" s="354"/>
      <c r="F595" s="354"/>
      <c r="G595" s="355"/>
      <c r="H595" s="350"/>
      <c r="I595" s="350"/>
      <c r="J595" s="350"/>
      <c r="K595" s="350"/>
      <c r="L595" s="350"/>
      <c r="M595" s="355"/>
      <c r="N595" s="355"/>
      <c r="O595" s="354"/>
      <c r="P595" s="354"/>
      <c r="Q595" s="355"/>
      <c r="R595" s="350"/>
      <c r="S595" s="350"/>
      <c r="T595" s="350"/>
      <c r="U595" s="351"/>
      <c r="V595" s="351"/>
      <c r="W595" s="351"/>
      <c r="X595" s="351"/>
      <c r="Y595" s="351"/>
      <c r="Z595" s="351"/>
    </row>
    <row r="596">
      <c r="A596" s="350"/>
      <c r="B596" s="350"/>
      <c r="C596" s="355"/>
      <c r="D596" s="355"/>
      <c r="E596" s="354"/>
      <c r="F596" s="354"/>
      <c r="G596" s="355"/>
      <c r="H596" s="350"/>
      <c r="I596" s="350"/>
      <c r="J596" s="350"/>
      <c r="K596" s="350"/>
      <c r="L596" s="350"/>
      <c r="M596" s="355"/>
      <c r="N596" s="355"/>
      <c r="O596" s="354"/>
      <c r="P596" s="354"/>
      <c r="Q596" s="355"/>
      <c r="R596" s="350"/>
      <c r="S596" s="350"/>
      <c r="T596" s="350"/>
      <c r="U596" s="351"/>
      <c r="V596" s="351"/>
      <c r="W596" s="351"/>
      <c r="X596" s="351"/>
      <c r="Y596" s="351"/>
      <c r="Z596" s="351"/>
    </row>
    <row r="597">
      <c r="A597" s="350"/>
      <c r="B597" s="350"/>
      <c r="C597" s="355"/>
      <c r="D597" s="355"/>
      <c r="E597" s="354"/>
      <c r="F597" s="354"/>
      <c r="G597" s="355"/>
      <c r="H597" s="350"/>
      <c r="I597" s="350"/>
      <c r="J597" s="350"/>
      <c r="K597" s="350"/>
      <c r="L597" s="350"/>
      <c r="M597" s="355"/>
      <c r="N597" s="355"/>
      <c r="O597" s="354"/>
      <c r="P597" s="354"/>
      <c r="Q597" s="355"/>
      <c r="R597" s="350"/>
      <c r="S597" s="350"/>
      <c r="T597" s="350"/>
      <c r="U597" s="351"/>
      <c r="V597" s="351"/>
      <c r="W597" s="351"/>
      <c r="X597" s="351"/>
      <c r="Y597" s="351"/>
      <c r="Z597" s="351"/>
    </row>
    <row r="598">
      <c r="A598" s="350"/>
      <c r="B598" s="350"/>
      <c r="C598" s="355"/>
      <c r="D598" s="355"/>
      <c r="E598" s="354"/>
      <c r="F598" s="354"/>
      <c r="G598" s="355"/>
      <c r="H598" s="350"/>
      <c r="I598" s="350"/>
      <c r="J598" s="350"/>
      <c r="K598" s="350"/>
      <c r="L598" s="350"/>
      <c r="M598" s="355"/>
      <c r="N598" s="355"/>
      <c r="O598" s="354"/>
      <c r="P598" s="354"/>
      <c r="Q598" s="355"/>
      <c r="R598" s="350"/>
      <c r="S598" s="350"/>
      <c r="T598" s="350"/>
      <c r="U598" s="351"/>
      <c r="V598" s="351"/>
      <c r="W598" s="351"/>
      <c r="X598" s="351"/>
      <c r="Y598" s="351"/>
      <c r="Z598" s="351"/>
    </row>
    <row r="599">
      <c r="A599" s="350"/>
      <c r="B599" s="350"/>
      <c r="C599" s="355"/>
      <c r="D599" s="355"/>
      <c r="E599" s="354"/>
      <c r="F599" s="354"/>
      <c r="G599" s="355"/>
      <c r="H599" s="350"/>
      <c r="I599" s="350"/>
      <c r="J599" s="350"/>
      <c r="K599" s="350"/>
      <c r="L599" s="350"/>
      <c r="M599" s="355"/>
      <c r="N599" s="355"/>
      <c r="O599" s="354"/>
      <c r="P599" s="354"/>
      <c r="Q599" s="355"/>
      <c r="R599" s="350"/>
      <c r="S599" s="350"/>
      <c r="T599" s="350"/>
      <c r="U599" s="351"/>
      <c r="V599" s="351"/>
      <c r="W599" s="351"/>
      <c r="X599" s="351"/>
      <c r="Y599" s="351"/>
      <c r="Z599" s="351"/>
    </row>
    <row r="600">
      <c r="A600" s="350"/>
      <c r="B600" s="350"/>
      <c r="C600" s="355"/>
      <c r="D600" s="355"/>
      <c r="E600" s="354"/>
      <c r="F600" s="354"/>
      <c r="G600" s="355"/>
      <c r="H600" s="350"/>
      <c r="I600" s="350"/>
      <c r="J600" s="350"/>
      <c r="K600" s="350"/>
      <c r="L600" s="350"/>
      <c r="M600" s="355"/>
      <c r="N600" s="355"/>
      <c r="O600" s="354"/>
      <c r="P600" s="354"/>
      <c r="Q600" s="355"/>
      <c r="R600" s="350"/>
      <c r="S600" s="350"/>
      <c r="T600" s="350"/>
      <c r="U600" s="351"/>
      <c r="V600" s="351"/>
      <c r="W600" s="351"/>
      <c r="X600" s="351"/>
      <c r="Y600" s="351"/>
      <c r="Z600" s="351"/>
    </row>
    <row r="601">
      <c r="A601" s="350"/>
      <c r="B601" s="350"/>
      <c r="C601" s="355"/>
      <c r="D601" s="355"/>
      <c r="E601" s="354"/>
      <c r="F601" s="354"/>
      <c r="G601" s="355"/>
      <c r="H601" s="350"/>
      <c r="I601" s="350"/>
      <c r="J601" s="350"/>
      <c r="K601" s="350"/>
      <c r="L601" s="350"/>
      <c r="M601" s="355"/>
      <c r="N601" s="355"/>
      <c r="O601" s="354"/>
      <c r="P601" s="354"/>
      <c r="Q601" s="355"/>
      <c r="R601" s="350"/>
      <c r="S601" s="350"/>
      <c r="T601" s="350"/>
      <c r="U601" s="351"/>
      <c r="V601" s="351"/>
      <c r="W601" s="351"/>
      <c r="X601" s="351"/>
      <c r="Y601" s="351"/>
      <c r="Z601" s="351"/>
    </row>
    <row r="602">
      <c r="A602" s="350"/>
      <c r="B602" s="350"/>
      <c r="C602" s="355"/>
      <c r="D602" s="355"/>
      <c r="E602" s="354"/>
      <c r="F602" s="354"/>
      <c r="G602" s="355"/>
      <c r="H602" s="350"/>
      <c r="I602" s="350"/>
      <c r="J602" s="350"/>
      <c r="K602" s="350"/>
      <c r="L602" s="350"/>
      <c r="M602" s="355"/>
      <c r="N602" s="355"/>
      <c r="O602" s="354"/>
      <c r="P602" s="354"/>
      <c r="Q602" s="355"/>
      <c r="R602" s="350"/>
      <c r="S602" s="350"/>
      <c r="T602" s="350"/>
      <c r="U602" s="351"/>
      <c r="V602" s="351"/>
      <c r="W602" s="351"/>
      <c r="X602" s="351"/>
      <c r="Y602" s="351"/>
      <c r="Z602" s="351"/>
    </row>
    <row r="603">
      <c r="A603" s="350"/>
      <c r="B603" s="350"/>
      <c r="C603" s="355"/>
      <c r="D603" s="355"/>
      <c r="E603" s="354"/>
      <c r="F603" s="354"/>
      <c r="G603" s="355"/>
      <c r="H603" s="350"/>
      <c r="I603" s="350"/>
      <c r="J603" s="350"/>
      <c r="K603" s="350"/>
      <c r="L603" s="350"/>
      <c r="M603" s="355"/>
      <c r="N603" s="355"/>
      <c r="O603" s="354"/>
      <c r="P603" s="354"/>
      <c r="Q603" s="355"/>
      <c r="R603" s="350"/>
      <c r="S603" s="350"/>
      <c r="T603" s="350"/>
      <c r="U603" s="351"/>
      <c r="V603" s="351"/>
      <c r="W603" s="351"/>
      <c r="X603" s="351"/>
      <c r="Y603" s="351"/>
      <c r="Z603" s="351"/>
    </row>
    <row r="604">
      <c r="A604" s="350"/>
      <c r="B604" s="350"/>
      <c r="C604" s="355"/>
      <c r="D604" s="355"/>
      <c r="E604" s="354"/>
      <c r="F604" s="354"/>
      <c r="G604" s="355"/>
      <c r="H604" s="350"/>
      <c r="I604" s="350"/>
      <c r="J604" s="350"/>
      <c r="K604" s="350"/>
      <c r="L604" s="350"/>
      <c r="M604" s="355"/>
      <c r="N604" s="355"/>
      <c r="O604" s="354"/>
      <c r="P604" s="354"/>
      <c r="Q604" s="355"/>
      <c r="R604" s="350"/>
      <c r="S604" s="350"/>
      <c r="T604" s="350"/>
      <c r="U604" s="351"/>
      <c r="V604" s="351"/>
      <c r="W604" s="351"/>
      <c r="X604" s="351"/>
      <c r="Y604" s="351"/>
      <c r="Z604" s="351"/>
    </row>
    <row r="605">
      <c r="A605" s="350"/>
      <c r="B605" s="350"/>
      <c r="C605" s="355"/>
      <c r="D605" s="355"/>
      <c r="E605" s="354"/>
      <c r="F605" s="354"/>
      <c r="G605" s="355"/>
      <c r="H605" s="350"/>
      <c r="I605" s="350"/>
      <c r="J605" s="350"/>
      <c r="K605" s="350"/>
      <c r="L605" s="350"/>
      <c r="M605" s="355"/>
      <c r="N605" s="355"/>
      <c r="O605" s="354"/>
      <c r="P605" s="354"/>
      <c r="Q605" s="355"/>
      <c r="R605" s="350"/>
      <c r="S605" s="350"/>
      <c r="T605" s="350"/>
      <c r="U605" s="351"/>
      <c r="V605" s="351"/>
      <c r="W605" s="351"/>
      <c r="X605" s="351"/>
      <c r="Y605" s="351"/>
      <c r="Z605" s="351"/>
    </row>
    <row r="606">
      <c r="A606" s="350"/>
      <c r="B606" s="350"/>
      <c r="C606" s="355"/>
      <c r="D606" s="355"/>
      <c r="E606" s="354"/>
      <c r="F606" s="354"/>
      <c r="G606" s="355"/>
      <c r="H606" s="350"/>
      <c r="I606" s="350"/>
      <c r="J606" s="350"/>
      <c r="K606" s="350"/>
      <c r="L606" s="350"/>
      <c r="M606" s="355"/>
      <c r="N606" s="355"/>
      <c r="O606" s="354"/>
      <c r="P606" s="354"/>
      <c r="Q606" s="355"/>
      <c r="R606" s="350"/>
      <c r="S606" s="350"/>
      <c r="T606" s="350"/>
      <c r="U606" s="351"/>
      <c r="V606" s="351"/>
      <c r="W606" s="351"/>
      <c r="X606" s="351"/>
      <c r="Y606" s="351"/>
      <c r="Z606" s="351"/>
    </row>
    <row r="607">
      <c r="A607" s="350"/>
      <c r="B607" s="350"/>
      <c r="C607" s="355"/>
      <c r="D607" s="355"/>
      <c r="E607" s="354"/>
      <c r="F607" s="354"/>
      <c r="G607" s="355"/>
      <c r="H607" s="350"/>
      <c r="I607" s="350"/>
      <c r="J607" s="350"/>
      <c r="K607" s="350"/>
      <c r="L607" s="350"/>
      <c r="M607" s="355"/>
      <c r="N607" s="355"/>
      <c r="O607" s="354"/>
      <c r="P607" s="354"/>
      <c r="Q607" s="355"/>
      <c r="R607" s="350"/>
      <c r="S607" s="350"/>
      <c r="T607" s="350"/>
      <c r="U607" s="351"/>
      <c r="V607" s="351"/>
      <c r="W607" s="351"/>
      <c r="X607" s="351"/>
      <c r="Y607" s="351"/>
      <c r="Z607" s="351"/>
    </row>
    <row r="608">
      <c r="A608" s="350"/>
      <c r="B608" s="350"/>
      <c r="C608" s="355"/>
      <c r="D608" s="355"/>
      <c r="E608" s="354"/>
      <c r="F608" s="354"/>
      <c r="G608" s="355"/>
      <c r="H608" s="350"/>
      <c r="I608" s="350"/>
      <c r="J608" s="350"/>
      <c r="K608" s="350"/>
      <c r="L608" s="350"/>
      <c r="M608" s="355"/>
      <c r="N608" s="355"/>
      <c r="O608" s="354"/>
      <c r="P608" s="354"/>
      <c r="Q608" s="355"/>
      <c r="R608" s="350"/>
      <c r="S608" s="350"/>
      <c r="T608" s="350"/>
      <c r="U608" s="351"/>
      <c r="V608" s="351"/>
      <c r="W608" s="351"/>
      <c r="X608" s="351"/>
      <c r="Y608" s="351"/>
      <c r="Z608" s="351"/>
    </row>
    <row r="609">
      <c r="A609" s="350"/>
      <c r="B609" s="350"/>
      <c r="C609" s="355"/>
      <c r="D609" s="355"/>
      <c r="E609" s="354"/>
      <c r="F609" s="354"/>
      <c r="G609" s="355"/>
      <c r="H609" s="350"/>
      <c r="I609" s="350"/>
      <c r="J609" s="350"/>
      <c r="K609" s="350"/>
      <c r="L609" s="350"/>
      <c r="M609" s="355"/>
      <c r="N609" s="355"/>
      <c r="O609" s="354"/>
      <c r="P609" s="354"/>
      <c r="Q609" s="355"/>
      <c r="R609" s="350"/>
      <c r="S609" s="350"/>
      <c r="T609" s="350"/>
      <c r="U609" s="351"/>
      <c r="V609" s="351"/>
      <c r="W609" s="351"/>
      <c r="X609" s="351"/>
      <c r="Y609" s="351"/>
      <c r="Z609" s="351"/>
    </row>
    <row r="610">
      <c r="A610" s="350"/>
      <c r="B610" s="350"/>
      <c r="C610" s="355"/>
      <c r="D610" s="355"/>
      <c r="E610" s="354"/>
      <c r="F610" s="354"/>
      <c r="G610" s="355"/>
      <c r="H610" s="350"/>
      <c r="I610" s="350"/>
      <c r="J610" s="350"/>
      <c r="K610" s="350"/>
      <c r="L610" s="350"/>
      <c r="M610" s="355"/>
      <c r="N610" s="355"/>
      <c r="O610" s="354"/>
      <c r="P610" s="354"/>
      <c r="Q610" s="355"/>
      <c r="R610" s="350"/>
      <c r="S610" s="350"/>
      <c r="T610" s="350"/>
      <c r="U610" s="351"/>
      <c r="V610" s="351"/>
      <c r="W610" s="351"/>
      <c r="X610" s="351"/>
      <c r="Y610" s="351"/>
      <c r="Z610" s="351"/>
    </row>
    <row r="611">
      <c r="A611" s="350"/>
      <c r="B611" s="350"/>
      <c r="C611" s="355"/>
      <c r="D611" s="355"/>
      <c r="E611" s="354"/>
      <c r="F611" s="354"/>
      <c r="G611" s="355"/>
      <c r="H611" s="350"/>
      <c r="I611" s="350"/>
      <c r="J611" s="350"/>
      <c r="K611" s="350"/>
      <c r="L611" s="350"/>
      <c r="M611" s="355"/>
      <c r="N611" s="355"/>
      <c r="O611" s="354"/>
      <c r="P611" s="354"/>
      <c r="Q611" s="355"/>
      <c r="R611" s="350"/>
      <c r="S611" s="350"/>
      <c r="T611" s="350"/>
      <c r="U611" s="351"/>
      <c r="V611" s="351"/>
      <c r="W611" s="351"/>
      <c r="X611" s="351"/>
      <c r="Y611" s="351"/>
      <c r="Z611" s="351"/>
    </row>
    <row r="612">
      <c r="A612" s="350"/>
      <c r="B612" s="350"/>
      <c r="C612" s="355"/>
      <c r="D612" s="355"/>
      <c r="E612" s="354"/>
      <c r="F612" s="354"/>
      <c r="G612" s="355"/>
      <c r="H612" s="350"/>
      <c r="I612" s="350"/>
      <c r="J612" s="350"/>
      <c r="K612" s="350"/>
      <c r="L612" s="350"/>
      <c r="M612" s="355"/>
      <c r="N612" s="355"/>
      <c r="O612" s="354"/>
      <c r="P612" s="354"/>
      <c r="Q612" s="355"/>
      <c r="R612" s="350"/>
      <c r="S612" s="350"/>
      <c r="T612" s="350"/>
      <c r="U612" s="351"/>
      <c r="V612" s="351"/>
      <c r="W612" s="351"/>
      <c r="X612" s="351"/>
      <c r="Y612" s="351"/>
      <c r="Z612" s="351"/>
    </row>
    <row r="613">
      <c r="A613" s="350"/>
      <c r="B613" s="350"/>
      <c r="C613" s="355"/>
      <c r="D613" s="355"/>
      <c r="E613" s="354"/>
      <c r="F613" s="354"/>
      <c r="G613" s="355"/>
      <c r="H613" s="350"/>
      <c r="I613" s="350"/>
      <c r="J613" s="350"/>
      <c r="K613" s="350"/>
      <c r="L613" s="350"/>
      <c r="M613" s="355"/>
      <c r="N613" s="355"/>
      <c r="O613" s="354"/>
      <c r="P613" s="354"/>
      <c r="Q613" s="355"/>
      <c r="R613" s="350"/>
      <c r="S613" s="350"/>
      <c r="T613" s="350"/>
      <c r="U613" s="351"/>
      <c r="V613" s="351"/>
      <c r="W613" s="351"/>
      <c r="X613" s="351"/>
      <c r="Y613" s="351"/>
      <c r="Z613" s="351"/>
    </row>
    <row r="614">
      <c r="A614" s="350"/>
      <c r="B614" s="350"/>
      <c r="C614" s="355"/>
      <c r="D614" s="355"/>
      <c r="E614" s="354"/>
      <c r="F614" s="354"/>
      <c r="G614" s="355"/>
      <c r="H614" s="350"/>
      <c r="I614" s="350"/>
      <c r="J614" s="350"/>
      <c r="K614" s="350"/>
      <c r="L614" s="350"/>
      <c r="M614" s="355"/>
      <c r="N614" s="355"/>
      <c r="O614" s="354"/>
      <c r="P614" s="354"/>
      <c r="Q614" s="355"/>
      <c r="R614" s="350"/>
      <c r="S614" s="350"/>
      <c r="T614" s="350"/>
      <c r="U614" s="351"/>
      <c r="V614" s="351"/>
      <c r="W614" s="351"/>
      <c r="X614" s="351"/>
      <c r="Y614" s="351"/>
      <c r="Z614" s="351"/>
    </row>
    <row r="615">
      <c r="A615" s="350"/>
      <c r="B615" s="350"/>
      <c r="C615" s="355"/>
      <c r="D615" s="355"/>
      <c r="E615" s="354"/>
      <c r="F615" s="354"/>
      <c r="G615" s="355"/>
      <c r="H615" s="350"/>
      <c r="I615" s="350"/>
      <c r="J615" s="350"/>
      <c r="K615" s="350"/>
      <c r="L615" s="350"/>
      <c r="M615" s="355"/>
      <c r="N615" s="355"/>
      <c r="O615" s="354"/>
      <c r="P615" s="354"/>
      <c r="Q615" s="355"/>
      <c r="R615" s="350"/>
      <c r="S615" s="350"/>
      <c r="T615" s="350"/>
      <c r="U615" s="351"/>
      <c r="V615" s="351"/>
      <c r="W615" s="351"/>
      <c r="X615" s="351"/>
      <c r="Y615" s="351"/>
      <c r="Z615" s="351"/>
    </row>
    <row r="616">
      <c r="A616" s="350"/>
      <c r="B616" s="350"/>
      <c r="C616" s="355"/>
      <c r="D616" s="355"/>
      <c r="E616" s="354"/>
      <c r="F616" s="354"/>
      <c r="G616" s="355"/>
      <c r="H616" s="350"/>
      <c r="I616" s="350"/>
      <c r="J616" s="350"/>
      <c r="K616" s="350"/>
      <c r="L616" s="350"/>
      <c r="M616" s="355"/>
      <c r="N616" s="355"/>
      <c r="O616" s="354"/>
      <c r="P616" s="354"/>
      <c r="Q616" s="355"/>
      <c r="R616" s="350"/>
      <c r="S616" s="350"/>
      <c r="T616" s="350"/>
      <c r="U616" s="351"/>
      <c r="V616" s="351"/>
      <c r="W616" s="351"/>
      <c r="X616" s="351"/>
      <c r="Y616" s="351"/>
      <c r="Z616" s="351"/>
    </row>
    <row r="617">
      <c r="A617" s="350"/>
      <c r="B617" s="350"/>
      <c r="C617" s="355"/>
      <c r="D617" s="355"/>
      <c r="E617" s="354"/>
      <c r="F617" s="354"/>
      <c r="G617" s="355"/>
      <c r="H617" s="350"/>
      <c r="I617" s="350"/>
      <c r="J617" s="350"/>
      <c r="K617" s="350"/>
      <c r="L617" s="350"/>
      <c r="M617" s="355"/>
      <c r="N617" s="355"/>
      <c r="O617" s="354"/>
      <c r="P617" s="354"/>
      <c r="Q617" s="355"/>
      <c r="R617" s="350"/>
      <c r="S617" s="350"/>
      <c r="T617" s="350"/>
      <c r="U617" s="351"/>
      <c r="V617" s="351"/>
      <c r="W617" s="351"/>
      <c r="X617" s="351"/>
      <c r="Y617" s="351"/>
      <c r="Z617" s="351"/>
    </row>
    <row r="618">
      <c r="A618" s="350"/>
      <c r="B618" s="350"/>
      <c r="C618" s="355"/>
      <c r="D618" s="355"/>
      <c r="E618" s="354"/>
      <c r="F618" s="354"/>
      <c r="G618" s="355"/>
      <c r="H618" s="350"/>
      <c r="I618" s="350"/>
      <c r="J618" s="350"/>
      <c r="K618" s="350"/>
      <c r="L618" s="350"/>
      <c r="M618" s="355"/>
      <c r="N618" s="355"/>
      <c r="O618" s="354"/>
      <c r="P618" s="354"/>
      <c r="Q618" s="355"/>
      <c r="R618" s="350"/>
      <c r="S618" s="350"/>
      <c r="T618" s="350"/>
      <c r="U618" s="351"/>
      <c r="V618" s="351"/>
      <c r="W618" s="351"/>
      <c r="X618" s="351"/>
      <c r="Y618" s="351"/>
      <c r="Z618" s="351"/>
    </row>
    <row r="619">
      <c r="A619" s="350"/>
      <c r="B619" s="350"/>
      <c r="C619" s="355"/>
      <c r="D619" s="355"/>
      <c r="E619" s="354"/>
      <c r="F619" s="354"/>
      <c r="G619" s="355"/>
      <c r="H619" s="350"/>
      <c r="I619" s="350"/>
      <c r="J619" s="350"/>
      <c r="K619" s="350"/>
      <c r="L619" s="350"/>
      <c r="M619" s="355"/>
      <c r="N619" s="355"/>
      <c r="O619" s="354"/>
      <c r="P619" s="354"/>
      <c r="Q619" s="355"/>
      <c r="R619" s="350"/>
      <c r="S619" s="350"/>
      <c r="T619" s="350"/>
      <c r="U619" s="351"/>
      <c r="V619" s="351"/>
      <c r="W619" s="351"/>
      <c r="X619" s="351"/>
      <c r="Y619" s="351"/>
      <c r="Z619" s="351"/>
    </row>
    <row r="620">
      <c r="A620" s="350"/>
      <c r="B620" s="350"/>
      <c r="C620" s="355"/>
      <c r="D620" s="355"/>
      <c r="E620" s="354"/>
      <c r="F620" s="354"/>
      <c r="G620" s="355"/>
      <c r="H620" s="350"/>
      <c r="I620" s="350"/>
      <c r="J620" s="350"/>
      <c r="K620" s="350"/>
      <c r="L620" s="350"/>
      <c r="M620" s="355"/>
      <c r="N620" s="355"/>
      <c r="O620" s="354"/>
      <c r="P620" s="354"/>
      <c r="Q620" s="355"/>
      <c r="R620" s="350"/>
      <c r="S620" s="350"/>
      <c r="T620" s="350"/>
      <c r="U620" s="351"/>
      <c r="V620" s="351"/>
      <c r="W620" s="351"/>
      <c r="X620" s="351"/>
      <c r="Y620" s="351"/>
      <c r="Z620" s="351"/>
    </row>
    <row r="621">
      <c r="A621" s="350"/>
      <c r="B621" s="350"/>
      <c r="C621" s="355"/>
      <c r="D621" s="355"/>
      <c r="E621" s="354"/>
      <c r="F621" s="354"/>
      <c r="G621" s="355"/>
      <c r="H621" s="350"/>
      <c r="I621" s="350"/>
      <c r="J621" s="350"/>
      <c r="K621" s="350"/>
      <c r="L621" s="350"/>
      <c r="M621" s="355"/>
      <c r="N621" s="355"/>
      <c r="O621" s="354"/>
      <c r="P621" s="354"/>
      <c r="Q621" s="355"/>
      <c r="R621" s="350"/>
      <c r="S621" s="350"/>
      <c r="T621" s="350"/>
      <c r="U621" s="351"/>
      <c r="V621" s="351"/>
      <c r="W621" s="351"/>
      <c r="X621" s="351"/>
      <c r="Y621" s="351"/>
      <c r="Z621" s="351"/>
    </row>
    <row r="622">
      <c r="A622" s="350"/>
      <c r="B622" s="350"/>
      <c r="C622" s="355"/>
      <c r="D622" s="355"/>
      <c r="E622" s="354"/>
      <c r="F622" s="354"/>
      <c r="G622" s="355"/>
      <c r="H622" s="350"/>
      <c r="I622" s="350"/>
      <c r="J622" s="350"/>
      <c r="K622" s="350"/>
      <c r="L622" s="350"/>
      <c r="M622" s="355"/>
      <c r="N622" s="355"/>
      <c r="O622" s="354"/>
      <c r="P622" s="354"/>
      <c r="Q622" s="355"/>
      <c r="R622" s="350"/>
      <c r="S622" s="350"/>
      <c r="T622" s="350"/>
      <c r="U622" s="351"/>
      <c r="V622" s="351"/>
      <c r="W622" s="351"/>
      <c r="X622" s="351"/>
      <c r="Y622" s="351"/>
      <c r="Z622" s="351"/>
    </row>
    <row r="623">
      <c r="A623" s="350"/>
      <c r="B623" s="350"/>
      <c r="C623" s="355"/>
      <c r="D623" s="355"/>
      <c r="E623" s="354"/>
      <c r="F623" s="354"/>
      <c r="G623" s="355"/>
      <c r="H623" s="350"/>
      <c r="I623" s="350"/>
      <c r="J623" s="350"/>
      <c r="K623" s="350"/>
      <c r="L623" s="350"/>
      <c r="M623" s="355"/>
      <c r="N623" s="355"/>
      <c r="O623" s="354"/>
      <c r="P623" s="354"/>
      <c r="Q623" s="355"/>
      <c r="R623" s="350"/>
      <c r="S623" s="350"/>
      <c r="T623" s="350"/>
      <c r="U623" s="351"/>
      <c r="V623" s="351"/>
      <c r="W623" s="351"/>
      <c r="X623" s="351"/>
      <c r="Y623" s="351"/>
      <c r="Z623" s="351"/>
    </row>
    <row r="624">
      <c r="A624" s="350"/>
      <c r="B624" s="350"/>
      <c r="C624" s="355"/>
      <c r="D624" s="355"/>
      <c r="E624" s="354"/>
      <c r="F624" s="354"/>
      <c r="G624" s="355"/>
      <c r="H624" s="350"/>
      <c r="I624" s="350"/>
      <c r="J624" s="350"/>
      <c r="K624" s="350"/>
      <c r="L624" s="350"/>
      <c r="M624" s="355"/>
      <c r="N624" s="355"/>
      <c r="O624" s="354"/>
      <c r="P624" s="354"/>
      <c r="Q624" s="355"/>
      <c r="R624" s="350"/>
      <c r="S624" s="350"/>
      <c r="T624" s="350"/>
      <c r="U624" s="351"/>
      <c r="V624" s="351"/>
      <c r="W624" s="351"/>
      <c r="X624" s="351"/>
      <c r="Y624" s="351"/>
      <c r="Z624" s="351"/>
    </row>
    <row r="625">
      <c r="A625" s="350"/>
      <c r="B625" s="350"/>
      <c r="C625" s="355"/>
      <c r="D625" s="355"/>
      <c r="E625" s="354"/>
      <c r="F625" s="354"/>
      <c r="G625" s="355"/>
      <c r="H625" s="350"/>
      <c r="I625" s="350"/>
      <c r="J625" s="350"/>
      <c r="K625" s="350"/>
      <c r="L625" s="350"/>
      <c r="M625" s="355"/>
      <c r="N625" s="355"/>
      <c r="O625" s="354"/>
      <c r="P625" s="354"/>
      <c r="Q625" s="355"/>
      <c r="R625" s="350"/>
      <c r="S625" s="350"/>
      <c r="T625" s="350"/>
      <c r="U625" s="351"/>
      <c r="V625" s="351"/>
      <c r="W625" s="351"/>
      <c r="X625" s="351"/>
      <c r="Y625" s="351"/>
      <c r="Z625" s="351"/>
    </row>
    <row r="626">
      <c r="A626" s="350"/>
      <c r="B626" s="350"/>
      <c r="C626" s="355"/>
      <c r="D626" s="355"/>
      <c r="E626" s="354"/>
      <c r="F626" s="354"/>
      <c r="G626" s="355"/>
      <c r="H626" s="350"/>
      <c r="I626" s="350"/>
      <c r="J626" s="350"/>
      <c r="K626" s="350"/>
      <c r="L626" s="350"/>
      <c r="M626" s="355"/>
      <c r="N626" s="355"/>
      <c r="O626" s="354"/>
      <c r="P626" s="354"/>
      <c r="Q626" s="355"/>
      <c r="R626" s="350"/>
      <c r="S626" s="350"/>
      <c r="T626" s="350"/>
      <c r="U626" s="351"/>
      <c r="V626" s="351"/>
      <c r="W626" s="351"/>
      <c r="X626" s="351"/>
      <c r="Y626" s="351"/>
      <c r="Z626" s="351"/>
    </row>
    <row r="627">
      <c r="A627" s="350"/>
      <c r="B627" s="350"/>
      <c r="C627" s="355"/>
      <c r="D627" s="355"/>
      <c r="E627" s="354"/>
      <c r="F627" s="354"/>
      <c r="G627" s="355"/>
      <c r="H627" s="350"/>
      <c r="I627" s="350"/>
      <c r="J627" s="350"/>
      <c r="K627" s="350"/>
      <c r="L627" s="350"/>
      <c r="M627" s="355"/>
      <c r="N627" s="355"/>
      <c r="O627" s="354"/>
      <c r="P627" s="354"/>
      <c r="Q627" s="355"/>
      <c r="R627" s="350"/>
      <c r="S627" s="350"/>
      <c r="T627" s="350"/>
      <c r="U627" s="351"/>
      <c r="V627" s="351"/>
      <c r="W627" s="351"/>
      <c r="X627" s="351"/>
      <c r="Y627" s="351"/>
      <c r="Z627" s="351"/>
    </row>
    <row r="628">
      <c r="A628" s="350"/>
      <c r="B628" s="350"/>
      <c r="C628" s="355"/>
      <c r="D628" s="355"/>
      <c r="E628" s="354"/>
      <c r="F628" s="354"/>
      <c r="G628" s="355"/>
      <c r="H628" s="350"/>
      <c r="I628" s="350"/>
      <c r="J628" s="350"/>
      <c r="K628" s="350"/>
      <c r="L628" s="350"/>
      <c r="M628" s="355"/>
      <c r="N628" s="355"/>
      <c r="O628" s="354"/>
      <c r="P628" s="354"/>
      <c r="Q628" s="355"/>
      <c r="R628" s="350"/>
      <c r="S628" s="350"/>
      <c r="T628" s="350"/>
      <c r="U628" s="351"/>
      <c r="V628" s="351"/>
      <c r="W628" s="351"/>
      <c r="X628" s="351"/>
      <c r="Y628" s="351"/>
      <c r="Z628" s="351"/>
    </row>
    <row r="629">
      <c r="A629" s="350"/>
      <c r="B629" s="350"/>
      <c r="C629" s="355"/>
      <c r="D629" s="355"/>
      <c r="E629" s="354"/>
      <c r="F629" s="354"/>
      <c r="G629" s="355"/>
      <c r="H629" s="350"/>
      <c r="I629" s="350"/>
      <c r="J629" s="350"/>
      <c r="K629" s="350"/>
      <c r="L629" s="350"/>
      <c r="M629" s="355"/>
      <c r="N629" s="355"/>
      <c r="O629" s="354"/>
      <c r="P629" s="354"/>
      <c r="Q629" s="355"/>
      <c r="R629" s="350"/>
      <c r="S629" s="350"/>
      <c r="T629" s="350"/>
      <c r="U629" s="351"/>
      <c r="V629" s="351"/>
      <c r="W629" s="351"/>
      <c r="X629" s="351"/>
      <c r="Y629" s="351"/>
      <c r="Z629" s="351"/>
    </row>
    <row r="630">
      <c r="A630" s="350"/>
      <c r="B630" s="350"/>
      <c r="C630" s="355"/>
      <c r="D630" s="355"/>
      <c r="E630" s="354"/>
      <c r="F630" s="354"/>
      <c r="G630" s="355"/>
      <c r="H630" s="350"/>
      <c r="I630" s="350"/>
      <c r="J630" s="350"/>
      <c r="K630" s="350"/>
      <c r="L630" s="350"/>
      <c r="M630" s="355"/>
      <c r="N630" s="355"/>
      <c r="O630" s="354"/>
      <c r="P630" s="354"/>
      <c r="Q630" s="355"/>
      <c r="R630" s="350"/>
      <c r="S630" s="350"/>
      <c r="T630" s="350"/>
      <c r="U630" s="351"/>
      <c r="V630" s="351"/>
      <c r="W630" s="351"/>
      <c r="X630" s="351"/>
      <c r="Y630" s="351"/>
      <c r="Z630" s="351"/>
    </row>
    <row r="631">
      <c r="A631" s="350"/>
      <c r="B631" s="350"/>
      <c r="C631" s="355"/>
      <c r="D631" s="355"/>
      <c r="E631" s="354"/>
      <c r="F631" s="354"/>
      <c r="G631" s="355"/>
      <c r="H631" s="350"/>
      <c r="I631" s="350"/>
      <c r="J631" s="350"/>
      <c r="K631" s="350"/>
      <c r="L631" s="350"/>
      <c r="M631" s="355"/>
      <c r="N631" s="355"/>
      <c r="O631" s="354"/>
      <c r="P631" s="354"/>
      <c r="Q631" s="355"/>
      <c r="R631" s="350"/>
      <c r="S631" s="350"/>
      <c r="T631" s="350"/>
      <c r="U631" s="351"/>
      <c r="V631" s="351"/>
      <c r="W631" s="351"/>
      <c r="X631" s="351"/>
      <c r="Y631" s="351"/>
      <c r="Z631" s="351"/>
    </row>
    <row r="632">
      <c r="A632" s="350"/>
      <c r="B632" s="350"/>
      <c r="C632" s="355"/>
      <c r="D632" s="355"/>
      <c r="E632" s="354"/>
      <c r="F632" s="354"/>
      <c r="G632" s="355"/>
      <c r="H632" s="350"/>
      <c r="I632" s="350"/>
      <c r="J632" s="350"/>
      <c r="K632" s="350"/>
      <c r="L632" s="350"/>
      <c r="M632" s="355"/>
      <c r="N632" s="355"/>
      <c r="O632" s="354"/>
      <c r="P632" s="354"/>
      <c r="Q632" s="355"/>
      <c r="R632" s="350"/>
      <c r="S632" s="350"/>
      <c r="T632" s="350"/>
      <c r="U632" s="351"/>
      <c r="V632" s="351"/>
      <c r="W632" s="351"/>
      <c r="X632" s="351"/>
      <c r="Y632" s="351"/>
      <c r="Z632" s="351"/>
    </row>
    <row r="633">
      <c r="A633" s="350"/>
      <c r="B633" s="350"/>
      <c r="C633" s="355"/>
      <c r="D633" s="355"/>
      <c r="E633" s="354"/>
      <c r="F633" s="354"/>
      <c r="G633" s="355"/>
      <c r="H633" s="350"/>
      <c r="I633" s="350"/>
      <c r="J633" s="350"/>
      <c r="K633" s="350"/>
      <c r="L633" s="350"/>
      <c r="M633" s="355"/>
      <c r="N633" s="355"/>
      <c r="O633" s="354"/>
      <c r="P633" s="354"/>
      <c r="Q633" s="355"/>
      <c r="R633" s="350"/>
      <c r="S633" s="350"/>
      <c r="T633" s="350"/>
      <c r="U633" s="351"/>
      <c r="V633" s="351"/>
      <c r="W633" s="351"/>
      <c r="X633" s="351"/>
      <c r="Y633" s="351"/>
      <c r="Z633" s="351"/>
    </row>
    <row r="634">
      <c r="A634" s="350"/>
      <c r="B634" s="350"/>
      <c r="C634" s="355"/>
      <c r="D634" s="355"/>
      <c r="E634" s="354"/>
      <c r="F634" s="354"/>
      <c r="G634" s="355"/>
      <c r="H634" s="350"/>
      <c r="I634" s="350"/>
      <c r="J634" s="350"/>
      <c r="K634" s="350"/>
      <c r="L634" s="350"/>
      <c r="M634" s="355"/>
      <c r="N634" s="355"/>
      <c r="O634" s="354"/>
      <c r="P634" s="354"/>
      <c r="Q634" s="355"/>
      <c r="R634" s="350"/>
      <c r="S634" s="350"/>
      <c r="T634" s="350"/>
      <c r="U634" s="351"/>
      <c r="V634" s="351"/>
      <c r="W634" s="351"/>
      <c r="X634" s="351"/>
      <c r="Y634" s="351"/>
      <c r="Z634" s="351"/>
    </row>
    <row r="635">
      <c r="A635" s="350"/>
      <c r="B635" s="350"/>
      <c r="C635" s="355"/>
      <c r="D635" s="355"/>
      <c r="E635" s="354"/>
      <c r="F635" s="354"/>
      <c r="G635" s="355"/>
      <c r="H635" s="350"/>
      <c r="I635" s="350"/>
      <c r="J635" s="350"/>
      <c r="K635" s="350"/>
      <c r="L635" s="350"/>
      <c r="M635" s="355"/>
      <c r="N635" s="355"/>
      <c r="O635" s="354"/>
      <c r="P635" s="354"/>
      <c r="Q635" s="355"/>
      <c r="R635" s="350"/>
      <c r="S635" s="350"/>
      <c r="T635" s="350"/>
      <c r="U635" s="351"/>
      <c r="V635" s="351"/>
      <c r="W635" s="351"/>
      <c r="X635" s="351"/>
      <c r="Y635" s="351"/>
      <c r="Z635" s="351"/>
    </row>
    <row r="636">
      <c r="A636" s="350"/>
      <c r="B636" s="350"/>
      <c r="C636" s="355"/>
      <c r="D636" s="355"/>
      <c r="E636" s="354"/>
      <c r="F636" s="354"/>
      <c r="G636" s="355"/>
      <c r="H636" s="350"/>
      <c r="I636" s="350"/>
      <c r="J636" s="350"/>
      <c r="K636" s="350"/>
      <c r="L636" s="350"/>
      <c r="M636" s="355"/>
      <c r="N636" s="355"/>
      <c r="O636" s="354"/>
      <c r="P636" s="354"/>
      <c r="Q636" s="355"/>
      <c r="R636" s="350"/>
      <c r="S636" s="350"/>
      <c r="T636" s="350"/>
      <c r="U636" s="351"/>
      <c r="V636" s="351"/>
      <c r="W636" s="351"/>
      <c r="X636" s="351"/>
      <c r="Y636" s="351"/>
      <c r="Z636" s="351"/>
    </row>
    <row r="637">
      <c r="A637" s="350"/>
      <c r="B637" s="350"/>
      <c r="C637" s="355"/>
      <c r="D637" s="355"/>
      <c r="E637" s="354"/>
      <c r="F637" s="354"/>
      <c r="G637" s="355"/>
      <c r="H637" s="350"/>
      <c r="I637" s="350"/>
      <c r="J637" s="350"/>
      <c r="K637" s="350"/>
      <c r="L637" s="350"/>
      <c r="M637" s="355"/>
      <c r="N637" s="355"/>
      <c r="O637" s="354"/>
      <c r="P637" s="354"/>
      <c r="Q637" s="355"/>
      <c r="R637" s="350"/>
      <c r="S637" s="350"/>
      <c r="T637" s="350"/>
      <c r="U637" s="351"/>
      <c r="V637" s="351"/>
      <c r="W637" s="351"/>
      <c r="X637" s="351"/>
      <c r="Y637" s="351"/>
      <c r="Z637" s="351"/>
    </row>
    <row r="638">
      <c r="A638" s="350"/>
      <c r="B638" s="350"/>
      <c r="C638" s="355"/>
      <c r="D638" s="355"/>
      <c r="E638" s="354"/>
      <c r="F638" s="354"/>
      <c r="G638" s="355"/>
      <c r="H638" s="350"/>
      <c r="I638" s="350"/>
      <c r="J638" s="350"/>
      <c r="K638" s="350"/>
      <c r="L638" s="350"/>
      <c r="M638" s="355"/>
      <c r="N638" s="355"/>
      <c r="O638" s="354"/>
      <c r="P638" s="354"/>
      <c r="Q638" s="355"/>
      <c r="R638" s="350"/>
      <c r="S638" s="350"/>
      <c r="T638" s="350"/>
      <c r="U638" s="351"/>
      <c r="V638" s="351"/>
      <c r="W638" s="351"/>
      <c r="X638" s="351"/>
      <c r="Y638" s="351"/>
      <c r="Z638" s="351"/>
    </row>
    <row r="639">
      <c r="A639" s="350"/>
      <c r="B639" s="350"/>
      <c r="C639" s="355"/>
      <c r="D639" s="355"/>
      <c r="E639" s="354"/>
      <c r="F639" s="354"/>
      <c r="G639" s="355"/>
      <c r="H639" s="350"/>
      <c r="I639" s="350"/>
      <c r="J639" s="350"/>
      <c r="K639" s="350"/>
      <c r="L639" s="350"/>
      <c r="M639" s="355"/>
      <c r="N639" s="355"/>
      <c r="O639" s="354"/>
      <c r="P639" s="354"/>
      <c r="Q639" s="355"/>
      <c r="R639" s="350"/>
      <c r="S639" s="350"/>
      <c r="T639" s="350"/>
      <c r="U639" s="351"/>
      <c r="V639" s="351"/>
      <c r="W639" s="351"/>
      <c r="X639" s="351"/>
      <c r="Y639" s="351"/>
      <c r="Z639" s="351"/>
    </row>
    <row r="640">
      <c r="A640" s="350"/>
      <c r="B640" s="350"/>
      <c r="C640" s="355"/>
      <c r="D640" s="355"/>
      <c r="E640" s="354"/>
      <c r="F640" s="354"/>
      <c r="G640" s="355"/>
      <c r="H640" s="350"/>
      <c r="I640" s="350"/>
      <c r="J640" s="350"/>
      <c r="K640" s="350"/>
      <c r="L640" s="350"/>
      <c r="M640" s="355"/>
      <c r="N640" s="355"/>
      <c r="O640" s="354"/>
      <c r="P640" s="354"/>
      <c r="Q640" s="355"/>
      <c r="R640" s="350"/>
      <c r="S640" s="350"/>
      <c r="T640" s="350"/>
      <c r="U640" s="351"/>
      <c r="V640" s="351"/>
      <c r="W640" s="351"/>
      <c r="X640" s="351"/>
      <c r="Y640" s="351"/>
      <c r="Z640" s="351"/>
    </row>
    <row r="641">
      <c r="A641" s="350"/>
      <c r="B641" s="350"/>
      <c r="C641" s="355"/>
      <c r="D641" s="355"/>
      <c r="E641" s="354"/>
      <c r="F641" s="354"/>
      <c r="G641" s="355"/>
      <c r="H641" s="350"/>
      <c r="I641" s="350"/>
      <c r="J641" s="350"/>
      <c r="K641" s="350"/>
      <c r="L641" s="350"/>
      <c r="M641" s="355"/>
      <c r="N641" s="355"/>
      <c r="O641" s="354"/>
      <c r="P641" s="354"/>
      <c r="Q641" s="355"/>
      <c r="R641" s="350"/>
      <c r="S641" s="350"/>
      <c r="T641" s="350"/>
      <c r="U641" s="351"/>
      <c r="V641" s="351"/>
      <c r="W641" s="351"/>
      <c r="X641" s="351"/>
      <c r="Y641" s="351"/>
      <c r="Z641" s="351"/>
    </row>
    <row r="642">
      <c r="A642" s="350"/>
      <c r="B642" s="350"/>
      <c r="C642" s="355"/>
      <c r="D642" s="355"/>
      <c r="E642" s="354"/>
      <c r="F642" s="354"/>
      <c r="G642" s="355"/>
      <c r="H642" s="350"/>
      <c r="I642" s="350"/>
      <c r="J642" s="350"/>
      <c r="K642" s="350"/>
      <c r="L642" s="350"/>
      <c r="M642" s="355"/>
      <c r="N642" s="355"/>
      <c r="O642" s="354"/>
      <c r="P642" s="354"/>
      <c r="Q642" s="355"/>
      <c r="R642" s="350"/>
      <c r="S642" s="350"/>
      <c r="T642" s="350"/>
      <c r="U642" s="351"/>
      <c r="V642" s="351"/>
      <c r="W642" s="351"/>
      <c r="X642" s="351"/>
      <c r="Y642" s="351"/>
      <c r="Z642" s="351"/>
    </row>
    <row r="643">
      <c r="A643" s="350"/>
      <c r="B643" s="350"/>
      <c r="C643" s="355"/>
      <c r="D643" s="355"/>
      <c r="E643" s="354"/>
      <c r="F643" s="354"/>
      <c r="G643" s="355"/>
      <c r="H643" s="350"/>
      <c r="I643" s="350"/>
      <c r="J643" s="350"/>
      <c r="K643" s="350"/>
      <c r="L643" s="350"/>
      <c r="M643" s="355"/>
      <c r="N643" s="355"/>
      <c r="O643" s="354"/>
      <c r="P643" s="354"/>
      <c r="Q643" s="355"/>
      <c r="R643" s="350"/>
      <c r="S643" s="350"/>
      <c r="T643" s="350"/>
      <c r="U643" s="351"/>
      <c r="V643" s="351"/>
      <c r="W643" s="351"/>
      <c r="X643" s="351"/>
      <c r="Y643" s="351"/>
      <c r="Z643" s="351"/>
    </row>
    <row r="644">
      <c r="A644" s="350"/>
      <c r="B644" s="350"/>
      <c r="C644" s="355"/>
      <c r="D644" s="355"/>
      <c r="E644" s="354"/>
      <c r="F644" s="354"/>
      <c r="G644" s="355"/>
      <c r="H644" s="350"/>
      <c r="I644" s="350"/>
      <c r="J644" s="350"/>
      <c r="K644" s="350"/>
      <c r="L644" s="350"/>
      <c r="M644" s="355"/>
      <c r="N644" s="355"/>
      <c r="O644" s="354"/>
      <c r="P644" s="354"/>
      <c r="Q644" s="355"/>
      <c r="R644" s="350"/>
      <c r="S644" s="350"/>
      <c r="T644" s="350"/>
      <c r="U644" s="351"/>
      <c r="V644" s="351"/>
      <c r="W644" s="351"/>
      <c r="X644" s="351"/>
      <c r="Y644" s="351"/>
      <c r="Z644" s="351"/>
    </row>
    <row r="645">
      <c r="A645" s="350"/>
      <c r="B645" s="350"/>
      <c r="C645" s="355"/>
      <c r="D645" s="355"/>
      <c r="E645" s="354"/>
      <c r="F645" s="354"/>
      <c r="G645" s="355"/>
      <c r="H645" s="350"/>
      <c r="I645" s="350"/>
      <c r="J645" s="350"/>
      <c r="K645" s="350"/>
      <c r="L645" s="350"/>
      <c r="M645" s="355"/>
      <c r="N645" s="355"/>
      <c r="O645" s="354"/>
      <c r="P645" s="354"/>
      <c r="Q645" s="355"/>
      <c r="R645" s="350"/>
      <c r="S645" s="350"/>
      <c r="T645" s="350"/>
      <c r="U645" s="351"/>
      <c r="V645" s="351"/>
      <c r="W645" s="351"/>
      <c r="X645" s="351"/>
      <c r="Y645" s="351"/>
      <c r="Z645" s="351"/>
    </row>
    <row r="646">
      <c r="A646" s="350"/>
      <c r="B646" s="350"/>
      <c r="C646" s="355"/>
      <c r="D646" s="355"/>
      <c r="E646" s="354"/>
      <c r="F646" s="354"/>
      <c r="G646" s="355"/>
      <c r="H646" s="350"/>
      <c r="I646" s="350"/>
      <c r="J646" s="350"/>
      <c r="K646" s="350"/>
      <c r="L646" s="350"/>
      <c r="M646" s="355"/>
      <c r="N646" s="355"/>
      <c r="O646" s="354"/>
      <c r="P646" s="354"/>
      <c r="Q646" s="355"/>
      <c r="R646" s="350"/>
      <c r="S646" s="350"/>
      <c r="T646" s="350"/>
      <c r="U646" s="351"/>
      <c r="V646" s="351"/>
      <c r="W646" s="351"/>
      <c r="X646" s="351"/>
      <c r="Y646" s="351"/>
      <c r="Z646" s="351"/>
    </row>
    <row r="647">
      <c r="A647" s="350"/>
      <c r="B647" s="350"/>
      <c r="C647" s="355"/>
      <c r="D647" s="355"/>
      <c r="E647" s="354"/>
      <c r="F647" s="354"/>
      <c r="G647" s="355"/>
      <c r="H647" s="350"/>
      <c r="I647" s="350"/>
      <c r="J647" s="350"/>
      <c r="K647" s="350"/>
      <c r="L647" s="350"/>
      <c r="M647" s="355"/>
      <c r="N647" s="355"/>
      <c r="O647" s="354"/>
      <c r="P647" s="354"/>
      <c r="Q647" s="355"/>
      <c r="R647" s="350"/>
      <c r="S647" s="350"/>
      <c r="T647" s="350"/>
      <c r="U647" s="351"/>
      <c r="V647" s="351"/>
      <c r="W647" s="351"/>
      <c r="X647" s="351"/>
      <c r="Y647" s="351"/>
      <c r="Z647" s="351"/>
    </row>
    <row r="648">
      <c r="A648" s="350"/>
      <c r="B648" s="350"/>
      <c r="C648" s="355"/>
      <c r="D648" s="355"/>
      <c r="E648" s="354"/>
      <c r="F648" s="354"/>
      <c r="G648" s="355"/>
      <c r="H648" s="350"/>
      <c r="I648" s="350"/>
      <c r="J648" s="350"/>
      <c r="K648" s="350"/>
      <c r="L648" s="350"/>
      <c r="M648" s="355"/>
      <c r="N648" s="355"/>
      <c r="O648" s="354"/>
      <c r="P648" s="354"/>
      <c r="Q648" s="355"/>
      <c r="R648" s="350"/>
      <c r="S648" s="350"/>
      <c r="T648" s="350"/>
      <c r="U648" s="351"/>
      <c r="V648" s="351"/>
      <c r="W648" s="351"/>
      <c r="X648" s="351"/>
      <c r="Y648" s="351"/>
      <c r="Z648" s="351"/>
    </row>
    <row r="649">
      <c r="A649" s="350"/>
      <c r="B649" s="350"/>
      <c r="C649" s="355"/>
      <c r="D649" s="355"/>
      <c r="E649" s="354"/>
      <c r="F649" s="354"/>
      <c r="G649" s="355"/>
      <c r="H649" s="350"/>
      <c r="I649" s="350"/>
      <c r="J649" s="350"/>
      <c r="K649" s="350"/>
      <c r="L649" s="350"/>
      <c r="M649" s="355"/>
      <c r="N649" s="355"/>
      <c r="O649" s="354"/>
      <c r="P649" s="354"/>
      <c r="Q649" s="355"/>
      <c r="R649" s="350"/>
      <c r="S649" s="350"/>
      <c r="T649" s="350"/>
      <c r="U649" s="351"/>
      <c r="V649" s="351"/>
      <c r="W649" s="351"/>
      <c r="X649" s="351"/>
      <c r="Y649" s="351"/>
      <c r="Z649" s="351"/>
    </row>
    <row r="650">
      <c r="A650" s="350"/>
      <c r="B650" s="350"/>
      <c r="C650" s="355"/>
      <c r="D650" s="355"/>
      <c r="E650" s="354"/>
      <c r="F650" s="354"/>
      <c r="G650" s="355"/>
      <c r="H650" s="350"/>
      <c r="I650" s="350"/>
      <c r="J650" s="350"/>
      <c r="K650" s="350"/>
      <c r="L650" s="350"/>
      <c r="M650" s="355"/>
      <c r="N650" s="355"/>
      <c r="O650" s="354"/>
      <c r="P650" s="354"/>
      <c r="Q650" s="355"/>
      <c r="R650" s="350"/>
      <c r="S650" s="350"/>
      <c r="T650" s="350"/>
      <c r="U650" s="351"/>
      <c r="V650" s="351"/>
      <c r="W650" s="351"/>
      <c r="X650" s="351"/>
      <c r="Y650" s="351"/>
      <c r="Z650" s="351"/>
    </row>
    <row r="651">
      <c r="A651" s="350"/>
      <c r="B651" s="350"/>
      <c r="C651" s="355"/>
      <c r="D651" s="355"/>
      <c r="E651" s="354"/>
      <c r="F651" s="354"/>
      <c r="G651" s="355"/>
      <c r="H651" s="350"/>
      <c r="I651" s="350"/>
      <c r="J651" s="350"/>
      <c r="K651" s="350"/>
      <c r="L651" s="350"/>
      <c r="M651" s="355"/>
      <c r="N651" s="355"/>
      <c r="O651" s="354"/>
      <c r="P651" s="354"/>
      <c r="Q651" s="355"/>
      <c r="R651" s="350"/>
      <c r="S651" s="350"/>
      <c r="T651" s="350"/>
      <c r="U651" s="351"/>
      <c r="V651" s="351"/>
      <c r="W651" s="351"/>
      <c r="X651" s="351"/>
      <c r="Y651" s="351"/>
      <c r="Z651" s="351"/>
    </row>
    <row r="652">
      <c r="A652" s="350"/>
      <c r="B652" s="350"/>
      <c r="C652" s="355"/>
      <c r="D652" s="355"/>
      <c r="E652" s="354"/>
      <c r="F652" s="354"/>
      <c r="G652" s="355"/>
      <c r="H652" s="350"/>
      <c r="I652" s="350"/>
      <c r="J652" s="350"/>
      <c r="K652" s="350"/>
      <c r="L652" s="350"/>
      <c r="M652" s="355"/>
      <c r="N652" s="355"/>
      <c r="O652" s="354"/>
      <c r="P652" s="354"/>
      <c r="Q652" s="355"/>
      <c r="R652" s="350"/>
      <c r="S652" s="350"/>
      <c r="T652" s="350"/>
      <c r="U652" s="351"/>
      <c r="V652" s="351"/>
      <c r="W652" s="351"/>
      <c r="X652" s="351"/>
      <c r="Y652" s="351"/>
      <c r="Z652" s="351"/>
    </row>
    <row r="653">
      <c r="A653" s="350"/>
      <c r="B653" s="350"/>
      <c r="C653" s="355"/>
      <c r="D653" s="355"/>
      <c r="E653" s="354"/>
      <c r="F653" s="354"/>
      <c r="G653" s="355"/>
      <c r="H653" s="350"/>
      <c r="I653" s="350"/>
      <c r="J653" s="350"/>
      <c r="K653" s="350"/>
      <c r="L653" s="350"/>
      <c r="M653" s="355"/>
      <c r="N653" s="355"/>
      <c r="O653" s="354"/>
      <c r="P653" s="354"/>
      <c r="Q653" s="355"/>
      <c r="R653" s="350"/>
      <c r="S653" s="350"/>
      <c r="T653" s="350"/>
      <c r="U653" s="351"/>
      <c r="V653" s="351"/>
      <c r="W653" s="351"/>
      <c r="X653" s="351"/>
      <c r="Y653" s="351"/>
      <c r="Z653" s="351"/>
    </row>
    <row r="654">
      <c r="A654" s="350"/>
      <c r="B654" s="350"/>
      <c r="C654" s="355"/>
      <c r="D654" s="355"/>
      <c r="E654" s="354"/>
      <c r="F654" s="354"/>
      <c r="G654" s="355"/>
      <c r="H654" s="350"/>
      <c r="I654" s="350"/>
      <c r="J654" s="350"/>
      <c r="K654" s="350"/>
      <c r="L654" s="350"/>
      <c r="M654" s="355"/>
      <c r="N654" s="355"/>
      <c r="O654" s="354"/>
      <c r="P654" s="354"/>
      <c r="Q654" s="355"/>
      <c r="R654" s="350"/>
      <c r="S654" s="350"/>
      <c r="T654" s="350"/>
      <c r="U654" s="351"/>
      <c r="V654" s="351"/>
      <c r="W654" s="351"/>
      <c r="X654" s="351"/>
      <c r="Y654" s="351"/>
      <c r="Z654" s="351"/>
    </row>
    <row r="655">
      <c r="A655" s="350"/>
      <c r="B655" s="350"/>
      <c r="C655" s="355"/>
      <c r="D655" s="355"/>
      <c r="E655" s="354"/>
      <c r="F655" s="354"/>
      <c r="G655" s="355"/>
      <c r="H655" s="350"/>
      <c r="I655" s="350"/>
      <c r="J655" s="350"/>
      <c r="K655" s="350"/>
      <c r="L655" s="350"/>
      <c r="M655" s="355"/>
      <c r="N655" s="355"/>
      <c r="O655" s="354"/>
      <c r="P655" s="354"/>
      <c r="Q655" s="355"/>
      <c r="R655" s="350"/>
      <c r="S655" s="350"/>
      <c r="T655" s="350"/>
      <c r="U655" s="351"/>
      <c r="V655" s="351"/>
      <c r="W655" s="351"/>
      <c r="X655" s="351"/>
      <c r="Y655" s="351"/>
      <c r="Z655" s="351"/>
    </row>
    <row r="656">
      <c r="A656" s="350"/>
      <c r="B656" s="350"/>
      <c r="C656" s="355"/>
      <c r="D656" s="355"/>
      <c r="E656" s="354"/>
      <c r="F656" s="354"/>
      <c r="G656" s="355"/>
      <c r="H656" s="350"/>
      <c r="I656" s="350"/>
      <c r="J656" s="350"/>
      <c r="K656" s="350"/>
      <c r="L656" s="350"/>
      <c r="M656" s="355"/>
      <c r="N656" s="355"/>
      <c r="O656" s="354"/>
      <c r="P656" s="354"/>
      <c r="Q656" s="355"/>
      <c r="R656" s="350"/>
      <c r="S656" s="350"/>
      <c r="T656" s="350"/>
      <c r="U656" s="351"/>
      <c r="V656" s="351"/>
      <c r="W656" s="351"/>
      <c r="X656" s="351"/>
      <c r="Y656" s="351"/>
      <c r="Z656" s="351"/>
    </row>
    <row r="657">
      <c r="A657" s="350"/>
      <c r="B657" s="350"/>
      <c r="C657" s="355"/>
      <c r="D657" s="355"/>
      <c r="E657" s="354"/>
      <c r="F657" s="354"/>
      <c r="G657" s="355"/>
      <c r="H657" s="350"/>
      <c r="I657" s="350"/>
      <c r="J657" s="350"/>
      <c r="K657" s="350"/>
      <c r="L657" s="350"/>
      <c r="M657" s="355"/>
      <c r="N657" s="355"/>
      <c r="O657" s="354"/>
      <c r="P657" s="354"/>
      <c r="Q657" s="355"/>
      <c r="R657" s="350"/>
      <c r="S657" s="350"/>
      <c r="T657" s="350"/>
      <c r="U657" s="351"/>
      <c r="V657" s="351"/>
      <c r="W657" s="351"/>
      <c r="X657" s="351"/>
      <c r="Y657" s="351"/>
      <c r="Z657" s="351"/>
    </row>
    <row r="658">
      <c r="A658" s="350"/>
      <c r="B658" s="350"/>
      <c r="C658" s="355"/>
      <c r="D658" s="355"/>
      <c r="E658" s="354"/>
      <c r="F658" s="354"/>
      <c r="G658" s="355"/>
      <c r="H658" s="350"/>
      <c r="I658" s="350"/>
      <c r="J658" s="350"/>
      <c r="K658" s="350"/>
      <c r="L658" s="350"/>
      <c r="M658" s="355"/>
      <c r="N658" s="355"/>
      <c r="O658" s="354"/>
      <c r="P658" s="354"/>
      <c r="Q658" s="355"/>
      <c r="R658" s="350"/>
      <c r="S658" s="350"/>
      <c r="T658" s="350"/>
      <c r="U658" s="351"/>
      <c r="V658" s="351"/>
      <c r="W658" s="351"/>
      <c r="X658" s="351"/>
      <c r="Y658" s="351"/>
      <c r="Z658" s="351"/>
    </row>
    <row r="659">
      <c r="A659" s="350"/>
      <c r="B659" s="350"/>
      <c r="C659" s="355"/>
      <c r="D659" s="355"/>
      <c r="E659" s="354"/>
      <c r="F659" s="354"/>
      <c r="G659" s="355"/>
      <c r="H659" s="350"/>
      <c r="I659" s="350"/>
      <c r="J659" s="350"/>
      <c r="K659" s="350"/>
      <c r="L659" s="350"/>
      <c r="M659" s="355"/>
      <c r="N659" s="355"/>
      <c r="O659" s="354"/>
      <c r="P659" s="354"/>
      <c r="Q659" s="355"/>
      <c r="R659" s="350"/>
      <c r="S659" s="350"/>
      <c r="T659" s="350"/>
      <c r="U659" s="351"/>
      <c r="V659" s="351"/>
      <c r="W659" s="351"/>
      <c r="X659" s="351"/>
      <c r="Y659" s="351"/>
      <c r="Z659" s="351"/>
    </row>
    <row r="660">
      <c r="A660" s="350"/>
      <c r="B660" s="350"/>
      <c r="C660" s="355"/>
      <c r="D660" s="355"/>
      <c r="E660" s="354"/>
      <c r="F660" s="354"/>
      <c r="G660" s="355"/>
      <c r="H660" s="350"/>
      <c r="I660" s="350"/>
      <c r="J660" s="350"/>
      <c r="K660" s="350"/>
      <c r="L660" s="350"/>
      <c r="M660" s="355"/>
      <c r="N660" s="355"/>
      <c r="O660" s="354"/>
      <c r="P660" s="354"/>
      <c r="Q660" s="355"/>
      <c r="R660" s="350"/>
      <c r="S660" s="350"/>
      <c r="T660" s="350"/>
      <c r="U660" s="351"/>
      <c r="V660" s="351"/>
      <c r="W660" s="351"/>
      <c r="X660" s="351"/>
      <c r="Y660" s="351"/>
      <c r="Z660" s="351"/>
    </row>
    <row r="661">
      <c r="A661" s="350"/>
      <c r="B661" s="350"/>
      <c r="C661" s="355"/>
      <c r="D661" s="355"/>
      <c r="E661" s="354"/>
      <c r="F661" s="354"/>
      <c r="G661" s="355"/>
      <c r="H661" s="350"/>
      <c r="I661" s="350"/>
      <c r="J661" s="350"/>
      <c r="K661" s="350"/>
      <c r="L661" s="350"/>
      <c r="M661" s="355"/>
      <c r="N661" s="355"/>
      <c r="O661" s="354"/>
      <c r="P661" s="354"/>
      <c r="Q661" s="355"/>
      <c r="R661" s="350"/>
      <c r="S661" s="350"/>
      <c r="T661" s="350"/>
      <c r="U661" s="351"/>
      <c r="V661" s="351"/>
      <c r="W661" s="351"/>
      <c r="X661" s="351"/>
      <c r="Y661" s="351"/>
      <c r="Z661" s="351"/>
    </row>
    <row r="662">
      <c r="A662" s="350"/>
      <c r="B662" s="350"/>
      <c r="C662" s="355"/>
      <c r="D662" s="355"/>
      <c r="E662" s="354"/>
      <c r="F662" s="354"/>
      <c r="G662" s="355"/>
      <c r="H662" s="350"/>
      <c r="I662" s="350"/>
      <c r="J662" s="350"/>
      <c r="K662" s="350"/>
      <c r="L662" s="350"/>
      <c r="M662" s="355"/>
      <c r="N662" s="355"/>
      <c r="O662" s="354"/>
      <c r="P662" s="354"/>
      <c r="Q662" s="355"/>
      <c r="R662" s="350"/>
      <c r="S662" s="350"/>
      <c r="T662" s="350"/>
      <c r="U662" s="351"/>
      <c r="V662" s="351"/>
      <c r="W662" s="351"/>
      <c r="X662" s="351"/>
      <c r="Y662" s="351"/>
      <c r="Z662" s="351"/>
    </row>
    <row r="663">
      <c r="A663" s="350"/>
      <c r="B663" s="350"/>
      <c r="C663" s="355"/>
      <c r="D663" s="355"/>
      <c r="E663" s="354"/>
      <c r="F663" s="354"/>
      <c r="G663" s="355"/>
      <c r="H663" s="350"/>
      <c r="I663" s="350"/>
      <c r="J663" s="350"/>
      <c r="K663" s="350"/>
      <c r="L663" s="350"/>
      <c r="M663" s="355"/>
      <c r="N663" s="355"/>
      <c r="O663" s="354"/>
      <c r="P663" s="354"/>
      <c r="Q663" s="355"/>
      <c r="R663" s="350"/>
      <c r="S663" s="350"/>
      <c r="T663" s="350"/>
      <c r="U663" s="351"/>
      <c r="V663" s="351"/>
      <c r="W663" s="351"/>
      <c r="X663" s="351"/>
      <c r="Y663" s="351"/>
      <c r="Z663" s="351"/>
    </row>
    <row r="664">
      <c r="A664" s="350"/>
      <c r="B664" s="350"/>
      <c r="C664" s="355"/>
      <c r="D664" s="355"/>
      <c r="E664" s="354"/>
      <c r="F664" s="354"/>
      <c r="G664" s="355"/>
      <c r="H664" s="350"/>
      <c r="I664" s="350"/>
      <c r="J664" s="350"/>
      <c r="K664" s="350"/>
      <c r="L664" s="350"/>
      <c r="M664" s="355"/>
      <c r="N664" s="355"/>
      <c r="O664" s="354"/>
      <c r="P664" s="354"/>
      <c r="Q664" s="355"/>
      <c r="R664" s="350"/>
      <c r="S664" s="350"/>
      <c r="T664" s="350"/>
      <c r="U664" s="351"/>
      <c r="V664" s="351"/>
      <c r="W664" s="351"/>
      <c r="X664" s="351"/>
      <c r="Y664" s="351"/>
      <c r="Z664" s="351"/>
    </row>
    <row r="665">
      <c r="A665" s="350"/>
      <c r="B665" s="350"/>
      <c r="C665" s="355"/>
      <c r="D665" s="355"/>
      <c r="E665" s="354"/>
      <c r="F665" s="354"/>
      <c r="G665" s="355"/>
      <c r="H665" s="350"/>
      <c r="I665" s="350"/>
      <c r="J665" s="350"/>
      <c r="K665" s="350"/>
      <c r="L665" s="350"/>
      <c r="M665" s="355"/>
      <c r="N665" s="355"/>
      <c r="O665" s="354"/>
      <c r="P665" s="354"/>
      <c r="Q665" s="355"/>
      <c r="R665" s="350"/>
      <c r="S665" s="350"/>
      <c r="T665" s="350"/>
      <c r="U665" s="351"/>
      <c r="V665" s="351"/>
      <c r="W665" s="351"/>
      <c r="X665" s="351"/>
      <c r="Y665" s="351"/>
      <c r="Z665" s="351"/>
    </row>
    <row r="666">
      <c r="A666" s="350"/>
      <c r="B666" s="350"/>
      <c r="C666" s="355"/>
      <c r="D666" s="355"/>
      <c r="E666" s="354"/>
      <c r="F666" s="354"/>
      <c r="G666" s="355"/>
      <c r="H666" s="350"/>
      <c r="I666" s="350"/>
      <c r="J666" s="350"/>
      <c r="K666" s="350"/>
      <c r="L666" s="350"/>
      <c r="M666" s="355"/>
      <c r="N666" s="355"/>
      <c r="O666" s="354"/>
      <c r="P666" s="354"/>
      <c r="Q666" s="355"/>
      <c r="R666" s="350"/>
      <c r="S666" s="350"/>
      <c r="T666" s="350"/>
      <c r="U666" s="351"/>
      <c r="V666" s="351"/>
      <c r="W666" s="351"/>
      <c r="X666" s="351"/>
      <c r="Y666" s="351"/>
      <c r="Z666" s="351"/>
    </row>
    <row r="667">
      <c r="A667" s="350"/>
      <c r="B667" s="350"/>
      <c r="C667" s="355"/>
      <c r="D667" s="355"/>
      <c r="E667" s="354"/>
      <c r="F667" s="354"/>
      <c r="G667" s="355"/>
      <c r="H667" s="350"/>
      <c r="I667" s="350"/>
      <c r="J667" s="350"/>
      <c r="K667" s="350"/>
      <c r="L667" s="350"/>
      <c r="M667" s="355"/>
      <c r="N667" s="355"/>
      <c r="O667" s="354"/>
      <c r="P667" s="354"/>
      <c r="Q667" s="355"/>
      <c r="R667" s="350"/>
      <c r="S667" s="350"/>
      <c r="T667" s="350"/>
      <c r="U667" s="351"/>
      <c r="V667" s="351"/>
      <c r="W667" s="351"/>
      <c r="X667" s="351"/>
      <c r="Y667" s="351"/>
      <c r="Z667" s="351"/>
    </row>
    <row r="668">
      <c r="A668" s="350"/>
      <c r="B668" s="350"/>
      <c r="C668" s="355"/>
      <c r="D668" s="355"/>
      <c r="E668" s="354"/>
      <c r="F668" s="354"/>
      <c r="G668" s="355"/>
      <c r="H668" s="350"/>
      <c r="I668" s="350"/>
      <c r="J668" s="350"/>
      <c r="K668" s="350"/>
      <c r="L668" s="350"/>
      <c r="M668" s="355"/>
      <c r="N668" s="355"/>
      <c r="O668" s="354"/>
      <c r="P668" s="354"/>
      <c r="Q668" s="355"/>
      <c r="R668" s="350"/>
      <c r="S668" s="350"/>
      <c r="T668" s="350"/>
      <c r="U668" s="351"/>
      <c r="V668" s="351"/>
      <c r="W668" s="351"/>
      <c r="X668" s="351"/>
      <c r="Y668" s="351"/>
      <c r="Z668" s="351"/>
    </row>
    <row r="669">
      <c r="A669" s="350"/>
      <c r="B669" s="350"/>
      <c r="C669" s="355"/>
      <c r="D669" s="355"/>
      <c r="E669" s="354"/>
      <c r="F669" s="354"/>
      <c r="G669" s="355"/>
      <c r="H669" s="350"/>
      <c r="I669" s="350"/>
      <c r="J669" s="350"/>
      <c r="K669" s="350"/>
      <c r="L669" s="350"/>
      <c r="M669" s="355"/>
      <c r="N669" s="355"/>
      <c r="O669" s="354"/>
      <c r="P669" s="354"/>
      <c r="Q669" s="355"/>
      <c r="R669" s="350"/>
      <c r="S669" s="350"/>
      <c r="T669" s="350"/>
      <c r="U669" s="351"/>
      <c r="V669" s="351"/>
      <c r="W669" s="351"/>
      <c r="X669" s="351"/>
      <c r="Y669" s="351"/>
      <c r="Z669" s="351"/>
    </row>
    <row r="670">
      <c r="A670" s="350"/>
      <c r="B670" s="350"/>
      <c r="C670" s="355"/>
      <c r="D670" s="355"/>
      <c r="E670" s="354"/>
      <c r="F670" s="354"/>
      <c r="G670" s="355"/>
      <c r="H670" s="350"/>
      <c r="I670" s="350"/>
      <c r="J670" s="350"/>
      <c r="K670" s="350"/>
      <c r="L670" s="350"/>
      <c r="M670" s="355"/>
      <c r="N670" s="355"/>
      <c r="O670" s="354"/>
      <c r="P670" s="354"/>
      <c r="Q670" s="355"/>
      <c r="R670" s="350"/>
      <c r="S670" s="350"/>
      <c r="T670" s="350"/>
      <c r="U670" s="351"/>
      <c r="V670" s="351"/>
      <c r="W670" s="351"/>
      <c r="X670" s="351"/>
      <c r="Y670" s="351"/>
      <c r="Z670" s="351"/>
    </row>
    <row r="671">
      <c r="A671" s="350"/>
      <c r="B671" s="350"/>
      <c r="C671" s="355"/>
      <c r="D671" s="355"/>
      <c r="E671" s="354"/>
      <c r="F671" s="354"/>
      <c r="G671" s="355"/>
      <c r="H671" s="350"/>
      <c r="I671" s="350"/>
      <c r="J671" s="350"/>
      <c r="K671" s="350"/>
      <c r="L671" s="350"/>
      <c r="M671" s="355"/>
      <c r="N671" s="355"/>
      <c r="O671" s="354"/>
      <c r="P671" s="354"/>
      <c r="Q671" s="355"/>
      <c r="R671" s="350"/>
      <c r="S671" s="350"/>
      <c r="T671" s="350"/>
      <c r="U671" s="351"/>
      <c r="V671" s="351"/>
      <c r="W671" s="351"/>
      <c r="X671" s="351"/>
      <c r="Y671" s="351"/>
      <c r="Z671" s="351"/>
    </row>
    <row r="672">
      <c r="A672" s="350"/>
      <c r="B672" s="350"/>
      <c r="C672" s="355"/>
      <c r="D672" s="355"/>
      <c r="E672" s="354"/>
      <c r="F672" s="354"/>
      <c r="G672" s="355"/>
      <c r="H672" s="350"/>
      <c r="I672" s="350"/>
      <c r="J672" s="350"/>
      <c r="K672" s="350"/>
      <c r="L672" s="350"/>
      <c r="M672" s="355"/>
      <c r="N672" s="355"/>
      <c r="O672" s="354"/>
      <c r="P672" s="354"/>
      <c r="Q672" s="355"/>
      <c r="R672" s="350"/>
      <c r="S672" s="350"/>
      <c r="T672" s="350"/>
      <c r="U672" s="351"/>
      <c r="V672" s="351"/>
      <c r="W672" s="351"/>
      <c r="X672" s="351"/>
      <c r="Y672" s="351"/>
      <c r="Z672" s="351"/>
    </row>
    <row r="673">
      <c r="A673" s="350"/>
      <c r="B673" s="350"/>
      <c r="C673" s="355"/>
      <c r="D673" s="355"/>
      <c r="E673" s="354"/>
      <c r="F673" s="354"/>
      <c r="G673" s="355"/>
      <c r="H673" s="350"/>
      <c r="I673" s="350"/>
      <c r="J673" s="350"/>
      <c r="K673" s="350"/>
      <c r="L673" s="350"/>
      <c r="M673" s="355"/>
      <c r="N673" s="355"/>
      <c r="O673" s="354"/>
      <c r="P673" s="354"/>
      <c r="Q673" s="355"/>
      <c r="R673" s="350"/>
      <c r="S673" s="350"/>
      <c r="T673" s="350"/>
      <c r="U673" s="351"/>
      <c r="V673" s="351"/>
      <c r="W673" s="351"/>
      <c r="X673" s="351"/>
      <c r="Y673" s="351"/>
      <c r="Z673" s="351"/>
    </row>
    <row r="674">
      <c r="A674" s="350"/>
      <c r="B674" s="350"/>
      <c r="C674" s="355"/>
      <c r="D674" s="355"/>
      <c r="E674" s="354"/>
      <c r="F674" s="354"/>
      <c r="G674" s="355"/>
      <c r="H674" s="350"/>
      <c r="I674" s="350"/>
      <c r="J674" s="350"/>
      <c r="K674" s="350"/>
      <c r="L674" s="350"/>
      <c r="M674" s="355"/>
      <c r="N674" s="355"/>
      <c r="O674" s="354"/>
      <c r="P674" s="354"/>
      <c r="Q674" s="355"/>
      <c r="R674" s="350"/>
      <c r="S674" s="350"/>
      <c r="T674" s="350"/>
      <c r="U674" s="351"/>
      <c r="V674" s="351"/>
      <c r="W674" s="351"/>
      <c r="X674" s="351"/>
      <c r="Y674" s="351"/>
      <c r="Z674" s="351"/>
    </row>
    <row r="675">
      <c r="A675" s="350"/>
      <c r="B675" s="350"/>
      <c r="C675" s="355"/>
      <c r="D675" s="355"/>
      <c r="E675" s="354"/>
      <c r="F675" s="354"/>
      <c r="G675" s="355"/>
      <c r="H675" s="350"/>
      <c r="I675" s="350"/>
      <c r="J675" s="350"/>
      <c r="K675" s="350"/>
      <c r="L675" s="350"/>
      <c r="M675" s="355"/>
      <c r="N675" s="355"/>
      <c r="O675" s="354"/>
      <c r="P675" s="354"/>
      <c r="Q675" s="355"/>
      <c r="R675" s="350"/>
      <c r="S675" s="350"/>
      <c r="T675" s="350"/>
      <c r="U675" s="351"/>
      <c r="V675" s="351"/>
      <c r="W675" s="351"/>
      <c r="X675" s="351"/>
      <c r="Y675" s="351"/>
      <c r="Z675" s="351"/>
    </row>
    <row r="676">
      <c r="A676" s="350"/>
      <c r="B676" s="350"/>
      <c r="C676" s="355"/>
      <c r="D676" s="355"/>
      <c r="E676" s="354"/>
      <c r="F676" s="354"/>
      <c r="G676" s="355"/>
      <c r="H676" s="350"/>
      <c r="I676" s="350"/>
      <c r="J676" s="350"/>
      <c r="K676" s="350"/>
      <c r="L676" s="350"/>
      <c r="M676" s="355"/>
      <c r="N676" s="355"/>
      <c r="O676" s="354"/>
      <c r="P676" s="354"/>
      <c r="Q676" s="355"/>
      <c r="R676" s="350"/>
      <c r="S676" s="350"/>
      <c r="T676" s="350"/>
      <c r="U676" s="351"/>
      <c r="V676" s="351"/>
      <c r="W676" s="351"/>
      <c r="X676" s="351"/>
      <c r="Y676" s="351"/>
      <c r="Z676" s="351"/>
    </row>
    <row r="677">
      <c r="A677" s="350"/>
      <c r="B677" s="350"/>
      <c r="C677" s="355"/>
      <c r="D677" s="355"/>
      <c r="E677" s="354"/>
      <c r="F677" s="354"/>
      <c r="G677" s="355"/>
      <c r="H677" s="350"/>
      <c r="I677" s="350"/>
      <c r="J677" s="350"/>
      <c r="K677" s="350"/>
      <c r="L677" s="350"/>
      <c r="M677" s="355"/>
      <c r="N677" s="355"/>
      <c r="O677" s="354"/>
      <c r="P677" s="354"/>
      <c r="Q677" s="355"/>
      <c r="R677" s="350"/>
      <c r="S677" s="350"/>
      <c r="T677" s="350"/>
      <c r="U677" s="351"/>
      <c r="V677" s="351"/>
      <c r="W677" s="351"/>
      <c r="X677" s="351"/>
      <c r="Y677" s="351"/>
      <c r="Z677" s="351"/>
    </row>
    <row r="678">
      <c r="A678" s="350"/>
      <c r="B678" s="350"/>
      <c r="C678" s="355"/>
      <c r="D678" s="355"/>
      <c r="E678" s="354"/>
      <c r="F678" s="354"/>
      <c r="G678" s="355"/>
      <c r="H678" s="350"/>
      <c r="I678" s="350"/>
      <c r="J678" s="350"/>
      <c r="K678" s="350"/>
      <c r="L678" s="350"/>
      <c r="M678" s="355"/>
      <c r="N678" s="355"/>
      <c r="O678" s="354"/>
      <c r="P678" s="354"/>
      <c r="Q678" s="355"/>
      <c r="R678" s="350"/>
      <c r="S678" s="350"/>
      <c r="T678" s="350"/>
      <c r="U678" s="351"/>
      <c r="V678" s="351"/>
      <c r="W678" s="351"/>
      <c r="X678" s="351"/>
      <c r="Y678" s="351"/>
      <c r="Z678" s="351"/>
    </row>
    <row r="679">
      <c r="A679" s="350"/>
      <c r="B679" s="350"/>
      <c r="C679" s="355"/>
      <c r="D679" s="355"/>
      <c r="E679" s="354"/>
      <c r="F679" s="354"/>
      <c r="G679" s="355"/>
      <c r="H679" s="350"/>
      <c r="I679" s="350"/>
      <c r="J679" s="350"/>
      <c r="K679" s="350"/>
      <c r="L679" s="350"/>
      <c r="M679" s="355"/>
      <c r="N679" s="355"/>
      <c r="O679" s="354"/>
      <c r="P679" s="354"/>
      <c r="Q679" s="355"/>
      <c r="R679" s="350"/>
      <c r="S679" s="350"/>
      <c r="T679" s="350"/>
      <c r="U679" s="351"/>
      <c r="V679" s="351"/>
      <c r="W679" s="351"/>
      <c r="X679" s="351"/>
      <c r="Y679" s="351"/>
      <c r="Z679" s="351"/>
    </row>
    <row r="680">
      <c r="A680" s="350"/>
      <c r="B680" s="350"/>
      <c r="C680" s="355"/>
      <c r="D680" s="355"/>
      <c r="E680" s="354"/>
      <c r="F680" s="354"/>
      <c r="G680" s="355"/>
      <c r="H680" s="350"/>
      <c r="I680" s="350"/>
      <c r="J680" s="350"/>
      <c r="K680" s="350"/>
      <c r="L680" s="350"/>
      <c r="M680" s="355"/>
      <c r="N680" s="355"/>
      <c r="O680" s="354"/>
      <c r="P680" s="354"/>
      <c r="Q680" s="355"/>
      <c r="R680" s="350"/>
      <c r="S680" s="350"/>
      <c r="T680" s="350"/>
      <c r="U680" s="351"/>
      <c r="V680" s="351"/>
      <c r="W680" s="351"/>
      <c r="X680" s="351"/>
      <c r="Y680" s="351"/>
      <c r="Z680" s="351"/>
    </row>
    <row r="681">
      <c r="A681" s="350"/>
      <c r="B681" s="350"/>
      <c r="C681" s="355"/>
      <c r="D681" s="355"/>
      <c r="E681" s="354"/>
      <c r="F681" s="354"/>
      <c r="G681" s="355"/>
      <c r="H681" s="350"/>
      <c r="I681" s="350"/>
      <c r="J681" s="350"/>
      <c r="K681" s="350"/>
      <c r="L681" s="350"/>
      <c r="M681" s="355"/>
      <c r="N681" s="355"/>
      <c r="O681" s="354"/>
      <c r="P681" s="354"/>
      <c r="Q681" s="355"/>
      <c r="R681" s="350"/>
      <c r="S681" s="350"/>
      <c r="T681" s="350"/>
      <c r="U681" s="351"/>
      <c r="V681" s="351"/>
      <c r="W681" s="351"/>
      <c r="X681" s="351"/>
      <c r="Y681" s="351"/>
      <c r="Z681" s="351"/>
    </row>
    <row r="682">
      <c r="A682" s="350"/>
      <c r="B682" s="350"/>
      <c r="C682" s="355"/>
      <c r="D682" s="355"/>
      <c r="E682" s="354"/>
      <c r="F682" s="354"/>
      <c r="G682" s="355"/>
      <c r="H682" s="350"/>
      <c r="I682" s="350"/>
      <c r="J682" s="350"/>
      <c r="K682" s="350"/>
      <c r="L682" s="350"/>
      <c r="M682" s="355"/>
      <c r="N682" s="355"/>
      <c r="O682" s="354"/>
      <c r="P682" s="354"/>
      <c r="Q682" s="355"/>
      <c r="R682" s="350"/>
      <c r="S682" s="350"/>
      <c r="T682" s="350"/>
      <c r="U682" s="351"/>
      <c r="V682" s="351"/>
      <c r="W682" s="351"/>
      <c r="X682" s="351"/>
      <c r="Y682" s="351"/>
      <c r="Z682" s="351"/>
    </row>
    <row r="683">
      <c r="A683" s="350"/>
      <c r="B683" s="350"/>
      <c r="C683" s="355"/>
      <c r="D683" s="355"/>
      <c r="E683" s="354"/>
      <c r="F683" s="354"/>
      <c r="G683" s="355"/>
      <c r="H683" s="350"/>
      <c r="I683" s="350"/>
      <c r="J683" s="350"/>
      <c r="K683" s="350"/>
      <c r="L683" s="350"/>
      <c r="M683" s="355"/>
      <c r="N683" s="355"/>
      <c r="O683" s="354"/>
      <c r="P683" s="354"/>
      <c r="Q683" s="355"/>
      <c r="R683" s="350"/>
      <c r="S683" s="350"/>
      <c r="T683" s="350"/>
      <c r="U683" s="351"/>
      <c r="V683" s="351"/>
      <c r="W683" s="351"/>
      <c r="X683" s="351"/>
      <c r="Y683" s="351"/>
      <c r="Z683" s="351"/>
    </row>
    <row r="684">
      <c r="A684" s="350"/>
      <c r="B684" s="350"/>
      <c r="C684" s="355"/>
      <c r="D684" s="355"/>
      <c r="E684" s="354"/>
      <c r="F684" s="354"/>
      <c r="G684" s="355"/>
      <c r="H684" s="350"/>
      <c r="I684" s="350"/>
      <c r="J684" s="350"/>
      <c r="K684" s="350"/>
      <c r="L684" s="350"/>
      <c r="M684" s="355"/>
      <c r="N684" s="355"/>
      <c r="O684" s="354"/>
      <c r="P684" s="354"/>
      <c r="Q684" s="355"/>
      <c r="R684" s="350"/>
      <c r="S684" s="350"/>
      <c r="T684" s="350"/>
      <c r="U684" s="351"/>
      <c r="V684" s="351"/>
      <c r="W684" s="351"/>
      <c r="X684" s="351"/>
      <c r="Y684" s="351"/>
      <c r="Z684" s="351"/>
    </row>
    <row r="685">
      <c r="A685" s="350"/>
      <c r="B685" s="350"/>
      <c r="C685" s="355"/>
      <c r="D685" s="355"/>
      <c r="E685" s="354"/>
      <c r="F685" s="354"/>
      <c r="G685" s="355"/>
      <c r="H685" s="350"/>
      <c r="I685" s="350"/>
      <c r="J685" s="350"/>
      <c r="K685" s="350"/>
      <c r="L685" s="350"/>
      <c r="M685" s="355"/>
      <c r="N685" s="355"/>
      <c r="O685" s="354"/>
      <c r="P685" s="354"/>
      <c r="Q685" s="355"/>
      <c r="R685" s="350"/>
      <c r="S685" s="350"/>
      <c r="T685" s="350"/>
      <c r="U685" s="351"/>
      <c r="V685" s="351"/>
      <c r="W685" s="351"/>
      <c r="X685" s="351"/>
      <c r="Y685" s="351"/>
      <c r="Z685" s="351"/>
    </row>
    <row r="686">
      <c r="A686" s="350"/>
      <c r="B686" s="350"/>
      <c r="C686" s="355"/>
      <c r="D686" s="355"/>
      <c r="E686" s="354"/>
      <c r="F686" s="354"/>
      <c r="G686" s="355"/>
      <c r="H686" s="350"/>
      <c r="I686" s="350"/>
      <c r="J686" s="350"/>
      <c r="K686" s="350"/>
      <c r="L686" s="350"/>
      <c r="M686" s="355"/>
      <c r="N686" s="355"/>
      <c r="O686" s="354"/>
      <c r="P686" s="354"/>
      <c r="Q686" s="355"/>
      <c r="R686" s="350"/>
      <c r="S686" s="350"/>
      <c r="T686" s="350"/>
      <c r="U686" s="351"/>
      <c r="V686" s="351"/>
      <c r="W686" s="351"/>
      <c r="X686" s="351"/>
      <c r="Y686" s="351"/>
      <c r="Z686" s="351"/>
    </row>
    <row r="687">
      <c r="A687" s="350"/>
      <c r="B687" s="350"/>
      <c r="C687" s="355"/>
      <c r="D687" s="355"/>
      <c r="E687" s="354"/>
      <c r="F687" s="354"/>
      <c r="G687" s="355"/>
      <c r="H687" s="350"/>
      <c r="I687" s="350"/>
      <c r="J687" s="350"/>
      <c r="K687" s="350"/>
      <c r="L687" s="350"/>
      <c r="M687" s="355"/>
      <c r="N687" s="355"/>
      <c r="O687" s="354"/>
      <c r="P687" s="354"/>
      <c r="Q687" s="355"/>
      <c r="R687" s="350"/>
      <c r="S687" s="350"/>
      <c r="T687" s="350"/>
      <c r="U687" s="351"/>
      <c r="V687" s="351"/>
      <c r="W687" s="351"/>
      <c r="X687" s="351"/>
      <c r="Y687" s="351"/>
      <c r="Z687" s="351"/>
    </row>
    <row r="688">
      <c r="A688" s="350"/>
      <c r="B688" s="350"/>
      <c r="C688" s="355"/>
      <c r="D688" s="355"/>
      <c r="E688" s="354"/>
      <c r="F688" s="354"/>
      <c r="G688" s="355"/>
      <c r="H688" s="350"/>
      <c r="I688" s="350"/>
      <c r="J688" s="350"/>
      <c r="K688" s="350"/>
      <c r="L688" s="350"/>
      <c r="M688" s="355"/>
      <c r="N688" s="355"/>
      <c r="O688" s="354"/>
      <c r="P688" s="354"/>
      <c r="Q688" s="355"/>
      <c r="R688" s="350"/>
      <c r="S688" s="350"/>
      <c r="T688" s="350"/>
      <c r="U688" s="351"/>
      <c r="V688" s="351"/>
      <c r="W688" s="351"/>
      <c r="X688" s="351"/>
      <c r="Y688" s="351"/>
      <c r="Z688" s="351"/>
    </row>
    <row r="689">
      <c r="A689" s="350"/>
      <c r="B689" s="350"/>
      <c r="C689" s="355"/>
      <c r="D689" s="355"/>
      <c r="E689" s="354"/>
      <c r="F689" s="354"/>
      <c r="G689" s="355"/>
      <c r="H689" s="350"/>
      <c r="I689" s="350"/>
      <c r="J689" s="350"/>
      <c r="K689" s="350"/>
      <c r="L689" s="350"/>
      <c r="M689" s="355"/>
      <c r="N689" s="355"/>
      <c r="O689" s="354"/>
      <c r="P689" s="354"/>
      <c r="Q689" s="355"/>
      <c r="R689" s="350"/>
      <c r="S689" s="350"/>
      <c r="T689" s="350"/>
      <c r="U689" s="351"/>
      <c r="V689" s="351"/>
      <c r="W689" s="351"/>
      <c r="X689" s="351"/>
      <c r="Y689" s="351"/>
      <c r="Z689" s="351"/>
    </row>
    <row r="690">
      <c r="A690" s="350"/>
      <c r="B690" s="350"/>
      <c r="C690" s="355"/>
      <c r="D690" s="355"/>
      <c r="E690" s="354"/>
      <c r="F690" s="354"/>
      <c r="G690" s="355"/>
      <c r="H690" s="350"/>
      <c r="I690" s="350"/>
      <c r="J690" s="350"/>
      <c r="K690" s="350"/>
      <c r="L690" s="350"/>
      <c r="M690" s="355"/>
      <c r="N690" s="355"/>
      <c r="O690" s="354"/>
      <c r="P690" s="354"/>
      <c r="Q690" s="355"/>
      <c r="R690" s="350"/>
      <c r="S690" s="350"/>
      <c r="T690" s="350"/>
      <c r="U690" s="351"/>
      <c r="V690" s="351"/>
      <c r="W690" s="351"/>
      <c r="X690" s="351"/>
      <c r="Y690" s="351"/>
      <c r="Z690" s="351"/>
    </row>
    <row r="691">
      <c r="A691" s="350"/>
      <c r="B691" s="350"/>
      <c r="C691" s="355"/>
      <c r="D691" s="355"/>
      <c r="E691" s="354"/>
      <c r="F691" s="354"/>
      <c r="G691" s="355"/>
      <c r="H691" s="350"/>
      <c r="I691" s="350"/>
      <c r="J691" s="350"/>
      <c r="K691" s="350"/>
      <c r="L691" s="350"/>
      <c r="M691" s="355"/>
      <c r="N691" s="355"/>
      <c r="O691" s="354"/>
      <c r="P691" s="354"/>
      <c r="Q691" s="355"/>
      <c r="R691" s="350"/>
      <c r="S691" s="350"/>
      <c r="T691" s="350"/>
      <c r="U691" s="351"/>
      <c r="V691" s="351"/>
      <c r="W691" s="351"/>
      <c r="X691" s="351"/>
      <c r="Y691" s="351"/>
      <c r="Z691" s="351"/>
    </row>
    <row r="692">
      <c r="A692" s="350"/>
      <c r="B692" s="350"/>
      <c r="C692" s="355"/>
      <c r="D692" s="355"/>
      <c r="E692" s="354"/>
      <c r="F692" s="354"/>
      <c r="G692" s="355"/>
      <c r="H692" s="350"/>
      <c r="I692" s="350"/>
      <c r="J692" s="350"/>
      <c r="K692" s="350"/>
      <c r="L692" s="350"/>
      <c r="M692" s="355"/>
      <c r="N692" s="355"/>
      <c r="O692" s="354"/>
      <c r="P692" s="354"/>
      <c r="Q692" s="355"/>
      <c r="R692" s="350"/>
      <c r="S692" s="350"/>
      <c r="T692" s="350"/>
      <c r="U692" s="351"/>
      <c r="V692" s="351"/>
      <c r="W692" s="351"/>
      <c r="X692" s="351"/>
      <c r="Y692" s="351"/>
      <c r="Z692" s="351"/>
    </row>
    <row r="693">
      <c r="A693" s="350"/>
      <c r="B693" s="350"/>
      <c r="C693" s="355"/>
      <c r="D693" s="355"/>
      <c r="E693" s="354"/>
      <c r="F693" s="354"/>
      <c r="G693" s="355"/>
      <c r="H693" s="350"/>
      <c r="I693" s="350"/>
      <c r="J693" s="350"/>
      <c r="K693" s="350"/>
      <c r="L693" s="350"/>
      <c r="M693" s="355"/>
      <c r="N693" s="355"/>
      <c r="O693" s="354"/>
      <c r="P693" s="354"/>
      <c r="Q693" s="355"/>
      <c r="R693" s="350"/>
      <c r="S693" s="350"/>
      <c r="T693" s="350"/>
      <c r="U693" s="351"/>
      <c r="V693" s="351"/>
      <c r="W693" s="351"/>
      <c r="X693" s="351"/>
      <c r="Y693" s="351"/>
      <c r="Z693" s="351"/>
    </row>
    <row r="694">
      <c r="A694" s="350"/>
      <c r="B694" s="350"/>
      <c r="C694" s="355"/>
      <c r="D694" s="355"/>
      <c r="E694" s="354"/>
      <c r="F694" s="354"/>
      <c r="G694" s="355"/>
      <c r="H694" s="350"/>
      <c r="I694" s="350"/>
      <c r="J694" s="350"/>
      <c r="K694" s="350"/>
      <c r="L694" s="350"/>
      <c r="M694" s="355"/>
      <c r="N694" s="355"/>
      <c r="O694" s="354"/>
      <c r="P694" s="354"/>
      <c r="Q694" s="355"/>
      <c r="R694" s="350"/>
      <c r="S694" s="350"/>
      <c r="T694" s="350"/>
      <c r="U694" s="351"/>
      <c r="V694" s="351"/>
      <c r="W694" s="351"/>
      <c r="X694" s="351"/>
      <c r="Y694" s="351"/>
      <c r="Z694" s="351"/>
    </row>
    <row r="695">
      <c r="A695" s="350"/>
      <c r="B695" s="350"/>
      <c r="C695" s="355"/>
      <c r="D695" s="355"/>
      <c r="E695" s="354"/>
      <c r="F695" s="354"/>
      <c r="G695" s="355"/>
      <c r="H695" s="350"/>
      <c r="I695" s="350"/>
      <c r="J695" s="350"/>
      <c r="K695" s="350"/>
      <c r="L695" s="350"/>
      <c r="M695" s="355"/>
      <c r="N695" s="355"/>
      <c r="O695" s="354"/>
      <c r="P695" s="354"/>
      <c r="Q695" s="355"/>
      <c r="R695" s="350"/>
      <c r="S695" s="350"/>
      <c r="T695" s="350"/>
      <c r="U695" s="351"/>
      <c r="V695" s="351"/>
      <c r="W695" s="351"/>
      <c r="X695" s="351"/>
      <c r="Y695" s="351"/>
      <c r="Z695" s="351"/>
    </row>
    <row r="696">
      <c r="A696" s="350"/>
      <c r="B696" s="350"/>
      <c r="C696" s="355"/>
      <c r="D696" s="355"/>
      <c r="E696" s="354"/>
      <c r="F696" s="354"/>
      <c r="G696" s="355"/>
      <c r="H696" s="350"/>
      <c r="I696" s="350"/>
      <c r="J696" s="350"/>
      <c r="K696" s="350"/>
      <c r="L696" s="350"/>
      <c r="M696" s="355"/>
      <c r="N696" s="355"/>
      <c r="O696" s="354"/>
      <c r="P696" s="354"/>
      <c r="Q696" s="355"/>
      <c r="R696" s="350"/>
      <c r="S696" s="350"/>
      <c r="T696" s="350"/>
      <c r="U696" s="351"/>
      <c r="V696" s="351"/>
      <c r="W696" s="351"/>
      <c r="X696" s="351"/>
      <c r="Y696" s="351"/>
      <c r="Z696" s="351"/>
    </row>
    <row r="697">
      <c r="A697" s="350"/>
      <c r="B697" s="350"/>
      <c r="C697" s="355"/>
      <c r="D697" s="355"/>
      <c r="E697" s="354"/>
      <c r="F697" s="354"/>
      <c r="G697" s="355"/>
      <c r="H697" s="350"/>
      <c r="I697" s="350"/>
      <c r="J697" s="350"/>
      <c r="K697" s="350"/>
      <c r="L697" s="350"/>
      <c r="M697" s="355"/>
      <c r="N697" s="355"/>
      <c r="O697" s="354"/>
      <c r="P697" s="354"/>
      <c r="Q697" s="355"/>
      <c r="R697" s="350"/>
      <c r="S697" s="350"/>
      <c r="T697" s="350"/>
      <c r="U697" s="351"/>
      <c r="V697" s="351"/>
      <c r="W697" s="351"/>
      <c r="X697" s="351"/>
      <c r="Y697" s="351"/>
      <c r="Z697" s="351"/>
    </row>
    <row r="698">
      <c r="A698" s="350"/>
      <c r="B698" s="350"/>
      <c r="C698" s="355"/>
      <c r="D698" s="355"/>
      <c r="E698" s="354"/>
      <c r="F698" s="354"/>
      <c r="G698" s="355"/>
      <c r="H698" s="350"/>
      <c r="I698" s="350"/>
      <c r="J698" s="350"/>
      <c r="K698" s="350"/>
      <c r="L698" s="350"/>
      <c r="M698" s="355"/>
      <c r="N698" s="355"/>
      <c r="O698" s="354"/>
      <c r="P698" s="354"/>
      <c r="Q698" s="355"/>
      <c r="R698" s="350"/>
      <c r="S698" s="350"/>
      <c r="T698" s="350"/>
      <c r="U698" s="351"/>
      <c r="V698" s="351"/>
      <c r="W698" s="351"/>
      <c r="X698" s="351"/>
      <c r="Y698" s="351"/>
      <c r="Z698" s="351"/>
    </row>
    <row r="699">
      <c r="A699" s="350"/>
      <c r="B699" s="350"/>
      <c r="C699" s="355"/>
      <c r="D699" s="355"/>
      <c r="E699" s="354"/>
      <c r="F699" s="354"/>
      <c r="G699" s="355"/>
      <c r="H699" s="350"/>
      <c r="I699" s="350"/>
      <c r="J699" s="350"/>
      <c r="K699" s="350"/>
      <c r="L699" s="350"/>
      <c r="M699" s="355"/>
      <c r="N699" s="355"/>
      <c r="O699" s="354"/>
      <c r="P699" s="354"/>
      <c r="Q699" s="355"/>
      <c r="R699" s="350"/>
      <c r="S699" s="350"/>
      <c r="T699" s="350"/>
      <c r="U699" s="351"/>
      <c r="V699" s="351"/>
      <c r="W699" s="351"/>
      <c r="X699" s="351"/>
      <c r="Y699" s="351"/>
      <c r="Z699" s="351"/>
    </row>
    <row r="700">
      <c r="A700" s="350"/>
      <c r="B700" s="350"/>
      <c r="C700" s="355"/>
      <c r="D700" s="355"/>
      <c r="E700" s="354"/>
      <c r="F700" s="354"/>
      <c r="G700" s="355"/>
      <c r="H700" s="350"/>
      <c r="I700" s="350"/>
      <c r="J700" s="350"/>
      <c r="K700" s="350"/>
      <c r="L700" s="350"/>
      <c r="M700" s="355"/>
      <c r="N700" s="355"/>
      <c r="O700" s="354"/>
      <c r="P700" s="354"/>
      <c r="Q700" s="355"/>
      <c r="R700" s="350"/>
      <c r="S700" s="350"/>
      <c r="T700" s="350"/>
      <c r="U700" s="351"/>
      <c r="V700" s="351"/>
      <c r="W700" s="351"/>
      <c r="X700" s="351"/>
      <c r="Y700" s="351"/>
      <c r="Z700" s="351"/>
    </row>
    <row r="701">
      <c r="A701" s="350"/>
      <c r="B701" s="350"/>
      <c r="C701" s="355"/>
      <c r="D701" s="355"/>
      <c r="E701" s="354"/>
      <c r="F701" s="354"/>
      <c r="G701" s="355"/>
      <c r="H701" s="350"/>
      <c r="I701" s="350"/>
      <c r="J701" s="350"/>
      <c r="K701" s="350"/>
      <c r="L701" s="350"/>
      <c r="M701" s="355"/>
      <c r="N701" s="355"/>
      <c r="O701" s="354"/>
      <c r="P701" s="354"/>
      <c r="Q701" s="355"/>
      <c r="R701" s="350"/>
      <c r="S701" s="350"/>
      <c r="T701" s="350"/>
      <c r="U701" s="351"/>
      <c r="V701" s="351"/>
      <c r="W701" s="351"/>
      <c r="X701" s="351"/>
      <c r="Y701" s="351"/>
      <c r="Z701" s="351"/>
    </row>
    <row r="702">
      <c r="A702" s="350"/>
      <c r="B702" s="350"/>
      <c r="C702" s="355"/>
      <c r="D702" s="355"/>
      <c r="E702" s="354"/>
      <c r="F702" s="354"/>
      <c r="G702" s="355"/>
      <c r="H702" s="350"/>
      <c r="I702" s="350"/>
      <c r="J702" s="350"/>
      <c r="K702" s="350"/>
      <c r="L702" s="350"/>
      <c r="M702" s="355"/>
      <c r="N702" s="355"/>
      <c r="O702" s="354"/>
      <c r="P702" s="354"/>
      <c r="Q702" s="355"/>
      <c r="R702" s="350"/>
      <c r="S702" s="350"/>
      <c r="T702" s="350"/>
      <c r="U702" s="351"/>
      <c r="V702" s="351"/>
      <c r="W702" s="351"/>
      <c r="X702" s="351"/>
      <c r="Y702" s="351"/>
      <c r="Z702" s="351"/>
    </row>
    <row r="703">
      <c r="A703" s="350"/>
      <c r="B703" s="350"/>
      <c r="C703" s="355"/>
      <c r="D703" s="355"/>
      <c r="E703" s="354"/>
      <c r="F703" s="354"/>
      <c r="G703" s="355"/>
      <c r="H703" s="350"/>
      <c r="I703" s="350"/>
      <c r="J703" s="350"/>
      <c r="K703" s="350"/>
      <c r="L703" s="350"/>
      <c r="M703" s="355"/>
      <c r="N703" s="355"/>
      <c r="O703" s="354"/>
      <c r="P703" s="354"/>
      <c r="Q703" s="355"/>
      <c r="R703" s="350"/>
      <c r="S703" s="350"/>
      <c r="T703" s="350"/>
      <c r="U703" s="351"/>
      <c r="V703" s="351"/>
      <c r="W703" s="351"/>
      <c r="X703" s="351"/>
      <c r="Y703" s="351"/>
      <c r="Z703" s="351"/>
    </row>
    <row r="704">
      <c r="A704" s="350"/>
      <c r="B704" s="350"/>
      <c r="C704" s="355"/>
      <c r="D704" s="355"/>
      <c r="E704" s="354"/>
      <c r="F704" s="354"/>
      <c r="G704" s="355"/>
      <c r="H704" s="350"/>
      <c r="I704" s="350"/>
      <c r="J704" s="350"/>
      <c r="K704" s="350"/>
      <c r="L704" s="350"/>
      <c r="M704" s="355"/>
      <c r="N704" s="355"/>
      <c r="O704" s="354"/>
      <c r="P704" s="354"/>
      <c r="Q704" s="355"/>
      <c r="R704" s="350"/>
      <c r="S704" s="350"/>
      <c r="T704" s="350"/>
      <c r="U704" s="351"/>
      <c r="V704" s="351"/>
      <c r="W704" s="351"/>
      <c r="X704" s="351"/>
      <c r="Y704" s="351"/>
      <c r="Z704" s="351"/>
    </row>
    <row r="705">
      <c r="A705" s="350"/>
      <c r="B705" s="350"/>
      <c r="C705" s="355"/>
      <c r="D705" s="355"/>
      <c r="E705" s="354"/>
      <c r="F705" s="354"/>
      <c r="G705" s="355"/>
      <c r="H705" s="350"/>
      <c r="I705" s="350"/>
      <c r="J705" s="350"/>
      <c r="K705" s="350"/>
      <c r="L705" s="350"/>
      <c r="M705" s="355"/>
      <c r="N705" s="355"/>
      <c r="O705" s="354"/>
      <c r="P705" s="354"/>
      <c r="Q705" s="355"/>
      <c r="R705" s="350"/>
      <c r="S705" s="350"/>
      <c r="T705" s="350"/>
      <c r="U705" s="351"/>
      <c r="V705" s="351"/>
      <c r="W705" s="351"/>
      <c r="X705" s="351"/>
      <c r="Y705" s="351"/>
      <c r="Z705" s="351"/>
    </row>
    <row r="706">
      <c r="A706" s="350"/>
      <c r="B706" s="350"/>
      <c r="C706" s="355"/>
      <c r="D706" s="355"/>
      <c r="E706" s="354"/>
      <c r="F706" s="354"/>
      <c r="G706" s="355"/>
      <c r="H706" s="350"/>
      <c r="I706" s="350"/>
      <c r="J706" s="350"/>
      <c r="K706" s="350"/>
      <c r="L706" s="350"/>
      <c r="M706" s="355"/>
      <c r="N706" s="355"/>
      <c r="O706" s="354"/>
      <c r="P706" s="354"/>
      <c r="Q706" s="355"/>
      <c r="R706" s="350"/>
      <c r="S706" s="350"/>
      <c r="T706" s="350"/>
      <c r="U706" s="351"/>
      <c r="V706" s="351"/>
      <c r="W706" s="351"/>
      <c r="X706" s="351"/>
      <c r="Y706" s="351"/>
      <c r="Z706" s="351"/>
    </row>
    <row r="707">
      <c r="A707" s="350"/>
      <c r="B707" s="350"/>
      <c r="C707" s="355"/>
      <c r="D707" s="355"/>
      <c r="E707" s="354"/>
      <c r="F707" s="354"/>
      <c r="G707" s="355"/>
      <c r="H707" s="350"/>
      <c r="I707" s="350"/>
      <c r="J707" s="350"/>
      <c r="K707" s="350"/>
      <c r="L707" s="350"/>
      <c r="M707" s="355"/>
      <c r="N707" s="355"/>
      <c r="O707" s="354"/>
      <c r="P707" s="354"/>
      <c r="Q707" s="355"/>
      <c r="R707" s="350"/>
      <c r="S707" s="350"/>
      <c r="T707" s="350"/>
      <c r="U707" s="351"/>
      <c r="V707" s="351"/>
      <c r="W707" s="351"/>
      <c r="X707" s="351"/>
      <c r="Y707" s="351"/>
      <c r="Z707" s="351"/>
    </row>
    <row r="708">
      <c r="A708" s="350"/>
      <c r="B708" s="350"/>
      <c r="C708" s="355"/>
      <c r="D708" s="355"/>
      <c r="E708" s="354"/>
      <c r="F708" s="354"/>
      <c r="G708" s="355"/>
      <c r="H708" s="350"/>
      <c r="I708" s="350"/>
      <c r="J708" s="350"/>
      <c r="K708" s="350"/>
      <c r="L708" s="350"/>
      <c r="M708" s="355"/>
      <c r="N708" s="355"/>
      <c r="O708" s="354"/>
      <c r="P708" s="354"/>
      <c r="Q708" s="355"/>
      <c r="R708" s="350"/>
      <c r="S708" s="350"/>
      <c r="T708" s="350"/>
      <c r="U708" s="351"/>
      <c r="V708" s="351"/>
      <c r="W708" s="351"/>
      <c r="X708" s="351"/>
      <c r="Y708" s="351"/>
      <c r="Z708" s="351"/>
    </row>
    <row r="709">
      <c r="A709" s="350"/>
      <c r="B709" s="350"/>
      <c r="C709" s="355"/>
      <c r="D709" s="355"/>
      <c r="E709" s="354"/>
      <c r="F709" s="354"/>
      <c r="G709" s="355"/>
      <c r="H709" s="350"/>
      <c r="I709" s="350"/>
      <c r="J709" s="350"/>
      <c r="K709" s="350"/>
      <c r="L709" s="350"/>
      <c r="M709" s="355"/>
      <c r="N709" s="355"/>
      <c r="O709" s="354"/>
      <c r="P709" s="354"/>
      <c r="Q709" s="355"/>
      <c r="R709" s="350"/>
      <c r="S709" s="350"/>
      <c r="T709" s="350"/>
      <c r="U709" s="351"/>
      <c r="V709" s="351"/>
      <c r="W709" s="351"/>
      <c r="X709" s="351"/>
      <c r="Y709" s="351"/>
      <c r="Z709" s="351"/>
    </row>
    <row r="710">
      <c r="A710" s="350"/>
      <c r="B710" s="350"/>
      <c r="C710" s="355"/>
      <c r="D710" s="355"/>
      <c r="E710" s="354"/>
      <c r="F710" s="354"/>
      <c r="G710" s="355"/>
      <c r="H710" s="350"/>
      <c r="I710" s="350"/>
      <c r="J710" s="350"/>
      <c r="K710" s="350"/>
      <c r="L710" s="350"/>
      <c r="M710" s="355"/>
      <c r="N710" s="355"/>
      <c r="O710" s="354"/>
      <c r="P710" s="354"/>
      <c r="Q710" s="355"/>
      <c r="R710" s="350"/>
      <c r="S710" s="350"/>
      <c r="T710" s="350"/>
      <c r="U710" s="351"/>
      <c r="V710" s="351"/>
      <c r="W710" s="351"/>
      <c r="X710" s="351"/>
      <c r="Y710" s="351"/>
      <c r="Z710" s="351"/>
    </row>
    <row r="711">
      <c r="A711" s="350"/>
      <c r="B711" s="350"/>
      <c r="C711" s="355"/>
      <c r="D711" s="355"/>
      <c r="E711" s="354"/>
      <c r="F711" s="354"/>
      <c r="G711" s="355"/>
      <c r="H711" s="350"/>
      <c r="I711" s="350"/>
      <c r="J711" s="350"/>
      <c r="K711" s="350"/>
      <c r="L711" s="350"/>
      <c r="M711" s="355"/>
      <c r="N711" s="355"/>
      <c r="O711" s="354"/>
      <c r="P711" s="354"/>
      <c r="Q711" s="355"/>
      <c r="R711" s="350"/>
      <c r="S711" s="350"/>
      <c r="T711" s="350"/>
      <c r="U711" s="351"/>
      <c r="V711" s="351"/>
      <c r="W711" s="351"/>
      <c r="X711" s="351"/>
      <c r="Y711" s="351"/>
      <c r="Z711" s="351"/>
    </row>
    <row r="712">
      <c r="A712" s="350"/>
      <c r="B712" s="350"/>
      <c r="C712" s="355"/>
      <c r="D712" s="355"/>
      <c r="E712" s="354"/>
      <c r="F712" s="354"/>
      <c r="G712" s="355"/>
      <c r="H712" s="350"/>
      <c r="I712" s="350"/>
      <c r="J712" s="350"/>
      <c r="K712" s="350"/>
      <c r="L712" s="350"/>
      <c r="M712" s="355"/>
      <c r="N712" s="355"/>
      <c r="O712" s="354"/>
      <c r="P712" s="354"/>
      <c r="Q712" s="355"/>
      <c r="R712" s="350"/>
      <c r="S712" s="350"/>
      <c r="T712" s="350"/>
      <c r="U712" s="351"/>
      <c r="V712" s="351"/>
      <c r="W712" s="351"/>
      <c r="X712" s="351"/>
      <c r="Y712" s="351"/>
      <c r="Z712" s="351"/>
    </row>
    <row r="713">
      <c r="A713" s="350"/>
      <c r="B713" s="350"/>
      <c r="C713" s="355"/>
      <c r="D713" s="355"/>
      <c r="E713" s="354"/>
      <c r="F713" s="354"/>
      <c r="G713" s="355"/>
      <c r="H713" s="350"/>
      <c r="I713" s="350"/>
      <c r="J713" s="350"/>
      <c r="K713" s="350"/>
      <c r="L713" s="350"/>
      <c r="M713" s="355"/>
      <c r="N713" s="355"/>
      <c r="O713" s="354"/>
      <c r="P713" s="354"/>
      <c r="Q713" s="355"/>
      <c r="R713" s="350"/>
      <c r="S713" s="350"/>
      <c r="T713" s="350"/>
      <c r="U713" s="351"/>
      <c r="V713" s="351"/>
      <c r="W713" s="351"/>
      <c r="X713" s="351"/>
      <c r="Y713" s="351"/>
      <c r="Z713" s="351"/>
    </row>
    <row r="714">
      <c r="A714" s="350"/>
      <c r="B714" s="350"/>
      <c r="C714" s="355"/>
      <c r="D714" s="355"/>
      <c r="E714" s="354"/>
      <c r="F714" s="354"/>
      <c r="G714" s="355"/>
      <c r="H714" s="350"/>
      <c r="I714" s="350"/>
      <c r="J714" s="350"/>
      <c r="K714" s="350"/>
      <c r="L714" s="350"/>
      <c r="M714" s="355"/>
      <c r="N714" s="355"/>
      <c r="O714" s="354"/>
      <c r="P714" s="354"/>
      <c r="Q714" s="355"/>
      <c r="R714" s="350"/>
      <c r="S714" s="350"/>
      <c r="T714" s="350"/>
      <c r="U714" s="351"/>
      <c r="V714" s="351"/>
      <c r="W714" s="351"/>
      <c r="X714" s="351"/>
      <c r="Y714" s="351"/>
      <c r="Z714" s="351"/>
    </row>
    <row r="715">
      <c r="A715" s="350"/>
      <c r="B715" s="350"/>
      <c r="C715" s="355"/>
      <c r="D715" s="355"/>
      <c r="E715" s="354"/>
      <c r="F715" s="354"/>
      <c r="G715" s="355"/>
      <c r="H715" s="350"/>
      <c r="I715" s="350"/>
      <c r="J715" s="350"/>
      <c r="K715" s="350"/>
      <c r="L715" s="350"/>
      <c r="M715" s="355"/>
      <c r="N715" s="355"/>
      <c r="O715" s="354"/>
      <c r="P715" s="354"/>
      <c r="Q715" s="355"/>
      <c r="R715" s="350"/>
      <c r="S715" s="350"/>
      <c r="T715" s="350"/>
      <c r="U715" s="351"/>
      <c r="V715" s="351"/>
      <c r="W715" s="351"/>
      <c r="X715" s="351"/>
      <c r="Y715" s="351"/>
      <c r="Z715" s="351"/>
    </row>
    <row r="716">
      <c r="A716" s="350"/>
      <c r="B716" s="350"/>
      <c r="C716" s="355"/>
      <c r="D716" s="355"/>
      <c r="E716" s="354"/>
      <c r="F716" s="354"/>
      <c r="G716" s="355"/>
      <c r="H716" s="350"/>
      <c r="I716" s="350"/>
      <c r="J716" s="350"/>
      <c r="K716" s="350"/>
      <c r="L716" s="350"/>
      <c r="M716" s="355"/>
      <c r="N716" s="355"/>
      <c r="O716" s="354"/>
      <c r="P716" s="354"/>
      <c r="Q716" s="355"/>
      <c r="R716" s="350"/>
      <c r="S716" s="350"/>
      <c r="T716" s="350"/>
      <c r="U716" s="351"/>
      <c r="V716" s="351"/>
      <c r="W716" s="351"/>
      <c r="X716" s="351"/>
      <c r="Y716" s="351"/>
      <c r="Z716" s="351"/>
    </row>
    <row r="717">
      <c r="A717" s="350"/>
      <c r="B717" s="350"/>
      <c r="C717" s="355"/>
      <c r="D717" s="355"/>
      <c r="E717" s="354"/>
      <c r="F717" s="354"/>
      <c r="G717" s="355"/>
      <c r="H717" s="350"/>
      <c r="I717" s="350"/>
      <c r="J717" s="350"/>
      <c r="K717" s="350"/>
      <c r="L717" s="350"/>
      <c r="M717" s="355"/>
      <c r="N717" s="355"/>
      <c r="O717" s="354"/>
      <c r="P717" s="354"/>
      <c r="Q717" s="355"/>
      <c r="R717" s="350"/>
      <c r="S717" s="350"/>
      <c r="T717" s="350"/>
      <c r="U717" s="351"/>
      <c r="V717" s="351"/>
      <c r="W717" s="351"/>
      <c r="X717" s="351"/>
      <c r="Y717" s="351"/>
      <c r="Z717" s="351"/>
    </row>
    <row r="718">
      <c r="A718" s="350"/>
      <c r="B718" s="350"/>
      <c r="C718" s="355"/>
      <c r="D718" s="355"/>
      <c r="E718" s="354"/>
      <c r="F718" s="354"/>
      <c r="G718" s="355"/>
      <c r="H718" s="350"/>
      <c r="I718" s="350"/>
      <c r="J718" s="350"/>
      <c r="K718" s="350"/>
      <c r="L718" s="350"/>
      <c r="M718" s="355"/>
      <c r="N718" s="355"/>
      <c r="O718" s="354"/>
      <c r="P718" s="354"/>
      <c r="Q718" s="355"/>
      <c r="R718" s="350"/>
      <c r="S718" s="350"/>
      <c r="T718" s="350"/>
      <c r="U718" s="351"/>
      <c r="V718" s="351"/>
      <c r="W718" s="351"/>
      <c r="X718" s="351"/>
      <c r="Y718" s="351"/>
      <c r="Z718" s="351"/>
    </row>
    <row r="719">
      <c r="A719" s="350"/>
      <c r="B719" s="350"/>
      <c r="C719" s="355"/>
      <c r="D719" s="355"/>
      <c r="E719" s="354"/>
      <c r="F719" s="354"/>
      <c r="G719" s="355"/>
      <c r="H719" s="350"/>
      <c r="I719" s="350"/>
      <c r="J719" s="350"/>
      <c r="K719" s="350"/>
      <c r="L719" s="350"/>
      <c r="M719" s="355"/>
      <c r="N719" s="355"/>
      <c r="O719" s="354"/>
      <c r="P719" s="354"/>
      <c r="Q719" s="355"/>
      <c r="R719" s="350"/>
      <c r="S719" s="350"/>
      <c r="T719" s="350"/>
      <c r="U719" s="351"/>
      <c r="V719" s="351"/>
      <c r="W719" s="351"/>
      <c r="X719" s="351"/>
      <c r="Y719" s="351"/>
      <c r="Z719" s="351"/>
    </row>
    <row r="720">
      <c r="A720" s="350"/>
      <c r="B720" s="350"/>
      <c r="C720" s="355"/>
      <c r="D720" s="355"/>
      <c r="E720" s="354"/>
      <c r="F720" s="354"/>
      <c r="G720" s="355"/>
      <c r="H720" s="350"/>
      <c r="I720" s="350"/>
      <c r="J720" s="350"/>
      <c r="K720" s="350"/>
      <c r="L720" s="350"/>
      <c r="M720" s="355"/>
      <c r="N720" s="355"/>
      <c r="O720" s="354"/>
      <c r="P720" s="354"/>
      <c r="Q720" s="355"/>
      <c r="R720" s="350"/>
      <c r="S720" s="350"/>
      <c r="T720" s="350"/>
      <c r="U720" s="351"/>
      <c r="V720" s="351"/>
      <c r="W720" s="351"/>
      <c r="X720" s="351"/>
      <c r="Y720" s="351"/>
      <c r="Z720" s="351"/>
    </row>
    <row r="721">
      <c r="A721" s="350"/>
      <c r="B721" s="350"/>
      <c r="C721" s="355"/>
      <c r="D721" s="355"/>
      <c r="E721" s="354"/>
      <c r="F721" s="354"/>
      <c r="G721" s="355"/>
      <c r="H721" s="350"/>
      <c r="I721" s="350"/>
      <c r="J721" s="350"/>
      <c r="K721" s="350"/>
      <c r="L721" s="350"/>
      <c r="M721" s="355"/>
      <c r="N721" s="355"/>
      <c r="O721" s="354"/>
      <c r="P721" s="354"/>
      <c r="Q721" s="355"/>
      <c r="R721" s="350"/>
      <c r="S721" s="350"/>
      <c r="T721" s="350"/>
      <c r="U721" s="351"/>
      <c r="V721" s="351"/>
      <c r="W721" s="351"/>
      <c r="X721" s="351"/>
      <c r="Y721" s="351"/>
      <c r="Z721" s="351"/>
    </row>
    <row r="722">
      <c r="A722" s="350"/>
      <c r="B722" s="350"/>
      <c r="C722" s="355"/>
      <c r="D722" s="355"/>
      <c r="E722" s="354"/>
      <c r="F722" s="354"/>
      <c r="G722" s="355"/>
      <c r="H722" s="350"/>
      <c r="I722" s="350"/>
      <c r="J722" s="350"/>
      <c r="K722" s="350"/>
      <c r="L722" s="350"/>
      <c r="M722" s="355"/>
      <c r="N722" s="355"/>
      <c r="O722" s="354"/>
      <c r="P722" s="354"/>
      <c r="Q722" s="355"/>
      <c r="R722" s="350"/>
      <c r="S722" s="350"/>
      <c r="T722" s="350"/>
      <c r="U722" s="351"/>
      <c r="V722" s="351"/>
      <c r="W722" s="351"/>
      <c r="X722" s="351"/>
      <c r="Y722" s="351"/>
      <c r="Z722" s="351"/>
    </row>
    <row r="723">
      <c r="A723" s="350"/>
      <c r="B723" s="350"/>
      <c r="C723" s="355"/>
      <c r="D723" s="355"/>
      <c r="E723" s="354"/>
      <c r="F723" s="354"/>
      <c r="G723" s="355"/>
      <c r="H723" s="350"/>
      <c r="I723" s="350"/>
      <c r="J723" s="350"/>
      <c r="K723" s="350"/>
      <c r="L723" s="350"/>
      <c r="M723" s="355"/>
      <c r="N723" s="355"/>
      <c r="O723" s="354"/>
      <c r="P723" s="354"/>
      <c r="Q723" s="355"/>
      <c r="R723" s="350"/>
      <c r="S723" s="350"/>
      <c r="T723" s="350"/>
      <c r="U723" s="351"/>
      <c r="V723" s="351"/>
      <c r="W723" s="351"/>
      <c r="X723" s="351"/>
      <c r="Y723" s="351"/>
      <c r="Z723" s="351"/>
    </row>
    <row r="724">
      <c r="A724" s="350"/>
      <c r="B724" s="350"/>
      <c r="C724" s="355"/>
      <c r="D724" s="355"/>
      <c r="E724" s="354"/>
      <c r="F724" s="354"/>
      <c r="G724" s="355"/>
      <c r="H724" s="350"/>
      <c r="I724" s="350"/>
      <c r="J724" s="350"/>
      <c r="K724" s="350"/>
      <c r="L724" s="350"/>
      <c r="M724" s="355"/>
      <c r="N724" s="355"/>
      <c r="O724" s="354"/>
      <c r="P724" s="354"/>
      <c r="Q724" s="355"/>
      <c r="R724" s="350"/>
      <c r="S724" s="350"/>
      <c r="T724" s="350"/>
      <c r="U724" s="351"/>
      <c r="V724" s="351"/>
      <c r="W724" s="351"/>
      <c r="X724" s="351"/>
      <c r="Y724" s="351"/>
      <c r="Z724" s="351"/>
    </row>
    <row r="725">
      <c r="A725" s="350"/>
      <c r="B725" s="350"/>
      <c r="C725" s="355"/>
      <c r="D725" s="355"/>
      <c r="E725" s="354"/>
      <c r="F725" s="354"/>
      <c r="G725" s="355"/>
      <c r="H725" s="350"/>
      <c r="I725" s="350"/>
      <c r="J725" s="350"/>
      <c r="K725" s="350"/>
      <c r="L725" s="350"/>
      <c r="M725" s="355"/>
      <c r="N725" s="355"/>
      <c r="O725" s="354"/>
      <c r="P725" s="354"/>
      <c r="Q725" s="355"/>
      <c r="R725" s="350"/>
      <c r="S725" s="350"/>
      <c r="T725" s="350"/>
      <c r="U725" s="351"/>
      <c r="V725" s="351"/>
      <c r="W725" s="351"/>
      <c r="X725" s="351"/>
      <c r="Y725" s="351"/>
      <c r="Z725" s="351"/>
    </row>
    <row r="726">
      <c r="A726" s="350"/>
      <c r="B726" s="350"/>
      <c r="C726" s="355"/>
      <c r="D726" s="355"/>
      <c r="E726" s="354"/>
      <c r="F726" s="354"/>
      <c r="G726" s="355"/>
      <c r="H726" s="350"/>
      <c r="I726" s="350"/>
      <c r="J726" s="350"/>
      <c r="K726" s="350"/>
      <c r="L726" s="350"/>
      <c r="M726" s="355"/>
      <c r="N726" s="355"/>
      <c r="O726" s="354"/>
      <c r="P726" s="354"/>
      <c r="Q726" s="355"/>
      <c r="R726" s="350"/>
      <c r="S726" s="350"/>
      <c r="T726" s="350"/>
      <c r="U726" s="351"/>
      <c r="V726" s="351"/>
      <c r="W726" s="351"/>
      <c r="X726" s="351"/>
      <c r="Y726" s="351"/>
      <c r="Z726" s="351"/>
    </row>
    <row r="727">
      <c r="A727" s="350"/>
      <c r="B727" s="350"/>
      <c r="C727" s="355"/>
      <c r="D727" s="355"/>
      <c r="E727" s="354"/>
      <c r="F727" s="354"/>
      <c r="G727" s="355"/>
      <c r="H727" s="350"/>
      <c r="I727" s="350"/>
      <c r="J727" s="350"/>
      <c r="K727" s="350"/>
      <c r="L727" s="350"/>
      <c r="M727" s="355"/>
      <c r="N727" s="355"/>
      <c r="O727" s="354"/>
      <c r="P727" s="354"/>
      <c r="Q727" s="355"/>
      <c r="R727" s="350"/>
      <c r="S727" s="350"/>
      <c r="T727" s="350"/>
      <c r="U727" s="351"/>
      <c r="V727" s="351"/>
      <c r="W727" s="351"/>
      <c r="X727" s="351"/>
      <c r="Y727" s="351"/>
      <c r="Z727" s="351"/>
    </row>
    <row r="728">
      <c r="A728" s="350"/>
      <c r="B728" s="350"/>
      <c r="C728" s="355"/>
      <c r="D728" s="355"/>
      <c r="E728" s="354"/>
      <c r="F728" s="354"/>
      <c r="G728" s="355"/>
      <c r="H728" s="350"/>
      <c r="I728" s="350"/>
      <c r="J728" s="350"/>
      <c r="K728" s="350"/>
      <c r="L728" s="350"/>
      <c r="M728" s="355"/>
      <c r="N728" s="355"/>
      <c r="O728" s="354"/>
      <c r="P728" s="354"/>
      <c r="Q728" s="355"/>
      <c r="R728" s="350"/>
      <c r="S728" s="350"/>
      <c r="T728" s="350"/>
      <c r="U728" s="351"/>
      <c r="V728" s="351"/>
      <c r="W728" s="351"/>
      <c r="X728" s="351"/>
      <c r="Y728" s="351"/>
      <c r="Z728" s="351"/>
    </row>
    <row r="729">
      <c r="A729" s="350"/>
      <c r="B729" s="350"/>
      <c r="C729" s="355"/>
      <c r="D729" s="355"/>
      <c r="E729" s="354"/>
      <c r="F729" s="354"/>
      <c r="G729" s="355"/>
      <c r="H729" s="350"/>
      <c r="I729" s="350"/>
      <c r="J729" s="350"/>
      <c r="K729" s="350"/>
      <c r="L729" s="350"/>
      <c r="M729" s="355"/>
      <c r="N729" s="355"/>
      <c r="O729" s="354"/>
      <c r="P729" s="354"/>
      <c r="Q729" s="355"/>
      <c r="R729" s="350"/>
      <c r="S729" s="350"/>
      <c r="T729" s="350"/>
      <c r="U729" s="351"/>
      <c r="V729" s="351"/>
      <c r="W729" s="351"/>
      <c r="X729" s="351"/>
      <c r="Y729" s="351"/>
      <c r="Z729" s="351"/>
    </row>
    <row r="730">
      <c r="A730" s="350"/>
      <c r="B730" s="350"/>
      <c r="C730" s="355"/>
      <c r="D730" s="355"/>
      <c r="E730" s="354"/>
      <c r="F730" s="354"/>
      <c r="G730" s="355"/>
      <c r="H730" s="350"/>
      <c r="I730" s="350"/>
      <c r="J730" s="350"/>
      <c r="K730" s="350"/>
      <c r="L730" s="350"/>
      <c r="M730" s="355"/>
      <c r="N730" s="355"/>
      <c r="O730" s="354"/>
      <c r="P730" s="354"/>
      <c r="Q730" s="355"/>
      <c r="R730" s="350"/>
      <c r="S730" s="350"/>
      <c r="T730" s="350"/>
      <c r="U730" s="351"/>
      <c r="V730" s="351"/>
      <c r="W730" s="351"/>
      <c r="X730" s="351"/>
      <c r="Y730" s="351"/>
      <c r="Z730" s="351"/>
    </row>
    <row r="731">
      <c r="A731" s="350"/>
      <c r="B731" s="350"/>
      <c r="C731" s="355"/>
      <c r="D731" s="355"/>
      <c r="E731" s="354"/>
      <c r="F731" s="354"/>
      <c r="G731" s="355"/>
      <c r="H731" s="350"/>
      <c r="I731" s="350"/>
      <c r="J731" s="350"/>
      <c r="K731" s="350"/>
      <c r="L731" s="350"/>
      <c r="M731" s="355"/>
      <c r="N731" s="355"/>
      <c r="O731" s="354"/>
      <c r="P731" s="354"/>
      <c r="Q731" s="355"/>
      <c r="R731" s="350"/>
      <c r="S731" s="350"/>
      <c r="T731" s="350"/>
      <c r="U731" s="351"/>
      <c r="V731" s="351"/>
      <c r="W731" s="351"/>
      <c r="X731" s="351"/>
      <c r="Y731" s="351"/>
      <c r="Z731" s="351"/>
    </row>
    <row r="732">
      <c r="A732" s="350"/>
      <c r="B732" s="350"/>
      <c r="C732" s="355"/>
      <c r="D732" s="355"/>
      <c r="E732" s="354"/>
      <c r="F732" s="354"/>
      <c r="G732" s="355"/>
      <c r="H732" s="350"/>
      <c r="I732" s="350"/>
      <c r="J732" s="350"/>
      <c r="K732" s="350"/>
      <c r="L732" s="350"/>
      <c r="M732" s="355"/>
      <c r="N732" s="355"/>
      <c r="O732" s="354"/>
      <c r="P732" s="354"/>
      <c r="Q732" s="355"/>
      <c r="R732" s="350"/>
      <c r="S732" s="350"/>
      <c r="T732" s="350"/>
      <c r="U732" s="351"/>
      <c r="V732" s="351"/>
      <c r="W732" s="351"/>
      <c r="X732" s="351"/>
      <c r="Y732" s="351"/>
      <c r="Z732" s="351"/>
    </row>
    <row r="733">
      <c r="A733" s="350"/>
      <c r="B733" s="350"/>
      <c r="C733" s="355"/>
      <c r="D733" s="355"/>
      <c r="E733" s="354"/>
      <c r="F733" s="354"/>
      <c r="G733" s="355"/>
      <c r="H733" s="350"/>
      <c r="I733" s="350"/>
      <c r="J733" s="350"/>
      <c r="K733" s="350"/>
      <c r="L733" s="350"/>
      <c r="M733" s="355"/>
      <c r="N733" s="355"/>
      <c r="O733" s="354"/>
      <c r="P733" s="354"/>
      <c r="Q733" s="355"/>
      <c r="R733" s="350"/>
      <c r="S733" s="350"/>
      <c r="T733" s="350"/>
      <c r="U733" s="351"/>
      <c r="V733" s="351"/>
      <c r="W733" s="351"/>
      <c r="X733" s="351"/>
      <c r="Y733" s="351"/>
      <c r="Z733" s="351"/>
    </row>
    <row r="734">
      <c r="A734" s="350"/>
      <c r="B734" s="350"/>
      <c r="C734" s="355"/>
      <c r="D734" s="355"/>
      <c r="E734" s="354"/>
      <c r="F734" s="354"/>
      <c r="G734" s="355"/>
      <c r="H734" s="350"/>
      <c r="I734" s="350"/>
      <c r="J734" s="350"/>
      <c r="K734" s="350"/>
      <c r="L734" s="350"/>
      <c r="M734" s="355"/>
      <c r="N734" s="355"/>
      <c r="O734" s="354"/>
      <c r="P734" s="354"/>
      <c r="Q734" s="355"/>
      <c r="R734" s="350"/>
      <c r="S734" s="350"/>
      <c r="T734" s="350"/>
      <c r="U734" s="351"/>
      <c r="V734" s="351"/>
      <c r="W734" s="351"/>
      <c r="X734" s="351"/>
      <c r="Y734" s="351"/>
      <c r="Z734" s="351"/>
    </row>
    <row r="735">
      <c r="A735" s="350"/>
      <c r="B735" s="350"/>
      <c r="C735" s="355"/>
      <c r="D735" s="355"/>
      <c r="E735" s="354"/>
      <c r="F735" s="354"/>
      <c r="G735" s="355"/>
      <c r="H735" s="350"/>
      <c r="I735" s="350"/>
      <c r="J735" s="350"/>
      <c r="K735" s="350"/>
      <c r="L735" s="350"/>
      <c r="M735" s="355"/>
      <c r="N735" s="355"/>
      <c r="O735" s="354"/>
      <c r="P735" s="354"/>
      <c r="Q735" s="355"/>
      <c r="R735" s="350"/>
      <c r="S735" s="350"/>
      <c r="T735" s="350"/>
      <c r="U735" s="351"/>
      <c r="V735" s="351"/>
      <c r="W735" s="351"/>
      <c r="X735" s="351"/>
      <c r="Y735" s="351"/>
      <c r="Z735" s="351"/>
    </row>
    <row r="736">
      <c r="A736" s="350"/>
      <c r="B736" s="350"/>
      <c r="C736" s="355"/>
      <c r="D736" s="355"/>
      <c r="E736" s="354"/>
      <c r="F736" s="354"/>
      <c r="G736" s="355"/>
      <c r="H736" s="350"/>
      <c r="I736" s="350"/>
      <c r="J736" s="350"/>
      <c r="K736" s="350"/>
      <c r="L736" s="350"/>
      <c r="M736" s="355"/>
      <c r="N736" s="355"/>
      <c r="O736" s="354"/>
      <c r="P736" s="354"/>
      <c r="Q736" s="355"/>
      <c r="R736" s="350"/>
      <c r="S736" s="350"/>
      <c r="T736" s="350"/>
      <c r="U736" s="351"/>
      <c r="V736" s="351"/>
      <c r="W736" s="351"/>
      <c r="X736" s="351"/>
      <c r="Y736" s="351"/>
      <c r="Z736" s="351"/>
    </row>
    <row r="737">
      <c r="A737" s="350"/>
      <c r="B737" s="350"/>
      <c r="C737" s="355"/>
      <c r="D737" s="355"/>
      <c r="E737" s="354"/>
      <c r="F737" s="354"/>
      <c r="G737" s="355"/>
      <c r="H737" s="350"/>
      <c r="I737" s="350"/>
      <c r="J737" s="350"/>
      <c r="K737" s="350"/>
      <c r="L737" s="350"/>
      <c r="M737" s="355"/>
      <c r="N737" s="355"/>
      <c r="O737" s="354"/>
      <c r="P737" s="354"/>
      <c r="Q737" s="355"/>
      <c r="R737" s="350"/>
      <c r="S737" s="350"/>
      <c r="T737" s="350"/>
      <c r="U737" s="351"/>
      <c r="V737" s="351"/>
      <c r="W737" s="351"/>
      <c r="X737" s="351"/>
      <c r="Y737" s="351"/>
      <c r="Z737" s="351"/>
    </row>
    <row r="738">
      <c r="A738" s="350"/>
      <c r="B738" s="350"/>
      <c r="C738" s="355"/>
      <c r="D738" s="355"/>
      <c r="E738" s="354"/>
      <c r="F738" s="354"/>
      <c r="G738" s="355"/>
      <c r="H738" s="350"/>
      <c r="I738" s="350"/>
      <c r="J738" s="350"/>
      <c r="K738" s="350"/>
      <c r="L738" s="350"/>
      <c r="M738" s="355"/>
      <c r="N738" s="355"/>
      <c r="O738" s="354"/>
      <c r="P738" s="354"/>
      <c r="Q738" s="355"/>
      <c r="R738" s="350"/>
      <c r="S738" s="350"/>
      <c r="T738" s="350"/>
      <c r="U738" s="351"/>
      <c r="V738" s="351"/>
      <c r="W738" s="351"/>
      <c r="X738" s="351"/>
      <c r="Y738" s="351"/>
      <c r="Z738" s="351"/>
    </row>
    <row r="739">
      <c r="A739" s="351"/>
      <c r="B739" s="351"/>
      <c r="C739" s="351"/>
      <c r="D739" s="351"/>
      <c r="E739" s="351"/>
      <c r="F739" s="351"/>
      <c r="G739" s="351"/>
      <c r="H739" s="351"/>
      <c r="I739" s="351"/>
      <c r="J739" s="351"/>
      <c r="K739" s="351"/>
      <c r="L739" s="351"/>
      <c r="M739" s="351"/>
      <c r="N739" s="351"/>
      <c r="O739" s="351"/>
      <c r="P739" s="351"/>
      <c r="Q739" s="351"/>
      <c r="R739" s="351"/>
      <c r="S739" s="351"/>
      <c r="T739" s="351"/>
      <c r="U739" s="351"/>
      <c r="V739" s="351"/>
      <c r="W739" s="351"/>
      <c r="X739" s="351"/>
      <c r="Y739" s="351"/>
      <c r="Z739" s="351"/>
    </row>
    <row r="740">
      <c r="A740" s="351"/>
      <c r="B740" s="351"/>
      <c r="C740" s="351"/>
      <c r="D740" s="351"/>
      <c r="E740" s="351"/>
      <c r="F740" s="351"/>
      <c r="G740" s="351"/>
      <c r="H740" s="351"/>
      <c r="I740" s="351"/>
      <c r="J740" s="351"/>
      <c r="K740" s="351"/>
      <c r="L740" s="351"/>
      <c r="M740" s="351"/>
      <c r="N740" s="351"/>
      <c r="O740" s="351"/>
      <c r="P740" s="351"/>
      <c r="Q740" s="351"/>
      <c r="R740" s="351"/>
      <c r="S740" s="351"/>
      <c r="T740" s="351"/>
      <c r="U740" s="351"/>
      <c r="V740" s="351"/>
      <c r="W740" s="351"/>
      <c r="X740" s="351"/>
      <c r="Y740" s="351"/>
      <c r="Z740" s="351"/>
    </row>
    <row r="741">
      <c r="A741" s="351"/>
      <c r="B741" s="351"/>
      <c r="C741" s="351"/>
      <c r="D741" s="351"/>
      <c r="E741" s="351"/>
      <c r="F741" s="351"/>
      <c r="G741" s="351"/>
      <c r="H741" s="351"/>
      <c r="I741" s="351"/>
      <c r="J741" s="351"/>
      <c r="K741" s="351"/>
      <c r="L741" s="351"/>
      <c r="M741" s="351"/>
      <c r="N741" s="351"/>
      <c r="O741" s="351"/>
      <c r="P741" s="351"/>
      <c r="Q741" s="351"/>
      <c r="R741" s="351"/>
      <c r="S741" s="351"/>
      <c r="T741" s="351"/>
      <c r="U741" s="351"/>
      <c r="V741" s="351"/>
      <c r="W741" s="351"/>
      <c r="X741" s="351"/>
      <c r="Y741" s="351"/>
      <c r="Z741" s="351"/>
    </row>
    <row r="742">
      <c r="A742" s="351"/>
      <c r="B742" s="351"/>
      <c r="C742" s="351"/>
      <c r="D742" s="351"/>
      <c r="E742" s="351"/>
      <c r="F742" s="351"/>
      <c r="G742" s="351"/>
      <c r="H742" s="351"/>
      <c r="I742" s="351"/>
      <c r="J742" s="351"/>
      <c r="K742" s="351"/>
      <c r="L742" s="351"/>
      <c r="M742" s="351"/>
      <c r="N742" s="351"/>
      <c r="O742" s="351"/>
      <c r="P742" s="351"/>
      <c r="Q742" s="351"/>
      <c r="R742" s="351"/>
      <c r="S742" s="351"/>
      <c r="T742" s="351"/>
      <c r="U742" s="351"/>
      <c r="V742" s="351"/>
      <c r="W742" s="351"/>
      <c r="X742" s="351"/>
      <c r="Y742" s="351"/>
      <c r="Z742" s="351"/>
    </row>
    <row r="743">
      <c r="A743" s="351"/>
      <c r="B743" s="351"/>
      <c r="C743" s="351"/>
      <c r="D743" s="351"/>
      <c r="E743" s="351"/>
      <c r="F743" s="351"/>
      <c r="G743" s="351"/>
      <c r="H743" s="351"/>
      <c r="I743" s="351"/>
      <c r="J743" s="351"/>
      <c r="K743" s="351"/>
      <c r="L743" s="351"/>
      <c r="M743" s="351"/>
      <c r="N743" s="351"/>
      <c r="O743" s="351"/>
      <c r="P743" s="351"/>
      <c r="Q743" s="351"/>
      <c r="R743" s="351"/>
      <c r="S743" s="351"/>
      <c r="T743" s="351"/>
      <c r="U743" s="351"/>
      <c r="V743" s="351"/>
      <c r="W743" s="351"/>
      <c r="X743" s="351"/>
      <c r="Y743" s="351"/>
      <c r="Z743" s="351"/>
    </row>
    <row r="744">
      <c r="A744" s="351"/>
      <c r="B744" s="351"/>
      <c r="C744" s="351"/>
      <c r="D744" s="351"/>
      <c r="E744" s="351"/>
      <c r="F744" s="351"/>
      <c r="G744" s="351"/>
      <c r="H744" s="351"/>
      <c r="I744" s="351"/>
      <c r="J744" s="351"/>
      <c r="K744" s="351"/>
      <c r="L744" s="351"/>
      <c r="M744" s="351"/>
      <c r="N744" s="351"/>
      <c r="O744" s="351"/>
      <c r="P744" s="351"/>
      <c r="Q744" s="351"/>
      <c r="R744" s="351"/>
      <c r="S744" s="351"/>
      <c r="T744" s="351"/>
      <c r="U744" s="351"/>
      <c r="V744" s="351"/>
      <c r="W744" s="351"/>
      <c r="X744" s="351"/>
      <c r="Y744" s="351"/>
      <c r="Z744" s="351"/>
    </row>
    <row r="745">
      <c r="A745" s="351"/>
      <c r="B745" s="351"/>
      <c r="C745" s="351"/>
      <c r="D745" s="351"/>
      <c r="E745" s="351"/>
      <c r="F745" s="351"/>
      <c r="G745" s="351"/>
      <c r="H745" s="351"/>
      <c r="I745" s="351"/>
      <c r="J745" s="351"/>
      <c r="K745" s="351"/>
      <c r="L745" s="351"/>
      <c r="M745" s="351"/>
      <c r="N745" s="351"/>
      <c r="O745" s="351"/>
      <c r="P745" s="351"/>
      <c r="Q745" s="351"/>
      <c r="R745" s="351"/>
      <c r="S745" s="351"/>
      <c r="T745" s="351"/>
      <c r="U745" s="351"/>
      <c r="V745" s="351"/>
      <c r="W745" s="351"/>
      <c r="X745" s="351"/>
      <c r="Y745" s="351"/>
      <c r="Z745" s="351"/>
    </row>
    <row r="746">
      <c r="A746" s="351"/>
      <c r="B746" s="351"/>
      <c r="C746" s="351"/>
      <c r="D746" s="351"/>
      <c r="E746" s="351"/>
      <c r="F746" s="351"/>
      <c r="G746" s="351"/>
      <c r="H746" s="351"/>
      <c r="I746" s="351"/>
      <c r="J746" s="351"/>
      <c r="K746" s="351"/>
      <c r="L746" s="351"/>
      <c r="M746" s="351"/>
      <c r="N746" s="351"/>
      <c r="O746" s="351"/>
      <c r="P746" s="351"/>
      <c r="Q746" s="351"/>
      <c r="R746" s="351"/>
      <c r="S746" s="351"/>
      <c r="T746" s="351"/>
      <c r="U746" s="351"/>
      <c r="V746" s="351"/>
      <c r="W746" s="351"/>
      <c r="X746" s="351"/>
      <c r="Y746" s="351"/>
      <c r="Z746" s="351"/>
    </row>
    <row r="747">
      <c r="A747" s="351"/>
      <c r="B747" s="351"/>
      <c r="C747" s="351"/>
      <c r="D747" s="351"/>
      <c r="E747" s="351"/>
      <c r="F747" s="351"/>
      <c r="G747" s="351"/>
      <c r="H747" s="351"/>
      <c r="I747" s="351"/>
      <c r="J747" s="351"/>
      <c r="K747" s="351"/>
      <c r="L747" s="351"/>
      <c r="M747" s="351"/>
      <c r="N747" s="351"/>
      <c r="O747" s="351"/>
      <c r="P747" s="351"/>
      <c r="Q747" s="351"/>
      <c r="R747" s="351"/>
      <c r="S747" s="351"/>
      <c r="T747" s="351"/>
      <c r="U747" s="351"/>
      <c r="V747" s="351"/>
      <c r="W747" s="351"/>
      <c r="X747" s="351"/>
      <c r="Y747" s="351"/>
      <c r="Z747" s="351"/>
    </row>
    <row r="748">
      <c r="A748" s="351"/>
      <c r="B748" s="351"/>
      <c r="C748" s="351"/>
      <c r="D748" s="351"/>
      <c r="E748" s="351"/>
      <c r="F748" s="351"/>
      <c r="G748" s="351"/>
      <c r="H748" s="351"/>
      <c r="I748" s="351"/>
      <c r="J748" s="351"/>
      <c r="K748" s="351"/>
      <c r="L748" s="351"/>
      <c r="M748" s="351"/>
      <c r="N748" s="351"/>
      <c r="O748" s="351"/>
      <c r="P748" s="351"/>
      <c r="Q748" s="351"/>
      <c r="R748" s="351"/>
      <c r="S748" s="351"/>
      <c r="T748" s="351"/>
      <c r="U748" s="351"/>
      <c r="V748" s="351"/>
      <c r="W748" s="351"/>
      <c r="X748" s="351"/>
      <c r="Y748" s="351"/>
      <c r="Z748" s="351"/>
    </row>
    <row r="749">
      <c r="A749" s="351"/>
      <c r="B749" s="351"/>
      <c r="C749" s="351"/>
      <c r="D749" s="351"/>
      <c r="E749" s="351"/>
      <c r="F749" s="351"/>
      <c r="G749" s="351"/>
      <c r="H749" s="351"/>
      <c r="I749" s="351"/>
      <c r="J749" s="351"/>
      <c r="K749" s="351"/>
      <c r="L749" s="351"/>
      <c r="M749" s="351"/>
      <c r="N749" s="351"/>
      <c r="O749" s="351"/>
      <c r="P749" s="351"/>
      <c r="Q749" s="351"/>
      <c r="R749" s="351"/>
      <c r="S749" s="351"/>
      <c r="T749" s="351"/>
      <c r="U749" s="351"/>
      <c r="V749" s="351"/>
      <c r="W749" s="351"/>
      <c r="X749" s="351"/>
      <c r="Y749" s="351"/>
      <c r="Z749" s="351"/>
    </row>
    <row r="750">
      <c r="A750" s="351"/>
      <c r="B750" s="351"/>
      <c r="C750" s="351"/>
      <c r="D750" s="351"/>
      <c r="E750" s="351"/>
      <c r="F750" s="351"/>
      <c r="G750" s="351"/>
      <c r="H750" s="351"/>
      <c r="I750" s="351"/>
      <c r="J750" s="351"/>
      <c r="K750" s="351"/>
      <c r="L750" s="351"/>
      <c r="M750" s="351"/>
      <c r="N750" s="351"/>
      <c r="O750" s="351"/>
      <c r="P750" s="351"/>
      <c r="Q750" s="351"/>
      <c r="R750" s="351"/>
      <c r="S750" s="351"/>
      <c r="T750" s="351"/>
      <c r="U750" s="351"/>
      <c r="V750" s="351"/>
      <c r="W750" s="351"/>
      <c r="X750" s="351"/>
      <c r="Y750" s="351"/>
      <c r="Z750" s="351"/>
    </row>
    <row r="751">
      <c r="A751" s="351"/>
      <c r="B751" s="351"/>
      <c r="C751" s="351"/>
      <c r="D751" s="351"/>
      <c r="E751" s="351"/>
      <c r="F751" s="351"/>
      <c r="G751" s="351"/>
      <c r="H751" s="351"/>
      <c r="I751" s="351"/>
      <c r="J751" s="351"/>
      <c r="K751" s="351"/>
      <c r="L751" s="351"/>
      <c r="M751" s="351"/>
      <c r="N751" s="351"/>
      <c r="O751" s="351"/>
      <c r="P751" s="351"/>
      <c r="Q751" s="351"/>
      <c r="R751" s="351"/>
      <c r="S751" s="351"/>
      <c r="T751" s="351"/>
      <c r="U751" s="351"/>
      <c r="V751" s="351"/>
      <c r="W751" s="351"/>
      <c r="X751" s="351"/>
      <c r="Y751" s="351"/>
      <c r="Z751" s="351"/>
    </row>
    <row r="752">
      <c r="A752" s="351"/>
      <c r="B752" s="351"/>
      <c r="C752" s="351"/>
      <c r="D752" s="351"/>
      <c r="E752" s="351"/>
      <c r="F752" s="351"/>
      <c r="G752" s="351"/>
      <c r="H752" s="351"/>
      <c r="I752" s="351"/>
      <c r="J752" s="351"/>
      <c r="K752" s="351"/>
      <c r="L752" s="351"/>
      <c r="M752" s="351"/>
      <c r="N752" s="351"/>
      <c r="O752" s="351"/>
      <c r="P752" s="351"/>
      <c r="Q752" s="351"/>
      <c r="R752" s="351"/>
      <c r="S752" s="351"/>
      <c r="T752" s="351"/>
      <c r="U752" s="351"/>
      <c r="V752" s="351"/>
      <c r="W752" s="351"/>
      <c r="X752" s="351"/>
      <c r="Y752" s="351"/>
      <c r="Z752" s="351"/>
    </row>
    <row r="753">
      <c r="A753" s="351"/>
      <c r="B753" s="351"/>
      <c r="C753" s="351"/>
      <c r="D753" s="351"/>
      <c r="E753" s="351"/>
      <c r="F753" s="351"/>
      <c r="G753" s="351"/>
      <c r="H753" s="351"/>
      <c r="I753" s="351"/>
      <c r="J753" s="351"/>
      <c r="K753" s="351"/>
      <c r="L753" s="351"/>
      <c r="M753" s="351"/>
      <c r="N753" s="351"/>
      <c r="O753" s="351"/>
      <c r="P753" s="351"/>
      <c r="Q753" s="351"/>
      <c r="R753" s="351"/>
      <c r="S753" s="351"/>
      <c r="T753" s="351"/>
      <c r="U753" s="351"/>
      <c r="V753" s="351"/>
      <c r="W753" s="351"/>
      <c r="X753" s="351"/>
      <c r="Y753" s="351"/>
      <c r="Z753" s="351"/>
    </row>
    <row r="754">
      <c r="A754" s="351"/>
      <c r="B754" s="351"/>
      <c r="C754" s="351"/>
      <c r="D754" s="351"/>
      <c r="E754" s="351"/>
      <c r="F754" s="351"/>
      <c r="G754" s="351"/>
      <c r="H754" s="351"/>
      <c r="I754" s="351"/>
      <c r="J754" s="351"/>
      <c r="K754" s="351"/>
      <c r="L754" s="351"/>
      <c r="M754" s="351"/>
      <c r="N754" s="351"/>
      <c r="O754" s="351"/>
      <c r="P754" s="351"/>
      <c r="Q754" s="351"/>
      <c r="R754" s="351"/>
      <c r="S754" s="351"/>
      <c r="T754" s="351"/>
      <c r="U754" s="351"/>
      <c r="V754" s="351"/>
      <c r="W754" s="351"/>
      <c r="X754" s="351"/>
      <c r="Y754" s="351"/>
      <c r="Z754" s="351"/>
    </row>
    <row r="755">
      <c r="A755" s="351"/>
      <c r="B755" s="351"/>
      <c r="C755" s="351"/>
      <c r="D755" s="351"/>
      <c r="E755" s="351"/>
      <c r="F755" s="351"/>
      <c r="G755" s="351"/>
      <c r="H755" s="351"/>
      <c r="I755" s="351"/>
      <c r="J755" s="351"/>
      <c r="K755" s="351"/>
      <c r="L755" s="351"/>
      <c r="M755" s="351"/>
      <c r="N755" s="351"/>
      <c r="O755" s="351"/>
      <c r="P755" s="351"/>
      <c r="Q755" s="351"/>
      <c r="R755" s="351"/>
      <c r="S755" s="351"/>
      <c r="T755" s="351"/>
      <c r="U755" s="351"/>
      <c r="V755" s="351"/>
      <c r="W755" s="351"/>
      <c r="X755" s="351"/>
      <c r="Y755" s="351"/>
      <c r="Z755" s="351"/>
    </row>
    <row r="756">
      <c r="A756" s="351"/>
      <c r="B756" s="351"/>
      <c r="C756" s="351"/>
      <c r="D756" s="351"/>
      <c r="E756" s="351"/>
      <c r="F756" s="351"/>
      <c r="G756" s="351"/>
      <c r="H756" s="351"/>
      <c r="I756" s="351"/>
      <c r="J756" s="351"/>
      <c r="K756" s="351"/>
      <c r="L756" s="351"/>
      <c r="M756" s="351"/>
      <c r="N756" s="351"/>
      <c r="O756" s="351"/>
      <c r="P756" s="351"/>
      <c r="Q756" s="351"/>
      <c r="R756" s="351"/>
      <c r="S756" s="351"/>
      <c r="T756" s="351"/>
      <c r="U756" s="351"/>
      <c r="V756" s="351"/>
      <c r="W756" s="351"/>
      <c r="X756" s="351"/>
      <c r="Y756" s="351"/>
      <c r="Z756" s="351"/>
    </row>
    <row r="757">
      <c r="A757" s="351"/>
      <c r="B757" s="351"/>
      <c r="C757" s="351"/>
      <c r="D757" s="351"/>
      <c r="E757" s="351"/>
      <c r="F757" s="351"/>
      <c r="G757" s="351"/>
      <c r="H757" s="351"/>
      <c r="I757" s="351"/>
      <c r="J757" s="351"/>
      <c r="K757" s="351"/>
      <c r="L757" s="351"/>
      <c r="M757" s="351"/>
      <c r="N757" s="351"/>
      <c r="O757" s="351"/>
      <c r="P757" s="351"/>
      <c r="Q757" s="351"/>
      <c r="R757" s="351"/>
      <c r="S757" s="351"/>
      <c r="T757" s="351"/>
      <c r="U757" s="351"/>
      <c r="V757" s="351"/>
      <c r="W757" s="351"/>
      <c r="X757" s="351"/>
      <c r="Y757" s="351"/>
      <c r="Z757" s="351"/>
    </row>
    <row r="758">
      <c r="A758" s="351"/>
      <c r="B758" s="351"/>
      <c r="C758" s="351"/>
      <c r="D758" s="351"/>
      <c r="E758" s="351"/>
      <c r="F758" s="351"/>
      <c r="G758" s="351"/>
      <c r="H758" s="351"/>
      <c r="I758" s="351"/>
      <c r="J758" s="351"/>
      <c r="K758" s="351"/>
      <c r="L758" s="351"/>
      <c r="M758" s="351"/>
      <c r="N758" s="351"/>
      <c r="O758" s="351"/>
      <c r="P758" s="351"/>
      <c r="Q758" s="351"/>
      <c r="R758" s="351"/>
      <c r="S758" s="351"/>
      <c r="T758" s="351"/>
      <c r="U758" s="351"/>
      <c r="V758" s="351"/>
      <c r="W758" s="351"/>
      <c r="X758" s="351"/>
      <c r="Y758" s="351"/>
      <c r="Z758" s="351"/>
    </row>
    <row r="759">
      <c r="A759" s="351"/>
      <c r="B759" s="351"/>
      <c r="C759" s="351"/>
      <c r="D759" s="351"/>
      <c r="E759" s="351"/>
      <c r="F759" s="351"/>
      <c r="G759" s="351"/>
      <c r="H759" s="351"/>
      <c r="I759" s="351"/>
      <c r="J759" s="351"/>
      <c r="K759" s="351"/>
      <c r="L759" s="351"/>
      <c r="M759" s="351"/>
      <c r="N759" s="351"/>
      <c r="O759" s="351"/>
      <c r="P759" s="351"/>
      <c r="Q759" s="351"/>
      <c r="R759" s="351"/>
      <c r="S759" s="351"/>
      <c r="T759" s="351"/>
      <c r="U759" s="351"/>
      <c r="V759" s="351"/>
      <c r="W759" s="351"/>
      <c r="X759" s="351"/>
      <c r="Y759" s="351"/>
      <c r="Z759" s="351"/>
    </row>
    <row r="760">
      <c r="A760" s="351"/>
      <c r="B760" s="351"/>
      <c r="C760" s="351"/>
      <c r="D760" s="351"/>
      <c r="E760" s="351"/>
      <c r="F760" s="351"/>
      <c r="G760" s="351"/>
      <c r="H760" s="351"/>
      <c r="I760" s="351"/>
      <c r="J760" s="351"/>
      <c r="K760" s="351"/>
      <c r="L760" s="351"/>
      <c r="M760" s="351"/>
      <c r="N760" s="351"/>
      <c r="O760" s="351"/>
      <c r="P760" s="351"/>
      <c r="Q760" s="351"/>
      <c r="R760" s="351"/>
      <c r="S760" s="351"/>
      <c r="T760" s="351"/>
      <c r="U760" s="351"/>
      <c r="V760" s="351"/>
      <c r="W760" s="351"/>
      <c r="X760" s="351"/>
      <c r="Y760" s="351"/>
      <c r="Z760" s="351"/>
    </row>
    <row r="761">
      <c r="A761" s="351"/>
      <c r="B761" s="351"/>
      <c r="C761" s="351"/>
      <c r="D761" s="351"/>
      <c r="E761" s="351"/>
      <c r="F761" s="351"/>
      <c r="G761" s="351"/>
      <c r="H761" s="351"/>
      <c r="I761" s="351"/>
      <c r="J761" s="351"/>
      <c r="K761" s="351"/>
      <c r="L761" s="351"/>
      <c r="M761" s="351"/>
      <c r="N761" s="351"/>
      <c r="O761" s="351"/>
      <c r="P761" s="351"/>
      <c r="Q761" s="351"/>
      <c r="R761" s="351"/>
      <c r="S761" s="351"/>
      <c r="T761" s="351"/>
      <c r="U761" s="351"/>
      <c r="V761" s="351"/>
      <c r="W761" s="351"/>
      <c r="X761" s="351"/>
      <c r="Y761" s="351"/>
      <c r="Z761" s="351"/>
    </row>
    <row r="762">
      <c r="A762" s="351"/>
      <c r="B762" s="351"/>
      <c r="C762" s="351"/>
      <c r="D762" s="351"/>
      <c r="E762" s="351"/>
      <c r="F762" s="351"/>
      <c r="G762" s="351"/>
      <c r="H762" s="351"/>
      <c r="I762" s="351"/>
      <c r="J762" s="351"/>
      <c r="K762" s="351"/>
      <c r="L762" s="351"/>
      <c r="M762" s="351"/>
      <c r="N762" s="351"/>
      <c r="O762" s="351"/>
      <c r="P762" s="351"/>
      <c r="Q762" s="351"/>
      <c r="R762" s="351"/>
      <c r="S762" s="351"/>
      <c r="T762" s="351"/>
      <c r="U762" s="351"/>
      <c r="V762" s="351"/>
      <c r="W762" s="351"/>
      <c r="X762" s="351"/>
      <c r="Y762" s="351"/>
      <c r="Z762" s="351"/>
    </row>
    <row r="763">
      <c r="A763" s="351"/>
      <c r="B763" s="351"/>
      <c r="C763" s="351"/>
      <c r="D763" s="351"/>
      <c r="E763" s="351"/>
      <c r="F763" s="351"/>
      <c r="G763" s="351"/>
      <c r="H763" s="351"/>
      <c r="I763" s="351"/>
      <c r="J763" s="351"/>
      <c r="K763" s="351"/>
      <c r="L763" s="351"/>
      <c r="M763" s="351"/>
      <c r="N763" s="351"/>
      <c r="O763" s="351"/>
      <c r="P763" s="351"/>
      <c r="Q763" s="351"/>
      <c r="R763" s="351"/>
      <c r="S763" s="351"/>
      <c r="T763" s="351"/>
      <c r="U763" s="351"/>
      <c r="V763" s="351"/>
      <c r="W763" s="351"/>
      <c r="X763" s="351"/>
      <c r="Y763" s="351"/>
      <c r="Z763" s="351"/>
    </row>
    <row r="764">
      <c r="A764" s="351"/>
      <c r="B764" s="351"/>
      <c r="C764" s="351"/>
      <c r="D764" s="351"/>
      <c r="E764" s="351"/>
      <c r="F764" s="351"/>
      <c r="G764" s="351"/>
      <c r="H764" s="351"/>
      <c r="I764" s="351"/>
      <c r="J764" s="351"/>
      <c r="K764" s="351"/>
      <c r="L764" s="351"/>
      <c r="M764" s="351"/>
      <c r="N764" s="351"/>
      <c r="O764" s="351"/>
      <c r="P764" s="351"/>
      <c r="Q764" s="351"/>
      <c r="R764" s="351"/>
      <c r="S764" s="351"/>
      <c r="T764" s="351"/>
      <c r="U764" s="351"/>
      <c r="V764" s="351"/>
      <c r="W764" s="351"/>
      <c r="X764" s="351"/>
      <c r="Y764" s="351"/>
      <c r="Z764" s="351"/>
    </row>
    <row r="765">
      <c r="A765" s="351"/>
      <c r="B765" s="351"/>
      <c r="C765" s="351"/>
      <c r="D765" s="351"/>
      <c r="E765" s="351"/>
      <c r="F765" s="351"/>
      <c r="G765" s="351"/>
      <c r="H765" s="351"/>
      <c r="I765" s="351"/>
      <c r="J765" s="351"/>
      <c r="K765" s="351"/>
      <c r="L765" s="351"/>
      <c r="M765" s="351"/>
      <c r="N765" s="351"/>
      <c r="O765" s="351"/>
      <c r="P765" s="351"/>
      <c r="Q765" s="351"/>
      <c r="R765" s="351"/>
      <c r="S765" s="351"/>
      <c r="T765" s="351"/>
      <c r="U765" s="351"/>
      <c r="V765" s="351"/>
      <c r="W765" s="351"/>
      <c r="X765" s="351"/>
      <c r="Y765" s="351"/>
      <c r="Z765" s="351"/>
    </row>
    <row r="766">
      <c r="A766" s="351"/>
      <c r="B766" s="351"/>
      <c r="C766" s="351"/>
      <c r="D766" s="351"/>
      <c r="E766" s="351"/>
      <c r="F766" s="351"/>
      <c r="G766" s="351"/>
      <c r="H766" s="351"/>
      <c r="I766" s="351"/>
      <c r="J766" s="351"/>
      <c r="K766" s="351"/>
      <c r="L766" s="351"/>
      <c r="M766" s="351"/>
      <c r="N766" s="351"/>
      <c r="O766" s="351"/>
      <c r="P766" s="351"/>
      <c r="Q766" s="351"/>
      <c r="R766" s="351"/>
      <c r="S766" s="351"/>
      <c r="T766" s="351"/>
      <c r="U766" s="351"/>
      <c r="V766" s="351"/>
      <c r="W766" s="351"/>
      <c r="X766" s="351"/>
      <c r="Y766" s="351"/>
      <c r="Z766" s="351"/>
    </row>
    <row r="767">
      <c r="A767" s="351"/>
      <c r="B767" s="351"/>
      <c r="C767" s="351"/>
      <c r="D767" s="351"/>
      <c r="E767" s="351"/>
      <c r="F767" s="351"/>
      <c r="G767" s="351"/>
      <c r="H767" s="351"/>
      <c r="I767" s="351"/>
      <c r="J767" s="351"/>
      <c r="K767" s="351"/>
      <c r="L767" s="351"/>
      <c r="M767" s="351"/>
      <c r="N767" s="351"/>
      <c r="O767" s="351"/>
      <c r="P767" s="351"/>
      <c r="Q767" s="351"/>
      <c r="R767" s="351"/>
      <c r="S767" s="351"/>
      <c r="T767" s="351"/>
      <c r="U767" s="351"/>
      <c r="V767" s="351"/>
      <c r="W767" s="351"/>
      <c r="X767" s="351"/>
      <c r="Y767" s="351"/>
      <c r="Z767" s="351"/>
    </row>
    <row r="768">
      <c r="A768" s="351"/>
      <c r="B768" s="351"/>
      <c r="C768" s="351"/>
      <c r="D768" s="351"/>
      <c r="E768" s="351"/>
      <c r="F768" s="351"/>
      <c r="G768" s="351"/>
      <c r="H768" s="351"/>
      <c r="I768" s="351"/>
      <c r="J768" s="351"/>
      <c r="K768" s="351"/>
      <c r="L768" s="351"/>
      <c r="M768" s="351"/>
      <c r="N768" s="351"/>
      <c r="O768" s="351"/>
      <c r="P768" s="351"/>
      <c r="Q768" s="351"/>
      <c r="R768" s="351"/>
      <c r="S768" s="351"/>
      <c r="T768" s="351"/>
      <c r="U768" s="351"/>
      <c r="V768" s="351"/>
      <c r="W768" s="351"/>
      <c r="X768" s="351"/>
      <c r="Y768" s="351"/>
      <c r="Z768" s="351"/>
    </row>
    <row r="769">
      <c r="A769" s="351"/>
      <c r="B769" s="351"/>
      <c r="C769" s="351"/>
      <c r="D769" s="351"/>
      <c r="E769" s="351"/>
      <c r="F769" s="351"/>
      <c r="G769" s="351"/>
      <c r="H769" s="351"/>
      <c r="I769" s="351"/>
      <c r="J769" s="351"/>
      <c r="K769" s="351"/>
      <c r="L769" s="351"/>
      <c r="M769" s="351"/>
      <c r="N769" s="351"/>
      <c r="O769" s="351"/>
      <c r="P769" s="351"/>
      <c r="Q769" s="351"/>
      <c r="R769" s="351"/>
      <c r="S769" s="351"/>
      <c r="T769" s="351"/>
      <c r="U769" s="351"/>
      <c r="V769" s="351"/>
      <c r="W769" s="351"/>
      <c r="X769" s="351"/>
      <c r="Y769" s="351"/>
      <c r="Z769" s="351"/>
    </row>
    <row r="770">
      <c r="A770" s="351"/>
      <c r="B770" s="351"/>
      <c r="C770" s="351"/>
      <c r="D770" s="351"/>
      <c r="E770" s="351"/>
      <c r="F770" s="351"/>
      <c r="G770" s="351"/>
      <c r="H770" s="351"/>
      <c r="I770" s="351"/>
      <c r="J770" s="351"/>
      <c r="K770" s="351"/>
      <c r="L770" s="351"/>
      <c r="M770" s="351"/>
      <c r="N770" s="351"/>
      <c r="O770" s="351"/>
      <c r="P770" s="351"/>
      <c r="Q770" s="351"/>
      <c r="R770" s="351"/>
      <c r="S770" s="351"/>
      <c r="T770" s="351"/>
      <c r="U770" s="351"/>
      <c r="V770" s="351"/>
      <c r="W770" s="351"/>
      <c r="X770" s="351"/>
      <c r="Y770" s="351"/>
      <c r="Z770" s="351"/>
    </row>
    <row r="771">
      <c r="A771" s="351"/>
      <c r="B771" s="351"/>
      <c r="C771" s="351"/>
      <c r="D771" s="351"/>
      <c r="E771" s="351"/>
      <c r="F771" s="351"/>
      <c r="G771" s="351"/>
      <c r="H771" s="351"/>
      <c r="I771" s="351"/>
      <c r="J771" s="351"/>
      <c r="K771" s="351"/>
      <c r="L771" s="351"/>
      <c r="M771" s="351"/>
      <c r="N771" s="351"/>
      <c r="O771" s="351"/>
      <c r="P771" s="351"/>
      <c r="Q771" s="351"/>
      <c r="R771" s="351"/>
      <c r="S771" s="351"/>
      <c r="T771" s="351"/>
      <c r="U771" s="351"/>
      <c r="V771" s="351"/>
      <c r="W771" s="351"/>
      <c r="X771" s="351"/>
      <c r="Y771" s="351"/>
      <c r="Z771" s="351"/>
    </row>
    <row r="772">
      <c r="A772" s="351"/>
      <c r="B772" s="351"/>
      <c r="C772" s="351"/>
      <c r="D772" s="351"/>
      <c r="E772" s="351"/>
      <c r="F772" s="351"/>
      <c r="G772" s="351"/>
      <c r="H772" s="351"/>
      <c r="I772" s="351"/>
      <c r="J772" s="351"/>
      <c r="K772" s="351"/>
      <c r="L772" s="351"/>
      <c r="M772" s="351"/>
      <c r="N772" s="351"/>
      <c r="O772" s="351"/>
      <c r="P772" s="351"/>
      <c r="Q772" s="351"/>
      <c r="R772" s="351"/>
      <c r="S772" s="351"/>
      <c r="T772" s="351"/>
      <c r="U772" s="351"/>
      <c r="V772" s="351"/>
      <c r="W772" s="351"/>
      <c r="X772" s="351"/>
      <c r="Y772" s="351"/>
      <c r="Z772" s="351"/>
    </row>
    <row r="773">
      <c r="A773" s="351"/>
      <c r="B773" s="351"/>
      <c r="C773" s="351"/>
      <c r="D773" s="351"/>
      <c r="E773" s="351"/>
      <c r="F773" s="351"/>
      <c r="G773" s="351"/>
      <c r="H773" s="351"/>
      <c r="I773" s="351"/>
      <c r="J773" s="351"/>
      <c r="K773" s="351"/>
      <c r="L773" s="351"/>
      <c r="M773" s="351"/>
      <c r="N773" s="351"/>
      <c r="O773" s="351"/>
      <c r="P773" s="351"/>
      <c r="Q773" s="351"/>
      <c r="R773" s="351"/>
      <c r="S773" s="351"/>
      <c r="T773" s="351"/>
      <c r="U773" s="351"/>
      <c r="V773" s="351"/>
      <c r="W773" s="351"/>
      <c r="X773" s="351"/>
      <c r="Y773" s="351"/>
      <c r="Z773" s="351"/>
    </row>
    <row r="774">
      <c r="A774" s="351"/>
      <c r="B774" s="351"/>
      <c r="C774" s="351"/>
      <c r="D774" s="351"/>
      <c r="E774" s="351"/>
      <c r="F774" s="351"/>
      <c r="G774" s="351"/>
      <c r="H774" s="351"/>
      <c r="I774" s="351"/>
      <c r="J774" s="351"/>
      <c r="K774" s="351"/>
      <c r="L774" s="351"/>
      <c r="M774" s="351"/>
      <c r="N774" s="351"/>
      <c r="O774" s="351"/>
      <c r="P774" s="351"/>
      <c r="Q774" s="351"/>
      <c r="R774" s="351"/>
      <c r="S774" s="351"/>
      <c r="T774" s="351"/>
      <c r="U774" s="351"/>
      <c r="V774" s="351"/>
      <c r="W774" s="351"/>
      <c r="X774" s="351"/>
      <c r="Y774" s="351"/>
      <c r="Z774" s="351"/>
    </row>
    <row r="775">
      <c r="A775" s="351"/>
      <c r="B775" s="351"/>
      <c r="C775" s="351"/>
      <c r="D775" s="351"/>
      <c r="E775" s="351"/>
      <c r="F775" s="351"/>
      <c r="G775" s="351"/>
      <c r="H775" s="351"/>
      <c r="I775" s="351"/>
      <c r="J775" s="351"/>
      <c r="K775" s="351"/>
      <c r="L775" s="351"/>
      <c r="M775" s="351"/>
      <c r="N775" s="351"/>
      <c r="O775" s="351"/>
      <c r="P775" s="351"/>
      <c r="Q775" s="351"/>
      <c r="R775" s="351"/>
      <c r="S775" s="351"/>
      <c r="T775" s="351"/>
      <c r="U775" s="351"/>
      <c r="V775" s="351"/>
      <c r="W775" s="351"/>
      <c r="X775" s="351"/>
      <c r="Y775" s="351"/>
      <c r="Z775" s="351"/>
    </row>
    <row r="776">
      <c r="A776" s="351"/>
      <c r="B776" s="351"/>
      <c r="C776" s="351"/>
      <c r="D776" s="351"/>
      <c r="E776" s="351"/>
      <c r="F776" s="351"/>
      <c r="G776" s="351"/>
      <c r="H776" s="351"/>
      <c r="I776" s="351"/>
      <c r="J776" s="351"/>
      <c r="K776" s="351"/>
      <c r="L776" s="351"/>
      <c r="M776" s="351"/>
      <c r="N776" s="351"/>
      <c r="O776" s="351"/>
      <c r="P776" s="351"/>
      <c r="Q776" s="351"/>
      <c r="R776" s="351"/>
      <c r="S776" s="351"/>
      <c r="T776" s="351"/>
      <c r="U776" s="351"/>
      <c r="V776" s="351"/>
      <c r="W776" s="351"/>
      <c r="X776" s="351"/>
      <c r="Y776" s="351"/>
      <c r="Z776" s="351"/>
    </row>
    <row r="777">
      <c r="A777" s="351"/>
      <c r="B777" s="351"/>
      <c r="C777" s="351"/>
      <c r="D777" s="351"/>
      <c r="E777" s="351"/>
      <c r="F777" s="351"/>
      <c r="G777" s="351"/>
      <c r="H777" s="351"/>
      <c r="I777" s="351"/>
      <c r="J777" s="351"/>
      <c r="K777" s="351"/>
      <c r="L777" s="351"/>
      <c r="M777" s="351"/>
      <c r="N777" s="351"/>
      <c r="O777" s="351"/>
      <c r="P777" s="351"/>
      <c r="Q777" s="351"/>
      <c r="R777" s="351"/>
      <c r="S777" s="351"/>
      <c r="T777" s="351"/>
      <c r="U777" s="351"/>
      <c r="V777" s="351"/>
      <c r="W777" s="351"/>
      <c r="X777" s="351"/>
      <c r="Y777" s="351"/>
      <c r="Z777" s="351"/>
    </row>
    <row r="778">
      <c r="A778" s="351"/>
      <c r="B778" s="351"/>
      <c r="C778" s="351"/>
      <c r="D778" s="351"/>
      <c r="E778" s="351"/>
      <c r="F778" s="351"/>
      <c r="G778" s="351"/>
      <c r="H778" s="351"/>
      <c r="I778" s="351"/>
      <c r="J778" s="351"/>
      <c r="K778" s="351"/>
      <c r="L778" s="351"/>
      <c r="M778" s="351"/>
      <c r="N778" s="351"/>
      <c r="O778" s="351"/>
      <c r="P778" s="351"/>
      <c r="Q778" s="351"/>
      <c r="R778" s="351"/>
      <c r="S778" s="351"/>
      <c r="T778" s="351"/>
      <c r="U778" s="351"/>
      <c r="V778" s="351"/>
      <c r="W778" s="351"/>
      <c r="X778" s="351"/>
      <c r="Y778" s="351"/>
      <c r="Z778" s="351"/>
    </row>
    <row r="779">
      <c r="A779" s="351"/>
      <c r="B779" s="351"/>
      <c r="C779" s="351"/>
      <c r="D779" s="351"/>
      <c r="E779" s="351"/>
      <c r="F779" s="351"/>
      <c r="G779" s="351"/>
      <c r="H779" s="351"/>
      <c r="I779" s="351"/>
      <c r="J779" s="351"/>
      <c r="K779" s="351"/>
      <c r="L779" s="351"/>
      <c r="M779" s="351"/>
      <c r="N779" s="351"/>
      <c r="O779" s="351"/>
      <c r="P779" s="351"/>
      <c r="Q779" s="351"/>
      <c r="R779" s="351"/>
      <c r="S779" s="351"/>
      <c r="T779" s="351"/>
      <c r="U779" s="351"/>
      <c r="V779" s="351"/>
      <c r="W779" s="351"/>
      <c r="X779" s="351"/>
      <c r="Y779" s="351"/>
      <c r="Z779" s="351"/>
    </row>
    <row r="780">
      <c r="A780" s="351"/>
      <c r="B780" s="351"/>
      <c r="C780" s="351"/>
      <c r="D780" s="351"/>
      <c r="E780" s="351"/>
      <c r="F780" s="351"/>
      <c r="G780" s="351"/>
      <c r="H780" s="351"/>
      <c r="I780" s="351"/>
      <c r="J780" s="351"/>
      <c r="K780" s="351"/>
      <c r="L780" s="351"/>
      <c r="M780" s="351"/>
      <c r="N780" s="351"/>
      <c r="O780" s="351"/>
      <c r="P780" s="351"/>
      <c r="Q780" s="351"/>
      <c r="R780" s="351"/>
      <c r="S780" s="351"/>
      <c r="T780" s="351"/>
      <c r="U780" s="351"/>
      <c r="V780" s="351"/>
      <c r="W780" s="351"/>
      <c r="X780" s="351"/>
      <c r="Y780" s="351"/>
      <c r="Z780" s="351"/>
    </row>
    <row r="781">
      <c r="A781" s="351"/>
      <c r="B781" s="351"/>
      <c r="C781" s="351"/>
      <c r="D781" s="351"/>
      <c r="E781" s="351"/>
      <c r="F781" s="351"/>
      <c r="G781" s="351"/>
      <c r="H781" s="351"/>
      <c r="I781" s="351"/>
      <c r="J781" s="351"/>
      <c r="K781" s="351"/>
      <c r="L781" s="351"/>
      <c r="M781" s="351"/>
      <c r="N781" s="351"/>
      <c r="O781" s="351"/>
      <c r="P781" s="351"/>
      <c r="Q781" s="351"/>
      <c r="R781" s="351"/>
      <c r="S781" s="351"/>
      <c r="T781" s="351"/>
      <c r="U781" s="351"/>
      <c r="V781" s="351"/>
      <c r="W781" s="351"/>
      <c r="X781" s="351"/>
      <c r="Y781" s="351"/>
      <c r="Z781" s="351"/>
    </row>
    <row r="782">
      <c r="A782" s="351"/>
      <c r="B782" s="351"/>
      <c r="C782" s="351"/>
      <c r="D782" s="351"/>
      <c r="E782" s="351"/>
      <c r="F782" s="351"/>
      <c r="G782" s="351"/>
      <c r="H782" s="351"/>
      <c r="I782" s="351"/>
      <c r="J782" s="351"/>
      <c r="K782" s="351"/>
      <c r="L782" s="351"/>
      <c r="M782" s="351"/>
      <c r="N782" s="351"/>
      <c r="O782" s="351"/>
      <c r="P782" s="351"/>
      <c r="Q782" s="351"/>
      <c r="R782" s="351"/>
      <c r="S782" s="351"/>
      <c r="T782" s="351"/>
      <c r="U782" s="351"/>
      <c r="V782" s="351"/>
      <c r="W782" s="351"/>
      <c r="X782" s="351"/>
      <c r="Y782" s="351"/>
      <c r="Z782" s="351"/>
    </row>
    <row r="783">
      <c r="A783" s="351"/>
      <c r="B783" s="351"/>
      <c r="C783" s="351"/>
      <c r="D783" s="351"/>
      <c r="E783" s="351"/>
      <c r="F783" s="351"/>
      <c r="G783" s="351"/>
      <c r="H783" s="351"/>
      <c r="I783" s="351"/>
      <c r="J783" s="351"/>
      <c r="K783" s="351"/>
      <c r="L783" s="351"/>
      <c r="M783" s="351"/>
      <c r="N783" s="351"/>
      <c r="O783" s="351"/>
      <c r="P783" s="351"/>
      <c r="Q783" s="351"/>
      <c r="R783" s="351"/>
      <c r="S783" s="351"/>
      <c r="T783" s="351"/>
      <c r="U783" s="351"/>
      <c r="V783" s="351"/>
      <c r="W783" s="351"/>
      <c r="X783" s="351"/>
      <c r="Y783" s="351"/>
      <c r="Z783" s="351"/>
    </row>
    <row r="784">
      <c r="A784" s="351"/>
      <c r="B784" s="351"/>
      <c r="C784" s="351"/>
      <c r="D784" s="351"/>
      <c r="E784" s="351"/>
      <c r="F784" s="351"/>
      <c r="G784" s="351"/>
      <c r="H784" s="351"/>
      <c r="I784" s="351"/>
      <c r="J784" s="351"/>
      <c r="K784" s="351"/>
      <c r="L784" s="351"/>
      <c r="M784" s="351"/>
      <c r="N784" s="351"/>
      <c r="O784" s="351"/>
      <c r="P784" s="351"/>
      <c r="Q784" s="351"/>
      <c r="R784" s="351"/>
      <c r="S784" s="351"/>
      <c r="T784" s="351"/>
      <c r="U784" s="351"/>
      <c r="V784" s="351"/>
      <c r="W784" s="351"/>
      <c r="X784" s="351"/>
      <c r="Y784" s="351"/>
      <c r="Z784" s="351"/>
    </row>
    <row r="785">
      <c r="A785" s="351"/>
      <c r="B785" s="351"/>
      <c r="C785" s="351"/>
      <c r="D785" s="351"/>
      <c r="E785" s="351"/>
      <c r="F785" s="351"/>
      <c r="G785" s="351"/>
      <c r="H785" s="351"/>
      <c r="I785" s="351"/>
      <c r="J785" s="351"/>
      <c r="K785" s="351"/>
      <c r="L785" s="351"/>
      <c r="M785" s="351"/>
      <c r="N785" s="351"/>
      <c r="O785" s="351"/>
      <c r="P785" s="351"/>
      <c r="Q785" s="351"/>
      <c r="R785" s="351"/>
      <c r="S785" s="351"/>
      <c r="T785" s="351"/>
      <c r="U785" s="351"/>
      <c r="V785" s="351"/>
      <c r="W785" s="351"/>
      <c r="X785" s="351"/>
      <c r="Y785" s="351"/>
      <c r="Z785" s="351"/>
    </row>
    <row r="786">
      <c r="A786" s="351"/>
      <c r="B786" s="351"/>
      <c r="C786" s="351"/>
      <c r="D786" s="351"/>
      <c r="E786" s="351"/>
      <c r="F786" s="351"/>
      <c r="G786" s="351"/>
      <c r="H786" s="351"/>
      <c r="I786" s="351"/>
      <c r="J786" s="351"/>
      <c r="K786" s="351"/>
      <c r="L786" s="351"/>
      <c r="M786" s="351"/>
      <c r="N786" s="351"/>
      <c r="O786" s="351"/>
      <c r="P786" s="351"/>
      <c r="Q786" s="351"/>
      <c r="R786" s="351"/>
      <c r="S786" s="351"/>
      <c r="T786" s="351"/>
      <c r="U786" s="351"/>
      <c r="V786" s="351"/>
      <c r="W786" s="351"/>
      <c r="X786" s="351"/>
      <c r="Y786" s="351"/>
      <c r="Z786" s="351"/>
    </row>
    <row r="787">
      <c r="A787" s="351"/>
      <c r="B787" s="351"/>
      <c r="C787" s="351"/>
      <c r="D787" s="351"/>
      <c r="E787" s="351"/>
      <c r="F787" s="351"/>
      <c r="G787" s="351"/>
      <c r="H787" s="351"/>
      <c r="I787" s="351"/>
      <c r="J787" s="351"/>
      <c r="K787" s="351"/>
      <c r="L787" s="351"/>
      <c r="M787" s="351"/>
      <c r="N787" s="351"/>
      <c r="O787" s="351"/>
      <c r="P787" s="351"/>
      <c r="Q787" s="351"/>
      <c r="R787" s="351"/>
      <c r="S787" s="351"/>
      <c r="T787" s="351"/>
      <c r="U787" s="351"/>
      <c r="V787" s="351"/>
      <c r="W787" s="351"/>
      <c r="X787" s="351"/>
      <c r="Y787" s="351"/>
      <c r="Z787" s="351"/>
    </row>
    <row r="788">
      <c r="A788" s="351"/>
      <c r="B788" s="351"/>
      <c r="C788" s="351"/>
      <c r="D788" s="351"/>
      <c r="E788" s="351"/>
      <c r="F788" s="351"/>
      <c r="G788" s="351"/>
      <c r="H788" s="351"/>
      <c r="I788" s="351"/>
      <c r="J788" s="351"/>
      <c r="K788" s="351"/>
      <c r="L788" s="351"/>
      <c r="M788" s="351"/>
      <c r="N788" s="351"/>
      <c r="O788" s="351"/>
      <c r="P788" s="351"/>
      <c r="Q788" s="351"/>
      <c r="R788" s="351"/>
      <c r="S788" s="351"/>
      <c r="T788" s="351"/>
      <c r="U788" s="351"/>
      <c r="V788" s="351"/>
      <c r="W788" s="351"/>
      <c r="X788" s="351"/>
      <c r="Y788" s="351"/>
      <c r="Z788" s="351"/>
    </row>
    <row r="789">
      <c r="A789" s="351"/>
      <c r="B789" s="351"/>
      <c r="C789" s="351"/>
      <c r="D789" s="351"/>
      <c r="E789" s="351"/>
      <c r="F789" s="351"/>
      <c r="G789" s="351"/>
      <c r="H789" s="351"/>
      <c r="I789" s="351"/>
      <c r="J789" s="351"/>
      <c r="K789" s="351"/>
      <c r="L789" s="351"/>
      <c r="M789" s="351"/>
      <c r="N789" s="351"/>
      <c r="O789" s="351"/>
      <c r="P789" s="351"/>
      <c r="Q789" s="351"/>
      <c r="R789" s="351"/>
      <c r="S789" s="351"/>
      <c r="T789" s="351"/>
      <c r="U789" s="351"/>
      <c r="V789" s="351"/>
      <c r="W789" s="351"/>
      <c r="X789" s="351"/>
      <c r="Y789" s="351"/>
      <c r="Z789" s="351"/>
    </row>
    <row r="790">
      <c r="A790" s="351"/>
      <c r="B790" s="351"/>
      <c r="C790" s="351"/>
      <c r="D790" s="351"/>
      <c r="E790" s="351"/>
      <c r="F790" s="351"/>
      <c r="G790" s="351"/>
      <c r="H790" s="351"/>
      <c r="I790" s="351"/>
      <c r="J790" s="351"/>
      <c r="K790" s="351"/>
      <c r="L790" s="351"/>
      <c r="M790" s="351"/>
      <c r="N790" s="351"/>
      <c r="O790" s="351"/>
      <c r="P790" s="351"/>
      <c r="Q790" s="351"/>
      <c r="R790" s="351"/>
      <c r="S790" s="351"/>
      <c r="T790" s="351"/>
      <c r="U790" s="351"/>
      <c r="V790" s="351"/>
      <c r="W790" s="351"/>
      <c r="X790" s="351"/>
      <c r="Y790" s="351"/>
      <c r="Z790" s="351"/>
    </row>
    <row r="791">
      <c r="A791" s="351"/>
      <c r="B791" s="351"/>
      <c r="C791" s="351"/>
      <c r="D791" s="351"/>
      <c r="E791" s="351"/>
      <c r="F791" s="351"/>
      <c r="G791" s="351"/>
      <c r="H791" s="351"/>
      <c r="I791" s="351"/>
      <c r="J791" s="351"/>
      <c r="K791" s="351"/>
      <c r="L791" s="351"/>
      <c r="M791" s="351"/>
      <c r="N791" s="351"/>
      <c r="O791" s="351"/>
      <c r="P791" s="351"/>
      <c r="Q791" s="351"/>
      <c r="R791" s="351"/>
      <c r="S791" s="351"/>
      <c r="T791" s="351"/>
      <c r="U791" s="351"/>
      <c r="V791" s="351"/>
      <c r="W791" s="351"/>
      <c r="X791" s="351"/>
      <c r="Y791" s="351"/>
      <c r="Z791" s="351"/>
    </row>
    <row r="792">
      <c r="A792" s="351"/>
      <c r="B792" s="351"/>
      <c r="C792" s="351"/>
      <c r="D792" s="351"/>
      <c r="E792" s="351"/>
      <c r="F792" s="351"/>
      <c r="G792" s="351"/>
      <c r="H792" s="351"/>
      <c r="I792" s="351"/>
      <c r="J792" s="351"/>
      <c r="K792" s="351"/>
      <c r="L792" s="351"/>
      <c r="M792" s="351"/>
      <c r="N792" s="351"/>
      <c r="O792" s="351"/>
      <c r="P792" s="351"/>
      <c r="Q792" s="351"/>
      <c r="R792" s="351"/>
      <c r="S792" s="351"/>
      <c r="T792" s="351"/>
      <c r="U792" s="351"/>
      <c r="V792" s="351"/>
      <c r="W792" s="351"/>
      <c r="X792" s="351"/>
      <c r="Y792" s="351"/>
      <c r="Z792" s="351"/>
    </row>
    <row r="793">
      <c r="A793" s="351"/>
      <c r="B793" s="351"/>
      <c r="C793" s="351"/>
      <c r="D793" s="351"/>
      <c r="E793" s="351"/>
      <c r="F793" s="351"/>
      <c r="G793" s="351"/>
      <c r="H793" s="351"/>
      <c r="I793" s="351"/>
      <c r="J793" s="351"/>
      <c r="K793" s="351"/>
      <c r="L793" s="351"/>
      <c r="M793" s="351"/>
      <c r="N793" s="351"/>
      <c r="O793" s="351"/>
      <c r="P793" s="351"/>
      <c r="Q793" s="351"/>
      <c r="R793" s="351"/>
      <c r="S793" s="351"/>
      <c r="T793" s="351"/>
      <c r="U793" s="351"/>
      <c r="V793" s="351"/>
      <c r="W793" s="351"/>
      <c r="X793" s="351"/>
      <c r="Y793" s="351"/>
      <c r="Z793" s="351"/>
    </row>
    <row r="794">
      <c r="A794" s="351"/>
      <c r="B794" s="351"/>
      <c r="C794" s="351"/>
      <c r="D794" s="351"/>
      <c r="E794" s="351"/>
      <c r="F794" s="351"/>
      <c r="G794" s="351"/>
      <c r="H794" s="351"/>
      <c r="I794" s="351"/>
      <c r="J794" s="351"/>
      <c r="K794" s="351"/>
      <c r="L794" s="351"/>
      <c r="M794" s="351"/>
      <c r="N794" s="351"/>
      <c r="O794" s="351"/>
      <c r="P794" s="351"/>
      <c r="Q794" s="351"/>
      <c r="R794" s="351"/>
      <c r="S794" s="351"/>
      <c r="T794" s="351"/>
      <c r="U794" s="351"/>
      <c r="V794" s="351"/>
      <c r="W794" s="351"/>
      <c r="X794" s="351"/>
      <c r="Y794" s="351"/>
      <c r="Z794" s="351"/>
    </row>
    <row r="795">
      <c r="A795" s="351"/>
      <c r="B795" s="351"/>
      <c r="C795" s="351"/>
      <c r="D795" s="351"/>
      <c r="E795" s="351"/>
      <c r="F795" s="351"/>
      <c r="G795" s="351"/>
      <c r="H795" s="351"/>
      <c r="I795" s="351"/>
      <c r="J795" s="351"/>
      <c r="K795" s="351"/>
      <c r="L795" s="351"/>
      <c r="M795" s="351"/>
      <c r="N795" s="351"/>
      <c r="O795" s="351"/>
      <c r="P795" s="351"/>
      <c r="Q795" s="351"/>
      <c r="R795" s="351"/>
      <c r="S795" s="351"/>
      <c r="T795" s="351"/>
      <c r="U795" s="351"/>
      <c r="V795" s="351"/>
      <c r="W795" s="351"/>
      <c r="X795" s="351"/>
      <c r="Y795" s="351"/>
      <c r="Z795" s="351"/>
    </row>
    <row r="796">
      <c r="A796" s="351"/>
      <c r="B796" s="351"/>
      <c r="C796" s="351"/>
      <c r="D796" s="351"/>
      <c r="E796" s="351"/>
      <c r="F796" s="351"/>
      <c r="G796" s="351"/>
      <c r="H796" s="351"/>
      <c r="I796" s="351"/>
      <c r="J796" s="351"/>
      <c r="K796" s="351"/>
      <c r="L796" s="351"/>
      <c r="M796" s="351"/>
      <c r="N796" s="351"/>
      <c r="O796" s="351"/>
      <c r="P796" s="351"/>
      <c r="Q796" s="351"/>
      <c r="R796" s="351"/>
      <c r="S796" s="351"/>
      <c r="T796" s="351"/>
      <c r="U796" s="351"/>
      <c r="V796" s="351"/>
      <c r="W796" s="351"/>
      <c r="X796" s="351"/>
      <c r="Y796" s="351"/>
      <c r="Z796" s="351"/>
    </row>
    <row r="797">
      <c r="A797" s="351"/>
      <c r="B797" s="351"/>
      <c r="C797" s="351"/>
      <c r="D797" s="351"/>
      <c r="E797" s="351"/>
      <c r="F797" s="351"/>
      <c r="G797" s="351"/>
      <c r="H797" s="351"/>
      <c r="I797" s="351"/>
      <c r="J797" s="351"/>
      <c r="K797" s="351"/>
      <c r="L797" s="351"/>
      <c r="M797" s="351"/>
      <c r="N797" s="351"/>
      <c r="O797" s="351"/>
      <c r="P797" s="351"/>
      <c r="Q797" s="351"/>
      <c r="R797" s="351"/>
      <c r="S797" s="351"/>
      <c r="T797" s="351"/>
      <c r="U797" s="351"/>
      <c r="V797" s="351"/>
      <c r="W797" s="351"/>
      <c r="X797" s="351"/>
      <c r="Y797" s="351"/>
      <c r="Z797" s="351"/>
    </row>
    <row r="798">
      <c r="A798" s="351"/>
      <c r="B798" s="351"/>
      <c r="C798" s="351"/>
      <c r="D798" s="351"/>
      <c r="E798" s="351"/>
      <c r="F798" s="351"/>
      <c r="G798" s="351"/>
      <c r="H798" s="351"/>
      <c r="I798" s="351"/>
      <c r="J798" s="351"/>
      <c r="K798" s="351"/>
      <c r="L798" s="351"/>
      <c r="M798" s="351"/>
      <c r="N798" s="351"/>
      <c r="O798" s="351"/>
      <c r="P798" s="351"/>
      <c r="Q798" s="351"/>
      <c r="R798" s="351"/>
      <c r="S798" s="351"/>
      <c r="T798" s="351"/>
      <c r="U798" s="351"/>
      <c r="V798" s="351"/>
      <c r="W798" s="351"/>
      <c r="X798" s="351"/>
      <c r="Y798" s="351"/>
      <c r="Z798" s="351"/>
    </row>
    <row r="799">
      <c r="A799" s="351"/>
      <c r="B799" s="351"/>
      <c r="C799" s="351"/>
      <c r="D799" s="351"/>
      <c r="E799" s="351"/>
      <c r="F799" s="351"/>
      <c r="G799" s="351"/>
      <c r="H799" s="351"/>
      <c r="I799" s="351"/>
      <c r="J799" s="351"/>
      <c r="K799" s="351"/>
      <c r="L799" s="351"/>
      <c r="M799" s="351"/>
      <c r="N799" s="351"/>
      <c r="O799" s="351"/>
      <c r="P799" s="351"/>
      <c r="Q799" s="351"/>
      <c r="R799" s="351"/>
      <c r="S799" s="351"/>
      <c r="T799" s="351"/>
      <c r="U799" s="351"/>
      <c r="V799" s="351"/>
      <c r="W799" s="351"/>
      <c r="X799" s="351"/>
      <c r="Y799" s="351"/>
      <c r="Z799" s="351"/>
    </row>
    <row r="800">
      <c r="A800" s="351"/>
      <c r="B800" s="351"/>
      <c r="C800" s="351"/>
      <c r="D800" s="351"/>
      <c r="E800" s="351"/>
      <c r="F800" s="351"/>
      <c r="G800" s="351"/>
      <c r="H800" s="351"/>
      <c r="I800" s="351"/>
      <c r="J800" s="351"/>
      <c r="K800" s="351"/>
      <c r="L800" s="351"/>
      <c r="M800" s="351"/>
      <c r="N800" s="351"/>
      <c r="O800" s="351"/>
      <c r="P800" s="351"/>
      <c r="Q800" s="351"/>
      <c r="R800" s="351"/>
      <c r="S800" s="351"/>
      <c r="T800" s="351"/>
      <c r="U800" s="351"/>
      <c r="V800" s="351"/>
      <c r="W800" s="351"/>
      <c r="X800" s="351"/>
      <c r="Y800" s="351"/>
      <c r="Z800" s="351"/>
    </row>
    <row r="801">
      <c r="A801" s="351"/>
      <c r="B801" s="351"/>
      <c r="C801" s="351"/>
      <c r="D801" s="351"/>
      <c r="E801" s="351"/>
      <c r="F801" s="351"/>
      <c r="G801" s="351"/>
      <c r="H801" s="351"/>
      <c r="I801" s="351"/>
      <c r="J801" s="351"/>
      <c r="K801" s="351"/>
      <c r="L801" s="351"/>
      <c r="M801" s="351"/>
      <c r="N801" s="351"/>
      <c r="O801" s="351"/>
      <c r="P801" s="351"/>
      <c r="Q801" s="351"/>
      <c r="R801" s="351"/>
      <c r="S801" s="351"/>
      <c r="T801" s="351"/>
      <c r="U801" s="351"/>
      <c r="V801" s="351"/>
      <c r="W801" s="351"/>
      <c r="X801" s="351"/>
      <c r="Y801" s="351"/>
      <c r="Z801" s="351"/>
    </row>
    <row r="802">
      <c r="A802" s="351"/>
      <c r="B802" s="351"/>
      <c r="C802" s="351"/>
      <c r="D802" s="351"/>
      <c r="E802" s="351"/>
      <c r="F802" s="351"/>
      <c r="G802" s="351"/>
      <c r="H802" s="351"/>
      <c r="I802" s="351"/>
      <c r="J802" s="351"/>
      <c r="K802" s="351"/>
      <c r="L802" s="351"/>
      <c r="M802" s="351"/>
      <c r="N802" s="351"/>
      <c r="O802" s="351"/>
      <c r="P802" s="351"/>
      <c r="Q802" s="351"/>
      <c r="R802" s="351"/>
      <c r="S802" s="351"/>
      <c r="T802" s="351"/>
      <c r="U802" s="351"/>
      <c r="V802" s="351"/>
      <c r="W802" s="351"/>
      <c r="X802" s="351"/>
      <c r="Y802" s="351"/>
      <c r="Z802" s="351"/>
    </row>
    <row r="803">
      <c r="A803" s="351"/>
      <c r="B803" s="351"/>
      <c r="C803" s="351"/>
      <c r="D803" s="351"/>
      <c r="E803" s="351"/>
      <c r="F803" s="351"/>
      <c r="G803" s="351"/>
      <c r="H803" s="351"/>
      <c r="I803" s="351"/>
      <c r="J803" s="351"/>
      <c r="K803" s="351"/>
      <c r="L803" s="351"/>
      <c r="M803" s="351"/>
      <c r="N803" s="351"/>
      <c r="O803" s="351"/>
      <c r="P803" s="351"/>
      <c r="Q803" s="351"/>
      <c r="R803" s="351"/>
      <c r="S803" s="351"/>
      <c r="T803" s="351"/>
      <c r="U803" s="351"/>
      <c r="V803" s="351"/>
      <c r="W803" s="351"/>
      <c r="X803" s="351"/>
      <c r="Y803" s="351"/>
      <c r="Z803" s="351"/>
    </row>
    <row r="804">
      <c r="A804" s="351"/>
      <c r="B804" s="351"/>
      <c r="C804" s="351"/>
      <c r="D804" s="351"/>
      <c r="E804" s="351"/>
      <c r="F804" s="351"/>
      <c r="G804" s="351"/>
      <c r="H804" s="351"/>
      <c r="I804" s="351"/>
      <c r="J804" s="351"/>
      <c r="K804" s="351"/>
      <c r="L804" s="351"/>
      <c r="M804" s="351"/>
      <c r="N804" s="351"/>
      <c r="O804" s="351"/>
      <c r="P804" s="351"/>
      <c r="Q804" s="351"/>
      <c r="R804" s="351"/>
      <c r="S804" s="351"/>
      <c r="T804" s="351"/>
      <c r="U804" s="351"/>
      <c r="V804" s="351"/>
      <c r="W804" s="351"/>
      <c r="X804" s="351"/>
      <c r="Y804" s="351"/>
      <c r="Z804" s="351"/>
    </row>
    <row r="805">
      <c r="A805" s="351"/>
      <c r="B805" s="351"/>
      <c r="C805" s="351"/>
      <c r="D805" s="351"/>
      <c r="E805" s="351"/>
      <c r="F805" s="351"/>
      <c r="G805" s="351"/>
      <c r="H805" s="351"/>
      <c r="I805" s="351"/>
      <c r="J805" s="351"/>
      <c r="K805" s="351"/>
      <c r="L805" s="351"/>
      <c r="M805" s="351"/>
      <c r="N805" s="351"/>
      <c r="O805" s="351"/>
      <c r="P805" s="351"/>
      <c r="Q805" s="351"/>
      <c r="R805" s="351"/>
      <c r="S805" s="351"/>
      <c r="T805" s="351"/>
      <c r="U805" s="351"/>
      <c r="V805" s="351"/>
      <c r="W805" s="351"/>
      <c r="X805" s="351"/>
      <c r="Y805" s="351"/>
      <c r="Z805" s="351"/>
    </row>
    <row r="806">
      <c r="A806" s="351"/>
      <c r="B806" s="351"/>
      <c r="C806" s="351"/>
      <c r="D806" s="351"/>
      <c r="E806" s="351"/>
      <c r="F806" s="351"/>
      <c r="G806" s="351"/>
      <c r="H806" s="351"/>
      <c r="I806" s="351"/>
      <c r="J806" s="351"/>
      <c r="K806" s="351"/>
      <c r="L806" s="351"/>
      <c r="M806" s="351"/>
      <c r="N806" s="351"/>
      <c r="O806" s="351"/>
      <c r="P806" s="351"/>
      <c r="Q806" s="351"/>
      <c r="R806" s="351"/>
      <c r="S806" s="351"/>
      <c r="T806" s="351"/>
      <c r="U806" s="351"/>
      <c r="V806" s="351"/>
      <c r="W806" s="351"/>
      <c r="X806" s="351"/>
      <c r="Y806" s="351"/>
      <c r="Z806" s="351"/>
    </row>
    <row r="807">
      <c r="A807" s="351"/>
      <c r="B807" s="351"/>
      <c r="C807" s="351"/>
      <c r="D807" s="351"/>
      <c r="E807" s="351"/>
      <c r="F807" s="351"/>
      <c r="G807" s="351"/>
      <c r="H807" s="351"/>
      <c r="I807" s="351"/>
      <c r="J807" s="351"/>
      <c r="K807" s="351"/>
      <c r="L807" s="351"/>
      <c r="M807" s="351"/>
      <c r="N807" s="351"/>
      <c r="O807" s="351"/>
      <c r="P807" s="351"/>
      <c r="Q807" s="351"/>
      <c r="R807" s="351"/>
      <c r="S807" s="351"/>
      <c r="T807" s="351"/>
      <c r="U807" s="351"/>
      <c r="V807" s="351"/>
      <c r="W807" s="351"/>
      <c r="X807" s="351"/>
      <c r="Y807" s="351"/>
      <c r="Z807" s="351"/>
    </row>
    <row r="808">
      <c r="A808" s="351"/>
      <c r="B808" s="351"/>
      <c r="C808" s="351"/>
      <c r="D808" s="351"/>
      <c r="E808" s="351"/>
      <c r="F808" s="351"/>
      <c r="G808" s="351"/>
      <c r="H808" s="351"/>
      <c r="I808" s="351"/>
      <c r="J808" s="351"/>
      <c r="K808" s="351"/>
      <c r="L808" s="351"/>
      <c r="M808" s="351"/>
      <c r="N808" s="351"/>
      <c r="O808" s="351"/>
      <c r="P808" s="351"/>
      <c r="Q808" s="351"/>
      <c r="R808" s="351"/>
      <c r="S808" s="351"/>
      <c r="T808" s="351"/>
      <c r="U808" s="351"/>
      <c r="V808" s="351"/>
      <c r="W808" s="351"/>
      <c r="X808" s="351"/>
      <c r="Y808" s="351"/>
      <c r="Z808" s="351"/>
    </row>
    <row r="809">
      <c r="A809" s="351"/>
      <c r="B809" s="351"/>
      <c r="C809" s="351"/>
      <c r="D809" s="351"/>
      <c r="E809" s="351"/>
      <c r="F809" s="351"/>
      <c r="G809" s="351"/>
      <c r="H809" s="351"/>
      <c r="I809" s="351"/>
      <c r="J809" s="351"/>
      <c r="K809" s="351"/>
      <c r="L809" s="351"/>
      <c r="M809" s="351"/>
      <c r="N809" s="351"/>
      <c r="O809" s="351"/>
      <c r="P809" s="351"/>
      <c r="Q809" s="351"/>
      <c r="R809" s="351"/>
      <c r="S809" s="351"/>
      <c r="T809" s="351"/>
      <c r="U809" s="351"/>
      <c r="V809" s="351"/>
      <c r="W809" s="351"/>
      <c r="X809" s="351"/>
      <c r="Y809" s="351"/>
      <c r="Z809" s="351"/>
    </row>
    <row r="810">
      <c r="A810" s="351"/>
      <c r="B810" s="351"/>
      <c r="C810" s="351"/>
      <c r="D810" s="351"/>
      <c r="E810" s="351"/>
      <c r="F810" s="351"/>
      <c r="G810" s="351"/>
      <c r="H810" s="351"/>
      <c r="I810" s="351"/>
      <c r="J810" s="351"/>
      <c r="K810" s="351"/>
      <c r="L810" s="351"/>
      <c r="M810" s="351"/>
      <c r="N810" s="351"/>
      <c r="O810" s="351"/>
      <c r="P810" s="351"/>
      <c r="Q810" s="351"/>
      <c r="R810" s="351"/>
      <c r="S810" s="351"/>
      <c r="T810" s="351"/>
      <c r="U810" s="351"/>
      <c r="V810" s="351"/>
      <c r="W810" s="351"/>
      <c r="X810" s="351"/>
      <c r="Y810" s="351"/>
      <c r="Z810" s="351"/>
    </row>
    <row r="811">
      <c r="A811" s="351"/>
      <c r="B811" s="351"/>
      <c r="C811" s="351"/>
      <c r="D811" s="351"/>
      <c r="E811" s="351"/>
      <c r="F811" s="351"/>
      <c r="G811" s="351"/>
      <c r="H811" s="351"/>
      <c r="I811" s="351"/>
      <c r="J811" s="351"/>
      <c r="K811" s="351"/>
      <c r="L811" s="351"/>
      <c r="M811" s="351"/>
      <c r="N811" s="351"/>
      <c r="O811" s="351"/>
      <c r="P811" s="351"/>
      <c r="Q811" s="351"/>
      <c r="R811" s="351"/>
      <c r="S811" s="351"/>
      <c r="T811" s="351"/>
      <c r="U811" s="351"/>
      <c r="V811" s="351"/>
      <c r="W811" s="351"/>
      <c r="X811" s="351"/>
      <c r="Y811" s="351"/>
      <c r="Z811" s="351"/>
    </row>
    <row r="812">
      <c r="A812" s="351"/>
      <c r="B812" s="351"/>
      <c r="C812" s="351"/>
      <c r="D812" s="351"/>
      <c r="E812" s="351"/>
      <c r="F812" s="351"/>
      <c r="G812" s="351"/>
      <c r="H812" s="351"/>
      <c r="I812" s="351"/>
      <c r="J812" s="351"/>
      <c r="K812" s="351"/>
      <c r="L812" s="351"/>
      <c r="M812" s="351"/>
      <c r="N812" s="351"/>
      <c r="O812" s="351"/>
      <c r="P812" s="351"/>
      <c r="Q812" s="351"/>
      <c r="R812" s="351"/>
      <c r="S812" s="351"/>
      <c r="T812" s="351"/>
      <c r="U812" s="351"/>
      <c r="V812" s="351"/>
      <c r="W812" s="351"/>
      <c r="X812" s="351"/>
      <c r="Y812" s="351"/>
      <c r="Z812" s="351"/>
    </row>
    <row r="813">
      <c r="A813" s="351"/>
      <c r="B813" s="351"/>
      <c r="C813" s="351"/>
      <c r="D813" s="351"/>
      <c r="E813" s="351"/>
      <c r="F813" s="351"/>
      <c r="G813" s="351"/>
      <c r="H813" s="351"/>
      <c r="I813" s="351"/>
      <c r="J813" s="351"/>
      <c r="K813" s="351"/>
      <c r="L813" s="351"/>
      <c r="M813" s="351"/>
      <c r="N813" s="351"/>
      <c r="O813" s="351"/>
      <c r="P813" s="351"/>
      <c r="Q813" s="351"/>
      <c r="R813" s="351"/>
      <c r="S813" s="351"/>
      <c r="T813" s="351"/>
      <c r="U813" s="351"/>
      <c r="V813" s="351"/>
      <c r="W813" s="351"/>
      <c r="X813" s="351"/>
      <c r="Y813" s="351"/>
      <c r="Z813" s="351"/>
    </row>
    <row r="814">
      <c r="A814" s="351"/>
      <c r="B814" s="351"/>
      <c r="C814" s="351"/>
      <c r="D814" s="351"/>
      <c r="E814" s="351"/>
      <c r="F814" s="351"/>
      <c r="G814" s="351"/>
      <c r="H814" s="351"/>
      <c r="I814" s="351"/>
      <c r="J814" s="351"/>
      <c r="K814" s="351"/>
      <c r="L814" s="351"/>
      <c r="M814" s="351"/>
      <c r="N814" s="351"/>
      <c r="O814" s="351"/>
      <c r="P814" s="351"/>
      <c r="Q814" s="351"/>
      <c r="R814" s="351"/>
      <c r="S814" s="351"/>
      <c r="T814" s="351"/>
      <c r="U814" s="351"/>
      <c r="V814" s="351"/>
      <c r="W814" s="351"/>
      <c r="X814" s="351"/>
      <c r="Y814" s="351"/>
      <c r="Z814" s="351"/>
    </row>
    <row r="815">
      <c r="A815" s="351"/>
      <c r="B815" s="351"/>
      <c r="C815" s="351"/>
      <c r="D815" s="351"/>
      <c r="E815" s="351"/>
      <c r="F815" s="351"/>
      <c r="G815" s="351"/>
      <c r="H815" s="351"/>
      <c r="I815" s="351"/>
      <c r="J815" s="351"/>
      <c r="K815" s="351"/>
      <c r="L815" s="351"/>
      <c r="M815" s="351"/>
      <c r="N815" s="351"/>
      <c r="O815" s="351"/>
      <c r="P815" s="351"/>
      <c r="Q815" s="351"/>
      <c r="R815" s="351"/>
      <c r="S815" s="351"/>
      <c r="T815" s="351"/>
      <c r="U815" s="351"/>
      <c r="V815" s="351"/>
      <c r="W815" s="351"/>
      <c r="X815" s="351"/>
      <c r="Y815" s="351"/>
      <c r="Z815" s="351"/>
    </row>
    <row r="816">
      <c r="A816" s="351"/>
      <c r="B816" s="351"/>
      <c r="C816" s="351"/>
      <c r="D816" s="351"/>
      <c r="E816" s="351"/>
      <c r="F816" s="351"/>
      <c r="G816" s="351"/>
      <c r="H816" s="351"/>
      <c r="I816" s="351"/>
      <c r="J816" s="351"/>
      <c r="K816" s="351"/>
      <c r="L816" s="351"/>
      <c r="M816" s="351"/>
      <c r="N816" s="351"/>
      <c r="O816" s="351"/>
      <c r="P816" s="351"/>
      <c r="Q816" s="351"/>
      <c r="R816" s="351"/>
      <c r="S816" s="351"/>
      <c r="T816" s="351"/>
      <c r="U816" s="351"/>
      <c r="V816" s="351"/>
      <c r="W816" s="351"/>
      <c r="X816" s="351"/>
      <c r="Y816" s="351"/>
      <c r="Z816" s="351"/>
    </row>
    <row r="817">
      <c r="A817" s="351"/>
      <c r="B817" s="351"/>
      <c r="C817" s="351"/>
      <c r="D817" s="351"/>
      <c r="E817" s="351"/>
      <c r="F817" s="351"/>
      <c r="G817" s="351"/>
      <c r="H817" s="351"/>
      <c r="I817" s="351"/>
      <c r="J817" s="351"/>
      <c r="K817" s="351"/>
      <c r="L817" s="351"/>
      <c r="M817" s="351"/>
      <c r="N817" s="351"/>
      <c r="O817" s="351"/>
      <c r="P817" s="351"/>
      <c r="Q817" s="351"/>
      <c r="R817" s="351"/>
      <c r="S817" s="351"/>
      <c r="T817" s="351"/>
      <c r="U817" s="351"/>
      <c r="V817" s="351"/>
      <c r="W817" s="351"/>
      <c r="X817" s="351"/>
      <c r="Y817" s="351"/>
      <c r="Z817" s="351"/>
    </row>
    <row r="818">
      <c r="A818" s="351"/>
      <c r="B818" s="351"/>
      <c r="C818" s="351"/>
      <c r="D818" s="351"/>
      <c r="E818" s="351"/>
      <c r="F818" s="351"/>
      <c r="G818" s="351"/>
      <c r="H818" s="351"/>
      <c r="I818" s="351"/>
      <c r="J818" s="351"/>
      <c r="K818" s="351"/>
      <c r="L818" s="351"/>
      <c r="M818" s="351"/>
      <c r="N818" s="351"/>
      <c r="O818" s="351"/>
      <c r="P818" s="351"/>
      <c r="Q818" s="351"/>
      <c r="R818" s="351"/>
      <c r="S818" s="351"/>
      <c r="T818" s="351"/>
      <c r="U818" s="351"/>
      <c r="V818" s="351"/>
      <c r="W818" s="351"/>
      <c r="X818" s="351"/>
      <c r="Y818" s="351"/>
      <c r="Z818" s="351"/>
    </row>
    <row r="819">
      <c r="A819" s="351"/>
      <c r="B819" s="351"/>
      <c r="C819" s="351"/>
      <c r="D819" s="351"/>
      <c r="E819" s="351"/>
      <c r="F819" s="351"/>
      <c r="G819" s="351"/>
      <c r="H819" s="351"/>
      <c r="I819" s="351"/>
      <c r="J819" s="351"/>
      <c r="K819" s="351"/>
      <c r="L819" s="351"/>
      <c r="M819" s="351"/>
      <c r="N819" s="351"/>
      <c r="O819" s="351"/>
      <c r="P819" s="351"/>
      <c r="Q819" s="351"/>
      <c r="R819" s="351"/>
      <c r="S819" s="351"/>
      <c r="T819" s="351"/>
      <c r="U819" s="351"/>
      <c r="V819" s="351"/>
      <c r="W819" s="351"/>
      <c r="X819" s="351"/>
      <c r="Y819" s="351"/>
      <c r="Z819" s="351"/>
    </row>
    <row r="820">
      <c r="A820" s="351"/>
      <c r="B820" s="351"/>
      <c r="C820" s="351"/>
      <c r="D820" s="351"/>
      <c r="E820" s="351"/>
      <c r="F820" s="351"/>
      <c r="G820" s="351"/>
      <c r="H820" s="351"/>
      <c r="I820" s="351"/>
      <c r="J820" s="351"/>
      <c r="K820" s="351"/>
      <c r="L820" s="351"/>
      <c r="M820" s="351"/>
      <c r="N820" s="351"/>
      <c r="O820" s="351"/>
      <c r="P820" s="351"/>
      <c r="Q820" s="351"/>
      <c r="R820" s="351"/>
      <c r="S820" s="351"/>
      <c r="T820" s="351"/>
      <c r="U820" s="351"/>
      <c r="V820" s="351"/>
      <c r="W820" s="351"/>
      <c r="X820" s="351"/>
      <c r="Y820" s="351"/>
      <c r="Z820" s="351"/>
    </row>
    <row r="821">
      <c r="A821" s="351"/>
      <c r="B821" s="351"/>
      <c r="C821" s="351"/>
      <c r="D821" s="351"/>
      <c r="E821" s="351"/>
      <c r="F821" s="351"/>
      <c r="G821" s="351"/>
      <c r="H821" s="351"/>
      <c r="I821" s="351"/>
      <c r="J821" s="351"/>
      <c r="K821" s="351"/>
      <c r="L821" s="351"/>
      <c r="M821" s="351"/>
      <c r="N821" s="351"/>
      <c r="O821" s="351"/>
      <c r="P821" s="351"/>
      <c r="Q821" s="351"/>
      <c r="R821" s="351"/>
      <c r="S821" s="351"/>
      <c r="T821" s="351"/>
      <c r="U821" s="351"/>
      <c r="V821" s="351"/>
      <c r="W821" s="351"/>
      <c r="X821" s="351"/>
      <c r="Y821" s="351"/>
      <c r="Z821" s="351"/>
    </row>
    <row r="822">
      <c r="A822" s="351"/>
      <c r="B822" s="351"/>
      <c r="C822" s="351"/>
      <c r="D822" s="351"/>
      <c r="E822" s="351"/>
      <c r="F822" s="351"/>
      <c r="G822" s="351"/>
      <c r="H822" s="351"/>
      <c r="I822" s="351"/>
      <c r="J822" s="351"/>
      <c r="K822" s="351"/>
      <c r="L822" s="351"/>
      <c r="M822" s="351"/>
      <c r="N822" s="351"/>
      <c r="O822" s="351"/>
      <c r="P822" s="351"/>
      <c r="Q822" s="351"/>
      <c r="R822" s="351"/>
      <c r="S822" s="351"/>
      <c r="T822" s="351"/>
      <c r="U822" s="351"/>
      <c r="V822" s="351"/>
      <c r="W822" s="351"/>
      <c r="X822" s="351"/>
      <c r="Y822" s="351"/>
      <c r="Z822" s="351"/>
    </row>
    <row r="823">
      <c r="A823" s="351"/>
      <c r="B823" s="351"/>
      <c r="C823" s="351"/>
      <c r="D823" s="351"/>
      <c r="E823" s="351"/>
      <c r="F823" s="351"/>
      <c r="G823" s="351"/>
      <c r="H823" s="351"/>
      <c r="I823" s="351"/>
      <c r="J823" s="351"/>
      <c r="K823" s="351"/>
      <c r="L823" s="351"/>
      <c r="M823" s="351"/>
      <c r="N823" s="351"/>
      <c r="O823" s="351"/>
      <c r="P823" s="351"/>
      <c r="Q823" s="351"/>
      <c r="R823" s="351"/>
      <c r="S823" s="351"/>
      <c r="T823" s="351"/>
      <c r="U823" s="351"/>
      <c r="V823" s="351"/>
      <c r="W823" s="351"/>
      <c r="X823" s="351"/>
      <c r="Y823" s="351"/>
      <c r="Z823" s="351"/>
    </row>
    <row r="824">
      <c r="A824" s="351"/>
      <c r="B824" s="351"/>
      <c r="C824" s="351"/>
      <c r="D824" s="351"/>
      <c r="E824" s="351"/>
      <c r="F824" s="351"/>
      <c r="G824" s="351"/>
      <c r="H824" s="351"/>
      <c r="I824" s="351"/>
      <c r="J824" s="351"/>
      <c r="K824" s="351"/>
      <c r="L824" s="351"/>
      <c r="M824" s="351"/>
      <c r="N824" s="351"/>
      <c r="O824" s="351"/>
      <c r="P824" s="351"/>
      <c r="Q824" s="351"/>
      <c r="R824" s="351"/>
      <c r="S824" s="351"/>
      <c r="T824" s="351"/>
      <c r="U824" s="351"/>
      <c r="V824" s="351"/>
      <c r="W824" s="351"/>
      <c r="X824" s="351"/>
      <c r="Y824" s="351"/>
      <c r="Z824" s="351"/>
    </row>
    <row r="825">
      <c r="A825" s="351"/>
      <c r="B825" s="351"/>
      <c r="C825" s="351"/>
      <c r="D825" s="351"/>
      <c r="E825" s="351"/>
      <c r="F825" s="351"/>
      <c r="G825" s="351"/>
      <c r="H825" s="351"/>
      <c r="I825" s="351"/>
      <c r="J825" s="351"/>
      <c r="K825" s="351"/>
      <c r="L825" s="351"/>
      <c r="M825" s="351"/>
      <c r="N825" s="351"/>
      <c r="O825" s="351"/>
      <c r="P825" s="351"/>
      <c r="Q825" s="351"/>
      <c r="R825" s="351"/>
      <c r="S825" s="351"/>
      <c r="T825" s="351"/>
      <c r="U825" s="351"/>
      <c r="V825" s="351"/>
      <c r="W825" s="351"/>
      <c r="X825" s="351"/>
      <c r="Y825" s="351"/>
      <c r="Z825" s="351"/>
    </row>
    <row r="826">
      <c r="A826" s="351"/>
      <c r="B826" s="351"/>
      <c r="C826" s="351"/>
      <c r="D826" s="351"/>
      <c r="E826" s="351"/>
      <c r="F826" s="351"/>
      <c r="G826" s="351"/>
      <c r="H826" s="351"/>
      <c r="I826" s="351"/>
      <c r="J826" s="351"/>
      <c r="K826" s="351"/>
      <c r="L826" s="351"/>
      <c r="M826" s="351"/>
      <c r="N826" s="351"/>
      <c r="O826" s="351"/>
      <c r="P826" s="351"/>
      <c r="Q826" s="351"/>
      <c r="R826" s="351"/>
      <c r="S826" s="351"/>
      <c r="T826" s="351"/>
      <c r="U826" s="351"/>
      <c r="V826" s="351"/>
      <c r="W826" s="351"/>
      <c r="X826" s="351"/>
      <c r="Y826" s="351"/>
      <c r="Z826" s="351"/>
    </row>
    <row r="827">
      <c r="A827" s="351"/>
      <c r="B827" s="351"/>
      <c r="C827" s="351"/>
      <c r="D827" s="351"/>
      <c r="E827" s="351"/>
      <c r="F827" s="351"/>
      <c r="G827" s="351"/>
      <c r="H827" s="351"/>
      <c r="I827" s="351"/>
      <c r="J827" s="351"/>
      <c r="K827" s="351"/>
      <c r="L827" s="351"/>
      <c r="M827" s="351"/>
      <c r="N827" s="351"/>
      <c r="O827" s="351"/>
      <c r="P827" s="351"/>
      <c r="Q827" s="351"/>
      <c r="R827" s="351"/>
      <c r="S827" s="351"/>
      <c r="T827" s="351"/>
      <c r="U827" s="351"/>
      <c r="V827" s="351"/>
      <c r="W827" s="351"/>
      <c r="X827" s="351"/>
      <c r="Y827" s="351"/>
      <c r="Z827" s="351"/>
    </row>
    <row r="828">
      <c r="A828" s="351"/>
      <c r="B828" s="351"/>
      <c r="C828" s="351"/>
      <c r="D828" s="351"/>
      <c r="E828" s="351"/>
      <c r="F828" s="351"/>
      <c r="G828" s="351"/>
      <c r="H828" s="351"/>
      <c r="I828" s="351"/>
      <c r="J828" s="351"/>
      <c r="K828" s="351"/>
      <c r="L828" s="351"/>
      <c r="M828" s="351"/>
      <c r="N828" s="351"/>
      <c r="O828" s="351"/>
      <c r="P828" s="351"/>
      <c r="Q828" s="351"/>
      <c r="R828" s="351"/>
      <c r="S828" s="351"/>
      <c r="T828" s="351"/>
      <c r="U828" s="351"/>
      <c r="V828" s="351"/>
      <c r="W828" s="351"/>
      <c r="X828" s="351"/>
      <c r="Y828" s="351"/>
      <c r="Z828" s="351"/>
    </row>
    <row r="829">
      <c r="A829" s="351"/>
      <c r="B829" s="351"/>
      <c r="C829" s="351"/>
      <c r="D829" s="351"/>
      <c r="E829" s="351"/>
      <c r="F829" s="351"/>
      <c r="G829" s="351"/>
      <c r="H829" s="351"/>
      <c r="I829" s="351"/>
      <c r="J829" s="351"/>
      <c r="K829" s="351"/>
      <c r="L829" s="351"/>
      <c r="M829" s="351"/>
      <c r="N829" s="351"/>
      <c r="O829" s="351"/>
      <c r="P829" s="351"/>
      <c r="Q829" s="351"/>
      <c r="R829" s="351"/>
      <c r="S829" s="351"/>
      <c r="T829" s="351"/>
      <c r="U829" s="351"/>
      <c r="V829" s="351"/>
      <c r="W829" s="351"/>
      <c r="X829" s="351"/>
      <c r="Y829" s="351"/>
      <c r="Z829" s="351"/>
    </row>
    <row r="830">
      <c r="A830" s="351"/>
      <c r="B830" s="351"/>
      <c r="C830" s="351"/>
      <c r="D830" s="351"/>
      <c r="E830" s="351"/>
      <c r="F830" s="351"/>
      <c r="G830" s="351"/>
      <c r="H830" s="351"/>
      <c r="I830" s="351"/>
      <c r="J830" s="351"/>
      <c r="K830" s="351"/>
      <c r="L830" s="351"/>
      <c r="M830" s="351"/>
      <c r="N830" s="351"/>
      <c r="O830" s="351"/>
      <c r="P830" s="351"/>
      <c r="Q830" s="351"/>
      <c r="R830" s="351"/>
      <c r="S830" s="351"/>
      <c r="T830" s="351"/>
      <c r="U830" s="351"/>
      <c r="V830" s="351"/>
      <c r="W830" s="351"/>
      <c r="X830" s="351"/>
      <c r="Y830" s="351"/>
      <c r="Z830" s="351"/>
    </row>
    <row r="831">
      <c r="A831" s="351"/>
      <c r="B831" s="351"/>
      <c r="C831" s="351"/>
      <c r="D831" s="351"/>
      <c r="E831" s="351"/>
      <c r="F831" s="351"/>
      <c r="G831" s="351"/>
      <c r="H831" s="351"/>
      <c r="I831" s="351"/>
      <c r="J831" s="351"/>
      <c r="K831" s="351"/>
      <c r="L831" s="351"/>
      <c r="M831" s="351"/>
      <c r="N831" s="351"/>
      <c r="O831" s="351"/>
      <c r="P831" s="351"/>
      <c r="Q831" s="351"/>
      <c r="R831" s="351"/>
      <c r="S831" s="351"/>
      <c r="T831" s="351"/>
      <c r="U831" s="351"/>
      <c r="V831" s="351"/>
      <c r="W831" s="351"/>
      <c r="X831" s="351"/>
      <c r="Y831" s="351"/>
      <c r="Z831" s="351"/>
    </row>
    <row r="832">
      <c r="A832" s="351"/>
      <c r="B832" s="351"/>
      <c r="C832" s="351"/>
      <c r="D832" s="351"/>
      <c r="E832" s="351"/>
      <c r="F832" s="351"/>
      <c r="G832" s="351"/>
      <c r="H832" s="351"/>
      <c r="I832" s="351"/>
      <c r="J832" s="351"/>
      <c r="K832" s="351"/>
      <c r="L832" s="351"/>
      <c r="M832" s="351"/>
      <c r="N832" s="351"/>
      <c r="O832" s="351"/>
      <c r="P832" s="351"/>
      <c r="Q832" s="351"/>
      <c r="R832" s="351"/>
      <c r="S832" s="351"/>
      <c r="T832" s="351"/>
      <c r="U832" s="351"/>
      <c r="V832" s="351"/>
      <c r="W832" s="351"/>
      <c r="X832" s="351"/>
      <c r="Y832" s="351"/>
      <c r="Z832" s="351"/>
    </row>
    <row r="833">
      <c r="A833" s="351"/>
      <c r="B833" s="351"/>
      <c r="C833" s="351"/>
      <c r="D833" s="351"/>
      <c r="E833" s="351"/>
      <c r="F833" s="351"/>
      <c r="G833" s="351"/>
      <c r="H833" s="351"/>
      <c r="I833" s="351"/>
      <c r="J833" s="351"/>
      <c r="K833" s="351"/>
      <c r="L833" s="351"/>
      <c r="M833" s="351"/>
      <c r="N833" s="351"/>
      <c r="O833" s="351"/>
      <c r="P833" s="351"/>
      <c r="Q833" s="351"/>
      <c r="R833" s="351"/>
      <c r="S833" s="351"/>
      <c r="T833" s="351"/>
      <c r="U833" s="351"/>
      <c r="V833" s="351"/>
      <c r="W833" s="351"/>
      <c r="X833" s="351"/>
      <c r="Y833" s="351"/>
      <c r="Z833" s="351"/>
    </row>
    <row r="834">
      <c r="A834" s="351"/>
      <c r="B834" s="351"/>
      <c r="C834" s="351"/>
      <c r="D834" s="351"/>
      <c r="E834" s="351"/>
      <c r="F834" s="351"/>
      <c r="G834" s="351"/>
      <c r="H834" s="351"/>
      <c r="I834" s="351"/>
      <c r="J834" s="351"/>
      <c r="K834" s="351"/>
      <c r="L834" s="351"/>
      <c r="M834" s="351"/>
      <c r="N834" s="351"/>
      <c r="O834" s="351"/>
      <c r="P834" s="351"/>
      <c r="Q834" s="351"/>
      <c r="R834" s="351"/>
      <c r="S834" s="351"/>
      <c r="T834" s="351"/>
      <c r="U834" s="351"/>
      <c r="V834" s="351"/>
      <c r="W834" s="351"/>
      <c r="X834" s="351"/>
      <c r="Y834" s="351"/>
      <c r="Z834" s="351"/>
    </row>
    <row r="835">
      <c r="A835" s="351"/>
      <c r="B835" s="351"/>
      <c r="C835" s="351"/>
      <c r="D835" s="351"/>
      <c r="E835" s="351"/>
      <c r="F835" s="351"/>
      <c r="G835" s="351"/>
      <c r="H835" s="351"/>
      <c r="I835" s="351"/>
      <c r="J835" s="351"/>
      <c r="K835" s="351"/>
      <c r="L835" s="351"/>
      <c r="M835" s="351"/>
      <c r="N835" s="351"/>
      <c r="O835" s="351"/>
      <c r="P835" s="351"/>
      <c r="Q835" s="351"/>
      <c r="R835" s="351"/>
      <c r="S835" s="351"/>
      <c r="T835" s="351"/>
      <c r="U835" s="351"/>
      <c r="V835" s="351"/>
      <c r="W835" s="351"/>
      <c r="X835" s="351"/>
      <c r="Y835" s="351"/>
      <c r="Z835" s="351"/>
    </row>
    <row r="836">
      <c r="A836" s="351"/>
      <c r="B836" s="351"/>
      <c r="C836" s="351"/>
      <c r="D836" s="351"/>
      <c r="E836" s="351"/>
      <c r="F836" s="351"/>
      <c r="G836" s="351"/>
      <c r="H836" s="351"/>
      <c r="I836" s="351"/>
      <c r="J836" s="351"/>
      <c r="K836" s="351"/>
      <c r="L836" s="351"/>
      <c r="M836" s="351"/>
      <c r="N836" s="351"/>
      <c r="O836" s="351"/>
      <c r="P836" s="351"/>
      <c r="Q836" s="351"/>
      <c r="R836" s="351"/>
      <c r="S836" s="351"/>
      <c r="T836" s="351"/>
      <c r="U836" s="351"/>
      <c r="V836" s="351"/>
      <c r="W836" s="351"/>
      <c r="X836" s="351"/>
      <c r="Y836" s="351"/>
      <c r="Z836" s="351"/>
    </row>
    <row r="837">
      <c r="A837" s="351"/>
      <c r="B837" s="351"/>
      <c r="C837" s="351"/>
      <c r="D837" s="351"/>
      <c r="E837" s="351"/>
      <c r="F837" s="351"/>
      <c r="G837" s="351"/>
      <c r="H837" s="351"/>
      <c r="I837" s="351"/>
      <c r="J837" s="351"/>
      <c r="K837" s="351"/>
      <c r="L837" s="351"/>
      <c r="M837" s="351"/>
      <c r="N837" s="351"/>
      <c r="O837" s="351"/>
      <c r="P837" s="351"/>
      <c r="Q837" s="351"/>
      <c r="R837" s="351"/>
      <c r="S837" s="351"/>
      <c r="T837" s="351"/>
      <c r="U837" s="351"/>
      <c r="V837" s="351"/>
      <c r="W837" s="351"/>
      <c r="X837" s="351"/>
      <c r="Y837" s="351"/>
      <c r="Z837" s="351"/>
    </row>
    <row r="838">
      <c r="A838" s="351"/>
      <c r="B838" s="351"/>
      <c r="C838" s="351"/>
      <c r="D838" s="351"/>
      <c r="E838" s="351"/>
      <c r="F838" s="351"/>
      <c r="G838" s="351"/>
      <c r="H838" s="351"/>
      <c r="I838" s="351"/>
      <c r="J838" s="351"/>
      <c r="K838" s="351"/>
      <c r="L838" s="351"/>
      <c r="M838" s="351"/>
      <c r="N838" s="351"/>
      <c r="O838" s="351"/>
      <c r="P838" s="351"/>
      <c r="Q838" s="351"/>
      <c r="R838" s="351"/>
      <c r="S838" s="351"/>
      <c r="T838" s="351"/>
      <c r="U838" s="351"/>
      <c r="V838" s="351"/>
      <c r="W838" s="351"/>
      <c r="X838" s="351"/>
      <c r="Y838" s="351"/>
      <c r="Z838" s="351"/>
    </row>
    <row r="839">
      <c r="A839" s="351"/>
      <c r="B839" s="351"/>
      <c r="C839" s="351"/>
      <c r="D839" s="351"/>
      <c r="E839" s="351"/>
      <c r="F839" s="351"/>
      <c r="G839" s="351"/>
      <c r="H839" s="351"/>
      <c r="I839" s="351"/>
      <c r="J839" s="351"/>
      <c r="K839" s="351"/>
      <c r="L839" s="351"/>
      <c r="M839" s="351"/>
      <c r="N839" s="351"/>
      <c r="O839" s="351"/>
      <c r="P839" s="351"/>
      <c r="Q839" s="351"/>
      <c r="R839" s="351"/>
      <c r="S839" s="351"/>
      <c r="T839" s="351"/>
      <c r="U839" s="351"/>
      <c r="V839" s="351"/>
      <c r="W839" s="351"/>
      <c r="X839" s="351"/>
      <c r="Y839" s="351"/>
      <c r="Z839" s="351"/>
    </row>
    <row r="840">
      <c r="A840" s="351"/>
      <c r="B840" s="351"/>
      <c r="C840" s="351"/>
      <c r="D840" s="351"/>
      <c r="E840" s="351"/>
      <c r="F840" s="351"/>
      <c r="G840" s="351"/>
      <c r="H840" s="351"/>
      <c r="I840" s="351"/>
      <c r="J840" s="351"/>
      <c r="K840" s="351"/>
      <c r="L840" s="351"/>
      <c r="M840" s="351"/>
      <c r="N840" s="351"/>
      <c r="O840" s="351"/>
      <c r="P840" s="351"/>
      <c r="Q840" s="351"/>
      <c r="R840" s="351"/>
      <c r="S840" s="351"/>
      <c r="T840" s="351"/>
      <c r="U840" s="351"/>
      <c r="V840" s="351"/>
      <c r="W840" s="351"/>
      <c r="X840" s="351"/>
      <c r="Y840" s="351"/>
      <c r="Z840" s="351"/>
    </row>
    <row r="841">
      <c r="A841" s="351"/>
      <c r="B841" s="351"/>
      <c r="C841" s="351"/>
      <c r="D841" s="351"/>
      <c r="E841" s="351"/>
      <c r="F841" s="351"/>
      <c r="G841" s="351"/>
      <c r="H841" s="351"/>
      <c r="I841" s="351"/>
      <c r="J841" s="351"/>
      <c r="K841" s="351"/>
      <c r="L841" s="351"/>
      <c r="M841" s="351"/>
      <c r="N841" s="351"/>
      <c r="O841" s="351"/>
      <c r="P841" s="351"/>
      <c r="Q841" s="351"/>
      <c r="R841" s="351"/>
      <c r="S841" s="351"/>
      <c r="T841" s="351"/>
      <c r="U841" s="351"/>
      <c r="V841" s="351"/>
      <c r="W841" s="351"/>
      <c r="X841" s="351"/>
      <c r="Y841" s="351"/>
      <c r="Z841" s="351"/>
    </row>
    <row r="842">
      <c r="A842" s="351"/>
      <c r="B842" s="351"/>
      <c r="C842" s="351"/>
      <c r="D842" s="351"/>
      <c r="E842" s="351"/>
      <c r="F842" s="351"/>
      <c r="G842" s="351"/>
      <c r="H842" s="351"/>
      <c r="I842" s="351"/>
      <c r="J842" s="351"/>
      <c r="K842" s="351"/>
      <c r="L842" s="351"/>
      <c r="M842" s="351"/>
      <c r="N842" s="351"/>
      <c r="O842" s="351"/>
      <c r="P842" s="351"/>
      <c r="Q842" s="351"/>
      <c r="R842" s="351"/>
      <c r="S842" s="351"/>
      <c r="T842" s="351"/>
      <c r="U842" s="351"/>
      <c r="V842" s="351"/>
      <c r="W842" s="351"/>
      <c r="X842" s="351"/>
      <c r="Y842" s="351"/>
      <c r="Z842" s="351"/>
    </row>
    <row r="843">
      <c r="A843" s="351"/>
      <c r="B843" s="351"/>
      <c r="C843" s="351"/>
      <c r="D843" s="351"/>
      <c r="E843" s="351"/>
      <c r="F843" s="351"/>
      <c r="G843" s="351"/>
      <c r="H843" s="351"/>
      <c r="I843" s="351"/>
      <c r="J843" s="351"/>
      <c r="K843" s="351"/>
      <c r="L843" s="351"/>
      <c r="M843" s="351"/>
      <c r="N843" s="351"/>
      <c r="O843" s="351"/>
      <c r="P843" s="351"/>
      <c r="Q843" s="351"/>
      <c r="R843" s="351"/>
      <c r="S843" s="351"/>
      <c r="T843" s="351"/>
      <c r="U843" s="351"/>
      <c r="V843" s="351"/>
      <c r="W843" s="351"/>
      <c r="X843" s="351"/>
      <c r="Y843" s="351"/>
      <c r="Z843" s="351"/>
    </row>
    <row r="844">
      <c r="A844" s="351"/>
      <c r="B844" s="351"/>
      <c r="C844" s="351"/>
      <c r="D844" s="351"/>
      <c r="E844" s="351"/>
      <c r="F844" s="351"/>
      <c r="G844" s="351"/>
      <c r="H844" s="351"/>
      <c r="I844" s="351"/>
      <c r="J844" s="351"/>
      <c r="K844" s="351"/>
      <c r="L844" s="351"/>
      <c r="M844" s="351"/>
      <c r="N844" s="351"/>
      <c r="O844" s="351"/>
      <c r="P844" s="351"/>
      <c r="Q844" s="351"/>
      <c r="R844" s="351"/>
      <c r="S844" s="351"/>
      <c r="T844" s="351"/>
      <c r="U844" s="351"/>
      <c r="V844" s="351"/>
      <c r="W844" s="351"/>
      <c r="X844" s="351"/>
      <c r="Y844" s="351"/>
      <c r="Z844" s="351"/>
    </row>
    <row r="845">
      <c r="A845" s="351"/>
      <c r="B845" s="351"/>
      <c r="C845" s="351"/>
      <c r="D845" s="351"/>
      <c r="E845" s="351"/>
      <c r="F845" s="351"/>
      <c r="G845" s="351"/>
      <c r="H845" s="351"/>
      <c r="I845" s="351"/>
      <c r="J845" s="351"/>
      <c r="K845" s="351"/>
      <c r="L845" s="351"/>
      <c r="M845" s="351"/>
      <c r="N845" s="351"/>
      <c r="O845" s="351"/>
      <c r="P845" s="351"/>
      <c r="Q845" s="351"/>
      <c r="R845" s="351"/>
      <c r="S845" s="351"/>
      <c r="T845" s="351"/>
      <c r="U845" s="351"/>
      <c r="V845" s="351"/>
      <c r="W845" s="351"/>
      <c r="X845" s="351"/>
      <c r="Y845" s="351"/>
      <c r="Z845" s="351"/>
    </row>
    <row r="846">
      <c r="A846" s="351"/>
      <c r="B846" s="351"/>
      <c r="C846" s="351"/>
      <c r="D846" s="351"/>
      <c r="E846" s="351"/>
      <c r="F846" s="351"/>
      <c r="G846" s="351"/>
      <c r="H846" s="351"/>
      <c r="I846" s="351"/>
      <c r="J846" s="351"/>
      <c r="K846" s="351"/>
      <c r="L846" s="351"/>
      <c r="M846" s="351"/>
      <c r="N846" s="351"/>
      <c r="O846" s="351"/>
      <c r="P846" s="351"/>
      <c r="Q846" s="351"/>
      <c r="R846" s="351"/>
      <c r="S846" s="351"/>
      <c r="T846" s="351"/>
      <c r="U846" s="351"/>
      <c r="V846" s="351"/>
      <c r="W846" s="351"/>
      <c r="X846" s="351"/>
      <c r="Y846" s="351"/>
      <c r="Z846" s="351"/>
    </row>
    <row r="847">
      <c r="A847" s="351"/>
      <c r="B847" s="351"/>
      <c r="C847" s="351"/>
      <c r="D847" s="351"/>
      <c r="E847" s="351"/>
      <c r="F847" s="351"/>
      <c r="G847" s="351"/>
      <c r="H847" s="351"/>
      <c r="I847" s="351"/>
      <c r="J847" s="351"/>
      <c r="K847" s="351"/>
      <c r="L847" s="351"/>
      <c r="M847" s="351"/>
      <c r="N847" s="351"/>
      <c r="O847" s="351"/>
      <c r="P847" s="351"/>
      <c r="Q847" s="351"/>
      <c r="R847" s="351"/>
      <c r="S847" s="351"/>
      <c r="T847" s="351"/>
      <c r="U847" s="351"/>
      <c r="V847" s="351"/>
      <c r="W847" s="351"/>
      <c r="X847" s="351"/>
      <c r="Y847" s="351"/>
      <c r="Z847" s="351"/>
    </row>
    <row r="848">
      <c r="A848" s="351"/>
      <c r="B848" s="351"/>
      <c r="C848" s="351"/>
      <c r="D848" s="351"/>
      <c r="E848" s="351"/>
      <c r="F848" s="351"/>
      <c r="G848" s="351"/>
      <c r="H848" s="351"/>
      <c r="I848" s="351"/>
      <c r="J848" s="351"/>
      <c r="K848" s="351"/>
      <c r="L848" s="351"/>
      <c r="M848" s="351"/>
      <c r="N848" s="351"/>
      <c r="O848" s="351"/>
      <c r="P848" s="351"/>
      <c r="Q848" s="351"/>
      <c r="R848" s="351"/>
      <c r="S848" s="351"/>
      <c r="T848" s="351"/>
      <c r="U848" s="351"/>
      <c r="V848" s="351"/>
      <c r="W848" s="351"/>
      <c r="X848" s="351"/>
      <c r="Y848" s="351"/>
      <c r="Z848" s="351"/>
    </row>
    <row r="849">
      <c r="A849" s="351"/>
      <c r="B849" s="351"/>
      <c r="C849" s="351"/>
      <c r="D849" s="351"/>
      <c r="E849" s="351"/>
      <c r="F849" s="351"/>
      <c r="G849" s="351"/>
      <c r="H849" s="351"/>
      <c r="I849" s="351"/>
      <c r="J849" s="351"/>
      <c r="K849" s="351"/>
      <c r="L849" s="351"/>
      <c r="M849" s="351"/>
      <c r="N849" s="351"/>
      <c r="O849" s="351"/>
      <c r="P849" s="351"/>
      <c r="Q849" s="351"/>
      <c r="R849" s="351"/>
      <c r="S849" s="351"/>
      <c r="T849" s="351"/>
      <c r="U849" s="351"/>
      <c r="V849" s="351"/>
      <c r="W849" s="351"/>
      <c r="X849" s="351"/>
      <c r="Y849" s="351"/>
      <c r="Z849" s="351"/>
    </row>
    <row r="850">
      <c r="A850" s="351"/>
      <c r="B850" s="351"/>
      <c r="C850" s="351"/>
      <c r="D850" s="351"/>
      <c r="E850" s="351"/>
      <c r="F850" s="351"/>
      <c r="G850" s="351"/>
      <c r="H850" s="351"/>
      <c r="I850" s="351"/>
      <c r="J850" s="351"/>
      <c r="K850" s="351"/>
      <c r="L850" s="351"/>
      <c r="M850" s="351"/>
      <c r="N850" s="351"/>
      <c r="O850" s="351"/>
      <c r="P850" s="351"/>
      <c r="Q850" s="351"/>
      <c r="R850" s="351"/>
      <c r="S850" s="351"/>
      <c r="T850" s="351"/>
      <c r="U850" s="351"/>
      <c r="V850" s="351"/>
      <c r="W850" s="351"/>
      <c r="X850" s="351"/>
      <c r="Y850" s="351"/>
      <c r="Z850" s="351"/>
    </row>
    <row r="851">
      <c r="A851" s="351"/>
      <c r="B851" s="351"/>
      <c r="C851" s="351"/>
      <c r="D851" s="351"/>
      <c r="E851" s="351"/>
      <c r="F851" s="351"/>
      <c r="G851" s="351"/>
      <c r="H851" s="351"/>
      <c r="I851" s="351"/>
      <c r="J851" s="351"/>
      <c r="K851" s="351"/>
      <c r="L851" s="351"/>
      <c r="M851" s="351"/>
      <c r="N851" s="351"/>
      <c r="O851" s="351"/>
      <c r="P851" s="351"/>
      <c r="Q851" s="351"/>
      <c r="R851" s="351"/>
      <c r="S851" s="351"/>
      <c r="T851" s="351"/>
      <c r="U851" s="351"/>
      <c r="V851" s="351"/>
      <c r="W851" s="351"/>
      <c r="X851" s="351"/>
      <c r="Y851" s="351"/>
      <c r="Z851" s="351"/>
    </row>
    <row r="852">
      <c r="A852" s="351"/>
      <c r="B852" s="351"/>
      <c r="C852" s="351"/>
      <c r="D852" s="351"/>
      <c r="E852" s="351"/>
      <c r="F852" s="351"/>
      <c r="G852" s="351"/>
      <c r="H852" s="351"/>
      <c r="I852" s="351"/>
      <c r="J852" s="351"/>
      <c r="K852" s="351"/>
      <c r="L852" s="351"/>
      <c r="M852" s="351"/>
      <c r="N852" s="351"/>
      <c r="O852" s="351"/>
      <c r="P852" s="351"/>
      <c r="Q852" s="351"/>
      <c r="R852" s="351"/>
      <c r="S852" s="351"/>
      <c r="T852" s="351"/>
      <c r="U852" s="351"/>
      <c r="V852" s="351"/>
      <c r="W852" s="351"/>
      <c r="X852" s="351"/>
      <c r="Y852" s="351"/>
      <c r="Z852" s="351"/>
    </row>
    <row r="853">
      <c r="A853" s="351"/>
      <c r="B853" s="351"/>
      <c r="C853" s="351"/>
      <c r="D853" s="351"/>
      <c r="E853" s="351"/>
      <c r="F853" s="351"/>
      <c r="G853" s="351"/>
      <c r="H853" s="351"/>
      <c r="I853" s="351"/>
      <c r="J853" s="351"/>
      <c r="K853" s="351"/>
      <c r="L853" s="351"/>
      <c r="M853" s="351"/>
      <c r="N853" s="351"/>
      <c r="O853" s="351"/>
      <c r="P853" s="351"/>
      <c r="Q853" s="351"/>
      <c r="R853" s="351"/>
      <c r="S853" s="351"/>
      <c r="T853" s="351"/>
      <c r="U853" s="351"/>
      <c r="V853" s="351"/>
      <c r="W853" s="351"/>
      <c r="X853" s="351"/>
      <c r="Y853" s="351"/>
      <c r="Z853" s="351"/>
    </row>
    <row r="854">
      <c r="A854" s="351"/>
      <c r="B854" s="351"/>
      <c r="C854" s="351"/>
      <c r="D854" s="351"/>
      <c r="E854" s="351"/>
      <c r="F854" s="351"/>
      <c r="G854" s="351"/>
      <c r="H854" s="351"/>
      <c r="I854" s="351"/>
      <c r="J854" s="351"/>
      <c r="K854" s="351"/>
      <c r="L854" s="351"/>
      <c r="M854" s="351"/>
      <c r="N854" s="351"/>
      <c r="O854" s="351"/>
      <c r="P854" s="351"/>
      <c r="Q854" s="351"/>
      <c r="R854" s="351"/>
      <c r="S854" s="351"/>
      <c r="T854" s="351"/>
      <c r="U854" s="351"/>
      <c r="V854" s="351"/>
      <c r="W854" s="351"/>
      <c r="X854" s="351"/>
      <c r="Y854" s="351"/>
      <c r="Z854" s="351"/>
    </row>
    <row r="855">
      <c r="A855" s="351"/>
      <c r="B855" s="351"/>
      <c r="C855" s="351"/>
      <c r="D855" s="351"/>
      <c r="E855" s="351"/>
      <c r="F855" s="351"/>
      <c r="G855" s="351"/>
      <c r="H855" s="351"/>
      <c r="I855" s="351"/>
      <c r="J855" s="351"/>
      <c r="K855" s="351"/>
      <c r="L855" s="351"/>
      <c r="M855" s="351"/>
      <c r="N855" s="351"/>
      <c r="O855" s="351"/>
      <c r="P855" s="351"/>
      <c r="Q855" s="351"/>
      <c r="R855" s="351"/>
      <c r="S855" s="351"/>
      <c r="T855" s="351"/>
      <c r="U855" s="351"/>
      <c r="V855" s="351"/>
      <c r="W855" s="351"/>
      <c r="X855" s="351"/>
      <c r="Y855" s="351"/>
      <c r="Z855" s="351"/>
    </row>
    <row r="856">
      <c r="A856" s="351"/>
      <c r="B856" s="351"/>
      <c r="C856" s="351"/>
      <c r="D856" s="351"/>
      <c r="E856" s="351"/>
      <c r="F856" s="351"/>
      <c r="G856" s="351"/>
      <c r="H856" s="351"/>
      <c r="I856" s="351"/>
      <c r="J856" s="351"/>
      <c r="K856" s="351"/>
      <c r="L856" s="351"/>
      <c r="M856" s="351"/>
      <c r="N856" s="351"/>
      <c r="O856" s="351"/>
      <c r="P856" s="351"/>
      <c r="Q856" s="351"/>
      <c r="R856" s="351"/>
      <c r="S856" s="351"/>
      <c r="T856" s="351"/>
      <c r="U856" s="351"/>
      <c r="V856" s="351"/>
      <c r="W856" s="351"/>
      <c r="X856" s="351"/>
      <c r="Y856" s="351"/>
      <c r="Z856" s="351"/>
    </row>
    <row r="857">
      <c r="A857" s="351"/>
      <c r="B857" s="351"/>
      <c r="C857" s="351"/>
      <c r="D857" s="351"/>
      <c r="E857" s="351"/>
      <c r="F857" s="351"/>
      <c r="G857" s="351"/>
      <c r="H857" s="351"/>
      <c r="I857" s="351"/>
      <c r="J857" s="351"/>
      <c r="K857" s="351"/>
      <c r="L857" s="351"/>
      <c r="M857" s="351"/>
      <c r="N857" s="351"/>
      <c r="O857" s="351"/>
      <c r="P857" s="351"/>
      <c r="Q857" s="351"/>
      <c r="R857" s="351"/>
      <c r="S857" s="351"/>
      <c r="T857" s="351"/>
      <c r="U857" s="351"/>
      <c r="V857" s="351"/>
      <c r="W857" s="351"/>
      <c r="X857" s="351"/>
      <c r="Y857" s="351"/>
      <c r="Z857" s="351"/>
    </row>
    <row r="858">
      <c r="A858" s="351"/>
      <c r="B858" s="351"/>
      <c r="C858" s="351"/>
      <c r="D858" s="351"/>
      <c r="E858" s="351"/>
      <c r="F858" s="351"/>
      <c r="G858" s="351"/>
      <c r="H858" s="351"/>
      <c r="I858" s="351"/>
      <c r="J858" s="351"/>
      <c r="K858" s="351"/>
      <c r="L858" s="351"/>
      <c r="M858" s="351"/>
      <c r="N858" s="351"/>
      <c r="O858" s="351"/>
      <c r="P858" s="351"/>
      <c r="Q858" s="351"/>
      <c r="R858" s="351"/>
      <c r="S858" s="351"/>
      <c r="T858" s="351"/>
      <c r="U858" s="351"/>
      <c r="V858" s="351"/>
      <c r="W858" s="351"/>
      <c r="X858" s="351"/>
      <c r="Y858" s="351"/>
      <c r="Z858" s="351"/>
    </row>
    <row r="859">
      <c r="A859" s="351"/>
      <c r="B859" s="351"/>
      <c r="C859" s="351"/>
      <c r="D859" s="351"/>
      <c r="E859" s="351"/>
      <c r="F859" s="351"/>
      <c r="G859" s="351"/>
      <c r="H859" s="351"/>
      <c r="I859" s="351"/>
      <c r="J859" s="351"/>
      <c r="K859" s="351"/>
      <c r="L859" s="351"/>
      <c r="M859" s="351"/>
      <c r="N859" s="351"/>
      <c r="O859" s="351"/>
      <c r="P859" s="351"/>
      <c r="Q859" s="351"/>
      <c r="R859" s="351"/>
      <c r="S859" s="351"/>
      <c r="T859" s="351"/>
      <c r="U859" s="351"/>
      <c r="V859" s="351"/>
      <c r="W859" s="351"/>
      <c r="X859" s="351"/>
      <c r="Y859" s="351"/>
      <c r="Z859" s="351"/>
    </row>
    <row r="860">
      <c r="A860" s="351"/>
      <c r="B860" s="351"/>
      <c r="C860" s="351"/>
      <c r="D860" s="351"/>
      <c r="E860" s="351"/>
      <c r="F860" s="351"/>
      <c r="G860" s="351"/>
      <c r="H860" s="351"/>
      <c r="I860" s="351"/>
      <c r="J860" s="351"/>
      <c r="K860" s="351"/>
      <c r="L860" s="351"/>
      <c r="M860" s="351"/>
      <c r="N860" s="351"/>
      <c r="O860" s="351"/>
      <c r="P860" s="351"/>
      <c r="Q860" s="351"/>
      <c r="R860" s="351"/>
      <c r="S860" s="351"/>
      <c r="T860" s="351"/>
      <c r="U860" s="351"/>
      <c r="V860" s="351"/>
      <c r="W860" s="351"/>
      <c r="X860" s="351"/>
      <c r="Y860" s="351"/>
      <c r="Z860" s="351"/>
    </row>
    <row r="861">
      <c r="A861" s="351"/>
      <c r="B861" s="351"/>
      <c r="C861" s="351"/>
      <c r="D861" s="351"/>
      <c r="E861" s="351"/>
      <c r="F861" s="351"/>
      <c r="G861" s="351"/>
      <c r="H861" s="351"/>
      <c r="I861" s="351"/>
      <c r="J861" s="351"/>
      <c r="K861" s="351"/>
      <c r="L861" s="351"/>
      <c r="M861" s="351"/>
      <c r="N861" s="351"/>
      <c r="O861" s="351"/>
      <c r="P861" s="351"/>
      <c r="Q861" s="351"/>
      <c r="R861" s="351"/>
      <c r="S861" s="351"/>
      <c r="T861" s="351"/>
      <c r="U861" s="351"/>
      <c r="V861" s="351"/>
      <c r="W861" s="351"/>
      <c r="X861" s="351"/>
      <c r="Y861" s="351"/>
      <c r="Z861" s="351"/>
    </row>
    <row r="862">
      <c r="A862" s="351"/>
      <c r="B862" s="351"/>
      <c r="C862" s="351"/>
      <c r="D862" s="351"/>
      <c r="E862" s="351"/>
      <c r="F862" s="351"/>
      <c r="G862" s="351"/>
      <c r="H862" s="351"/>
      <c r="I862" s="351"/>
      <c r="J862" s="351"/>
      <c r="K862" s="351"/>
      <c r="L862" s="351"/>
      <c r="M862" s="351"/>
      <c r="N862" s="351"/>
      <c r="O862" s="351"/>
      <c r="P862" s="351"/>
      <c r="Q862" s="351"/>
      <c r="R862" s="351"/>
      <c r="S862" s="351"/>
      <c r="T862" s="351"/>
      <c r="U862" s="351"/>
      <c r="V862" s="351"/>
      <c r="W862" s="351"/>
      <c r="X862" s="351"/>
      <c r="Y862" s="351"/>
      <c r="Z862" s="351"/>
    </row>
    <row r="863">
      <c r="A863" s="351"/>
      <c r="B863" s="351"/>
      <c r="C863" s="351"/>
      <c r="D863" s="351"/>
      <c r="E863" s="351"/>
      <c r="F863" s="351"/>
      <c r="G863" s="351"/>
      <c r="H863" s="351"/>
      <c r="I863" s="351"/>
      <c r="J863" s="351"/>
      <c r="K863" s="351"/>
      <c r="L863" s="351"/>
      <c r="M863" s="351"/>
      <c r="N863" s="351"/>
      <c r="O863" s="351"/>
      <c r="P863" s="351"/>
      <c r="Q863" s="351"/>
      <c r="R863" s="351"/>
      <c r="S863" s="351"/>
      <c r="T863" s="351"/>
      <c r="U863" s="351"/>
      <c r="V863" s="351"/>
      <c r="W863" s="351"/>
      <c r="X863" s="351"/>
      <c r="Y863" s="351"/>
      <c r="Z863" s="351"/>
    </row>
    <row r="864">
      <c r="A864" s="351"/>
      <c r="B864" s="351"/>
      <c r="C864" s="351"/>
      <c r="D864" s="351"/>
      <c r="E864" s="351"/>
      <c r="F864" s="351"/>
      <c r="G864" s="351"/>
      <c r="H864" s="351"/>
      <c r="I864" s="351"/>
      <c r="J864" s="351"/>
      <c r="K864" s="351"/>
      <c r="L864" s="351"/>
      <c r="M864" s="351"/>
      <c r="N864" s="351"/>
      <c r="O864" s="351"/>
      <c r="P864" s="351"/>
      <c r="Q864" s="351"/>
      <c r="R864" s="351"/>
      <c r="S864" s="351"/>
      <c r="T864" s="351"/>
      <c r="U864" s="351"/>
      <c r="V864" s="351"/>
      <c r="W864" s="351"/>
      <c r="X864" s="351"/>
      <c r="Y864" s="351"/>
      <c r="Z864" s="351"/>
    </row>
    <row r="865">
      <c r="A865" s="351"/>
      <c r="B865" s="351"/>
      <c r="C865" s="351"/>
      <c r="D865" s="351"/>
      <c r="E865" s="351"/>
      <c r="F865" s="351"/>
      <c r="G865" s="351"/>
      <c r="H865" s="351"/>
      <c r="I865" s="351"/>
      <c r="J865" s="351"/>
      <c r="K865" s="351"/>
      <c r="L865" s="351"/>
      <c r="M865" s="351"/>
      <c r="N865" s="351"/>
      <c r="O865" s="351"/>
      <c r="P865" s="351"/>
      <c r="Q865" s="351"/>
      <c r="R865" s="351"/>
      <c r="S865" s="351"/>
      <c r="T865" s="351"/>
      <c r="U865" s="351"/>
      <c r="V865" s="351"/>
      <c r="W865" s="351"/>
      <c r="X865" s="351"/>
      <c r="Y865" s="351"/>
      <c r="Z865" s="351"/>
    </row>
    <row r="866">
      <c r="A866" s="351"/>
      <c r="B866" s="351"/>
      <c r="C866" s="351"/>
      <c r="D866" s="351"/>
      <c r="E866" s="351"/>
      <c r="F866" s="351"/>
      <c r="G866" s="351"/>
      <c r="H866" s="351"/>
      <c r="I866" s="351"/>
      <c r="J866" s="351"/>
      <c r="K866" s="351"/>
      <c r="L866" s="351"/>
      <c r="M866" s="351"/>
      <c r="N866" s="351"/>
      <c r="O866" s="351"/>
      <c r="P866" s="351"/>
      <c r="Q866" s="351"/>
      <c r="R866" s="351"/>
      <c r="S866" s="351"/>
      <c r="T866" s="351"/>
      <c r="U866" s="351"/>
      <c r="V866" s="351"/>
      <c r="W866" s="351"/>
      <c r="X866" s="351"/>
      <c r="Y866" s="351"/>
      <c r="Z866" s="351"/>
    </row>
    <row r="867">
      <c r="A867" s="351"/>
      <c r="B867" s="351"/>
      <c r="C867" s="351"/>
      <c r="D867" s="351"/>
      <c r="E867" s="351"/>
      <c r="F867" s="351"/>
      <c r="G867" s="351"/>
      <c r="H867" s="351"/>
      <c r="I867" s="351"/>
      <c r="J867" s="351"/>
      <c r="K867" s="351"/>
      <c r="L867" s="351"/>
      <c r="M867" s="351"/>
      <c r="N867" s="351"/>
      <c r="O867" s="351"/>
      <c r="P867" s="351"/>
      <c r="Q867" s="351"/>
      <c r="R867" s="351"/>
      <c r="S867" s="351"/>
      <c r="T867" s="351"/>
      <c r="U867" s="351"/>
      <c r="V867" s="351"/>
      <c r="W867" s="351"/>
      <c r="X867" s="351"/>
      <c r="Y867" s="351"/>
      <c r="Z867" s="351"/>
    </row>
    <row r="868">
      <c r="A868" s="351"/>
      <c r="B868" s="351"/>
      <c r="C868" s="351"/>
      <c r="D868" s="351"/>
      <c r="E868" s="351"/>
      <c r="F868" s="351"/>
      <c r="G868" s="351"/>
      <c r="H868" s="351"/>
      <c r="I868" s="351"/>
      <c r="J868" s="351"/>
      <c r="K868" s="351"/>
      <c r="L868" s="351"/>
      <c r="M868" s="351"/>
      <c r="N868" s="351"/>
      <c r="O868" s="351"/>
      <c r="P868" s="351"/>
      <c r="Q868" s="351"/>
      <c r="R868" s="351"/>
      <c r="S868" s="351"/>
      <c r="T868" s="351"/>
      <c r="U868" s="351"/>
      <c r="V868" s="351"/>
      <c r="W868" s="351"/>
      <c r="X868" s="351"/>
      <c r="Y868" s="351"/>
      <c r="Z868" s="351"/>
    </row>
    <row r="869">
      <c r="A869" s="351"/>
      <c r="B869" s="351"/>
      <c r="C869" s="351"/>
      <c r="D869" s="351"/>
      <c r="E869" s="351"/>
      <c r="F869" s="351"/>
      <c r="G869" s="351"/>
      <c r="H869" s="351"/>
      <c r="I869" s="351"/>
      <c r="J869" s="351"/>
      <c r="K869" s="351"/>
      <c r="L869" s="351"/>
      <c r="M869" s="351"/>
      <c r="N869" s="351"/>
      <c r="O869" s="351"/>
      <c r="P869" s="351"/>
      <c r="Q869" s="351"/>
      <c r="R869" s="351"/>
      <c r="S869" s="351"/>
      <c r="T869" s="351"/>
      <c r="U869" s="351"/>
      <c r="V869" s="351"/>
      <c r="W869" s="351"/>
      <c r="X869" s="351"/>
      <c r="Y869" s="351"/>
      <c r="Z869" s="351"/>
    </row>
    <row r="870">
      <c r="A870" s="351"/>
      <c r="B870" s="351"/>
      <c r="C870" s="351"/>
      <c r="D870" s="351"/>
      <c r="E870" s="351"/>
      <c r="F870" s="351"/>
      <c r="G870" s="351"/>
      <c r="H870" s="351"/>
      <c r="I870" s="351"/>
      <c r="J870" s="351"/>
      <c r="K870" s="351"/>
      <c r="L870" s="351"/>
      <c r="M870" s="351"/>
      <c r="N870" s="351"/>
      <c r="O870" s="351"/>
      <c r="P870" s="351"/>
      <c r="Q870" s="351"/>
      <c r="R870" s="351"/>
      <c r="S870" s="351"/>
      <c r="T870" s="351"/>
      <c r="U870" s="351"/>
      <c r="V870" s="351"/>
      <c r="W870" s="351"/>
      <c r="X870" s="351"/>
      <c r="Y870" s="351"/>
      <c r="Z870" s="351"/>
    </row>
    <row r="871">
      <c r="A871" s="351"/>
      <c r="B871" s="351"/>
      <c r="C871" s="351"/>
      <c r="D871" s="351"/>
      <c r="E871" s="351"/>
      <c r="F871" s="351"/>
      <c r="G871" s="351"/>
      <c r="H871" s="351"/>
      <c r="I871" s="351"/>
      <c r="J871" s="351"/>
      <c r="K871" s="351"/>
      <c r="L871" s="351"/>
      <c r="M871" s="351"/>
      <c r="N871" s="351"/>
      <c r="O871" s="351"/>
      <c r="P871" s="351"/>
      <c r="Q871" s="351"/>
      <c r="R871" s="351"/>
      <c r="S871" s="351"/>
      <c r="T871" s="351"/>
      <c r="U871" s="351"/>
      <c r="V871" s="351"/>
      <c r="W871" s="351"/>
      <c r="X871" s="351"/>
      <c r="Y871" s="351"/>
      <c r="Z871" s="351"/>
    </row>
    <row r="872">
      <c r="A872" s="351"/>
      <c r="B872" s="351"/>
      <c r="C872" s="351"/>
      <c r="D872" s="351"/>
      <c r="E872" s="351"/>
      <c r="F872" s="351"/>
      <c r="G872" s="351"/>
      <c r="H872" s="351"/>
      <c r="I872" s="351"/>
      <c r="J872" s="351"/>
      <c r="K872" s="351"/>
      <c r="L872" s="351"/>
      <c r="M872" s="351"/>
      <c r="N872" s="351"/>
      <c r="O872" s="351"/>
      <c r="P872" s="351"/>
      <c r="Q872" s="351"/>
      <c r="R872" s="351"/>
      <c r="S872" s="351"/>
      <c r="T872" s="351"/>
      <c r="U872" s="351"/>
      <c r="V872" s="351"/>
      <c r="W872" s="351"/>
      <c r="X872" s="351"/>
      <c r="Y872" s="351"/>
      <c r="Z872" s="351"/>
    </row>
    <row r="873">
      <c r="A873" s="351"/>
      <c r="B873" s="351"/>
      <c r="C873" s="351"/>
      <c r="D873" s="351"/>
      <c r="E873" s="351"/>
      <c r="F873" s="351"/>
      <c r="G873" s="351"/>
      <c r="H873" s="351"/>
      <c r="I873" s="351"/>
      <c r="J873" s="351"/>
      <c r="K873" s="351"/>
      <c r="L873" s="351"/>
      <c r="M873" s="351"/>
      <c r="N873" s="351"/>
      <c r="O873" s="351"/>
      <c r="P873" s="351"/>
      <c r="Q873" s="351"/>
      <c r="R873" s="351"/>
      <c r="S873" s="351"/>
      <c r="T873" s="351"/>
      <c r="U873" s="351"/>
      <c r="V873" s="351"/>
      <c r="W873" s="351"/>
      <c r="X873" s="351"/>
      <c r="Y873" s="351"/>
      <c r="Z873" s="351"/>
    </row>
    <row r="874">
      <c r="A874" s="351"/>
      <c r="B874" s="351"/>
      <c r="C874" s="351"/>
      <c r="D874" s="351"/>
      <c r="E874" s="351"/>
      <c r="F874" s="351"/>
      <c r="G874" s="351"/>
      <c r="H874" s="351"/>
      <c r="I874" s="351"/>
      <c r="J874" s="351"/>
      <c r="K874" s="351"/>
      <c r="L874" s="351"/>
      <c r="M874" s="351"/>
      <c r="N874" s="351"/>
      <c r="O874" s="351"/>
      <c r="P874" s="351"/>
      <c r="Q874" s="351"/>
      <c r="R874" s="351"/>
      <c r="S874" s="351"/>
      <c r="T874" s="351"/>
      <c r="U874" s="351"/>
      <c r="V874" s="351"/>
      <c r="W874" s="351"/>
      <c r="X874" s="351"/>
      <c r="Y874" s="351"/>
      <c r="Z874" s="351"/>
    </row>
    <row r="875">
      <c r="A875" s="351"/>
      <c r="B875" s="351"/>
      <c r="C875" s="351"/>
      <c r="D875" s="351"/>
      <c r="E875" s="351"/>
      <c r="F875" s="351"/>
      <c r="G875" s="351"/>
      <c r="H875" s="351"/>
      <c r="I875" s="351"/>
      <c r="J875" s="351"/>
      <c r="K875" s="351"/>
      <c r="L875" s="351"/>
      <c r="M875" s="351"/>
      <c r="N875" s="351"/>
      <c r="O875" s="351"/>
      <c r="P875" s="351"/>
      <c r="Q875" s="351"/>
      <c r="R875" s="351"/>
      <c r="S875" s="351"/>
      <c r="T875" s="351"/>
      <c r="U875" s="351"/>
      <c r="V875" s="351"/>
      <c r="W875" s="351"/>
      <c r="X875" s="351"/>
      <c r="Y875" s="351"/>
      <c r="Z875" s="351"/>
    </row>
    <row r="876">
      <c r="A876" s="351"/>
      <c r="B876" s="351"/>
      <c r="C876" s="351"/>
      <c r="D876" s="351"/>
      <c r="E876" s="351"/>
      <c r="F876" s="351"/>
      <c r="G876" s="351"/>
      <c r="H876" s="351"/>
      <c r="I876" s="351"/>
      <c r="J876" s="351"/>
      <c r="K876" s="351"/>
      <c r="L876" s="351"/>
      <c r="M876" s="351"/>
      <c r="N876" s="351"/>
      <c r="O876" s="351"/>
      <c r="P876" s="351"/>
      <c r="Q876" s="351"/>
      <c r="R876" s="351"/>
      <c r="S876" s="351"/>
      <c r="T876" s="351"/>
      <c r="U876" s="351"/>
      <c r="V876" s="351"/>
      <c r="W876" s="351"/>
      <c r="X876" s="351"/>
      <c r="Y876" s="351"/>
      <c r="Z876" s="351"/>
    </row>
    <row r="877">
      <c r="A877" s="351"/>
      <c r="B877" s="351"/>
      <c r="C877" s="351"/>
      <c r="D877" s="351"/>
      <c r="E877" s="351"/>
      <c r="F877" s="351"/>
      <c r="G877" s="351"/>
      <c r="H877" s="351"/>
      <c r="I877" s="351"/>
      <c r="J877" s="351"/>
      <c r="K877" s="351"/>
      <c r="L877" s="351"/>
      <c r="M877" s="351"/>
      <c r="N877" s="351"/>
      <c r="O877" s="351"/>
      <c r="P877" s="351"/>
      <c r="Q877" s="351"/>
      <c r="R877" s="351"/>
      <c r="S877" s="351"/>
      <c r="T877" s="351"/>
      <c r="U877" s="351"/>
      <c r="V877" s="351"/>
      <c r="W877" s="351"/>
      <c r="X877" s="351"/>
      <c r="Y877" s="351"/>
      <c r="Z877" s="351"/>
    </row>
    <row r="878">
      <c r="A878" s="351"/>
      <c r="B878" s="351"/>
      <c r="C878" s="351"/>
      <c r="D878" s="351"/>
      <c r="E878" s="351"/>
      <c r="F878" s="351"/>
      <c r="G878" s="351"/>
      <c r="H878" s="351"/>
      <c r="I878" s="351"/>
      <c r="J878" s="351"/>
      <c r="K878" s="351"/>
      <c r="L878" s="351"/>
      <c r="M878" s="351"/>
      <c r="N878" s="351"/>
      <c r="O878" s="351"/>
      <c r="P878" s="351"/>
      <c r="Q878" s="351"/>
      <c r="R878" s="351"/>
      <c r="S878" s="351"/>
      <c r="T878" s="351"/>
      <c r="U878" s="351"/>
      <c r="V878" s="351"/>
      <c r="W878" s="351"/>
      <c r="X878" s="351"/>
      <c r="Y878" s="351"/>
      <c r="Z878" s="351"/>
    </row>
    <row r="879">
      <c r="A879" s="351"/>
      <c r="B879" s="351"/>
      <c r="C879" s="351"/>
      <c r="D879" s="351"/>
      <c r="E879" s="351"/>
      <c r="F879" s="351"/>
      <c r="G879" s="351"/>
      <c r="H879" s="351"/>
      <c r="I879" s="351"/>
      <c r="J879" s="351"/>
      <c r="K879" s="351"/>
      <c r="L879" s="351"/>
      <c r="M879" s="351"/>
      <c r="N879" s="351"/>
      <c r="O879" s="351"/>
      <c r="P879" s="351"/>
      <c r="Q879" s="351"/>
      <c r="R879" s="351"/>
      <c r="S879" s="351"/>
      <c r="T879" s="351"/>
      <c r="U879" s="351"/>
      <c r="V879" s="351"/>
      <c r="W879" s="351"/>
      <c r="X879" s="351"/>
      <c r="Y879" s="351"/>
      <c r="Z879" s="351"/>
    </row>
    <row r="880">
      <c r="A880" s="351"/>
      <c r="B880" s="351"/>
      <c r="C880" s="351"/>
      <c r="D880" s="351"/>
      <c r="E880" s="351"/>
      <c r="F880" s="351"/>
      <c r="G880" s="351"/>
      <c r="H880" s="351"/>
      <c r="I880" s="351"/>
      <c r="J880" s="351"/>
      <c r="K880" s="351"/>
      <c r="L880" s="351"/>
      <c r="M880" s="351"/>
      <c r="N880" s="351"/>
      <c r="O880" s="351"/>
      <c r="P880" s="351"/>
      <c r="Q880" s="351"/>
      <c r="R880" s="351"/>
      <c r="S880" s="351"/>
      <c r="T880" s="351"/>
      <c r="U880" s="351"/>
      <c r="V880" s="351"/>
      <c r="W880" s="351"/>
      <c r="X880" s="351"/>
      <c r="Y880" s="351"/>
      <c r="Z880" s="351"/>
    </row>
    <row r="881">
      <c r="A881" s="351"/>
      <c r="B881" s="351"/>
      <c r="C881" s="351"/>
      <c r="D881" s="351"/>
      <c r="E881" s="351"/>
      <c r="F881" s="351"/>
      <c r="G881" s="351"/>
      <c r="H881" s="351"/>
      <c r="I881" s="351"/>
      <c r="J881" s="351"/>
      <c r="K881" s="351"/>
      <c r="L881" s="351"/>
      <c r="M881" s="351"/>
      <c r="N881" s="351"/>
      <c r="O881" s="351"/>
      <c r="P881" s="351"/>
      <c r="Q881" s="351"/>
      <c r="R881" s="351"/>
      <c r="S881" s="351"/>
      <c r="T881" s="351"/>
      <c r="U881" s="351"/>
      <c r="V881" s="351"/>
      <c r="W881" s="351"/>
      <c r="X881" s="351"/>
      <c r="Y881" s="351"/>
      <c r="Z881" s="351"/>
    </row>
    <row r="882">
      <c r="A882" s="351"/>
      <c r="B882" s="351"/>
      <c r="C882" s="351"/>
      <c r="D882" s="351"/>
      <c r="E882" s="351"/>
      <c r="F882" s="351"/>
      <c r="G882" s="351"/>
      <c r="H882" s="351"/>
      <c r="I882" s="351"/>
      <c r="J882" s="351"/>
      <c r="K882" s="351"/>
      <c r="L882" s="351"/>
      <c r="M882" s="351"/>
      <c r="N882" s="351"/>
      <c r="O882" s="351"/>
      <c r="P882" s="351"/>
      <c r="Q882" s="351"/>
      <c r="R882" s="351"/>
      <c r="S882" s="351"/>
      <c r="T882" s="351"/>
      <c r="U882" s="351"/>
      <c r="V882" s="351"/>
      <c r="W882" s="351"/>
      <c r="X882" s="351"/>
      <c r="Y882" s="351"/>
      <c r="Z882" s="351"/>
    </row>
    <row r="883">
      <c r="A883" s="351"/>
      <c r="B883" s="351"/>
      <c r="C883" s="351"/>
      <c r="D883" s="351"/>
      <c r="E883" s="351"/>
      <c r="F883" s="351"/>
      <c r="G883" s="351"/>
      <c r="H883" s="351"/>
      <c r="I883" s="351"/>
      <c r="J883" s="351"/>
      <c r="K883" s="351"/>
      <c r="L883" s="351"/>
      <c r="M883" s="351"/>
      <c r="N883" s="351"/>
      <c r="O883" s="351"/>
      <c r="P883" s="351"/>
      <c r="Q883" s="351"/>
      <c r="R883" s="351"/>
      <c r="S883" s="351"/>
      <c r="T883" s="351"/>
      <c r="U883" s="351"/>
      <c r="V883" s="351"/>
      <c r="W883" s="351"/>
      <c r="X883" s="351"/>
      <c r="Y883" s="351"/>
      <c r="Z883" s="351"/>
    </row>
    <row r="884">
      <c r="A884" s="351"/>
      <c r="B884" s="351"/>
      <c r="C884" s="351"/>
      <c r="D884" s="351"/>
      <c r="E884" s="351"/>
      <c r="F884" s="351"/>
      <c r="G884" s="351"/>
      <c r="H884" s="351"/>
      <c r="I884" s="351"/>
      <c r="J884" s="351"/>
      <c r="K884" s="351"/>
      <c r="L884" s="351"/>
      <c r="M884" s="351"/>
      <c r="N884" s="351"/>
      <c r="O884" s="351"/>
      <c r="P884" s="351"/>
      <c r="Q884" s="351"/>
      <c r="R884" s="351"/>
      <c r="S884" s="351"/>
      <c r="T884" s="351"/>
      <c r="U884" s="351"/>
      <c r="V884" s="351"/>
      <c r="W884" s="351"/>
      <c r="X884" s="351"/>
      <c r="Y884" s="351"/>
      <c r="Z884" s="351"/>
    </row>
    <row r="885">
      <c r="A885" s="351"/>
      <c r="B885" s="351"/>
      <c r="C885" s="351"/>
      <c r="D885" s="351"/>
      <c r="E885" s="351"/>
      <c r="F885" s="351"/>
      <c r="G885" s="351"/>
      <c r="H885" s="351"/>
      <c r="I885" s="351"/>
      <c r="J885" s="351"/>
      <c r="K885" s="351"/>
      <c r="L885" s="351"/>
      <c r="M885" s="351"/>
      <c r="N885" s="351"/>
      <c r="O885" s="351"/>
      <c r="P885" s="351"/>
      <c r="Q885" s="351"/>
      <c r="R885" s="351"/>
      <c r="S885" s="351"/>
      <c r="T885" s="351"/>
      <c r="U885" s="351"/>
      <c r="V885" s="351"/>
      <c r="W885" s="351"/>
      <c r="X885" s="351"/>
      <c r="Y885" s="351"/>
      <c r="Z885" s="351"/>
    </row>
    <row r="886">
      <c r="A886" s="351"/>
      <c r="B886" s="351"/>
      <c r="C886" s="351"/>
      <c r="D886" s="351"/>
      <c r="E886" s="351"/>
      <c r="F886" s="351"/>
      <c r="G886" s="351"/>
      <c r="H886" s="351"/>
      <c r="I886" s="351"/>
      <c r="J886" s="351"/>
      <c r="K886" s="351"/>
      <c r="L886" s="351"/>
      <c r="M886" s="351"/>
      <c r="N886" s="351"/>
      <c r="O886" s="351"/>
      <c r="P886" s="351"/>
      <c r="Q886" s="351"/>
      <c r="R886" s="351"/>
      <c r="S886" s="351"/>
      <c r="T886" s="351"/>
      <c r="U886" s="351"/>
      <c r="V886" s="351"/>
      <c r="W886" s="351"/>
      <c r="X886" s="351"/>
      <c r="Y886" s="351"/>
      <c r="Z886" s="351"/>
    </row>
    <row r="887">
      <c r="A887" s="351"/>
      <c r="B887" s="351"/>
      <c r="C887" s="351"/>
      <c r="D887" s="351"/>
      <c r="E887" s="351"/>
      <c r="F887" s="351"/>
      <c r="G887" s="351"/>
      <c r="H887" s="351"/>
      <c r="I887" s="351"/>
      <c r="J887" s="351"/>
      <c r="K887" s="351"/>
      <c r="L887" s="351"/>
      <c r="M887" s="351"/>
      <c r="N887" s="351"/>
      <c r="O887" s="351"/>
      <c r="P887" s="351"/>
      <c r="Q887" s="351"/>
      <c r="R887" s="351"/>
      <c r="S887" s="351"/>
      <c r="T887" s="351"/>
      <c r="U887" s="351"/>
      <c r="V887" s="351"/>
      <c r="W887" s="351"/>
      <c r="X887" s="351"/>
      <c r="Y887" s="351"/>
      <c r="Z887" s="351"/>
    </row>
    <row r="888">
      <c r="A888" s="351"/>
      <c r="B888" s="351"/>
      <c r="C888" s="351"/>
      <c r="D888" s="351"/>
      <c r="E888" s="351"/>
      <c r="F888" s="351"/>
      <c r="G888" s="351"/>
      <c r="H888" s="351"/>
      <c r="I888" s="351"/>
      <c r="J888" s="351"/>
      <c r="K888" s="351"/>
      <c r="L888" s="351"/>
      <c r="M888" s="351"/>
      <c r="N888" s="351"/>
      <c r="O888" s="351"/>
      <c r="P888" s="351"/>
      <c r="Q888" s="351"/>
      <c r="R888" s="351"/>
      <c r="S888" s="351"/>
      <c r="T888" s="351"/>
      <c r="U888" s="351"/>
      <c r="V888" s="351"/>
      <c r="W888" s="351"/>
      <c r="X888" s="351"/>
      <c r="Y888" s="351"/>
      <c r="Z888" s="351"/>
    </row>
    <row r="889">
      <c r="A889" s="351"/>
      <c r="B889" s="351"/>
      <c r="C889" s="351"/>
      <c r="D889" s="351"/>
      <c r="E889" s="351"/>
      <c r="F889" s="351"/>
      <c r="G889" s="351"/>
      <c r="H889" s="351"/>
      <c r="I889" s="351"/>
      <c r="J889" s="351"/>
      <c r="K889" s="351"/>
      <c r="L889" s="351"/>
      <c r="M889" s="351"/>
      <c r="N889" s="351"/>
      <c r="O889" s="351"/>
      <c r="P889" s="351"/>
      <c r="Q889" s="351"/>
      <c r="R889" s="351"/>
      <c r="S889" s="351"/>
      <c r="T889" s="351"/>
      <c r="U889" s="351"/>
      <c r="V889" s="351"/>
      <c r="W889" s="351"/>
      <c r="X889" s="351"/>
      <c r="Y889" s="351"/>
      <c r="Z889" s="351"/>
    </row>
    <row r="890">
      <c r="A890" s="351"/>
      <c r="B890" s="351"/>
      <c r="C890" s="351"/>
      <c r="D890" s="351"/>
      <c r="E890" s="351"/>
      <c r="F890" s="351"/>
      <c r="G890" s="351"/>
      <c r="H890" s="351"/>
      <c r="I890" s="351"/>
      <c r="J890" s="351"/>
      <c r="K890" s="351"/>
      <c r="L890" s="351"/>
      <c r="M890" s="351"/>
      <c r="N890" s="351"/>
      <c r="O890" s="351"/>
      <c r="P890" s="351"/>
      <c r="Q890" s="351"/>
      <c r="R890" s="351"/>
      <c r="S890" s="351"/>
      <c r="T890" s="351"/>
      <c r="U890" s="351"/>
      <c r="V890" s="351"/>
      <c r="W890" s="351"/>
      <c r="X890" s="351"/>
      <c r="Y890" s="351"/>
      <c r="Z890" s="351"/>
    </row>
    <row r="891">
      <c r="A891" s="351"/>
      <c r="B891" s="351"/>
      <c r="C891" s="351"/>
      <c r="D891" s="351"/>
      <c r="E891" s="351"/>
      <c r="F891" s="351"/>
      <c r="G891" s="351"/>
      <c r="H891" s="351"/>
      <c r="I891" s="351"/>
      <c r="J891" s="351"/>
      <c r="K891" s="351"/>
      <c r="L891" s="351"/>
      <c r="M891" s="351"/>
      <c r="N891" s="351"/>
      <c r="O891" s="351"/>
      <c r="P891" s="351"/>
      <c r="Q891" s="351"/>
      <c r="R891" s="351"/>
      <c r="S891" s="351"/>
      <c r="T891" s="351"/>
      <c r="U891" s="351"/>
      <c r="V891" s="351"/>
      <c r="W891" s="351"/>
      <c r="X891" s="351"/>
      <c r="Y891" s="351"/>
      <c r="Z891" s="351"/>
    </row>
    <row r="892">
      <c r="A892" s="351"/>
      <c r="B892" s="351"/>
      <c r="C892" s="351"/>
      <c r="D892" s="351"/>
      <c r="E892" s="351"/>
      <c r="F892" s="351"/>
      <c r="G892" s="351"/>
      <c r="H892" s="351"/>
      <c r="I892" s="351"/>
      <c r="J892" s="351"/>
      <c r="K892" s="351"/>
      <c r="L892" s="351"/>
      <c r="M892" s="351"/>
      <c r="N892" s="351"/>
      <c r="O892" s="351"/>
      <c r="P892" s="351"/>
      <c r="Q892" s="351"/>
      <c r="R892" s="351"/>
      <c r="S892" s="351"/>
      <c r="T892" s="351"/>
      <c r="U892" s="351"/>
      <c r="V892" s="351"/>
      <c r="W892" s="351"/>
      <c r="X892" s="351"/>
      <c r="Y892" s="351"/>
      <c r="Z892" s="351"/>
    </row>
    <row r="893">
      <c r="A893" s="351"/>
      <c r="B893" s="351"/>
      <c r="C893" s="351"/>
      <c r="D893" s="351"/>
      <c r="E893" s="351"/>
      <c r="F893" s="351"/>
      <c r="G893" s="351"/>
      <c r="H893" s="351"/>
      <c r="I893" s="351"/>
      <c r="J893" s="351"/>
      <c r="K893" s="351"/>
      <c r="L893" s="351"/>
      <c r="M893" s="351"/>
      <c r="N893" s="351"/>
      <c r="O893" s="351"/>
      <c r="P893" s="351"/>
      <c r="Q893" s="351"/>
      <c r="R893" s="351"/>
      <c r="S893" s="351"/>
      <c r="T893" s="351"/>
      <c r="U893" s="351"/>
      <c r="V893" s="351"/>
      <c r="W893" s="351"/>
      <c r="X893" s="351"/>
      <c r="Y893" s="351"/>
      <c r="Z893" s="351"/>
    </row>
    <row r="894">
      <c r="A894" s="351"/>
      <c r="B894" s="351"/>
      <c r="C894" s="351"/>
      <c r="D894" s="351"/>
      <c r="E894" s="351"/>
      <c r="F894" s="351"/>
      <c r="G894" s="351"/>
      <c r="H894" s="351"/>
      <c r="I894" s="351"/>
      <c r="J894" s="351"/>
      <c r="K894" s="351"/>
      <c r="L894" s="351"/>
      <c r="M894" s="351"/>
      <c r="N894" s="351"/>
      <c r="O894" s="351"/>
      <c r="P894" s="351"/>
      <c r="Q894" s="351"/>
      <c r="R894" s="351"/>
      <c r="S894" s="351"/>
      <c r="T894" s="351"/>
      <c r="U894" s="351"/>
      <c r="V894" s="351"/>
      <c r="W894" s="351"/>
      <c r="X894" s="351"/>
      <c r="Y894" s="351"/>
      <c r="Z894" s="351"/>
    </row>
    <row r="895">
      <c r="A895" s="351"/>
      <c r="B895" s="351"/>
      <c r="C895" s="351"/>
      <c r="D895" s="351"/>
      <c r="E895" s="351"/>
      <c r="F895" s="351"/>
      <c r="G895" s="351"/>
      <c r="H895" s="351"/>
      <c r="I895" s="351"/>
      <c r="J895" s="351"/>
      <c r="K895" s="351"/>
      <c r="L895" s="351"/>
      <c r="M895" s="351"/>
      <c r="N895" s="351"/>
      <c r="O895" s="351"/>
      <c r="P895" s="351"/>
      <c r="Q895" s="351"/>
      <c r="R895" s="351"/>
      <c r="S895" s="351"/>
      <c r="T895" s="351"/>
      <c r="U895" s="351"/>
      <c r="V895" s="351"/>
      <c r="W895" s="351"/>
      <c r="X895" s="351"/>
      <c r="Y895" s="351"/>
      <c r="Z895" s="351"/>
    </row>
    <row r="896">
      <c r="A896" s="351"/>
      <c r="B896" s="351"/>
      <c r="C896" s="351"/>
      <c r="D896" s="351"/>
      <c r="E896" s="351"/>
      <c r="F896" s="351"/>
      <c r="G896" s="351"/>
      <c r="H896" s="351"/>
      <c r="I896" s="351"/>
      <c r="J896" s="351"/>
      <c r="K896" s="351"/>
      <c r="L896" s="351"/>
      <c r="M896" s="351"/>
      <c r="N896" s="351"/>
      <c r="O896" s="351"/>
      <c r="P896" s="351"/>
      <c r="Q896" s="351"/>
      <c r="R896" s="351"/>
      <c r="S896" s="351"/>
      <c r="T896" s="351"/>
      <c r="U896" s="351"/>
      <c r="V896" s="351"/>
      <c r="W896" s="351"/>
      <c r="X896" s="351"/>
      <c r="Y896" s="351"/>
      <c r="Z896" s="351"/>
    </row>
    <row r="897">
      <c r="A897" s="351"/>
      <c r="B897" s="351"/>
      <c r="C897" s="351"/>
      <c r="D897" s="351"/>
      <c r="E897" s="351"/>
      <c r="F897" s="351"/>
      <c r="G897" s="351"/>
      <c r="H897" s="351"/>
      <c r="I897" s="351"/>
      <c r="J897" s="351"/>
      <c r="K897" s="351"/>
      <c r="L897" s="351"/>
      <c r="M897" s="351"/>
      <c r="N897" s="351"/>
      <c r="O897" s="351"/>
      <c r="P897" s="351"/>
      <c r="Q897" s="351"/>
      <c r="R897" s="351"/>
      <c r="S897" s="351"/>
      <c r="T897" s="351"/>
      <c r="U897" s="351"/>
      <c r="V897" s="351"/>
      <c r="W897" s="351"/>
      <c r="X897" s="351"/>
      <c r="Y897" s="351"/>
      <c r="Z897" s="351"/>
    </row>
    <row r="898">
      <c r="A898" s="351"/>
      <c r="B898" s="351"/>
      <c r="C898" s="351"/>
      <c r="D898" s="351"/>
      <c r="E898" s="351"/>
      <c r="F898" s="351"/>
      <c r="G898" s="351"/>
      <c r="H898" s="351"/>
      <c r="I898" s="351"/>
      <c r="J898" s="351"/>
      <c r="K898" s="351"/>
      <c r="L898" s="351"/>
      <c r="M898" s="351"/>
      <c r="N898" s="351"/>
      <c r="O898" s="351"/>
      <c r="P898" s="351"/>
      <c r="Q898" s="351"/>
      <c r="R898" s="351"/>
      <c r="S898" s="351"/>
      <c r="T898" s="351"/>
      <c r="U898" s="351"/>
      <c r="V898" s="351"/>
      <c r="W898" s="351"/>
      <c r="X898" s="351"/>
      <c r="Y898" s="351"/>
      <c r="Z898" s="351"/>
    </row>
    <row r="899">
      <c r="A899" s="351"/>
      <c r="B899" s="351"/>
      <c r="C899" s="351"/>
      <c r="D899" s="351"/>
      <c r="E899" s="351"/>
      <c r="F899" s="351"/>
      <c r="G899" s="351"/>
      <c r="H899" s="351"/>
      <c r="I899" s="351"/>
      <c r="J899" s="351"/>
      <c r="K899" s="351"/>
      <c r="L899" s="351"/>
      <c r="M899" s="351"/>
      <c r="N899" s="351"/>
      <c r="O899" s="351"/>
      <c r="P899" s="351"/>
      <c r="Q899" s="351"/>
      <c r="R899" s="351"/>
      <c r="S899" s="351"/>
      <c r="T899" s="351"/>
      <c r="U899" s="351"/>
      <c r="V899" s="351"/>
      <c r="W899" s="351"/>
      <c r="X899" s="351"/>
      <c r="Y899" s="351"/>
      <c r="Z899" s="351"/>
    </row>
    <row r="900">
      <c r="A900" s="351"/>
      <c r="B900" s="351"/>
      <c r="C900" s="351"/>
      <c r="D900" s="351"/>
      <c r="E900" s="351"/>
      <c r="F900" s="351"/>
      <c r="G900" s="351"/>
      <c r="H900" s="351"/>
      <c r="I900" s="351"/>
      <c r="J900" s="351"/>
      <c r="K900" s="351"/>
      <c r="L900" s="351"/>
      <c r="M900" s="351"/>
      <c r="N900" s="351"/>
      <c r="O900" s="351"/>
      <c r="P900" s="351"/>
      <c r="Q900" s="351"/>
      <c r="R900" s="351"/>
      <c r="S900" s="351"/>
      <c r="T900" s="351"/>
      <c r="U900" s="351"/>
      <c r="V900" s="351"/>
      <c r="W900" s="351"/>
      <c r="X900" s="351"/>
      <c r="Y900" s="351"/>
      <c r="Z900" s="351"/>
    </row>
    <row r="901">
      <c r="A901" s="351"/>
      <c r="B901" s="351"/>
      <c r="C901" s="351"/>
      <c r="D901" s="351"/>
      <c r="E901" s="351"/>
      <c r="F901" s="351"/>
      <c r="G901" s="351"/>
      <c r="H901" s="351"/>
      <c r="I901" s="351"/>
      <c r="J901" s="351"/>
      <c r="K901" s="351"/>
      <c r="L901" s="351"/>
      <c r="M901" s="351"/>
      <c r="N901" s="351"/>
      <c r="O901" s="351"/>
      <c r="P901" s="351"/>
      <c r="Q901" s="351"/>
      <c r="R901" s="351"/>
      <c r="S901" s="351"/>
      <c r="T901" s="351"/>
      <c r="U901" s="351"/>
      <c r="V901" s="351"/>
      <c r="W901" s="351"/>
      <c r="X901" s="351"/>
      <c r="Y901" s="351"/>
      <c r="Z901" s="351"/>
    </row>
    <row r="902">
      <c r="A902" s="351"/>
      <c r="B902" s="351"/>
      <c r="C902" s="351"/>
      <c r="D902" s="351"/>
      <c r="E902" s="351"/>
      <c r="F902" s="351"/>
      <c r="G902" s="351"/>
      <c r="H902" s="351"/>
      <c r="I902" s="351"/>
      <c r="J902" s="351"/>
      <c r="K902" s="351"/>
      <c r="L902" s="351"/>
      <c r="M902" s="351"/>
      <c r="N902" s="351"/>
      <c r="O902" s="351"/>
      <c r="P902" s="351"/>
      <c r="Q902" s="351"/>
      <c r="R902" s="351"/>
      <c r="S902" s="351"/>
      <c r="T902" s="351"/>
      <c r="U902" s="351"/>
      <c r="V902" s="351"/>
      <c r="W902" s="351"/>
      <c r="X902" s="351"/>
      <c r="Y902" s="351"/>
      <c r="Z902" s="351"/>
    </row>
    <row r="903">
      <c r="A903" s="351"/>
      <c r="B903" s="351"/>
      <c r="C903" s="351"/>
      <c r="D903" s="351"/>
      <c r="E903" s="351"/>
      <c r="F903" s="351"/>
      <c r="G903" s="351"/>
      <c r="H903" s="351"/>
      <c r="I903" s="351"/>
      <c r="J903" s="351"/>
      <c r="K903" s="351"/>
      <c r="L903" s="351"/>
      <c r="M903" s="351"/>
      <c r="N903" s="351"/>
      <c r="O903" s="351"/>
      <c r="P903" s="351"/>
      <c r="Q903" s="351"/>
      <c r="R903" s="351"/>
      <c r="S903" s="351"/>
      <c r="T903" s="351"/>
      <c r="U903" s="351"/>
      <c r="V903" s="351"/>
      <c r="W903" s="351"/>
      <c r="X903" s="351"/>
      <c r="Y903" s="351"/>
      <c r="Z903" s="351"/>
    </row>
    <row r="904">
      <c r="A904" s="351"/>
      <c r="B904" s="351"/>
      <c r="C904" s="351"/>
      <c r="D904" s="351"/>
      <c r="E904" s="351"/>
      <c r="F904" s="351"/>
      <c r="G904" s="351"/>
      <c r="H904" s="351"/>
      <c r="I904" s="351"/>
      <c r="J904" s="351"/>
      <c r="K904" s="351"/>
      <c r="L904" s="351"/>
      <c r="M904" s="351"/>
      <c r="N904" s="351"/>
      <c r="O904" s="351"/>
      <c r="P904" s="351"/>
      <c r="Q904" s="351"/>
      <c r="R904" s="351"/>
      <c r="S904" s="351"/>
      <c r="T904" s="351"/>
      <c r="U904" s="351"/>
      <c r="V904" s="351"/>
      <c r="W904" s="351"/>
      <c r="X904" s="351"/>
      <c r="Y904" s="351"/>
      <c r="Z904" s="351"/>
    </row>
    <row r="905">
      <c r="A905" s="351"/>
      <c r="B905" s="351"/>
      <c r="C905" s="351"/>
      <c r="D905" s="351"/>
      <c r="E905" s="351"/>
      <c r="F905" s="351"/>
      <c r="G905" s="351"/>
      <c r="H905" s="351"/>
      <c r="I905" s="351"/>
      <c r="J905" s="351"/>
      <c r="K905" s="351"/>
      <c r="L905" s="351"/>
      <c r="M905" s="351"/>
      <c r="N905" s="351"/>
      <c r="O905" s="351"/>
      <c r="P905" s="351"/>
      <c r="Q905" s="351"/>
      <c r="R905" s="351"/>
      <c r="S905" s="351"/>
      <c r="T905" s="351"/>
      <c r="U905" s="351"/>
      <c r="V905" s="351"/>
      <c r="W905" s="351"/>
      <c r="X905" s="351"/>
      <c r="Y905" s="351"/>
      <c r="Z905" s="351"/>
    </row>
    <row r="906">
      <c r="A906" s="351"/>
      <c r="B906" s="351"/>
      <c r="C906" s="351"/>
      <c r="D906" s="351"/>
      <c r="E906" s="351"/>
      <c r="F906" s="351"/>
      <c r="G906" s="351"/>
      <c r="H906" s="351"/>
      <c r="I906" s="351"/>
      <c r="J906" s="351"/>
      <c r="K906" s="351"/>
      <c r="L906" s="351"/>
      <c r="M906" s="351"/>
      <c r="N906" s="351"/>
      <c r="O906" s="351"/>
      <c r="P906" s="351"/>
      <c r="Q906" s="351"/>
      <c r="R906" s="351"/>
      <c r="S906" s="351"/>
      <c r="T906" s="351"/>
      <c r="U906" s="351"/>
      <c r="V906" s="351"/>
      <c r="W906" s="351"/>
      <c r="X906" s="351"/>
      <c r="Y906" s="351"/>
      <c r="Z906" s="351"/>
    </row>
    <row r="907">
      <c r="A907" s="351"/>
      <c r="B907" s="351"/>
      <c r="C907" s="351"/>
      <c r="D907" s="351"/>
      <c r="E907" s="351"/>
      <c r="F907" s="351"/>
      <c r="G907" s="351"/>
      <c r="H907" s="351"/>
      <c r="I907" s="351"/>
      <c r="J907" s="351"/>
      <c r="K907" s="351"/>
      <c r="L907" s="351"/>
      <c r="M907" s="351"/>
      <c r="N907" s="351"/>
      <c r="O907" s="351"/>
      <c r="P907" s="351"/>
      <c r="Q907" s="351"/>
      <c r="R907" s="351"/>
      <c r="S907" s="351"/>
      <c r="T907" s="351"/>
      <c r="U907" s="351"/>
      <c r="V907" s="351"/>
      <c r="W907" s="351"/>
      <c r="X907" s="351"/>
      <c r="Y907" s="351"/>
      <c r="Z907" s="351"/>
    </row>
    <row r="908">
      <c r="A908" s="351"/>
      <c r="B908" s="351"/>
      <c r="C908" s="351"/>
      <c r="D908" s="351"/>
      <c r="E908" s="351"/>
      <c r="F908" s="351"/>
      <c r="G908" s="351"/>
      <c r="H908" s="351"/>
      <c r="I908" s="351"/>
      <c r="J908" s="351"/>
      <c r="K908" s="351"/>
      <c r="L908" s="351"/>
      <c r="M908" s="351"/>
      <c r="N908" s="351"/>
      <c r="O908" s="351"/>
      <c r="P908" s="351"/>
      <c r="Q908" s="351"/>
      <c r="R908" s="351"/>
      <c r="S908" s="351"/>
      <c r="T908" s="351"/>
      <c r="U908" s="351"/>
      <c r="V908" s="351"/>
      <c r="W908" s="351"/>
      <c r="X908" s="351"/>
      <c r="Y908" s="351"/>
      <c r="Z908" s="351"/>
    </row>
    <row r="909">
      <c r="A909" s="351"/>
      <c r="B909" s="351"/>
      <c r="C909" s="351"/>
      <c r="D909" s="351"/>
      <c r="E909" s="351"/>
      <c r="F909" s="351"/>
      <c r="G909" s="351"/>
      <c r="H909" s="351"/>
      <c r="I909" s="351"/>
      <c r="J909" s="351"/>
      <c r="K909" s="351"/>
      <c r="L909" s="351"/>
      <c r="M909" s="351"/>
      <c r="N909" s="351"/>
      <c r="O909" s="351"/>
      <c r="P909" s="351"/>
      <c r="Q909" s="351"/>
      <c r="R909" s="351"/>
      <c r="S909" s="351"/>
      <c r="T909" s="351"/>
      <c r="U909" s="351"/>
      <c r="V909" s="351"/>
      <c r="W909" s="351"/>
      <c r="X909" s="351"/>
      <c r="Y909" s="351"/>
      <c r="Z909" s="351"/>
    </row>
    <row r="910">
      <c r="A910" s="351"/>
      <c r="B910" s="351"/>
      <c r="C910" s="351"/>
      <c r="D910" s="351"/>
      <c r="E910" s="351"/>
      <c r="F910" s="351"/>
      <c r="G910" s="351"/>
      <c r="H910" s="351"/>
      <c r="I910" s="351"/>
      <c r="J910" s="351"/>
      <c r="K910" s="351"/>
      <c r="L910" s="351"/>
      <c r="M910" s="351"/>
      <c r="N910" s="351"/>
      <c r="O910" s="351"/>
      <c r="P910" s="351"/>
      <c r="Q910" s="351"/>
      <c r="R910" s="351"/>
      <c r="S910" s="351"/>
      <c r="T910" s="351"/>
      <c r="U910" s="351"/>
      <c r="V910" s="351"/>
      <c r="W910" s="351"/>
      <c r="X910" s="351"/>
      <c r="Y910" s="351"/>
      <c r="Z910" s="351"/>
    </row>
    <row r="911">
      <c r="A911" s="351"/>
      <c r="B911" s="351"/>
      <c r="C911" s="351"/>
      <c r="D911" s="351"/>
      <c r="E911" s="351"/>
      <c r="F911" s="351"/>
      <c r="G911" s="351"/>
      <c r="H911" s="351"/>
      <c r="I911" s="351"/>
      <c r="J911" s="351"/>
      <c r="K911" s="351"/>
      <c r="L911" s="351"/>
      <c r="M911" s="351"/>
      <c r="N911" s="351"/>
      <c r="O911" s="351"/>
      <c r="P911" s="351"/>
      <c r="Q911" s="351"/>
      <c r="R911" s="351"/>
      <c r="S911" s="351"/>
      <c r="T911" s="351"/>
      <c r="U911" s="351"/>
      <c r="V911" s="351"/>
      <c r="W911" s="351"/>
      <c r="X911" s="351"/>
      <c r="Y911" s="351"/>
      <c r="Z911" s="351"/>
    </row>
    <row r="912">
      <c r="A912" s="351"/>
      <c r="B912" s="351"/>
      <c r="C912" s="351"/>
      <c r="D912" s="351"/>
      <c r="E912" s="351"/>
      <c r="F912" s="351"/>
      <c r="G912" s="351"/>
      <c r="H912" s="351"/>
      <c r="I912" s="351"/>
      <c r="J912" s="351"/>
      <c r="K912" s="351"/>
      <c r="L912" s="351"/>
      <c r="M912" s="351"/>
      <c r="N912" s="351"/>
      <c r="O912" s="351"/>
      <c r="P912" s="351"/>
      <c r="Q912" s="351"/>
      <c r="R912" s="351"/>
      <c r="S912" s="351"/>
      <c r="T912" s="351"/>
      <c r="U912" s="351"/>
      <c r="V912" s="351"/>
      <c r="W912" s="351"/>
      <c r="X912" s="351"/>
      <c r="Y912" s="351"/>
      <c r="Z912" s="351"/>
    </row>
    <row r="913">
      <c r="A913" s="351"/>
      <c r="B913" s="351"/>
      <c r="C913" s="351"/>
      <c r="D913" s="351"/>
      <c r="E913" s="351"/>
      <c r="F913" s="351"/>
      <c r="G913" s="351"/>
      <c r="H913" s="351"/>
      <c r="I913" s="351"/>
      <c r="J913" s="351"/>
      <c r="K913" s="351"/>
      <c r="L913" s="351"/>
      <c r="M913" s="351"/>
      <c r="N913" s="351"/>
      <c r="O913" s="351"/>
      <c r="P913" s="351"/>
      <c r="Q913" s="351"/>
      <c r="R913" s="351"/>
      <c r="S913" s="351"/>
      <c r="T913" s="351"/>
      <c r="U913" s="351"/>
      <c r="V913" s="351"/>
      <c r="W913" s="351"/>
      <c r="X913" s="351"/>
      <c r="Y913" s="351"/>
      <c r="Z913" s="351"/>
    </row>
    <row r="914">
      <c r="A914" s="351"/>
      <c r="B914" s="351"/>
      <c r="C914" s="351"/>
      <c r="D914" s="351"/>
      <c r="E914" s="351"/>
      <c r="F914" s="351"/>
      <c r="G914" s="351"/>
      <c r="H914" s="351"/>
      <c r="I914" s="351"/>
      <c r="J914" s="351"/>
      <c r="K914" s="351"/>
      <c r="L914" s="351"/>
      <c r="M914" s="351"/>
      <c r="N914" s="351"/>
      <c r="O914" s="351"/>
      <c r="P914" s="351"/>
      <c r="Q914" s="351"/>
      <c r="R914" s="351"/>
      <c r="S914" s="351"/>
      <c r="T914" s="351"/>
      <c r="U914" s="351"/>
      <c r="V914" s="351"/>
      <c r="W914" s="351"/>
      <c r="X914" s="351"/>
      <c r="Y914" s="351"/>
      <c r="Z914" s="351"/>
    </row>
    <row r="915">
      <c r="A915" s="351"/>
      <c r="B915" s="351"/>
      <c r="C915" s="351"/>
      <c r="D915" s="351"/>
      <c r="E915" s="351"/>
      <c r="F915" s="351"/>
      <c r="G915" s="351"/>
      <c r="H915" s="351"/>
      <c r="I915" s="351"/>
      <c r="J915" s="351"/>
      <c r="K915" s="351"/>
      <c r="L915" s="351"/>
      <c r="M915" s="351"/>
      <c r="N915" s="351"/>
      <c r="O915" s="351"/>
      <c r="P915" s="351"/>
      <c r="Q915" s="351"/>
      <c r="R915" s="351"/>
      <c r="S915" s="351"/>
      <c r="T915" s="351"/>
      <c r="U915" s="351"/>
      <c r="V915" s="351"/>
      <c r="W915" s="351"/>
      <c r="X915" s="351"/>
      <c r="Y915" s="351"/>
      <c r="Z915" s="351"/>
    </row>
    <row r="916">
      <c r="A916" s="351"/>
      <c r="B916" s="351"/>
      <c r="C916" s="351"/>
      <c r="D916" s="351"/>
      <c r="E916" s="351"/>
      <c r="F916" s="351"/>
      <c r="G916" s="351"/>
      <c r="H916" s="351"/>
      <c r="I916" s="351"/>
      <c r="J916" s="351"/>
      <c r="K916" s="351"/>
      <c r="L916" s="351"/>
      <c r="M916" s="351"/>
      <c r="N916" s="351"/>
      <c r="O916" s="351"/>
      <c r="P916" s="351"/>
      <c r="Q916" s="351"/>
      <c r="R916" s="351"/>
      <c r="S916" s="351"/>
      <c r="T916" s="351"/>
      <c r="U916" s="351"/>
      <c r="V916" s="351"/>
      <c r="W916" s="351"/>
      <c r="X916" s="351"/>
      <c r="Y916" s="351"/>
      <c r="Z916" s="351"/>
    </row>
    <row r="917">
      <c r="A917" s="351"/>
      <c r="B917" s="351"/>
      <c r="C917" s="351"/>
      <c r="D917" s="351"/>
      <c r="E917" s="351"/>
      <c r="F917" s="351"/>
      <c r="G917" s="351"/>
      <c r="H917" s="351"/>
      <c r="I917" s="351"/>
      <c r="J917" s="351"/>
      <c r="K917" s="351"/>
      <c r="L917" s="351"/>
      <c r="M917" s="351"/>
      <c r="N917" s="351"/>
      <c r="O917" s="351"/>
      <c r="P917" s="351"/>
      <c r="Q917" s="351"/>
      <c r="R917" s="351"/>
      <c r="S917" s="351"/>
      <c r="T917" s="351"/>
      <c r="U917" s="351"/>
      <c r="V917" s="351"/>
      <c r="W917" s="351"/>
      <c r="X917" s="351"/>
      <c r="Y917" s="351"/>
      <c r="Z917" s="351"/>
    </row>
    <row r="918">
      <c r="A918" s="351"/>
      <c r="B918" s="351"/>
      <c r="C918" s="351"/>
      <c r="D918" s="351"/>
      <c r="E918" s="351"/>
      <c r="F918" s="351"/>
      <c r="G918" s="351"/>
      <c r="H918" s="351"/>
      <c r="I918" s="351"/>
      <c r="J918" s="351"/>
      <c r="K918" s="351"/>
      <c r="L918" s="351"/>
      <c r="M918" s="351"/>
      <c r="N918" s="351"/>
      <c r="O918" s="351"/>
      <c r="P918" s="351"/>
      <c r="Q918" s="351"/>
      <c r="R918" s="351"/>
      <c r="S918" s="351"/>
      <c r="T918" s="351"/>
      <c r="U918" s="351"/>
      <c r="V918" s="351"/>
      <c r="W918" s="351"/>
      <c r="X918" s="351"/>
      <c r="Y918" s="351"/>
      <c r="Z918" s="351"/>
    </row>
    <row r="919">
      <c r="A919" s="351"/>
      <c r="B919" s="351"/>
      <c r="C919" s="351"/>
      <c r="D919" s="351"/>
      <c r="E919" s="351"/>
      <c r="F919" s="351"/>
      <c r="G919" s="351"/>
      <c r="H919" s="351"/>
      <c r="I919" s="351"/>
      <c r="J919" s="351"/>
      <c r="K919" s="351"/>
      <c r="L919" s="351"/>
      <c r="M919" s="351"/>
      <c r="N919" s="351"/>
      <c r="O919" s="351"/>
      <c r="P919" s="351"/>
      <c r="Q919" s="351"/>
      <c r="R919" s="351"/>
      <c r="S919" s="351"/>
      <c r="T919" s="351"/>
      <c r="U919" s="351"/>
      <c r="V919" s="351"/>
      <c r="W919" s="351"/>
      <c r="X919" s="351"/>
      <c r="Y919" s="351"/>
      <c r="Z919" s="351"/>
    </row>
    <row r="920">
      <c r="A920" s="351"/>
      <c r="B920" s="351"/>
      <c r="C920" s="351"/>
      <c r="D920" s="351"/>
      <c r="E920" s="351"/>
      <c r="F920" s="351"/>
      <c r="G920" s="351"/>
      <c r="H920" s="351"/>
      <c r="I920" s="351"/>
      <c r="J920" s="351"/>
      <c r="K920" s="351"/>
      <c r="L920" s="351"/>
      <c r="M920" s="351"/>
      <c r="N920" s="351"/>
      <c r="O920" s="351"/>
      <c r="P920" s="351"/>
      <c r="Q920" s="351"/>
      <c r="R920" s="351"/>
      <c r="S920" s="351"/>
      <c r="T920" s="351"/>
      <c r="U920" s="351"/>
      <c r="V920" s="351"/>
      <c r="W920" s="351"/>
      <c r="X920" s="351"/>
      <c r="Y920" s="351"/>
      <c r="Z920" s="351"/>
    </row>
    <row r="921">
      <c r="A921" s="351"/>
      <c r="B921" s="351"/>
      <c r="C921" s="351"/>
      <c r="D921" s="351"/>
      <c r="E921" s="351"/>
      <c r="F921" s="351"/>
      <c r="G921" s="351"/>
      <c r="H921" s="351"/>
      <c r="I921" s="351"/>
      <c r="J921" s="351"/>
      <c r="K921" s="351"/>
      <c r="L921" s="351"/>
      <c r="M921" s="351"/>
      <c r="N921" s="351"/>
      <c r="O921" s="351"/>
      <c r="P921" s="351"/>
      <c r="Q921" s="351"/>
      <c r="R921" s="351"/>
      <c r="S921" s="351"/>
      <c r="T921" s="351"/>
      <c r="U921" s="351"/>
      <c r="V921" s="351"/>
      <c r="W921" s="351"/>
      <c r="X921" s="351"/>
      <c r="Y921" s="351"/>
      <c r="Z921" s="351"/>
    </row>
    <row r="922">
      <c r="A922" s="351"/>
      <c r="B922" s="351"/>
      <c r="C922" s="351"/>
      <c r="D922" s="351"/>
      <c r="E922" s="351"/>
      <c r="F922" s="351"/>
      <c r="G922" s="351"/>
      <c r="H922" s="351"/>
      <c r="I922" s="351"/>
      <c r="J922" s="351"/>
      <c r="K922" s="351"/>
      <c r="L922" s="351"/>
      <c r="M922" s="351"/>
      <c r="N922" s="351"/>
      <c r="O922" s="351"/>
      <c r="P922" s="351"/>
      <c r="Q922" s="351"/>
      <c r="R922" s="351"/>
      <c r="S922" s="351"/>
      <c r="T922" s="351"/>
      <c r="U922" s="351"/>
      <c r="V922" s="351"/>
      <c r="W922" s="351"/>
      <c r="X922" s="351"/>
      <c r="Y922" s="351"/>
      <c r="Z922" s="351"/>
    </row>
    <row r="923">
      <c r="A923" s="351"/>
      <c r="B923" s="351"/>
      <c r="C923" s="351"/>
      <c r="D923" s="351"/>
      <c r="E923" s="351"/>
      <c r="F923" s="351"/>
      <c r="G923" s="351"/>
      <c r="H923" s="351"/>
      <c r="I923" s="351"/>
      <c r="J923" s="351"/>
      <c r="K923" s="351"/>
      <c r="L923" s="351"/>
      <c r="M923" s="351"/>
      <c r="N923" s="351"/>
      <c r="O923" s="351"/>
      <c r="P923" s="351"/>
      <c r="Q923" s="351"/>
      <c r="R923" s="351"/>
      <c r="S923" s="351"/>
      <c r="T923" s="351"/>
      <c r="U923" s="351"/>
      <c r="V923" s="351"/>
      <c r="W923" s="351"/>
      <c r="X923" s="351"/>
      <c r="Y923" s="351"/>
      <c r="Z923" s="351"/>
    </row>
    <row r="924">
      <c r="A924" s="351"/>
      <c r="B924" s="351"/>
      <c r="C924" s="351"/>
      <c r="D924" s="351"/>
      <c r="E924" s="351"/>
      <c r="F924" s="351"/>
      <c r="G924" s="351"/>
      <c r="H924" s="351"/>
      <c r="I924" s="351"/>
      <c r="J924" s="351"/>
      <c r="K924" s="351"/>
      <c r="L924" s="351"/>
      <c r="M924" s="351"/>
      <c r="N924" s="351"/>
      <c r="O924" s="351"/>
      <c r="P924" s="351"/>
      <c r="Q924" s="351"/>
      <c r="R924" s="351"/>
      <c r="S924" s="351"/>
      <c r="T924" s="351"/>
      <c r="U924" s="351"/>
      <c r="V924" s="351"/>
      <c r="W924" s="351"/>
      <c r="X924" s="351"/>
      <c r="Y924" s="351"/>
      <c r="Z924" s="351"/>
    </row>
    <row r="925">
      <c r="A925" s="351"/>
      <c r="B925" s="351"/>
      <c r="C925" s="351"/>
      <c r="D925" s="351"/>
      <c r="E925" s="351"/>
      <c r="F925" s="351"/>
      <c r="G925" s="351"/>
      <c r="H925" s="351"/>
      <c r="I925" s="351"/>
      <c r="J925" s="351"/>
      <c r="K925" s="351"/>
      <c r="L925" s="351"/>
      <c r="M925" s="351"/>
      <c r="N925" s="351"/>
      <c r="O925" s="351"/>
      <c r="P925" s="351"/>
      <c r="Q925" s="351"/>
      <c r="R925" s="351"/>
      <c r="S925" s="351"/>
      <c r="T925" s="351"/>
      <c r="U925" s="351"/>
      <c r="V925" s="351"/>
      <c r="W925" s="351"/>
      <c r="X925" s="351"/>
      <c r="Y925" s="351"/>
      <c r="Z925" s="351"/>
    </row>
    <row r="926">
      <c r="A926" s="351"/>
      <c r="B926" s="351"/>
      <c r="C926" s="351"/>
      <c r="D926" s="351"/>
      <c r="E926" s="351"/>
      <c r="F926" s="351"/>
      <c r="G926" s="351"/>
      <c r="H926" s="351"/>
      <c r="I926" s="351"/>
      <c r="J926" s="351"/>
      <c r="K926" s="351"/>
      <c r="L926" s="351"/>
      <c r="M926" s="351"/>
      <c r="N926" s="351"/>
      <c r="O926" s="351"/>
      <c r="P926" s="351"/>
      <c r="Q926" s="351"/>
      <c r="R926" s="351"/>
      <c r="S926" s="351"/>
      <c r="T926" s="351"/>
      <c r="U926" s="351"/>
      <c r="V926" s="351"/>
      <c r="W926" s="351"/>
      <c r="X926" s="351"/>
      <c r="Y926" s="351"/>
      <c r="Z926" s="351"/>
    </row>
    <row r="927">
      <c r="A927" s="351"/>
      <c r="B927" s="351"/>
      <c r="C927" s="351"/>
      <c r="D927" s="351"/>
      <c r="E927" s="351"/>
      <c r="F927" s="351"/>
      <c r="G927" s="351"/>
      <c r="H927" s="351"/>
      <c r="I927" s="351"/>
      <c r="J927" s="351"/>
      <c r="K927" s="351"/>
      <c r="L927" s="351"/>
      <c r="M927" s="351"/>
      <c r="N927" s="351"/>
      <c r="O927" s="351"/>
      <c r="P927" s="351"/>
      <c r="Q927" s="351"/>
      <c r="R927" s="351"/>
      <c r="S927" s="351"/>
      <c r="T927" s="351"/>
      <c r="U927" s="351"/>
      <c r="V927" s="351"/>
      <c r="W927" s="351"/>
      <c r="X927" s="351"/>
      <c r="Y927" s="351"/>
      <c r="Z927" s="351"/>
    </row>
    <row r="928">
      <c r="A928" s="351"/>
      <c r="B928" s="351"/>
      <c r="C928" s="351"/>
      <c r="D928" s="351"/>
      <c r="E928" s="351"/>
      <c r="F928" s="351"/>
      <c r="G928" s="351"/>
      <c r="H928" s="351"/>
      <c r="I928" s="351"/>
      <c r="J928" s="351"/>
      <c r="K928" s="351"/>
      <c r="L928" s="351"/>
      <c r="M928" s="351"/>
      <c r="N928" s="351"/>
      <c r="O928" s="351"/>
      <c r="P928" s="351"/>
      <c r="Q928" s="351"/>
      <c r="R928" s="351"/>
      <c r="S928" s="351"/>
      <c r="T928" s="351"/>
      <c r="U928" s="351"/>
      <c r="V928" s="351"/>
      <c r="W928" s="351"/>
      <c r="X928" s="351"/>
      <c r="Y928" s="351"/>
      <c r="Z928" s="351"/>
    </row>
    <row r="929">
      <c r="A929" s="351"/>
      <c r="B929" s="351"/>
      <c r="C929" s="351"/>
      <c r="D929" s="351"/>
      <c r="E929" s="351"/>
      <c r="F929" s="351"/>
      <c r="G929" s="351"/>
      <c r="H929" s="351"/>
      <c r="I929" s="351"/>
      <c r="J929" s="351"/>
      <c r="K929" s="351"/>
      <c r="L929" s="351"/>
      <c r="M929" s="351"/>
      <c r="N929" s="351"/>
      <c r="O929" s="351"/>
      <c r="P929" s="351"/>
      <c r="Q929" s="351"/>
      <c r="R929" s="351"/>
      <c r="S929" s="351"/>
      <c r="T929" s="351"/>
      <c r="U929" s="351"/>
      <c r="V929" s="351"/>
      <c r="W929" s="351"/>
      <c r="X929" s="351"/>
      <c r="Y929" s="351"/>
      <c r="Z929" s="351"/>
    </row>
    <row r="930">
      <c r="A930" s="351"/>
      <c r="B930" s="351"/>
      <c r="C930" s="351"/>
      <c r="D930" s="351"/>
      <c r="E930" s="351"/>
      <c r="F930" s="351"/>
      <c r="G930" s="351"/>
      <c r="H930" s="351"/>
      <c r="I930" s="351"/>
      <c r="J930" s="351"/>
      <c r="K930" s="351"/>
      <c r="L930" s="351"/>
      <c r="M930" s="351"/>
      <c r="N930" s="351"/>
      <c r="O930" s="351"/>
      <c r="P930" s="351"/>
      <c r="Q930" s="351"/>
      <c r="R930" s="351"/>
      <c r="S930" s="351"/>
      <c r="T930" s="351"/>
      <c r="U930" s="351"/>
      <c r="V930" s="351"/>
      <c r="W930" s="351"/>
      <c r="X930" s="351"/>
      <c r="Y930" s="351"/>
      <c r="Z930" s="351"/>
    </row>
    <row r="931">
      <c r="A931" s="351"/>
      <c r="B931" s="351"/>
      <c r="C931" s="351"/>
      <c r="D931" s="351"/>
      <c r="E931" s="351"/>
      <c r="F931" s="351"/>
      <c r="G931" s="351"/>
      <c r="H931" s="351"/>
      <c r="I931" s="351"/>
      <c r="J931" s="351"/>
      <c r="K931" s="351"/>
      <c r="L931" s="351"/>
      <c r="M931" s="351"/>
      <c r="N931" s="351"/>
      <c r="O931" s="351"/>
      <c r="P931" s="351"/>
      <c r="Q931" s="351"/>
      <c r="R931" s="351"/>
      <c r="S931" s="351"/>
      <c r="T931" s="351"/>
      <c r="U931" s="351"/>
      <c r="V931" s="351"/>
      <c r="W931" s="351"/>
      <c r="X931" s="351"/>
      <c r="Y931" s="351"/>
      <c r="Z931" s="351"/>
    </row>
    <row r="932">
      <c r="A932" s="351"/>
      <c r="B932" s="351"/>
      <c r="C932" s="351"/>
      <c r="D932" s="351"/>
      <c r="E932" s="351"/>
      <c r="F932" s="351"/>
      <c r="G932" s="351"/>
      <c r="H932" s="351"/>
      <c r="I932" s="351"/>
      <c r="J932" s="351"/>
      <c r="K932" s="351"/>
      <c r="L932" s="351"/>
      <c r="M932" s="351"/>
      <c r="N932" s="351"/>
      <c r="O932" s="351"/>
      <c r="P932" s="351"/>
      <c r="Q932" s="351"/>
      <c r="R932" s="351"/>
      <c r="S932" s="351"/>
      <c r="T932" s="351"/>
      <c r="U932" s="351"/>
      <c r="V932" s="351"/>
      <c r="W932" s="351"/>
      <c r="X932" s="351"/>
      <c r="Y932" s="351"/>
      <c r="Z932" s="351"/>
    </row>
    <row r="933">
      <c r="A933" s="351"/>
      <c r="B933" s="351"/>
      <c r="C933" s="351"/>
      <c r="D933" s="351"/>
      <c r="E933" s="351"/>
      <c r="F933" s="351"/>
      <c r="G933" s="351"/>
      <c r="H933" s="351"/>
      <c r="I933" s="351"/>
      <c r="J933" s="351"/>
      <c r="K933" s="351"/>
      <c r="L933" s="351"/>
      <c r="M933" s="351"/>
      <c r="N933" s="351"/>
      <c r="O933" s="351"/>
      <c r="P933" s="351"/>
      <c r="Q933" s="351"/>
      <c r="R933" s="351"/>
      <c r="S933" s="351"/>
      <c r="T933" s="351"/>
      <c r="U933" s="351"/>
      <c r="V933" s="351"/>
      <c r="W933" s="351"/>
      <c r="X933" s="351"/>
      <c r="Y933" s="351"/>
      <c r="Z933" s="351"/>
    </row>
    <row r="934">
      <c r="A934" s="351"/>
      <c r="B934" s="351"/>
      <c r="C934" s="351"/>
      <c r="D934" s="351"/>
      <c r="E934" s="351"/>
      <c r="F934" s="351"/>
      <c r="G934" s="351"/>
      <c r="H934" s="351"/>
      <c r="I934" s="351"/>
      <c r="J934" s="351"/>
      <c r="K934" s="351"/>
      <c r="L934" s="351"/>
      <c r="M934" s="351"/>
      <c r="N934" s="351"/>
      <c r="O934" s="351"/>
      <c r="P934" s="351"/>
      <c r="Q934" s="351"/>
      <c r="R934" s="351"/>
      <c r="S934" s="351"/>
      <c r="T934" s="351"/>
      <c r="U934" s="351"/>
      <c r="V934" s="351"/>
      <c r="W934" s="351"/>
      <c r="X934" s="351"/>
      <c r="Y934" s="351"/>
      <c r="Z934" s="351"/>
    </row>
    <row r="935">
      <c r="A935" s="351"/>
      <c r="B935" s="351"/>
      <c r="C935" s="351"/>
      <c r="D935" s="351"/>
      <c r="E935" s="351"/>
      <c r="F935" s="351"/>
      <c r="G935" s="351"/>
      <c r="H935" s="351"/>
      <c r="I935" s="351"/>
      <c r="J935" s="351"/>
      <c r="K935" s="351"/>
      <c r="L935" s="351"/>
      <c r="M935" s="351"/>
      <c r="N935" s="351"/>
      <c r="O935" s="351"/>
      <c r="P935" s="351"/>
      <c r="Q935" s="351"/>
      <c r="R935" s="351"/>
      <c r="S935" s="351"/>
      <c r="T935" s="351"/>
      <c r="U935" s="351"/>
      <c r="V935" s="351"/>
      <c r="W935" s="351"/>
      <c r="X935" s="351"/>
      <c r="Y935" s="351"/>
      <c r="Z935" s="351"/>
    </row>
    <row r="936">
      <c r="A936" s="351"/>
      <c r="B936" s="351"/>
      <c r="C936" s="351"/>
      <c r="D936" s="351"/>
      <c r="E936" s="351"/>
      <c r="F936" s="351"/>
      <c r="G936" s="351"/>
      <c r="H936" s="351"/>
      <c r="I936" s="351"/>
      <c r="J936" s="351"/>
      <c r="K936" s="351"/>
      <c r="L936" s="351"/>
      <c r="M936" s="351"/>
      <c r="N936" s="351"/>
      <c r="O936" s="351"/>
      <c r="P936" s="351"/>
      <c r="Q936" s="351"/>
      <c r="R936" s="351"/>
      <c r="S936" s="351"/>
      <c r="T936" s="351"/>
      <c r="U936" s="351"/>
      <c r="V936" s="351"/>
      <c r="W936" s="351"/>
      <c r="X936" s="351"/>
      <c r="Y936" s="351"/>
      <c r="Z936" s="351"/>
    </row>
    <row r="937">
      <c r="A937" s="351"/>
      <c r="B937" s="351"/>
      <c r="C937" s="351"/>
      <c r="D937" s="351"/>
      <c r="E937" s="351"/>
      <c r="F937" s="351"/>
      <c r="G937" s="351"/>
      <c r="H937" s="351"/>
      <c r="I937" s="351"/>
      <c r="J937" s="351"/>
      <c r="K937" s="351"/>
      <c r="L937" s="351"/>
      <c r="M937" s="351"/>
      <c r="N937" s="351"/>
      <c r="O937" s="351"/>
      <c r="P937" s="351"/>
      <c r="Q937" s="351"/>
      <c r="R937" s="351"/>
      <c r="S937" s="351"/>
      <c r="T937" s="351"/>
      <c r="U937" s="351"/>
      <c r="V937" s="351"/>
      <c r="W937" s="351"/>
      <c r="X937" s="351"/>
      <c r="Y937" s="351"/>
      <c r="Z937" s="351"/>
    </row>
    <row r="938">
      <c r="A938" s="351"/>
      <c r="B938" s="351"/>
      <c r="C938" s="351"/>
      <c r="D938" s="351"/>
      <c r="E938" s="351"/>
      <c r="F938" s="351"/>
      <c r="G938" s="351"/>
      <c r="H938" s="351"/>
      <c r="I938" s="351"/>
      <c r="J938" s="351"/>
      <c r="K938" s="351"/>
      <c r="L938" s="351"/>
      <c r="M938" s="351"/>
      <c r="N938" s="351"/>
      <c r="O938" s="351"/>
      <c r="P938" s="351"/>
      <c r="Q938" s="351"/>
      <c r="R938" s="351"/>
      <c r="S938" s="351"/>
      <c r="T938" s="351"/>
      <c r="U938" s="351"/>
      <c r="V938" s="351"/>
      <c r="W938" s="351"/>
      <c r="X938" s="351"/>
      <c r="Y938" s="351"/>
      <c r="Z938" s="351"/>
    </row>
    <row r="939">
      <c r="A939" s="351"/>
      <c r="B939" s="351"/>
      <c r="C939" s="351"/>
      <c r="D939" s="351"/>
      <c r="E939" s="351"/>
      <c r="F939" s="351"/>
      <c r="G939" s="351"/>
      <c r="H939" s="351"/>
      <c r="I939" s="351"/>
      <c r="J939" s="351"/>
      <c r="K939" s="351"/>
      <c r="L939" s="351"/>
      <c r="M939" s="351"/>
      <c r="N939" s="351"/>
      <c r="O939" s="351"/>
      <c r="P939" s="351"/>
      <c r="Q939" s="351"/>
      <c r="R939" s="351"/>
      <c r="S939" s="351"/>
      <c r="T939" s="351"/>
      <c r="U939" s="351"/>
      <c r="V939" s="351"/>
      <c r="W939" s="351"/>
      <c r="X939" s="351"/>
      <c r="Y939" s="351"/>
      <c r="Z939" s="351"/>
    </row>
    <row r="940">
      <c r="A940" s="351"/>
      <c r="B940" s="351"/>
      <c r="C940" s="351"/>
      <c r="D940" s="351"/>
      <c r="E940" s="351"/>
      <c r="F940" s="351"/>
      <c r="G940" s="351"/>
      <c r="H940" s="351"/>
      <c r="I940" s="351"/>
      <c r="J940" s="351"/>
      <c r="K940" s="351"/>
      <c r="L940" s="351"/>
      <c r="M940" s="351"/>
      <c r="N940" s="351"/>
      <c r="O940" s="351"/>
      <c r="P940" s="351"/>
      <c r="Q940" s="351"/>
      <c r="R940" s="351"/>
      <c r="S940" s="351"/>
      <c r="T940" s="351"/>
      <c r="U940" s="351"/>
      <c r="V940" s="351"/>
      <c r="W940" s="351"/>
      <c r="X940" s="351"/>
      <c r="Y940" s="351"/>
      <c r="Z940" s="351"/>
    </row>
    <row r="941">
      <c r="A941" s="351"/>
      <c r="B941" s="351"/>
      <c r="C941" s="351"/>
      <c r="D941" s="351"/>
      <c r="E941" s="351"/>
      <c r="F941" s="351"/>
      <c r="G941" s="351"/>
      <c r="H941" s="351"/>
      <c r="I941" s="351"/>
      <c r="J941" s="351"/>
      <c r="K941" s="351"/>
      <c r="L941" s="351"/>
      <c r="M941" s="351"/>
      <c r="N941" s="351"/>
      <c r="O941" s="351"/>
      <c r="P941" s="351"/>
      <c r="Q941" s="351"/>
      <c r="R941" s="351"/>
      <c r="S941" s="351"/>
      <c r="T941" s="351"/>
      <c r="U941" s="351"/>
      <c r="V941" s="351"/>
      <c r="W941" s="351"/>
      <c r="X941" s="351"/>
      <c r="Y941" s="351"/>
      <c r="Z941" s="351"/>
    </row>
    <row r="942">
      <c r="A942" s="351"/>
      <c r="B942" s="351"/>
      <c r="C942" s="351"/>
      <c r="D942" s="351"/>
      <c r="E942" s="351"/>
      <c r="F942" s="351"/>
      <c r="G942" s="351"/>
      <c r="H942" s="351"/>
      <c r="I942" s="351"/>
      <c r="J942" s="351"/>
      <c r="K942" s="351"/>
      <c r="L942" s="351"/>
      <c r="M942" s="351"/>
      <c r="N942" s="351"/>
      <c r="O942" s="351"/>
      <c r="P942" s="351"/>
      <c r="Q942" s="351"/>
      <c r="R942" s="351"/>
      <c r="S942" s="351"/>
      <c r="T942" s="351"/>
      <c r="U942" s="351"/>
      <c r="V942" s="351"/>
      <c r="W942" s="351"/>
      <c r="X942" s="351"/>
      <c r="Y942" s="351"/>
      <c r="Z942" s="351"/>
    </row>
    <row r="943">
      <c r="A943" s="351"/>
      <c r="B943" s="351"/>
      <c r="C943" s="351"/>
      <c r="D943" s="351"/>
      <c r="E943" s="351"/>
      <c r="F943" s="351"/>
      <c r="G943" s="351"/>
      <c r="H943" s="351"/>
      <c r="I943" s="351"/>
      <c r="J943" s="351"/>
      <c r="K943" s="351"/>
      <c r="L943" s="351"/>
      <c r="M943" s="351"/>
      <c r="N943" s="351"/>
      <c r="O943" s="351"/>
      <c r="P943" s="351"/>
      <c r="Q943" s="351"/>
      <c r="R943" s="351"/>
      <c r="S943" s="351"/>
      <c r="T943" s="351"/>
      <c r="U943" s="351"/>
      <c r="V943" s="351"/>
      <c r="W943" s="351"/>
      <c r="X943" s="351"/>
      <c r="Y943" s="351"/>
      <c r="Z943" s="351"/>
    </row>
    <row r="944">
      <c r="A944" s="351"/>
      <c r="B944" s="351"/>
      <c r="C944" s="351"/>
      <c r="D944" s="351"/>
      <c r="E944" s="351"/>
      <c r="F944" s="351"/>
      <c r="G944" s="351"/>
      <c r="H944" s="351"/>
      <c r="I944" s="351"/>
      <c r="J944" s="351"/>
      <c r="K944" s="351"/>
      <c r="L944" s="351"/>
      <c r="M944" s="351"/>
      <c r="N944" s="351"/>
      <c r="O944" s="351"/>
      <c r="P944" s="351"/>
      <c r="Q944" s="351"/>
      <c r="R944" s="351"/>
      <c r="S944" s="351"/>
      <c r="T944" s="351"/>
      <c r="U944" s="351"/>
      <c r="V944" s="351"/>
      <c r="W944" s="351"/>
      <c r="X944" s="351"/>
      <c r="Y944" s="351"/>
      <c r="Z944" s="351"/>
    </row>
    <row r="945">
      <c r="A945" s="351"/>
      <c r="B945" s="351"/>
      <c r="C945" s="351"/>
      <c r="D945" s="351"/>
      <c r="E945" s="351"/>
      <c r="F945" s="351"/>
      <c r="G945" s="351"/>
      <c r="H945" s="351"/>
      <c r="I945" s="351"/>
      <c r="J945" s="351"/>
      <c r="K945" s="351"/>
      <c r="L945" s="351"/>
      <c r="M945" s="351"/>
      <c r="N945" s="351"/>
      <c r="O945" s="351"/>
      <c r="P945" s="351"/>
      <c r="Q945" s="351"/>
      <c r="R945" s="351"/>
      <c r="S945" s="351"/>
      <c r="T945" s="351"/>
      <c r="U945" s="351"/>
      <c r="V945" s="351"/>
      <c r="W945" s="351"/>
      <c r="X945" s="351"/>
      <c r="Y945" s="351"/>
      <c r="Z945" s="351"/>
    </row>
    <row r="946">
      <c r="A946" s="351"/>
      <c r="B946" s="351"/>
      <c r="C946" s="351"/>
      <c r="D946" s="351"/>
      <c r="E946" s="351"/>
      <c r="F946" s="351"/>
      <c r="G946" s="351"/>
      <c r="H946" s="351"/>
      <c r="I946" s="351"/>
      <c r="J946" s="351"/>
      <c r="K946" s="351"/>
      <c r="L946" s="351"/>
      <c r="M946" s="351"/>
      <c r="N946" s="351"/>
      <c r="O946" s="351"/>
      <c r="P946" s="351"/>
      <c r="Q946" s="351"/>
      <c r="R946" s="351"/>
      <c r="S946" s="351"/>
      <c r="T946" s="351"/>
      <c r="U946" s="351"/>
      <c r="V946" s="351"/>
      <c r="W946" s="351"/>
      <c r="X946" s="351"/>
      <c r="Y946" s="351"/>
      <c r="Z946" s="351"/>
    </row>
    <row r="947">
      <c r="A947" s="351"/>
      <c r="B947" s="351"/>
      <c r="C947" s="351"/>
      <c r="D947" s="351"/>
      <c r="E947" s="351"/>
      <c r="F947" s="351"/>
      <c r="G947" s="351"/>
      <c r="H947" s="351"/>
      <c r="I947" s="351"/>
      <c r="J947" s="351"/>
      <c r="K947" s="351"/>
      <c r="L947" s="351"/>
      <c r="M947" s="351"/>
      <c r="N947" s="351"/>
      <c r="O947" s="351"/>
      <c r="P947" s="351"/>
      <c r="Q947" s="351"/>
      <c r="R947" s="351"/>
      <c r="S947" s="351"/>
      <c r="T947" s="351"/>
      <c r="U947" s="351"/>
      <c r="V947" s="351"/>
      <c r="W947" s="351"/>
      <c r="X947" s="351"/>
      <c r="Y947" s="351"/>
      <c r="Z947" s="351"/>
    </row>
    <row r="948">
      <c r="A948" s="351"/>
      <c r="B948" s="351"/>
      <c r="C948" s="351"/>
      <c r="D948" s="351"/>
      <c r="E948" s="351"/>
      <c r="F948" s="351"/>
      <c r="G948" s="351"/>
      <c r="H948" s="351"/>
      <c r="I948" s="351"/>
      <c r="J948" s="351"/>
      <c r="K948" s="351"/>
      <c r="L948" s="351"/>
      <c r="M948" s="351"/>
      <c r="N948" s="351"/>
      <c r="O948" s="351"/>
      <c r="P948" s="351"/>
      <c r="Q948" s="351"/>
      <c r="R948" s="351"/>
      <c r="S948" s="351"/>
      <c r="T948" s="351"/>
      <c r="U948" s="351"/>
      <c r="V948" s="351"/>
      <c r="W948" s="351"/>
      <c r="X948" s="351"/>
      <c r="Y948" s="351"/>
      <c r="Z948" s="351"/>
    </row>
    <row r="949">
      <c r="A949" s="351"/>
      <c r="B949" s="351"/>
      <c r="C949" s="351"/>
      <c r="D949" s="351"/>
      <c r="E949" s="351"/>
      <c r="F949" s="351"/>
      <c r="G949" s="351"/>
      <c r="H949" s="351"/>
      <c r="I949" s="351"/>
      <c r="J949" s="351"/>
      <c r="K949" s="351"/>
      <c r="L949" s="351"/>
      <c r="M949" s="351"/>
      <c r="N949" s="351"/>
      <c r="O949" s="351"/>
      <c r="P949" s="351"/>
      <c r="Q949" s="351"/>
      <c r="R949" s="351"/>
      <c r="S949" s="351"/>
      <c r="T949" s="351"/>
      <c r="U949" s="351"/>
      <c r="V949" s="351"/>
      <c r="W949" s="351"/>
      <c r="X949" s="351"/>
      <c r="Y949" s="351"/>
      <c r="Z949" s="351"/>
    </row>
    <row r="950">
      <c r="A950" s="351"/>
      <c r="B950" s="351"/>
      <c r="C950" s="351"/>
      <c r="D950" s="351"/>
      <c r="E950" s="351"/>
      <c r="F950" s="351"/>
      <c r="G950" s="351"/>
      <c r="H950" s="351"/>
      <c r="I950" s="351"/>
      <c r="J950" s="351"/>
      <c r="K950" s="351"/>
      <c r="L950" s="351"/>
      <c r="M950" s="351"/>
      <c r="N950" s="351"/>
      <c r="O950" s="351"/>
      <c r="P950" s="351"/>
      <c r="Q950" s="351"/>
      <c r="R950" s="351"/>
      <c r="S950" s="351"/>
      <c r="T950" s="351"/>
      <c r="U950" s="351"/>
      <c r="V950" s="351"/>
      <c r="W950" s="351"/>
      <c r="X950" s="351"/>
      <c r="Y950" s="351"/>
      <c r="Z950" s="351"/>
    </row>
    <row r="951">
      <c r="A951" s="351"/>
      <c r="B951" s="351"/>
      <c r="C951" s="351"/>
      <c r="D951" s="351"/>
      <c r="E951" s="351"/>
      <c r="F951" s="351"/>
      <c r="G951" s="351"/>
      <c r="H951" s="351"/>
      <c r="I951" s="351"/>
      <c r="J951" s="351"/>
      <c r="K951" s="351"/>
      <c r="L951" s="351"/>
      <c r="M951" s="351"/>
      <c r="N951" s="351"/>
      <c r="O951" s="351"/>
      <c r="P951" s="351"/>
      <c r="Q951" s="351"/>
      <c r="R951" s="351"/>
      <c r="S951" s="351"/>
      <c r="T951" s="351"/>
      <c r="U951" s="351"/>
      <c r="V951" s="351"/>
      <c r="W951" s="351"/>
      <c r="X951" s="351"/>
      <c r="Y951" s="351"/>
      <c r="Z951" s="351"/>
    </row>
    <row r="952">
      <c r="A952" s="351"/>
      <c r="B952" s="351"/>
      <c r="C952" s="351"/>
      <c r="D952" s="351"/>
      <c r="E952" s="351"/>
      <c r="F952" s="351"/>
      <c r="G952" s="351"/>
      <c r="H952" s="351"/>
      <c r="I952" s="351"/>
      <c r="J952" s="351"/>
      <c r="K952" s="351"/>
      <c r="L952" s="351"/>
      <c r="M952" s="351"/>
      <c r="N952" s="351"/>
      <c r="O952" s="351"/>
      <c r="P952" s="351"/>
      <c r="Q952" s="351"/>
      <c r="R952" s="351"/>
      <c r="S952" s="351"/>
      <c r="T952" s="351"/>
      <c r="U952" s="351"/>
      <c r="V952" s="351"/>
      <c r="W952" s="351"/>
      <c r="X952" s="351"/>
      <c r="Y952" s="351"/>
      <c r="Z952" s="351"/>
    </row>
    <row r="953">
      <c r="A953" s="351"/>
      <c r="B953" s="351"/>
      <c r="C953" s="351"/>
      <c r="D953" s="351"/>
      <c r="E953" s="351"/>
      <c r="F953" s="351"/>
      <c r="G953" s="351"/>
      <c r="H953" s="351"/>
      <c r="I953" s="351"/>
      <c r="J953" s="351"/>
      <c r="K953" s="351"/>
      <c r="L953" s="351"/>
      <c r="M953" s="351"/>
      <c r="N953" s="351"/>
      <c r="O953" s="351"/>
      <c r="P953" s="351"/>
      <c r="Q953" s="351"/>
      <c r="R953" s="351"/>
      <c r="S953" s="351"/>
      <c r="T953" s="351"/>
      <c r="U953" s="351"/>
      <c r="V953" s="351"/>
      <c r="W953" s="351"/>
      <c r="X953" s="351"/>
      <c r="Y953" s="351"/>
      <c r="Z953" s="351"/>
    </row>
    <row r="954">
      <c r="A954" s="351"/>
      <c r="B954" s="351"/>
      <c r="C954" s="351"/>
      <c r="D954" s="351"/>
      <c r="E954" s="351"/>
      <c r="F954" s="351"/>
      <c r="G954" s="351"/>
      <c r="H954" s="351"/>
      <c r="I954" s="351"/>
      <c r="J954" s="351"/>
      <c r="K954" s="351"/>
      <c r="L954" s="351"/>
      <c r="M954" s="351"/>
      <c r="N954" s="351"/>
      <c r="O954" s="351"/>
      <c r="P954" s="351"/>
      <c r="Q954" s="351"/>
      <c r="R954" s="351"/>
      <c r="S954" s="351"/>
      <c r="T954" s="351"/>
      <c r="U954" s="351"/>
      <c r="V954" s="351"/>
      <c r="W954" s="351"/>
      <c r="X954" s="351"/>
      <c r="Y954" s="351"/>
      <c r="Z954" s="351"/>
    </row>
    <row r="955">
      <c r="A955" s="351"/>
      <c r="B955" s="351"/>
      <c r="C955" s="351"/>
      <c r="D955" s="351"/>
      <c r="E955" s="351"/>
      <c r="F955" s="351"/>
      <c r="G955" s="351"/>
      <c r="H955" s="351"/>
      <c r="I955" s="351"/>
      <c r="J955" s="351"/>
      <c r="K955" s="351"/>
      <c r="L955" s="351"/>
      <c r="M955" s="351"/>
      <c r="N955" s="351"/>
      <c r="O955" s="351"/>
      <c r="P955" s="351"/>
      <c r="Q955" s="351"/>
      <c r="R955" s="351"/>
      <c r="S955" s="351"/>
      <c r="T955" s="351"/>
      <c r="U955" s="351"/>
      <c r="V955" s="351"/>
      <c r="W955" s="351"/>
      <c r="X955" s="351"/>
      <c r="Y955" s="351"/>
      <c r="Z955" s="351"/>
    </row>
    <row r="956">
      <c r="A956" s="351"/>
      <c r="B956" s="351"/>
      <c r="C956" s="351"/>
      <c r="D956" s="351"/>
      <c r="E956" s="351"/>
      <c r="F956" s="351"/>
      <c r="G956" s="351"/>
      <c r="H956" s="351"/>
      <c r="I956" s="351"/>
      <c r="J956" s="351"/>
      <c r="K956" s="351"/>
      <c r="L956" s="351"/>
      <c r="M956" s="351"/>
      <c r="N956" s="351"/>
      <c r="O956" s="351"/>
      <c r="P956" s="351"/>
      <c r="Q956" s="351"/>
      <c r="R956" s="351"/>
      <c r="S956" s="351"/>
      <c r="T956" s="351"/>
      <c r="U956" s="351"/>
      <c r="V956" s="351"/>
      <c r="W956" s="351"/>
      <c r="X956" s="351"/>
      <c r="Y956" s="351"/>
      <c r="Z956" s="351"/>
    </row>
    <row r="957">
      <c r="A957" s="351"/>
      <c r="B957" s="351"/>
      <c r="C957" s="351"/>
      <c r="D957" s="351"/>
      <c r="E957" s="351"/>
      <c r="F957" s="351"/>
      <c r="G957" s="351"/>
      <c r="H957" s="351"/>
      <c r="I957" s="351"/>
      <c r="J957" s="351"/>
      <c r="K957" s="351"/>
      <c r="L957" s="351"/>
      <c r="M957" s="351"/>
      <c r="N957" s="351"/>
      <c r="O957" s="351"/>
      <c r="P957" s="351"/>
      <c r="Q957" s="351"/>
      <c r="R957" s="351"/>
      <c r="S957" s="351"/>
      <c r="T957" s="351"/>
      <c r="U957" s="351"/>
      <c r="V957" s="351"/>
      <c r="W957" s="351"/>
      <c r="X957" s="351"/>
      <c r="Y957" s="351"/>
      <c r="Z957" s="351"/>
    </row>
    <row r="958">
      <c r="A958" s="351"/>
      <c r="B958" s="351"/>
      <c r="C958" s="351"/>
      <c r="D958" s="351"/>
      <c r="E958" s="351"/>
      <c r="F958" s="351"/>
      <c r="G958" s="351"/>
      <c r="H958" s="351"/>
      <c r="I958" s="351"/>
      <c r="J958" s="351"/>
      <c r="K958" s="351"/>
      <c r="L958" s="351"/>
      <c r="M958" s="351"/>
      <c r="N958" s="351"/>
      <c r="O958" s="351"/>
      <c r="P958" s="351"/>
      <c r="Q958" s="351"/>
      <c r="R958" s="351"/>
      <c r="S958" s="351"/>
      <c r="T958" s="351"/>
      <c r="U958" s="351"/>
      <c r="V958" s="351"/>
      <c r="W958" s="351"/>
      <c r="X958" s="351"/>
      <c r="Y958" s="351"/>
      <c r="Z958" s="351"/>
    </row>
    <row r="959">
      <c r="A959" s="351"/>
      <c r="B959" s="351"/>
      <c r="C959" s="351"/>
      <c r="D959" s="351"/>
      <c r="E959" s="351"/>
      <c r="F959" s="351"/>
      <c r="G959" s="351"/>
      <c r="H959" s="351"/>
      <c r="I959" s="351"/>
      <c r="J959" s="351"/>
      <c r="K959" s="351"/>
      <c r="L959" s="351"/>
      <c r="M959" s="351"/>
      <c r="N959" s="351"/>
      <c r="O959" s="351"/>
      <c r="P959" s="351"/>
      <c r="Q959" s="351"/>
      <c r="R959" s="351"/>
      <c r="S959" s="351"/>
      <c r="T959" s="351"/>
      <c r="U959" s="351"/>
      <c r="V959" s="351"/>
      <c r="W959" s="351"/>
      <c r="X959" s="351"/>
      <c r="Y959" s="351"/>
      <c r="Z959" s="351"/>
    </row>
    <row r="960">
      <c r="A960" s="351"/>
      <c r="B960" s="351"/>
      <c r="C960" s="351"/>
      <c r="D960" s="351"/>
      <c r="E960" s="351"/>
      <c r="F960" s="351"/>
      <c r="G960" s="351"/>
      <c r="H960" s="351"/>
      <c r="I960" s="351"/>
      <c r="J960" s="351"/>
      <c r="K960" s="351"/>
      <c r="L960" s="351"/>
      <c r="M960" s="351"/>
      <c r="N960" s="351"/>
      <c r="O960" s="351"/>
      <c r="P960" s="351"/>
      <c r="Q960" s="351"/>
      <c r="R960" s="351"/>
      <c r="S960" s="351"/>
      <c r="T960" s="351"/>
      <c r="U960" s="351"/>
      <c r="V960" s="351"/>
      <c r="W960" s="351"/>
      <c r="X960" s="351"/>
      <c r="Y960" s="351"/>
      <c r="Z960" s="351"/>
    </row>
    <row r="961">
      <c r="A961" s="351"/>
      <c r="B961" s="351"/>
      <c r="C961" s="351"/>
      <c r="D961" s="351"/>
      <c r="E961" s="351"/>
      <c r="F961" s="351"/>
      <c r="G961" s="351"/>
      <c r="H961" s="351"/>
      <c r="I961" s="351"/>
      <c r="J961" s="351"/>
      <c r="K961" s="351"/>
      <c r="L961" s="351"/>
      <c r="M961" s="351"/>
      <c r="N961" s="351"/>
      <c r="O961" s="351"/>
      <c r="P961" s="351"/>
      <c r="Q961" s="351"/>
      <c r="R961" s="351"/>
      <c r="S961" s="351"/>
      <c r="T961" s="351"/>
      <c r="U961" s="351"/>
      <c r="V961" s="351"/>
      <c r="W961" s="351"/>
      <c r="X961" s="351"/>
      <c r="Y961" s="351"/>
      <c r="Z961" s="351"/>
    </row>
    <row r="962">
      <c r="A962" s="351"/>
      <c r="B962" s="351"/>
      <c r="C962" s="351"/>
      <c r="D962" s="351"/>
      <c r="E962" s="351"/>
      <c r="F962" s="351"/>
      <c r="G962" s="351"/>
      <c r="H962" s="351"/>
      <c r="I962" s="351"/>
      <c r="J962" s="351"/>
      <c r="K962" s="351"/>
      <c r="L962" s="351"/>
      <c r="M962" s="351"/>
      <c r="N962" s="351"/>
      <c r="O962" s="351"/>
      <c r="P962" s="351"/>
      <c r="Q962" s="351"/>
      <c r="R962" s="351"/>
      <c r="S962" s="351"/>
      <c r="T962" s="351"/>
      <c r="U962" s="351"/>
      <c r="V962" s="351"/>
      <c r="W962" s="351"/>
      <c r="X962" s="351"/>
      <c r="Y962" s="351"/>
      <c r="Z962" s="351"/>
    </row>
    <row r="963">
      <c r="A963" s="351"/>
      <c r="B963" s="351"/>
      <c r="C963" s="351"/>
      <c r="D963" s="351"/>
      <c r="E963" s="351"/>
      <c r="F963" s="351"/>
      <c r="G963" s="351"/>
      <c r="H963" s="351"/>
      <c r="I963" s="351"/>
      <c r="J963" s="351"/>
      <c r="K963" s="351"/>
      <c r="L963" s="351"/>
      <c r="M963" s="351"/>
      <c r="N963" s="351"/>
      <c r="O963" s="351"/>
      <c r="P963" s="351"/>
      <c r="Q963" s="351"/>
      <c r="R963" s="351"/>
      <c r="S963" s="351"/>
      <c r="T963" s="351"/>
      <c r="U963" s="351"/>
      <c r="V963" s="351"/>
      <c r="W963" s="351"/>
      <c r="X963" s="351"/>
      <c r="Y963" s="351"/>
      <c r="Z963" s="351"/>
    </row>
    <row r="964">
      <c r="A964" s="351"/>
      <c r="B964" s="351"/>
      <c r="C964" s="351"/>
      <c r="D964" s="351"/>
      <c r="E964" s="351"/>
      <c r="F964" s="351"/>
      <c r="G964" s="351"/>
      <c r="H964" s="351"/>
      <c r="I964" s="351"/>
      <c r="J964" s="351"/>
      <c r="K964" s="351"/>
      <c r="L964" s="351"/>
      <c r="M964" s="351"/>
      <c r="N964" s="351"/>
      <c r="O964" s="351"/>
      <c r="P964" s="351"/>
      <c r="Q964" s="351"/>
      <c r="R964" s="351"/>
      <c r="S964" s="351"/>
      <c r="T964" s="351"/>
      <c r="U964" s="351"/>
      <c r="V964" s="351"/>
      <c r="W964" s="351"/>
      <c r="X964" s="351"/>
      <c r="Y964" s="351"/>
      <c r="Z964" s="351"/>
    </row>
    <row r="965">
      <c r="A965" s="351"/>
      <c r="B965" s="351"/>
      <c r="C965" s="351"/>
      <c r="D965" s="351"/>
      <c r="E965" s="351"/>
      <c r="F965" s="351"/>
      <c r="G965" s="351"/>
      <c r="H965" s="351"/>
      <c r="I965" s="351"/>
      <c r="J965" s="351"/>
      <c r="K965" s="351"/>
      <c r="L965" s="351"/>
      <c r="M965" s="351"/>
      <c r="N965" s="351"/>
      <c r="O965" s="351"/>
      <c r="P965" s="351"/>
      <c r="Q965" s="351"/>
      <c r="R965" s="351"/>
      <c r="S965" s="351"/>
      <c r="T965" s="351"/>
      <c r="U965" s="351"/>
      <c r="V965" s="351"/>
      <c r="W965" s="351"/>
      <c r="X965" s="351"/>
      <c r="Y965" s="351"/>
      <c r="Z965" s="351"/>
    </row>
    <row r="966">
      <c r="A966" s="351"/>
      <c r="B966" s="351"/>
      <c r="C966" s="351"/>
      <c r="D966" s="351"/>
      <c r="E966" s="351"/>
      <c r="F966" s="351"/>
      <c r="G966" s="351"/>
      <c r="H966" s="351"/>
      <c r="I966" s="351"/>
      <c r="J966" s="351"/>
      <c r="K966" s="351"/>
      <c r="L966" s="351"/>
      <c r="M966" s="351"/>
      <c r="N966" s="351"/>
      <c r="O966" s="351"/>
      <c r="P966" s="351"/>
      <c r="Q966" s="351"/>
      <c r="R966" s="351"/>
      <c r="S966" s="351"/>
      <c r="T966" s="351"/>
      <c r="U966" s="351"/>
      <c r="V966" s="351"/>
      <c r="W966" s="351"/>
      <c r="X966" s="351"/>
      <c r="Y966" s="351"/>
      <c r="Z966" s="351"/>
    </row>
    <row r="967">
      <c r="A967" s="351"/>
      <c r="B967" s="351"/>
      <c r="C967" s="351"/>
      <c r="D967" s="351"/>
      <c r="E967" s="351"/>
      <c r="F967" s="351"/>
      <c r="G967" s="351"/>
      <c r="H967" s="351"/>
      <c r="I967" s="351"/>
      <c r="J967" s="351"/>
      <c r="K967" s="351"/>
      <c r="L967" s="351"/>
      <c r="M967" s="351"/>
      <c r="N967" s="351"/>
      <c r="O967" s="351"/>
      <c r="P967" s="351"/>
      <c r="Q967" s="351"/>
      <c r="R967" s="351"/>
      <c r="S967" s="351"/>
      <c r="T967" s="351"/>
      <c r="U967" s="351"/>
      <c r="V967" s="351"/>
      <c r="W967" s="351"/>
      <c r="X967" s="351"/>
      <c r="Y967" s="351"/>
      <c r="Z967" s="351"/>
    </row>
    <row r="968">
      <c r="A968" s="351"/>
      <c r="B968" s="351"/>
      <c r="C968" s="351"/>
      <c r="D968" s="351"/>
      <c r="E968" s="351"/>
      <c r="F968" s="351"/>
      <c r="G968" s="351"/>
      <c r="H968" s="351"/>
      <c r="I968" s="351"/>
      <c r="J968" s="351"/>
      <c r="K968" s="351"/>
      <c r="L968" s="351"/>
      <c r="M968" s="351"/>
      <c r="N968" s="351"/>
      <c r="O968" s="351"/>
      <c r="P968" s="351"/>
      <c r="Q968" s="351"/>
      <c r="R968" s="351"/>
      <c r="S968" s="351"/>
      <c r="T968" s="351"/>
      <c r="U968" s="351"/>
      <c r="V968" s="351"/>
      <c r="W968" s="351"/>
      <c r="X968" s="351"/>
      <c r="Y968" s="351"/>
      <c r="Z968" s="351"/>
    </row>
    <row r="969">
      <c r="A969" s="351"/>
      <c r="B969" s="351"/>
      <c r="C969" s="351"/>
      <c r="D969" s="351"/>
      <c r="E969" s="351"/>
      <c r="F969" s="351"/>
      <c r="G969" s="351"/>
      <c r="H969" s="351"/>
      <c r="I969" s="351"/>
      <c r="J969" s="351"/>
      <c r="K969" s="351"/>
      <c r="L969" s="351"/>
      <c r="M969" s="351"/>
      <c r="N969" s="351"/>
      <c r="O969" s="351"/>
      <c r="P969" s="351"/>
      <c r="Q969" s="351"/>
      <c r="R969" s="351"/>
      <c r="S969" s="351"/>
      <c r="T969" s="351"/>
      <c r="U969" s="351"/>
      <c r="V969" s="351"/>
      <c r="W969" s="351"/>
      <c r="X969" s="351"/>
      <c r="Y969" s="351"/>
      <c r="Z969" s="351"/>
    </row>
    <row r="970">
      <c r="A970" s="351"/>
      <c r="B970" s="351"/>
      <c r="C970" s="351"/>
      <c r="D970" s="351"/>
      <c r="E970" s="351"/>
      <c r="F970" s="351"/>
      <c r="G970" s="351"/>
      <c r="H970" s="351"/>
      <c r="I970" s="351"/>
      <c r="J970" s="351"/>
      <c r="K970" s="351"/>
      <c r="L970" s="351"/>
      <c r="M970" s="351"/>
      <c r="N970" s="351"/>
      <c r="O970" s="351"/>
      <c r="P970" s="351"/>
      <c r="Q970" s="351"/>
      <c r="R970" s="351"/>
      <c r="S970" s="351"/>
      <c r="T970" s="351"/>
      <c r="U970" s="351"/>
      <c r="V970" s="351"/>
      <c r="W970" s="351"/>
      <c r="X970" s="351"/>
      <c r="Y970" s="351"/>
      <c r="Z970" s="351"/>
    </row>
    <row r="971">
      <c r="A971" s="351"/>
      <c r="B971" s="351"/>
      <c r="C971" s="351"/>
      <c r="D971" s="351"/>
      <c r="E971" s="351"/>
      <c r="F971" s="351"/>
      <c r="G971" s="351"/>
      <c r="H971" s="351"/>
      <c r="I971" s="351"/>
      <c r="J971" s="351"/>
      <c r="K971" s="351"/>
      <c r="L971" s="351"/>
      <c r="M971" s="351"/>
      <c r="N971" s="351"/>
      <c r="O971" s="351"/>
      <c r="P971" s="351"/>
      <c r="Q971" s="351"/>
      <c r="R971" s="351"/>
      <c r="S971" s="351"/>
      <c r="T971" s="351"/>
      <c r="U971" s="351"/>
      <c r="V971" s="351"/>
      <c r="W971" s="351"/>
      <c r="X971" s="351"/>
      <c r="Y971" s="351"/>
      <c r="Z971" s="351"/>
    </row>
    <row r="972">
      <c r="A972" s="351"/>
      <c r="B972" s="351"/>
      <c r="C972" s="351"/>
      <c r="D972" s="351"/>
      <c r="E972" s="351"/>
      <c r="F972" s="351"/>
      <c r="G972" s="351"/>
      <c r="H972" s="351"/>
      <c r="I972" s="351"/>
      <c r="J972" s="351"/>
      <c r="K972" s="351"/>
      <c r="L972" s="351"/>
      <c r="M972" s="351"/>
      <c r="N972" s="351"/>
      <c r="O972" s="351"/>
      <c r="P972" s="351"/>
      <c r="Q972" s="351"/>
      <c r="R972" s="351"/>
      <c r="S972" s="351"/>
      <c r="T972" s="351"/>
      <c r="U972" s="351"/>
      <c r="V972" s="351"/>
      <c r="W972" s="351"/>
      <c r="X972" s="351"/>
      <c r="Y972" s="351"/>
      <c r="Z972" s="351"/>
    </row>
    <row r="973">
      <c r="A973" s="351"/>
      <c r="B973" s="351"/>
      <c r="C973" s="351"/>
      <c r="D973" s="351"/>
      <c r="E973" s="351"/>
      <c r="F973" s="351"/>
      <c r="G973" s="351"/>
      <c r="H973" s="351"/>
      <c r="I973" s="351"/>
      <c r="J973" s="351"/>
      <c r="K973" s="351"/>
      <c r="L973" s="351"/>
      <c r="M973" s="351"/>
      <c r="N973" s="351"/>
      <c r="O973" s="351"/>
      <c r="P973" s="351"/>
      <c r="Q973" s="351"/>
      <c r="R973" s="351"/>
      <c r="S973" s="351"/>
      <c r="T973" s="351"/>
      <c r="U973" s="351"/>
      <c r="V973" s="351"/>
      <c r="W973" s="351"/>
      <c r="X973" s="351"/>
      <c r="Y973" s="351"/>
      <c r="Z973" s="351"/>
    </row>
    <row r="974">
      <c r="A974" s="351"/>
      <c r="B974" s="351"/>
      <c r="C974" s="351"/>
      <c r="D974" s="351"/>
      <c r="E974" s="351"/>
      <c r="F974" s="351"/>
      <c r="G974" s="351"/>
      <c r="H974" s="351"/>
      <c r="I974" s="351"/>
      <c r="J974" s="351"/>
      <c r="K974" s="351"/>
      <c r="L974" s="351"/>
      <c r="M974" s="351"/>
      <c r="N974" s="351"/>
      <c r="O974" s="351"/>
      <c r="P974" s="351"/>
      <c r="Q974" s="351"/>
      <c r="R974" s="351"/>
      <c r="S974" s="351"/>
      <c r="T974" s="351"/>
      <c r="U974" s="351"/>
      <c r="V974" s="351"/>
      <c r="W974" s="351"/>
      <c r="X974" s="351"/>
      <c r="Y974" s="351"/>
      <c r="Z974" s="351"/>
    </row>
    <row r="975">
      <c r="A975" s="351"/>
      <c r="B975" s="351"/>
      <c r="C975" s="351"/>
      <c r="D975" s="351"/>
      <c r="E975" s="351"/>
      <c r="F975" s="351"/>
      <c r="G975" s="351"/>
      <c r="H975" s="351"/>
      <c r="I975" s="351"/>
      <c r="J975" s="351"/>
      <c r="K975" s="351"/>
      <c r="L975" s="351"/>
      <c r="M975" s="351"/>
      <c r="N975" s="351"/>
      <c r="O975" s="351"/>
      <c r="P975" s="351"/>
      <c r="Q975" s="351"/>
      <c r="R975" s="351"/>
      <c r="S975" s="351"/>
      <c r="T975" s="351"/>
      <c r="U975" s="351"/>
      <c r="V975" s="351"/>
      <c r="W975" s="351"/>
      <c r="X975" s="351"/>
      <c r="Y975" s="351"/>
      <c r="Z975" s="351"/>
    </row>
    <row r="976">
      <c r="A976" s="351"/>
      <c r="B976" s="351"/>
      <c r="C976" s="351"/>
      <c r="D976" s="351"/>
      <c r="E976" s="351"/>
      <c r="F976" s="351"/>
      <c r="G976" s="351"/>
      <c r="H976" s="351"/>
      <c r="I976" s="351"/>
      <c r="J976" s="351"/>
      <c r="K976" s="351"/>
      <c r="L976" s="351"/>
      <c r="M976" s="351"/>
      <c r="N976" s="351"/>
      <c r="O976" s="351"/>
      <c r="P976" s="351"/>
      <c r="Q976" s="351"/>
      <c r="R976" s="351"/>
      <c r="S976" s="351"/>
      <c r="T976" s="351"/>
      <c r="U976" s="351"/>
      <c r="V976" s="351"/>
      <c r="W976" s="351"/>
      <c r="X976" s="351"/>
      <c r="Y976" s="351"/>
      <c r="Z976" s="351"/>
    </row>
    <row r="977">
      <c r="A977" s="351"/>
      <c r="B977" s="351"/>
      <c r="C977" s="351"/>
      <c r="D977" s="351"/>
      <c r="E977" s="351"/>
      <c r="F977" s="351"/>
      <c r="G977" s="351"/>
      <c r="H977" s="351"/>
      <c r="I977" s="351"/>
      <c r="J977" s="351"/>
      <c r="K977" s="351"/>
      <c r="L977" s="351"/>
      <c r="M977" s="351"/>
      <c r="N977" s="351"/>
      <c r="O977" s="351"/>
      <c r="P977" s="351"/>
      <c r="Q977" s="351"/>
      <c r="R977" s="351"/>
      <c r="S977" s="351"/>
      <c r="T977" s="351"/>
      <c r="U977" s="351"/>
      <c r="V977" s="351"/>
      <c r="W977" s="351"/>
      <c r="X977" s="351"/>
      <c r="Y977" s="351"/>
      <c r="Z977" s="351"/>
    </row>
    <row r="978">
      <c r="A978" s="351"/>
      <c r="B978" s="351"/>
      <c r="C978" s="351"/>
      <c r="D978" s="351"/>
      <c r="E978" s="351"/>
      <c r="F978" s="351"/>
      <c r="G978" s="351"/>
      <c r="H978" s="351"/>
      <c r="I978" s="351"/>
      <c r="J978" s="351"/>
      <c r="K978" s="351"/>
      <c r="L978" s="351"/>
      <c r="M978" s="351"/>
      <c r="N978" s="351"/>
      <c r="O978" s="351"/>
      <c r="P978" s="351"/>
      <c r="Q978" s="351"/>
      <c r="R978" s="351"/>
      <c r="S978" s="351"/>
      <c r="T978" s="351"/>
      <c r="U978" s="351"/>
      <c r="V978" s="351"/>
      <c r="W978" s="351"/>
      <c r="X978" s="351"/>
      <c r="Y978" s="351"/>
      <c r="Z978" s="351"/>
    </row>
    <row r="979">
      <c r="A979" s="351"/>
      <c r="B979" s="351"/>
      <c r="C979" s="351"/>
      <c r="D979" s="351"/>
      <c r="E979" s="351"/>
      <c r="F979" s="351"/>
      <c r="G979" s="351"/>
      <c r="H979" s="351"/>
      <c r="I979" s="351"/>
      <c r="J979" s="351"/>
      <c r="K979" s="351"/>
      <c r="L979" s="351"/>
      <c r="M979" s="351"/>
      <c r="N979" s="351"/>
      <c r="O979" s="351"/>
      <c r="P979" s="351"/>
      <c r="Q979" s="351"/>
      <c r="R979" s="351"/>
      <c r="S979" s="351"/>
      <c r="T979" s="351"/>
      <c r="U979" s="351"/>
      <c r="V979" s="351"/>
      <c r="W979" s="351"/>
      <c r="X979" s="351"/>
      <c r="Y979" s="351"/>
      <c r="Z979" s="351"/>
    </row>
    <row r="980">
      <c r="A980" s="351"/>
      <c r="B980" s="351"/>
      <c r="C980" s="351"/>
      <c r="D980" s="351"/>
      <c r="E980" s="351"/>
      <c r="F980" s="351"/>
      <c r="G980" s="351"/>
      <c r="H980" s="351"/>
      <c r="I980" s="351"/>
      <c r="J980" s="351"/>
      <c r="K980" s="351"/>
      <c r="L980" s="351"/>
      <c r="M980" s="351"/>
      <c r="N980" s="351"/>
      <c r="O980" s="351"/>
      <c r="P980" s="351"/>
      <c r="Q980" s="351"/>
      <c r="R980" s="351"/>
      <c r="S980" s="351"/>
      <c r="T980" s="351"/>
      <c r="U980" s="351"/>
      <c r="V980" s="351"/>
      <c r="W980" s="351"/>
      <c r="X980" s="351"/>
      <c r="Y980" s="351"/>
      <c r="Z980" s="351"/>
    </row>
    <row r="981">
      <c r="A981" s="351"/>
      <c r="B981" s="351"/>
      <c r="C981" s="351"/>
      <c r="D981" s="351"/>
      <c r="E981" s="351"/>
      <c r="F981" s="351"/>
      <c r="G981" s="351"/>
      <c r="H981" s="351"/>
      <c r="I981" s="351"/>
      <c r="J981" s="351"/>
      <c r="K981" s="351"/>
      <c r="L981" s="351"/>
      <c r="M981" s="351"/>
      <c r="N981" s="351"/>
      <c r="O981" s="351"/>
      <c r="P981" s="351"/>
      <c r="Q981" s="351"/>
      <c r="R981" s="351"/>
      <c r="S981" s="351"/>
      <c r="T981" s="351"/>
      <c r="U981" s="351"/>
      <c r="V981" s="351"/>
      <c r="W981" s="351"/>
      <c r="X981" s="351"/>
      <c r="Y981" s="351"/>
      <c r="Z981" s="351"/>
    </row>
    <row r="982">
      <c r="A982" s="351"/>
      <c r="B982" s="351"/>
      <c r="C982" s="351"/>
      <c r="D982" s="351"/>
      <c r="E982" s="351"/>
      <c r="F982" s="351"/>
      <c r="G982" s="351"/>
      <c r="H982" s="351"/>
      <c r="I982" s="351"/>
      <c r="J982" s="351"/>
      <c r="K982" s="351"/>
      <c r="L982" s="351"/>
      <c r="M982" s="351"/>
      <c r="N982" s="351"/>
      <c r="O982" s="351"/>
      <c r="P982" s="351"/>
      <c r="Q982" s="351"/>
      <c r="R982" s="351"/>
      <c r="S982" s="351"/>
      <c r="T982" s="351"/>
      <c r="U982" s="351"/>
      <c r="V982" s="351"/>
      <c r="W982" s="351"/>
      <c r="X982" s="351"/>
      <c r="Y982" s="351"/>
      <c r="Z982" s="351"/>
    </row>
    <row r="983">
      <c r="A983" s="351"/>
      <c r="B983" s="351"/>
      <c r="C983" s="351"/>
      <c r="D983" s="351"/>
      <c r="E983" s="351"/>
      <c r="F983" s="351"/>
      <c r="G983" s="351"/>
      <c r="H983" s="351"/>
      <c r="I983" s="351"/>
      <c r="J983" s="351"/>
      <c r="K983" s="351"/>
      <c r="L983" s="351"/>
      <c r="M983" s="351"/>
      <c r="N983" s="351"/>
      <c r="O983" s="351"/>
      <c r="P983" s="351"/>
      <c r="Q983" s="351"/>
      <c r="R983" s="351"/>
      <c r="S983" s="351"/>
      <c r="T983" s="351"/>
      <c r="U983" s="351"/>
      <c r="V983" s="351"/>
      <c r="W983" s="351"/>
      <c r="X983" s="351"/>
      <c r="Y983" s="351"/>
      <c r="Z983" s="351"/>
    </row>
    <row r="984">
      <c r="A984" s="351"/>
      <c r="B984" s="351"/>
      <c r="C984" s="351"/>
      <c r="D984" s="351"/>
      <c r="E984" s="351"/>
      <c r="F984" s="351"/>
      <c r="G984" s="351"/>
      <c r="H984" s="351"/>
      <c r="I984" s="351"/>
      <c r="J984" s="351"/>
      <c r="K984" s="351"/>
      <c r="L984" s="351"/>
      <c r="M984" s="351"/>
      <c r="N984" s="351"/>
      <c r="O984" s="351"/>
      <c r="P984" s="351"/>
      <c r="Q984" s="351"/>
      <c r="R984" s="351"/>
      <c r="S984" s="351"/>
      <c r="T984" s="351"/>
      <c r="U984" s="351"/>
      <c r="V984" s="351"/>
      <c r="W984" s="351"/>
      <c r="X984" s="351"/>
      <c r="Y984" s="351"/>
      <c r="Z984" s="351"/>
    </row>
    <row r="985">
      <c r="A985" s="351"/>
      <c r="B985" s="351"/>
      <c r="C985" s="351"/>
      <c r="D985" s="351"/>
      <c r="E985" s="351"/>
      <c r="F985" s="351"/>
      <c r="G985" s="351"/>
      <c r="H985" s="351"/>
      <c r="I985" s="351"/>
      <c r="J985" s="351"/>
      <c r="K985" s="351"/>
      <c r="L985" s="351"/>
      <c r="M985" s="351"/>
      <c r="N985" s="351"/>
      <c r="O985" s="351"/>
      <c r="P985" s="351"/>
      <c r="Q985" s="351"/>
      <c r="R985" s="351"/>
      <c r="S985" s="351"/>
      <c r="T985" s="351"/>
      <c r="U985" s="351"/>
      <c r="V985" s="351"/>
      <c r="W985" s="351"/>
      <c r="X985" s="351"/>
      <c r="Y985" s="351"/>
      <c r="Z985" s="351"/>
    </row>
    <row r="986">
      <c r="A986" s="351"/>
      <c r="B986" s="351"/>
      <c r="C986" s="351"/>
      <c r="D986" s="351"/>
      <c r="E986" s="351"/>
      <c r="F986" s="351"/>
      <c r="G986" s="351"/>
      <c r="H986" s="351"/>
      <c r="I986" s="351"/>
      <c r="J986" s="351"/>
      <c r="K986" s="351"/>
      <c r="L986" s="351"/>
      <c r="M986" s="351"/>
      <c r="N986" s="351"/>
      <c r="O986" s="351"/>
      <c r="P986" s="351"/>
      <c r="Q986" s="351"/>
      <c r="R986" s="351"/>
      <c r="S986" s="351"/>
      <c r="T986" s="351"/>
      <c r="U986" s="351"/>
      <c r="V986" s="351"/>
      <c r="W986" s="351"/>
      <c r="X986" s="351"/>
      <c r="Y986" s="351"/>
      <c r="Z986" s="351"/>
    </row>
    <row r="987">
      <c r="A987" s="351"/>
      <c r="B987" s="351"/>
      <c r="C987" s="351"/>
      <c r="D987" s="351"/>
      <c r="E987" s="351"/>
      <c r="F987" s="351"/>
      <c r="G987" s="351"/>
      <c r="H987" s="351"/>
      <c r="I987" s="351"/>
      <c r="J987" s="351"/>
      <c r="K987" s="351"/>
      <c r="L987" s="351"/>
      <c r="M987" s="351"/>
      <c r="N987" s="351"/>
      <c r="O987" s="351"/>
      <c r="P987" s="351"/>
      <c r="Q987" s="351"/>
      <c r="R987" s="351"/>
      <c r="S987" s="351"/>
      <c r="T987" s="351"/>
      <c r="U987" s="351"/>
      <c r="V987" s="351"/>
      <c r="W987" s="351"/>
      <c r="X987" s="351"/>
      <c r="Y987" s="351"/>
      <c r="Z987" s="351"/>
    </row>
    <row r="988">
      <c r="A988" s="351"/>
      <c r="B988" s="351"/>
      <c r="C988" s="351"/>
      <c r="D988" s="351"/>
      <c r="E988" s="351"/>
      <c r="F988" s="351"/>
      <c r="G988" s="351"/>
      <c r="H988" s="351"/>
      <c r="I988" s="351"/>
      <c r="J988" s="351"/>
      <c r="K988" s="351"/>
      <c r="L988" s="351"/>
      <c r="M988" s="351"/>
      <c r="N988" s="351"/>
      <c r="O988" s="351"/>
      <c r="P988" s="351"/>
      <c r="Q988" s="351"/>
      <c r="R988" s="351"/>
      <c r="S988" s="351"/>
      <c r="T988" s="351"/>
      <c r="U988" s="351"/>
      <c r="V988" s="351"/>
      <c r="W988" s="351"/>
      <c r="X988" s="351"/>
      <c r="Y988" s="351"/>
      <c r="Z988" s="351"/>
    </row>
    <row r="989">
      <c r="A989" s="351"/>
      <c r="B989" s="351"/>
      <c r="C989" s="351"/>
      <c r="D989" s="351"/>
      <c r="E989" s="351"/>
      <c r="F989" s="351"/>
      <c r="G989" s="351"/>
      <c r="H989" s="351"/>
      <c r="I989" s="351"/>
      <c r="J989" s="351"/>
      <c r="K989" s="351"/>
      <c r="L989" s="351"/>
      <c r="M989" s="351"/>
      <c r="N989" s="351"/>
      <c r="O989" s="351"/>
      <c r="P989" s="351"/>
      <c r="Q989" s="351"/>
      <c r="R989" s="351"/>
      <c r="S989" s="351"/>
      <c r="T989" s="351"/>
      <c r="U989" s="351"/>
      <c r="V989" s="351"/>
      <c r="W989" s="351"/>
      <c r="X989" s="351"/>
      <c r="Y989" s="351"/>
      <c r="Z989" s="351"/>
    </row>
    <row r="990">
      <c r="A990" s="351"/>
      <c r="B990" s="351"/>
      <c r="C990" s="351"/>
      <c r="D990" s="351"/>
      <c r="E990" s="351"/>
      <c r="F990" s="351"/>
      <c r="G990" s="351"/>
      <c r="H990" s="351"/>
      <c r="I990" s="351"/>
      <c r="J990" s="351"/>
      <c r="K990" s="351"/>
      <c r="L990" s="351"/>
      <c r="M990" s="351"/>
      <c r="N990" s="351"/>
      <c r="O990" s="351"/>
      <c r="P990" s="351"/>
      <c r="Q990" s="351"/>
      <c r="R990" s="351"/>
      <c r="S990" s="351"/>
      <c r="T990" s="351"/>
      <c r="U990" s="351"/>
      <c r="V990" s="351"/>
      <c r="W990" s="351"/>
      <c r="X990" s="351"/>
      <c r="Y990" s="351"/>
      <c r="Z990" s="351"/>
    </row>
    <row r="991">
      <c r="A991" s="351"/>
      <c r="B991" s="351"/>
      <c r="C991" s="351"/>
      <c r="D991" s="351"/>
      <c r="E991" s="351"/>
      <c r="F991" s="351"/>
      <c r="G991" s="351"/>
      <c r="H991" s="351"/>
      <c r="I991" s="351"/>
      <c r="J991" s="351"/>
      <c r="K991" s="351"/>
      <c r="L991" s="351"/>
      <c r="M991" s="351"/>
      <c r="N991" s="351"/>
      <c r="O991" s="351"/>
      <c r="P991" s="351"/>
      <c r="Q991" s="351"/>
      <c r="R991" s="351"/>
      <c r="S991" s="351"/>
      <c r="T991" s="351"/>
      <c r="U991" s="351"/>
      <c r="V991" s="351"/>
      <c r="W991" s="351"/>
      <c r="X991" s="351"/>
      <c r="Y991" s="351"/>
      <c r="Z991" s="351"/>
    </row>
    <row r="992">
      <c r="A992" s="351"/>
      <c r="B992" s="351"/>
      <c r="C992" s="351"/>
      <c r="D992" s="351"/>
      <c r="E992" s="351"/>
      <c r="F992" s="351"/>
      <c r="G992" s="351"/>
      <c r="H992" s="351"/>
      <c r="I992" s="351"/>
      <c r="J992" s="351"/>
      <c r="K992" s="351"/>
      <c r="L992" s="351"/>
      <c r="M992" s="351"/>
      <c r="N992" s="351"/>
      <c r="O992" s="351"/>
      <c r="P992" s="351"/>
      <c r="Q992" s="351"/>
      <c r="R992" s="351"/>
      <c r="S992" s="351"/>
      <c r="T992" s="351"/>
      <c r="U992" s="351"/>
      <c r="V992" s="351"/>
      <c r="W992" s="351"/>
      <c r="X992" s="351"/>
      <c r="Y992" s="351"/>
      <c r="Z992" s="351"/>
    </row>
    <row r="993">
      <c r="A993" s="351"/>
      <c r="B993" s="351"/>
      <c r="C993" s="351"/>
      <c r="D993" s="351"/>
      <c r="E993" s="351"/>
      <c r="F993" s="351"/>
      <c r="G993" s="351"/>
      <c r="H993" s="351"/>
      <c r="I993" s="351"/>
      <c r="J993" s="351"/>
      <c r="K993" s="351"/>
      <c r="L993" s="351"/>
      <c r="M993" s="351"/>
      <c r="N993" s="351"/>
      <c r="O993" s="351"/>
      <c r="P993" s="351"/>
      <c r="Q993" s="351"/>
      <c r="R993" s="351"/>
      <c r="S993" s="351"/>
      <c r="T993" s="351"/>
      <c r="U993" s="351"/>
      <c r="V993" s="351"/>
      <c r="W993" s="351"/>
      <c r="X993" s="351"/>
      <c r="Y993" s="351"/>
      <c r="Z993" s="351"/>
    </row>
    <row r="994">
      <c r="A994" s="351"/>
      <c r="B994" s="351"/>
      <c r="C994" s="351"/>
      <c r="D994" s="351"/>
      <c r="E994" s="351"/>
      <c r="F994" s="351"/>
      <c r="G994" s="351"/>
      <c r="H994" s="351"/>
      <c r="I994" s="351"/>
      <c r="J994" s="351"/>
      <c r="K994" s="351"/>
      <c r="L994" s="351"/>
      <c r="M994" s="351"/>
      <c r="N994" s="351"/>
      <c r="O994" s="351"/>
      <c r="P994" s="351"/>
      <c r="Q994" s="351"/>
      <c r="R994" s="351"/>
      <c r="S994" s="351"/>
      <c r="T994" s="351"/>
      <c r="U994" s="351"/>
      <c r="V994" s="351"/>
      <c r="W994" s="351"/>
      <c r="X994" s="351"/>
      <c r="Y994" s="351"/>
      <c r="Z994" s="351"/>
    </row>
    <row r="995">
      <c r="A995" s="351"/>
      <c r="B995" s="351"/>
      <c r="C995" s="351"/>
      <c r="D995" s="351"/>
      <c r="E995" s="351"/>
      <c r="F995" s="351"/>
      <c r="G995" s="351"/>
      <c r="H995" s="351"/>
      <c r="I995" s="351"/>
      <c r="J995" s="351"/>
      <c r="K995" s="351"/>
      <c r="L995" s="351"/>
      <c r="M995" s="351"/>
      <c r="N995" s="351"/>
      <c r="O995" s="351"/>
      <c r="P995" s="351"/>
      <c r="Q995" s="351"/>
      <c r="R995" s="351"/>
      <c r="S995" s="351"/>
      <c r="T995" s="351"/>
      <c r="U995" s="351"/>
      <c r="V995" s="351"/>
      <c r="W995" s="351"/>
      <c r="X995" s="351"/>
      <c r="Y995" s="351"/>
      <c r="Z995" s="351"/>
    </row>
    <row r="996">
      <c r="A996" s="351"/>
      <c r="B996" s="351"/>
      <c r="C996" s="351"/>
      <c r="D996" s="351"/>
      <c r="E996" s="351"/>
      <c r="F996" s="351"/>
      <c r="G996" s="351"/>
      <c r="H996" s="351"/>
      <c r="I996" s="351"/>
      <c r="J996" s="351"/>
      <c r="K996" s="351"/>
      <c r="L996" s="351"/>
      <c r="M996" s="351"/>
      <c r="N996" s="351"/>
      <c r="O996" s="351"/>
      <c r="P996" s="351"/>
      <c r="Q996" s="351"/>
      <c r="R996" s="351"/>
      <c r="S996" s="351"/>
      <c r="T996" s="351"/>
      <c r="U996" s="351"/>
      <c r="V996" s="351"/>
      <c r="W996" s="351"/>
      <c r="X996" s="351"/>
      <c r="Y996" s="351"/>
      <c r="Z996" s="351"/>
    </row>
    <row r="997">
      <c r="A997" s="351"/>
      <c r="B997" s="351"/>
      <c r="C997" s="351"/>
      <c r="D997" s="351"/>
      <c r="E997" s="351"/>
      <c r="F997" s="351"/>
      <c r="G997" s="351"/>
      <c r="H997" s="351"/>
      <c r="I997" s="351"/>
      <c r="J997" s="351"/>
      <c r="K997" s="351"/>
      <c r="L997" s="351"/>
      <c r="M997" s="351"/>
      <c r="N997" s="351"/>
      <c r="O997" s="351"/>
      <c r="P997" s="351"/>
      <c r="Q997" s="351"/>
      <c r="R997" s="351"/>
      <c r="S997" s="351"/>
      <c r="T997" s="351"/>
      <c r="U997" s="351"/>
      <c r="V997" s="351"/>
      <c r="W997" s="351"/>
      <c r="X997" s="351"/>
      <c r="Y997" s="351"/>
      <c r="Z997" s="351"/>
    </row>
    <row r="998">
      <c r="A998" s="351"/>
      <c r="B998" s="351"/>
      <c r="C998" s="351"/>
      <c r="D998" s="351"/>
      <c r="E998" s="351"/>
      <c r="F998" s="351"/>
      <c r="G998" s="351"/>
      <c r="H998" s="351"/>
      <c r="I998" s="351"/>
      <c r="J998" s="351"/>
      <c r="K998" s="351"/>
      <c r="L998" s="351"/>
      <c r="M998" s="351"/>
      <c r="N998" s="351"/>
      <c r="O998" s="351"/>
      <c r="P998" s="351"/>
      <c r="Q998" s="351"/>
      <c r="R998" s="351"/>
      <c r="S998" s="351"/>
      <c r="T998" s="351"/>
      <c r="U998" s="351"/>
      <c r="V998" s="351"/>
      <c r="W998" s="351"/>
      <c r="X998" s="351"/>
      <c r="Y998" s="351"/>
      <c r="Z998" s="351"/>
    </row>
    <row r="999">
      <c r="A999" s="351"/>
      <c r="B999" s="351"/>
      <c r="C999" s="351"/>
      <c r="D999" s="351"/>
      <c r="E999" s="351"/>
      <c r="F999" s="351"/>
      <c r="G999" s="351"/>
      <c r="H999" s="351"/>
      <c r="I999" s="351"/>
      <c r="J999" s="351"/>
      <c r="K999" s="351"/>
      <c r="L999" s="351"/>
      <c r="M999" s="351"/>
      <c r="N999" s="351"/>
      <c r="O999" s="351"/>
      <c r="P999" s="351"/>
      <c r="Q999" s="351"/>
      <c r="R999" s="351"/>
      <c r="S999" s="351"/>
      <c r="T999" s="351"/>
      <c r="U999" s="351"/>
      <c r="V999" s="351"/>
      <c r="W999" s="351"/>
      <c r="X999" s="351"/>
      <c r="Y999" s="351"/>
      <c r="Z999" s="351"/>
    </row>
    <row r="1000">
      <c r="A1000" s="351"/>
      <c r="B1000" s="351"/>
      <c r="C1000" s="351"/>
      <c r="D1000" s="351"/>
      <c r="E1000" s="351"/>
      <c r="F1000" s="351"/>
      <c r="G1000" s="351"/>
      <c r="H1000" s="351"/>
      <c r="I1000" s="351"/>
      <c r="J1000" s="351"/>
      <c r="K1000" s="351"/>
      <c r="L1000" s="351"/>
      <c r="M1000" s="351"/>
      <c r="N1000" s="351"/>
      <c r="O1000" s="351"/>
      <c r="P1000" s="351"/>
      <c r="Q1000" s="351"/>
      <c r="R1000" s="351"/>
      <c r="S1000" s="351"/>
      <c r="T1000" s="351"/>
      <c r="U1000" s="351"/>
      <c r="V1000" s="351"/>
      <c r="W1000" s="351"/>
      <c r="X1000" s="351"/>
      <c r="Y1000" s="351"/>
      <c r="Z1000" s="351"/>
    </row>
  </sheetData>
  <dataValidations>
    <dataValidation type="list" allowBlank="1" showErrorMessage="1" sqref="D2:D178">
      <formula1>"Formação Pedagógica,Formação Livre,Segunda Licenciatura,Pós-Graduação,Ensino Fundamental e Médio,Diplomação por Competência,Sem Nomenclatura Definida,Pedagogia para bachareis"</formula1>
    </dataValidation>
    <dataValidation type="list" allowBlank="1" showErrorMessage="1" sqref="G42">
      <formula1>"Entregue e Deferida,Não encaminhou nenhum documento,Incompleto,Não Localizado,Em análise"</formula1>
    </dataValidation>
    <dataValidation type="list" allowBlank="1" showErrorMessage="1" sqref="E72 E74:E75 E84 E89 E93">
      <formula1>"Pedagogia,Psicanálise,Música,EJA,Ensino de Geografia,Matemática,Educação Física,História,Neuropsicologia Clínica,Psicologia Educacional,Em Atendimento Educacional Especializado Ênfase em Educação Especial e Inclusiva,Neuropsicanálise Clínica,Sexologia,Ciê"&amp;"ncias Sociais,Geografia,Em Letras– Português e Espanhol,Arteterapia,Pedagogia para Bacharéis e Tecnólogos,Neuropsicopedagogia Institucional, Clínica e Hospitalar,Sociologia,Musicoterapia,Artes Visuais,Letras Português - Libras,Letras Português/Inglês,Neur"&amp;"opsicologia,Educação Musical Inovadora,Neuropsicopedagogia Institucional,Neuropsicopedagogia Clínica e Institucional,Engenharia e Segurança do Trabalho,Educação especial,Gestão Educacional,Psicopedagogia,Ensino de Matemática,Inspeção escolar,Educação Musi"&amp;"cal,História e Matemática,Ciência da Religião,Ensino de Literatura e Produção de Textos em Língua Espanhola,Língua Portuguesa, Redação e Oratória,Música, Cultura e Sociedade,Filosofia,Neuropsicopedagogia"</formula1>
    </dataValidation>
    <dataValidation type="list" allowBlank="1" showErrorMessage="1" sqref="E2:E71 E73 E76:E83 E85:E88 E90:E92 E94:E178">
      <formula1>"Pedagogia,Psicanálise,Música,EJA,Ensino de Geografia,Matemática,Educação Física,História,Neuropsicologia Clínica,Psicologia Educacional,Em Atendimento Educacional Especializado Ênfase em Educação Especial e Inclusiva,Neuropsicanálise Clínica,Sexologia,Ciê"&amp;"ncias Sociais,Geografia,Em Letras– Português e Espanhol,Arteterapia,Pedagogia para Bacharéis e Tecnólogos,Neuropsicopedagogia Institucional, Clínica e Hospitalar,Sociologia,Musicoterapia,Artes Visuais,Letras Português - Libras,Letras Português/Inglês,Neur"&amp;"opsicologia,Educação Musical Inovadora,Neuropsicopedagogia Institucional,Neuropsicopedagogia Clínica e Institucional,Engenharia e Segurança do Trabalho,Educação especial,Gestão Educacional,Psicopedagogia,Ensino de Matemática,Inspeção escolar,Educação Musi"&amp;"cal,História e Matemática,Ciência da Religião,Ensino de Literatura e Produção de Textos em Língua Espanhola,Língua Portuguesa, Redação e Oratória,Música, Cultura e Sociedade,Filosofia,ABA-ANÁLISE DO COMPORTAMENTO APLICADA,Educação Especial E Inclusiva,Alf"&amp;"abetização E Letramento,Enfermagem em Ginecologia e Obstetricia ,Letras Portugues,Educação fisica escolar,Neuropsicopedagogia,Psicomotricidade,Metodologia Do Ensino De Filosofia"</formula1>
    </dataValidation>
    <dataValidation type="list" allowBlank="1" showErrorMessage="1" sqref="I2:I99">
      <formula1>"Em análise,Reprovado,Aprovado"</formula1>
    </dataValidation>
    <dataValidation type="list" allowBlank="1" showErrorMessage="1" sqref="A2:A178">
      <formula1>"Urgente,Mediana,Normal,Análise Concluída,Falta Tutoria,Falta Documentação,Falta Financeiro,Falta Plataforma,Aluno certificado,Aluno no Setor de Cobrança,Processo de certificação,Falta extensão,Aguardando Gringa voltar,Analisando Caso"</formula1>
    </dataValidation>
    <dataValidation type="list" allowBlank="1" showErrorMessage="1" sqref="G2:G41 G43:G256">
      <formula1>"Entregue e Deferida,Não encaminhou nenhum documento,Incompleto,Não Localizado,Em análise"</formula1>
    </dataValidation>
  </dataValidations>
  <printOptions gridLines="1" horizontalCentered="1"/>
  <pageMargins bottom="0.75" footer="0.0" header="0.0" left="0.7" right="0.7" top="0.75"/>
  <pageSetup fitToHeight="0" paperSize="9" cellComments="atEnd" orientation="landscape" pageOrder="overThenDown"/>
  <drawing r:id="rId2"/>
  <legacyDrawing r:id="rId3"/>
</worksheet>
</file>